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29.xml" ContentType="application/vnd.openxmlformats-officedocument.spreadsheetml.worksheet+xml"/>
  <Override PartName="/xl/worksheets/sheet31.xml" ContentType="application/vnd.openxmlformats-officedocument.spreadsheetml.worksheet+xml"/>
  <Override PartName="/xl/worksheets/sheet41.xml" ContentType="application/vnd.openxmlformats-officedocument.spreadsheetml.worksheet+xml"/>
  <Override PartName="/xl/worksheets/sheet30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custom.xml" ContentType="application/vnd.openxmlformats-officedocument.custom-properties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externalLinks/externalLink3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xl/externalLinks/externalLink9.xml" ContentType="application/vnd.openxmlformats-officedocument.spreadsheetml.externalLink+xml"/>
  <Override PartName="/xl/externalLinks/externalLink1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externalLinks/externalLink10.xml" ContentType="application/vnd.openxmlformats-officedocument.spreadsheetml.externalLink+xml"/>
  <Override PartName="/xl/externalLinks/externalLink17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workbookProtection workbookPassword="E6B6" lockStructure="1"/>
  <bookViews>
    <workbookView xWindow="-15" yWindow="120" windowWidth="14940" windowHeight="8580" tabRatio="831" firstSheet="4" activeTab="6"/>
  </bookViews>
  <sheets>
    <sheet name="Page 1, Revenues from Sales" sheetId="12783" r:id="rId1"/>
    <sheet name="Pages 2-3, Res Schedules" sheetId="12849" r:id="rId2"/>
    <sheet name="Pages 4-11, All Other Schedules" sheetId="12767" r:id="rId3"/>
    <sheet name="Exhibit No._(JRS-5) p1" sheetId="12833" state="hidden" r:id="rId4"/>
    <sheet name="Page 12-14, Crossover (Res)" sheetId="12835" r:id="rId5"/>
    <sheet name="Page 15, Revenue Stability" sheetId="12853" r:id="rId6"/>
    <sheet name="Page 16, HUD Data" sheetId="12854" r:id="rId7"/>
    <sheet name="Page 2, Summary Table (Target)" sheetId="12850" state="hidden" r:id="rId8"/>
    <sheet name="Exhibit No._(JRS-5) p2" sheetId="12769" state="hidden" r:id="rId9"/>
    <sheet name="Exhibit No._(JRS-5) p3" sheetId="12770" state="hidden" r:id="rId10"/>
    <sheet name="Exhibit No._(JRS-5) p4" sheetId="12771" state="hidden" r:id="rId11"/>
    <sheet name="Exhibit No._(JRS-5) p5" sheetId="12772" state="hidden" r:id="rId12"/>
    <sheet name="Exhibit No._(JRS-5) p6" sheetId="12773" state="hidden" r:id="rId13"/>
    <sheet name="Exhibit No._(JRS-5) p7" sheetId="12791" state="hidden" r:id="rId14"/>
    <sheet name="Exhibit No._(JRS-6) p1" sheetId="12826" state="hidden" r:id="rId15"/>
    <sheet name="Exhibit No._(JRS-6) p2" sheetId="12785" state="hidden" r:id="rId16"/>
    <sheet name="Stop Here" sheetId="12832" state="hidden" r:id="rId17"/>
    <sheet name="Rate Spread-Staff" sheetId="12831" state="hidden" r:id="rId18"/>
    <sheet name="Rate Spread-Co" sheetId="12852" state="hidden" r:id="rId19"/>
    <sheet name="NPC Spread" sheetId="12828" state="hidden" r:id="rId20"/>
    <sheet name="by rate" sheetId="12827" state="hidden" r:id="rId21"/>
    <sheet name="Table 1-Revenues" sheetId="12809" state="hidden" r:id="rId22"/>
    <sheet name="Page 17, DOE Data" sheetId="12855" state="hidden" r:id="rId23"/>
    <sheet name="Table 1 - kWh" sheetId="12810" state="hidden" r:id="rId24"/>
    <sheet name="Table 2" sheetId="12811" state="hidden" r:id="rId25"/>
    <sheet name="Table 3" sheetId="12812" state="hidden" r:id="rId26"/>
    <sheet name="Temperature" sheetId="12822" state="hidden" r:id="rId27"/>
    <sheet name="Temp. Adjustments" sheetId="12821" state="hidden" r:id="rId28"/>
    <sheet name="305 VS COGNOS kWh" sheetId="12763" state="hidden" r:id="rId29"/>
    <sheet name="305 VS COGNOS Revenue" sheetId="12764" state="hidden" r:id="rId30"/>
    <sheet name="SBC-Hydro" sheetId="12823" state="hidden" r:id="rId31"/>
    <sheet name="WA HDS Revenue" sheetId="12824" state="hidden" r:id="rId32"/>
    <sheet name="Ded Fac Hydro Revenue" sheetId="12825" state="hidden" r:id="rId33"/>
    <sheet name="Load Loss" sheetId="12820" state="hidden" r:id="rId34"/>
    <sheet name="SBC" sheetId="12814" state="hidden" r:id="rId35"/>
    <sheet name="Hydro Deferral" sheetId="12815" state="hidden" r:id="rId36"/>
    <sheet name="Backed Out Revenue Totals" sheetId="12817" state="hidden" r:id="rId37"/>
    <sheet name="SBC (Old)" sheetId="12761" state="hidden" r:id="rId38"/>
    <sheet name="Billing Determinants (2)" sheetId="12787" state="hidden" r:id="rId39"/>
    <sheet name="Blocking - detail" sheetId="12766" state="hidden" r:id="rId40"/>
    <sheet name="Normalized Monthly kWh" sheetId="12775" state="hidden" r:id="rId41"/>
    <sheet name="Normalized Monthly revenue" sheetId="12774" state="hidden" r:id="rId42"/>
    <sheet name="305 Inputs" sheetId="12813" state="hidden" r:id="rId43"/>
    <sheet name="June 305 12" sheetId="12818" state="hidden" r:id="rId44"/>
    <sheet name="Schedule 24 BD" sheetId="12834" state="hidden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0" localSheetId="18">[1]Jan!#REF!</definedName>
    <definedName name="\0">[1]Jan!#REF!</definedName>
    <definedName name="\A" localSheetId="18">#REF!</definedName>
    <definedName name="\A">#REF!</definedName>
    <definedName name="\B" localSheetId="18">#REF!</definedName>
    <definedName name="\B">#REF!</definedName>
    <definedName name="\BACK1" localSheetId="18">#REF!</definedName>
    <definedName name="\BACK1">#REF!</definedName>
    <definedName name="\BLOCK" localSheetId="18">#REF!</definedName>
    <definedName name="\BLOCK">#REF!</definedName>
    <definedName name="\BLOCKT" localSheetId="18">#REF!</definedName>
    <definedName name="\BLOCKT">#REF!</definedName>
    <definedName name="\C" localSheetId="18">#REF!</definedName>
    <definedName name="\C">#REF!</definedName>
    <definedName name="\COMP" localSheetId="18">#REF!</definedName>
    <definedName name="\COMP">#REF!</definedName>
    <definedName name="\COMPT" localSheetId="18">#REF!</definedName>
    <definedName name="\COMPT">#REF!</definedName>
    <definedName name="\G" localSheetId="18">#REF!</definedName>
    <definedName name="\G">#REF!</definedName>
    <definedName name="\I" localSheetId="18">#REF!</definedName>
    <definedName name="\I">#REF!</definedName>
    <definedName name="\K" localSheetId="18">#REF!</definedName>
    <definedName name="\K">#REF!</definedName>
    <definedName name="\L" localSheetId="18">#REF!</definedName>
    <definedName name="\L">#REF!</definedName>
    <definedName name="\M" localSheetId="18">#REF!</definedName>
    <definedName name="\M">#REF!</definedName>
    <definedName name="\P" localSheetId="18">#REF!</definedName>
    <definedName name="\P">#REF!</definedName>
    <definedName name="\Q" localSheetId="18">[2]Actual!#REF!</definedName>
    <definedName name="\Q">[2]Actual!#REF!</definedName>
    <definedName name="\R" localSheetId="18">#REF!</definedName>
    <definedName name="\R">#REF!</definedName>
    <definedName name="\S" localSheetId="18">#REF!</definedName>
    <definedName name="\S">#REF!</definedName>
    <definedName name="\TABLE1" localSheetId="18">#REF!</definedName>
    <definedName name="\TABLE1">#REF!</definedName>
    <definedName name="\TABLE2" localSheetId="18">#REF!</definedName>
    <definedName name="\TABLE2">#REF!</definedName>
    <definedName name="\TABLEA" localSheetId="18">#REF!</definedName>
    <definedName name="\TABLEA">#REF!</definedName>
    <definedName name="\TBL2" localSheetId="18">#REF!</definedName>
    <definedName name="\TBL2">#REF!</definedName>
    <definedName name="\TBL3" localSheetId="18">#REF!</definedName>
    <definedName name="\TBL3">#REF!</definedName>
    <definedName name="\TBL4" localSheetId="18">#REF!</definedName>
    <definedName name="\TBL4">#REF!</definedName>
    <definedName name="\TBL5" localSheetId="18">#REF!</definedName>
    <definedName name="\TBL5">#REF!</definedName>
    <definedName name="\W" localSheetId="18">#REF!</definedName>
    <definedName name="\W">#REF!</definedName>
    <definedName name="\WORK1" localSheetId="18">#REF!</definedName>
    <definedName name="\WORK1">#REF!</definedName>
    <definedName name="\X" localSheetId="18">#REF!</definedName>
    <definedName name="\X">#REF!</definedName>
    <definedName name="\Z" localSheetId="18">#REF!</definedName>
    <definedName name="\Z">#REF!</definedName>
    <definedName name="__123Graph_A" localSheetId="38" hidden="1">[3]Inputs!#REF!</definedName>
    <definedName name="__123Graph_A" localSheetId="39" hidden="1">[3]Inputs!#REF!</definedName>
    <definedName name="__123Graph_A" localSheetId="3" hidden="1">[4]Inputs!#REF!</definedName>
    <definedName name="__123Graph_A" localSheetId="8" hidden="1">[4]Inputs!#REF!</definedName>
    <definedName name="__123Graph_A" localSheetId="9" hidden="1">[4]Inputs!#REF!</definedName>
    <definedName name="__123Graph_A" localSheetId="10" hidden="1">[4]Inputs!#REF!</definedName>
    <definedName name="__123Graph_A" localSheetId="11" hidden="1">[4]Inputs!#REF!</definedName>
    <definedName name="__123Graph_A" localSheetId="12" hidden="1">[4]Inputs!#REF!</definedName>
    <definedName name="__123Graph_A" localSheetId="13" hidden="1">[4]Inputs!#REF!</definedName>
    <definedName name="__123Graph_A" localSheetId="14" hidden="1">[5]Inputs!#REF!</definedName>
    <definedName name="__123Graph_A" localSheetId="35" hidden="1">[5]Inputs!#REF!</definedName>
    <definedName name="__123Graph_A" localSheetId="40" hidden="1">[5]Inputs!#REF!</definedName>
    <definedName name="__123Graph_A" localSheetId="41" hidden="1">[5]Inputs!#REF!</definedName>
    <definedName name="__123Graph_A" localSheetId="0" hidden="1">[6]Inputs!#REF!</definedName>
    <definedName name="__123Graph_A" localSheetId="7" hidden="1">[5]Inputs!#REF!</definedName>
    <definedName name="__123Graph_A" localSheetId="1" hidden="1">[3]Inputs!#REF!</definedName>
    <definedName name="__123Graph_A" localSheetId="2" hidden="1">[3]Inputs!#REF!</definedName>
    <definedName name="__123Graph_A" localSheetId="18" hidden="1">[6]Inputs!#REF!</definedName>
    <definedName name="__123Graph_A" localSheetId="17" hidden="1">[6]Inputs!#REF!</definedName>
    <definedName name="__123Graph_A" localSheetId="30" hidden="1">[5]Inputs!#REF!</definedName>
    <definedName name="__123Graph_A" localSheetId="27" hidden="1">[5]Inputs!#REF!</definedName>
    <definedName name="__123Graph_A" localSheetId="26" hidden="1">[5]Inputs!#REF!</definedName>
    <definedName name="__123Graph_A" localSheetId="31" hidden="1">[5]Inputs!#REF!</definedName>
    <definedName name="__123Graph_A" hidden="1">[5]Inputs!#REF!</definedName>
    <definedName name="__123Graph_B" localSheetId="38" hidden="1">[3]Inputs!#REF!</definedName>
    <definedName name="__123Graph_B" localSheetId="39" hidden="1">[3]Inputs!#REF!</definedName>
    <definedName name="__123Graph_B" localSheetId="3" hidden="1">[4]Inputs!#REF!</definedName>
    <definedName name="__123Graph_B" localSheetId="8" hidden="1">[4]Inputs!#REF!</definedName>
    <definedName name="__123Graph_B" localSheetId="9" hidden="1">[4]Inputs!#REF!</definedName>
    <definedName name="__123Graph_B" localSheetId="10" hidden="1">[4]Inputs!#REF!</definedName>
    <definedName name="__123Graph_B" localSheetId="11" hidden="1">[4]Inputs!#REF!</definedName>
    <definedName name="__123Graph_B" localSheetId="12" hidden="1">[4]Inputs!#REF!</definedName>
    <definedName name="__123Graph_B" localSheetId="13" hidden="1">[4]Inputs!#REF!</definedName>
    <definedName name="__123Graph_B" localSheetId="14" hidden="1">[5]Inputs!#REF!</definedName>
    <definedName name="__123Graph_B" localSheetId="35" hidden="1">[5]Inputs!#REF!</definedName>
    <definedName name="__123Graph_B" localSheetId="40" hidden="1">[5]Inputs!#REF!</definedName>
    <definedName name="__123Graph_B" localSheetId="41" hidden="1">[5]Inputs!#REF!</definedName>
    <definedName name="__123Graph_B" localSheetId="0" hidden="1">[6]Inputs!#REF!</definedName>
    <definedName name="__123Graph_B" localSheetId="7" hidden="1">[5]Inputs!#REF!</definedName>
    <definedName name="__123Graph_B" localSheetId="1" hidden="1">[3]Inputs!#REF!</definedName>
    <definedName name="__123Graph_B" localSheetId="2" hidden="1">[3]Inputs!#REF!</definedName>
    <definedName name="__123Graph_B" localSheetId="18" hidden="1">[6]Inputs!#REF!</definedName>
    <definedName name="__123Graph_B" localSheetId="17" hidden="1">[6]Inputs!#REF!</definedName>
    <definedName name="__123Graph_B" localSheetId="30" hidden="1">[5]Inputs!#REF!</definedName>
    <definedName name="__123Graph_B" localSheetId="27" hidden="1">[5]Inputs!#REF!</definedName>
    <definedName name="__123Graph_B" localSheetId="26" hidden="1">[5]Inputs!#REF!</definedName>
    <definedName name="__123Graph_B" localSheetId="31" hidden="1">[5]Inputs!#REF!</definedName>
    <definedName name="__123Graph_B" hidden="1">[5]Inputs!#REF!</definedName>
    <definedName name="__123Graph_D" localSheetId="38" hidden="1">[3]Inputs!#REF!</definedName>
    <definedName name="__123Graph_D" localSheetId="39" hidden="1">[3]Inputs!#REF!</definedName>
    <definedName name="__123Graph_D" localSheetId="3" hidden="1">[4]Inputs!#REF!</definedName>
    <definedName name="__123Graph_D" localSheetId="8" hidden="1">[4]Inputs!#REF!</definedName>
    <definedName name="__123Graph_D" localSheetId="9" hidden="1">[4]Inputs!#REF!</definedName>
    <definedName name="__123Graph_D" localSheetId="10" hidden="1">[4]Inputs!#REF!</definedName>
    <definedName name="__123Graph_D" localSheetId="11" hidden="1">[4]Inputs!#REF!</definedName>
    <definedName name="__123Graph_D" localSheetId="12" hidden="1">[4]Inputs!#REF!</definedName>
    <definedName name="__123Graph_D" localSheetId="13" hidden="1">[4]Inputs!#REF!</definedName>
    <definedName name="__123Graph_D" localSheetId="14" hidden="1">[5]Inputs!#REF!</definedName>
    <definedName name="__123Graph_D" localSheetId="35" hidden="1">[5]Inputs!#REF!</definedName>
    <definedName name="__123Graph_D" localSheetId="40" hidden="1">[5]Inputs!#REF!</definedName>
    <definedName name="__123Graph_D" localSheetId="41" hidden="1">[5]Inputs!#REF!</definedName>
    <definedName name="__123Graph_D" localSheetId="0" hidden="1">[6]Inputs!#REF!</definedName>
    <definedName name="__123Graph_D" localSheetId="7" hidden="1">[5]Inputs!#REF!</definedName>
    <definedName name="__123Graph_D" localSheetId="1" hidden="1">[3]Inputs!#REF!</definedName>
    <definedName name="__123Graph_D" localSheetId="2" hidden="1">[3]Inputs!#REF!</definedName>
    <definedName name="__123Graph_D" localSheetId="18" hidden="1">[6]Inputs!#REF!</definedName>
    <definedName name="__123Graph_D" localSheetId="17" hidden="1">[6]Inputs!#REF!</definedName>
    <definedName name="__123Graph_D" localSheetId="30" hidden="1">[5]Inputs!#REF!</definedName>
    <definedName name="__123Graph_D" localSheetId="27" hidden="1">[5]Inputs!#REF!</definedName>
    <definedName name="__123Graph_D" localSheetId="26" hidden="1">[5]Inputs!#REF!</definedName>
    <definedName name="__123Graph_D" localSheetId="31" hidden="1">[5]Inputs!#REF!</definedName>
    <definedName name="__123Graph_D" hidden="1">[5]Inputs!#REF!</definedName>
    <definedName name="_1Price_Ta" localSheetId="18">#REF!</definedName>
    <definedName name="_1Price_Ta">#REF!</definedName>
    <definedName name="_2Price_Ta" localSheetId="18">#REF!</definedName>
    <definedName name="_2Price_Ta">#REF!</definedName>
    <definedName name="_B" localSheetId="18">'[7]Rate Design'!#REF!</definedName>
    <definedName name="_B">'[7]Rate Design'!#REF!</definedName>
    <definedName name="_Fill" localSheetId="3" hidden="1">#REF!</definedName>
    <definedName name="_Fill" localSheetId="14" hidden="1">#REF!</definedName>
    <definedName name="_Fill" localSheetId="40" hidden="1">#REF!</definedName>
    <definedName name="_Fill" localSheetId="41" hidden="1">#REF!</definedName>
    <definedName name="_Fill" localSheetId="7" hidden="1">#REF!</definedName>
    <definedName name="_Fill" localSheetId="1" hidden="1">#REF!</definedName>
    <definedName name="_Fill" localSheetId="18" hidden="1">#REF!</definedName>
    <definedName name="_Fill" localSheetId="17" hidden="1">#REF!</definedName>
    <definedName name="_Fill" localSheetId="30" hidden="1">#REF!</definedName>
    <definedName name="_Fill" hidden="1">#REF!</definedName>
    <definedName name="_xlnm._FilterDatabase" localSheetId="42" hidden="1">'305 Inputs'!$A$6:$J$144</definedName>
    <definedName name="_xlnm._FilterDatabase" localSheetId="29" hidden="1">'305 VS COGNOS Revenue'!$A$6:$U$56</definedName>
    <definedName name="_xlnm._FilterDatabase" localSheetId="30" hidden="1">'SBC-Hydro'!$A$6:$AA$56</definedName>
    <definedName name="_xlnm._FilterDatabase" localSheetId="24" hidden="1">'Table 2'!#REF!</definedName>
    <definedName name="_xlnm._FilterDatabase" localSheetId="25" hidden="1">'Table 3'!#REF!</definedName>
    <definedName name="_Key1" localSheetId="3" hidden="1">#REF!</definedName>
    <definedName name="_Key1" localSheetId="14" hidden="1">#REF!</definedName>
    <definedName name="_Key1" localSheetId="35" hidden="1">#REF!</definedName>
    <definedName name="_Key1" localSheetId="7" hidden="1">#REF!</definedName>
    <definedName name="_Key1" localSheetId="1" hidden="1">#REF!</definedName>
    <definedName name="_Key1" localSheetId="18" hidden="1">#REF!</definedName>
    <definedName name="_Key1" localSheetId="17" hidden="1">#REF!</definedName>
    <definedName name="_Key1" localSheetId="30" hidden="1">#REF!</definedName>
    <definedName name="_Key1" localSheetId="27" hidden="1">#REF!</definedName>
    <definedName name="_Key1" localSheetId="26" hidden="1">#REF!</definedName>
    <definedName name="_Key1" localSheetId="31" hidden="1">#REF!</definedName>
    <definedName name="_Key1" hidden="1">#REF!</definedName>
    <definedName name="_Key2" localSheetId="3" hidden="1">#REF!</definedName>
    <definedName name="_Key2" localSheetId="14" hidden="1">#REF!</definedName>
    <definedName name="_Key2" localSheetId="35" hidden="1">#REF!</definedName>
    <definedName name="_Key2" localSheetId="7" hidden="1">#REF!</definedName>
    <definedName name="_Key2" localSheetId="1" hidden="1">#REF!</definedName>
    <definedName name="_Key2" localSheetId="18" hidden="1">#REF!</definedName>
    <definedName name="_Key2" localSheetId="17" hidden="1">#REF!</definedName>
    <definedName name="_Key2" localSheetId="30" hidden="1">#REF!</definedName>
    <definedName name="_Key2" localSheetId="27" hidden="1">#REF!</definedName>
    <definedName name="_Key2" localSheetId="26" hidden="1">#REF!</definedName>
    <definedName name="_Key2" localSheetId="31" hidden="1">#REF!</definedName>
    <definedName name="_Key2" hidden="1">#REF!</definedName>
    <definedName name="_MEN2" localSheetId="18">[1]Jan!#REF!</definedName>
    <definedName name="_MEN2">[1]Jan!#REF!</definedName>
    <definedName name="_MEN3" localSheetId="18">[1]Jan!#REF!</definedName>
    <definedName name="_MEN3">[1]Jan!#REF!</definedName>
    <definedName name="_Order1" localSheetId="7" hidden="1">255</definedName>
    <definedName name="_Order1" hidden="1">0</definedName>
    <definedName name="_Order2" localSheetId="7" hidden="1">255</definedName>
    <definedName name="_Order2" hidden="1">0</definedName>
    <definedName name="_P" localSheetId="18">#REF!</definedName>
    <definedName name="_P">#REF!</definedName>
    <definedName name="_Regression_Int">0</definedName>
    <definedName name="_Sort" localSheetId="3" hidden="1">#REF!</definedName>
    <definedName name="_Sort" localSheetId="14" hidden="1">#REF!</definedName>
    <definedName name="_Sort" localSheetId="35" hidden="1">#REF!</definedName>
    <definedName name="_Sort" localSheetId="7" hidden="1">#REF!</definedName>
    <definedName name="_Sort" localSheetId="1" hidden="1">#REF!</definedName>
    <definedName name="_Sort" localSheetId="18" hidden="1">#REF!</definedName>
    <definedName name="_Sort" localSheetId="17" hidden="1">#REF!</definedName>
    <definedName name="_Sort" localSheetId="30" hidden="1">#REF!</definedName>
    <definedName name="_Sort" localSheetId="27" hidden="1">#REF!</definedName>
    <definedName name="_Sort" localSheetId="26" hidden="1">#REF!</definedName>
    <definedName name="_Sort" localSheetId="31" hidden="1">#REF!</definedName>
    <definedName name="_Sort" hidden="1">#REF!</definedName>
    <definedName name="_TOP1" localSheetId="18">[1]Jan!#REF!</definedName>
    <definedName name="_TOP1">[1]Jan!#REF!</definedName>
    <definedName name="_WNP3">[8]SUMCOST!$S$993:$U$994</definedName>
    <definedName name="a" localSheetId="38" hidden="1">#REF!</definedName>
    <definedName name="a" localSheetId="39" hidden="1">#REF!</definedName>
    <definedName name="a" localSheetId="3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40" hidden="1">'[5]DSM Output'!$J$21:$J$23</definedName>
    <definedName name="a" localSheetId="41" hidden="1">'[5]DSM Output'!$J$21:$J$23</definedName>
    <definedName name="a" localSheetId="0" hidden="1">#REF!</definedName>
    <definedName name="a" localSheetId="1" hidden="1">#REF!</definedName>
    <definedName name="a" localSheetId="2" hidden="1">#REF!</definedName>
    <definedName name="a" localSheetId="18" hidden="1">#REF!</definedName>
    <definedName name="a" localSheetId="17" hidden="1">#REF!</definedName>
    <definedName name="a" localSheetId="27" hidden="1">'[5]DSM Output'!$J$21:$J$23</definedName>
    <definedName name="a" localSheetId="26" hidden="1">'[5]DSM Output'!$J$21:$J$23</definedName>
    <definedName name="a" localSheetId="31" hidden="1">'[5]DSM Output'!$J$21:$J$23</definedName>
    <definedName name="a" hidden="1">'[5]DSM Output'!$J$21:$J$23</definedName>
    <definedName name="Acct108364" localSheetId="18">'[9]Func Study'!#REF!</definedName>
    <definedName name="Acct108364">'[9]Func Study'!#REF!</definedName>
    <definedName name="Acct108364S" localSheetId="18">'[9]Func Study'!#REF!</definedName>
    <definedName name="Acct108364S">'[9]Func Study'!#REF!</definedName>
    <definedName name="Acct228.42TROJD" localSheetId="18">'[10]Func Study'!#REF!</definedName>
    <definedName name="Acct228.42TROJD">'[10]Func Study'!#REF!</definedName>
    <definedName name="Acct2281SO">'[11]Func Study'!$H$2190</definedName>
    <definedName name="Acct2283SO">'[11]Func Study'!$H$2198</definedName>
    <definedName name="Acct22842TROJD" localSheetId="18">'[10]Func Study'!#REF!</definedName>
    <definedName name="Acct22842TROJD">'[10]Func Study'!#REF!</definedName>
    <definedName name="Acct228SO">'[11]Func Study'!$H$2194</definedName>
    <definedName name="Acct350">'[11]Func Study'!$H$1628</definedName>
    <definedName name="Acct352">'[11]Func Study'!$H$1635</definedName>
    <definedName name="Acct353">'[11]Func Study'!$H$1641</definedName>
    <definedName name="Acct354">'[11]Func Study'!$H$1647</definedName>
    <definedName name="Acct355">'[11]Func Study'!$H$1654</definedName>
    <definedName name="Acct356">'[11]Func Study'!$H$1660</definedName>
    <definedName name="Acct357">'[11]Func Study'!$H$1666</definedName>
    <definedName name="Acct358">'[11]Func Study'!$H$1672</definedName>
    <definedName name="Acct359">'[11]Func Study'!$H$1678</definedName>
    <definedName name="Acct360">'[11]Func Study'!$H$1698</definedName>
    <definedName name="Acct361">'[11]Func Study'!$H$1704</definedName>
    <definedName name="Acct362">'[11]Func Study'!$H$1710</definedName>
    <definedName name="Acct364">'[11]Func Study'!$H$1717</definedName>
    <definedName name="Acct365">'[11]Func Study'!$H$1724</definedName>
    <definedName name="Acct366">'[11]Func Study'!$H$1731</definedName>
    <definedName name="Acct367">'[11]Func Study'!$H$1738</definedName>
    <definedName name="Acct368">'[11]Func Study'!$H$1744</definedName>
    <definedName name="Acct369">'[11]Func Study'!$H$1751</definedName>
    <definedName name="Acct370">'[11]Func Study'!$H$1762</definedName>
    <definedName name="Acct371">'[11]Func Study'!$H$1769</definedName>
    <definedName name="Acct372">'[11]Func Study'!$H$1776</definedName>
    <definedName name="Acct372A">'[11]Func Study'!$H$1775</definedName>
    <definedName name="Acct372DP">'[11]Func Study'!$H$1773</definedName>
    <definedName name="Acct372DS">'[11]Func Study'!$H$1774</definedName>
    <definedName name="Acct373">'[11]Func Study'!$H$1782</definedName>
    <definedName name="Acct41011" localSheetId="18">'[12]Functional Study'!#REF!</definedName>
    <definedName name="Acct41011">'[12]Functional Study'!#REF!</definedName>
    <definedName name="Acct41011BADDEBT" localSheetId="18">'[12]Functional Study'!#REF!</definedName>
    <definedName name="Acct41011BADDEBT">'[12]Functional Study'!#REF!</definedName>
    <definedName name="Acct41011DITEXP" localSheetId="18">'[12]Functional Study'!#REF!</definedName>
    <definedName name="Acct41011DITEXP">'[12]Functional Study'!#REF!</definedName>
    <definedName name="Acct41011S" localSheetId="18">'[12]Functional Study'!#REF!</definedName>
    <definedName name="Acct41011S">'[12]Functional Study'!#REF!</definedName>
    <definedName name="Acct41011SE" localSheetId="18">'[12]Functional Study'!#REF!</definedName>
    <definedName name="Acct41011SE">'[12]Functional Study'!#REF!</definedName>
    <definedName name="Acct41011SG1" localSheetId="18">'[12]Functional Study'!#REF!</definedName>
    <definedName name="Acct41011SG1">'[12]Functional Study'!#REF!</definedName>
    <definedName name="Acct41011SG2" localSheetId="18">'[12]Functional Study'!#REF!</definedName>
    <definedName name="Acct41011SG2">'[12]Functional Study'!#REF!</definedName>
    <definedName name="ACCT41011SGCT" localSheetId="18">'[12]Functional Study'!#REF!</definedName>
    <definedName name="ACCT41011SGCT">'[12]Functional Study'!#REF!</definedName>
    <definedName name="Acct41011SGPP" localSheetId="18">'[12]Functional Study'!#REF!</definedName>
    <definedName name="Acct41011SGPP">'[12]Functional Study'!#REF!</definedName>
    <definedName name="Acct41011SNP" localSheetId="18">'[12]Functional Study'!#REF!</definedName>
    <definedName name="Acct41011SNP">'[12]Functional Study'!#REF!</definedName>
    <definedName name="ACCT41011SNPD" localSheetId="18">'[12]Functional Study'!#REF!</definedName>
    <definedName name="ACCT41011SNPD">'[12]Functional Study'!#REF!</definedName>
    <definedName name="Acct41011SO" localSheetId="18">'[12]Functional Study'!#REF!</definedName>
    <definedName name="Acct41011SO">'[12]Functional Study'!#REF!</definedName>
    <definedName name="Acct41011TROJP" localSheetId="18">'[12]Functional Study'!#REF!</definedName>
    <definedName name="Acct41011TROJP">'[12]Functional Study'!#REF!</definedName>
    <definedName name="Acct41111" localSheetId="18">'[12]Functional Study'!#REF!</definedName>
    <definedName name="Acct41111">'[12]Functional Study'!#REF!</definedName>
    <definedName name="Acct41111BADDEBT" localSheetId="18">'[12]Functional Study'!#REF!</definedName>
    <definedName name="Acct41111BADDEBT">'[12]Functional Study'!#REF!</definedName>
    <definedName name="Acct41111DITEXP" localSheetId="18">'[12]Functional Study'!#REF!</definedName>
    <definedName name="Acct41111DITEXP">'[12]Functional Study'!#REF!</definedName>
    <definedName name="Acct41111S" localSheetId="18">'[12]Functional Study'!#REF!</definedName>
    <definedName name="Acct41111S">'[12]Functional Study'!#REF!</definedName>
    <definedName name="Acct41111SE" localSheetId="18">'[12]Functional Study'!#REF!</definedName>
    <definedName name="Acct41111SE">'[12]Functional Study'!#REF!</definedName>
    <definedName name="Acct41111SG1" localSheetId="18">'[12]Functional Study'!#REF!</definedName>
    <definedName name="Acct41111SG1">'[12]Functional Study'!#REF!</definedName>
    <definedName name="Acct41111SG2" localSheetId="18">'[12]Functional Study'!#REF!</definedName>
    <definedName name="Acct41111SG2">'[12]Functional Study'!#REF!</definedName>
    <definedName name="Acct41111SG3" localSheetId="18">'[12]Functional Study'!#REF!</definedName>
    <definedName name="Acct41111SG3">'[12]Functional Study'!#REF!</definedName>
    <definedName name="Acct41111SGPP" localSheetId="18">'[12]Functional Study'!#REF!</definedName>
    <definedName name="Acct41111SGPP">'[12]Functional Study'!#REF!</definedName>
    <definedName name="Acct41111SNP" localSheetId="18">'[12]Functional Study'!#REF!</definedName>
    <definedName name="Acct41111SNP">'[12]Functional Study'!#REF!</definedName>
    <definedName name="Acct41111SNTP" localSheetId="18">'[12]Functional Study'!#REF!</definedName>
    <definedName name="Acct41111SNTP">'[12]Functional Study'!#REF!</definedName>
    <definedName name="Acct41111SO" localSheetId="18">'[12]Functional Study'!#REF!</definedName>
    <definedName name="Acct41111SO">'[12]Functional Study'!#REF!</definedName>
    <definedName name="Acct41111TROJP" localSheetId="18">'[12]Functional Study'!#REF!</definedName>
    <definedName name="Acct41111TROJP">'[12]Functional Study'!#REF!</definedName>
    <definedName name="Acct411BADDEBT" localSheetId="18">'[12]Functional Study'!#REF!</definedName>
    <definedName name="Acct411BADDEBT">'[12]Functional Study'!#REF!</definedName>
    <definedName name="Acct411DGP" localSheetId="18">'[12]Functional Study'!#REF!</definedName>
    <definedName name="Acct411DGP">'[12]Functional Study'!#REF!</definedName>
    <definedName name="Acct411DGU" localSheetId="18">'[12]Functional Study'!#REF!</definedName>
    <definedName name="Acct411DGU">'[12]Functional Study'!#REF!</definedName>
    <definedName name="Acct411DITEXP" localSheetId="18">'[12]Functional Study'!#REF!</definedName>
    <definedName name="Acct411DITEXP">'[12]Functional Study'!#REF!</definedName>
    <definedName name="Acct411DNPP" localSheetId="18">'[12]Functional Study'!#REF!</definedName>
    <definedName name="Acct411DNPP">'[12]Functional Study'!#REF!</definedName>
    <definedName name="Acct411DNPTP" localSheetId="18">'[12]Functional Study'!#REF!</definedName>
    <definedName name="Acct411DNPTP">'[12]Functional Study'!#REF!</definedName>
    <definedName name="Acct411S" localSheetId="18">'[12]Functional Study'!#REF!</definedName>
    <definedName name="Acct411S">'[12]Functional Study'!#REF!</definedName>
    <definedName name="Acct411SE" localSheetId="18">'[12]Functional Study'!#REF!</definedName>
    <definedName name="Acct411SE">'[12]Functional Study'!#REF!</definedName>
    <definedName name="Acct411SG" localSheetId="18">'[12]Functional Study'!#REF!</definedName>
    <definedName name="Acct411SG">'[12]Functional Study'!#REF!</definedName>
    <definedName name="Acct411SGPP" localSheetId="18">'[12]Functional Study'!#REF!</definedName>
    <definedName name="Acct411SGPP">'[12]Functional Study'!#REF!</definedName>
    <definedName name="Acct411SO" localSheetId="18">'[12]Functional Study'!#REF!</definedName>
    <definedName name="Acct411SO">'[12]Functional Study'!#REF!</definedName>
    <definedName name="Acct411TROJP" localSheetId="18">'[12]Functional Study'!#REF!</definedName>
    <definedName name="Acct411TROJP">'[12]Functional Study'!#REF!</definedName>
    <definedName name="Acct447DGU" localSheetId="18">'[10]Func Study'!#REF!</definedName>
    <definedName name="Acct447DGU">'[10]Func Study'!#REF!</definedName>
    <definedName name="Acct448S">'[11]Func Study'!$H$274</definedName>
    <definedName name="Acct450S">'[11]Func Study'!$H$302</definedName>
    <definedName name="Acct451S">'[11]Func Study'!$H$307</definedName>
    <definedName name="Acct454S">'[11]Func Study'!$H$318</definedName>
    <definedName name="Acct456S">'[11]Func Study'!$H$325</definedName>
    <definedName name="Acct510" localSheetId="18">'[11]Func Study'!#REF!</definedName>
    <definedName name="Acct510">'[11]Func Study'!#REF!</definedName>
    <definedName name="Acct510DNPPSU" localSheetId="18">'[11]Func Study'!#REF!</definedName>
    <definedName name="Acct510DNPPSU">'[11]Func Study'!#REF!</definedName>
    <definedName name="ACCT510JBG" localSheetId="18">'[11]Func Study'!#REF!</definedName>
    <definedName name="ACCT510JBG">'[11]Func Study'!#REF!</definedName>
    <definedName name="ACCT510SSGCH" localSheetId="18">'[11]Func Study'!#REF!</definedName>
    <definedName name="ACCT510SSGCH">'[11]Func Study'!#REF!</definedName>
    <definedName name="ACCT557CAGE">'[11]Func Study'!$H$683</definedName>
    <definedName name="Acct557CT">'[11]Func Study'!$H$681</definedName>
    <definedName name="Acct580">'[11]Func Study'!$H$791</definedName>
    <definedName name="Acct581">'[11]Func Study'!$H$796</definedName>
    <definedName name="Acct582">'[11]Func Study'!$H$801</definedName>
    <definedName name="Acct583">'[11]Func Study'!$H$806</definedName>
    <definedName name="Acct584">'[11]Func Study'!$H$811</definedName>
    <definedName name="Acct585">'[11]Func Study'!$H$816</definedName>
    <definedName name="Acct586">'[11]Func Study'!$H$821</definedName>
    <definedName name="Acct587">'[11]Func Study'!$H$826</definedName>
    <definedName name="Acct588">'[11]Func Study'!$H$831</definedName>
    <definedName name="Acct589">'[11]Func Study'!$H$836</definedName>
    <definedName name="Acct590">'[11]Func Study'!$H$841</definedName>
    <definedName name="Acct591">'[11]Func Study'!$H$846</definedName>
    <definedName name="Acct592">'[11]Func Study'!$H$851</definedName>
    <definedName name="Acct593">'[11]Func Study'!$H$856</definedName>
    <definedName name="Acct594">'[11]Func Study'!$H$861</definedName>
    <definedName name="Acct595">'[11]Func Study'!$H$866</definedName>
    <definedName name="Acct596">'[11]Func Study'!$H$876</definedName>
    <definedName name="Acct597">'[11]Func Study'!$H$881</definedName>
    <definedName name="Acct598">'[11]Func Study'!$H$886</definedName>
    <definedName name="ACCT904SG" localSheetId="18">'[13]Functional Study'!#REF!</definedName>
    <definedName name="ACCT904SG">'[13]Functional Study'!#REF!</definedName>
    <definedName name="AcctAGA">'[11]Func Study'!$H$296</definedName>
    <definedName name="AcctDFAD" localSheetId="18">'[11]Func Study'!#REF!</definedName>
    <definedName name="AcctDFAD">'[11]Func Study'!#REF!</definedName>
    <definedName name="AcctDFAP" localSheetId="18">'[11]Func Study'!#REF!</definedName>
    <definedName name="AcctDFAP">'[11]Func Study'!#REF!</definedName>
    <definedName name="AcctDFAT" localSheetId="18">'[11]Func Study'!#REF!</definedName>
    <definedName name="AcctDFAT">'[11]Func Study'!#REF!</definedName>
    <definedName name="AcctTable">[14]Variables!$AK$42:$AK$396</definedName>
    <definedName name="AcctTS0">'[11]Func Study'!$H$1686</definedName>
    <definedName name="ActualROR">'[10]G+T+D+R+M'!$H$61</definedName>
    <definedName name="ADFIT">[8]SUMCOST!$S$26:$T$27</definedName>
    <definedName name="Adjs2avg" localSheetId="27">[15]Inputs!$L$255:'[15]Inputs'!$T$505</definedName>
    <definedName name="Adjs2avg" localSheetId="26">[15]Inputs!$L$255:'[15]Inputs'!$T$505</definedName>
    <definedName name="Adjs2avg" localSheetId="31">[15]Inputs!$L$255:'[15]Inputs'!$T$505</definedName>
    <definedName name="Adjs2avg">[15]Inputs!$L$255:'[15]Inputs'!$T$505</definedName>
    <definedName name="afactor">[8]ASSIGN!$AI$39:$AN$44</definedName>
    <definedName name="AGExp_C">[8]SUMCOST!$S$973:$U$974</definedName>
    <definedName name="AGExp_D">[8]SUMCOST!$S$971:$U$972</definedName>
    <definedName name="AGExp_O">[8]SUMCOST!$S$975:$U$976</definedName>
    <definedName name="AGExp_P">[8]SUMCOST!$S$967:$U$968</definedName>
    <definedName name="AGExp_T">[8]SUMCOST!$S$969:$U$970</definedName>
    <definedName name="APR" localSheetId="38">#REF!</definedName>
    <definedName name="APR" localSheetId="39">#REF!</definedName>
    <definedName name="APR" localSheetId="1">#REF!</definedName>
    <definedName name="APR" localSheetId="18">[16]Backup!#REF!</definedName>
    <definedName name="APR">[16]Backup!#REF!</definedName>
    <definedName name="APRT" localSheetId="18">#REF!</definedName>
    <definedName name="APRT">#REF!</definedName>
    <definedName name="AUG" localSheetId="38">#REF!</definedName>
    <definedName name="AUG" localSheetId="39">#REF!</definedName>
    <definedName name="AUG" localSheetId="1">#REF!</definedName>
    <definedName name="AUG" localSheetId="18">[16]Backup!#REF!</definedName>
    <definedName name="AUG">[16]Backup!#REF!</definedName>
    <definedName name="AUGT" localSheetId="18">#REF!</definedName>
    <definedName name="AUGT">#REF!</definedName>
    <definedName name="_xlnm.Auto_Close" localSheetId="7">[0]!Exit_Menu</definedName>
    <definedName name="_xlnm.Auto_Close" localSheetId="18">[0]!Exit_Menu</definedName>
    <definedName name="_xlnm.Auto_Close">[0]!Exit_Menu</definedName>
    <definedName name="_xlnm.Auto_Open" localSheetId="7">[0]!Menu_S</definedName>
    <definedName name="_xlnm.Auto_Open" localSheetId="18">[0]!Menu_S</definedName>
    <definedName name="_xlnm.Auto_Open">[0]!Menu_S</definedName>
    <definedName name="AvgFactors">[14]Factors!$B$3:$P$99</definedName>
    <definedName name="BACK1" localSheetId="18">#REF!</definedName>
    <definedName name="BACK1">#REF!</definedName>
    <definedName name="BACK2" localSheetId="18">#REF!</definedName>
    <definedName name="BACK2">#REF!</definedName>
    <definedName name="BACK3" localSheetId="18">#REF!</definedName>
    <definedName name="BACK3">#REF!</definedName>
    <definedName name="BACKUP1" localSheetId="18">#REF!</definedName>
    <definedName name="BACKUP1">#REF!</definedName>
    <definedName name="Base1_Billing2" localSheetId="4">'[17]Pres &amp; Prop Rev'!$N$8</definedName>
    <definedName name="Base1_Billing2" localSheetId="5">'[18]Pres &amp; Prop Rev'!$N$8</definedName>
    <definedName name="Base1_Billing2">'[19]Pres &amp; Prop Rev'!$N$8</definedName>
    <definedName name="BOOKADJ" localSheetId="18">#REF!</definedName>
    <definedName name="BOOKADJ">#REF!</definedName>
    <definedName name="C_C_input">[8]ASSIGN!$BC$36:$BC$48,[8]ASSIGN!$BD$50:$BD$51,[8]ASSIGN!$BG$50:$BQ$51,[8]ASSIGN!$BD$54:$BD$60,[8]ASSIGN!$BG$54:$BR$60</definedName>
    <definedName name="C_D_input">[8]ASSIGN!$BC$18:$BD$28,[8]ASSIGN!$BG$18:$BR$28</definedName>
    <definedName name="C_E_input">[8]ASSIGN!$BC$11:$BD$15,[8]ASSIGN!$BG$11:$BR$15</definedName>
    <definedName name="C_R_input">[8]ASSIGN!$BD$63:$BD$87,[8]ASSIGN!$BG$63:$BR$87</definedName>
    <definedName name="C_S_input">[8]ASSIGN!$BC$95:$BD$147,[8]ASSIGN!$BG$95:$BR$147</definedName>
    <definedName name="cap" localSheetId="1">[20]Readings!$B$2</definedName>
    <definedName name="cap">[21]Readings!$B$2</definedName>
    <definedName name="Check" localSheetId="18">#REF!</definedName>
    <definedName name="Check">#REF!</definedName>
    <definedName name="class">[8]ASSIGN!$BC$165:$BR$216</definedName>
    <definedName name="Classification">'[11]Func Study'!$AB$251</definedName>
    <definedName name="columnheader">SUBSTITUTE(ADDRESS(1,COLUMN(),4),1,"")</definedName>
    <definedName name="COMADJ" localSheetId="18">#REF!</definedName>
    <definedName name="COMADJ">#REF!</definedName>
    <definedName name="COMP" localSheetId="18">#REF!</definedName>
    <definedName name="COMP">#REF!</definedName>
    <definedName name="COMPACTUAL" localSheetId="18">#REF!</definedName>
    <definedName name="COMPACTUAL">#REF!</definedName>
    <definedName name="COMPT" localSheetId="18">#REF!</definedName>
    <definedName name="COMPT">#REF!</definedName>
    <definedName name="COMPWEATHER" localSheetId="18">#REF!</definedName>
    <definedName name="COMPWEATHER">#REF!</definedName>
    <definedName name="COSFacVal">[11]Inputs!$R$5</definedName>
    <definedName name="Crit10A">[8]SUMCOST!$AD$261:$AF$262</definedName>
    <definedName name="Crit10B">[8]SUMCOST!$AD$263:$AF$264</definedName>
    <definedName name="Crit10C">[8]SUMCOST!$AD$265:$AF$266</definedName>
    <definedName name="Crit10D">[8]SUMCOST!$AD$267:$AF$268</definedName>
    <definedName name="Crit11A">[8]SUMCOST!$AD$285:$AF$286</definedName>
    <definedName name="Crit11B">[8]SUMCOST!$AD$287:$AF$288</definedName>
    <definedName name="Crit11C">[8]SUMCOST!$AD$289:$AF$290</definedName>
    <definedName name="Crit11D">[8]SUMCOST!$AD$291:$AF$292</definedName>
    <definedName name="Crit12A">[8]SUMCOST!$AD$308:$AF$309</definedName>
    <definedName name="Crit12B">[8]SUMCOST!$AD$310:$AF$311</definedName>
    <definedName name="Crit12C">[8]SUMCOST!$AD$312:$AF$313</definedName>
    <definedName name="Crit12D">[8]SUMCOST!$AD$314:$AF$315</definedName>
    <definedName name="Crit13A">[8]SUMCOST!$AD$330:$AF$331</definedName>
    <definedName name="Crit13B">[8]SUMCOST!$AD$332:$AF$333</definedName>
    <definedName name="Crit13C">[8]SUMCOST!$AD$334:$AF$335</definedName>
    <definedName name="Crit13D">[8]SUMCOST!$AD$336:$AF$337</definedName>
    <definedName name="Crit14A">[8]SUMCOST!$AD$350:$AF$351</definedName>
    <definedName name="Crit14B">[8]SUMCOST!$AD$352:$AF$353</definedName>
    <definedName name="Crit14C">[8]SUMCOST!$AD$354:$AF$355</definedName>
    <definedName name="Crit14D">[8]SUMCOST!$AD$356:$AF$357</definedName>
    <definedName name="Crit14E">[8]SUMCOST!$AD$358:$AF$359</definedName>
    <definedName name="Crit14F">[8]SUMCOST!$AD$360:$AF$361</definedName>
    <definedName name="Crit14G">[8]SUMCOST!$AD$362:$AF$363</definedName>
    <definedName name="Crit14H">[8]SUMCOST!$AD$364:$AF$365</definedName>
    <definedName name="Crit14I">[8]SUMCOST!$AD$366:$AF$367</definedName>
    <definedName name="Crit14J">[8]SUMCOST!$AD$368:$AF$369</definedName>
    <definedName name="Crit14K">[8]SUMCOST!$AD$370:$AF$371</definedName>
    <definedName name="Crit14L">[8]SUMCOST!$AD$372:$AF$373</definedName>
    <definedName name="Crit14M">[8]SUMCOST!$AD$374:$AF$375</definedName>
    <definedName name="Crit15A">[8]SUMCOST!$AD$380:$AF$381</definedName>
    <definedName name="Crit15B">[8]SUMCOST!$AD$382:$AF$383</definedName>
    <definedName name="Crit15C">[8]SUMCOST!$AD$384:$AF$385</definedName>
    <definedName name="Crit15D">[8]SUMCOST!$AD$386:$AF$387</definedName>
    <definedName name="Crit17A">[8]SUMCOST!$AD$40:$AF$41</definedName>
    <definedName name="Crit17B">[8]SUMCOST!$AD$42:$AF$43</definedName>
    <definedName name="Crit17C">[8]SUMCOST!$AD$44:$AF$45</definedName>
    <definedName name="Crit17D">[8]SUMCOST!$AD$46:$AF$47</definedName>
    <definedName name="Crit17E">[8]SUMCOST!$AD$48:$AF$49</definedName>
    <definedName name="Crit17F">[8]SUMCOST!$AD$50:$AF$51</definedName>
    <definedName name="Crit17G">[8]SUMCOST!$AD$52:$AF$53</definedName>
    <definedName name="Crit17H">[8]SUMCOST!$AD$54:$AF$55</definedName>
    <definedName name="Crit18A">[8]SUMCOST!$AD$76:$AF$77</definedName>
    <definedName name="Crit18B">[8]SUMCOST!$AD$78:$AF$79</definedName>
    <definedName name="Crit18C">[8]SUMCOST!$AD$80:$AF$81</definedName>
    <definedName name="Crit18D">[8]SUMCOST!$AD$82:$AF$83</definedName>
    <definedName name="Crit18E">[8]SUMCOST!$AD$84:$AF$85</definedName>
    <definedName name="Crit18F">[8]SUMCOST!$AD$86:$AF$87</definedName>
    <definedName name="Crit18G">[8]SUMCOST!$AD$88:$AF$89</definedName>
    <definedName name="Crit18H">[8]SUMCOST!$AD$90:$AF$91</definedName>
    <definedName name="Crit19A">[8]SUMCOST!$AD$201:$AF$202</definedName>
    <definedName name="Crit19B">[8]SUMCOST!$AD$203:$AF$204</definedName>
    <definedName name="Crit19C">[8]SUMCOST!$AD$205:$AF$206</definedName>
    <definedName name="Crit1A">[8]SUMCOST!$AD$4:$AF$5</definedName>
    <definedName name="Crit1B">[8]SUMCOST!$AD$6:$AF$7</definedName>
    <definedName name="Crit1C">[8]SUMCOST!$AD$8:$AF$9</definedName>
    <definedName name="Crit1D">[8]SUMCOST!$AD$10:$AF$11</definedName>
    <definedName name="Crit20A">[8]SUMCOST!$S$124:$V$125</definedName>
    <definedName name="Crit20AA">[8]SUMCOST!$S$176:$V$177</definedName>
    <definedName name="Crit20AB">[8]SUMCOST!$S$178:$V$179</definedName>
    <definedName name="Crit20AC">[8]SUMCOST!$S$180:$V$181</definedName>
    <definedName name="Crit20AD">[8]SUMCOST!$S$182:$V$183</definedName>
    <definedName name="Crit20AE">[8]SUMCOST!$S$184:$V$185</definedName>
    <definedName name="Crit20B">[8]SUMCOST!$S$126:$V$127</definedName>
    <definedName name="Crit20C">[8]SUMCOST!$S$128:$V$129</definedName>
    <definedName name="crit20D">[8]SUMCOST!$S$130:$V$131</definedName>
    <definedName name="crit20E">[8]SUMCOST!$S$132:$V$133</definedName>
    <definedName name="crit20F">[8]SUMCOST!$S$134:$V$135</definedName>
    <definedName name="crit20G">[8]SUMCOST!$S$136:$V$137</definedName>
    <definedName name="crit20H">[8]SUMCOST!$S$138:$V$139</definedName>
    <definedName name="crit20I">[8]SUMCOST!$S$140:$V$141</definedName>
    <definedName name="crit20J">[8]SUMCOST!$S$142:$V$143</definedName>
    <definedName name="crit20K">[8]SUMCOST!$S$144:$V$145</definedName>
    <definedName name="crit20L">[8]SUMCOST!$S$146:$V$147</definedName>
    <definedName name="crit20M">[8]SUMCOST!$S$148:$V$149</definedName>
    <definedName name="crit20N">[8]SUMCOST!$S$150:$V$151</definedName>
    <definedName name="crit20O">[8]SUMCOST!$S$152:$V$153</definedName>
    <definedName name="crit20P">[8]SUMCOST!$S$154:$V$155</definedName>
    <definedName name="crit20Q">[8]SUMCOST!$S$156:$V$157</definedName>
    <definedName name="crit20R">[8]SUMCOST!$S$158:$V$159</definedName>
    <definedName name="Crit20S">[8]SUMCOST!$S$160:$V$161</definedName>
    <definedName name="crit20T">[8]SUMCOST!$S$162:$V$163</definedName>
    <definedName name="crit20U">[8]SUMCOST!$S$164:$V$165</definedName>
    <definedName name="crit20V">[8]SUMCOST!$S$166:$V$167</definedName>
    <definedName name="crit20W">[8]SUMCOST!$S$168:$V$169</definedName>
    <definedName name="crit20X">[8]SUMCOST!$S$170:$V$171</definedName>
    <definedName name="crit20Y">[8]SUMCOST!$S$172:$V$173</definedName>
    <definedName name="crit20Z">[8]SUMCOST!$S$174:$V$175</definedName>
    <definedName name="Crit21A">[8]SUMCOST!$AD$110:$AF$111</definedName>
    <definedName name="Crit21B">[8]SUMCOST!$AD$112:$AF$113</definedName>
    <definedName name="Crit21C">[8]SUMCOST!$AD$114:$AF$115</definedName>
    <definedName name="Crit22A">[8]SUMCOST!$AD$233:$AF$234</definedName>
    <definedName name="Crit22B">[8]SUMCOST!$AD$235:$AF$236</definedName>
    <definedName name="Crit22C">[8]SUMCOST!$AD$237:$AF$238</definedName>
    <definedName name="Crit22D">[8]SUMCOST!$AD$239:$AF$240</definedName>
    <definedName name="Crit23A">[8]SUMCOST!$AD$390:$AF$391</definedName>
    <definedName name="Crit23B">[8]SUMCOST!$AD$392:$AF$393</definedName>
    <definedName name="Crit23C">[8]SUMCOST!$AD$394:$AF$395</definedName>
    <definedName name="Crit23D">[8]SUMCOST!$AD$396:$AF$397</definedName>
    <definedName name="Crit23E">[8]SUMCOST!$AD$398:$AF$399</definedName>
    <definedName name="Crit23F">[8]SUMCOST!$AD$400:$AF$401</definedName>
    <definedName name="Crit23G">[8]SUMCOST!$AD$402:$AF$403</definedName>
    <definedName name="Crit23H">[8]SUMCOST!$AD$404:$AF$405</definedName>
    <definedName name="Crit23I">[8]SUMCOST!$AD$406:$AF$407</definedName>
    <definedName name="Crit23J">[8]SUMCOST!$AD$408:$AF$409</definedName>
    <definedName name="Crit23K">[8]SUMCOST!$AD$410:$AF$411</definedName>
    <definedName name="Crit23L">[8]SUMCOST!$AD$412:$AF$413</definedName>
    <definedName name="Crit23M">[8]SUMCOST!$AD$414:$AF$415</definedName>
    <definedName name="Crit23N">[8]SUMCOST!$AD$416:$AF$417</definedName>
    <definedName name="Crit23O">[8]SUMCOST!$AD$418:$AF$419</definedName>
    <definedName name="Crit23P">[8]SUMCOST!$AD$420:$AF$421</definedName>
    <definedName name="Crit23Q">[8]SUMCOST!$AD$422:$AF$423</definedName>
    <definedName name="Crit23R">[8]SUMCOST!$AD$424:$AF$425</definedName>
    <definedName name="Crit23S">[8]SUMCOST!$AD$426:$AF$427</definedName>
    <definedName name="Crit23T">[8]SUMCOST!$AD$428:$AF$429</definedName>
    <definedName name="Crit23U">[8]SUMCOST!$AD$430:$AF$431</definedName>
    <definedName name="Crit23V">[8]SUMCOST!$AD$432:$AF$433</definedName>
    <definedName name="Crit24A">[8]SUMCOST!$AD$452:$AF$457</definedName>
    <definedName name="Crit24B">[8]SUMCOST!$AD$458:$AF$463</definedName>
    <definedName name="Crit24C">[8]SUMCOST!$AD$464:$AF$469</definedName>
    <definedName name="Crit24D">[8]SUMCOST!$AD$470:$AF$475</definedName>
    <definedName name="Crit24E">[8]SUMCOST!$AD$476:$AF$481</definedName>
    <definedName name="Crit2A">[8]SUMCOST!$AD$22:$AF$23</definedName>
    <definedName name="Crit2B">[8]SUMCOST!$AD$24:$AF$25</definedName>
    <definedName name="Crit2C">[8]SUMCOST!$AD$26:$AF$27</definedName>
    <definedName name="Crit2D">[8]SUMCOST!$AD$28:$AF$29</definedName>
    <definedName name="Crit3A">[8]SUMCOST!$AD$58:$AF$59</definedName>
    <definedName name="Crit3B">[8]SUMCOST!$AD$60:$AF$61</definedName>
    <definedName name="Crit3C">[8]SUMCOST!$AD$62:$AF$63</definedName>
    <definedName name="Crit3D">[8]SUMCOST!$AD$64:$AF$65</definedName>
    <definedName name="Crit4A">[8]SUMCOST!$AD$94:$AF$95</definedName>
    <definedName name="Crit4B">[8]SUMCOST!$AD$96:$AF$97</definedName>
    <definedName name="Crit4C">[8]SUMCOST!$AD$98:$AF$99</definedName>
    <definedName name="Crit4D">[8]SUMCOST!$AD$100:$AF$101</definedName>
    <definedName name="Crit5A">[8]SUMCOST!$AD$128:$AF$129</definedName>
    <definedName name="Crit5B">[8]SUMCOST!$AD$130:$AF$131</definedName>
    <definedName name="Crit5C">[8]SUMCOST!$AD$132:$AF$133</definedName>
    <definedName name="Crit5D">[8]SUMCOST!$AD$134:$AF$135</definedName>
    <definedName name="Crit6A">[8]SUMCOST!$AD$144:$AF$145</definedName>
    <definedName name="Crit6B">[8]SUMCOST!$AD$146:$AF$147</definedName>
    <definedName name="Crit6C">[8]SUMCOST!$AD$148:$AF$149</definedName>
    <definedName name="Crit6D">[8]SUMCOST!$AD$150:$AF$151</definedName>
    <definedName name="Crit7A">[8]SUMCOST!$AD$160:$AF$161</definedName>
    <definedName name="Crit7B">[8]SUMCOST!$AD$162:$AF$163</definedName>
    <definedName name="Crit7C">[8]SUMCOST!$AD$164:$AF$165</definedName>
    <definedName name="Crit7D">[8]SUMCOST!$AD$166:$AF$167</definedName>
    <definedName name="Crit8A">[8]SUMCOST!$AD$183:$AF$184</definedName>
    <definedName name="Crit8B">[8]SUMCOST!$AD$185:$AF$186</definedName>
    <definedName name="Crit8C">[8]SUMCOST!$AD$187:$AF$188</definedName>
    <definedName name="Crit8D">[8]SUMCOST!$AD$189:$AF$190</definedName>
    <definedName name="Crit9A">[8]SUMCOST!$AD$215:$AF$216</definedName>
    <definedName name="Crit9B">[8]SUMCOST!$AD$217:$AF$218</definedName>
    <definedName name="Crit9C">[8]SUMCOST!$AD$219:$AF$220</definedName>
    <definedName name="Crit9D">[8]SUMCOST!$AD$221:$AF$222</definedName>
    <definedName name="_xlnm.Database" localSheetId="5">#REF!</definedName>
    <definedName name="_xlnm.Database" localSheetId="18">[22]Invoice!#REF!</definedName>
    <definedName name="_xlnm.Database">[22]Invoice!#REF!</definedName>
    <definedName name="Database_MI">#REF!</definedName>
    <definedName name="DatabaseA">[8]ASSIGN!$J$5:$AC$1501</definedName>
    <definedName name="DATE" localSheetId="18">[23]Jan!#REF!</definedName>
    <definedName name="DATE">[23]Jan!#REF!</definedName>
    <definedName name="DEC" localSheetId="38">#REF!</definedName>
    <definedName name="DEC" localSheetId="39">#REF!</definedName>
    <definedName name="DEC" localSheetId="1">#REF!</definedName>
    <definedName name="DEC" localSheetId="18">[16]Backup!#REF!</definedName>
    <definedName name="DEC">[16]Backup!#REF!</definedName>
    <definedName name="DECT" localSheetId="18">#REF!</definedName>
    <definedName name="DECT">#REF!</definedName>
    <definedName name="Demand" localSheetId="19">[24]Inputs!$D$8</definedName>
    <definedName name="Demand">[10]Inputs!$D$8</definedName>
    <definedName name="Demand2">[24]Inputs!$D$11</definedName>
    <definedName name="Depr_D">[8]SUMCOST!$S$981:$U$982</definedName>
    <definedName name="Depr_O">[8]SUMCOST!$S$983:$U$984</definedName>
    <definedName name="Depr_P">[8]SUMCOST!$S$977:$U$978</definedName>
    <definedName name="Depr_T">[8]SUMCOST!$S$979:$U$980</definedName>
    <definedName name="DeprO_S04">[8]SUMCOST!$S$1296:$V$1297</definedName>
    <definedName name="DeprO_S05">[8]SUMCOST!$S$1298:$V$1299</definedName>
    <definedName name="DeprO_S06">[8]SUMCOST!$S$1300:$V$1301</definedName>
    <definedName name="DeprO_S21">[8]SUMCOST!$S$1302:$V$1303</definedName>
    <definedName name="DeprO_S22">[8]SUMCOST!$S$1304:$V$1305</definedName>
    <definedName name="DeprO_S23">[8]SUMCOST!$S$1306:$V$1307</definedName>
    <definedName name="dfactor">[8]ASSIGN!$AI$25:$AY$36</definedName>
    <definedName name="Dis">'[11]Func Study'!$AB$250</definedName>
    <definedName name="DisFac">'[11]Func Dist Factor Table'!$A$11:$G$25</definedName>
    <definedName name="Dist_factor" localSheetId="18">#REF!</definedName>
    <definedName name="Dist_factor">#REF!</definedName>
    <definedName name="DistNE_DPlt">[8]SUMCOST!$S$1834:$V$1835</definedName>
    <definedName name="DistNE_S16">[8]SUMCOST!$S$1837:$V$1838</definedName>
    <definedName name="DistNE_S17">[8]SUMCOST!$S$1840:$V$1841</definedName>
    <definedName name="DistPeakMethod" localSheetId="18">[13]Inputs!#REF!</definedName>
    <definedName name="DistPeakMethod">[13]Inputs!#REF!</definedName>
    <definedName name="DistRB_DPlt">[8]SUMCOST!$S$1831:$V$1832</definedName>
    <definedName name="DUDE" localSheetId="3" hidden="1">#REF!</definedName>
    <definedName name="DUDE" localSheetId="14" hidden="1">#REF!</definedName>
    <definedName name="DUDE" localSheetId="35" hidden="1">#REF!</definedName>
    <definedName name="DUDE" localSheetId="7" hidden="1">#REF!</definedName>
    <definedName name="DUDE" localSheetId="1" hidden="1">#REF!</definedName>
    <definedName name="DUDE" localSheetId="18" hidden="1">#REF!</definedName>
    <definedName name="DUDE" localSheetId="17" hidden="1">#REF!</definedName>
    <definedName name="DUDE" localSheetId="30" hidden="1">#REF!</definedName>
    <definedName name="DUDE" localSheetId="27" hidden="1">#REF!</definedName>
    <definedName name="DUDE" localSheetId="26" hidden="1">#REF!</definedName>
    <definedName name="DUDE" localSheetId="31" hidden="1">#REF!</definedName>
    <definedName name="DUDE" hidden="1">#REF!</definedName>
    <definedName name="energy" localSheetId="1">[20]Readings!$B$3</definedName>
    <definedName name="energy">[21]Readings!$B$3</definedName>
    <definedName name="Engy" localSheetId="19">[24]Inputs!$D$9</definedName>
    <definedName name="Engy">[10]Inputs!$D$9</definedName>
    <definedName name="Engy2">[24]Inputs!$D$12</definedName>
    <definedName name="ERM" localSheetId="4">'[17]Rate Design'!$D$45</definedName>
    <definedName name="ERM" localSheetId="5">'[18]Rate Design'!$D$45</definedName>
    <definedName name="ERM">'[19]Rate Design'!$D$45</definedName>
    <definedName name="F_a_input">[8]ASSIGN!$AI$41:$AI$44,[8]ASSIGN!$AK$41:$AN$44,[8]ASSIGN!$AK$39:$AN$39</definedName>
    <definedName name="F_d_input">[8]ASSIGN!$AI$27:$AI$36,[8]ASSIGN!$AK$27:$AY$36,[8]ASSIGN!$AK$25:$AY$25</definedName>
    <definedName name="F_i_input">[8]ASSIGN!$AI$49:$AI$51,[8]ASSIGN!$AK$49:$AN$51,[8]ASSIGN!$AK$47:$AN$47</definedName>
    <definedName name="F_m_input">[8]ASSIGN!$AI$63:$AI$66,[8]ASSIGN!$AK$63:$AN$66,[8]ASSIGN!$AK$61:$AN$61</definedName>
    <definedName name="F_p_input">[8]ASSIGN!$AI$12:$AI$15,[8]ASSIGN!$AK$12:$AO$15,[8]ASSIGN!$AK$10:$AO$10</definedName>
    <definedName name="F_s_input">[8]ASSIGN!$AI$56:$AI$58,[8]ASSIGN!$AK$56:$AN$58,[8]ASSIGN!$AK$54:$AN$54</definedName>
    <definedName name="F_t_input">[8]ASSIGN!$AI$20:$AI$22,[8]ASSIGN!$AK$20:$AN$22,[8]ASSIGN!$AK$18:$AN$18</definedName>
    <definedName name="f101top" localSheetId="18">#REF!</definedName>
    <definedName name="f101top">#REF!</definedName>
    <definedName name="f104top" localSheetId="18">#REF!</definedName>
    <definedName name="f104top">#REF!</definedName>
    <definedName name="f138top" localSheetId="18">#REF!</definedName>
    <definedName name="f138top">#REF!</definedName>
    <definedName name="f140top" localSheetId="18">#REF!</definedName>
    <definedName name="f140top">#REF!</definedName>
    <definedName name="Factorck">'[11]COS Factor Table'!$O$15:$O$113</definedName>
    <definedName name="FactorType">[14]Variables!$AK$2:$AL$12</definedName>
    <definedName name="FACTP" localSheetId="18">#REF!</definedName>
    <definedName name="FACTP">#REF!</definedName>
    <definedName name="FactSum">'[11]COS Factor Table'!$A$14:$O$113</definedName>
    <definedName name="FEB" localSheetId="38">#REF!</definedName>
    <definedName name="FEB" localSheetId="39">#REF!</definedName>
    <definedName name="FEB" localSheetId="1">#REF!</definedName>
    <definedName name="FEB" localSheetId="18">[16]Backup!#REF!</definedName>
    <definedName name="FEB">[16]Backup!#REF!</definedName>
    <definedName name="FEBT" localSheetId="18">#REF!</definedName>
    <definedName name="FEBT">#REF!</definedName>
    <definedName name="FranchiseTax" localSheetId="27">[15]Variables!$D$26</definedName>
    <definedName name="FranchiseTax" localSheetId="26">[15]Variables!$D$26</definedName>
    <definedName name="FranchiseTax" localSheetId="31">[15]Variables!$D$26</definedName>
    <definedName name="FranchiseTax">[15]Variables!$D$26</definedName>
    <definedName name="Func">'[11]Func Factor Table'!$A$10:$H$77</definedName>
    <definedName name="Func_Ftrs" localSheetId="18">#REF!</definedName>
    <definedName name="Func_Ftrs">#REF!</definedName>
    <definedName name="Func_GTD_Percents" localSheetId="18">#REF!</definedName>
    <definedName name="Func_GTD_Percents">#REF!</definedName>
    <definedName name="Func_MC" localSheetId="18">#REF!</definedName>
    <definedName name="Func_MC">#REF!</definedName>
    <definedName name="Func_Percents" localSheetId="18">#REF!</definedName>
    <definedName name="Func_Percents">#REF!</definedName>
    <definedName name="Func_Rev_Req1" localSheetId="18">#REF!</definedName>
    <definedName name="Func_Rev_Req1">#REF!</definedName>
    <definedName name="Func_Rev_Req2" localSheetId="18">#REF!</definedName>
    <definedName name="Func_Rev_Req2">#REF!</definedName>
    <definedName name="Func_Revenue" localSheetId="18">#REF!</definedName>
    <definedName name="Func_Revenue">#REF!</definedName>
    <definedName name="Function">'[11]Func Study'!$AB$250</definedName>
    <definedName name="GREATER10MW" localSheetId="18">#REF!</definedName>
    <definedName name="GREATER10MW">#REF!</definedName>
    <definedName name="GTD_Percents" localSheetId="18">#REF!</definedName>
    <definedName name="GTD_Percents">#REF!</definedName>
    <definedName name="HEIGHT" localSheetId="18">#REF!</definedName>
    <definedName name="HEIGHT">#REF!</definedName>
    <definedName name="I_ref">[8]ASSIGN!$AK$47:$AN$47</definedName>
    <definedName name="ID_0303_RVN_data" localSheetId="18">#REF!</definedName>
    <definedName name="ID_0303_RVN_data">#REF!</definedName>
    <definedName name="IDcontractsRVN" localSheetId="18">#REF!</definedName>
    <definedName name="IDcontractsRVN">#REF!</definedName>
    <definedName name="ifactor">[8]ASSIGN!$AI$47:$AN$51</definedName>
    <definedName name="INDADJ" localSheetId="18">#REF!</definedName>
    <definedName name="INDADJ">#REF!</definedName>
    <definedName name="INPUT" localSheetId="18">[25]Summary!#REF!</definedName>
    <definedName name="INPUT">[25]Summary!#REF!</definedName>
    <definedName name="InputDB">[8]SUMCOST!$AJ$2</definedName>
    <definedName name="Instructions" localSheetId="18">#REF!</definedName>
    <definedName name="Instructions">#REF!</definedName>
    <definedName name="JAN" localSheetId="38">#REF!</definedName>
    <definedName name="JAN" localSheetId="39">#REF!</definedName>
    <definedName name="JAN" localSheetId="1">#REF!</definedName>
    <definedName name="JAN" localSheetId="18">[16]Backup!#REF!</definedName>
    <definedName name="JAN">[16]Backup!#REF!</definedName>
    <definedName name="JANT" localSheetId="18">#REF!</definedName>
    <definedName name="JANT">#REF!</definedName>
    <definedName name="jjj" localSheetId="14">[26]Inputs!$N$18</definedName>
    <definedName name="jjj">[26]Inputs!$N$18</definedName>
    <definedName name="JUL" localSheetId="38">#REF!</definedName>
    <definedName name="JUL" localSheetId="39">#REF!</definedName>
    <definedName name="JUL" localSheetId="1">#REF!</definedName>
    <definedName name="JUL" localSheetId="18">[16]Backup!#REF!</definedName>
    <definedName name="JUL">[16]Backup!#REF!</definedName>
    <definedName name="JULT" localSheetId="18">#REF!</definedName>
    <definedName name="JULT">#REF!</definedName>
    <definedName name="JUN" localSheetId="38">#REF!</definedName>
    <definedName name="JUN" localSheetId="39">#REF!</definedName>
    <definedName name="JUN" localSheetId="1">#REF!</definedName>
    <definedName name="JUN" localSheetId="18">[16]Backup!#REF!</definedName>
    <definedName name="JUN">[16]Backup!#REF!</definedName>
    <definedName name="JUNT" localSheetId="18">#REF!</definedName>
    <definedName name="JUNT">#REF!</definedName>
    <definedName name="Jurisdiction">[14]Variables!$AK$15</definedName>
    <definedName name="JurisNumber">[14]Variables!$AL$15</definedName>
    <definedName name="K_ref">[8]ASSIGN!$AK$39:$AN$39</definedName>
    <definedName name="LABORMOD" localSheetId="18">#REF!</definedName>
    <definedName name="LABORMOD">#REF!</definedName>
    <definedName name="LABORROLL" localSheetId="18">#REF!</definedName>
    <definedName name="LABORROLL">#REF!</definedName>
    <definedName name="limcount" hidden="1">1</definedName>
    <definedName name="Line_Ext_Credit" localSheetId="18">#REF!</definedName>
    <definedName name="Line_Ext_Credit">#REF!</definedName>
    <definedName name="LinkCos">'[11]JAM Download'!$K$4</definedName>
    <definedName name="LOG" localSheetId="18">[16]Backup!#REF!</definedName>
    <definedName name="LOG">[16]Backup!#REF!</definedName>
    <definedName name="LOSS" localSheetId="18">[16]Backup!#REF!</definedName>
    <definedName name="LOSS">[16]Backup!#REF!</definedName>
    <definedName name="M_ref">[8]ASSIGN!$AK$61:$AN$61</definedName>
    <definedName name="MACTIT" localSheetId="18">#REF!</definedName>
    <definedName name="MACTIT">#REF!</definedName>
    <definedName name="MAR" localSheetId="38">#REF!</definedName>
    <definedName name="MAR" localSheetId="39">#REF!</definedName>
    <definedName name="MAR" localSheetId="1">#REF!</definedName>
    <definedName name="MAR" localSheetId="18">[16]Backup!#REF!</definedName>
    <definedName name="MAR">[16]Backup!#REF!</definedName>
    <definedName name="MART" localSheetId="18">#REF!</definedName>
    <definedName name="MART">#REF!</definedName>
    <definedName name="MAY" localSheetId="38">#REF!</definedName>
    <definedName name="MAY" localSheetId="39">#REF!</definedName>
    <definedName name="MAY" localSheetId="1">#REF!</definedName>
    <definedName name="MAY" localSheetId="18">[16]Backup!#REF!</definedName>
    <definedName name="MAY">[16]Backup!#REF!</definedName>
    <definedName name="MAYT" localSheetId="18">#REF!</definedName>
    <definedName name="MAYT">#REF!</definedName>
    <definedName name="MCtoREV" localSheetId="18">#REF!</definedName>
    <definedName name="MCtoREV">#REF!</definedName>
    <definedName name="MEN" localSheetId="18">[1]Jan!#REF!</definedName>
    <definedName name="MEN">[1]Jan!#REF!</definedName>
    <definedName name="Menu_Begin" localSheetId="18">#REF!</definedName>
    <definedName name="Menu_Begin">#REF!</definedName>
    <definedName name="Menu_Caption" localSheetId="18">#REF!</definedName>
    <definedName name="Menu_Caption">#REF!</definedName>
    <definedName name="Menu_Large" localSheetId="18">#REF!</definedName>
    <definedName name="Menu_Large">#REF!</definedName>
    <definedName name="Menu_Name" localSheetId="18">#REF!</definedName>
    <definedName name="Menu_Name">#REF!</definedName>
    <definedName name="Menu_OnAction" localSheetId="18">#REF!</definedName>
    <definedName name="Menu_OnAction">#REF!</definedName>
    <definedName name="Menu_Parent" localSheetId="18">#REF!</definedName>
    <definedName name="Menu_Parent">#REF!</definedName>
    <definedName name="Menu_Small" localSheetId="18">#REF!</definedName>
    <definedName name="Menu_Small">#REF!</definedName>
    <definedName name="Method" localSheetId="19">[24]Inputs!$C$6</definedName>
    <definedName name="Method">[10]Inputs!$C$6</definedName>
    <definedName name="mfactor">[8]ASSIGN!$AI$61:$AN$66</definedName>
    <definedName name="MONTH" localSheetId="18">[16]Backup!#REF!</definedName>
    <definedName name="MONTH">[16]Backup!#REF!</definedName>
    <definedName name="monthlist" localSheetId="27">[27]Table!$R$2:$S$13</definedName>
    <definedName name="monthlist" localSheetId="26">[27]Table!$R$2:$S$13</definedName>
    <definedName name="monthlist" localSheetId="31">[27]Table!$R$2:$S$13</definedName>
    <definedName name="monthlist">[27]Table!$R$2:$S$13</definedName>
    <definedName name="monthtotals" localSheetId="27">'[27]WA SBC'!$D$40:$O$40</definedName>
    <definedName name="monthtotals" localSheetId="26">'[27]WA SBC'!$D$40:$O$40</definedName>
    <definedName name="monthtotals" localSheetId="31">'[27]WA SBC'!$D$40:$O$40</definedName>
    <definedName name="monthtotals">'[27]WA SBC'!$D$40:$O$40</definedName>
    <definedName name="MTKWH" localSheetId="18">#REF!</definedName>
    <definedName name="MTKWH">#REF!</definedName>
    <definedName name="MTR_YR3">[28]Variables!$E$14</definedName>
    <definedName name="MTREV" localSheetId="18">#REF!</definedName>
    <definedName name="MTREV">#REF!</definedName>
    <definedName name="MULT" localSheetId="18">#REF!</definedName>
    <definedName name="MULT">#REF!</definedName>
    <definedName name="Net_to_Gross_Factor">[11]Inputs!$G$8</definedName>
    <definedName name="NetToGross" localSheetId="27">[15]Variables!$D$23</definedName>
    <definedName name="NetToGross" localSheetId="26">[15]Variables!$D$23</definedName>
    <definedName name="NetToGross" localSheetId="31">[15]Variables!$D$23</definedName>
    <definedName name="NetToGross">[15]Variables!$D$23</definedName>
    <definedName name="NEWMO1" localSheetId="18">[1]Jan!#REF!</definedName>
    <definedName name="NEWMO1">[1]Jan!#REF!</definedName>
    <definedName name="NEWMO2" localSheetId="18">[1]Jan!#REF!</definedName>
    <definedName name="NEWMO2">[1]Jan!#REF!</definedName>
    <definedName name="NEWMONTH" localSheetId="18">[1]Jan!#REF!</definedName>
    <definedName name="NEWMONTH">[1]Jan!#REF!</definedName>
    <definedName name="NORMALIZE" localSheetId="18">#REF!</definedName>
    <definedName name="NORMALIZE">#REF!</definedName>
    <definedName name="NOTES">[29]Plant!#REF!</definedName>
    <definedName name="NOV" localSheetId="38">#REF!</definedName>
    <definedName name="NOV" localSheetId="39">#REF!</definedName>
    <definedName name="NOV" localSheetId="1">#REF!</definedName>
    <definedName name="NOV" localSheetId="18">[16]Backup!#REF!</definedName>
    <definedName name="NOV">[16]Backup!#REF!</definedName>
    <definedName name="NOVT" localSheetId="18">#REF!</definedName>
    <definedName name="NOVT">#REF!</definedName>
    <definedName name="NPC" localSheetId="14">[13]Inputs!$N$18</definedName>
    <definedName name="NPC">[13]Inputs!$N$18</definedName>
    <definedName name="NUM" localSheetId="18">#REF!</definedName>
    <definedName name="NUM">#REF!</definedName>
    <definedName name="OCT" localSheetId="38">#REF!</definedName>
    <definedName name="OCT" localSheetId="39">#REF!</definedName>
    <definedName name="OCT" localSheetId="1">#REF!</definedName>
    <definedName name="OCT" localSheetId="18">[16]Backup!#REF!</definedName>
    <definedName name="OCT">[16]Backup!#REF!</definedName>
    <definedName name="OCTT" localSheetId="18">#REF!</definedName>
    <definedName name="OCTT">#REF!</definedName>
    <definedName name="OMExp_C">[8]SUMCOST!$S$961:$U$962</definedName>
    <definedName name="OMExp_D">[8]SUMCOST!$S$959:$U$960</definedName>
    <definedName name="OMExp_DSM">[8]SUMCOST!$S$963:$U$964</definedName>
    <definedName name="OMExp_O">[8]SUMCOST!$S$965:$U$966</definedName>
    <definedName name="OMExp_P">[8]SUMCOST!$S$955:$U$956</definedName>
    <definedName name="OMExp_T">[8]SUMCOST!$S$957:$U$958</definedName>
    <definedName name="OMExpO_S04">[8]SUMCOST!$S$1282:$V$1283</definedName>
    <definedName name="OMExpO_S05">[8]SUMCOST!$S$1284:$V$1285</definedName>
    <definedName name="OMExpO_S06">[8]SUMCOST!$S$1286:$V$1287</definedName>
    <definedName name="OMExpO_S19">[8]SUMCOST!$S$1288:$V$1289</definedName>
    <definedName name="OMExpO_S21">[8]SUMCOST!$S$1290:$V$1291</definedName>
    <definedName name="OMExpO_S22">[8]SUMCOST!$S$1292:$V$1293</definedName>
    <definedName name="OMExpO_S23">[8]SUMCOST!$S$1294:$V$1295</definedName>
    <definedName name="ONE" localSheetId="18">[1]Jan!#REF!</definedName>
    <definedName name="ONE">[1]Jan!#REF!</definedName>
    <definedName name="option">'[30]Dist Misc'!$F$120</definedName>
    <definedName name="OTax_D">[8]SUMCOST!$S$989:$U$990</definedName>
    <definedName name="OTax_O">[8]SUMCOST!$S$991:$U$992</definedName>
    <definedName name="OTax_P">[8]SUMCOST!$S$985:$U$986</definedName>
    <definedName name="OTax_T">[8]SUMCOST!$S$987:$U$988</definedName>
    <definedName name="OTaxO_S04">[8]SUMCOST!$S$1308:$V$1309</definedName>
    <definedName name="P_ref">[8]ASSIGN!$AK$10:$AS$10</definedName>
    <definedName name="PAGE_1">#REF!</definedName>
    <definedName name="Page1" localSheetId="7">'Page 2, Summary Table (Target)'!$A$1:$L$4</definedName>
    <definedName name="Page1" localSheetId="18">#REF!</definedName>
    <definedName name="Page1">#REF!</definedName>
    <definedName name="Page110" localSheetId="18">#REF!</definedName>
    <definedName name="Page110">#REF!</definedName>
    <definedName name="Page120" localSheetId="18">#REF!</definedName>
    <definedName name="Page120">#REF!</definedName>
    <definedName name="Page2" localSheetId="7">'Page 2, Summary Table (Target)'!$A$5:$L$16</definedName>
    <definedName name="Page2" localSheetId="18">#REF!</definedName>
    <definedName name="Page2">#REF!</definedName>
    <definedName name="PAGE3" localSheetId="18">#REF!</definedName>
    <definedName name="PAGE3">#REF!</definedName>
    <definedName name="Page4" localSheetId="18">#REF!</definedName>
    <definedName name="Page4">#REF!</definedName>
    <definedName name="Page5" localSheetId="18">#REF!</definedName>
    <definedName name="Page5">#REF!</definedName>
    <definedName name="Page6" localSheetId="18">#REF!</definedName>
    <definedName name="Page6">#REF!</definedName>
    <definedName name="Page62" localSheetId="18">[31]TransInvest!#REF!</definedName>
    <definedName name="Page62">[31]TransInvest!#REF!</definedName>
    <definedName name="page65" localSheetId="18">#REF!</definedName>
    <definedName name="page65">#REF!</definedName>
    <definedName name="page66" localSheetId="18">#REF!</definedName>
    <definedName name="page66">#REF!</definedName>
    <definedName name="page67" localSheetId="18">#REF!</definedName>
    <definedName name="page67">#REF!</definedName>
    <definedName name="page68" localSheetId="18">#REF!</definedName>
    <definedName name="page68">#REF!</definedName>
    <definedName name="page69" localSheetId="18">#REF!</definedName>
    <definedName name="page69">#REF!</definedName>
    <definedName name="Page7" localSheetId="18">#REF!</definedName>
    <definedName name="Page7">#REF!</definedName>
    <definedName name="page8" localSheetId="18">#REF!</definedName>
    <definedName name="page8">#REF!</definedName>
    <definedName name="PALL" localSheetId="18">#REF!</definedName>
    <definedName name="PALL">#REF!</definedName>
    <definedName name="PBLOCK" localSheetId="18">#REF!</definedName>
    <definedName name="PBLOCK">#REF!</definedName>
    <definedName name="PBLOCKWZ" localSheetId="18">#REF!</definedName>
    <definedName name="PBLOCKWZ">#REF!</definedName>
    <definedName name="PCOMP" localSheetId="18">#REF!</definedName>
    <definedName name="PCOMP">#REF!</definedName>
    <definedName name="PCOMPOSITES" localSheetId="18">#REF!</definedName>
    <definedName name="PCOMPOSITES">#REF!</definedName>
    <definedName name="PCOMPWZ" localSheetId="18">#REF!</definedName>
    <definedName name="PCOMPWZ">#REF!</definedName>
    <definedName name="PeakMethod" localSheetId="19">[24]Inputs!$T$5</definedName>
    <definedName name="PeakMethod">[10]Inputs!$T$5</definedName>
    <definedName name="pfactor">[8]ASSIGN!$AI$10:$AS$15</definedName>
    <definedName name="PMAC" localSheetId="18">[16]Backup!#REF!</definedName>
    <definedName name="PMAC">[16]Backup!#REF!</definedName>
    <definedName name="PnCAccDep">[8]SUMCOST!$S$1864:$T$1865</definedName>
    <definedName name="PnCDepr">[8]SUMCOST!$S$1869:$T$1870</definedName>
    <definedName name="PnCO_M">[8]SUMCOST!$S$1866:$T$1868</definedName>
    <definedName name="PRESENT" localSheetId="18">#REF!</definedName>
    <definedName name="PRESENT">#REF!</definedName>
    <definedName name="PRICCHNG" localSheetId="18">#REF!</definedName>
    <definedName name="PRICCHNG">#REF!</definedName>
    <definedName name="_xlnm.Print_Area" localSheetId="28">'305 VS COGNOS kWh'!$A$1:$K$110</definedName>
    <definedName name="_xlnm.Print_Area" localSheetId="29">'305 VS COGNOS Revenue'!$A$1:$AA$112</definedName>
    <definedName name="_xlnm.Print_Area" localSheetId="38">'Billing Determinants (2)'!$A$1:$K$1038</definedName>
    <definedName name="_xlnm.Print_Area" localSheetId="39">'Blocking - detail'!$A$1:$K$1009</definedName>
    <definedName name="_xlnm.Print_Area" localSheetId="3">'Exhibit No._(JRS-5) p1'!$B$3:$S$41</definedName>
    <definedName name="_xlnm.Print_Area" localSheetId="8">'Exhibit No._(JRS-5) p2'!$B$3:$U$35</definedName>
    <definedName name="_xlnm.Print_Area" localSheetId="9">'Exhibit No._(JRS-5) p3'!$B$3:$K$44</definedName>
    <definedName name="_xlnm.Print_Area" localSheetId="10">'Exhibit No._(JRS-5) p4'!$B$2:$Q$39</definedName>
    <definedName name="_xlnm.Print_Area" localSheetId="11">'Exhibit No._(JRS-5) p5'!$B$2:$K$34</definedName>
    <definedName name="_xlnm.Print_Area" localSheetId="12">'Exhibit No._(JRS-5) p6'!$B$2:$K$34</definedName>
    <definedName name="_xlnm.Print_Area" localSheetId="13">'Exhibit No._(JRS-5) p7'!$B$2:$K$34</definedName>
    <definedName name="_xlnm.Print_Area" localSheetId="14">'Exhibit No._(JRS-6) p1'!$A$1:$J$48</definedName>
    <definedName name="_xlnm.Print_Area" localSheetId="15">'Exhibit No._(JRS-6) p2'!$A$1:$F$11</definedName>
    <definedName name="_xlnm.Print_Area" localSheetId="40">'Normalized Monthly kWh'!$A$1:$AF$91</definedName>
    <definedName name="_xlnm.Print_Area" localSheetId="41">'Normalized Monthly revenue'!$A$1:$AF$91</definedName>
    <definedName name="_xlnm.Print_Area" localSheetId="19">'NPC Spread'!$A$1:$K$42</definedName>
    <definedName name="_xlnm.Print_Area" localSheetId="0">'Page 1, Revenues from Sales'!$A$1:$AC$37</definedName>
    <definedName name="_xlnm.Print_Area" localSheetId="4">'Page 12-14, Crossover (Res)'!$A$1:$K$134</definedName>
    <definedName name="_xlnm.Print_Area" localSheetId="5">'Page 15, Revenue Stability'!$A$1:$J$28</definedName>
    <definedName name="_xlnm.Print_Area" localSheetId="1">'Pages 2-3, Res Schedules'!$A$1:$K$94</definedName>
    <definedName name="_xlnm.Print_Area" localSheetId="2">'Pages 4-11, All Other Schedules'!$A$1:$K$1240</definedName>
    <definedName name="_xlnm.Print_Area" localSheetId="18">'Rate Spread-Co'!$B$1:$AD$48</definedName>
    <definedName name="_xlnm.Print_Area" localSheetId="17">'Rate Spread-Staff'!$B$1:$AD$48</definedName>
    <definedName name="_xlnm.Print_Area" localSheetId="30">'SBC-Hydro'!$A$1:$X$112</definedName>
    <definedName name="_xlnm.Print_Area" localSheetId="44">'Schedule 24 BD'!$A$1:$T$39</definedName>
    <definedName name="_xlnm.Print_Area" localSheetId="23">'Table 1 - kWh'!$A$1:$G$34</definedName>
    <definedName name="_xlnm.Print_Area" localSheetId="21">'Table 1-Revenues'!$A$1:$J$33</definedName>
    <definedName name="_xlnm.Print_Area" localSheetId="24">'Table 2'!$A$1:$R$145</definedName>
    <definedName name="_xlnm.Print_Area" localSheetId="25">'Table 3'!$A$1:$S$144</definedName>
    <definedName name="_xlnm.Print_Area">#REF!</definedName>
    <definedName name="Print_Area_MI">#REF!</definedName>
    <definedName name="_xlnm.Print_Titles" localSheetId="38">'Billing Determinants (2)'!$1:$6</definedName>
    <definedName name="_xlnm.Print_Titles" localSheetId="39">'Blocking - detail'!$1:$6</definedName>
    <definedName name="_xlnm.Print_Titles" localSheetId="32">'Ded Fac Hydro Revenue'!$1:$1</definedName>
    <definedName name="_xlnm.Print_Titles" localSheetId="43">'June 305 12'!$1:$1</definedName>
    <definedName name="_xlnm.Print_Titles" localSheetId="4">'Page 12-14, Crossover (Res)'!$1:$16</definedName>
    <definedName name="_xlnm.Print_Titles" localSheetId="1">'Pages 2-3, Res Schedules'!$1:$6</definedName>
    <definedName name="_xlnm.Print_Titles" localSheetId="2">'Pages 4-11, All Other Schedules'!$1:$6</definedName>
    <definedName name="_xlnm.Print_Titles" localSheetId="24">'Table 2'!$A:$C,'Table 2'!$9:$11</definedName>
    <definedName name="_xlnm.Print_Titles" localSheetId="25">'Table 3'!$A:$C,'Table 3'!$9:$11</definedName>
    <definedName name="PTABLES" localSheetId="18">#REF!</definedName>
    <definedName name="PTABLES">#REF!</definedName>
    <definedName name="PTDMOD" localSheetId="18">#REF!</definedName>
    <definedName name="PTDMOD">#REF!</definedName>
    <definedName name="PTDROLL" localSheetId="18">#REF!</definedName>
    <definedName name="PTDROLL">#REF!</definedName>
    <definedName name="PTMOD" localSheetId="18">#REF!</definedName>
    <definedName name="PTMOD">#REF!</definedName>
    <definedName name="PTROLL" localSheetId="18">#REF!</definedName>
    <definedName name="PTROLL">#REF!</definedName>
    <definedName name="PWORKBACK" localSheetId="18">#REF!</definedName>
    <definedName name="PWORKBACK">#REF!</definedName>
    <definedName name="Q_table">[8]MACROS!$W$3:$AB$21</definedName>
    <definedName name="Query1" localSheetId="18">#REF!</definedName>
    <definedName name="Query1">#REF!</definedName>
    <definedName name="RB_D">[8]SUMCOST!$S$949:$U$950</definedName>
    <definedName name="RB_DSM">[8]SUMCOST!$S$951:$U$952</definedName>
    <definedName name="RB_O">[8]SUMCOST!$S$953:$U$954</definedName>
    <definedName name="RB_P">[8]SUMCOST!$S$945:$U$946</definedName>
    <definedName name="RB_T">[8]SUMCOST!$S$947:$U$948</definedName>
    <definedName name="RBO_S04">[8]SUMCOST!$S$1310:$V$1311</definedName>
    <definedName name="RBO_S05">[8]SUMCOST!$S$1312:$V$1313</definedName>
    <definedName name="RBO_S06">[8]SUMCOST!$S$1314:$V$1315</definedName>
    <definedName name="RBO_S21">[8]SUMCOST!$S$1316:$V$1317</definedName>
    <definedName name="RBO_S22">[8]SUMCOST!$S$1318:$V$1319</definedName>
    <definedName name="RBO_S23">[8]SUMCOST!$S$1320:$V$1321</definedName>
    <definedName name="RC_ADJ" localSheetId="18">#REF!</definedName>
    <definedName name="RC_ADJ">#REF!</definedName>
    <definedName name="ref">[8]ASSIGN!$BC$164:$BC$216</definedName>
    <definedName name="RESADJ" localSheetId="18">#REF!</definedName>
    <definedName name="RESADJ">#REF!</definedName>
    <definedName name="ResourceSupplier" localSheetId="27">[15]Variables!$D$28</definedName>
    <definedName name="ResourceSupplier" localSheetId="26">[15]Variables!$D$28</definedName>
    <definedName name="ResourceSupplier" localSheetId="31">[15]Variables!$D$28</definedName>
    <definedName name="ResourceSupplier">[15]Variables!$D$28</definedName>
    <definedName name="retail_CC" localSheetId="13" hidden="1">{#N/A,#N/A,FALSE,"Loans";#N/A,#N/A,FALSE,"Program Costs";#N/A,#N/A,FALSE,"Measures";#N/A,#N/A,FALSE,"Net Lost Rev";#N/A,#N/A,FALSE,"Incentive"}</definedName>
    <definedName name="retail_CC" localSheetId="14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3" hidden="1">{#N/A,#N/A,FALSE,"Loans";#N/A,#N/A,FALSE,"Program Costs";#N/A,#N/A,FALSE,"Measures";#N/A,#N/A,FALSE,"Net Lost Rev";#N/A,#N/A,FALSE,"Incentive"}</definedName>
    <definedName name="retail_CC1" localSheetId="14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D">[8]SUMCOST!$S$999:$U$1000</definedName>
    <definedName name="Rev_DSM">[8]SUMCOST!$S$1001:$U$1002</definedName>
    <definedName name="Rev_P">[8]SUMCOST!$S$995:$U$996</definedName>
    <definedName name="REV_SCHD" localSheetId="18">#REF!</definedName>
    <definedName name="REV_SCHD">#REF!</definedName>
    <definedName name="Rev_T">[8]SUMCOST!$S$997:$U$998</definedName>
    <definedName name="Revenue_by_month_take_2" localSheetId="18">#REF!</definedName>
    <definedName name="Revenue_by_month_take_2">#REF!</definedName>
    <definedName name="RevenueCheck" localSheetId="18">#REF!</definedName>
    <definedName name="RevenueCheck">#REF!</definedName>
    <definedName name="RevReqSettle" localSheetId="18">#REF!</definedName>
    <definedName name="RevReqSettle">#REF!</definedName>
    <definedName name="REVVSTRS" localSheetId="18">#REF!</definedName>
    <definedName name="REVVSTRS">#REF!</definedName>
    <definedName name="RISFORM" localSheetId="18">#REF!</definedName>
    <definedName name="RISFORM">#REF!</definedName>
    <definedName name="S01_">[8]SUMCOST!$F$977:$Q$977</definedName>
    <definedName name="S01C">[8]SUMCOST!$E$665:$Q$665</definedName>
    <definedName name="S01D">[8]SUMCOST!$E$664:$Q$664</definedName>
    <definedName name="S01E">[8]SUMCOST!$E$663:$Q$663</definedName>
    <definedName name="S01R">[8]SUMCOST!$E$666:$Q$666</definedName>
    <definedName name="S01T">[8]SUMCOST!$E$662:$Q$662</definedName>
    <definedName name="S02_">[8]SUMCOST!$F$978:$Q$978</definedName>
    <definedName name="S02C">[8]SUMCOST!$E$672:$Q$672</definedName>
    <definedName name="S02D">[8]SUMCOST!$E$671:$Q$671</definedName>
    <definedName name="S02E">[8]SUMCOST!$E$670:$Q$670</definedName>
    <definedName name="S02R">[8]SUMCOST!$E$673:$Q$673</definedName>
    <definedName name="S02T">[8]SUMCOST!$E$669:$Q$669</definedName>
    <definedName name="S03_">[8]SUMCOST!$F$979:$Q$979</definedName>
    <definedName name="S03C">[8]SUMCOST!$E$679:$Q$679</definedName>
    <definedName name="S03D">[8]SUMCOST!$E$678:$Q$678</definedName>
    <definedName name="S03E">[8]SUMCOST!$E$677:$Q$677</definedName>
    <definedName name="S03R">[8]SUMCOST!$E$680:$Q$680</definedName>
    <definedName name="S03T">[8]SUMCOST!$E$676:$Q$676</definedName>
    <definedName name="S04_">[8]SUMCOST!$F$980:$Q$980</definedName>
    <definedName name="S04C">[8]SUMCOST!$E$686:$Q$686</definedName>
    <definedName name="S04D">[8]SUMCOST!$E$685:$Q$685</definedName>
    <definedName name="S04E">[8]SUMCOST!$E$684:$Q$684</definedName>
    <definedName name="S04R">[8]SUMCOST!$E$687:$Q$687</definedName>
    <definedName name="S04T">[8]SUMCOST!$E$683:$Q$683</definedName>
    <definedName name="S05_">[8]SUMCOST!$F$981:$Q$981</definedName>
    <definedName name="S05C">[8]SUMCOST!$E$693:$Q$693</definedName>
    <definedName name="S05D">[8]SUMCOST!$E$692:$Q$692</definedName>
    <definedName name="S05E">[8]SUMCOST!$E$691:$Q$691</definedName>
    <definedName name="S05R">[8]SUMCOST!$E$694:$Q$694</definedName>
    <definedName name="S05T">[8]SUMCOST!$E$690:$Q$690</definedName>
    <definedName name="S06_">[8]SUMCOST!$F$982:$Q$982</definedName>
    <definedName name="S06C">[8]SUMCOST!$E$700:$Q$700</definedName>
    <definedName name="S06D">[8]SUMCOST!$E$699:$Q$699</definedName>
    <definedName name="S06E">[8]SUMCOST!$E$698:$Q$698</definedName>
    <definedName name="S06R">[8]SUMCOST!$E$701:$Q$701</definedName>
    <definedName name="S06T">[8]SUMCOST!$E$697:$Q$697</definedName>
    <definedName name="S07_">[8]SUMCOST!$F$983:$Q$983</definedName>
    <definedName name="S07C">[8]SUMCOST!$E$707:$Q$707</definedName>
    <definedName name="S07D">[8]SUMCOST!$E$706:$Q$706</definedName>
    <definedName name="S07E">[8]SUMCOST!$E$705:$Q$705</definedName>
    <definedName name="S07R">[8]SUMCOST!$E$708:$Q$708</definedName>
    <definedName name="S07T">[8]SUMCOST!$E$704:$Q$704</definedName>
    <definedName name="S08_">[8]SUMCOST!$F$984:$Q$984</definedName>
    <definedName name="S08C">[8]SUMCOST!$E$714:$Q$714</definedName>
    <definedName name="S08D">[8]SUMCOST!$E$713:$Q$713</definedName>
    <definedName name="S08E">[8]SUMCOST!$E$712:$Q$712</definedName>
    <definedName name="S08R">[8]SUMCOST!$E$715:$Q$715</definedName>
    <definedName name="S08T">[8]SUMCOST!$E$711:$Q$711</definedName>
    <definedName name="S09_">[8]SUMCOST!$F$985:$Q$985</definedName>
    <definedName name="S09C">[8]SUMCOST!$E$721:$Q$721</definedName>
    <definedName name="S09D">[8]SUMCOST!$E$720:$Q$720</definedName>
    <definedName name="S09E">[8]SUMCOST!$E$719:$Q$719</definedName>
    <definedName name="S09R">[8]SUMCOST!$E$722:$Q$722</definedName>
    <definedName name="S09T">[8]SUMCOST!$E$718:$Q$718</definedName>
    <definedName name="S10_">[8]SUMCOST!$F$986:$Q$986</definedName>
    <definedName name="S10C">[8]SUMCOST!$E$728:$Q$728</definedName>
    <definedName name="S10D">[8]SUMCOST!$E$727:$Q$727</definedName>
    <definedName name="S10E">[8]SUMCOST!$E$726:$Q$726</definedName>
    <definedName name="S10R">[8]SUMCOST!$E$729:$Q$729</definedName>
    <definedName name="S10T">[8]SUMCOST!$E$725:$Q$725</definedName>
    <definedName name="S11_">[8]SUMCOST!$F$987:$Q$987</definedName>
    <definedName name="S11C">[8]SUMCOST!$E$735:$Q$735</definedName>
    <definedName name="S11D">[8]SUMCOST!$E$734:$Q$734</definedName>
    <definedName name="S11E">[8]SUMCOST!$E$733:$Q$733</definedName>
    <definedName name="S11R">[8]SUMCOST!$E$736:$Q$736</definedName>
    <definedName name="S11T">[8]SUMCOST!$E$732:$Q$732</definedName>
    <definedName name="S12_">[8]SUMCOST!$F$988:$Q$988</definedName>
    <definedName name="S12C">[8]SUMCOST!$E$742:$Q$742</definedName>
    <definedName name="S12D">[8]SUMCOST!$E$741:$Q$741</definedName>
    <definedName name="S12E">[8]SUMCOST!$E$740:$Q$740</definedName>
    <definedName name="S12R">[8]SUMCOST!$E$743:$Q$743</definedName>
    <definedName name="S12T">[8]SUMCOST!$E$739:$Q$739</definedName>
    <definedName name="S13_">[8]SUMCOST!$F$989:$Q$989</definedName>
    <definedName name="S13C">[8]SUMCOST!$E$749:$Q$749</definedName>
    <definedName name="S13D">[8]SUMCOST!$E$748:$Q$748</definedName>
    <definedName name="S13E">[8]SUMCOST!$E$747:$Q$747</definedName>
    <definedName name="S13R">[8]SUMCOST!$E$750:$Q$750</definedName>
    <definedName name="S13T">[8]SUMCOST!$E$746:$Q$746</definedName>
    <definedName name="S14_">[8]SUMCOST!$F$990:$Q$990</definedName>
    <definedName name="S14C">[8]SUMCOST!$E$756:$Q$756</definedName>
    <definedName name="S14D">[8]SUMCOST!$E$755:$Q$755</definedName>
    <definedName name="S14E">[8]SUMCOST!$E$754:$Q$754</definedName>
    <definedName name="S14R">[8]SUMCOST!$E$757:$Q$757</definedName>
    <definedName name="S14T">[8]SUMCOST!$E$753:$Q$753</definedName>
    <definedName name="S15_">[8]SUMCOST!$F$991:$Q$991</definedName>
    <definedName name="S15C">[8]SUMCOST!$E$763:$Q$763</definedName>
    <definedName name="S15D">[8]SUMCOST!$E$762:$Q$762</definedName>
    <definedName name="S15E">[8]SUMCOST!$E$761:$Q$761</definedName>
    <definedName name="S15R">[8]SUMCOST!$E$764:$Q$764</definedName>
    <definedName name="S15T">[8]SUMCOST!$E$760:$Q$760</definedName>
    <definedName name="S16_">[8]SUMCOST!$F$992:$Q$992</definedName>
    <definedName name="S16C">[8]SUMCOST!$E$770:$Q$770</definedName>
    <definedName name="S16D">[8]SUMCOST!$E$769:$Q$769</definedName>
    <definedName name="S16E">[8]SUMCOST!$E$768:$Q$768</definedName>
    <definedName name="S16R">[8]SUMCOST!$E$771:$Q$771</definedName>
    <definedName name="S16T">[8]SUMCOST!$E$767:$Q$767</definedName>
    <definedName name="S17_">[8]SUMCOST!$F$993:$Q$993</definedName>
    <definedName name="S17C">[8]SUMCOST!$E$777:$Q$777</definedName>
    <definedName name="S17D">[8]SUMCOST!$E$776:$Q$776</definedName>
    <definedName name="S17E">[8]SUMCOST!$E$775:$Q$775</definedName>
    <definedName name="S17R">[8]SUMCOST!$E$778:$Q$778</definedName>
    <definedName name="S17T">[8]SUMCOST!$E$774:$Q$774</definedName>
    <definedName name="S18_">[8]SUMCOST!$F$994:$Q$994</definedName>
    <definedName name="S18C">[8]SUMCOST!$E$784:$Q$784</definedName>
    <definedName name="S18D">[8]SUMCOST!$E$783:$Q$783</definedName>
    <definedName name="S18E">[8]SUMCOST!$E$782:$Q$782</definedName>
    <definedName name="S18R">[8]SUMCOST!$E$785:$Q$785</definedName>
    <definedName name="S18T">[8]SUMCOST!$E$781:$Q$781</definedName>
    <definedName name="S19_">[8]SUMCOST!$F$995:$Q$995</definedName>
    <definedName name="S19C">[8]SUMCOST!$E$791:$Q$791</definedName>
    <definedName name="S19D">[8]SUMCOST!$E$790:$Q$790</definedName>
    <definedName name="S19E">[8]SUMCOST!$E$789:$Q$789</definedName>
    <definedName name="S19R">[8]SUMCOST!$E$792:$Q$792</definedName>
    <definedName name="S19T">[8]SUMCOST!$E$788:$Q$788</definedName>
    <definedName name="S20_">[8]SUMCOST!$F$996:$Q$996</definedName>
    <definedName name="S20C">[8]SUMCOST!$E$798:$Q$798</definedName>
    <definedName name="S20D">[8]SUMCOST!$E$797:$Q$797</definedName>
    <definedName name="S20E">[8]SUMCOST!$E$796:$Q$796</definedName>
    <definedName name="S20R">[8]SUMCOST!$E$799:$Q$799</definedName>
    <definedName name="S20T">[8]SUMCOST!$E$795:$Q$795</definedName>
    <definedName name="S21_">[8]SUMCOST!$F$997:$Q$997</definedName>
    <definedName name="S21C">[8]SUMCOST!$E$805:$Q$805</definedName>
    <definedName name="S21D">[8]SUMCOST!$E$804:$Q$804</definedName>
    <definedName name="S21E">[8]SUMCOST!$E$803:$Q$803</definedName>
    <definedName name="S21R">[8]SUMCOST!$E$806:$Q$806</definedName>
    <definedName name="S21T">[8]SUMCOST!$E$802:$Q$802</definedName>
    <definedName name="S22_">[8]SUMCOST!$F$998:$Q$998</definedName>
    <definedName name="S22C">[8]SUMCOST!$E$812:$Q$812</definedName>
    <definedName name="S22D">[8]SUMCOST!$E$811:$Q$811</definedName>
    <definedName name="S22E">[8]SUMCOST!$E$810:$Q$810</definedName>
    <definedName name="S22R">[8]SUMCOST!$E$813:$Q$813</definedName>
    <definedName name="S22T">[8]SUMCOST!$E$809:$Q$809</definedName>
    <definedName name="S23_">[8]SUMCOST!$F$999:$Q$999</definedName>
    <definedName name="S23C">[8]SUMCOST!$E$819:$Q$819</definedName>
    <definedName name="S23D">[8]SUMCOST!$E$818:$Q$818</definedName>
    <definedName name="S23E">[8]SUMCOST!$E$817:$Q$817</definedName>
    <definedName name="S23R">[8]SUMCOST!$E$820:$Q$820</definedName>
    <definedName name="S23T">[8]SUMCOST!$E$816:$Q$816</definedName>
    <definedName name="S24_">[8]SUMCOST!$F$1000:$Q$1000</definedName>
    <definedName name="S24C">[8]SUMCOST!$E$826:$Q$826</definedName>
    <definedName name="S24D">[8]SUMCOST!$E$825:$Q$825</definedName>
    <definedName name="S24E">[8]SUMCOST!$E$824:$Q$824</definedName>
    <definedName name="S24R">[8]SUMCOST!$E$827:$Q$827</definedName>
    <definedName name="S24T">[8]SUMCOST!$E$823:$Q$823</definedName>
    <definedName name="S25_">[8]SUMCOST!$F$1001:$Q$1001</definedName>
    <definedName name="S25C">[8]SUMCOST!$E$833:$Q$833</definedName>
    <definedName name="S25D">[8]SUMCOST!$E$832:$Q$832</definedName>
    <definedName name="S25E">[8]SUMCOST!$E$831:$Q$831</definedName>
    <definedName name="S25R">[8]SUMCOST!$E$834:$Q$834</definedName>
    <definedName name="S25T">[8]SUMCOST!$E$830:$Q$830</definedName>
    <definedName name="S26_">[8]SUMCOST!$F$1002:$Q$1002</definedName>
    <definedName name="S26C">[8]SUMCOST!$E$840:$Q$840</definedName>
    <definedName name="S26D">[8]SUMCOST!$E$839:$Q$839</definedName>
    <definedName name="S26E">[8]SUMCOST!$E$838:$Q$838</definedName>
    <definedName name="S26R">[8]SUMCOST!$E$841:$Q$841</definedName>
    <definedName name="S26T">[8]SUMCOST!$E$837:$Q$837</definedName>
    <definedName name="S27_">[8]SUMCOST!$F$1003:$Q$1003</definedName>
    <definedName name="S27C">[8]SUMCOST!$E$847:$Q$847</definedName>
    <definedName name="S27D">[8]SUMCOST!$E$846:$Q$846</definedName>
    <definedName name="S27E">[8]SUMCOST!$E$845:$Q$845</definedName>
    <definedName name="S27R">[8]SUMCOST!$E$848:$Q$848</definedName>
    <definedName name="S27T">[8]SUMCOST!$E$844:$Q$844</definedName>
    <definedName name="SCH33CUSTS" localSheetId="18">#REF!</definedName>
    <definedName name="SCH33CUSTS">#REF!</definedName>
    <definedName name="SCH48ADJ" localSheetId="18">#REF!</definedName>
    <definedName name="SCH48ADJ">#REF!</definedName>
    <definedName name="SCH98NOR" localSheetId="18">#REF!</definedName>
    <definedName name="SCH98NOR">#REF!</definedName>
    <definedName name="SCHED2">[29]Plant!#REF!</definedName>
    <definedName name="SCHED47" localSheetId="18">#REF!</definedName>
    <definedName name="SCHED47">#REF!</definedName>
    <definedName name="Schedule" localSheetId="14">[13]Inputs!$N$14</definedName>
    <definedName name="Schedule">[13]Inputs!$N$14</definedName>
    <definedName name="se" localSheetId="18">#REF!</definedName>
    <definedName name="se">#REF!</definedName>
    <definedName name="SECOND" localSheetId="18">[1]Jan!#REF!</definedName>
    <definedName name="SECOND">[1]Jan!#REF!</definedName>
    <definedName name="SEP" localSheetId="38">#REF!</definedName>
    <definedName name="SEP" localSheetId="39">#REF!</definedName>
    <definedName name="SEP" localSheetId="1">#REF!</definedName>
    <definedName name="SEP" localSheetId="18">[16]Backup!#REF!</definedName>
    <definedName name="SEP">[16]Backup!#REF!</definedName>
    <definedName name="SEPT" localSheetId="18">#REF!</definedName>
    <definedName name="SEPT">#REF!</definedName>
    <definedName name="SERVICES_3" localSheetId="18">#REF!</definedName>
    <definedName name="SERVICES_3">#REF!</definedName>
    <definedName name="sfactor">[8]ASSIGN!$AI$54:$AN$58</definedName>
    <definedName name="sg" localSheetId="18">#REF!</definedName>
    <definedName name="sg">#REF!</definedName>
    <definedName name="SL_RateIncr" localSheetId="4">'[17]St Lts'!$AD$1</definedName>
    <definedName name="SL_RateIncr" localSheetId="5">'[18]St Lts'!$AD$1</definedName>
    <definedName name="SL_RateIncr">'[19]St Lts'!$AD$1</definedName>
    <definedName name="START" localSheetId="18">[1]Jan!#REF!</definedName>
    <definedName name="START">[1]Jan!#REF!</definedName>
    <definedName name="SubAccDep">[8]SUMCOST!$S$1805:$T$1806</definedName>
    <definedName name="SubDepr">[8]SUMCOST!$S$1810:$T$1811</definedName>
    <definedName name="SubO_M">[8]SUMCOST!$S$1807:$T$1809</definedName>
    <definedName name="SUM_TAB1" localSheetId="18">#REF!</definedName>
    <definedName name="SUM_TAB1">#REF!</definedName>
    <definedName name="SUM_TAB2" localSheetId="18">#REF!</definedName>
    <definedName name="SUM_TAB2">#REF!</definedName>
    <definedName name="SUM_TAB3" localSheetId="18">#REF!</definedName>
    <definedName name="SUM_TAB3">#REF!</definedName>
    <definedName name="T_ref">[8]ASSIGN!$AK$18:$AN$18</definedName>
    <definedName name="TABLE_1" localSheetId="38">#REF!</definedName>
    <definedName name="TABLE_1" localSheetId="39">#REF!</definedName>
    <definedName name="TABLE_1" localSheetId="1">#REF!</definedName>
    <definedName name="TABLE_1" localSheetId="18">#REF!</definedName>
    <definedName name="TABLE_1">#REF!</definedName>
    <definedName name="TABLE_2" localSheetId="38">#REF!</definedName>
    <definedName name="TABLE_2" localSheetId="39">#REF!</definedName>
    <definedName name="TABLE_2" localSheetId="1">#REF!</definedName>
    <definedName name="TABLE_2" localSheetId="18">#REF!</definedName>
    <definedName name="TABLE_2">#REF!</definedName>
    <definedName name="TABLE_3" localSheetId="18">#REF!</definedName>
    <definedName name="TABLE_3">#REF!</definedName>
    <definedName name="TABLE_4" localSheetId="38">#REF!</definedName>
    <definedName name="TABLE_4" localSheetId="39">#REF!</definedName>
    <definedName name="TABLE_4" localSheetId="1">#REF!</definedName>
    <definedName name="TABLE_4" localSheetId="18">#REF!</definedName>
    <definedName name="TABLE_4">#REF!</definedName>
    <definedName name="TABLE_4_A" localSheetId="18">#REF!</definedName>
    <definedName name="TABLE_4_A">#REF!</definedName>
    <definedName name="TABLE_5" localSheetId="18">#REF!</definedName>
    <definedName name="TABLE_5">#REF!</definedName>
    <definedName name="TABLE_6" localSheetId="18">#REF!</definedName>
    <definedName name="TABLE_6">#REF!</definedName>
    <definedName name="TABLE_7" localSheetId="18">#REF!</definedName>
    <definedName name="TABLE_7">#REF!</definedName>
    <definedName name="TABLE1" localSheetId="18">#REF!</definedName>
    <definedName name="TABLE1">#REF!</definedName>
    <definedName name="TABLE2" localSheetId="18">#REF!</definedName>
    <definedName name="TABLE2">#REF!</definedName>
    <definedName name="TABLEA" localSheetId="0">'Page 1, Revenues from Sales'!$A$1:$AJ$35</definedName>
    <definedName name="TABLEA" localSheetId="18">'Rate Spread-Co'!$B$3:$AI$46</definedName>
    <definedName name="TABLEA" localSheetId="17">'Rate Spread-Staff'!$B$3:$AI$46</definedName>
    <definedName name="TABLEA">#REF!</definedName>
    <definedName name="TABLEONE" localSheetId="18">#REF!</definedName>
    <definedName name="TABLEONE">#REF!</definedName>
    <definedName name="TargetROR">[10]Inputs!$G$29</definedName>
    <definedName name="TDMOD" localSheetId="18">#REF!</definedName>
    <definedName name="TDMOD">#REF!</definedName>
    <definedName name="TDROLL" localSheetId="18">#REF!</definedName>
    <definedName name="TDROLL">#REF!</definedName>
    <definedName name="TEMPADJ" localSheetId="18">#REF!</definedName>
    <definedName name="TEMPADJ">#REF!</definedName>
    <definedName name="Test" localSheetId="18">#REF!</definedName>
    <definedName name="Test">#REF!</definedName>
    <definedName name="Test1" localSheetId="18">#REF!</definedName>
    <definedName name="Test1">#REF!</definedName>
    <definedName name="Test2" localSheetId="18">#REF!</definedName>
    <definedName name="Test2">#REF!</definedName>
    <definedName name="Test3" localSheetId="18">#REF!</definedName>
    <definedName name="Test3">#REF!</definedName>
    <definedName name="Test4" localSheetId="18">#REF!</definedName>
    <definedName name="Test4">#REF!</definedName>
    <definedName name="Test5" localSheetId="18">#REF!</definedName>
    <definedName name="Test5">#REF!</definedName>
    <definedName name="TestPeriod">[11]Inputs!$C$5</definedName>
    <definedName name="tfactor">[8]ASSIGN!$AI$18:$AN$22</definedName>
    <definedName name="Total_Interest" localSheetId="4">'[32]Amortization Table'!$F$18</definedName>
    <definedName name="Total_Interest" localSheetId="5">'[33]Amortization Table'!$F$18</definedName>
    <definedName name="Total_Interest">'[33]Amortization Table'!$F$18</definedName>
    <definedName name="TotalRateBase">'[11]G+T+D+R+M'!$H$58</definedName>
    <definedName name="TransferP1">[8]ASSIGN!$A$1</definedName>
    <definedName name="TransferP2">[8]ASSIGN!$F$1</definedName>
    <definedName name="TransferP3">[8]ASSIGN!$H$1</definedName>
    <definedName name="TRANSM_2" localSheetId="27">[34]Transm2!$A$1:$M$461:'[34]10 Yr FC'!$M$47</definedName>
    <definedName name="TRANSM_2" localSheetId="26">[34]Transm2!$A$1:$M$461:'[34]10 Yr FC'!$M$47</definedName>
    <definedName name="TRANSM_2" localSheetId="31">[34]Transm2!$A$1:$M$461:'[34]10 Yr FC'!$M$47</definedName>
    <definedName name="TRANSM_2">[34]Transm2!$A$1:$M$461:'[34]10 Yr FC'!$M$47</definedName>
    <definedName name="UAACT115S" localSheetId="18">'[13]Functional Study'!#REF!</definedName>
    <definedName name="UAACT115S">'[13]Functional Study'!#REF!</definedName>
    <definedName name="UAcct103">'[11]Func Study'!$AB$1613</definedName>
    <definedName name="UAcct105Dnpg">'[11]Func Study'!$AB$2010</definedName>
    <definedName name="UAcct105S">'[11]Func Study'!$AB$2005</definedName>
    <definedName name="UAcct105Seu">'[11]Func Study'!$AB$2009</definedName>
    <definedName name="UAcct105Snppo">'[11]Func Study'!$AB$2008</definedName>
    <definedName name="UAcct105Snpps">'[11]Func Study'!$AB$2006</definedName>
    <definedName name="UAcct105Snpt">'[11]Func Study'!$AB$2007</definedName>
    <definedName name="UAcct1081390">'[11]Func Study'!$AB$2451</definedName>
    <definedName name="UAcct1081390Rcl">'[11]Func Study'!$AB$2450</definedName>
    <definedName name="UAcct1081399">'[11]Func Study'!$AB$2459</definedName>
    <definedName name="UAcct1081399Rcl">'[11]Func Study'!$AB$2458</definedName>
    <definedName name="UAcct108360">'[11]Func Study'!$AB$2355</definedName>
    <definedName name="UAcct108361">'[11]Func Study'!$AB$2359</definedName>
    <definedName name="UAcct108362">'[11]Func Study'!$AB$2363</definedName>
    <definedName name="UAcct108364">'[11]Func Study'!$AB$2367</definedName>
    <definedName name="UAcct108365">'[11]Func Study'!$AB$2371</definedName>
    <definedName name="UAcct108366">'[11]Func Study'!$AB$2375</definedName>
    <definedName name="UAcct108367">'[11]Func Study'!$AB$2379</definedName>
    <definedName name="UAcct108368">'[11]Func Study'!$AB$2383</definedName>
    <definedName name="UAcct108369">'[11]Func Study'!$AB$2387</definedName>
    <definedName name="UAcct108370">'[11]Func Study'!$AB$2391</definedName>
    <definedName name="UAcct108371">'[11]Func Study'!$AB$2395</definedName>
    <definedName name="UAcct108372">'[11]Func Study'!$AB$2399</definedName>
    <definedName name="UAcct108373">'[11]Func Study'!$AB$2403</definedName>
    <definedName name="UAcct108D">'[11]Func Study'!$AB$2415</definedName>
    <definedName name="UAcct108D00">'[11]Func Study'!$AB$2407</definedName>
    <definedName name="UAcct108Ds">'[11]Func Study'!$AB$2411</definedName>
    <definedName name="UAcct108Ep">'[11]Func Study'!$AB$2327</definedName>
    <definedName name="UAcct108Gpcn">'[11]Func Study'!$AB$2429</definedName>
    <definedName name="UAcct108Gps">'[11]Func Study'!$AB$2425</definedName>
    <definedName name="UAcct108Gpse">'[11]Func Study'!$AB$2431</definedName>
    <definedName name="UAcct108Gpsg">'[11]Func Study'!$AB$2428</definedName>
    <definedName name="UAcct108Gpsgp">'[11]Func Study'!$AB$2426</definedName>
    <definedName name="UAcct108Gpsgu">'[11]Func Study'!$AB$2427</definedName>
    <definedName name="UAcct108Gpso">'[11]Func Study'!$AB$2430</definedName>
    <definedName name="UACCT108GPSSGCH">'[11]Func Study'!$AB$2434</definedName>
    <definedName name="UACCT108GPSSGCT">'[11]Func Study'!$AB$2433</definedName>
    <definedName name="UAcct108Hp">'[11]Func Study'!$AB$2313</definedName>
    <definedName name="UAcct108Mp">'[11]Func Study'!$AB$2444</definedName>
    <definedName name="UAcct108Np">'[11]Func Study'!$AB$2305</definedName>
    <definedName name="UAcct108Op">'[11]Func Study'!$AB$2322</definedName>
    <definedName name="UACCT108OPSSCCT">'[11]Func Study'!$AB$2321</definedName>
    <definedName name="UAcct108Sp">'[11]Func Study'!$AB$2299</definedName>
    <definedName name="UACCT108SPSSGCH">'[11]Func Study'!$AB$2298</definedName>
    <definedName name="UAcct108Tp">'[11]Func Study'!$AB$2346</definedName>
    <definedName name="UAcct111Clg">'[11]Func Study'!$AB$2487</definedName>
    <definedName name="UAcct111Clgsou">'[11]Func Study'!$AB$2485</definedName>
    <definedName name="UAcct111Clh">'[11]Func Study'!$AB$2493</definedName>
    <definedName name="UAcct111Cls">'[11]Func Study'!$AB$2478</definedName>
    <definedName name="UAcct111Ipcn">'[11]Func Study'!$AB$2502</definedName>
    <definedName name="UAcct111Ips">'[11]Func Study'!$AB$2497</definedName>
    <definedName name="UAcct111Ipse">'[11]Func Study'!$AB$2500</definedName>
    <definedName name="UAcct111Ipsg">'[11]Func Study'!$AB$2501</definedName>
    <definedName name="UAcct111Ipsgp">'[11]Func Study'!$AB$2498</definedName>
    <definedName name="UAcct111Ipsgu">'[11]Func Study'!$AB$2499</definedName>
    <definedName name="UAcct111Ipso">'[11]Func Study'!$AB$2506</definedName>
    <definedName name="UACCT111IPSSGCH">'[11]Func Study'!$AB$2505</definedName>
    <definedName name="UACCT111IPSSGCT">'[11]Func Study'!$AB$2504</definedName>
    <definedName name="UAcct114">'[11]Func Study'!$AB$2017</definedName>
    <definedName name="UACCT115" localSheetId="18">'[13]Functional Study'!#REF!</definedName>
    <definedName name="UACCT115">'[13]Functional Study'!#REF!</definedName>
    <definedName name="UACCT115DGP" localSheetId="18">'[13]Functional Study'!#REF!</definedName>
    <definedName name="UACCT115DGP">'[13]Functional Study'!#REF!</definedName>
    <definedName name="UACCT115SG" localSheetId="18">'[13]Functional Study'!#REF!</definedName>
    <definedName name="UACCT115SG">'[13]Functional Study'!#REF!</definedName>
    <definedName name="UAcct120">'[11]Func Study'!$AB$2021</definedName>
    <definedName name="UAcct124">'[11]Func Study'!$AB$2026</definedName>
    <definedName name="UAcct141">'[11]Func Study'!$AB$2173</definedName>
    <definedName name="UAcct151">'[11]Func Study'!$AB$2049</definedName>
    <definedName name="Uacct151SSECT">'[11]Func Study'!$AB$2047</definedName>
    <definedName name="UAcct154">'[11]Func Study'!$AB$2083</definedName>
    <definedName name="Uacct154SSGCT">'[11]Func Study'!$AB$2080</definedName>
    <definedName name="UAcct163">'[11]Func Study'!$AB$2093</definedName>
    <definedName name="UAcct165">'[11]Func Study'!$AB$2108</definedName>
    <definedName name="UAcct165Gps">'[11]Func Study'!$AB$2104</definedName>
    <definedName name="UAcct182">'[11]Func Study'!$AB$2033</definedName>
    <definedName name="UAcct18222">'[11]Func Study'!$AB$2163</definedName>
    <definedName name="UAcct182M">'[11]Func Study'!$AB$2118</definedName>
    <definedName name="UAcct182MSSGCH">'[11]Func Study'!$AB$2113</definedName>
    <definedName name="UAcct186">'[11]Func Study'!$AB$2041</definedName>
    <definedName name="UAcct1869">'[11]Func Study'!$AB$2168</definedName>
    <definedName name="UAcct186M">'[11]Func Study'!$AB$2129</definedName>
    <definedName name="UAcct190">'[11]Func Study'!$AB$2243</definedName>
    <definedName name="UAcct190Baddebt">'[11]Func Study'!$AB$2237</definedName>
    <definedName name="UAcct190Dop">'[11]Func Study'!$AB$2235</definedName>
    <definedName name="UAcct2281">'[11]Func Study'!$AB$2191</definedName>
    <definedName name="UAcct2282">'[11]Func Study'!$AB$2195</definedName>
    <definedName name="UAcct2283">'[11]Func Study'!$AB$2200</definedName>
    <definedName name="UACCT22841SG">'[11]Func Study'!$AB$2205</definedName>
    <definedName name="UAcct22842">'[11]Func Study'!$AB$2211</definedName>
    <definedName name="UAcct22842Trojd" localSheetId="18">'[10]Func Study'!#REF!</definedName>
    <definedName name="UAcct22842Trojd">'[10]Func Study'!#REF!</definedName>
    <definedName name="UAcct235">'[11]Func Study'!$AB$2187</definedName>
    <definedName name="UACCT235CN">'[11]Func Study'!$AB$2186</definedName>
    <definedName name="UAcct252">'[11]Func Study'!$AB$2219</definedName>
    <definedName name="UAcct25316">'[11]Func Study'!$AB$2057</definedName>
    <definedName name="UAcct25317">'[11]Func Study'!$AB$2061</definedName>
    <definedName name="UAcct25318">'[11]Func Study'!$AB$2098</definedName>
    <definedName name="UAcct25319">'[11]Func Study'!$AB$2065</definedName>
    <definedName name="uacct25398">'[11]Func Study'!$AB$2222</definedName>
    <definedName name="UAcct25399">'[11]Func Study'!$AB$2230</definedName>
    <definedName name="UACCT254SO">'[11]Func Study'!$AB$2202</definedName>
    <definedName name="UAcct255">'[11]Func Study'!$AB$2284</definedName>
    <definedName name="UAcct281">'[11]Func Study'!$AB$2249</definedName>
    <definedName name="UAcct282">'[11]Func Study'!$AB$2259</definedName>
    <definedName name="UAcct282Cn">'[11]Func Study'!$AB$2256</definedName>
    <definedName name="UAcct282So">'[11]Func Study'!$AB$2255</definedName>
    <definedName name="UAcct283">'[11]Func Study'!$AB$2271</definedName>
    <definedName name="UAcct283So">'[11]Func Study'!$AB$2265</definedName>
    <definedName name="UAcct301S">'[11]Func Study'!$AB$1964</definedName>
    <definedName name="UAcct301Sg">'[11]Func Study'!$AB$1966</definedName>
    <definedName name="UAcct301So">'[11]Func Study'!$AB$1965</definedName>
    <definedName name="UAcct302S">'[11]Func Study'!$AB$1969</definedName>
    <definedName name="UAcct302Sg">'[11]Func Study'!$AB$1970</definedName>
    <definedName name="UAcct302Sgp">'[11]Func Study'!$AB$1971</definedName>
    <definedName name="UAcct302Sgu">'[11]Func Study'!$AB$1972</definedName>
    <definedName name="UAcct303Cn">'[11]Func Study'!$AB$1980</definedName>
    <definedName name="UAcct303S">'[11]Func Study'!$AB$1976</definedName>
    <definedName name="UAcct303Se">'[11]Func Study'!$AB$1979</definedName>
    <definedName name="UAcct303Sg">'[11]Func Study'!$AB$1977</definedName>
    <definedName name="UAcct303Sgu">'[11]Func Study'!$AB$1981</definedName>
    <definedName name="UAcct303So">'[11]Func Study'!$AB$1978</definedName>
    <definedName name="UACCT303SSGCH">'[11]Func Study'!$AB$1983</definedName>
    <definedName name="UAcct310">'[11]Func Study'!$AB$1414</definedName>
    <definedName name="UAcct310JBG">'[11]Func Study'!$AB$1413</definedName>
    <definedName name="UAcct311">'[11]Func Study'!$AB$1421</definedName>
    <definedName name="UAcct311JBG">'[11]Func Study'!$AB$1420</definedName>
    <definedName name="UAcct312">'[11]Func Study'!$AB$1428</definedName>
    <definedName name="UAcct312JBG">'[11]Func Study'!$AB$1427</definedName>
    <definedName name="UAcct314">'[11]Func Study'!$AB$1435</definedName>
    <definedName name="UAcct314JBG">'[11]Func Study'!$AB$1434</definedName>
    <definedName name="UAcct315">'[11]Func Study'!$AB$1442</definedName>
    <definedName name="UAcct315JBG">'[11]Func Study'!$AB$1441</definedName>
    <definedName name="UAcct316">'[11]Func Study'!$AB$1450</definedName>
    <definedName name="UAcct316JBG">'[11]Func Study'!$AB$1449</definedName>
    <definedName name="UAcct320">'[11]Func Study'!$AB$1466</definedName>
    <definedName name="UAcct321">'[11]Func Study'!$AB$1471</definedName>
    <definedName name="UAcct322">'[11]Func Study'!$AB$1476</definedName>
    <definedName name="UAcct323">'[11]Func Study'!$AB$1481</definedName>
    <definedName name="UAcct324">'[11]Func Study'!$AB$1486</definedName>
    <definedName name="UAcct325">'[11]Func Study'!$AB$1491</definedName>
    <definedName name="UAcct33">'[11]Func Study'!$AB$295</definedName>
    <definedName name="UAcct330">'[11]Func Study'!$AB$1508</definedName>
    <definedName name="UAcct331">'[11]Func Study'!$AB$1513</definedName>
    <definedName name="UAcct332">'[11]Func Study'!$AB$1518</definedName>
    <definedName name="UAcct333">'[11]Func Study'!$AB$1523</definedName>
    <definedName name="UAcct334">'[11]Func Study'!$AB$1528</definedName>
    <definedName name="UAcct335">'[11]Func Study'!$AB$1533</definedName>
    <definedName name="UAcct336">'[11]Func Study'!$AB$1539</definedName>
    <definedName name="UAcct340Dgu">'[11]Func Study'!$AB$1564</definedName>
    <definedName name="UAcct340Sgu">'[11]Func Study'!$AB$1565</definedName>
    <definedName name="UAcct341Dgu">'[11]Func Study'!$AB$1569</definedName>
    <definedName name="UAcct341Sgu">'[11]Func Study'!$AB$1570</definedName>
    <definedName name="UAcct342Dgu">'[11]Func Study'!$AB$1574</definedName>
    <definedName name="UAcct342Sgu">'[11]Func Study'!$AB$1575</definedName>
    <definedName name="UAcct343">'[11]Func Study'!$AB$1584</definedName>
    <definedName name="UAcct344S">'[11]Func Study'!$AB$1587</definedName>
    <definedName name="UAcct344Sgp">'[11]Func Study'!$AB$1588</definedName>
    <definedName name="UAcct345Dgu">'[11]Func Study'!$AB$1594</definedName>
    <definedName name="UAcct345Sgu">'[11]Func Study'!$AB$1595</definedName>
    <definedName name="UAcct346">'[11]Func Study'!$AB$1601</definedName>
    <definedName name="UAcct350">'[11]Func Study'!$AB$1628</definedName>
    <definedName name="UAcct352">'[11]Func Study'!$AB$1635</definedName>
    <definedName name="UAcct353">'[11]Func Study'!$AB$1641</definedName>
    <definedName name="UAcct354">'[11]Func Study'!$AB$1647</definedName>
    <definedName name="UAcct355">'[11]Func Study'!$AB$1654</definedName>
    <definedName name="UAcct356">'[11]Func Study'!$AB$1660</definedName>
    <definedName name="UAcct357">'[11]Func Study'!$AB$1666</definedName>
    <definedName name="UAcct358">'[11]Func Study'!$AB$1672</definedName>
    <definedName name="UAcct359">'[11]Func Study'!$AB$1678</definedName>
    <definedName name="UAcct360">'[11]Func Study'!$AB$1698</definedName>
    <definedName name="UAcct361">'[11]Func Study'!$AB$1704</definedName>
    <definedName name="UAcct362">'[11]Func Study'!$AB$1710</definedName>
    <definedName name="UAcct368">'[11]Func Study'!$AB$1744</definedName>
    <definedName name="UAcct369">'[11]Func Study'!$AB$1751</definedName>
    <definedName name="UAcct370">'[11]Func Study'!$AB$1762</definedName>
    <definedName name="UAcct372A">'[11]Func Study'!$AB$1775</definedName>
    <definedName name="UAcct372Dp">'[11]Func Study'!$AB$1773</definedName>
    <definedName name="UAcct372Ds">'[11]Func Study'!$AB$1774</definedName>
    <definedName name="UAcct373">'[11]Func Study'!$AB$1782</definedName>
    <definedName name="UAcct389Cn">'[11]Func Study'!$AB$1800</definedName>
    <definedName name="UAcct389S">'[11]Func Study'!$AB$1799</definedName>
    <definedName name="UAcct389Sg">'[11]Func Study'!$AB$1802</definedName>
    <definedName name="UAcct389Sgu">'[11]Func Study'!$AB$1801</definedName>
    <definedName name="UAcct389So">'[11]Func Study'!$AB$1803</definedName>
    <definedName name="UAcct390Cn">'[11]Func Study'!$AB$1810</definedName>
    <definedName name="UAcct390JBG">'[11]Func Study'!$AB$1812</definedName>
    <definedName name="UAcct390L">'[11]Func Study'!$AB$1927</definedName>
    <definedName name="UACCT390LRCL">'[11]Func Study'!$AB$1929</definedName>
    <definedName name="UAcct390S">'[11]Func Study'!$AB$1807</definedName>
    <definedName name="UAcct390Sgp">'[11]Func Study'!$AB$1808</definedName>
    <definedName name="UAcct390Sgu">'[11]Func Study'!$AB$1809</definedName>
    <definedName name="UAcct390Sop">'[11]Func Study'!$AB$1811</definedName>
    <definedName name="UAcct390Sou">'[11]Func Study'!$AB$1813</definedName>
    <definedName name="UAcct391Cn">'[11]Func Study'!$AB$1820</definedName>
    <definedName name="UACCT391JBE">'[11]Func Study'!$AB$1825</definedName>
    <definedName name="UAcct391S">'[11]Func Study'!$AB$1817</definedName>
    <definedName name="UAcct391Sg">'[11]Func Study'!$AB$1821</definedName>
    <definedName name="UAcct391Sgp">'[11]Func Study'!$AB$1818</definedName>
    <definedName name="UAcct391Sgu">'[11]Func Study'!$AB$1819</definedName>
    <definedName name="UAcct391So">'[11]Func Study'!$AB$1823</definedName>
    <definedName name="UACCT391SSGCH">'[11]Func Study'!$AB$1824</definedName>
    <definedName name="UAcct392Cn">'[11]Func Study'!$AB$1832</definedName>
    <definedName name="UAcct392L">'[11]Func Study'!$AB$1935</definedName>
    <definedName name="UAcct392Lrcl">'[11]Func Study'!$AB$1937</definedName>
    <definedName name="UAcct392S">'[11]Func Study'!$AB$1829</definedName>
    <definedName name="UAcct392Se">'[11]Func Study'!$AB$1834</definedName>
    <definedName name="UAcct392Sg">'[11]Func Study'!$AB$1831</definedName>
    <definedName name="UAcct392Sgp">'[11]Func Study'!$AB$1835</definedName>
    <definedName name="UAcct392Sgu">'[11]Func Study'!$AB$1833</definedName>
    <definedName name="UAcct392So">'[11]Func Study'!$AB$1830</definedName>
    <definedName name="UACCT392SSGCH">'[11]Func Study'!$AB$1836</definedName>
    <definedName name="UAcct393S">'[11]Func Study'!$AB$1841</definedName>
    <definedName name="UAcct393Sg">'[11]Func Study'!$AB$1845</definedName>
    <definedName name="UAcct393Sgp">'[11]Func Study'!$AB$1842</definedName>
    <definedName name="UAcct393Sgu">'[11]Func Study'!$AB$1843</definedName>
    <definedName name="UAcct393So">'[11]Func Study'!$AB$1844</definedName>
    <definedName name="UACCT393SSGCT">'[11]Func Study'!$AB$1846</definedName>
    <definedName name="UAcct394S">'[11]Func Study'!$AB$1850</definedName>
    <definedName name="UAcct394Se">'[11]Func Study'!$AB$1854</definedName>
    <definedName name="UAcct394Sg">'[11]Func Study'!$AB$1855</definedName>
    <definedName name="UAcct394Sgp">'[11]Func Study'!$AB$1851</definedName>
    <definedName name="UAcct394Sgu">'[11]Func Study'!$AB$1852</definedName>
    <definedName name="UAcct394So">'[11]Func Study'!$AB$1853</definedName>
    <definedName name="UACCT394SSGCH">'[11]Func Study'!$AB$1856</definedName>
    <definedName name="UAcct395S">'[11]Func Study'!$AB$1861</definedName>
    <definedName name="UAcct395Se">'[11]Func Study'!$AB$1865</definedName>
    <definedName name="UAcct395Sg">'[11]Func Study'!$AB$1866</definedName>
    <definedName name="UAcct395Sgp">'[11]Func Study'!$AB$1862</definedName>
    <definedName name="UAcct395Sgu">'[11]Func Study'!$AB$1863</definedName>
    <definedName name="UAcct395So">'[11]Func Study'!$AB$1864</definedName>
    <definedName name="UACCT395SSGCH">'[11]Func Study'!$AB$1867</definedName>
    <definedName name="UAcct396S">'[11]Func Study'!$AB$1872</definedName>
    <definedName name="UAcct396Se">'[11]Func Study'!$AB$1877</definedName>
    <definedName name="UAcct396Sg">'[11]Func Study'!$AB$1874</definedName>
    <definedName name="UAcct396Sgp">'[11]Func Study'!$AB$1873</definedName>
    <definedName name="UAcct396Sgu">'[11]Func Study'!$AB$1876</definedName>
    <definedName name="UAcct396So">'[11]Func Study'!$AB$1875</definedName>
    <definedName name="UACCT396SSGCH">'[11]Func Study'!$AB$1879</definedName>
    <definedName name="UACCT396SSGCT">'[11]Func Study'!$AB$1878</definedName>
    <definedName name="UAcct397Cn">'[11]Func Study'!$AB$1890</definedName>
    <definedName name="UAcct397JBG">'[11]Func Study'!$AB$1893</definedName>
    <definedName name="UAcct397S">'[11]Func Study'!$AB$1886</definedName>
    <definedName name="UAcct397Se">'[11]Func Study'!$AB$1892</definedName>
    <definedName name="UAcct397Sg">'[11]Func Study'!$AB$1891</definedName>
    <definedName name="UAcct397Sgp">'[11]Func Study'!$AB$1887</definedName>
    <definedName name="UAcct397Sgu">'[11]Func Study'!$AB$1888</definedName>
    <definedName name="UAcct397So">'[11]Func Study'!$AB$1889</definedName>
    <definedName name="UAcct398Cn">'[11]Func Study'!$AB$1902</definedName>
    <definedName name="UAcct398S">'[11]Func Study'!$AB$1899</definedName>
    <definedName name="UAcct398Se">'[11]Func Study'!$AB$1904</definedName>
    <definedName name="UAcct398Sg">'[11]Func Study'!$AB$1905</definedName>
    <definedName name="UAcct398Sgp">'[11]Func Study'!$AB$1900</definedName>
    <definedName name="UAcct398Sgu">'[11]Func Study'!$AB$1901</definedName>
    <definedName name="UAcct398So">'[11]Func Study'!$AB$1903</definedName>
    <definedName name="UACCT398SSGCT">'[11]Func Study'!$AB$1906</definedName>
    <definedName name="UAcct399">'[11]Func Study'!$AB$1913</definedName>
    <definedName name="UAcct399G">'[11]Func Study'!$AB$1955</definedName>
    <definedName name="UAcct399L">'[11]Func Study'!$AB$1917</definedName>
    <definedName name="UAcct399Lrcl">'[11]Func Study'!$AB$1919</definedName>
    <definedName name="UAcct403360">'[11]Func Study'!$AB$1090</definedName>
    <definedName name="UAcct403361">'[11]Func Study'!$AB$1091</definedName>
    <definedName name="UAcct403362">'[11]Func Study'!$AB$1092</definedName>
    <definedName name="UAcct403364">'[11]Func Study'!$AB$1094</definedName>
    <definedName name="UAcct403365">'[11]Func Study'!$AB$1095</definedName>
    <definedName name="UAcct403366">'[11]Func Study'!$AB$1096</definedName>
    <definedName name="UAcct403367">'[11]Func Study'!$AB$1097</definedName>
    <definedName name="UAcct403368">'[11]Func Study'!$AB$1098</definedName>
    <definedName name="UAcct403369">'[11]Func Study'!$AB$1099</definedName>
    <definedName name="UAcct403370">'[11]Func Study'!$AB$1100</definedName>
    <definedName name="UAcct403371">'[11]Func Study'!$AB$1101</definedName>
    <definedName name="UAcct403372">'[11]Func Study'!$AB$1102</definedName>
    <definedName name="UAcct403373">'[11]Func Study'!$AB$1103</definedName>
    <definedName name="UAcct403Ep">'[11]Func Study'!$AB$1130</definedName>
    <definedName name="UAcct403Gpcn">'[11]Func Study'!$AB$1111</definedName>
    <definedName name="UAcct403GPDGP">'[11]Func Study'!$AB$1108</definedName>
    <definedName name="UAcct403GPDGU">'[11]Func Study'!$AB$1109</definedName>
    <definedName name="UAcct403GPJBG">'[11]Func Study'!$AB$1115</definedName>
    <definedName name="UAcct403Gps">'[11]Func Study'!$AB$1107</definedName>
    <definedName name="UAcct403Gpsg">'[11]Func Study'!$AB$1112</definedName>
    <definedName name="UAcct403Gpso">'[11]Func Study'!$AB$1113</definedName>
    <definedName name="UAcct403Gv0">'[11]Func Study'!$AB$1121</definedName>
    <definedName name="UAcct403Hp">'[11]Func Study'!$AB$1072</definedName>
    <definedName name="UACCT403JBE">'[11]Func Study'!$AB$1116</definedName>
    <definedName name="UAcct403Mp">'[11]Func Study'!$AB$1125</definedName>
    <definedName name="UAcct403Np">'[11]Func Study'!$AB$1065</definedName>
    <definedName name="UAcct403Op">'[11]Func Study'!$AB$1080</definedName>
    <definedName name="UAcct403OPCAGE">'[11]Func Study'!$AB$1078</definedName>
    <definedName name="UAcct403Sp">'[11]Func Study'!$AB$1061</definedName>
    <definedName name="UAcct403SPJBG">'[11]Func Study'!$AB$1058</definedName>
    <definedName name="UAcct403Tp">'[11]Func Study'!$AB$1087</definedName>
    <definedName name="UAcct404330">'[11]Func Study'!$AB$1177</definedName>
    <definedName name="UACCT404GP">'[11]Func Study'!$AB$1146</definedName>
    <definedName name="UACCT404GPCN">'[11]Func Study'!$AB$1143</definedName>
    <definedName name="UACCT404GPSO">'[11]Func Study'!$AB$1141</definedName>
    <definedName name="UAcct404Ipcn">'[11]Func Study'!$AB$1158</definedName>
    <definedName name="UAcct404IPJBG">'[11]Func Study'!$AB$1163</definedName>
    <definedName name="UAcct404Ips">'[11]Func Study'!$AB$1154</definedName>
    <definedName name="UAcct404Ipse">'[11]Func Study'!$AB$1155</definedName>
    <definedName name="UAcct404Ipsg">'[11]Func Study'!$AB$1156</definedName>
    <definedName name="UAcct404Ipsg1">'[11]Func Study'!$AB$1159</definedName>
    <definedName name="UAcct404Ipsg2">'[11]Func Study'!$AB$1160</definedName>
    <definedName name="UAcct404Ipso">'[11]Func Study'!$AB$1157</definedName>
    <definedName name="UAcct404M">'[11]Func Study'!$AB$1168</definedName>
    <definedName name="UACCT404OP">'[11]Func Study'!$AB$1172</definedName>
    <definedName name="UACCT404SP">'[11]Func Study'!$AB$1151</definedName>
    <definedName name="UAcct405">'[11]Func Study'!$AB$1185</definedName>
    <definedName name="UAcct406">'[11]Func Study'!$AB$1193</definedName>
    <definedName name="UAcct407">'[11]Func Study'!$AB$1202</definedName>
    <definedName name="UAcct408">'[11]Func Study'!$AB$1221</definedName>
    <definedName name="UAcct408S">'[11]Func Study'!$AB$1213</definedName>
    <definedName name="UAcct41010">'[11]Func Study'!$AB$1294</definedName>
    <definedName name="UAcct41011">'[11]Func Study'!$AB$1309</definedName>
    <definedName name="UACCT41020" localSheetId="18">'[12]Functional Study'!#REF!</definedName>
    <definedName name="UACCT41020">'[12]Functional Study'!#REF!</definedName>
    <definedName name="UACCT41020BADDEBT" localSheetId="18">'[12]Functional Study'!#REF!</definedName>
    <definedName name="UACCT41020BADDEBT">'[12]Functional Study'!#REF!</definedName>
    <definedName name="UACCT41020DITEXP" localSheetId="18">'[12]Functional Study'!#REF!</definedName>
    <definedName name="UACCT41020DITEXP">'[12]Functional Study'!#REF!</definedName>
    <definedName name="UACCT41020DNPU" localSheetId="18">'[12]Functional Study'!#REF!</definedName>
    <definedName name="UACCT41020DNPU">'[12]Functional Study'!#REF!</definedName>
    <definedName name="UACCT41020S" localSheetId="18">'[12]Functional Study'!#REF!</definedName>
    <definedName name="UACCT41020S">'[12]Functional Study'!#REF!</definedName>
    <definedName name="UACCT41020SE" localSheetId="18">'[12]Functional Study'!#REF!</definedName>
    <definedName name="UACCT41020SE">'[12]Functional Study'!#REF!</definedName>
    <definedName name="UACCT41020SG" localSheetId="18">'[12]Functional Study'!#REF!</definedName>
    <definedName name="UACCT41020SG">'[12]Functional Study'!#REF!</definedName>
    <definedName name="UACCT41020SGCT" localSheetId="18">'[12]Functional Study'!#REF!</definedName>
    <definedName name="UACCT41020SGCT">'[12]Functional Study'!#REF!</definedName>
    <definedName name="UACCT41020SGPP" localSheetId="18">'[12]Functional Study'!#REF!</definedName>
    <definedName name="UACCT41020SGPP">'[12]Functional Study'!#REF!</definedName>
    <definedName name="UACCT41020SO" localSheetId="18">'[12]Functional Study'!#REF!</definedName>
    <definedName name="UACCT41020SO">'[12]Functional Study'!#REF!</definedName>
    <definedName name="UACCT41020TROJP" localSheetId="18">'[12]Functional Study'!#REF!</definedName>
    <definedName name="UACCT41020TROJP">'[12]Functional Study'!#REF!</definedName>
    <definedName name="UACCT4102SNPD" localSheetId="18">'[12]Functional Study'!#REF!</definedName>
    <definedName name="UACCT4102SNPD">'[12]Functional Study'!#REF!</definedName>
    <definedName name="UAcct41110">'[11]Func Study'!$AB$1325</definedName>
    <definedName name="UAcct41111" localSheetId="18">'[12]Functional Study'!#REF!</definedName>
    <definedName name="UAcct41111">'[12]Functional Study'!#REF!</definedName>
    <definedName name="UAcct41111Baddebt" localSheetId="18">'[12]Functional Study'!#REF!</definedName>
    <definedName name="UAcct41111Baddebt">'[12]Functional Study'!#REF!</definedName>
    <definedName name="UAcct41111Dgp" localSheetId="18">'[12]Functional Study'!#REF!</definedName>
    <definedName name="UAcct41111Dgp">'[12]Functional Study'!#REF!</definedName>
    <definedName name="UAcct41111Dgu" localSheetId="18">'[12]Functional Study'!#REF!</definedName>
    <definedName name="UAcct41111Dgu">'[12]Functional Study'!#REF!</definedName>
    <definedName name="UAcct41111Ditexp" localSheetId="18">'[12]Functional Study'!#REF!</definedName>
    <definedName name="UAcct41111Ditexp">'[12]Functional Study'!#REF!</definedName>
    <definedName name="UAcct41111Dnpp" localSheetId="18">'[12]Functional Study'!#REF!</definedName>
    <definedName name="UAcct41111Dnpp">'[12]Functional Study'!#REF!</definedName>
    <definedName name="UAcct41111Dnptp" localSheetId="18">'[12]Functional Study'!#REF!</definedName>
    <definedName name="UAcct41111Dnptp">'[12]Functional Study'!#REF!</definedName>
    <definedName name="UAcct41111S" localSheetId="18">'[12]Functional Study'!#REF!</definedName>
    <definedName name="UAcct41111S">'[12]Functional Study'!#REF!</definedName>
    <definedName name="UAcct41111Se" localSheetId="18">'[12]Functional Study'!#REF!</definedName>
    <definedName name="UAcct41111Se">'[12]Functional Study'!#REF!</definedName>
    <definedName name="UAcct41111Sg" localSheetId="18">'[12]Functional Study'!#REF!</definedName>
    <definedName name="UAcct41111Sg">'[12]Functional Study'!#REF!</definedName>
    <definedName name="UAcct41111Sgpp" localSheetId="18">'[12]Functional Study'!#REF!</definedName>
    <definedName name="UAcct41111Sgpp">'[12]Functional Study'!#REF!</definedName>
    <definedName name="UAcct41111So" localSheetId="18">'[12]Functional Study'!#REF!</definedName>
    <definedName name="UAcct41111So">'[12]Functional Study'!#REF!</definedName>
    <definedName name="UAcct41111Trojp" localSheetId="18">'[12]Functional Study'!#REF!</definedName>
    <definedName name="UAcct41111Trojp">'[12]Functional Study'!#REF!</definedName>
    <definedName name="UAcct41140">'[11]Func Study'!$AB$1232</definedName>
    <definedName name="UAcct41141">'[11]Func Study'!$AB$1237</definedName>
    <definedName name="UAcct41160">'[11]Func Study'!$AB$369</definedName>
    <definedName name="UAcct41170">'[11]Func Study'!$AB$374</definedName>
    <definedName name="UAcct4118">'[11]Func Study'!$AB$378</definedName>
    <definedName name="UAcct41181">'[11]Func Study'!$AB$381</definedName>
    <definedName name="UAcct4194">'[11]Func Study'!$AB$385</definedName>
    <definedName name="UAcct421">'[11]Func Study'!$AB$394</definedName>
    <definedName name="UAcct4311">'[11]Func Study'!$AB$401</definedName>
    <definedName name="UAcct442Se">'[11]Func Study'!$AB$259</definedName>
    <definedName name="UAcct442Sg">'[11]Func Study'!$AB$260</definedName>
    <definedName name="UAcct447">'[11]Func Study'!$AB$281</definedName>
    <definedName name="UAcct447CAEE" localSheetId="18">'[9]Func Study'!#REF!</definedName>
    <definedName name="UAcct447CAEE">'[9]Func Study'!#REF!</definedName>
    <definedName name="UAcct447CAGE" localSheetId="18">'[9]Func Study'!#REF!</definedName>
    <definedName name="UAcct447CAGE">'[9]Func Study'!#REF!</definedName>
    <definedName name="UAcct447Dgu" localSheetId="18">'[10]Func Study'!#REF!</definedName>
    <definedName name="UAcct447Dgu">'[10]Func Study'!#REF!</definedName>
    <definedName name="UACCT447NPC">'[11]Func Study'!$AB$289</definedName>
    <definedName name="UACCT447NPCCAEW">'[11]Func Study'!$AB$286</definedName>
    <definedName name="UACCT447NPCCAGW">'[11]Func Study'!$AB$287</definedName>
    <definedName name="UACCT447NPCDGP">'[11]Func Study'!$AB$288</definedName>
    <definedName name="UAcct447S">'[11]Func Study'!$AB$280</definedName>
    <definedName name="UAcct448S">'[11]Func Study'!$AB$274</definedName>
    <definedName name="UAcct448So">'[11]Func Study'!$AB$275</definedName>
    <definedName name="UAcct449">'[11]Func Study'!$AB$294</definedName>
    <definedName name="UAcct450">'[11]Func Study'!$AB$304</definedName>
    <definedName name="UAcct450S">'[11]Func Study'!$AB$302</definedName>
    <definedName name="UAcct450So">'[11]Func Study'!$AB$303</definedName>
    <definedName name="UAcct451S">'[11]Func Study'!$AB$307</definedName>
    <definedName name="UAcct451Sg">'[11]Func Study'!$AB$308</definedName>
    <definedName name="UAcct451So">'[11]Func Study'!$AB$309</definedName>
    <definedName name="UAcct453">'[11]Func Study'!$AB$315</definedName>
    <definedName name="UAcct453CAGE" localSheetId="18">'[9]Func Study'!#REF!</definedName>
    <definedName name="UAcct453CAGE">'[9]Func Study'!#REF!</definedName>
    <definedName name="UAcct453CAGW" localSheetId="18">'[9]Func Study'!#REF!</definedName>
    <definedName name="UAcct453CAGW">'[9]Func Study'!#REF!</definedName>
    <definedName name="UAcct454">'[11]Func Study'!$AB$322</definedName>
    <definedName name="UAcct454JBG">'[11]Func Study'!$AB$319</definedName>
    <definedName name="UAcct454S">'[11]Func Study'!$AB$318</definedName>
    <definedName name="UAcct454Sg">'[11]Func Study'!$AB$320</definedName>
    <definedName name="UAcct454So">'[11]Func Study'!$AB$321</definedName>
    <definedName name="UAcct456">'[11]Func Study'!$AB$332</definedName>
    <definedName name="UAcct456CAEW">'[11]Func Study'!$AB$331</definedName>
    <definedName name="UAcct456S">'[11]Func Study'!$AB$325</definedName>
    <definedName name="UAcct456So">'[11]Func Study'!$AB$329</definedName>
    <definedName name="UAcct500">'[11]Func Study'!$AB$416</definedName>
    <definedName name="UAcct500JBG">'[11]Func Study'!$AB$414</definedName>
    <definedName name="UAcct501">'[11]Func Study'!$AB$423</definedName>
    <definedName name="UAcct501CAEW">'[11]Func Study'!$AB$420</definedName>
    <definedName name="UAcct501JBE">'[11]Func Study'!$AB$421</definedName>
    <definedName name="UACCT501NPCCAEW">'[11]Func Study'!$AB$426</definedName>
    <definedName name="UAcct502">'[11]Func Study'!$AB$433</definedName>
    <definedName name="UAcct502CAGE">'[11]Func Study'!$AB$431</definedName>
    <definedName name="UAcct502JBG" localSheetId="18">'[9]Func Study'!#REF!</definedName>
    <definedName name="UAcct502JBG">'[9]Func Study'!#REF!</definedName>
    <definedName name="UAcct503">'[11]Func Study'!$AB$437</definedName>
    <definedName name="UACCT503NPC">'[11]Func Study'!$AB$443</definedName>
    <definedName name="UAcct505">'[11]Func Study'!$AB$449</definedName>
    <definedName name="UAcct505CAGE">'[11]Func Study'!$AB$447</definedName>
    <definedName name="UAcct505JBG" localSheetId="18">'[9]Func Study'!#REF!</definedName>
    <definedName name="UAcct505JBG">'[9]Func Study'!#REF!</definedName>
    <definedName name="UAcct506">'[11]Func Study'!$AB$455</definedName>
    <definedName name="UAcct506CAGE">'[11]Func Study'!$AB$452</definedName>
    <definedName name="UAcct506JBG" localSheetId="18">'[9]Func Study'!#REF!</definedName>
    <definedName name="UAcct506JBG">'[9]Func Study'!#REF!</definedName>
    <definedName name="UAcct507">'[11]Func Study'!$AB$464</definedName>
    <definedName name="UAcct507CAGE">'[11]Func Study'!$AB$462</definedName>
    <definedName name="UAcct507JBG" localSheetId="18">'[9]Func Study'!#REF!</definedName>
    <definedName name="UAcct507JBG">'[9]Func Study'!#REF!</definedName>
    <definedName name="UAcct510">'[11]Func Study'!$AB$469</definedName>
    <definedName name="UAcct510CAGE">'[11]Func Study'!$AB$467</definedName>
    <definedName name="UAcct510JBG" localSheetId="18">'[9]Func Study'!#REF!</definedName>
    <definedName name="UAcct510JBG">'[9]Func Study'!#REF!</definedName>
    <definedName name="UAcct511">'[11]Func Study'!$AB$474</definedName>
    <definedName name="UAcct511CAGE">'[11]Func Study'!$AB$472</definedName>
    <definedName name="UAcct511JBG" localSheetId="18">'[9]Func Study'!#REF!</definedName>
    <definedName name="UAcct511JBG">'[9]Func Study'!#REF!</definedName>
    <definedName name="UAcct512">'[11]Func Study'!$AB$479</definedName>
    <definedName name="UAcct512CAGE">'[11]Func Study'!$AB$477</definedName>
    <definedName name="UAcct512JBG" localSheetId="18">'[9]Func Study'!#REF!</definedName>
    <definedName name="UAcct512JBG">'[9]Func Study'!#REF!</definedName>
    <definedName name="UAcct513">'[11]Func Study'!$AB$484</definedName>
    <definedName name="UAcct513CAGE">'[11]Func Study'!$AB$482</definedName>
    <definedName name="UAcct513JBG" localSheetId="18">'[9]Func Study'!#REF!</definedName>
    <definedName name="UAcct513JBG">'[9]Func Study'!#REF!</definedName>
    <definedName name="UAcct514">'[11]Func Study'!$AB$489</definedName>
    <definedName name="UAcct514CAGE">'[11]Func Study'!$AB$487</definedName>
    <definedName name="UAcct514JBG" localSheetId="18">'[9]Func Study'!#REF!</definedName>
    <definedName name="UAcct514JBG">'[9]Func Study'!#REF!</definedName>
    <definedName name="UAcct517">'[11]Func Study'!$AB$498</definedName>
    <definedName name="UAcct518">'[11]Func Study'!$AB$502</definedName>
    <definedName name="UAcct519">'[11]Func Study'!$AB$507</definedName>
    <definedName name="UAcct520">'[11]Func Study'!$AB$511</definedName>
    <definedName name="UAcct523">'[11]Func Study'!$AB$515</definedName>
    <definedName name="UAcct524">'[11]Func Study'!$AB$519</definedName>
    <definedName name="UAcct528">'[11]Func Study'!$AB$523</definedName>
    <definedName name="UAcct529">'[11]Func Study'!$AB$527</definedName>
    <definedName name="UAcct530">'[11]Func Study'!$AB$531</definedName>
    <definedName name="UAcct531">'[11]Func Study'!$AB$535</definedName>
    <definedName name="UAcct532">'[11]Func Study'!$AB$539</definedName>
    <definedName name="UAcct535">'[11]Func Study'!$AB$551</definedName>
    <definedName name="UAcct536">'[11]Func Study'!$AB$555</definedName>
    <definedName name="UAcct537">'[11]Func Study'!$AB$559</definedName>
    <definedName name="UAcct538">'[11]Func Study'!$AB$563</definedName>
    <definedName name="UAcct539">'[11]Func Study'!$AB$568</definedName>
    <definedName name="UAcct540">'[11]Func Study'!$AB$572</definedName>
    <definedName name="UAcct541">'[11]Func Study'!$AB$576</definedName>
    <definedName name="UAcct542">'[11]Func Study'!$AB$580</definedName>
    <definedName name="UAcct543">'[11]Func Study'!$AB$584</definedName>
    <definedName name="UAcct544">'[11]Func Study'!$AB$588</definedName>
    <definedName name="UAcct545">'[11]Func Study'!$AB$592</definedName>
    <definedName name="UAcct546">'[11]Func Study'!$AB$606</definedName>
    <definedName name="UAcct546CAGE">'[11]Func Study'!$AB$605</definedName>
    <definedName name="UAcct547CAEW">'[11]Func Study'!$AB$610</definedName>
    <definedName name="UACCT547NPCCAEW">'[11]Func Study'!$AB$613</definedName>
    <definedName name="UAcct547Se">'[11]Func Study'!$AB$609</definedName>
    <definedName name="UAcct548">'[11]Func Study'!$AB$621</definedName>
    <definedName name="UACCT548CAGE">'[11]Func Study'!$AB$620</definedName>
    <definedName name="UAcct549">'[11]Func Study'!$AB$626</definedName>
    <definedName name="Uacct549CAGE">'[11]Func Study'!$AB$625</definedName>
    <definedName name="UAcct5506SE" localSheetId="18">'[9]Func Study'!#REF!</definedName>
    <definedName name="UAcct5506SE">'[9]Func Study'!#REF!</definedName>
    <definedName name="UAcct551CAGE">'[11]Func Study'!$AB$634</definedName>
    <definedName name="UACCT551SG">'[11]Func Study'!$AB$635</definedName>
    <definedName name="UACCT552CAGE">'[11]Func Study'!$AB$640</definedName>
    <definedName name="UAcct552SG">'[11]Func Study'!$AB$639</definedName>
    <definedName name="UACCT553CAGE">'[11]Func Study'!$AB$646</definedName>
    <definedName name="UAcct553SG">'[11]Func Study'!$AB$645</definedName>
    <definedName name="UACCT554CAGE">'[11]Func Study'!$AB$651</definedName>
    <definedName name="UAcct554SG">'[11]Func Study'!$AB$650</definedName>
    <definedName name="UAcct555CAEE" localSheetId="18">'[9]Func Study'!#REF!</definedName>
    <definedName name="UAcct555CAEE">'[9]Func Study'!#REF!</definedName>
    <definedName name="UAcct555CAEW">'[11]Func Study'!$AB$665</definedName>
    <definedName name="UAcct555CAGE" localSheetId="18">'[9]Func Study'!#REF!</definedName>
    <definedName name="UAcct555CAGE">'[9]Func Study'!#REF!</definedName>
    <definedName name="UAcct555CAGW">'[11]Func Study'!$AB$664</definedName>
    <definedName name="UACCT555DGP">'[11]Func Study'!$AB$670</definedName>
    <definedName name="UACCT555NPCCAEW">'[11]Func Study'!$AB$669</definedName>
    <definedName name="UACCT555NPCCAGW">'[11]Func Study'!$AB$668</definedName>
    <definedName name="UAcct555S">'[11]Func Study'!$AB$663</definedName>
    <definedName name="UAcct555Se">'[11]Func Study'!$AB$665</definedName>
    <definedName name="UACCT555SG">'[11]Func Study'!$AB$664</definedName>
    <definedName name="UAcct556">'[11]Func Study'!$AB$676</definedName>
    <definedName name="UAcct557">'[11]Func Study'!$AB$685</definedName>
    <definedName name="UAcct560">'[11]Func Study'!$AB$715</definedName>
    <definedName name="UAcct561">'[11]Func Study'!$AB$720</definedName>
    <definedName name="UAcct562">'[11]Func Study'!$AB$726</definedName>
    <definedName name="UAcct563">'[11]Func Study'!$AB$731</definedName>
    <definedName name="UAcct564">'[11]Func Study'!$AB$735</definedName>
    <definedName name="UAcct565">'[11]Func Study'!$AB$739</definedName>
    <definedName name="UACCT565NPC">'[11]Func Study'!$AB$744</definedName>
    <definedName name="UACCT565NPCCAGW">'[11]Func Study'!$AB$742</definedName>
    <definedName name="UAcct566">'[11]Func Study'!$AB$748</definedName>
    <definedName name="UAcct567">'[11]Func Study'!$AB$752</definedName>
    <definedName name="UAcct568">'[11]Func Study'!$AB$756</definedName>
    <definedName name="UAcct569">'[11]Func Study'!$AB$760</definedName>
    <definedName name="UAcct570">'[11]Func Study'!$AB$765</definedName>
    <definedName name="UAcct571">'[11]Func Study'!$AB$770</definedName>
    <definedName name="UAcct572">'[11]Func Study'!$AB$774</definedName>
    <definedName name="UAcct573">'[11]Func Study'!$AB$778</definedName>
    <definedName name="UAcct580">'[11]Func Study'!$AB$791</definedName>
    <definedName name="UAcct581">'[11]Func Study'!$AB$796</definedName>
    <definedName name="UAcct582">'[11]Func Study'!$AB$801</definedName>
    <definedName name="UAcct583">'[11]Func Study'!$AB$806</definedName>
    <definedName name="UAcct584">'[11]Func Study'!$AB$811</definedName>
    <definedName name="UAcct585">'[11]Func Study'!$AB$816</definedName>
    <definedName name="UAcct586">'[11]Func Study'!$AB$821</definedName>
    <definedName name="UAcct587">'[11]Func Study'!$AB$826</definedName>
    <definedName name="UAcct588">'[11]Func Study'!$AB$831</definedName>
    <definedName name="UAcct589">'[11]Func Study'!$AB$836</definedName>
    <definedName name="UAcct590">'[11]Func Study'!$AB$841</definedName>
    <definedName name="UAcct591">'[11]Func Study'!$AB$846</definedName>
    <definedName name="UAcct592">'[11]Func Study'!$AB$851</definedName>
    <definedName name="UAcct593">'[11]Func Study'!$AB$856</definedName>
    <definedName name="UAcct594">'[11]Func Study'!$AB$861</definedName>
    <definedName name="UAcct595">'[11]Func Study'!$AB$866</definedName>
    <definedName name="UAcct596">'[11]Func Study'!$AB$876</definedName>
    <definedName name="UAcct597">'[11]Func Study'!$AB$881</definedName>
    <definedName name="UAcct598">'[11]Func Study'!$AB$886</definedName>
    <definedName name="UAcct901">'[11]Func Study'!$AB$898</definedName>
    <definedName name="UAcct902">'[11]Func Study'!$AB$903</definedName>
    <definedName name="UAcct903">'[11]Func Study'!$AB$908</definedName>
    <definedName name="UAcct904">'[11]Func Study'!$AB$914</definedName>
    <definedName name="Uacct904SG" localSheetId="18">'[13]Functional Study'!#REF!</definedName>
    <definedName name="Uacct904SG">'[13]Functional Study'!#REF!</definedName>
    <definedName name="UAcct905">'[11]Func Study'!$AB$919</definedName>
    <definedName name="UAcct907">'[11]Func Study'!$AB$933</definedName>
    <definedName name="UAcct908">'[11]Func Study'!$AB$938</definedName>
    <definedName name="UAcct909">'[11]Func Study'!$AB$943</definedName>
    <definedName name="UAcct910">'[11]Func Study'!$AB$948</definedName>
    <definedName name="UAcct911">'[11]Func Study'!$AB$959</definedName>
    <definedName name="UAcct912">'[11]Func Study'!$AB$964</definedName>
    <definedName name="UAcct913">'[11]Func Study'!$AB$969</definedName>
    <definedName name="UAcct916">'[11]Func Study'!$AB$974</definedName>
    <definedName name="UAcct920">'[11]Func Study'!$AB$985</definedName>
    <definedName name="UAcct920Cn">'[11]Func Study'!$AB$983</definedName>
    <definedName name="UAcct921">'[11]Func Study'!$AB$991</definedName>
    <definedName name="UAcct921Cn">'[11]Func Study'!$AB$989</definedName>
    <definedName name="UAcct923">'[11]Func Study'!$AB$997</definedName>
    <definedName name="UAcct923CAGW">'[11]Func Study'!$AB$995</definedName>
    <definedName name="UAcct924">'[11]Func Study'!$AB$1001</definedName>
    <definedName name="UAcct925">'[11]Func Study'!$AB$1005</definedName>
    <definedName name="UAcct926">'[11]Func Study'!$AB$1011</definedName>
    <definedName name="UAcct927">'[11]Func Study'!$AB$1016</definedName>
    <definedName name="UAcct928">'[11]Func Study'!$AB$1023</definedName>
    <definedName name="UAcct929">'[11]Func Study'!$AB$1028</definedName>
    <definedName name="UAcct930">'[11]Func Study'!$AB$1034</definedName>
    <definedName name="UAcct931">'[11]Func Study'!$AB$1039</definedName>
    <definedName name="UAcct935">'[11]Func Study'!$AB$1045</definedName>
    <definedName name="UAcctAGA">'[11]Func Study'!$AB$296</definedName>
    <definedName name="UAcctcwc">'[11]Func Study'!$AB$2136</definedName>
    <definedName name="UAcctd00">'[11]Func Study'!$AB$1786</definedName>
    <definedName name="UAcctdfa" localSheetId="18">'[11]Func Study'!#REF!</definedName>
    <definedName name="UAcctdfa">'[11]Func Study'!#REF!</definedName>
    <definedName name="UAcctdfad" localSheetId="18">'[11]Func Study'!#REF!</definedName>
    <definedName name="UAcctdfad">'[11]Func Study'!#REF!</definedName>
    <definedName name="UAcctdfap" localSheetId="18">'[11]Func Study'!#REF!</definedName>
    <definedName name="UAcctdfap">'[11]Func Study'!#REF!</definedName>
    <definedName name="UAcctdfat" localSheetId="18">'[11]Func Study'!#REF!</definedName>
    <definedName name="UAcctdfat">'[11]Func Study'!#REF!</definedName>
    <definedName name="UAcctds0">'[11]Func Study'!$AB$1790</definedName>
    <definedName name="UACCTECDDGP">'[11]Func Study'!$AB$687</definedName>
    <definedName name="UACCTECDMC">'[11]Func Study'!$AB$689</definedName>
    <definedName name="UACCTECDS">'[11]Func Study'!$AB$691</definedName>
    <definedName name="UACCTECDSG1">'[11]Func Study'!$AB$688</definedName>
    <definedName name="UACCTECDSG2">'[11]Func Study'!$AB$690</definedName>
    <definedName name="UACCTECDSG3">'[11]Func Study'!$AB$692</definedName>
    <definedName name="UAcctfit">'[11]Func Study'!$AB$1395</definedName>
    <definedName name="UAcctg00">'[11]Func Study'!$AB$1947</definedName>
    <definedName name="UAccth00">'[11]Func Study'!$AB$1545</definedName>
    <definedName name="UAccti00">'[11]Func Study'!$AB$1993</definedName>
    <definedName name="UAcctn00">'[11]Func Study'!$AB$1496</definedName>
    <definedName name="UAccto00">'[11]Func Study'!$AB$1606</definedName>
    <definedName name="UAcctowc">'[11]Func Study'!$AB$2149</definedName>
    <definedName name="UACCTOWCSSECH">'[11]Func Study'!$AB$2148</definedName>
    <definedName name="UAccts00">'[11]Func Study'!$AB$1455</definedName>
    <definedName name="UAcctsttax">'[11]Func Study'!$AB$1377</definedName>
    <definedName name="UAcctt00">'[11]Func Study'!$AB$1682</definedName>
    <definedName name="UNBILREV" localSheetId="18">#REF!</definedName>
    <definedName name="UNBILREV">#REF!</definedName>
    <definedName name="UncollectibleAccounts" localSheetId="27">[15]Variables!$D$25</definedName>
    <definedName name="UncollectibleAccounts" localSheetId="26">[15]Variables!$D$25</definedName>
    <definedName name="UncollectibleAccounts" localSheetId="31">[15]Variables!$D$25</definedName>
    <definedName name="UncollectibleAccounts">[15]Variables!$D$25</definedName>
    <definedName name="UtGrossReceipts" localSheetId="27">[15]Variables!$D$29</definedName>
    <definedName name="UtGrossReceipts" localSheetId="26">[15]Variables!$D$29</definedName>
    <definedName name="UtGrossReceipts" localSheetId="31">[15]Variables!$D$29</definedName>
    <definedName name="UtGrossReceipts">[15]Variables!$D$29</definedName>
    <definedName name="V_ref">[8]ASSIGN!$AK$54:$AN$54</definedName>
    <definedName name="ValidAccount">[14]Variables!$AK$43:$AK$369</definedName>
    <definedName name="VAR" localSheetId="18">[16]Backup!#REF!</definedName>
    <definedName name="VAR">[16]Backup!#REF!</definedName>
    <definedName name="VARIABLE" localSheetId="18">[25]Summary!#REF!</definedName>
    <definedName name="VARIABLE">[25]Summary!#REF!</definedName>
    <definedName name="VOUCHER" localSheetId="18">#REF!</definedName>
    <definedName name="VOUCHER">#REF!</definedName>
    <definedName name="WaRevenueTax" localSheetId="27">[15]Variables!$D$27</definedName>
    <definedName name="WaRevenueTax" localSheetId="26">[15]Variables!$D$27</definedName>
    <definedName name="WaRevenueTax" localSheetId="31">[15]Variables!$D$27</definedName>
    <definedName name="WaRevenueTax">[15]Variables!$D$27</definedName>
    <definedName name="WEATHER" localSheetId="18">#REF!</definedName>
    <definedName name="WEATHER">#REF!</definedName>
    <definedName name="WEATHRNORM" localSheetId="18">#REF!</definedName>
    <definedName name="WEATHRNORM">#REF!</definedName>
    <definedName name="WIDTH" localSheetId="18">#REF!</definedName>
    <definedName name="WIDTH">#REF!</definedName>
    <definedName name="WinterPeak" localSheetId="27">'[35]Load Data'!$D$9:$H$12,'[35]Load Data'!$D$20:$H$22</definedName>
    <definedName name="WinterPeak" localSheetId="26">'[35]Load Data'!$D$9:$H$12,'[35]Load Data'!$D$20:$H$22</definedName>
    <definedName name="WinterPeak" localSheetId="31">'[35]Load Data'!$D$9:$H$12,'[35]Load Data'!$D$20:$H$22</definedName>
    <definedName name="WinterPeak">'[35]Load Data'!$D$9:$H$12,'[35]Load Data'!$D$20:$H$22</definedName>
    <definedName name="WORK1" localSheetId="18">#REF!</definedName>
    <definedName name="WORK1">#REF!</definedName>
    <definedName name="WORK2" localSheetId="18">#REF!</definedName>
    <definedName name="WORK2">#REF!</definedName>
    <definedName name="WORK3" localSheetId="18">#REF!</definedName>
    <definedName name="WORK3">#REF!</definedName>
    <definedName name="wrn.OR._.Carrying._.Charge._.JV." localSheetId="13" hidden="1">{#N/A,#N/A,FALSE,"Loans";#N/A,#N/A,FALSE,"Program Costs";#N/A,#N/A,FALSE,"Measures";#N/A,#N/A,FALSE,"Net Lost Rev";#N/A,#N/A,FALSE,"Incentive"}</definedName>
    <definedName name="wrn.OR._.Carrying._.Charge._.JV." localSheetId="14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3" hidden="1">{#N/A,#N/A,FALSE,"Loans";#N/A,#N/A,FALSE,"Program Costs";#N/A,#N/A,FALSE,"Measures";#N/A,#N/A,FALSE,"Net Lost Rev";#N/A,#N/A,FALSE,"Incentive"}</definedName>
    <definedName name="wrn.OR._.Carrying._.Charge._.JV.1" localSheetId="14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x">'[36]Weather Present'!$K$7</definedName>
    <definedName name="X_ref">[8]ASSIGN!$AK$25:$AY$25</definedName>
    <definedName name="y" localSheetId="38" hidden="1">#REF!</definedName>
    <definedName name="y" localSheetId="39" hidden="1">#REF!</definedName>
    <definedName name="y" localSheetId="3" hidden="1">#REF!</definedName>
    <definedName name="y" localSheetId="8" hidden="1">#REF!</definedName>
    <definedName name="y" localSheetId="9" hidden="1">#REF!</definedName>
    <definedName name="y" localSheetId="10" hidden="1">#REF!</definedName>
    <definedName name="y" localSheetId="11" hidden="1">#REF!</definedName>
    <definedName name="y" localSheetId="12" hidden="1">#REF!</definedName>
    <definedName name="y" localSheetId="13" hidden="1">#REF!</definedName>
    <definedName name="y" localSheetId="40" hidden="1">'[5]DSM Output'!$B$21:$B$23</definedName>
    <definedName name="y" localSheetId="41" hidden="1">'[5]DSM Output'!$B$21:$B$23</definedName>
    <definedName name="y" localSheetId="0" hidden="1">#REF!</definedName>
    <definedName name="y" localSheetId="1" hidden="1">#REF!</definedName>
    <definedName name="y" localSheetId="2" hidden="1">#REF!</definedName>
    <definedName name="y" localSheetId="18" hidden="1">#REF!</definedName>
    <definedName name="y" localSheetId="17" hidden="1">#REF!</definedName>
    <definedName name="y" localSheetId="27" hidden="1">'[5]DSM Output'!$B$21:$B$23</definedName>
    <definedName name="y" localSheetId="26" hidden="1">'[5]DSM Output'!$B$21:$B$23</definedName>
    <definedName name="y" localSheetId="31" hidden="1">'[5]DSM Output'!$B$21:$B$23</definedName>
    <definedName name="y" hidden="1">'[5]DSM Output'!$B$21:$B$23</definedName>
    <definedName name="year" localSheetId="5">#REF!</definedName>
    <definedName name="Year" localSheetId="18">#REF!</definedName>
    <definedName name="Year">#REF!</definedName>
    <definedName name="YEFactors">[14]Factors!$S$3:$AG$99</definedName>
    <definedName name="z" localSheetId="38" hidden="1">#REF!</definedName>
    <definedName name="z" localSheetId="39" hidden="1">#REF!</definedName>
    <definedName name="z" localSheetId="3" hidden="1">#REF!</definedName>
    <definedName name="z" localSheetId="8" hidden="1">#REF!</definedName>
    <definedName name="z" localSheetId="9" hidden="1">#REF!</definedName>
    <definedName name="z" localSheetId="10" hidden="1">#REF!</definedName>
    <definedName name="z" localSheetId="11" hidden="1">#REF!</definedName>
    <definedName name="z" localSheetId="12" hidden="1">#REF!</definedName>
    <definedName name="z" localSheetId="13" hidden="1">#REF!</definedName>
    <definedName name="z" localSheetId="40" hidden="1">'[5]DSM Output'!$G$21:$G$23</definedName>
    <definedName name="z" localSheetId="41" hidden="1">'[5]DSM Output'!$G$21:$G$23</definedName>
    <definedName name="z" localSheetId="0" hidden="1">#REF!</definedName>
    <definedName name="z" localSheetId="1" hidden="1">#REF!</definedName>
    <definedName name="z" localSheetId="2" hidden="1">#REF!</definedName>
    <definedName name="z" localSheetId="18" hidden="1">#REF!</definedName>
    <definedName name="z" localSheetId="17" hidden="1">#REF!</definedName>
    <definedName name="z" localSheetId="27" hidden="1">'[5]DSM Output'!$G$21:$G$23</definedName>
    <definedName name="z" localSheetId="26" hidden="1">'[5]DSM Output'!$G$21:$G$23</definedName>
    <definedName name="z" localSheetId="31" hidden="1">'[5]DSM Output'!$G$21:$G$23</definedName>
    <definedName name="z" hidden="1">'[5]DSM Output'!$G$21:$G$23</definedName>
    <definedName name="ZA" localSheetId="18">'[37] annual balance '!#REF!</definedName>
    <definedName name="ZA">'[37] annual balance '!#REF!</definedName>
  </definedNames>
  <calcPr calcId="145621"/>
  <pivotCaches>
    <pivotCache cacheId="0" r:id="rId83"/>
  </pivotCaches>
</workbook>
</file>

<file path=xl/calcChain.xml><?xml version="1.0" encoding="utf-8"?>
<calcChain xmlns="http://schemas.openxmlformats.org/spreadsheetml/2006/main">
  <c r="I13" i="12849" l="1"/>
  <c r="I12" i="12849"/>
  <c r="I11" i="12849"/>
  <c r="N17" i="12849" l="1"/>
  <c r="I170" i="12767" l="1"/>
  <c r="V50" i="12831"/>
  <c r="I604" i="12767"/>
  <c r="I603" i="12767"/>
  <c r="I935" i="12767" l="1"/>
  <c r="K891" i="12767"/>
  <c r="I936" i="12767"/>
  <c r="I1085" i="12767"/>
  <c r="I1086" i="12767"/>
  <c r="I720" i="12767"/>
  <c r="V24" i="12831"/>
  <c r="V60" i="12831"/>
  <c r="U16" i="12831"/>
  <c r="AK16" i="12831"/>
  <c r="U50" i="12831" l="1"/>
  <c r="T22" i="12849" l="1"/>
  <c r="E20" i="12855" l="1"/>
  <c r="E22" i="12855" s="1"/>
  <c r="C20" i="12855"/>
  <c r="C22" i="12855" s="1"/>
  <c r="F19" i="12855"/>
  <c r="F20" i="12855" s="1"/>
  <c r="D19" i="12855"/>
  <c r="F18" i="12855"/>
  <c r="D18" i="12855"/>
  <c r="D20" i="12855" s="1"/>
  <c r="E15" i="12855"/>
  <c r="C15" i="12855"/>
  <c r="F14" i="12855"/>
  <c r="F15" i="12855" s="1"/>
  <c r="D14" i="12855"/>
  <c r="F13" i="12855"/>
  <c r="D13" i="12855"/>
  <c r="D15" i="12855" s="1"/>
  <c r="E10" i="12855"/>
  <c r="C10" i="12855"/>
  <c r="F9" i="12855"/>
  <c r="F10" i="12855" s="1"/>
  <c r="C9" i="12855"/>
  <c r="D9" i="12855" s="1"/>
  <c r="F8" i="12855"/>
  <c r="D8" i="12855"/>
  <c r="F7" i="12855"/>
  <c r="D7" i="12855"/>
  <c r="F6" i="12855"/>
  <c r="D6" i="12855"/>
  <c r="D10" i="12855" s="1"/>
  <c r="F22" i="12855" l="1"/>
  <c r="D22" i="12855"/>
  <c r="G21" i="12854" l="1"/>
  <c r="F20" i="12854"/>
  <c r="D20" i="12854"/>
  <c r="G18" i="12854"/>
  <c r="E18" i="12854"/>
  <c r="E21" i="12854" s="1"/>
  <c r="F17" i="12854"/>
  <c r="D17" i="12854"/>
  <c r="F16" i="12854"/>
  <c r="F18" i="12854" s="1"/>
  <c r="F21" i="12854" s="1"/>
  <c r="D16" i="12854"/>
  <c r="D18" i="12854" s="1"/>
  <c r="D21" i="12854" s="1"/>
  <c r="F10" i="12854"/>
  <c r="D10" i="12854"/>
  <c r="F9" i="12854"/>
  <c r="F12" i="12854" s="1"/>
  <c r="D9" i="12854"/>
  <c r="G7" i="12854"/>
  <c r="G12" i="12854" s="1"/>
  <c r="E7" i="12854"/>
  <c r="E12" i="12854" s="1"/>
  <c r="F6" i="12854"/>
  <c r="D6" i="12854"/>
  <c r="F5" i="12854"/>
  <c r="F7" i="12854" s="1"/>
  <c r="F11" i="12854" s="1"/>
  <c r="D5" i="12854"/>
  <c r="F4" i="12854"/>
  <c r="D4" i="12854"/>
  <c r="D7" i="12854" s="1"/>
  <c r="D11" i="12854" s="1"/>
  <c r="D12" i="12854" l="1"/>
  <c r="E11" i="12854"/>
  <c r="G11" i="12854"/>
  <c r="H33" i="12849" l="1"/>
  <c r="A12" i="12853"/>
  <c r="A13" i="12853" s="1"/>
  <c r="A14" i="12853" s="1"/>
  <c r="A15" i="12853" s="1"/>
  <c r="A16" i="12853" s="1"/>
  <c r="A17" i="12853" s="1"/>
  <c r="A18" i="12853" s="1"/>
  <c r="A19" i="12853" s="1"/>
  <c r="A20" i="12853" s="1"/>
  <c r="A21" i="12853" s="1"/>
  <c r="A22" i="12853" s="1"/>
  <c r="A23" i="12853" s="1"/>
  <c r="A24" i="12853" s="1"/>
  <c r="A25" i="12853" s="1"/>
  <c r="A26" i="12853" s="1"/>
  <c r="A27" i="12853" s="1"/>
  <c r="A28" i="12853" s="1"/>
  <c r="A8" i="12853"/>
  <c r="A9" i="12853" s="1"/>
  <c r="A10" i="12853" s="1"/>
  <c r="A11" i="12853" s="1"/>
  <c r="H13" i="12849"/>
  <c r="D11" i="12853"/>
  <c r="D10" i="12853"/>
  <c r="C11" i="12853"/>
  <c r="C12" i="12853" s="1"/>
  <c r="C10" i="12853"/>
  <c r="D9" i="12853"/>
  <c r="C9" i="12853"/>
  <c r="D12" i="12853" l="1"/>
  <c r="D13" i="12853" s="1"/>
  <c r="C13" i="12853"/>
  <c r="A3" i="12835" l="1"/>
  <c r="A4" i="12835" s="1"/>
  <c r="A5" i="12835" s="1"/>
  <c r="A6" i="12835" s="1"/>
  <c r="A7" i="12835" s="1"/>
  <c r="A8" i="12835" s="1"/>
  <c r="A9" i="12835" s="1"/>
  <c r="A10" i="12835" s="1"/>
  <c r="A11" i="12835" s="1"/>
  <c r="A12" i="12835" s="1"/>
  <c r="A13" i="12835" s="1"/>
  <c r="A14" i="12835" s="1"/>
  <c r="A15" i="12835" s="1"/>
  <c r="A16" i="12835" s="1"/>
  <c r="A17" i="12835" s="1"/>
  <c r="A18" i="12835" s="1"/>
  <c r="A19" i="12835" s="1"/>
  <c r="A20" i="12835" s="1"/>
  <c r="A21" i="12835" s="1"/>
  <c r="A22" i="12835" s="1"/>
  <c r="A23" i="12835" s="1"/>
  <c r="A24" i="12835" s="1"/>
  <c r="A25" i="12835" s="1"/>
  <c r="A26" i="12835" s="1"/>
  <c r="A27" i="12835" s="1"/>
  <c r="A28" i="12835" s="1"/>
  <c r="A29" i="12835" s="1"/>
  <c r="A30" i="12835" s="1"/>
  <c r="A31" i="12835" s="1"/>
  <c r="A32" i="12835" s="1"/>
  <c r="A33" i="12835" s="1"/>
  <c r="A34" i="12835" s="1"/>
  <c r="A35" i="12835" s="1"/>
  <c r="A36" i="12835" s="1"/>
  <c r="A37" i="12835" s="1"/>
  <c r="A38" i="12835" s="1"/>
  <c r="A39" i="12835" s="1"/>
  <c r="A40" i="12835" s="1"/>
  <c r="A41" i="12835" s="1"/>
  <c r="A42" i="12835" s="1"/>
  <c r="A43" i="12835" s="1"/>
  <c r="A44" i="12835" s="1"/>
  <c r="A45" i="12835" s="1"/>
  <c r="A46" i="12835" s="1"/>
  <c r="A47" i="12835" s="1"/>
  <c r="A48" i="12835" s="1"/>
  <c r="A49" i="12835" s="1"/>
  <c r="A50" i="12835" s="1"/>
  <c r="A51" i="12835" s="1"/>
  <c r="A52" i="12835" s="1"/>
  <c r="A53" i="12835" s="1"/>
  <c r="A54" i="12835" s="1"/>
  <c r="A55" i="12835" s="1"/>
  <c r="A56" i="12835" s="1"/>
  <c r="A57" i="12835" s="1"/>
  <c r="A58" i="12835" s="1"/>
  <c r="A59" i="12835" s="1"/>
  <c r="A60" i="12835" s="1"/>
  <c r="A61" i="12835" s="1"/>
  <c r="A62" i="12835" s="1"/>
  <c r="A63" i="12835" s="1"/>
  <c r="A64" i="12835" s="1"/>
  <c r="A65" i="12835" s="1"/>
  <c r="A66" i="12835" s="1"/>
  <c r="A67" i="12835" s="1"/>
  <c r="A68" i="12835" s="1"/>
  <c r="A69" i="12835" s="1"/>
  <c r="A70" i="12835" s="1"/>
  <c r="A71" i="12835" s="1"/>
  <c r="A72" i="12835" s="1"/>
  <c r="A73" i="12835" s="1"/>
  <c r="A74" i="12835" s="1"/>
  <c r="A75" i="12835" s="1"/>
  <c r="A76" i="12835" s="1"/>
  <c r="A77" i="12835" s="1"/>
  <c r="A78" i="12835" s="1"/>
  <c r="A79" i="12835" s="1"/>
  <c r="A80" i="12835" s="1"/>
  <c r="A81" i="12835" s="1"/>
  <c r="A82" i="12835" s="1"/>
  <c r="A83" i="12835" s="1"/>
  <c r="A84" i="12835" s="1"/>
  <c r="A85" i="12835" s="1"/>
  <c r="A86" i="12835" s="1"/>
  <c r="A87" i="12835" s="1"/>
  <c r="A88" i="12835" s="1"/>
  <c r="A89" i="12835" s="1"/>
  <c r="A90" i="12835" s="1"/>
  <c r="A91" i="12835" s="1"/>
  <c r="A92" i="12835" s="1"/>
  <c r="A93" i="12835" s="1"/>
  <c r="A94" i="12835" s="1"/>
  <c r="A95" i="12835" s="1"/>
  <c r="A96" i="12835" s="1"/>
  <c r="A97" i="12835" s="1"/>
  <c r="A98" i="12835" s="1"/>
  <c r="A99" i="12835" s="1"/>
  <c r="A100" i="12835" s="1"/>
  <c r="A101" i="12835" s="1"/>
  <c r="A102" i="12835" s="1"/>
  <c r="A103" i="12835" s="1"/>
  <c r="A104" i="12835" s="1"/>
  <c r="A105" i="12835" s="1"/>
  <c r="A106" i="12835" s="1"/>
  <c r="A107" i="12835" s="1"/>
  <c r="A108" i="12835" s="1"/>
  <c r="A109" i="12835" s="1"/>
  <c r="A110" i="12835" s="1"/>
  <c r="A111" i="12835" s="1"/>
  <c r="A112" i="12835" s="1"/>
  <c r="A113" i="12835" s="1"/>
  <c r="A114" i="12835" s="1"/>
  <c r="A115" i="12835" s="1"/>
  <c r="A116" i="12835" s="1"/>
  <c r="A117" i="12835" s="1"/>
  <c r="A118" i="12835" s="1"/>
  <c r="A119" i="12835" s="1"/>
  <c r="A120" i="12835" s="1"/>
  <c r="A121" i="12835" s="1"/>
  <c r="A122" i="12835" s="1"/>
  <c r="A123" i="12835" s="1"/>
  <c r="A124" i="12835" s="1"/>
  <c r="A125" i="12835" s="1"/>
  <c r="A126" i="12835" s="1"/>
  <c r="A127" i="12835" s="1"/>
  <c r="A128" i="12835" s="1"/>
  <c r="A129" i="12835" s="1"/>
  <c r="A130" i="12835" s="1"/>
  <c r="A131" i="12835" s="1"/>
  <c r="A132" i="12835" s="1"/>
  <c r="A133" i="12835" s="1"/>
  <c r="A134" i="12835" s="1"/>
  <c r="Q12" i="12850"/>
  <c r="H869" i="12767"/>
  <c r="I6" i="12835"/>
  <c r="E9" i="12853" s="1"/>
  <c r="E17" i="12853" l="1"/>
  <c r="C17" i="12853"/>
  <c r="D17" i="12853"/>
  <c r="I1204" i="12767"/>
  <c r="I1205" i="12767"/>
  <c r="I1207" i="12767"/>
  <c r="I1208" i="12767"/>
  <c r="I1211" i="12767"/>
  <c r="I1212" i="12767"/>
  <c r="I1213" i="12767"/>
  <c r="I1215" i="12767"/>
  <c r="I1216" i="12767"/>
  <c r="I1219" i="12767"/>
  <c r="I1220" i="12767"/>
  <c r="I1221" i="12767"/>
  <c r="I1223" i="12767"/>
  <c r="I1224" i="12767"/>
  <c r="I1226" i="12767"/>
  <c r="I1203" i="12767"/>
  <c r="I1192" i="12767"/>
  <c r="I1190" i="12767"/>
  <c r="I1189" i="12767"/>
  <c r="I1227" i="12767"/>
  <c r="I1228" i="12767"/>
  <c r="I1230" i="12767"/>
  <c r="I1165" i="12767"/>
  <c r="I1160" i="12767"/>
  <c r="I1161" i="12767"/>
  <c r="I1162" i="12767"/>
  <c r="I1163" i="12767"/>
  <c r="I1159" i="12767"/>
  <c r="I1152" i="12767"/>
  <c r="I1153" i="12767"/>
  <c r="I1154" i="12767"/>
  <c r="I1155" i="12767"/>
  <c r="I1156" i="12767"/>
  <c r="I1151" i="12767"/>
  <c r="I1125" i="12767"/>
  <c r="I1126" i="12767" s="1"/>
  <c r="I1098" i="12767"/>
  <c r="I1099" i="12767"/>
  <c r="I1100" i="12767"/>
  <c r="I1101" i="12767"/>
  <c r="I1102" i="12767"/>
  <c r="I1103" i="12767"/>
  <c r="I1104" i="12767"/>
  <c r="I1105" i="12767"/>
  <c r="I1106" i="12767"/>
  <c r="I1097" i="12767"/>
  <c r="N174" i="12767"/>
  <c r="P10" i="12849"/>
  <c r="N15" i="12850"/>
  <c r="N18" i="12850" s="1"/>
  <c r="I12" i="12767"/>
  <c r="I13" i="12767"/>
  <c r="I15" i="12767"/>
  <c r="I16" i="12767"/>
  <c r="I17" i="12767"/>
  <c r="I18" i="12767"/>
  <c r="I11" i="12767"/>
  <c r="V16" i="12852"/>
  <c r="V22" i="12852"/>
  <c r="U22" i="12852" s="1"/>
  <c r="Q22" i="12852" s="1"/>
  <c r="V25" i="12852"/>
  <c r="U25" i="12852" s="1"/>
  <c r="V24" i="12852"/>
  <c r="V27" i="12852"/>
  <c r="V26" i="12852"/>
  <c r="V28" i="12852"/>
  <c r="V29" i="12852"/>
  <c r="V35" i="12852"/>
  <c r="V36" i="12852"/>
  <c r="U36" i="12852" s="1"/>
  <c r="Q36" i="12852" s="1"/>
  <c r="V37" i="12852"/>
  <c r="U37" i="12852" s="1"/>
  <c r="Q37" i="12852" s="1"/>
  <c r="V38" i="12852"/>
  <c r="V39" i="12852"/>
  <c r="V23" i="12852"/>
  <c r="V29" i="12831"/>
  <c r="V35" i="12831"/>
  <c r="U35" i="12831" s="1"/>
  <c r="Q35" i="12831" s="1"/>
  <c r="AD35" i="12831" s="1"/>
  <c r="V36" i="12831"/>
  <c r="V37" i="12831"/>
  <c r="V38" i="12831"/>
  <c r="V39" i="12831"/>
  <c r="U26" i="12852"/>
  <c r="U24" i="12852"/>
  <c r="V50" i="12852"/>
  <c r="N48" i="12852"/>
  <c r="Q46" i="12852"/>
  <c r="S46" i="12852" s="1"/>
  <c r="AB44" i="12852"/>
  <c r="N44" i="12852"/>
  <c r="N42" i="12852"/>
  <c r="K42" i="12852"/>
  <c r="H42" i="12852"/>
  <c r="AB39" i="12852"/>
  <c r="W39" i="12852" s="1"/>
  <c r="X39" i="12852" s="1"/>
  <c r="U39" i="12852"/>
  <c r="Q39" i="12852"/>
  <c r="AB38" i="12852"/>
  <c r="W38" i="12852" s="1"/>
  <c r="X38" i="12852" s="1"/>
  <c r="U38" i="12852"/>
  <c r="Q38" i="12852" s="1"/>
  <c r="AB37" i="12852"/>
  <c r="W37" i="12852" s="1"/>
  <c r="X37" i="12852" s="1"/>
  <c r="AB36" i="12852"/>
  <c r="W36" i="12852" s="1"/>
  <c r="X36" i="12852" s="1"/>
  <c r="AB35" i="12852"/>
  <c r="W35" i="12852" s="1"/>
  <c r="U35" i="12852"/>
  <c r="Q35" i="12852"/>
  <c r="N32" i="12852"/>
  <c r="K32" i="12852"/>
  <c r="H32" i="12852"/>
  <c r="AB29" i="12852"/>
  <c r="X29" i="12852"/>
  <c r="W29" i="12852"/>
  <c r="U29" i="12852"/>
  <c r="Q29" i="12852" s="1"/>
  <c r="AD29" i="12852" s="1"/>
  <c r="AB26" i="12852"/>
  <c r="W26" i="12852" s="1"/>
  <c r="X26" i="12852" s="1"/>
  <c r="AB25" i="12852"/>
  <c r="W25" i="12852" s="1"/>
  <c r="X25" i="12852" s="1"/>
  <c r="AB24" i="12852"/>
  <c r="W24" i="12852" s="1"/>
  <c r="X24" i="12852" s="1"/>
  <c r="W23" i="12852"/>
  <c r="AB22" i="12852"/>
  <c r="X22" i="12852"/>
  <c r="W22" i="12852"/>
  <c r="N19" i="12852"/>
  <c r="K19" i="12852"/>
  <c r="H19" i="12852"/>
  <c r="B19" i="12852"/>
  <c r="AB16" i="12852"/>
  <c r="W16" i="12852"/>
  <c r="X16" i="12852" s="1"/>
  <c r="U16" i="12852"/>
  <c r="J15" i="12850"/>
  <c r="I15" i="12850"/>
  <c r="H15" i="12850"/>
  <c r="G15" i="12850"/>
  <c r="F15" i="12850"/>
  <c r="D15" i="12850"/>
  <c r="O14" i="12850"/>
  <c r="E14" i="12850"/>
  <c r="P14" i="12850" s="1"/>
  <c r="O13" i="12850"/>
  <c r="M13" i="12850"/>
  <c r="E13" i="12850"/>
  <c r="P13" i="12850" s="1"/>
  <c r="K12" i="12850"/>
  <c r="L12" i="12850" s="1"/>
  <c r="E12" i="12850"/>
  <c r="M12" i="12850" s="1"/>
  <c r="P11" i="12850"/>
  <c r="O11" i="12850"/>
  <c r="T13" i="12850" s="1"/>
  <c r="K11" i="12850"/>
  <c r="L11" i="12850" s="1"/>
  <c r="E11" i="12850"/>
  <c r="M11" i="12850" s="1"/>
  <c r="P10" i="12850"/>
  <c r="O10" i="12850"/>
  <c r="T11" i="12850" s="1"/>
  <c r="E10" i="12850"/>
  <c r="M10" i="12850" s="1"/>
  <c r="O9" i="12850"/>
  <c r="E9" i="12850"/>
  <c r="M9" i="12850" s="1"/>
  <c r="A9" i="12850"/>
  <c r="A10" i="12850" s="1"/>
  <c r="A11" i="12850" s="1"/>
  <c r="P8" i="12850"/>
  <c r="O8" i="12850"/>
  <c r="E8" i="12850"/>
  <c r="M8" i="12850" s="1"/>
  <c r="T8" i="12850" l="1"/>
  <c r="T12" i="12850"/>
  <c r="T9" i="12850"/>
  <c r="T10" i="12850"/>
  <c r="M14" i="12850"/>
  <c r="K8" i="12850"/>
  <c r="L8" i="12850" s="1"/>
  <c r="P9" i="12850"/>
  <c r="P12" i="12850"/>
  <c r="E15" i="12850"/>
  <c r="N16" i="12850" s="1"/>
  <c r="K9" i="12850"/>
  <c r="L9" i="12850" s="1"/>
  <c r="K10" i="12850"/>
  <c r="L10" i="12850" s="1"/>
  <c r="K13" i="12850"/>
  <c r="L13" i="12850" s="1"/>
  <c r="O12" i="12850"/>
  <c r="V53" i="12831"/>
  <c r="AD22" i="12852"/>
  <c r="S22" i="12852"/>
  <c r="S29" i="12852"/>
  <c r="W42" i="12852"/>
  <c r="X35" i="12852"/>
  <c r="W19" i="12852"/>
  <c r="X19" i="12852" s="1"/>
  <c r="AF24" i="12852"/>
  <c r="AF23" i="12852" s="1"/>
  <c r="Y24" i="12852"/>
  <c r="Z24" i="12852" s="1"/>
  <c r="Q24" i="12852"/>
  <c r="AF26" i="12852"/>
  <c r="Y26" i="12852"/>
  <c r="Z26" i="12852" s="1"/>
  <c r="Q26" i="12852"/>
  <c r="Q42" i="12852"/>
  <c r="AD35" i="12852"/>
  <c r="S35" i="12852"/>
  <c r="AD36" i="12852"/>
  <c r="S36" i="12852"/>
  <c r="AD37" i="12852"/>
  <c r="S37" i="12852"/>
  <c r="AD38" i="12852"/>
  <c r="S38" i="12852"/>
  <c r="AD39" i="12852"/>
  <c r="S39" i="12852"/>
  <c r="H44" i="12852"/>
  <c r="H48" i="12852" s="1"/>
  <c r="AF35" i="12852"/>
  <c r="Y35" i="12852"/>
  <c r="Z35" i="12852" s="1"/>
  <c r="U42" i="12852"/>
  <c r="AF36" i="12852"/>
  <c r="Y36" i="12852"/>
  <c r="Z36" i="12852" s="1"/>
  <c r="AF37" i="12852"/>
  <c r="Y37" i="12852"/>
  <c r="Z37" i="12852" s="1"/>
  <c r="AF38" i="12852"/>
  <c r="Y38" i="12852"/>
  <c r="Z38" i="12852" s="1"/>
  <c r="AF39" i="12852"/>
  <c r="Y39" i="12852"/>
  <c r="Z39" i="12852" s="1"/>
  <c r="K44" i="12852"/>
  <c r="K48" i="12852" s="1"/>
  <c r="AF16" i="12852"/>
  <c r="Y16" i="12852"/>
  <c r="Z16" i="12852" s="1"/>
  <c r="U19" i="12852"/>
  <c r="Q16" i="12852"/>
  <c r="B23" i="12852"/>
  <c r="B25" i="12852" s="1"/>
  <c r="B22" i="12852"/>
  <c r="B24" i="12852"/>
  <c r="AF25" i="12852"/>
  <c r="Y25" i="12852"/>
  <c r="Z25" i="12852" s="1"/>
  <c r="Q25" i="12852"/>
  <c r="AF22" i="12852"/>
  <c r="Y22" i="12852"/>
  <c r="Z22" i="12852" s="1"/>
  <c r="Y29" i="12852"/>
  <c r="Z29" i="12852" s="1"/>
  <c r="AF29" i="12852"/>
  <c r="K14" i="12850"/>
  <c r="L14" i="12850" s="1"/>
  <c r="O15" i="12850"/>
  <c r="O23" i="12767"/>
  <c r="P15" i="12850" l="1"/>
  <c r="M15" i="12850"/>
  <c r="P627" i="12767"/>
  <c r="V56" i="12831"/>
  <c r="V22" i="12831" s="1"/>
  <c r="P196" i="12767" s="1"/>
  <c r="V54" i="12831"/>
  <c r="V27" i="12831" s="1"/>
  <c r="P922" i="12767" s="1"/>
  <c r="V57" i="12831"/>
  <c r="V52" i="12831"/>
  <c r="V58" i="12831"/>
  <c r="V55" i="12831"/>
  <c r="V59" i="12831"/>
  <c r="V28" i="12831" s="1"/>
  <c r="V23" i="12831"/>
  <c r="AD25" i="12852"/>
  <c r="S25" i="12852"/>
  <c r="S42" i="12852"/>
  <c r="AD26" i="12852"/>
  <c r="S26" i="12852"/>
  <c r="X42" i="12852"/>
  <c r="B27" i="12852"/>
  <c r="B26" i="12852"/>
  <c r="S16" i="12852"/>
  <c r="S19" i="12852" s="1"/>
  <c r="AD16" i="12852"/>
  <c r="Q19" i="12852"/>
  <c r="AD19" i="12852" s="1"/>
  <c r="AD42" i="12852"/>
  <c r="B28" i="12852"/>
  <c r="V19" i="12852"/>
  <c r="Y19" i="12852"/>
  <c r="Z19" i="12852" s="1"/>
  <c r="AF19" i="12852"/>
  <c r="V42" i="12852"/>
  <c r="Y42" i="12852"/>
  <c r="Z42" i="12852" s="1"/>
  <c r="AF42" i="12852"/>
  <c r="AD24" i="12852"/>
  <c r="AD23" i="12852" s="1"/>
  <c r="S24" i="12852"/>
  <c r="K15" i="12850"/>
  <c r="L15" i="12850" s="1"/>
  <c r="J20" i="12826"/>
  <c r="I597" i="12767" l="1"/>
  <c r="I598" i="12767"/>
  <c r="I594" i="12767"/>
  <c r="I600" i="12767"/>
  <c r="I595" i="12767"/>
  <c r="I593" i="12767"/>
  <c r="I988" i="12767"/>
  <c r="I932" i="12767"/>
  <c r="I931" i="12767"/>
  <c r="I985" i="12767"/>
  <c r="I992" i="12767"/>
  <c r="I929" i="12767"/>
  <c r="I984" i="12767"/>
  <c r="I987" i="12767"/>
  <c r="I933" i="12767"/>
  <c r="I928" i="12767"/>
  <c r="I948" i="12767" s="1"/>
  <c r="O910" i="12767" s="1"/>
  <c r="I172" i="12767"/>
  <c r="I171" i="12767"/>
  <c r="I169" i="12767"/>
  <c r="I173" i="12767"/>
  <c r="P173" i="12767" s="1"/>
  <c r="I165" i="12767"/>
  <c r="I161" i="12767" s="1"/>
  <c r="I164" i="12767"/>
  <c r="I160" i="12767" s="1"/>
  <c r="I166" i="12767"/>
  <c r="V26" i="12831"/>
  <c r="P1091" i="12767"/>
  <c r="V16" i="12831"/>
  <c r="V25" i="12831"/>
  <c r="P757" i="12767" s="1"/>
  <c r="B29" i="12852"/>
  <c r="P17" i="12850"/>
  <c r="P18" i="12850"/>
  <c r="P20" i="12850"/>
  <c r="P19" i="12850"/>
  <c r="P12" i="12783"/>
  <c r="I729" i="12767" l="1"/>
  <c r="I718" i="12767"/>
  <c r="I1083" i="12767"/>
  <c r="I1079" i="12767"/>
  <c r="I1082" i="12767"/>
  <c r="I605" i="12767"/>
  <c r="I712" i="12767"/>
  <c r="I722" i="12767"/>
  <c r="I713" i="12767"/>
  <c r="I730" i="12767"/>
  <c r="I723" i="12767"/>
  <c r="P713" i="12767"/>
  <c r="I721" i="12767"/>
  <c r="B32" i="12852"/>
  <c r="B35" i="12852"/>
  <c r="B36" i="12852" s="1"/>
  <c r="A10" i="12783"/>
  <c r="F10" i="12835"/>
  <c r="C10" i="12835"/>
  <c r="I13" i="12835"/>
  <c r="F13" i="12835"/>
  <c r="C13" i="12835"/>
  <c r="A13" i="12783" l="1"/>
  <c r="A14" i="12783" s="1"/>
  <c r="A15" i="12783" s="1"/>
  <c r="A16" i="12783" s="1"/>
  <c r="A17" i="12783" s="1"/>
  <c r="A18" i="12783" s="1"/>
  <c r="A19" i="12783" s="1"/>
  <c r="A20" i="12783" s="1"/>
  <c r="A21" i="12783" s="1"/>
  <c r="A22" i="12783" s="1"/>
  <c r="A23" i="12783" s="1"/>
  <c r="A24" i="12783" s="1"/>
  <c r="A25" i="12783" s="1"/>
  <c r="A26" i="12783" s="1"/>
  <c r="A27" i="12783" s="1"/>
  <c r="A28" i="12783" s="1"/>
  <c r="A29" i="12783" s="1"/>
  <c r="A30" i="12783" s="1"/>
  <c r="A31" i="12783" s="1"/>
  <c r="A32" i="12783" s="1"/>
  <c r="A33" i="12783" s="1"/>
  <c r="A34" i="12783" s="1"/>
  <c r="A35" i="12783" s="1"/>
  <c r="A36" i="12783" s="1"/>
  <c r="A37" i="12783" s="1"/>
  <c r="A11" i="12783"/>
  <c r="A12" i="12783" s="1"/>
  <c r="B37" i="12852"/>
  <c r="B38" i="12852" s="1"/>
  <c r="M10" i="12849"/>
  <c r="M23" i="12849" s="1"/>
  <c r="B11" i="12849"/>
  <c r="R11" i="12849"/>
  <c r="B12" i="12849"/>
  <c r="B13" i="12849"/>
  <c r="B19" i="12849" s="1"/>
  <c r="F13" i="12849"/>
  <c r="F22" i="12849" s="1"/>
  <c r="M14" i="12849"/>
  <c r="P14" i="12849"/>
  <c r="I15" i="12849"/>
  <c r="M15" i="12849" s="1"/>
  <c r="B16" i="12849"/>
  <c r="I16" i="12849"/>
  <c r="P16" i="12849" s="1"/>
  <c r="R18" i="12849"/>
  <c r="R19" i="12849"/>
  <c r="F20" i="12849"/>
  <c r="F21" i="12849"/>
  <c r="B24" i="12849"/>
  <c r="H24" i="12849"/>
  <c r="K24" i="12849" s="1"/>
  <c r="B30" i="12849"/>
  <c r="E30" i="12849" s="1"/>
  <c r="I30" i="12849"/>
  <c r="E31" i="12849"/>
  <c r="H31" i="12849"/>
  <c r="E32" i="12849"/>
  <c r="H32" i="12849"/>
  <c r="E33" i="12849"/>
  <c r="E34" i="12849"/>
  <c r="I34" i="12849"/>
  <c r="I36" i="12849" s="1"/>
  <c r="K36" i="12849" s="1"/>
  <c r="E35" i="12849"/>
  <c r="E36" i="12849"/>
  <c r="B37" i="12849"/>
  <c r="I37" i="12849"/>
  <c r="I54" i="12849" s="1"/>
  <c r="B38" i="12849"/>
  <c r="I38" i="12849"/>
  <c r="K38" i="12849" s="1"/>
  <c r="B39" i="12849"/>
  <c r="I39" i="12849"/>
  <c r="B40" i="12849"/>
  <c r="E41" i="12849"/>
  <c r="K41" i="12849"/>
  <c r="E47" i="12849"/>
  <c r="H47" i="12849"/>
  <c r="I47" i="12849"/>
  <c r="K47" i="12849" s="1"/>
  <c r="E48" i="12849"/>
  <c r="H48" i="12849"/>
  <c r="E49" i="12849"/>
  <c r="H49" i="12849"/>
  <c r="E50" i="12849"/>
  <c r="H50" i="12849"/>
  <c r="E51" i="12849"/>
  <c r="I51" i="12849"/>
  <c r="I53" i="12849" s="1"/>
  <c r="K53" i="12849" s="1"/>
  <c r="E52" i="12849"/>
  <c r="E53" i="12849"/>
  <c r="B54" i="12849"/>
  <c r="B55" i="12849"/>
  <c r="B56" i="12849"/>
  <c r="B57" i="12849"/>
  <c r="B59" i="12849" s="1"/>
  <c r="E58" i="12849"/>
  <c r="K58" i="12849"/>
  <c r="B64" i="12849"/>
  <c r="E64" i="12849" s="1"/>
  <c r="I64" i="12849"/>
  <c r="E65" i="12849"/>
  <c r="H65" i="12849"/>
  <c r="E66" i="12849"/>
  <c r="H66" i="12849"/>
  <c r="E67" i="12849"/>
  <c r="H67" i="12849"/>
  <c r="B68" i="12849"/>
  <c r="H68" i="12849" s="1"/>
  <c r="I68" i="12849"/>
  <c r="I70" i="12849" s="1"/>
  <c r="K70" i="12849" s="1"/>
  <c r="B69" i="12849"/>
  <c r="E69" i="12849" s="1"/>
  <c r="E70" i="12849"/>
  <c r="H70" i="12849"/>
  <c r="B71" i="12849"/>
  <c r="B72" i="12849"/>
  <c r="B73" i="12849"/>
  <c r="B74" i="12849"/>
  <c r="B76" i="12849" s="1"/>
  <c r="E75" i="12849"/>
  <c r="K75" i="12849"/>
  <c r="E81" i="12849"/>
  <c r="H81" i="12849"/>
  <c r="I81" i="12849"/>
  <c r="K81" i="12849" s="1"/>
  <c r="E82" i="12849"/>
  <c r="H82" i="12849"/>
  <c r="E83" i="12849"/>
  <c r="H83" i="12849"/>
  <c r="E84" i="12849"/>
  <c r="H84" i="12849"/>
  <c r="E85" i="12849"/>
  <c r="H85" i="12849"/>
  <c r="I85" i="12849"/>
  <c r="K85" i="12849" s="1"/>
  <c r="E86" i="12849"/>
  <c r="H86" i="12849"/>
  <c r="E87" i="12849"/>
  <c r="H87" i="12849"/>
  <c r="B88" i="12849"/>
  <c r="B89" i="12849"/>
  <c r="B90" i="12849"/>
  <c r="B91" i="12849"/>
  <c r="B93" i="12849" s="1"/>
  <c r="E92" i="12849"/>
  <c r="K92" i="12849"/>
  <c r="K68" i="12849" l="1"/>
  <c r="K64" i="12849"/>
  <c r="I55" i="12849"/>
  <c r="I72" i="12849" s="1"/>
  <c r="I89" i="12849" s="1"/>
  <c r="K89" i="12849" s="1"/>
  <c r="I87" i="12849"/>
  <c r="K87" i="12849" s="1"/>
  <c r="K39" i="12849"/>
  <c r="M16" i="12849"/>
  <c r="I69" i="12849"/>
  <c r="K69" i="12849" s="1"/>
  <c r="I56" i="12849"/>
  <c r="K56" i="12849" s="1"/>
  <c r="H91" i="12849"/>
  <c r="H93" i="12849" s="1"/>
  <c r="B18" i="12849"/>
  <c r="B17" i="12849"/>
  <c r="B39" i="12852"/>
  <c r="B42" i="12852" s="1"/>
  <c r="B44" i="12852" s="1"/>
  <c r="E57" i="12849"/>
  <c r="E59" i="12849" s="1"/>
  <c r="E16" i="12849"/>
  <c r="E40" i="12849"/>
  <c r="E42" i="12849" s="1"/>
  <c r="E15" i="12849"/>
  <c r="H12" i="12849"/>
  <c r="B10" i="12849"/>
  <c r="E68" i="12849"/>
  <c r="E74" i="12849" s="1"/>
  <c r="E76" i="12849" s="1"/>
  <c r="H11" i="12849"/>
  <c r="H64" i="12849"/>
  <c r="K54" i="12849"/>
  <c r="K51" i="12849"/>
  <c r="E24" i="12849"/>
  <c r="K37" i="12849"/>
  <c r="K34" i="12849"/>
  <c r="E12" i="12849"/>
  <c r="K30" i="12849"/>
  <c r="E91" i="12849"/>
  <c r="E93" i="12849" s="1"/>
  <c r="H16" i="12849"/>
  <c r="E11" i="12849"/>
  <c r="K55" i="12849"/>
  <c r="H57" i="12849"/>
  <c r="H59" i="12849" s="1"/>
  <c r="B23" i="12849"/>
  <c r="B25" i="12849" s="1"/>
  <c r="N11" i="12849" s="1"/>
  <c r="E13" i="12849"/>
  <c r="H30" i="12849"/>
  <c r="H40" i="12849" s="1"/>
  <c r="H42" i="12849" s="1"/>
  <c r="H14" i="12849"/>
  <c r="K16" i="12849"/>
  <c r="I86" i="12849"/>
  <c r="K86" i="12849" s="1"/>
  <c r="I71" i="12849"/>
  <c r="H69" i="12849"/>
  <c r="H15" i="12849" s="1"/>
  <c r="I52" i="12849"/>
  <c r="K52" i="12849" s="1"/>
  <c r="B42" i="12849"/>
  <c r="I35" i="12849"/>
  <c r="K35" i="12849" s="1"/>
  <c r="P15" i="12849"/>
  <c r="B14" i="12849"/>
  <c r="E10" i="12849"/>
  <c r="B15" i="12849"/>
  <c r="K10" i="12849" l="1"/>
  <c r="K72" i="12849"/>
  <c r="K18" i="12849" s="1"/>
  <c r="E23" i="12849"/>
  <c r="H10" i="12849"/>
  <c r="I73" i="12849"/>
  <c r="K73" i="12849" s="1"/>
  <c r="N12" i="12849"/>
  <c r="N9" i="12849" s="1"/>
  <c r="E25" i="12849"/>
  <c r="N13" i="12849"/>
  <c r="I11" i="12783"/>
  <c r="F11" i="12783"/>
  <c r="F12" i="12783" s="1"/>
  <c r="C5" i="12835"/>
  <c r="F5" i="12835" s="1"/>
  <c r="I5" i="12835" s="1"/>
  <c r="K14" i="12849"/>
  <c r="K15" i="12849"/>
  <c r="E14" i="12849"/>
  <c r="I88" i="12849"/>
  <c r="K88" i="12849" s="1"/>
  <c r="K71" i="12849"/>
  <c r="O10" i="12849"/>
  <c r="H74" i="12849"/>
  <c r="I90" i="12849" l="1"/>
  <c r="K90" i="12849" s="1"/>
  <c r="K19" i="12849" s="1"/>
  <c r="K17" i="12849"/>
  <c r="H76" i="12849"/>
  <c r="H23" i="12849"/>
  <c r="H25" i="12849" s="1"/>
  <c r="B16" i="12835" l="1"/>
  <c r="C76" i="12835" l="1"/>
  <c r="C51" i="12835"/>
  <c r="C52" i="12835"/>
  <c r="C74" i="12835"/>
  <c r="C17" i="12835"/>
  <c r="C19" i="12835"/>
  <c r="C21" i="12835"/>
  <c r="C23" i="12835"/>
  <c r="C25" i="12835"/>
  <c r="C27" i="12835"/>
  <c r="C29" i="12835"/>
  <c r="C31" i="12835"/>
  <c r="C33" i="12835"/>
  <c r="C35" i="12835"/>
  <c r="C37" i="12835"/>
  <c r="C38" i="12835"/>
  <c r="C41" i="12835"/>
  <c r="C42" i="12835"/>
  <c r="C49" i="12835"/>
  <c r="C50" i="12835"/>
  <c r="C53" i="12835"/>
  <c r="C57" i="12835"/>
  <c r="C62" i="12835"/>
  <c r="C70" i="12835"/>
  <c r="C78" i="12835"/>
  <c r="C18" i="12835"/>
  <c r="C20" i="12835"/>
  <c r="C22" i="12835"/>
  <c r="C24" i="12835"/>
  <c r="C26" i="12835"/>
  <c r="C28" i="12835"/>
  <c r="C30" i="12835"/>
  <c r="C32" i="12835"/>
  <c r="C34" i="12835"/>
  <c r="C36" i="12835"/>
  <c r="C39" i="12835"/>
  <c r="C45" i="12835"/>
  <c r="C46" i="12835"/>
  <c r="C55" i="12835"/>
  <c r="C59" i="12835"/>
  <c r="C66" i="12835"/>
  <c r="C134" i="12835"/>
  <c r="C132" i="12835"/>
  <c r="C130" i="12835"/>
  <c r="C128" i="12835"/>
  <c r="C126" i="12835"/>
  <c r="C124" i="12835"/>
  <c r="C122" i="12835"/>
  <c r="C120" i="12835"/>
  <c r="C118" i="12835"/>
  <c r="C116" i="12835"/>
  <c r="C114" i="12835"/>
  <c r="C112" i="12835"/>
  <c r="C110" i="12835"/>
  <c r="C108" i="12835"/>
  <c r="C106" i="12835"/>
  <c r="C104" i="12835"/>
  <c r="C102" i="12835"/>
  <c r="C100" i="12835"/>
  <c r="C98" i="12835"/>
  <c r="C96" i="12835"/>
  <c r="C133" i="12835"/>
  <c r="C131" i="12835"/>
  <c r="C129" i="12835"/>
  <c r="C127" i="12835"/>
  <c r="C125" i="12835"/>
  <c r="C123" i="12835"/>
  <c r="C121" i="12835"/>
  <c r="C119" i="12835"/>
  <c r="C117" i="12835"/>
  <c r="C115" i="12835"/>
  <c r="C113" i="12835"/>
  <c r="C111" i="12835"/>
  <c r="C109" i="12835"/>
  <c r="C107" i="12835"/>
  <c r="C105" i="12835"/>
  <c r="C103" i="12835"/>
  <c r="C101" i="12835"/>
  <c r="C99" i="12835"/>
  <c r="C97" i="12835"/>
  <c r="C95" i="12835"/>
  <c r="C93" i="12835"/>
  <c r="C91" i="12835"/>
  <c r="C89" i="12835"/>
  <c r="C87" i="12835"/>
  <c r="C85" i="12835"/>
  <c r="C83" i="12835"/>
  <c r="C81" i="12835"/>
  <c r="C79" i="12835"/>
  <c r="C77" i="12835"/>
  <c r="C75" i="12835"/>
  <c r="C73" i="12835"/>
  <c r="C71" i="12835"/>
  <c r="C69" i="12835"/>
  <c r="C67" i="12835"/>
  <c r="C65" i="12835"/>
  <c r="C63" i="12835"/>
  <c r="C61" i="12835"/>
  <c r="C94" i="12835"/>
  <c r="C90" i="12835"/>
  <c r="C86" i="12835"/>
  <c r="C82" i="12835"/>
  <c r="C92" i="12835"/>
  <c r="C88" i="12835"/>
  <c r="C84" i="12835"/>
  <c r="C80" i="12835"/>
  <c r="C40" i="12835"/>
  <c r="C47" i="12835"/>
  <c r="C48" i="12835"/>
  <c r="C54" i="12835"/>
  <c r="C58" i="12835"/>
  <c r="C64" i="12835"/>
  <c r="C72" i="12835"/>
  <c r="AC12" i="12833"/>
  <c r="AE12" i="12833" s="1"/>
  <c r="AE11" i="12833"/>
  <c r="AC11" i="12833"/>
  <c r="F40" i="12835" l="1"/>
  <c r="F57" i="12835"/>
  <c r="D57" i="12835" s="1"/>
  <c r="F49" i="12835"/>
  <c r="D49" i="12835" s="1"/>
  <c r="F48" i="12835"/>
  <c r="C43" i="12835"/>
  <c r="C68" i="12835"/>
  <c r="C56" i="12835"/>
  <c r="C44" i="12835"/>
  <c r="C60" i="12835"/>
  <c r="G19" i="12827"/>
  <c r="G20" i="12827"/>
  <c r="G21" i="12827"/>
  <c r="G18" i="12827"/>
  <c r="C18" i="12827"/>
  <c r="D21" i="12827"/>
  <c r="D18" i="12827"/>
  <c r="E15" i="12827"/>
  <c r="F15" i="12827"/>
  <c r="C12" i="12827"/>
  <c r="D15" i="12827"/>
  <c r="D14" i="12827"/>
  <c r="D12" i="12827"/>
  <c r="D40" i="12835" l="1"/>
  <c r="X40" i="12835"/>
  <c r="D48" i="12835"/>
  <c r="F53" i="12835"/>
  <c r="F22" i="12835"/>
  <c r="F30" i="12835"/>
  <c r="F47" i="12835"/>
  <c r="F58" i="12835"/>
  <c r="F67" i="12835"/>
  <c r="F19" i="12835"/>
  <c r="F27" i="12835"/>
  <c r="F35" i="12835"/>
  <c r="F38" i="12835"/>
  <c r="F42" i="12835"/>
  <c r="F52" i="12835"/>
  <c r="F117" i="12835"/>
  <c r="F134" i="12835"/>
  <c r="F110" i="12835"/>
  <c r="F86" i="12835"/>
  <c r="F62" i="12835"/>
  <c r="F59" i="12835"/>
  <c r="F131" i="12835"/>
  <c r="F123" i="12835"/>
  <c r="F132" i="12835"/>
  <c r="F108" i="12835"/>
  <c r="F76" i="12835"/>
  <c r="F79" i="12835"/>
  <c r="F55" i="12835"/>
  <c r="F50" i="12835"/>
  <c r="F129" i="12835"/>
  <c r="F97" i="12835"/>
  <c r="F114" i="12835"/>
  <c r="F74" i="12835"/>
  <c r="F93" i="12835"/>
  <c r="F45" i="12835"/>
  <c r="F20" i="12835"/>
  <c r="F28" i="12835"/>
  <c r="F36" i="12835"/>
  <c r="F54" i="12835"/>
  <c r="F17" i="12835"/>
  <c r="F25" i="12835"/>
  <c r="F33" i="12835"/>
  <c r="F43" i="12835"/>
  <c r="F107" i="12835"/>
  <c r="F116" i="12835"/>
  <c r="F92" i="12835"/>
  <c r="F60" i="12835"/>
  <c r="F18" i="12835"/>
  <c r="F26" i="12835"/>
  <c r="F34" i="12835"/>
  <c r="F23" i="12835"/>
  <c r="F31" i="12835"/>
  <c r="F121" i="12835"/>
  <c r="F130" i="12835"/>
  <c r="F106" i="12835"/>
  <c r="F82" i="12835"/>
  <c r="F91" i="12835"/>
  <c r="F24" i="12835"/>
  <c r="F32" i="12835"/>
  <c r="F46" i="12835"/>
  <c r="F75" i="12835"/>
  <c r="F21" i="12835"/>
  <c r="F29" i="12835"/>
  <c r="F37" i="12835"/>
  <c r="F51" i="12835"/>
  <c r="F56" i="12835"/>
  <c r="F63" i="12835"/>
  <c r="F127" i="12835"/>
  <c r="F119" i="12835"/>
  <c r="F111" i="12835"/>
  <c r="F103" i="12835"/>
  <c r="F95" i="12835"/>
  <c r="F128" i="12835"/>
  <c r="F120" i="12835"/>
  <c r="F112" i="12835"/>
  <c r="F104" i="12835"/>
  <c r="F96" i="12835"/>
  <c r="F88" i="12835"/>
  <c r="F80" i="12835"/>
  <c r="F72" i="12835"/>
  <c r="F64" i="12835"/>
  <c r="F87" i="12835"/>
  <c r="F89" i="12835"/>
  <c r="F77" i="12835"/>
  <c r="F133" i="12835"/>
  <c r="F125" i="12835"/>
  <c r="F109" i="12835"/>
  <c r="F101" i="12835"/>
  <c r="F126" i="12835"/>
  <c r="F118" i="12835"/>
  <c r="F102" i="12835"/>
  <c r="F94" i="12835"/>
  <c r="F78" i="12835"/>
  <c r="F70" i="12835"/>
  <c r="F83" i="12835"/>
  <c r="F85" i="12835"/>
  <c r="F69" i="12835"/>
  <c r="F115" i="12835"/>
  <c r="F99" i="12835"/>
  <c r="F124" i="12835"/>
  <c r="F100" i="12835"/>
  <c r="F84" i="12835"/>
  <c r="F68" i="12835"/>
  <c r="F81" i="12835"/>
  <c r="F44" i="12835"/>
  <c r="F61" i="12835"/>
  <c r="F71" i="12835"/>
  <c r="F39" i="12835"/>
  <c r="F113" i="12835"/>
  <c r="F105" i="12835"/>
  <c r="F122" i="12835"/>
  <c r="F98" i="12835"/>
  <c r="F90" i="12835"/>
  <c r="F66" i="12835"/>
  <c r="F65" i="12835"/>
  <c r="F73" i="12835"/>
  <c r="F41" i="12835"/>
  <c r="E8" i="12785"/>
  <c r="D128" i="12818"/>
  <c r="B45" i="12826"/>
  <c r="J14" i="12826"/>
  <c r="H27" i="12826"/>
  <c r="G14" i="12826"/>
  <c r="E16" i="12826"/>
  <c r="E15" i="12826"/>
  <c r="E14" i="12826"/>
  <c r="V16" i="12826"/>
  <c r="L14" i="12826"/>
  <c r="V14" i="12826"/>
  <c r="D10" i="12826"/>
  <c r="F11" i="12826"/>
  <c r="E11" i="12826"/>
  <c r="E47" i="12826"/>
  <c r="D105" i="12835" l="1"/>
  <c r="D84" i="12835"/>
  <c r="D70" i="12835"/>
  <c r="D125" i="12835"/>
  <c r="D88" i="12835"/>
  <c r="D111" i="12835"/>
  <c r="D21" i="12835"/>
  <c r="D34" i="12835"/>
  <c r="D33" i="12835"/>
  <c r="D129" i="12835"/>
  <c r="D131" i="12835"/>
  <c r="D30" i="12835"/>
  <c r="D41" i="12835"/>
  <c r="D113" i="12835"/>
  <c r="D69" i="12835"/>
  <c r="D73" i="12835"/>
  <c r="D39" i="12835"/>
  <c r="D81" i="12835"/>
  <c r="D85" i="12835"/>
  <c r="D101" i="12835"/>
  <c r="D77" i="12835"/>
  <c r="D65" i="12835"/>
  <c r="D122" i="12835"/>
  <c r="D71" i="12835"/>
  <c r="D68" i="12835"/>
  <c r="D99" i="12835"/>
  <c r="D83" i="12835"/>
  <c r="D102" i="12835"/>
  <c r="D109" i="12835"/>
  <c r="D89" i="12835"/>
  <c r="D80" i="12835"/>
  <c r="D112" i="12835"/>
  <c r="D103" i="12835"/>
  <c r="D63" i="12835"/>
  <c r="D29" i="12835"/>
  <c r="D32" i="12835"/>
  <c r="D106" i="12835"/>
  <c r="D23" i="12835"/>
  <c r="D60" i="12835"/>
  <c r="D43" i="12835"/>
  <c r="D54" i="12835"/>
  <c r="D45" i="12835"/>
  <c r="D97" i="12835"/>
  <c r="D79" i="12835"/>
  <c r="D123" i="12835"/>
  <c r="D86" i="12835"/>
  <c r="D52" i="12835"/>
  <c r="D27" i="12835"/>
  <c r="D47" i="12835"/>
  <c r="D53" i="12835"/>
  <c r="D66" i="12835"/>
  <c r="D115" i="12835"/>
  <c r="D87" i="12835"/>
  <c r="D56" i="12835"/>
  <c r="D130" i="12835"/>
  <c r="D36" i="12835"/>
  <c r="D76" i="12835"/>
  <c r="D42" i="12835"/>
  <c r="D44" i="12835"/>
  <c r="D78" i="12835"/>
  <c r="D126" i="12835"/>
  <c r="D133" i="12835"/>
  <c r="D64" i="12835"/>
  <c r="D96" i="12835"/>
  <c r="D128" i="12835"/>
  <c r="D119" i="12835"/>
  <c r="D51" i="12835"/>
  <c r="D75" i="12835"/>
  <c r="D91" i="12835"/>
  <c r="D121" i="12835"/>
  <c r="D26" i="12835"/>
  <c r="D116" i="12835"/>
  <c r="D25" i="12835"/>
  <c r="D28" i="12835"/>
  <c r="D74" i="12835"/>
  <c r="D50" i="12835"/>
  <c r="D108" i="12835"/>
  <c r="D59" i="12835"/>
  <c r="D134" i="12835"/>
  <c r="D38" i="12835"/>
  <c r="D67" i="12835"/>
  <c r="D22" i="12835"/>
  <c r="D61" i="12835"/>
  <c r="D118" i="12835"/>
  <c r="D120" i="12835"/>
  <c r="D24" i="12835"/>
  <c r="D92" i="12835"/>
  <c r="D93" i="12835"/>
  <c r="D110" i="12835"/>
  <c r="D19" i="12835"/>
  <c r="D90" i="12835"/>
  <c r="D100" i="12835"/>
  <c r="D98" i="12835"/>
  <c r="D124" i="12835"/>
  <c r="D94" i="12835"/>
  <c r="D72" i="12835"/>
  <c r="D104" i="12835"/>
  <c r="D95" i="12835"/>
  <c r="D127" i="12835"/>
  <c r="D37" i="12835"/>
  <c r="D46" i="12835"/>
  <c r="D82" i="12835"/>
  <c r="D31" i="12835"/>
  <c r="D18" i="12835"/>
  <c r="D107" i="12835"/>
  <c r="D17" i="12835"/>
  <c r="D20" i="12835"/>
  <c r="D114" i="12835"/>
  <c r="D55" i="12835"/>
  <c r="D132" i="12835"/>
  <c r="D62" i="12835"/>
  <c r="D117" i="12835"/>
  <c r="D35" i="12835"/>
  <c r="D58" i="12835"/>
  <c r="A4" i="12822" l="1"/>
  <c r="H27" i="12834"/>
  <c r="I29" i="12834"/>
  <c r="J29" i="12834"/>
  <c r="M29" i="12834"/>
  <c r="O29" i="12834"/>
  <c r="Q29" i="12834"/>
  <c r="S29" i="12834"/>
  <c r="I30" i="12834"/>
  <c r="J30" i="12834"/>
  <c r="M30" i="12834"/>
  <c r="O30" i="12834"/>
  <c r="Q30" i="12834"/>
  <c r="S30" i="12834"/>
  <c r="I31" i="12834"/>
  <c r="J31" i="12834"/>
  <c r="M31" i="12834"/>
  <c r="O31" i="12834"/>
  <c r="Q31" i="12834"/>
  <c r="S31" i="12834"/>
  <c r="I32" i="12834"/>
  <c r="J32" i="12834"/>
  <c r="G36" i="12834"/>
  <c r="H36" i="12834"/>
  <c r="I36" i="12834"/>
  <c r="J36" i="12834"/>
  <c r="Z13" i="12764" s="1"/>
  <c r="G37" i="12834"/>
  <c r="H37" i="12834"/>
  <c r="I37" i="12834"/>
  <c r="J37" i="12834"/>
  <c r="G38" i="12834"/>
  <c r="H38" i="12834"/>
  <c r="I38" i="12834"/>
  <c r="J38" i="12834"/>
  <c r="G39" i="12834"/>
  <c r="H39" i="12834"/>
  <c r="I39" i="12834"/>
  <c r="J39" i="12834"/>
  <c r="I41" i="12811"/>
  <c r="I18" i="12811"/>
  <c r="B324" i="12767"/>
  <c r="B323" i="12767"/>
  <c r="B322" i="12767"/>
  <c r="B321" i="12767"/>
  <c r="B320" i="12767"/>
  <c r="B314" i="12767"/>
  <c r="B312" i="12767"/>
  <c r="B311" i="12767"/>
  <c r="B310" i="12767"/>
  <c r="B308" i="12767"/>
  <c r="B307" i="12767"/>
  <c r="B306" i="12767"/>
  <c r="B293" i="12767"/>
  <c r="B292" i="12767"/>
  <c r="B290" i="12767"/>
  <c r="B289" i="12767"/>
  <c r="B288" i="12767"/>
  <c r="B287" i="12767"/>
  <c r="B286" i="12767"/>
  <c r="B285" i="12767"/>
  <c r="B280" i="12767"/>
  <c r="B279" i="12767"/>
  <c r="B278" i="12767"/>
  <c r="B277" i="12767"/>
  <c r="B276" i="12767"/>
  <c r="B274" i="12767"/>
  <c r="B273" i="12767"/>
  <c r="B272" i="12767"/>
  <c r="B254" i="12767"/>
  <c r="B251" i="12767"/>
  <c r="B243" i="12767"/>
  <c r="B242" i="12767"/>
  <c r="B241" i="12767"/>
  <c r="B239" i="12767"/>
  <c r="B238" i="12767"/>
  <c r="B237" i="12767"/>
  <c r="B325" i="12767" l="1"/>
  <c r="B291" i="12767"/>
  <c r="B313" i="12767"/>
  <c r="Y19" i="12833"/>
  <c r="Y18" i="12833"/>
  <c r="W12" i="12833"/>
  <c r="W11" i="12833"/>
  <c r="J12" i="12833" s="1"/>
  <c r="Y10" i="12833"/>
  <c r="W10" i="12833"/>
  <c r="AA10" i="12833" l="1"/>
  <c r="J35" i="12833"/>
  <c r="J33" i="12833"/>
  <c r="J28" i="12833"/>
  <c r="J23" i="12833"/>
  <c r="J18" i="12833"/>
  <c r="J13" i="12833"/>
  <c r="J34" i="12833"/>
  <c r="J31" i="12833"/>
  <c r="J29" i="12833"/>
  <c r="J27" i="12833"/>
  <c r="J24" i="12833"/>
  <c r="J22" i="12833"/>
  <c r="J19" i="12833"/>
  <c r="J17" i="12833"/>
  <c r="J14" i="12833"/>
  <c r="J30" i="12833"/>
  <c r="J25" i="12833"/>
  <c r="J21" i="12833"/>
  <c r="J16" i="12833"/>
  <c r="D35" i="12833"/>
  <c r="D30" i="12833"/>
  <c r="D25" i="12833"/>
  <c r="D18" i="12833"/>
  <c r="D34" i="12833"/>
  <c r="D31" i="12833"/>
  <c r="D29" i="12833"/>
  <c r="D27" i="12833"/>
  <c r="D24" i="12833"/>
  <c r="D22" i="12833"/>
  <c r="D19" i="12833"/>
  <c r="D17" i="12833"/>
  <c r="D13" i="12833"/>
  <c r="D12" i="12833"/>
  <c r="D33" i="12833"/>
  <c r="D28" i="12833"/>
  <c r="D23" i="12833"/>
  <c r="D21" i="12833"/>
  <c r="D16" i="12833"/>
  <c r="D14" i="12833"/>
  <c r="F35" i="12833"/>
  <c r="F33" i="12833"/>
  <c r="F30" i="12833"/>
  <c r="F28" i="12833"/>
  <c r="F25" i="12833"/>
  <c r="F23" i="12833"/>
  <c r="F21" i="12833"/>
  <c r="F18" i="12833"/>
  <c r="F16" i="12833"/>
  <c r="F14" i="12833"/>
  <c r="F34" i="12833"/>
  <c r="F31" i="12833"/>
  <c r="F29" i="12833"/>
  <c r="F27" i="12833"/>
  <c r="F24" i="12833"/>
  <c r="F22" i="12833"/>
  <c r="F19" i="12833"/>
  <c r="F17" i="12833"/>
  <c r="F13" i="12833"/>
  <c r="F12" i="12833"/>
  <c r="H35" i="12833" l="1"/>
  <c r="H18" i="12833"/>
  <c r="H28" i="12833"/>
  <c r="H13" i="12833"/>
  <c r="H24" i="12833"/>
  <c r="H34" i="12833"/>
  <c r="H21" i="12833"/>
  <c r="H30" i="12833"/>
  <c r="H23" i="12833"/>
  <c r="H17" i="12833"/>
  <c r="H14" i="12833"/>
  <c r="H27" i="12833"/>
  <c r="H19" i="12833"/>
  <c r="H16" i="12833"/>
  <c r="H25" i="12833"/>
  <c r="H12" i="12833"/>
  <c r="H22" i="12833"/>
  <c r="H31" i="12833"/>
  <c r="H29" i="12833"/>
  <c r="H33" i="12833"/>
  <c r="H15" i="12826"/>
  <c r="R25" i="12791" l="1"/>
  <c r="Q25" i="12773"/>
  <c r="Q25" i="12772"/>
  <c r="V28" i="12771"/>
  <c r="R27" i="12770"/>
  <c r="AA30" i="12769"/>
  <c r="E21" i="12826" l="1"/>
  <c r="E20" i="12826"/>
  <c r="E19" i="12826" l="1"/>
  <c r="E22" i="12826" l="1"/>
  <c r="E23" i="12826"/>
  <c r="E24" i="12826"/>
  <c r="E26" i="12826"/>
  <c r="E25" i="12826"/>
  <c r="Q46" i="12831" l="1"/>
  <c r="S46" i="12831" s="1"/>
  <c r="AB44" i="12831"/>
  <c r="N42" i="12831"/>
  <c r="K42" i="12831"/>
  <c r="H42" i="12831"/>
  <c r="AB39" i="12831"/>
  <c r="W39" i="12831" s="1"/>
  <c r="X39" i="12831" s="1"/>
  <c r="U39" i="12831"/>
  <c r="AB38" i="12831"/>
  <c r="W38" i="12831"/>
  <c r="X38" i="12831" s="1"/>
  <c r="U38" i="12831"/>
  <c r="AF38" i="12831" s="1"/>
  <c r="AB37" i="12831"/>
  <c r="W37" i="12831"/>
  <c r="X37" i="12831" s="1"/>
  <c r="U37" i="12831"/>
  <c r="AB36" i="12831"/>
  <c r="W36" i="12831" s="1"/>
  <c r="X36" i="12831" s="1"/>
  <c r="U36" i="12831"/>
  <c r="AF36" i="12831" s="1"/>
  <c r="AB35" i="12831"/>
  <c r="W35" i="12831" s="1"/>
  <c r="W42" i="12831" s="1"/>
  <c r="N32" i="12831"/>
  <c r="K32" i="12831"/>
  <c r="H32" i="12831"/>
  <c r="AB29" i="12831"/>
  <c r="W29" i="12831"/>
  <c r="X29" i="12831" s="1"/>
  <c r="U29" i="12831"/>
  <c r="AB26" i="12831"/>
  <c r="W26" i="12831"/>
  <c r="X26" i="12831" s="1"/>
  <c r="AB25" i="12831"/>
  <c r="W25" i="12831" s="1"/>
  <c r="X25" i="12831" s="1"/>
  <c r="AB24" i="12831"/>
  <c r="W24" i="12831" s="1"/>
  <c r="X24" i="12831" s="1"/>
  <c r="U24" i="12831"/>
  <c r="W23" i="12831"/>
  <c r="AB22" i="12831"/>
  <c r="W22" i="12831" s="1"/>
  <c r="X22" i="12831" s="1"/>
  <c r="U22" i="12831"/>
  <c r="AM15" i="12783" s="1"/>
  <c r="N19" i="12831"/>
  <c r="K19" i="12831"/>
  <c r="H19" i="12831"/>
  <c r="B19" i="12831"/>
  <c r="AB16" i="12831"/>
  <c r="W16" i="12831" s="1"/>
  <c r="W19" i="12831" s="1"/>
  <c r="X19" i="12831" s="1"/>
  <c r="AK24" i="12831" l="1"/>
  <c r="AM17" i="12783"/>
  <c r="Q22" i="12831"/>
  <c r="AK22" i="12831"/>
  <c r="U26" i="12831"/>
  <c r="P885" i="12767"/>
  <c r="P903" i="12767"/>
  <c r="P94" i="12767"/>
  <c r="P23" i="12767"/>
  <c r="U25" i="12831"/>
  <c r="AM18" i="12783" s="1"/>
  <c r="AF37" i="12831"/>
  <c r="Q37" i="12831"/>
  <c r="AF35" i="12831"/>
  <c r="AF39" i="12831"/>
  <c r="Q39" i="12831"/>
  <c r="Q36" i="12831"/>
  <c r="S36" i="12831" s="1"/>
  <c r="Q38" i="12831"/>
  <c r="S38" i="12831" s="1"/>
  <c r="X16" i="12831"/>
  <c r="B22" i="12831"/>
  <c r="AF22" i="12831"/>
  <c r="Y22" i="12831"/>
  <c r="Z22" i="12831" s="1"/>
  <c r="O196" i="12767"/>
  <c r="B23" i="12831"/>
  <c r="AF24" i="12831"/>
  <c r="AF23" i="12831" s="1"/>
  <c r="Y24" i="12831"/>
  <c r="Z24" i="12831" s="1"/>
  <c r="Q24" i="12831"/>
  <c r="O627" i="12767" s="1"/>
  <c r="Y25" i="12831"/>
  <c r="Z25" i="12831" s="1"/>
  <c r="AF29" i="12831"/>
  <c r="Y29" i="12831"/>
  <c r="Z29" i="12831" s="1"/>
  <c r="Q29" i="12831"/>
  <c r="O1197" i="12767" s="1"/>
  <c r="X42" i="12831"/>
  <c r="H44" i="12831"/>
  <c r="H48" i="12831" s="1"/>
  <c r="N44" i="12831"/>
  <c r="N48" i="12831" s="1"/>
  <c r="K44" i="12831"/>
  <c r="K48" i="12831" s="1"/>
  <c r="S35" i="12831"/>
  <c r="X35" i="12831"/>
  <c r="S37" i="12831"/>
  <c r="S39" i="12831"/>
  <c r="U42" i="12831"/>
  <c r="V42" i="12831" s="1"/>
  <c r="Y35" i="12831"/>
  <c r="Z35" i="12831" s="1"/>
  <c r="Y36" i="12831"/>
  <c r="Z36" i="12831" s="1"/>
  <c r="Y37" i="12831"/>
  <c r="Z37" i="12831" s="1"/>
  <c r="Y38" i="12831"/>
  <c r="Z38" i="12831" s="1"/>
  <c r="Y39" i="12831"/>
  <c r="Z39" i="12831" s="1"/>
  <c r="AM11" i="12783" l="1"/>
  <c r="AF26" i="12831"/>
  <c r="AM19" i="12783"/>
  <c r="Q16" i="12831"/>
  <c r="AD16" i="12831" s="1"/>
  <c r="AF25" i="12831"/>
  <c r="AK25" i="12831"/>
  <c r="Q26" i="12831"/>
  <c r="O885" i="12767" s="1"/>
  <c r="AK26" i="12831"/>
  <c r="Y26" i="12831"/>
  <c r="Z26" i="12831" s="1"/>
  <c r="Q25" i="12831"/>
  <c r="O757" i="12767" s="1"/>
  <c r="U19" i="12831"/>
  <c r="V19" i="12831" s="1"/>
  <c r="Y16" i="12831"/>
  <c r="Z16" i="12831" s="1"/>
  <c r="AF16" i="12831"/>
  <c r="AD38" i="12831"/>
  <c r="O1144" i="12767"/>
  <c r="AD39" i="12831"/>
  <c r="O1235" i="12767"/>
  <c r="AD37" i="12831"/>
  <c r="O1132" i="12767"/>
  <c r="AD36" i="12831"/>
  <c r="O1119" i="12767"/>
  <c r="Q42" i="12831"/>
  <c r="AD42" i="12831" s="1"/>
  <c r="AF42" i="12831"/>
  <c r="Y42" i="12831"/>
  <c r="Z42" i="12831" s="1"/>
  <c r="S42" i="12831"/>
  <c r="AD24" i="12831"/>
  <c r="AD23" i="12831" s="1"/>
  <c r="S24" i="12831"/>
  <c r="AD22" i="12831"/>
  <c r="S22" i="12831"/>
  <c r="AD29" i="12831"/>
  <c r="S29" i="12831"/>
  <c r="B24" i="12831"/>
  <c r="Q19" i="12831"/>
  <c r="AD19" i="12831" s="1"/>
  <c r="S16" i="12831"/>
  <c r="S19" i="12831" s="1"/>
  <c r="AD25" i="12831" l="1"/>
  <c r="S25" i="12831"/>
  <c r="O94" i="12767"/>
  <c r="AD26" i="12831"/>
  <c r="S26" i="12831"/>
  <c r="Y19" i="12831"/>
  <c r="Z19" i="12831" s="1"/>
  <c r="AF19" i="12831"/>
  <c r="B25" i="12831"/>
  <c r="I65" i="12849" l="1"/>
  <c r="K65" i="12849" s="1"/>
  <c r="I20" i="12849"/>
  <c r="I8" i="12835"/>
  <c r="M11" i="12849"/>
  <c r="I48" i="12849"/>
  <c r="K48" i="12849" s="1"/>
  <c r="P11" i="12849"/>
  <c r="I31" i="12849"/>
  <c r="K31" i="12849" s="1"/>
  <c r="I82" i="12849"/>
  <c r="K82" i="12849" s="1"/>
  <c r="M12" i="12849"/>
  <c r="I21" i="12849"/>
  <c r="R21" i="12849" s="1"/>
  <c r="I83" i="12849"/>
  <c r="K83" i="12849" s="1"/>
  <c r="I32" i="12849"/>
  <c r="K32" i="12849" s="1"/>
  <c r="R12" i="12849"/>
  <c r="I49" i="12849"/>
  <c r="K49" i="12849" s="1"/>
  <c r="I66" i="12849"/>
  <c r="K66" i="12849" s="1"/>
  <c r="O18" i="12849"/>
  <c r="P12" i="12849"/>
  <c r="I9" i="12835"/>
  <c r="B26" i="12831"/>
  <c r="B27" i="12831"/>
  <c r="E12" i="12853" l="1"/>
  <c r="D20" i="12853" s="1"/>
  <c r="I32" i="12835"/>
  <c r="J32" i="12835" s="1"/>
  <c r="K11" i="12849"/>
  <c r="E11" i="12853"/>
  <c r="E10" i="12853"/>
  <c r="I40" i="12835"/>
  <c r="V40" i="12835" s="1"/>
  <c r="I42" i="12835"/>
  <c r="I23" i="12835"/>
  <c r="I31" i="12835"/>
  <c r="I38" i="12835"/>
  <c r="I24" i="12835"/>
  <c r="I17" i="12835"/>
  <c r="I21" i="12835"/>
  <c r="I25" i="12835"/>
  <c r="I29" i="12835"/>
  <c r="I33" i="12835"/>
  <c r="I37" i="12835"/>
  <c r="I18" i="12835"/>
  <c r="I22" i="12835"/>
  <c r="I26" i="12835"/>
  <c r="I30" i="12835"/>
  <c r="I34" i="12835"/>
  <c r="I39" i="12835"/>
  <c r="I41" i="12835"/>
  <c r="I19" i="12835"/>
  <c r="I27" i="12835"/>
  <c r="I35" i="12835"/>
  <c r="I20" i="12835"/>
  <c r="I28" i="12835"/>
  <c r="I36" i="12835"/>
  <c r="K12" i="12849"/>
  <c r="I33" i="12849"/>
  <c r="K33" i="12849" s="1"/>
  <c r="I84" i="12849"/>
  <c r="K84" i="12849" s="1"/>
  <c r="K91" i="12849" s="1"/>
  <c r="K93" i="12849" s="1"/>
  <c r="R13" i="12849"/>
  <c r="M13" i="12849"/>
  <c r="N18" i="12849"/>
  <c r="I50" i="12849"/>
  <c r="K50" i="12849" s="1"/>
  <c r="K57" i="12849" s="1"/>
  <c r="K59" i="12849" s="1"/>
  <c r="I67" i="12849"/>
  <c r="K67" i="12849" s="1"/>
  <c r="K74" i="12849" s="1"/>
  <c r="K76" i="12849" s="1"/>
  <c r="I10" i="12835"/>
  <c r="E13" i="12853" s="1"/>
  <c r="I22" i="12849"/>
  <c r="R22" i="12849" s="1"/>
  <c r="P13" i="12849"/>
  <c r="B28" i="12831"/>
  <c r="E20" i="12853" l="1"/>
  <c r="C20" i="12853"/>
  <c r="I85" i="12835"/>
  <c r="J85" i="12835" s="1"/>
  <c r="I103" i="12835"/>
  <c r="G103" i="12835" s="1"/>
  <c r="I90" i="12835"/>
  <c r="G90" i="12835" s="1"/>
  <c r="I128" i="12835"/>
  <c r="J128" i="12835" s="1"/>
  <c r="I124" i="12835"/>
  <c r="G124" i="12835" s="1"/>
  <c r="I47" i="12835"/>
  <c r="J47" i="12835" s="1"/>
  <c r="I122" i="12835"/>
  <c r="G122" i="12835" s="1"/>
  <c r="I98" i="12835"/>
  <c r="G98" i="12835" s="1"/>
  <c r="I126" i="12835"/>
  <c r="G126" i="12835" s="1"/>
  <c r="I105" i="12835"/>
  <c r="G105" i="12835" s="1"/>
  <c r="I77" i="12835"/>
  <c r="G77" i="12835" s="1"/>
  <c r="I43" i="12835"/>
  <c r="G43" i="12835" s="1"/>
  <c r="I83" i="12835"/>
  <c r="G83" i="12835" s="1"/>
  <c r="I130" i="12835"/>
  <c r="J130" i="12835" s="1"/>
  <c r="I101" i="12835"/>
  <c r="G101" i="12835" s="1"/>
  <c r="I86" i="12835"/>
  <c r="J86" i="12835" s="1"/>
  <c r="I70" i="12835"/>
  <c r="J70" i="12835" s="1"/>
  <c r="I132" i="12835"/>
  <c r="G132" i="12835" s="1"/>
  <c r="I63" i="12835"/>
  <c r="J63" i="12835" s="1"/>
  <c r="I62" i="12835"/>
  <c r="J62" i="12835" s="1"/>
  <c r="I66" i="12835"/>
  <c r="J66" i="12835" s="1"/>
  <c r="I99" i="12835"/>
  <c r="G99" i="12835" s="1"/>
  <c r="I49" i="12835"/>
  <c r="G49" i="12835" s="1"/>
  <c r="I73" i="12835"/>
  <c r="J73" i="12835" s="1"/>
  <c r="I96" i="12835"/>
  <c r="J96" i="12835" s="1"/>
  <c r="I75" i="12835"/>
  <c r="G75" i="12835" s="1"/>
  <c r="I53" i="12835"/>
  <c r="J53" i="12835" s="1"/>
  <c r="I133" i="12835"/>
  <c r="J133" i="12835" s="1"/>
  <c r="I74" i="12835"/>
  <c r="G74" i="12835" s="1"/>
  <c r="I71" i="12835"/>
  <c r="G71" i="12835" s="1"/>
  <c r="I94" i="12835"/>
  <c r="J94" i="12835" s="1"/>
  <c r="I113" i="12835"/>
  <c r="J113" i="12835" s="1"/>
  <c r="I114" i="12835"/>
  <c r="G114" i="12835" s="1"/>
  <c r="I93" i="12835"/>
  <c r="J93" i="12835" s="1"/>
  <c r="I48" i="12835"/>
  <c r="G48" i="12835" s="1"/>
  <c r="I127" i="12835"/>
  <c r="J127" i="12835" s="1"/>
  <c r="I64" i="12835"/>
  <c r="J64" i="12835" s="1"/>
  <c r="I115" i="12835"/>
  <c r="J115" i="12835" s="1"/>
  <c r="I81" i="12835"/>
  <c r="J81" i="12835" s="1"/>
  <c r="I104" i="12835"/>
  <c r="G104" i="12835" s="1"/>
  <c r="I91" i="12835"/>
  <c r="J91" i="12835" s="1"/>
  <c r="I100" i="12835"/>
  <c r="G100" i="12835" s="1"/>
  <c r="I50" i="12835"/>
  <c r="J50" i="12835" s="1"/>
  <c r="I51" i="12835"/>
  <c r="J51" i="12835" s="1"/>
  <c r="I95" i="12835"/>
  <c r="G95" i="12835" s="1"/>
  <c r="I118" i="12835"/>
  <c r="J118" i="12835" s="1"/>
  <c r="J122" i="12835"/>
  <c r="J27" i="12835"/>
  <c r="G27" i="12835"/>
  <c r="J33" i="12835"/>
  <c r="G33" i="12835"/>
  <c r="K13" i="12849"/>
  <c r="V13" i="12849" s="1"/>
  <c r="J20" i="12835"/>
  <c r="G20" i="12835"/>
  <c r="J39" i="12835"/>
  <c r="G39" i="12835"/>
  <c r="J29" i="12835"/>
  <c r="G29" i="12835"/>
  <c r="G32" i="12835"/>
  <c r="J40" i="12835"/>
  <c r="G40" i="12835"/>
  <c r="E18" i="12853"/>
  <c r="D18" i="12853"/>
  <c r="C18" i="12853"/>
  <c r="D21" i="12853"/>
  <c r="E21" i="12853"/>
  <c r="C21" i="12853"/>
  <c r="I67" i="12835"/>
  <c r="I131" i="12835"/>
  <c r="I60" i="12835"/>
  <c r="I44" i="12835"/>
  <c r="I80" i="12835"/>
  <c r="I125" i="12835"/>
  <c r="I68" i="12835"/>
  <c r="J34" i="12835"/>
  <c r="G34" i="12835"/>
  <c r="J18" i="12835"/>
  <c r="G18" i="12835"/>
  <c r="J25" i="12835"/>
  <c r="G25" i="12835"/>
  <c r="I88" i="12835"/>
  <c r="I89" i="12835"/>
  <c r="I121" i="12835"/>
  <c r="I112" i="12835"/>
  <c r="I55" i="12835"/>
  <c r="I107" i="12835"/>
  <c r="I46" i="12835"/>
  <c r="J24" i="12835"/>
  <c r="G24" i="12835"/>
  <c r="I78" i="12835"/>
  <c r="I109" i="12835"/>
  <c r="I108" i="12835"/>
  <c r="I45" i="12835"/>
  <c r="J42" i="12835"/>
  <c r="G42" i="12835"/>
  <c r="I72" i="12835"/>
  <c r="I82" i="12835"/>
  <c r="I79" i="12835"/>
  <c r="I111" i="12835"/>
  <c r="I102" i="12835"/>
  <c r="I134" i="12835"/>
  <c r="D19" i="12853"/>
  <c r="C19" i="12853"/>
  <c r="E19" i="12853"/>
  <c r="J28" i="12835"/>
  <c r="G28" i="12835"/>
  <c r="J26" i="12835"/>
  <c r="G26" i="12835"/>
  <c r="U40" i="12835"/>
  <c r="J17" i="12835"/>
  <c r="G17" i="12835"/>
  <c r="J31" i="12835"/>
  <c r="G31" i="12835"/>
  <c r="J19" i="12835"/>
  <c r="G19" i="12835"/>
  <c r="J41" i="12835"/>
  <c r="G41" i="12835"/>
  <c r="J22" i="12835"/>
  <c r="G22" i="12835"/>
  <c r="J23" i="12835"/>
  <c r="G23" i="12835"/>
  <c r="I106" i="12835"/>
  <c r="J36" i="12835"/>
  <c r="G36" i="12835"/>
  <c r="J35" i="12835"/>
  <c r="G35" i="12835"/>
  <c r="I69" i="12835"/>
  <c r="I56" i="12835"/>
  <c r="I57" i="12835"/>
  <c r="J30" i="12835"/>
  <c r="G30" i="12835"/>
  <c r="J37" i="12835"/>
  <c r="G37" i="12835"/>
  <c r="J21" i="12835"/>
  <c r="G21" i="12835"/>
  <c r="I65" i="12835"/>
  <c r="I97" i="12835"/>
  <c r="I129" i="12835"/>
  <c r="I120" i="12835"/>
  <c r="I92" i="12835"/>
  <c r="I123" i="12835"/>
  <c r="I52" i="12835"/>
  <c r="J38" i="12835"/>
  <c r="G38" i="12835"/>
  <c r="I61" i="12835"/>
  <c r="I117" i="12835"/>
  <c r="I116" i="12835"/>
  <c r="I54" i="12835"/>
  <c r="I76" i="12835"/>
  <c r="I59" i="12835"/>
  <c r="I84" i="12835"/>
  <c r="I87" i="12835"/>
  <c r="I119" i="12835"/>
  <c r="I110" i="12835"/>
  <c r="I58" i="12835"/>
  <c r="K40" i="12849"/>
  <c r="K23" i="12849" s="1"/>
  <c r="B29" i="12831"/>
  <c r="B32" i="12831" s="1"/>
  <c r="B35" i="12831" s="1"/>
  <c r="B36" i="12831" s="1"/>
  <c r="B37" i="12831" s="1"/>
  <c r="B38" i="12831" s="1"/>
  <c r="B39" i="12831" s="1"/>
  <c r="B42" i="12831" s="1"/>
  <c r="B44" i="12831" s="1"/>
  <c r="V11" i="12849" l="1"/>
  <c r="J10" i="12853" s="1"/>
  <c r="V10" i="12849"/>
  <c r="J9" i="12853" s="1"/>
  <c r="V12" i="12849"/>
  <c r="G85" i="12835"/>
  <c r="G66" i="12835"/>
  <c r="J124" i="12835"/>
  <c r="G70" i="12835"/>
  <c r="J95" i="12835"/>
  <c r="G96" i="12835"/>
  <c r="G93" i="12835"/>
  <c r="G115" i="12835"/>
  <c r="G118" i="12835"/>
  <c r="J103" i="12835"/>
  <c r="J132" i="12835"/>
  <c r="J48" i="12835"/>
  <c r="J75" i="12835"/>
  <c r="G47" i="12835"/>
  <c r="G130" i="12835"/>
  <c r="J99" i="12835"/>
  <c r="J90" i="12835"/>
  <c r="G50" i="12835"/>
  <c r="G81" i="12835"/>
  <c r="J100" i="12835"/>
  <c r="J105" i="12835"/>
  <c r="J71" i="12835"/>
  <c r="J77" i="12835"/>
  <c r="J101" i="12835"/>
  <c r="G133" i="12835"/>
  <c r="G128" i="12835"/>
  <c r="G51" i="12835"/>
  <c r="J98" i="12835"/>
  <c r="J49" i="12835"/>
  <c r="G91" i="12835"/>
  <c r="G64" i="12835"/>
  <c r="J83" i="12835"/>
  <c r="J43" i="12835"/>
  <c r="J114" i="12835"/>
  <c r="J74" i="12835"/>
  <c r="J126" i="12835"/>
  <c r="J104" i="12835"/>
  <c r="G127" i="12835"/>
  <c r="G86" i="12835"/>
  <c r="G73" i="12835"/>
  <c r="G113" i="12835"/>
  <c r="G94" i="12835"/>
  <c r="G62" i="12835"/>
  <c r="G63" i="12835"/>
  <c r="G53" i="12835"/>
  <c r="J110" i="12835"/>
  <c r="G110" i="12835"/>
  <c r="J117" i="12835"/>
  <c r="G117" i="12835"/>
  <c r="J129" i="12835"/>
  <c r="G129" i="12835"/>
  <c r="J45" i="12835"/>
  <c r="G45" i="12835"/>
  <c r="J88" i="12835"/>
  <c r="G88" i="12835"/>
  <c r="J125" i="12835"/>
  <c r="G125" i="12835"/>
  <c r="J119" i="12835"/>
  <c r="G119" i="12835"/>
  <c r="J61" i="12835"/>
  <c r="G61" i="12835"/>
  <c r="J97" i="12835"/>
  <c r="G97" i="12835"/>
  <c r="J102" i="12835"/>
  <c r="G102" i="12835"/>
  <c r="J108" i="12835"/>
  <c r="G108" i="12835"/>
  <c r="J67" i="12835"/>
  <c r="G67" i="12835"/>
  <c r="J87" i="12835"/>
  <c r="G87" i="12835"/>
  <c r="J58" i="12835"/>
  <c r="G58" i="12835"/>
  <c r="J84" i="12835"/>
  <c r="G84" i="12835"/>
  <c r="J116" i="12835"/>
  <c r="G116" i="12835"/>
  <c r="J120" i="12835"/>
  <c r="G120" i="12835"/>
  <c r="J69" i="12835"/>
  <c r="G69" i="12835"/>
  <c r="J79" i="12835"/>
  <c r="G79" i="12835"/>
  <c r="J78" i="12835"/>
  <c r="G78" i="12835"/>
  <c r="J107" i="12835"/>
  <c r="G107" i="12835"/>
  <c r="J89" i="12835"/>
  <c r="G89" i="12835"/>
  <c r="J68" i="12835"/>
  <c r="G68" i="12835"/>
  <c r="J60" i="12835"/>
  <c r="G60" i="12835"/>
  <c r="J59" i="12835"/>
  <c r="G59" i="12835"/>
  <c r="J52" i="12835"/>
  <c r="G52" i="12835"/>
  <c r="J106" i="12835"/>
  <c r="G106" i="12835"/>
  <c r="J134" i="12835"/>
  <c r="G134" i="12835"/>
  <c r="J82" i="12835"/>
  <c r="G82" i="12835"/>
  <c r="J55" i="12835"/>
  <c r="G55" i="12835"/>
  <c r="J131" i="12835"/>
  <c r="G131" i="12835"/>
  <c r="J76" i="12835"/>
  <c r="G76" i="12835"/>
  <c r="J123" i="12835"/>
  <c r="G123" i="12835"/>
  <c r="J57" i="12835"/>
  <c r="G57" i="12835"/>
  <c r="J72" i="12835"/>
  <c r="G72" i="12835"/>
  <c r="J112" i="12835"/>
  <c r="G112" i="12835"/>
  <c r="J80" i="12835"/>
  <c r="G80" i="12835"/>
  <c r="K42" i="12849"/>
  <c r="K25" i="12849"/>
  <c r="J54" i="12835"/>
  <c r="G54" i="12835"/>
  <c r="J92" i="12835"/>
  <c r="G92" i="12835"/>
  <c r="J65" i="12835"/>
  <c r="G65" i="12835"/>
  <c r="J56" i="12835"/>
  <c r="G56" i="12835"/>
  <c r="J111" i="12835"/>
  <c r="G111" i="12835"/>
  <c r="J109" i="12835"/>
  <c r="G109" i="12835"/>
  <c r="J46" i="12835"/>
  <c r="G46" i="12835"/>
  <c r="J121" i="12835"/>
  <c r="G121" i="12835"/>
  <c r="J44" i="12835"/>
  <c r="G44" i="12835"/>
  <c r="E17" i="12826"/>
  <c r="E18" i="12826"/>
  <c r="N11" i="12783" l="1"/>
  <c r="J22" i="12853"/>
  <c r="J14" i="12853"/>
  <c r="J24" i="12853" s="1"/>
  <c r="F1194" i="12767"/>
  <c r="F1169" i="12767"/>
  <c r="F1129" i="12767"/>
  <c r="F1088" i="12767"/>
  <c r="F994" i="12767"/>
  <c r="F938" i="12767"/>
  <c r="F732" i="12767"/>
  <c r="F609" i="12767"/>
  <c r="F608" i="12767"/>
  <c r="F178" i="12767"/>
  <c r="F179" i="12767"/>
  <c r="F177" i="12767"/>
  <c r="J13" i="12853" l="1"/>
  <c r="V17" i="12849"/>
  <c r="V16" i="12849"/>
  <c r="V8" i="12849"/>
  <c r="R11" i="12783"/>
  <c r="N12" i="12783"/>
  <c r="F91" i="12767"/>
  <c r="F90" i="12767"/>
  <c r="B261" i="12767"/>
  <c r="B262" i="12767"/>
  <c r="B401" i="12767"/>
  <c r="B400" i="12767"/>
  <c r="B399" i="12767"/>
  <c r="B422" i="12767"/>
  <c r="B421" i="12767"/>
  <c r="B436" i="12767"/>
  <c r="B435" i="12767"/>
  <c r="B434" i="12767"/>
  <c r="B472" i="12767"/>
  <c r="B471" i="12767"/>
  <c r="B470" i="12767"/>
  <c r="B493" i="12767"/>
  <c r="B506" i="12767"/>
  <c r="B507" i="12767"/>
  <c r="B505" i="12767"/>
  <c r="B528" i="12767"/>
  <c r="B527" i="12767"/>
  <c r="B526" i="12767"/>
  <c r="B542" i="12767"/>
  <c r="B541" i="12767"/>
  <c r="B540" i="12767"/>
  <c r="B584" i="12767"/>
  <c r="B566" i="12767"/>
  <c r="J21" i="12853" l="1"/>
  <c r="J11" i="12853"/>
  <c r="AE11" i="12783"/>
  <c r="R12" i="12783"/>
  <c r="J23" i="12853"/>
  <c r="J15" i="12853"/>
  <c r="B458" i="12767"/>
  <c r="B150" i="12767"/>
  <c r="K33" i="12828"/>
  <c r="J33" i="12828"/>
  <c r="I33" i="12828"/>
  <c r="N731" i="12767" s="1"/>
  <c r="H33" i="12828"/>
  <c r="N1087" i="12767" s="1"/>
  <c r="G33" i="12828"/>
  <c r="F33" i="12828"/>
  <c r="N606" i="12767" s="1"/>
  <c r="E33" i="12828"/>
  <c r="D33" i="12828"/>
  <c r="J17" i="12853" l="1"/>
  <c r="J25" i="12853"/>
  <c r="G34" i="12828"/>
  <c r="G35" i="12828" l="1"/>
  <c r="N993" i="12767" s="1"/>
  <c r="N937" i="12767"/>
  <c r="B916" i="12767"/>
  <c r="C915" i="12767"/>
  <c r="D915" i="12767"/>
  <c r="B860" i="12767"/>
  <c r="B807" i="12767"/>
  <c r="B583" i="12767"/>
  <c r="B565" i="12767"/>
  <c r="B754" i="12767" l="1"/>
  <c r="J46" i="12812"/>
  <c r="B11" i="12785"/>
  <c r="R24" i="12791"/>
  <c r="Q24" i="12773"/>
  <c r="Q24" i="12772"/>
  <c r="V27" i="12771"/>
  <c r="R26" i="12770"/>
  <c r="AA29" i="12769"/>
  <c r="C20" i="12827"/>
  <c r="B10" i="12785" s="1"/>
  <c r="E13" i="12827"/>
  <c r="E10" i="12827"/>
  <c r="F10" i="12827" s="1"/>
  <c r="E9" i="12827"/>
  <c r="F9" i="12827" s="1"/>
  <c r="E8" i="12827"/>
  <c r="F8" i="12827" s="1"/>
  <c r="E7" i="12827"/>
  <c r="F7" i="12827" s="1"/>
  <c r="D36" i="12826"/>
  <c r="F29" i="12826"/>
  <c r="P26" i="12826"/>
  <c r="S26" i="12826" s="1"/>
  <c r="L26" i="12826"/>
  <c r="P25" i="12826"/>
  <c r="S25" i="12826" s="1"/>
  <c r="T25" i="12826"/>
  <c r="P24" i="12826"/>
  <c r="S24" i="12826" s="1"/>
  <c r="L24" i="12826"/>
  <c r="P23" i="12826"/>
  <c r="S23" i="12826" s="1"/>
  <c r="T23" i="12826"/>
  <c r="P22" i="12826"/>
  <c r="S22" i="12826" s="1"/>
  <c r="L22" i="12826"/>
  <c r="P21" i="12826"/>
  <c r="S21" i="12826" s="1"/>
  <c r="T21" i="12826"/>
  <c r="P20" i="12826"/>
  <c r="S20" i="12826" s="1"/>
  <c r="L20" i="12826"/>
  <c r="P19" i="12826"/>
  <c r="S19" i="12826" s="1"/>
  <c r="T19" i="12826"/>
  <c r="P18" i="12826"/>
  <c r="S18" i="12826" s="1"/>
  <c r="L18" i="12826"/>
  <c r="P17" i="12826"/>
  <c r="S17" i="12826" s="1"/>
  <c r="T17" i="12826"/>
  <c r="P16" i="12826"/>
  <c r="S16" i="12826" s="1"/>
  <c r="L16" i="12826"/>
  <c r="P15" i="12826"/>
  <c r="S15" i="12826" s="1"/>
  <c r="G15" i="12826"/>
  <c r="X27" i="12826"/>
  <c r="S10" i="12826" s="1"/>
  <c r="P14" i="12826"/>
  <c r="S14" i="12826" s="1"/>
  <c r="T14" i="12826"/>
  <c r="D11" i="12826"/>
  <c r="S11" i="12826" s="1"/>
  <c r="C11" i="12826"/>
  <c r="T9" i="12826"/>
  <c r="B81" i="12822"/>
  <c r="B82" i="12822"/>
  <c r="B83" i="12822"/>
  <c r="B84" i="12822"/>
  <c r="B85" i="12822"/>
  <c r="B86" i="12822"/>
  <c r="B87" i="12822"/>
  <c r="B88" i="12822"/>
  <c r="B89" i="12822"/>
  <c r="B90" i="12822"/>
  <c r="B91" i="12822"/>
  <c r="B80" i="12822"/>
  <c r="K46" i="12764"/>
  <c r="E36" i="12826" l="1"/>
  <c r="C19" i="12827"/>
  <c r="B9" i="12785" s="1"/>
  <c r="G23" i="12826"/>
  <c r="S12" i="12826"/>
  <c r="D12" i="12826"/>
  <c r="G19" i="12826"/>
  <c r="P27" i="12826"/>
  <c r="G17" i="12826"/>
  <c r="L19" i="12826"/>
  <c r="G21" i="12826"/>
  <c r="L23" i="12826"/>
  <c r="G25" i="12826"/>
  <c r="S27" i="12826"/>
  <c r="L17" i="12826"/>
  <c r="L21" i="12826"/>
  <c r="L25" i="12826"/>
  <c r="L15" i="12826"/>
  <c r="J16" i="12826"/>
  <c r="T16" i="12826"/>
  <c r="J18" i="12826"/>
  <c r="V18" i="12826" s="1"/>
  <c r="V17" i="12826" s="1"/>
  <c r="T18" i="12826"/>
  <c r="V20" i="12826"/>
  <c r="T20" i="12826"/>
  <c r="J22" i="12826"/>
  <c r="V22" i="12826" s="1"/>
  <c r="T22" i="12826"/>
  <c r="J24" i="12826"/>
  <c r="V24" i="12826" s="1"/>
  <c r="T24" i="12826"/>
  <c r="J26" i="12826"/>
  <c r="V26" i="12826" s="1"/>
  <c r="T26" i="12826"/>
  <c r="J15" i="12826"/>
  <c r="V15" i="12826" s="1"/>
  <c r="T15" i="12826"/>
  <c r="G16" i="12826"/>
  <c r="J17" i="12826"/>
  <c r="G18" i="12826"/>
  <c r="J19" i="12826"/>
  <c r="V19" i="12826" s="1"/>
  <c r="G20" i="12826"/>
  <c r="J21" i="12826"/>
  <c r="V21" i="12826" s="1"/>
  <c r="G22" i="12826"/>
  <c r="J23" i="12826"/>
  <c r="V23" i="12826" s="1"/>
  <c r="G24" i="12826"/>
  <c r="J25" i="12826"/>
  <c r="V25" i="12826" s="1"/>
  <c r="G26" i="12826"/>
  <c r="L32" i="12811"/>
  <c r="G32" i="12811"/>
  <c r="M32" i="12811" s="1"/>
  <c r="L31" i="12811"/>
  <c r="G31" i="12811"/>
  <c r="M31" i="12811" s="1"/>
  <c r="K37" i="12823"/>
  <c r="K38" i="12823"/>
  <c r="D12" i="12775"/>
  <c r="D22" i="12775"/>
  <c r="E39" i="12764"/>
  <c r="I8" i="12823"/>
  <c r="I7" i="12823"/>
  <c r="E8" i="12823"/>
  <c r="G7" i="12823"/>
  <c r="E7" i="12823"/>
  <c r="I34" i="12823"/>
  <c r="G34" i="12823"/>
  <c r="E34" i="12823"/>
  <c r="I20" i="12823"/>
  <c r="E20" i="12823"/>
  <c r="G20" i="12823"/>
  <c r="I33" i="12823"/>
  <c r="G33" i="12823"/>
  <c r="E33" i="12823"/>
  <c r="I19" i="12823"/>
  <c r="G19" i="12823"/>
  <c r="E19" i="12823"/>
  <c r="B488" i="12767"/>
  <c r="B492" i="12767" s="1"/>
  <c r="B457" i="12767" s="1"/>
  <c r="B487" i="12767"/>
  <c r="B491" i="12767" s="1"/>
  <c r="B485" i="12767"/>
  <c r="B416" i="12767"/>
  <c r="B420" i="12767" s="1"/>
  <c r="B382" i="12767"/>
  <c r="B386" i="12767" s="1"/>
  <c r="B351" i="12767" s="1"/>
  <c r="B381" i="12767"/>
  <c r="B385" i="12767" s="1"/>
  <c r="B379" i="12767"/>
  <c r="B375" i="12767"/>
  <c r="K20" i="12764"/>
  <c r="B8" i="12785" l="1"/>
  <c r="F18" i="12827"/>
  <c r="T27" i="12826"/>
  <c r="B456" i="12767"/>
  <c r="D20" i="12827"/>
  <c r="D19" i="12827"/>
  <c r="C21" i="12827"/>
  <c r="J27" i="12826"/>
  <c r="E10" i="12826" s="1"/>
  <c r="F10" i="12826" s="1"/>
  <c r="T11" i="12826"/>
  <c r="Z18" i="12764"/>
  <c r="G20" i="12764"/>
  <c r="E20" i="12763"/>
  <c r="I20" i="12763"/>
  <c r="E19" i="12763"/>
  <c r="I33" i="12763"/>
  <c r="I19" i="12763"/>
  <c r="G19" i="12764"/>
  <c r="K19" i="12764"/>
  <c r="O39" i="12823"/>
  <c r="F9" i="12785" l="1"/>
  <c r="F19" i="12827"/>
  <c r="F10" i="12785"/>
  <c r="F20" i="12827"/>
  <c r="F21" i="12827"/>
  <c r="F8" i="12785"/>
  <c r="V27" i="12826"/>
  <c r="K55" i="12823"/>
  <c r="K54" i="12823"/>
  <c r="K53" i="12823"/>
  <c r="K52" i="12823"/>
  <c r="K51" i="12823"/>
  <c r="K46" i="12823"/>
  <c r="K45" i="12823"/>
  <c r="K40" i="12823"/>
  <c r="K36" i="12823"/>
  <c r="K35" i="12823"/>
  <c r="K34" i="12823"/>
  <c r="E34" i="12764" s="1"/>
  <c r="K33" i="12823"/>
  <c r="E33" i="12764" s="1"/>
  <c r="K32" i="12823"/>
  <c r="K27" i="12823"/>
  <c r="K26" i="12823"/>
  <c r="K25" i="12823"/>
  <c r="K24" i="12823"/>
  <c r="K23" i="12823"/>
  <c r="K22" i="12823"/>
  <c r="K20" i="12823"/>
  <c r="E20" i="12764" s="1"/>
  <c r="K19" i="12823"/>
  <c r="E19" i="12764" s="1"/>
  <c r="K18" i="12823"/>
  <c r="K13" i="12823"/>
  <c r="K12" i="12823"/>
  <c r="K11" i="12823"/>
  <c r="K10" i="12823"/>
  <c r="K9" i="12823"/>
  <c r="K8" i="12823"/>
  <c r="K7" i="12823"/>
  <c r="E7" i="12764" s="1"/>
  <c r="K96" i="12823"/>
  <c r="K110" i="12823"/>
  <c r="K100" i="12823"/>
  <c r="K105" i="12823"/>
  <c r="K104" i="12823"/>
  <c r="K102" i="12823"/>
  <c r="K90" i="12823"/>
  <c r="K89" i="12823"/>
  <c r="K97" i="12823"/>
  <c r="K93" i="12823"/>
  <c r="K41" i="12823"/>
  <c r="K87" i="12823"/>
  <c r="K86" i="12823"/>
  <c r="K108" i="12823"/>
  <c r="K64" i="12823"/>
  <c r="K95" i="12823"/>
  <c r="K83" i="12823"/>
  <c r="K84" i="12823" s="1"/>
  <c r="K79" i="12823"/>
  <c r="K78" i="12823"/>
  <c r="K77" i="12823"/>
  <c r="K80" i="12823"/>
  <c r="K63" i="12823"/>
  <c r="K71" i="12823"/>
  <c r="K74" i="12823"/>
  <c r="K73" i="12823"/>
  <c r="K68" i="12823"/>
  <c r="K67" i="12823"/>
  <c r="E43" i="12824"/>
  <c r="E33" i="12824"/>
  <c r="E28" i="12824"/>
  <c r="E26" i="12824"/>
  <c r="E16" i="12824"/>
  <c r="I55" i="12823"/>
  <c r="G55" i="12823"/>
  <c r="I25" i="12823"/>
  <c r="G25" i="12823"/>
  <c r="I53" i="12823"/>
  <c r="G53" i="12823"/>
  <c r="I52" i="12823"/>
  <c r="G52" i="12823"/>
  <c r="I51" i="12823"/>
  <c r="G51" i="12823"/>
  <c r="I54" i="12823"/>
  <c r="G54" i="12823"/>
  <c r="I38" i="12823"/>
  <c r="G38" i="12823"/>
  <c r="E38" i="12764" s="1"/>
  <c r="I37" i="12823"/>
  <c r="G37" i="12823"/>
  <c r="E37" i="12764" s="1"/>
  <c r="I23" i="12823"/>
  <c r="G23" i="12823"/>
  <c r="I36" i="12823"/>
  <c r="G36" i="12823"/>
  <c r="I46" i="12823"/>
  <c r="G46" i="12823"/>
  <c r="I45" i="12823"/>
  <c r="G45" i="12823"/>
  <c r="I35" i="12823"/>
  <c r="G35" i="12823"/>
  <c r="I27" i="12823"/>
  <c r="G27" i="12823"/>
  <c r="I22" i="12823"/>
  <c r="G22" i="12823"/>
  <c r="I32" i="12823"/>
  <c r="G32" i="12823"/>
  <c r="E32" i="12823"/>
  <c r="I26" i="12823"/>
  <c r="G26" i="12823"/>
  <c r="I18" i="12823"/>
  <c r="G18" i="12823"/>
  <c r="E18" i="12823"/>
  <c r="G13" i="12823"/>
  <c r="I13" i="12823"/>
  <c r="I40" i="12823"/>
  <c r="G40" i="12823"/>
  <c r="I24" i="12823"/>
  <c r="G24" i="12823"/>
  <c r="I12" i="12823"/>
  <c r="G12" i="12823"/>
  <c r="I11" i="12823"/>
  <c r="G11" i="12823"/>
  <c r="I10" i="12823"/>
  <c r="G10" i="12823"/>
  <c r="I9" i="12823"/>
  <c r="G9" i="12823"/>
  <c r="G8" i="12823"/>
  <c r="G96" i="12823"/>
  <c r="G110" i="12823"/>
  <c r="G100" i="12823"/>
  <c r="G105" i="12823"/>
  <c r="G104" i="12823"/>
  <c r="G106" i="12823" s="1"/>
  <c r="G102" i="12823"/>
  <c r="G90" i="12823"/>
  <c r="G89" i="12823"/>
  <c r="G97" i="12823"/>
  <c r="G93" i="12823"/>
  <c r="G41" i="12823"/>
  <c r="G87" i="12823"/>
  <c r="G86" i="12823"/>
  <c r="G108" i="12823"/>
  <c r="G64" i="12823"/>
  <c r="G95" i="12823"/>
  <c r="G98" i="12823" s="1"/>
  <c r="G83" i="12823"/>
  <c r="G84" i="12823" s="1"/>
  <c r="G79" i="12823"/>
  <c r="G78" i="12823"/>
  <c r="G77" i="12823"/>
  <c r="G80" i="12823"/>
  <c r="G63" i="12823"/>
  <c r="G65" i="12823" s="1"/>
  <c r="G71" i="12823"/>
  <c r="G74" i="12823"/>
  <c r="G73" i="12823"/>
  <c r="G68" i="12823"/>
  <c r="G67" i="12823"/>
  <c r="I96" i="12823"/>
  <c r="I110" i="12823"/>
  <c r="I100" i="12823"/>
  <c r="I105" i="12823"/>
  <c r="I104" i="12823"/>
  <c r="I102" i="12823"/>
  <c r="I90" i="12823"/>
  <c r="I89" i="12823"/>
  <c r="I97" i="12823"/>
  <c r="I93" i="12823"/>
  <c r="I41" i="12823"/>
  <c r="I87" i="12823"/>
  <c r="I86" i="12823"/>
  <c r="I108" i="12823"/>
  <c r="I64" i="12823"/>
  <c r="I95" i="12823"/>
  <c r="I83" i="12823"/>
  <c r="I84" i="12823" s="1"/>
  <c r="I79" i="12823"/>
  <c r="I78" i="12823"/>
  <c r="I77" i="12823"/>
  <c r="I80" i="12823"/>
  <c r="I63" i="12823"/>
  <c r="I71" i="12823"/>
  <c r="I74" i="12823"/>
  <c r="I73" i="12823"/>
  <c r="I68" i="12823"/>
  <c r="I67" i="12823"/>
  <c r="Z110" i="12823"/>
  <c r="Z108" i="12823"/>
  <c r="Z105" i="12823"/>
  <c r="Q105" i="12823"/>
  <c r="Z104" i="12823"/>
  <c r="Z102" i="12823"/>
  <c r="Z100" i="12823"/>
  <c r="Z97" i="12823"/>
  <c r="M97" i="12823"/>
  <c r="Z96" i="12823"/>
  <c r="Q96" i="12823"/>
  <c r="O96" i="12823"/>
  <c r="M96" i="12823"/>
  <c r="E96" i="12823"/>
  <c r="C96" i="12823"/>
  <c r="Z95" i="12823"/>
  <c r="Z93" i="12823"/>
  <c r="Z90" i="12823"/>
  <c r="Z89" i="12823"/>
  <c r="Z87" i="12823"/>
  <c r="M87" i="12823"/>
  <c r="Z86" i="12823"/>
  <c r="Z80" i="12823"/>
  <c r="Z79" i="12823"/>
  <c r="Z78" i="12823"/>
  <c r="Z77" i="12823"/>
  <c r="Q74" i="12823"/>
  <c r="M74" i="12823"/>
  <c r="Q73" i="12823"/>
  <c r="Q75" i="12823" s="1"/>
  <c r="Q71" i="12823"/>
  <c r="Q68" i="12823"/>
  <c r="Z64" i="12823"/>
  <c r="Q63" i="12823"/>
  <c r="Z56" i="12823"/>
  <c r="Q55" i="12823"/>
  <c r="Q110" i="12823" s="1"/>
  <c r="M55" i="12823"/>
  <c r="M110" i="12823" s="1"/>
  <c r="E55" i="12823"/>
  <c r="E110" i="12823" s="1"/>
  <c r="Q54" i="12823"/>
  <c r="Q100" i="12823" s="1"/>
  <c r="M54" i="12823"/>
  <c r="E54" i="12823"/>
  <c r="E100" i="12823" s="1"/>
  <c r="M53" i="12823"/>
  <c r="M105" i="12823" s="1"/>
  <c r="E53" i="12823"/>
  <c r="E105" i="12823" s="1"/>
  <c r="Q52" i="12823"/>
  <c r="Q104" i="12823" s="1"/>
  <c r="M52" i="12823"/>
  <c r="M104" i="12823" s="1"/>
  <c r="E52" i="12823"/>
  <c r="E104" i="12823" s="1"/>
  <c r="Q51" i="12823"/>
  <c r="M51" i="12823"/>
  <c r="M102" i="12823" s="1"/>
  <c r="E51" i="12823"/>
  <c r="Z47" i="12823"/>
  <c r="Q46" i="12823"/>
  <c r="Q90" i="12823" s="1"/>
  <c r="M46" i="12823"/>
  <c r="M90" i="12823" s="1"/>
  <c r="E46" i="12823"/>
  <c r="E90" i="12823" s="1"/>
  <c r="Q45" i="12823"/>
  <c r="Q89" i="12823" s="1"/>
  <c r="M45" i="12823"/>
  <c r="E45" i="12823"/>
  <c r="E89" i="12823" s="1"/>
  <c r="Z41" i="12823"/>
  <c r="Q40" i="12823"/>
  <c r="M40" i="12823"/>
  <c r="E40" i="12823"/>
  <c r="V39" i="12823"/>
  <c r="V96" i="12823" s="1"/>
  <c r="X96" i="12823" s="1"/>
  <c r="T39" i="12823"/>
  <c r="S39" i="12823"/>
  <c r="U39" i="12823" s="1"/>
  <c r="Q38" i="12823"/>
  <c r="Q97" i="12823" s="1"/>
  <c r="E38" i="12823"/>
  <c r="E97" i="12823" s="1"/>
  <c r="C38" i="12823"/>
  <c r="Q37" i="12823"/>
  <c r="M37" i="12823"/>
  <c r="E37" i="12823"/>
  <c r="Q36" i="12823"/>
  <c r="Q93" i="12823" s="1"/>
  <c r="M36" i="12823"/>
  <c r="M93" i="12823" s="1"/>
  <c r="E36" i="12823"/>
  <c r="E93" i="12823" s="1"/>
  <c r="Q35" i="12823"/>
  <c r="M35" i="12823"/>
  <c r="E35" i="12823"/>
  <c r="Q34" i="12823"/>
  <c r="M34" i="12823"/>
  <c r="Q33" i="12823"/>
  <c r="Q32" i="12823"/>
  <c r="M32" i="12823"/>
  <c r="Q27" i="12823"/>
  <c r="Q87" i="12823" s="1"/>
  <c r="E27" i="12823"/>
  <c r="E87" i="12823" s="1"/>
  <c r="Q26" i="12823"/>
  <c r="V26" i="12823" s="1"/>
  <c r="M26" i="12823"/>
  <c r="M86" i="12823" s="1"/>
  <c r="E26" i="12823"/>
  <c r="E86" i="12823" s="1"/>
  <c r="Q25" i="12823"/>
  <c r="Q108" i="12823" s="1"/>
  <c r="M25" i="12823"/>
  <c r="M108" i="12823" s="1"/>
  <c r="E25" i="12823"/>
  <c r="E108" i="12823" s="1"/>
  <c r="Q24" i="12823"/>
  <c r="Q64" i="12823" s="1"/>
  <c r="M24" i="12823"/>
  <c r="M64" i="12823" s="1"/>
  <c r="E24" i="12823"/>
  <c r="E64" i="12823" s="1"/>
  <c r="Q23" i="12823"/>
  <c r="M23" i="12823"/>
  <c r="M95" i="12823" s="1"/>
  <c r="E23" i="12823"/>
  <c r="E95" i="12823" s="1"/>
  <c r="E98" i="12823" s="1"/>
  <c r="Q22" i="12823"/>
  <c r="Q83" i="12823" s="1"/>
  <c r="M22" i="12823"/>
  <c r="M83" i="12823" s="1"/>
  <c r="E22" i="12823"/>
  <c r="E83" i="12823" s="1"/>
  <c r="E84" i="12823" s="1"/>
  <c r="AB21" i="12823"/>
  <c r="X21" i="12823"/>
  <c r="U21" i="12823"/>
  <c r="O21" i="12823"/>
  <c r="T21" i="12823" s="1"/>
  <c r="AD21" i="12823" s="1"/>
  <c r="Q20" i="12823"/>
  <c r="Q79" i="12823" s="1"/>
  <c r="M20" i="12823"/>
  <c r="M79" i="12823" s="1"/>
  <c r="E79" i="12823"/>
  <c r="Q19" i="12823"/>
  <c r="Q78" i="12823" s="1"/>
  <c r="M19" i="12823"/>
  <c r="M78" i="12823" s="1"/>
  <c r="E78" i="12823"/>
  <c r="Q18" i="12823"/>
  <c r="M18" i="12823"/>
  <c r="Q13" i="12823"/>
  <c r="Q80" i="12823" s="1"/>
  <c r="M13" i="12823"/>
  <c r="M80" i="12823" s="1"/>
  <c r="E13" i="12823"/>
  <c r="E80" i="12823" s="1"/>
  <c r="Z12" i="12823"/>
  <c r="Z63" i="12823" s="1"/>
  <c r="M12" i="12823"/>
  <c r="M63" i="12823" s="1"/>
  <c r="E12" i="12823"/>
  <c r="E63" i="12823" s="1"/>
  <c r="E65" i="12823" s="1"/>
  <c r="V11" i="12823"/>
  <c r="V71" i="12823" s="1"/>
  <c r="M11" i="12823"/>
  <c r="M71" i="12823" s="1"/>
  <c r="E11" i="12823"/>
  <c r="E71" i="12823" s="1"/>
  <c r="E10" i="12823"/>
  <c r="E74" i="12823" s="1"/>
  <c r="M9" i="12823"/>
  <c r="M73" i="12823" s="1"/>
  <c r="E9" i="12823"/>
  <c r="E73" i="12823" s="1"/>
  <c r="M8" i="12823"/>
  <c r="M68" i="12823" s="1"/>
  <c r="E68" i="12823"/>
  <c r="Q7" i="12823"/>
  <c r="Q67" i="12823" s="1"/>
  <c r="M7" i="12823"/>
  <c r="M67" i="12823" s="1"/>
  <c r="E67" i="12823"/>
  <c r="E69" i="12823" s="1"/>
  <c r="Z106" i="12823" l="1"/>
  <c r="E41" i="12823"/>
  <c r="Q41" i="12823"/>
  <c r="E56" i="12823"/>
  <c r="S96" i="12823"/>
  <c r="U96" i="12823" s="1"/>
  <c r="E8" i="12764"/>
  <c r="E10" i="12764"/>
  <c r="E12" i="12764"/>
  <c r="E18" i="12764"/>
  <c r="E23" i="12764"/>
  <c r="E25" i="12764"/>
  <c r="E27" i="12764"/>
  <c r="E35" i="12764"/>
  <c r="E40" i="12764"/>
  <c r="E46" i="12764"/>
  <c r="E52" i="12764"/>
  <c r="E54" i="12764"/>
  <c r="M41" i="12823"/>
  <c r="E9" i="12764"/>
  <c r="E11" i="12764"/>
  <c r="E13" i="12764"/>
  <c r="E22" i="12764"/>
  <c r="E24" i="12764"/>
  <c r="E26" i="12764"/>
  <c r="E32" i="12764"/>
  <c r="E36" i="12764"/>
  <c r="E45" i="12764"/>
  <c r="E51" i="12764"/>
  <c r="E53" i="12764"/>
  <c r="E55" i="12764"/>
  <c r="W39" i="12823"/>
  <c r="E12" i="12826"/>
  <c r="F12" i="12826" s="1"/>
  <c r="T10" i="12826"/>
  <c r="T12" i="12826" s="1"/>
  <c r="C97" i="12823"/>
  <c r="O38" i="12823"/>
  <c r="AA39" i="12823"/>
  <c r="K106" i="12823"/>
  <c r="K65" i="12823"/>
  <c r="K98" i="12823"/>
  <c r="K69" i="12823"/>
  <c r="K75" i="12823"/>
  <c r="K91" i="12823"/>
  <c r="K81" i="12823"/>
  <c r="K14" i="12823"/>
  <c r="K28" i="12823"/>
  <c r="K47" i="12823"/>
  <c r="K56" i="12823"/>
  <c r="I106" i="12823"/>
  <c r="E75" i="12823"/>
  <c r="I65" i="12823"/>
  <c r="I98" i="12823"/>
  <c r="I69" i="12823"/>
  <c r="I75" i="12823"/>
  <c r="I91" i="12823"/>
  <c r="G81" i="12823"/>
  <c r="G69" i="12823"/>
  <c r="G75" i="12823"/>
  <c r="G91" i="12823"/>
  <c r="G14" i="12823"/>
  <c r="G28" i="12823"/>
  <c r="G47" i="12823"/>
  <c r="G56" i="12823"/>
  <c r="I81" i="12823"/>
  <c r="I14" i="12823"/>
  <c r="I28" i="12823"/>
  <c r="I47" i="12823"/>
  <c r="I56" i="12823"/>
  <c r="Z91" i="12823"/>
  <c r="T96" i="12823"/>
  <c r="AD96" i="12823" s="1"/>
  <c r="AB96" i="12823"/>
  <c r="M65" i="12823"/>
  <c r="Z65" i="12823"/>
  <c r="E28" i="12823"/>
  <c r="E77" i="12823"/>
  <c r="E81" i="12823" s="1"/>
  <c r="M106" i="12823"/>
  <c r="M14" i="12823"/>
  <c r="Q14" i="12823"/>
  <c r="M69" i="12823"/>
  <c r="Q69" i="12823"/>
  <c r="M75" i="12823"/>
  <c r="X71" i="12823"/>
  <c r="M77" i="12823"/>
  <c r="M28" i="12823"/>
  <c r="Q77" i="12823"/>
  <c r="Q28" i="12823"/>
  <c r="M84" i="12823"/>
  <c r="Q84" i="12823"/>
  <c r="M98" i="12823"/>
  <c r="AB26" i="12823"/>
  <c r="X26" i="12823"/>
  <c r="V86" i="12823"/>
  <c r="AB86" i="12823" s="1"/>
  <c r="AA26" i="12823"/>
  <c r="Q91" i="12823"/>
  <c r="Q106" i="12823"/>
  <c r="X11" i="12823"/>
  <c r="E14" i="12823"/>
  <c r="V27" i="12823"/>
  <c r="M47" i="12823"/>
  <c r="Q47" i="12823"/>
  <c r="E106" i="12823"/>
  <c r="M56" i="12823"/>
  <c r="Q86" i="12823"/>
  <c r="M89" i="12823"/>
  <c r="Q95" i="12823"/>
  <c r="W96" i="12823"/>
  <c r="M100" i="12823"/>
  <c r="E102" i="12823"/>
  <c r="Q102" i="12823"/>
  <c r="Q56" i="12823"/>
  <c r="O97" i="12823"/>
  <c r="S97" i="12823" s="1"/>
  <c r="U97" i="12823" s="1"/>
  <c r="X39" i="12823"/>
  <c r="AD39" i="12823" s="1"/>
  <c r="AB39" i="12823"/>
  <c r="E91" i="12823"/>
  <c r="E47" i="12823"/>
  <c r="Q65" i="12823"/>
  <c r="Z81" i="12823"/>
  <c r="AA96" i="12823"/>
  <c r="Z98" i="12823"/>
  <c r="I58" i="12823" l="1"/>
  <c r="I112" i="12823"/>
  <c r="E58" i="12823"/>
  <c r="M58" i="12823"/>
  <c r="K58" i="12823"/>
  <c r="K112" i="12823"/>
  <c r="G112" i="12823"/>
  <c r="E112" i="12823"/>
  <c r="G58" i="12823"/>
  <c r="F149" i="12812" s="1"/>
  <c r="AA86" i="12823"/>
  <c r="X86" i="12823"/>
  <c r="S38" i="12823"/>
  <c r="U38" i="12823" s="1"/>
  <c r="T38" i="12823"/>
  <c r="T97" i="12823"/>
  <c r="AD97" i="12823" s="1"/>
  <c r="Q58" i="12823"/>
  <c r="Q98" i="12823"/>
  <c r="M91" i="12823"/>
  <c r="V87" i="12823"/>
  <c r="AA27" i="12823"/>
  <c r="AB27" i="12823"/>
  <c r="X27" i="12823"/>
  <c r="Q81" i="12823"/>
  <c r="M81" i="12823"/>
  <c r="M112" i="12823" l="1"/>
  <c r="Q112" i="12823"/>
  <c r="X87" i="12823"/>
  <c r="AB87" i="12823"/>
  <c r="AA87" i="12823"/>
  <c r="G7" i="12764" l="1"/>
  <c r="E7" i="12763"/>
  <c r="M14" i="12812" l="1"/>
  <c r="B92" i="12822" l="1"/>
  <c r="AD34" i="12775" s="1"/>
  <c r="AD36" i="12775" s="1"/>
  <c r="C91" i="12822"/>
  <c r="D91" i="12822" s="1"/>
  <c r="A91" i="12822"/>
  <c r="D90" i="12822"/>
  <c r="A90" i="12822"/>
  <c r="D89" i="12822"/>
  <c r="A89" i="12822"/>
  <c r="D88" i="12822"/>
  <c r="A88" i="12822"/>
  <c r="D87" i="12822"/>
  <c r="A87" i="12822"/>
  <c r="D86" i="12822"/>
  <c r="A86" i="12822"/>
  <c r="D85" i="12822"/>
  <c r="A85" i="12822"/>
  <c r="D84" i="12822"/>
  <c r="A84" i="12822"/>
  <c r="D83" i="12822"/>
  <c r="A83" i="12822"/>
  <c r="D82" i="12822"/>
  <c r="A82" i="12822"/>
  <c r="D81" i="12822"/>
  <c r="A81" i="12822"/>
  <c r="D80" i="12822"/>
  <c r="A80" i="12822"/>
  <c r="U74" i="12822"/>
  <c r="T74" i="12822"/>
  <c r="N74" i="12822"/>
  <c r="H74" i="12822"/>
  <c r="G74" i="12822"/>
  <c r="U73" i="12822"/>
  <c r="T73" i="12822"/>
  <c r="N73" i="12822"/>
  <c r="H73" i="12822"/>
  <c r="G73" i="12822"/>
  <c r="U72" i="12822"/>
  <c r="T72" i="12822"/>
  <c r="N72" i="12822"/>
  <c r="H72" i="12822"/>
  <c r="G72" i="12822"/>
  <c r="U71" i="12822"/>
  <c r="T71" i="12822"/>
  <c r="N71" i="12822"/>
  <c r="H71" i="12822"/>
  <c r="G71" i="12822"/>
  <c r="U70" i="12822"/>
  <c r="T70" i="12822"/>
  <c r="N70" i="12822"/>
  <c r="H70" i="12822"/>
  <c r="G70" i="12822"/>
  <c r="U69" i="12822"/>
  <c r="T69" i="12822"/>
  <c r="N69" i="12822"/>
  <c r="H69" i="12822"/>
  <c r="G69" i="12822"/>
  <c r="U68" i="12822"/>
  <c r="T68" i="12822"/>
  <c r="N68" i="12822"/>
  <c r="H68" i="12822"/>
  <c r="G68" i="12822"/>
  <c r="U67" i="12822"/>
  <c r="T67" i="12822"/>
  <c r="N67" i="12822"/>
  <c r="H67" i="12822"/>
  <c r="G67" i="12822"/>
  <c r="Y66" i="12822"/>
  <c r="S66" i="12822"/>
  <c r="F73" i="12822" s="1"/>
  <c r="N66" i="12822"/>
  <c r="L66" i="12822"/>
  <c r="F66" i="12822"/>
  <c r="U65" i="12822"/>
  <c r="T65" i="12822"/>
  <c r="S65" i="12822"/>
  <c r="N65" i="12822"/>
  <c r="H65" i="12822"/>
  <c r="G65" i="12822"/>
  <c r="F65" i="12822"/>
  <c r="U64" i="12822"/>
  <c r="T64" i="12822"/>
  <c r="S64" i="12822"/>
  <c r="N64" i="12822"/>
  <c r="H64" i="12822"/>
  <c r="G64" i="12822"/>
  <c r="F64" i="12822"/>
  <c r="N63" i="12822"/>
  <c r="B58" i="12822"/>
  <c r="A57" i="12822"/>
  <c r="A74" i="12822" s="1"/>
  <c r="A56" i="12822"/>
  <c r="A73" i="12822" s="1"/>
  <c r="A55" i="12822"/>
  <c r="A72" i="12822" s="1"/>
  <c r="A54" i="12822"/>
  <c r="A71" i="12822" s="1"/>
  <c r="A53" i="12822"/>
  <c r="A70" i="12822" s="1"/>
  <c r="A52" i="12822"/>
  <c r="A69" i="12822" s="1"/>
  <c r="A51" i="12822"/>
  <c r="A68" i="12822" s="1"/>
  <c r="A50" i="12822"/>
  <c r="A67" i="12822" s="1"/>
  <c r="A49" i="12822"/>
  <c r="A66" i="12822" s="1"/>
  <c r="A48" i="12822"/>
  <c r="A65" i="12822" s="1"/>
  <c r="L47" i="12822"/>
  <c r="A47" i="12822"/>
  <c r="A64" i="12822" s="1"/>
  <c r="L46" i="12822"/>
  <c r="A46" i="12822"/>
  <c r="A63" i="12822" s="1"/>
  <c r="B40" i="12822"/>
  <c r="A39" i="12822"/>
  <c r="A38" i="12822"/>
  <c r="A37" i="12822"/>
  <c r="A36" i="12822"/>
  <c r="A35" i="12822"/>
  <c r="A34" i="12822"/>
  <c r="A33" i="12822"/>
  <c r="A32" i="12822"/>
  <c r="A31" i="12822"/>
  <c r="L30" i="12822"/>
  <c r="C39" i="12822" s="1"/>
  <c r="D30" i="12822"/>
  <c r="A30" i="12822"/>
  <c r="D29" i="12822"/>
  <c r="A29" i="12822"/>
  <c r="D28" i="12822"/>
  <c r="A28" i="12822"/>
  <c r="K27" i="12822"/>
  <c r="K45" i="12822" s="1"/>
  <c r="K62" i="12822" s="1"/>
  <c r="X62" i="12822" s="1"/>
  <c r="B22" i="12822"/>
  <c r="F21" i="12822"/>
  <c r="E21" i="12822"/>
  <c r="C21" i="12822"/>
  <c r="C13" i="12822"/>
  <c r="L12" i="12822"/>
  <c r="D21" i="12822" s="1"/>
  <c r="D12" i="12822"/>
  <c r="C12" i="12822"/>
  <c r="D11" i="12822"/>
  <c r="C11" i="12822"/>
  <c r="D10" i="12822"/>
  <c r="C10" i="12822"/>
  <c r="C17" i="12822" l="1"/>
  <c r="C15" i="12822"/>
  <c r="C19" i="12822"/>
  <c r="AD8" i="12775"/>
  <c r="K15" i="12811"/>
  <c r="O64" i="12822"/>
  <c r="O66" i="12822"/>
  <c r="O68" i="12822"/>
  <c r="O70" i="12822"/>
  <c r="O72" i="12822"/>
  <c r="O65" i="12822"/>
  <c r="O67" i="12822"/>
  <c r="O69" i="12822"/>
  <c r="O71" i="12822"/>
  <c r="O73" i="12822"/>
  <c r="O63" i="12822"/>
  <c r="P63" i="12822" s="1"/>
  <c r="O74" i="12822"/>
  <c r="R74" i="12822" s="1"/>
  <c r="G11" i="12822"/>
  <c r="G12" i="12822"/>
  <c r="D14" i="12822"/>
  <c r="D16" i="12822"/>
  <c r="D18" i="12822"/>
  <c r="D20" i="12822"/>
  <c r="AD6" i="12775"/>
  <c r="K13" i="12811"/>
  <c r="AD7" i="12775"/>
  <c r="K14" i="12811"/>
  <c r="B74" i="12822"/>
  <c r="B68" i="12822"/>
  <c r="B64" i="12822"/>
  <c r="D64" i="12822" s="1"/>
  <c r="B73" i="12822"/>
  <c r="B71" i="12822"/>
  <c r="B69" i="12822"/>
  <c r="B67" i="12822"/>
  <c r="B65" i="12822"/>
  <c r="D65" i="12822" s="1"/>
  <c r="B63" i="12822"/>
  <c r="B72" i="12822"/>
  <c r="B70" i="12822"/>
  <c r="B66" i="12822"/>
  <c r="D66" i="12822" s="1"/>
  <c r="D92" i="12822"/>
  <c r="B101" i="12822"/>
  <c r="K101" i="12811"/>
  <c r="B783" i="12767"/>
  <c r="C101" i="12822"/>
  <c r="D74" i="12822"/>
  <c r="E74" i="12822"/>
  <c r="C74" i="12822"/>
  <c r="G21" i="12822"/>
  <c r="Q74" i="12822"/>
  <c r="P74" i="12822"/>
  <c r="D13" i="12822"/>
  <c r="C14" i="12822"/>
  <c r="G14" i="12822" s="1"/>
  <c r="D15" i="12822"/>
  <c r="G15" i="12822" s="1"/>
  <c r="C16" i="12822"/>
  <c r="G16" i="12822" s="1"/>
  <c r="D17" i="12822"/>
  <c r="G17" i="12822" s="1"/>
  <c r="C18" i="12822"/>
  <c r="G18" i="12822" s="1"/>
  <c r="D19" i="12822"/>
  <c r="G19" i="12822" s="1"/>
  <c r="C20" i="12822"/>
  <c r="G20" i="12822" s="1"/>
  <c r="C28" i="12822"/>
  <c r="C29" i="12822"/>
  <c r="G29" i="12822" s="1"/>
  <c r="C30" i="12822"/>
  <c r="G30" i="12822" s="1"/>
  <c r="D31" i="12822"/>
  <c r="D32" i="12822"/>
  <c r="D33" i="12822"/>
  <c r="D34" i="12822"/>
  <c r="D35" i="12822"/>
  <c r="D36" i="12822"/>
  <c r="D37" i="12822"/>
  <c r="D38" i="12822"/>
  <c r="D39" i="12822"/>
  <c r="G39" i="12822" s="1"/>
  <c r="E63" i="12822"/>
  <c r="R63" i="12822"/>
  <c r="C64" i="12822"/>
  <c r="E64" i="12822"/>
  <c r="E65" i="12822"/>
  <c r="E66" i="12822"/>
  <c r="S67" i="12822"/>
  <c r="S68" i="12822"/>
  <c r="S69" i="12822"/>
  <c r="S70" i="12822"/>
  <c r="S71" i="12822"/>
  <c r="S72" i="12822"/>
  <c r="S73" i="12822"/>
  <c r="G10" i="12822"/>
  <c r="C31" i="12822"/>
  <c r="G31" i="12822" s="1"/>
  <c r="C32" i="12822"/>
  <c r="G32" i="12822" s="1"/>
  <c r="C33" i="12822"/>
  <c r="G33" i="12822" s="1"/>
  <c r="C34" i="12822"/>
  <c r="G34" i="12822" s="1"/>
  <c r="C35" i="12822"/>
  <c r="G35" i="12822" s="1"/>
  <c r="C36" i="12822"/>
  <c r="G36" i="12822" s="1"/>
  <c r="C37" i="12822"/>
  <c r="G37" i="12822" s="1"/>
  <c r="C38" i="12822"/>
  <c r="G38" i="12822" s="1"/>
  <c r="L48" i="12822"/>
  <c r="C57" i="12822" s="1"/>
  <c r="C52" i="12822"/>
  <c r="C56" i="12822"/>
  <c r="Q63" i="12822"/>
  <c r="F67" i="12822"/>
  <c r="F68" i="12822"/>
  <c r="F69" i="12822"/>
  <c r="F70" i="12822"/>
  <c r="F71" i="12822"/>
  <c r="F72" i="12822"/>
  <c r="C66" i="12822" l="1"/>
  <c r="C65" i="12822"/>
  <c r="I65" i="12822" s="1"/>
  <c r="B782" i="12767"/>
  <c r="B728" i="12767" s="1"/>
  <c r="B785" i="12767"/>
  <c r="C54" i="12822"/>
  <c r="C50" i="12822"/>
  <c r="D40" i="12822"/>
  <c r="D22" i="12822"/>
  <c r="C63" i="12822"/>
  <c r="D63" i="12822"/>
  <c r="J101" i="12812"/>
  <c r="AD34" i="12774"/>
  <c r="AD36" i="12774" s="1"/>
  <c r="D73" i="12822"/>
  <c r="E73" i="12822"/>
  <c r="C73" i="12822"/>
  <c r="D72" i="12822"/>
  <c r="E72" i="12822"/>
  <c r="C72" i="12822"/>
  <c r="D71" i="12822"/>
  <c r="E71" i="12822"/>
  <c r="C71" i="12822"/>
  <c r="D70" i="12822"/>
  <c r="E70" i="12822"/>
  <c r="C70" i="12822"/>
  <c r="D69" i="12822"/>
  <c r="E69" i="12822"/>
  <c r="C69" i="12822"/>
  <c r="D68" i="12822"/>
  <c r="E68" i="12822"/>
  <c r="C68" i="12822"/>
  <c r="D67" i="12822"/>
  <c r="E67" i="12822"/>
  <c r="C67" i="12822"/>
  <c r="R73" i="12822"/>
  <c r="P73" i="12822"/>
  <c r="Q73" i="12822"/>
  <c r="R72" i="12822"/>
  <c r="P72" i="12822"/>
  <c r="Q72" i="12822"/>
  <c r="R71" i="12822"/>
  <c r="P71" i="12822"/>
  <c r="Q71" i="12822"/>
  <c r="R70" i="12822"/>
  <c r="P70" i="12822"/>
  <c r="Q70" i="12822"/>
  <c r="R69" i="12822"/>
  <c r="P69" i="12822"/>
  <c r="Q69" i="12822"/>
  <c r="R68" i="12822"/>
  <c r="P68" i="12822"/>
  <c r="Q68" i="12822"/>
  <c r="R67" i="12822"/>
  <c r="P67" i="12822"/>
  <c r="Q67" i="12822"/>
  <c r="R64" i="12822"/>
  <c r="P64" i="12822"/>
  <c r="Q64" i="12822"/>
  <c r="V63" i="12822"/>
  <c r="I63" i="12822"/>
  <c r="C40" i="12822"/>
  <c r="B115" i="12767" s="1"/>
  <c r="G28" i="12822"/>
  <c r="G40" i="12822" s="1"/>
  <c r="C55" i="12822"/>
  <c r="C53" i="12822"/>
  <c r="C51" i="12822"/>
  <c r="C49" i="12822"/>
  <c r="C47" i="12822"/>
  <c r="B75" i="12822"/>
  <c r="AD14" i="12775" s="1"/>
  <c r="I66" i="12822"/>
  <c r="I64" i="12822"/>
  <c r="D55" i="12822"/>
  <c r="D53" i="12822"/>
  <c r="D51" i="12822"/>
  <c r="D49" i="12822"/>
  <c r="C46" i="12822"/>
  <c r="V74" i="12822"/>
  <c r="G13" i="12822"/>
  <c r="G22" i="12822" s="1"/>
  <c r="I74" i="12822"/>
  <c r="Q66" i="12822"/>
  <c r="R66" i="12822"/>
  <c r="P66" i="12822"/>
  <c r="D48" i="12822"/>
  <c r="D46" i="12822"/>
  <c r="D47" i="12822"/>
  <c r="R65" i="12822"/>
  <c r="P65" i="12822"/>
  <c r="Q65" i="12822"/>
  <c r="E75" i="12822"/>
  <c r="D56" i="12822"/>
  <c r="G56" i="12822" s="1"/>
  <c r="D54" i="12822"/>
  <c r="G54" i="12822" s="1"/>
  <c r="D52" i="12822"/>
  <c r="G52" i="12822" s="1"/>
  <c r="D50" i="12822"/>
  <c r="G50" i="12822" s="1"/>
  <c r="C48" i="12822"/>
  <c r="G48" i="12822" s="1"/>
  <c r="O75" i="12822"/>
  <c r="AD11" i="12775" s="1"/>
  <c r="D57" i="12822"/>
  <c r="G57" i="12822" s="1"/>
  <c r="C22" i="12822"/>
  <c r="B100" i="12767" s="1"/>
  <c r="B283" i="12767" l="1"/>
  <c r="B101" i="12767"/>
  <c r="B106" i="12767" s="1"/>
  <c r="B105" i="12767"/>
  <c r="B116" i="12767"/>
  <c r="B121" i="12767" s="1"/>
  <c r="B120" i="12767"/>
  <c r="AD7" i="12774"/>
  <c r="J14" i="12812"/>
  <c r="AD6" i="12774"/>
  <c r="J13" i="12812"/>
  <c r="G47" i="12822"/>
  <c r="C75" i="12822"/>
  <c r="V66" i="12822"/>
  <c r="B99" i="12822"/>
  <c r="K41" i="12811"/>
  <c r="B97" i="12822"/>
  <c r="D97" i="12822" s="1"/>
  <c r="K18" i="12811"/>
  <c r="R75" i="12822"/>
  <c r="B244" i="12767" s="1"/>
  <c r="B248" i="12767" s="1"/>
  <c r="V67" i="12822"/>
  <c r="V69" i="12822"/>
  <c r="V71" i="12822"/>
  <c r="V73" i="12822"/>
  <c r="I67" i="12822"/>
  <c r="D75" i="12822"/>
  <c r="I69" i="12822"/>
  <c r="Q75" i="12822"/>
  <c r="I71" i="12822"/>
  <c r="I73" i="12822"/>
  <c r="V65" i="12822"/>
  <c r="G49" i="12822"/>
  <c r="G53" i="12822"/>
  <c r="V64" i="12822"/>
  <c r="V68" i="12822"/>
  <c r="V70" i="12822"/>
  <c r="V72" i="12822"/>
  <c r="I68" i="12822"/>
  <c r="I70" i="12822"/>
  <c r="I72" i="12822"/>
  <c r="C58" i="12822"/>
  <c r="B130" i="12767" s="1"/>
  <c r="B135" i="12767" s="1"/>
  <c r="G46" i="12822"/>
  <c r="D58" i="12822"/>
  <c r="G51" i="12822"/>
  <c r="G55" i="12822"/>
  <c r="P75" i="12822"/>
  <c r="B247" i="12767" l="1"/>
  <c r="B282" i="12767"/>
  <c r="B281" i="12767"/>
  <c r="B246" i="12767"/>
  <c r="B131" i="12767"/>
  <c r="B136" i="12767" s="1"/>
  <c r="I75" i="12822"/>
  <c r="V75" i="12822"/>
  <c r="G58" i="12822"/>
  <c r="AD8" i="12774" l="1"/>
  <c r="J15" i="12812"/>
  <c r="C99" i="12822"/>
  <c r="AD14" i="12774"/>
  <c r="J18" i="12812"/>
  <c r="AD11" i="12774"/>
  <c r="J41" i="12812"/>
  <c r="C97" i="12822"/>
  <c r="E97" i="12822" s="1"/>
  <c r="B223" i="12767" l="1"/>
  <c r="B296" i="12767"/>
  <c r="B295" i="12767"/>
  <c r="B216" i="12767" l="1"/>
  <c r="B297" i="12767"/>
  <c r="B294" i="12767"/>
  <c r="B327" i="12767"/>
  <c r="B224" i="12767" s="1"/>
  <c r="B330" i="12767"/>
  <c r="B329" i="12767"/>
  <c r="B218" i="12767"/>
  <c r="B316" i="12767"/>
  <c r="B315" i="12767"/>
  <c r="B253" i="12767"/>
  <c r="B245" i="12767"/>
  <c r="B99" i="12767"/>
  <c r="K18" i="12764"/>
  <c r="K13" i="12764"/>
  <c r="K32" i="12764"/>
  <c r="K26" i="12764"/>
  <c r="E18" i="12763"/>
  <c r="I47" i="12812"/>
  <c r="B213" i="12767" l="1"/>
  <c r="B249" i="12767"/>
  <c r="B260" i="12767"/>
  <c r="B209" i="12767"/>
  <c r="B208" i="12767"/>
  <c r="B211" i="12767"/>
  <c r="B219" i="12767"/>
  <c r="B203" i="12767"/>
  <c r="B205" i="12767"/>
  <c r="B220" i="12767"/>
  <c r="B204" i="12767"/>
  <c r="B207" i="12767"/>
  <c r="B217" i="12767"/>
  <c r="B331" i="12767"/>
  <c r="B317" i="12767"/>
  <c r="B221" i="12767"/>
  <c r="B328" i="12767"/>
  <c r="B225" i="12767" s="1"/>
  <c r="B222" i="12767"/>
  <c r="B659" i="12767"/>
  <c r="B683" i="12767"/>
  <c r="B681" i="12767"/>
  <c r="B684" i="12767" s="1"/>
  <c r="B678" i="12767"/>
  <c r="B676" i="12767"/>
  <c r="B673" i="12767"/>
  <c r="B175" i="12767" l="1"/>
  <c r="B214" i="12767"/>
  <c r="B226" i="12767"/>
  <c r="B191" i="12767" s="1"/>
  <c r="B210" i="12767"/>
  <c r="B682" i="12767"/>
  <c r="B685" i="12767" s="1"/>
  <c r="B212" i="12767"/>
  <c r="D32" i="12820"/>
  <c r="D31" i="12820"/>
  <c r="D30" i="12820"/>
  <c r="D28" i="12820"/>
  <c r="D27" i="12820"/>
  <c r="D26" i="12820"/>
  <c r="F26" i="12820" s="1"/>
  <c r="D25" i="12820"/>
  <c r="D24" i="12820"/>
  <c r="F24" i="12820" s="1"/>
  <c r="D23" i="12820"/>
  <c r="F23" i="12820" s="1"/>
  <c r="C16" i="12820"/>
  <c r="B640" i="12767" s="1"/>
  <c r="C14" i="12820"/>
  <c r="B638" i="12767" s="1"/>
  <c r="D17" i="12820"/>
  <c r="F17" i="12820" s="1"/>
  <c r="C21" i="12820"/>
  <c r="B645" i="12767" s="1"/>
  <c r="C20" i="12820"/>
  <c r="C31" i="12820" s="1"/>
  <c r="C19" i="12820"/>
  <c r="B643" i="12767" s="1"/>
  <c r="B646" i="12767" s="1"/>
  <c r="B606" i="12767" s="1"/>
  <c r="C11" i="12820"/>
  <c r="B635" i="12767" s="1"/>
  <c r="F10" i="12820"/>
  <c r="C12" i="12820" l="1"/>
  <c r="C27" i="12820"/>
  <c r="B644" i="12767"/>
  <c r="B647" i="12767" s="1"/>
  <c r="B607" i="12767" s="1"/>
  <c r="C25" i="12820"/>
  <c r="B651" i="12767" s="1"/>
  <c r="C28" i="12820"/>
  <c r="D29" i="12820"/>
  <c r="C30" i="12820"/>
  <c r="C32" i="12820"/>
  <c r="B658" i="12767" s="1"/>
  <c r="F32" i="12820"/>
  <c r="F14" i="12820"/>
  <c r="F9" i="12820"/>
  <c r="F11" i="12820"/>
  <c r="F13" i="12820"/>
  <c r="F16" i="12820"/>
  <c r="F19" i="12820"/>
  <c r="C37" i="12820"/>
  <c r="F21" i="12820"/>
  <c r="F25" i="12820"/>
  <c r="F27" i="12820"/>
  <c r="F29" i="12820"/>
  <c r="F31" i="12820"/>
  <c r="F33" i="12820"/>
  <c r="F73" i="12811"/>
  <c r="F43" i="12811"/>
  <c r="F42" i="12811"/>
  <c r="F72" i="12811"/>
  <c r="F17" i="12811"/>
  <c r="F16" i="12811"/>
  <c r="F14" i="12811"/>
  <c r="F13" i="12811"/>
  <c r="B653" i="12767" l="1"/>
  <c r="C34" i="12820"/>
  <c r="F30" i="12820"/>
  <c r="B656" i="12767"/>
  <c r="B661" i="12767" s="1"/>
  <c r="B654" i="12767"/>
  <c r="F28" i="12820"/>
  <c r="F20" i="12820"/>
  <c r="B660" i="12767" l="1"/>
  <c r="F34" i="12820"/>
  <c r="F35" i="12820" s="1"/>
  <c r="F37" i="12820" s="1"/>
  <c r="B657" i="12767"/>
  <c r="B662" i="12767" s="1"/>
  <c r="P20" i="12774"/>
  <c r="I32" i="12763"/>
  <c r="B752" i="12767"/>
  <c r="B753" i="12767"/>
  <c r="B837" i="12767"/>
  <c r="B836" i="12767"/>
  <c r="B838" i="12767" s="1"/>
  <c r="B731" i="12767" s="1"/>
  <c r="B834" i="12767"/>
  <c r="B833" i="12767"/>
  <c r="B831" i="12767"/>
  <c r="B830" i="12767"/>
  <c r="B828" i="12767"/>
  <c r="B827" i="12767"/>
  <c r="B825" i="12767"/>
  <c r="B823" i="12767"/>
  <c r="B822" i="12767"/>
  <c r="B819" i="12767"/>
  <c r="B818" i="12767"/>
  <c r="B816" i="12767"/>
  <c r="B784" i="12767"/>
  <c r="B781" i="12767"/>
  <c r="B780" i="12767"/>
  <c r="B778" i="12767"/>
  <c r="B777" i="12767"/>
  <c r="B775" i="12767"/>
  <c r="B774" i="12767"/>
  <c r="B772" i="12767"/>
  <c r="B770" i="12767"/>
  <c r="B769" i="12767"/>
  <c r="B766" i="12767"/>
  <c r="B765" i="12767"/>
  <c r="B763" i="12767"/>
  <c r="K45" i="12764"/>
  <c r="I785" i="12767" l="1"/>
  <c r="K785" i="12767" s="1"/>
  <c r="I838" i="12767"/>
  <c r="K838" i="12767" s="1"/>
  <c r="I754" i="12767"/>
  <c r="G46" i="12764"/>
  <c r="G45" i="12764"/>
  <c r="I46" i="12763"/>
  <c r="I45" i="12763"/>
  <c r="E46" i="12763"/>
  <c r="E45" i="12763"/>
  <c r="I807" i="12767" l="1"/>
  <c r="K807" i="12767" s="1"/>
  <c r="I860" i="12767"/>
  <c r="K860" i="12767" s="1"/>
  <c r="K731" i="12767"/>
  <c r="P18" i="12783" s="1"/>
  <c r="G32" i="12764"/>
  <c r="E32" i="12763"/>
  <c r="G18" i="12764"/>
  <c r="G26" i="12764"/>
  <c r="E26" i="12763"/>
  <c r="K754" i="12767" l="1"/>
  <c r="B697" i="12767"/>
  <c r="B696" i="12767"/>
  <c r="B694" i="12767"/>
  <c r="B693" i="12767"/>
  <c r="B692" i="12767"/>
  <c r="B691" i="12767"/>
  <c r="B690" i="12767"/>
  <c r="B689" i="12767"/>
  <c r="B688" i="12767"/>
  <c r="B679" i="12767"/>
  <c r="B675" i="12767"/>
  <c r="B672" i="12767"/>
  <c r="B671" i="12767"/>
  <c r="B655" i="12767"/>
  <c r="B652" i="12767"/>
  <c r="B650" i="12767"/>
  <c r="B641" i="12767"/>
  <c r="B637" i="12767"/>
  <c r="B634" i="12767"/>
  <c r="B633" i="12767"/>
  <c r="B1012" i="12767"/>
  <c r="B1014" i="12767" s="1"/>
  <c r="B1031" i="12767"/>
  <c r="B1030" i="12767"/>
  <c r="B1032" i="12767" s="1"/>
  <c r="B1028" i="12767"/>
  <c r="B1026" i="12767"/>
  <c r="B1023" i="12767"/>
  <c r="B1013" i="12767"/>
  <c r="B1010" i="12767"/>
  <c r="B1008" i="12767"/>
  <c r="B1005" i="12767"/>
  <c r="B974" i="12767"/>
  <c r="B973" i="12767"/>
  <c r="B975" i="12767" s="1"/>
  <c r="B971" i="12767"/>
  <c r="B969" i="12767"/>
  <c r="B966" i="12767"/>
  <c r="B953" i="12767"/>
  <c r="B951" i="12767"/>
  <c r="B956" i="12767"/>
  <c r="B955" i="12767"/>
  <c r="B957" i="12767" s="1"/>
  <c r="B1086" i="12767"/>
  <c r="B1085" i="12767"/>
  <c r="B1087" i="12767" s="1"/>
  <c r="B1083" i="12767"/>
  <c r="B1082" i="12767"/>
  <c r="B881" i="12767"/>
  <c r="B880" i="12767"/>
  <c r="B879" i="12767"/>
  <c r="B876" i="12767"/>
  <c r="B882" i="12767" s="1"/>
  <c r="B874" i="12767"/>
  <c r="B872" i="12767"/>
  <c r="H872" i="12767" s="1"/>
  <c r="K36" i="12764"/>
  <c r="G36" i="12764"/>
  <c r="I36" i="12763"/>
  <c r="E36" i="12763"/>
  <c r="E13" i="12763"/>
  <c r="G13" i="12764"/>
  <c r="K35" i="12764"/>
  <c r="G35" i="12764"/>
  <c r="G22" i="12764"/>
  <c r="K22" i="12764"/>
  <c r="K27" i="12764"/>
  <c r="I35" i="12763"/>
  <c r="E35" i="12763"/>
  <c r="I27" i="12763"/>
  <c r="I22" i="12763"/>
  <c r="E22" i="12763"/>
  <c r="K38" i="12764"/>
  <c r="K37" i="12764"/>
  <c r="G37" i="12764"/>
  <c r="K23" i="12764"/>
  <c r="G23" i="12764"/>
  <c r="I23" i="12763"/>
  <c r="E23" i="12763"/>
  <c r="I37" i="12763"/>
  <c r="E37" i="12763"/>
  <c r="C38" i="12764"/>
  <c r="D81" i="12812" s="1"/>
  <c r="C38" i="12763"/>
  <c r="G81" i="12811" s="1"/>
  <c r="B146" i="12767"/>
  <c r="B151" i="12767" s="1"/>
  <c r="B133" i="12767"/>
  <c r="B132" i="12767"/>
  <c r="B129" i="12767"/>
  <c r="F15" i="12811" s="1"/>
  <c r="E11" i="12763"/>
  <c r="G11" i="12764"/>
  <c r="G8" i="12764"/>
  <c r="G9" i="12764"/>
  <c r="L126" i="12811"/>
  <c r="B1151" i="12767"/>
  <c r="B1165" i="12767"/>
  <c r="B1166" i="12767" s="1"/>
  <c r="B1167" i="12767"/>
  <c r="F122" i="12811" s="1"/>
  <c r="B1155" i="12767"/>
  <c r="H1149" i="12767"/>
  <c r="B1156" i="12767"/>
  <c r="B1154" i="12767"/>
  <c r="B1153" i="12767"/>
  <c r="B1152" i="12767"/>
  <c r="B1180" i="12767"/>
  <c r="F123" i="12811" s="1"/>
  <c r="B1179" i="12767"/>
  <c r="B1233" i="12767"/>
  <c r="B1231" i="12767"/>
  <c r="F125" i="12811" s="1"/>
  <c r="B1227" i="12767"/>
  <c r="B1226" i="12767"/>
  <c r="B1212" i="12767"/>
  <c r="B1211" i="12767"/>
  <c r="B1207" i="12767"/>
  <c r="B1204" i="12767"/>
  <c r="B1203" i="12767"/>
  <c r="B1192" i="12767"/>
  <c r="B1190" i="12767"/>
  <c r="B1189" i="12767"/>
  <c r="H1124" i="12767"/>
  <c r="K1124" i="12767" s="1"/>
  <c r="B1127" i="12767"/>
  <c r="F121" i="12811" s="1"/>
  <c r="B1125" i="12767"/>
  <c r="B1117" i="12767"/>
  <c r="B1115" i="12767"/>
  <c r="F124" i="12811" s="1"/>
  <c r="B1106" i="12767"/>
  <c r="B1105" i="12767"/>
  <c r="B1104" i="12767"/>
  <c r="B1101" i="12767"/>
  <c r="B1098" i="12767"/>
  <c r="B1097" i="12767"/>
  <c r="B75" i="12767"/>
  <c r="B73" i="12767" s="1"/>
  <c r="B74" i="12767"/>
  <c r="F84" i="12811" s="1"/>
  <c r="B66" i="12767"/>
  <c r="B65" i="12767"/>
  <c r="B51" i="12767"/>
  <c r="B49" i="12767"/>
  <c r="B57" i="12767"/>
  <c r="B55" i="12767" s="1"/>
  <c r="B39" i="12767"/>
  <c r="B37" i="12767" s="1"/>
  <c r="B56" i="12767"/>
  <c r="F52" i="12811" s="1"/>
  <c r="B38" i="12767"/>
  <c r="F21" i="12811" s="1"/>
  <c r="F22" i="12811" s="1"/>
  <c r="B54" i="12767"/>
  <c r="B53" i="12767"/>
  <c r="B52" i="12767"/>
  <c r="B48" i="12767"/>
  <c r="B47" i="12767"/>
  <c r="B36" i="12767"/>
  <c r="B34" i="12767"/>
  <c r="B33" i="12767"/>
  <c r="B30" i="12767"/>
  <c r="B29" i="12767"/>
  <c r="B11" i="12767" l="1"/>
  <c r="B937" i="12767"/>
  <c r="B1069" i="12767"/>
  <c r="B695" i="12767"/>
  <c r="B700" i="12767" s="1"/>
  <c r="B624" i="12767" s="1"/>
  <c r="B699" i="12767"/>
  <c r="B623" i="12767" s="1"/>
  <c r="M38" i="12828"/>
  <c r="B1116" i="12767"/>
  <c r="B900" i="12767"/>
  <c r="B1050" i="12767"/>
  <c r="B19" i="12767"/>
  <c r="M42" i="12828"/>
  <c r="B1232" i="12767"/>
  <c r="I975" i="12767"/>
  <c r="K975" i="12767" s="1"/>
  <c r="K882" i="12767"/>
  <c r="P19" i="12783" s="1"/>
  <c r="F85" i="12811"/>
  <c r="F127" i="12811"/>
  <c r="F137" i="12811" s="1"/>
  <c r="K52" i="12764"/>
  <c r="I52" i="12763"/>
  <c r="E52" i="12763"/>
  <c r="E8" i="12763"/>
  <c r="I7" i="12763"/>
  <c r="K7" i="12764"/>
  <c r="K40" i="12764"/>
  <c r="K24" i="12764"/>
  <c r="I40" i="12763"/>
  <c r="E40" i="12763"/>
  <c r="I24" i="12763"/>
  <c r="E24" i="12763"/>
  <c r="I12" i="12763"/>
  <c r="E12" i="12763"/>
  <c r="G40" i="12764"/>
  <c r="G24" i="12764"/>
  <c r="G12" i="12764"/>
  <c r="K937" i="12767" l="1"/>
  <c r="I957" i="12767"/>
  <c r="K957" i="12767" s="1"/>
  <c r="K1087" i="12767"/>
  <c r="E53" i="12763"/>
  <c r="G53" i="12764"/>
  <c r="G54" i="12764"/>
  <c r="G52" i="12764"/>
  <c r="E54" i="12763" l="1"/>
  <c r="G55" i="12764"/>
  <c r="K54" i="12764"/>
  <c r="E51" i="12763"/>
  <c r="K51" i="12764"/>
  <c r="G51" i="12764"/>
  <c r="I51" i="12763"/>
  <c r="E55" i="12763"/>
  <c r="K55" i="12764"/>
  <c r="G25" i="12764" l="1"/>
  <c r="E25" i="12763"/>
  <c r="I25" i="12763"/>
  <c r="K25" i="12764"/>
  <c r="E12" i="12775" l="1"/>
  <c r="F12" i="12775"/>
  <c r="G12" i="12775"/>
  <c r="H12" i="12775"/>
  <c r="I12" i="12775"/>
  <c r="J12" i="12775"/>
  <c r="K12" i="12775"/>
  <c r="L12" i="12775"/>
  <c r="M12" i="12775"/>
  <c r="N12" i="12775"/>
  <c r="O12" i="12775"/>
  <c r="P11" i="12775"/>
  <c r="E12" i="12774"/>
  <c r="F12" i="12774"/>
  <c r="G12" i="12774"/>
  <c r="H12" i="12774"/>
  <c r="I12" i="12774"/>
  <c r="J12" i="12774"/>
  <c r="K12" i="12774"/>
  <c r="L12" i="12774"/>
  <c r="M12" i="12774"/>
  <c r="N12" i="12774"/>
  <c r="O12" i="12774"/>
  <c r="D12" i="12774"/>
  <c r="AI11" i="12774"/>
  <c r="P11" i="12774"/>
  <c r="AJ11" i="12774" l="1"/>
  <c r="AD12" i="12775"/>
  <c r="AD12" i="12774"/>
  <c r="N79" i="12763" l="1"/>
  <c r="I79" i="12763"/>
  <c r="E79" i="12763"/>
  <c r="T80" i="12764"/>
  <c r="K80" i="12764"/>
  <c r="G80" i="12764"/>
  <c r="E80" i="12764"/>
  <c r="I14" i="12763"/>
  <c r="E14" i="12763"/>
  <c r="K14" i="12764"/>
  <c r="G14" i="12764"/>
  <c r="E14" i="12764"/>
  <c r="E141" i="12813"/>
  <c r="E139" i="12813"/>
  <c r="E137" i="12813"/>
  <c r="E135" i="12813"/>
  <c r="E133" i="12813"/>
  <c r="E132" i="12813"/>
  <c r="E131" i="12813"/>
  <c r="E129" i="12813"/>
  <c r="E127" i="12813"/>
  <c r="E125" i="12813"/>
  <c r="E124" i="12813"/>
  <c r="E123" i="12813"/>
  <c r="E122" i="12813"/>
  <c r="E121" i="12813"/>
  <c r="E120" i="12813"/>
  <c r="E119" i="12813"/>
  <c r="E118" i="12813"/>
  <c r="E111" i="12813"/>
  <c r="E110" i="12813"/>
  <c r="E109" i="12813"/>
  <c r="E108" i="12813"/>
  <c r="E107" i="12813"/>
  <c r="E106" i="12813"/>
  <c r="E105" i="12813"/>
  <c r="E104" i="12813"/>
  <c r="E103" i="12813"/>
  <c r="E102" i="12813"/>
  <c r="E95" i="12813"/>
  <c r="E94" i="12813"/>
  <c r="E93" i="12813"/>
  <c r="E92" i="12813"/>
  <c r="E90" i="12813"/>
  <c r="E89" i="12813"/>
  <c r="E88" i="12813"/>
  <c r="E87" i="12813"/>
  <c r="E86" i="12813"/>
  <c r="E84" i="12813"/>
  <c r="E83" i="12813"/>
  <c r="E82" i="12813"/>
  <c r="E81" i="12813"/>
  <c r="E80" i="12813"/>
  <c r="E79" i="12813"/>
  <c r="E72" i="12813"/>
  <c r="E70" i="12813"/>
  <c r="E68" i="12813"/>
  <c r="E66" i="12813"/>
  <c r="E64" i="12813"/>
  <c r="E63" i="12813"/>
  <c r="E62" i="12813"/>
  <c r="E61" i="12813"/>
  <c r="E60" i="12813"/>
  <c r="E59" i="12813"/>
  <c r="E58" i="12813"/>
  <c r="E57" i="12813"/>
  <c r="E56" i="12813"/>
  <c r="E55" i="12813"/>
  <c r="E54" i="12813"/>
  <c r="E53" i="12813"/>
  <c r="C40" i="12763" s="1"/>
  <c r="E44" i="12813"/>
  <c r="E42" i="12813"/>
  <c r="E41" i="12813"/>
  <c r="E40" i="12813"/>
  <c r="E39" i="12813"/>
  <c r="E37" i="12813"/>
  <c r="E35" i="12813"/>
  <c r="E33" i="12813"/>
  <c r="E31" i="12813"/>
  <c r="E29" i="12813"/>
  <c r="E28" i="12813"/>
  <c r="E27" i="12813"/>
  <c r="E26" i="12813"/>
  <c r="E25" i="12813"/>
  <c r="E24" i="12813"/>
  <c r="E23" i="12813"/>
  <c r="E22" i="12813"/>
  <c r="E21" i="12813"/>
  <c r="E20" i="12813"/>
  <c r="E19" i="12813"/>
  <c r="E18" i="12813"/>
  <c r="E17" i="12813"/>
  <c r="E16" i="12813"/>
  <c r="E14" i="12813"/>
  <c r="E13" i="12813"/>
  <c r="E12" i="12813"/>
  <c r="E11" i="12813"/>
  <c r="E10" i="12813"/>
  <c r="E9" i="12813"/>
  <c r="E15" i="12813"/>
  <c r="E1052" i="12767"/>
  <c r="E264" i="12767"/>
  <c r="H259" i="12767"/>
  <c r="E259" i="12767"/>
  <c r="H258" i="12767"/>
  <c r="E258" i="12767"/>
  <c r="E257" i="12767"/>
  <c r="E255" i="12767"/>
  <c r="E256" i="12767"/>
  <c r="E253" i="12767"/>
  <c r="E252" i="12767"/>
  <c r="E251" i="12767"/>
  <c r="E250" i="12767"/>
  <c r="H245" i="12767"/>
  <c r="H257" i="12767"/>
  <c r="E245" i="12767"/>
  <c r="H256" i="12767"/>
  <c r="H244" i="12767"/>
  <c r="H255" i="12767"/>
  <c r="H254" i="12767"/>
  <c r="H241" i="12767"/>
  <c r="H253" i="12767"/>
  <c r="E241" i="12767"/>
  <c r="H252" i="12767"/>
  <c r="E239" i="12767"/>
  <c r="H251" i="12767"/>
  <c r="E238" i="12767"/>
  <c r="H250" i="12767"/>
  <c r="E237" i="12767"/>
  <c r="L87" i="12811"/>
  <c r="C26" i="12764" l="1"/>
  <c r="C25" i="12823"/>
  <c r="C23" i="12823"/>
  <c r="C22" i="12823"/>
  <c r="C18" i="12823"/>
  <c r="C27" i="12823"/>
  <c r="C26" i="12823"/>
  <c r="C24" i="12823"/>
  <c r="C20" i="12823"/>
  <c r="C19" i="12823"/>
  <c r="C54" i="12764"/>
  <c r="C54" i="12823"/>
  <c r="C53" i="12823"/>
  <c r="C51" i="12823"/>
  <c r="C55" i="12823"/>
  <c r="C52" i="12823"/>
  <c r="C13" i="12764"/>
  <c r="I13" i="12764" s="1"/>
  <c r="C13" i="12823"/>
  <c r="C11" i="12823"/>
  <c r="C10" i="12823"/>
  <c r="C8" i="12823"/>
  <c r="C7" i="12823"/>
  <c r="C12" i="12823"/>
  <c r="C9" i="12823"/>
  <c r="C18" i="12763"/>
  <c r="C22" i="12763"/>
  <c r="C32" i="12763"/>
  <c r="C40" i="12823"/>
  <c r="O40" i="12823" s="1"/>
  <c r="C36" i="12823"/>
  <c r="C34" i="12823"/>
  <c r="O34" i="12823" s="1"/>
  <c r="C33" i="12823"/>
  <c r="O33" i="12823" s="1"/>
  <c r="C32" i="12823"/>
  <c r="C35" i="12823"/>
  <c r="O35" i="12823" s="1"/>
  <c r="C37" i="12823"/>
  <c r="O37" i="12823" s="1"/>
  <c r="C46" i="12823"/>
  <c r="C45" i="12823"/>
  <c r="C19" i="12763"/>
  <c r="C24" i="12763"/>
  <c r="C35" i="12763"/>
  <c r="C37" i="12763"/>
  <c r="G80" i="12811" s="1"/>
  <c r="C45" i="12763"/>
  <c r="C18" i="12764"/>
  <c r="C22" i="12764"/>
  <c r="C24" i="12764"/>
  <c r="C35" i="12764"/>
  <c r="C7" i="12763"/>
  <c r="C9" i="12763"/>
  <c r="C11" i="12763"/>
  <c r="C13" i="12763"/>
  <c r="G13" i="12763" s="1"/>
  <c r="J13" i="12763" s="1"/>
  <c r="L13" i="12763" s="1"/>
  <c r="C26" i="12763"/>
  <c r="C34" i="12763"/>
  <c r="C36" i="12763"/>
  <c r="C46" i="12763"/>
  <c r="C52" i="12763"/>
  <c r="C54" i="12763"/>
  <c r="C19" i="12764"/>
  <c r="C20" i="12764"/>
  <c r="C32" i="12764"/>
  <c r="C40" i="12764"/>
  <c r="C8" i="12763"/>
  <c r="C10" i="12763"/>
  <c r="C12" i="12763"/>
  <c r="C20" i="12763"/>
  <c r="C79" i="12763" s="1"/>
  <c r="C23" i="12763"/>
  <c r="C25" i="12763"/>
  <c r="C27" i="12763"/>
  <c r="C33" i="12763"/>
  <c r="C51" i="12763"/>
  <c r="C53" i="12763"/>
  <c r="C55" i="12763"/>
  <c r="C46" i="12764"/>
  <c r="C8" i="12764"/>
  <c r="C10" i="12764"/>
  <c r="C12" i="12764"/>
  <c r="C23" i="12764"/>
  <c r="C25" i="12764"/>
  <c r="C27" i="12764"/>
  <c r="C33" i="12764"/>
  <c r="C37" i="12764"/>
  <c r="D80" i="12812" s="1"/>
  <c r="C45" i="12764"/>
  <c r="C51" i="12764"/>
  <c r="C53" i="12764"/>
  <c r="C55" i="12764"/>
  <c r="C7" i="12764"/>
  <c r="C9" i="12764"/>
  <c r="C11" i="12764"/>
  <c r="C34" i="12764"/>
  <c r="C36" i="12764"/>
  <c r="C52" i="12764"/>
  <c r="K13" i="12763"/>
  <c r="N13" i="12764"/>
  <c r="F18" i="12812" s="1"/>
  <c r="M13" i="12764"/>
  <c r="O13" i="12764" s="1"/>
  <c r="E244" i="12767"/>
  <c r="B240" i="12767"/>
  <c r="F18" i="12811" s="1"/>
  <c r="F19" i="12811" s="1"/>
  <c r="E254" i="12767"/>
  <c r="H237" i="12767"/>
  <c r="H238" i="12767"/>
  <c r="H239" i="12767"/>
  <c r="C89" i="12823" l="1"/>
  <c r="O45" i="12823"/>
  <c r="C47" i="12823"/>
  <c r="S37" i="12823"/>
  <c r="U37" i="12823" s="1"/>
  <c r="T37" i="12823"/>
  <c r="O32" i="12823"/>
  <c r="C41" i="12823"/>
  <c r="S34" i="12823"/>
  <c r="U34" i="12823" s="1"/>
  <c r="T34" i="12823"/>
  <c r="S40" i="12823"/>
  <c r="U40" i="12823" s="1"/>
  <c r="T40" i="12823"/>
  <c r="C73" i="12823"/>
  <c r="O9" i="12823"/>
  <c r="C67" i="12823"/>
  <c r="O7" i="12823"/>
  <c r="C14" i="12823"/>
  <c r="C74" i="12823"/>
  <c r="O10" i="12823"/>
  <c r="C80" i="12823"/>
  <c r="O13" i="12823"/>
  <c r="C104" i="12823"/>
  <c r="O52" i="12823"/>
  <c r="C102" i="12823"/>
  <c r="O51" i="12823"/>
  <c r="C56" i="12823"/>
  <c r="C100" i="12823"/>
  <c r="O54" i="12823"/>
  <c r="C78" i="12823"/>
  <c r="O19" i="12823"/>
  <c r="C64" i="12823"/>
  <c r="O24" i="12823"/>
  <c r="C87" i="12823"/>
  <c r="O27" i="12823"/>
  <c r="C83" i="12823"/>
  <c r="C84" i="12823" s="1"/>
  <c r="O22" i="12823"/>
  <c r="C108" i="12823"/>
  <c r="O25" i="12823"/>
  <c r="C90" i="12823"/>
  <c r="O46" i="12823"/>
  <c r="T35" i="12823"/>
  <c r="S35" i="12823"/>
  <c r="U35" i="12823" s="1"/>
  <c r="T33" i="12823"/>
  <c r="S33" i="12823"/>
  <c r="U33" i="12823" s="1"/>
  <c r="C93" i="12823"/>
  <c r="O36" i="12823"/>
  <c r="C63" i="12823"/>
  <c r="C65" i="12823" s="1"/>
  <c r="O12" i="12823"/>
  <c r="C68" i="12823"/>
  <c r="O8" i="12823"/>
  <c r="C71" i="12823"/>
  <c r="O11" i="12823"/>
  <c r="C110" i="12823"/>
  <c r="O55" i="12823"/>
  <c r="C105" i="12823"/>
  <c r="O53" i="12823"/>
  <c r="C79" i="12823"/>
  <c r="O20" i="12823"/>
  <c r="C86" i="12823"/>
  <c r="O26" i="12823"/>
  <c r="O18" i="12823"/>
  <c r="C28" i="12823"/>
  <c r="C77" i="12823"/>
  <c r="C81" i="12823" s="1"/>
  <c r="C95" i="12823"/>
  <c r="C98" i="12823" s="1"/>
  <c r="O23" i="12823"/>
  <c r="F38" i="12811"/>
  <c r="C80" i="12764"/>
  <c r="C14" i="12763"/>
  <c r="C14" i="12764"/>
  <c r="O95" i="12823" l="1"/>
  <c r="S23" i="12823"/>
  <c r="U23" i="12823" s="1"/>
  <c r="T23" i="12823"/>
  <c r="T51" i="12823"/>
  <c r="O102" i="12823"/>
  <c r="O56" i="12823"/>
  <c r="S51" i="12823"/>
  <c r="U51" i="12823" s="1"/>
  <c r="T52" i="12823"/>
  <c r="O104" i="12823"/>
  <c r="S52" i="12823"/>
  <c r="U52" i="12823" s="1"/>
  <c r="O80" i="12823"/>
  <c r="S13" i="12823"/>
  <c r="U13" i="12823" s="1"/>
  <c r="T13" i="12823"/>
  <c r="O74" i="12823"/>
  <c r="T10" i="12823"/>
  <c r="S10" i="12823"/>
  <c r="U10" i="12823" s="1"/>
  <c r="C69" i="12823"/>
  <c r="S32" i="12823"/>
  <c r="U32" i="12823" s="1"/>
  <c r="T32" i="12823"/>
  <c r="AE32" i="12823"/>
  <c r="O41" i="12823"/>
  <c r="S41" i="12823" s="1"/>
  <c r="U41" i="12823" s="1"/>
  <c r="T45" i="12823"/>
  <c r="O89" i="12823"/>
  <c r="S45" i="12823"/>
  <c r="U45" i="12823" s="1"/>
  <c r="O47" i="12823"/>
  <c r="S47" i="12823" s="1"/>
  <c r="U47" i="12823" s="1"/>
  <c r="T18" i="12823"/>
  <c r="O77" i="12823"/>
  <c r="S18" i="12823"/>
  <c r="U18" i="12823" s="1"/>
  <c r="O28" i="12823"/>
  <c r="O86" i="12823"/>
  <c r="T26" i="12823"/>
  <c r="AD26" i="12823" s="1"/>
  <c r="S26" i="12823"/>
  <c r="U26" i="12823" s="1"/>
  <c r="W26" i="12823"/>
  <c r="T20" i="12823"/>
  <c r="O79" i="12823"/>
  <c r="S20" i="12823"/>
  <c r="U20" i="12823" s="1"/>
  <c r="O105" i="12823"/>
  <c r="T53" i="12823"/>
  <c r="S53" i="12823"/>
  <c r="U53" i="12823" s="1"/>
  <c r="T55" i="12823"/>
  <c r="O110" i="12823"/>
  <c r="S55" i="12823"/>
  <c r="U55" i="12823" s="1"/>
  <c r="O71" i="12823"/>
  <c r="W11" i="12823"/>
  <c r="T11" i="12823"/>
  <c r="AD11" i="12823" s="1"/>
  <c r="S11" i="12823"/>
  <c r="U11" i="12823" s="1"/>
  <c r="S8" i="12823"/>
  <c r="U8" i="12823" s="1"/>
  <c r="O68" i="12823"/>
  <c r="T8" i="12823"/>
  <c r="O63" i="12823"/>
  <c r="T12" i="12823"/>
  <c r="S12" i="12823"/>
  <c r="U12" i="12823" s="1"/>
  <c r="S36" i="12823"/>
  <c r="U36" i="12823" s="1"/>
  <c r="T36" i="12823"/>
  <c r="O93" i="12823"/>
  <c r="O90" i="12823"/>
  <c r="S46" i="12823"/>
  <c r="U46" i="12823" s="1"/>
  <c r="T46" i="12823"/>
  <c r="O108" i="12823"/>
  <c r="T25" i="12823"/>
  <c r="S25" i="12823"/>
  <c r="U25" i="12823" s="1"/>
  <c r="T22" i="12823"/>
  <c r="O83" i="12823"/>
  <c r="S22" i="12823"/>
  <c r="U22" i="12823" s="1"/>
  <c r="T27" i="12823"/>
  <c r="AD27" i="12823" s="1"/>
  <c r="O87" i="12823"/>
  <c r="S27" i="12823"/>
  <c r="U27" i="12823" s="1"/>
  <c r="W27" i="12823"/>
  <c r="O64" i="12823"/>
  <c r="T24" i="12823"/>
  <c r="S24" i="12823"/>
  <c r="U24" i="12823" s="1"/>
  <c r="T19" i="12823"/>
  <c r="O78" i="12823"/>
  <c r="S19" i="12823"/>
  <c r="U19" i="12823" s="1"/>
  <c r="O100" i="12823"/>
  <c r="S54" i="12823"/>
  <c r="U54" i="12823" s="1"/>
  <c r="T54" i="12823"/>
  <c r="C58" i="12823"/>
  <c r="C106" i="12823"/>
  <c r="C75" i="12823"/>
  <c r="T7" i="12823"/>
  <c r="O67" i="12823"/>
  <c r="S7" i="12823"/>
  <c r="U7" i="12823" s="1"/>
  <c r="AE7" i="12823" s="1"/>
  <c r="O14" i="12823"/>
  <c r="O73" i="12823"/>
  <c r="T9" i="12823"/>
  <c r="S9" i="12823"/>
  <c r="U9" i="12823" s="1"/>
  <c r="C91" i="12823"/>
  <c r="B13" i="12817"/>
  <c r="B12" i="12817"/>
  <c r="B10" i="12817"/>
  <c r="B9" i="12817"/>
  <c r="B8" i="12817"/>
  <c r="B7" i="12817"/>
  <c r="B6" i="12817"/>
  <c r="B5" i="12817"/>
  <c r="B4" i="12817"/>
  <c r="C49" i="12815"/>
  <c r="C48" i="12815"/>
  <c r="C47" i="12815"/>
  <c r="C46" i="12815"/>
  <c r="C45" i="12815"/>
  <c r="C44" i="12815"/>
  <c r="C43" i="12815"/>
  <c r="C39" i="12815"/>
  <c r="C38" i="12815"/>
  <c r="C37" i="12815"/>
  <c r="C36" i="12815"/>
  <c r="C35" i="12815"/>
  <c r="C34" i="12815"/>
  <c r="C30" i="12815"/>
  <c r="C29" i="12815"/>
  <c r="C25" i="12815"/>
  <c r="C24" i="12815"/>
  <c r="C23" i="12815"/>
  <c r="C22" i="12815"/>
  <c r="C21" i="12815"/>
  <c r="C20" i="12815"/>
  <c r="C19" i="12815"/>
  <c r="C18" i="12815"/>
  <c r="C14" i="12815"/>
  <c r="C13" i="12815"/>
  <c r="C12" i="12815"/>
  <c r="C11" i="12815"/>
  <c r="C10" i="12815"/>
  <c r="C9" i="12815"/>
  <c r="H8" i="12815"/>
  <c r="C8" i="12815"/>
  <c r="A4" i="12815"/>
  <c r="A3" i="12815"/>
  <c r="A2" i="12815"/>
  <c r="C49" i="12814"/>
  <c r="F49" i="12814" s="1"/>
  <c r="C48" i="12814"/>
  <c r="F48" i="12814" s="1"/>
  <c r="C47" i="12814"/>
  <c r="F47" i="12814" s="1"/>
  <c r="C46" i="12814"/>
  <c r="F46" i="12814" s="1"/>
  <c r="C45" i="12814"/>
  <c r="F45" i="12814" s="1"/>
  <c r="C44" i="12814"/>
  <c r="F44" i="12814" s="1"/>
  <c r="C43" i="12814"/>
  <c r="C39" i="12814"/>
  <c r="C38" i="12814"/>
  <c r="F38" i="12814" s="1"/>
  <c r="C37" i="12814"/>
  <c r="F37" i="12814" s="1"/>
  <c r="C36" i="12814"/>
  <c r="F36" i="12814" s="1"/>
  <c r="C35" i="12814"/>
  <c r="F35" i="12814" s="1"/>
  <c r="C34" i="12814"/>
  <c r="C30" i="12814"/>
  <c r="F30" i="12814" s="1"/>
  <c r="C29" i="12814"/>
  <c r="C25" i="12814"/>
  <c r="F25" i="12814" s="1"/>
  <c r="C24" i="12814"/>
  <c r="F24" i="12814" s="1"/>
  <c r="C23" i="12814"/>
  <c r="F23" i="12814" s="1"/>
  <c r="C22" i="12814"/>
  <c r="F22" i="12814" s="1"/>
  <c r="C21" i="12814"/>
  <c r="F21" i="12814" s="1"/>
  <c r="C20" i="12814"/>
  <c r="F20" i="12814" s="1"/>
  <c r="C19" i="12814"/>
  <c r="F19" i="12814" s="1"/>
  <c r="C18" i="12814"/>
  <c r="F18" i="12814" s="1"/>
  <c r="C14" i="12814"/>
  <c r="F14" i="12814" s="1"/>
  <c r="C13" i="12814"/>
  <c r="F13" i="12814" s="1"/>
  <c r="C12" i="12814"/>
  <c r="F12" i="12814" s="1"/>
  <c r="C11" i="12814"/>
  <c r="F11" i="12814" s="1"/>
  <c r="C10" i="12814"/>
  <c r="F10" i="12814" s="1"/>
  <c r="C9" i="12814"/>
  <c r="F9" i="12814" s="1"/>
  <c r="C8" i="12814"/>
  <c r="A4" i="12814"/>
  <c r="A3" i="12814"/>
  <c r="A2" i="12814"/>
  <c r="I162" i="12813"/>
  <c r="H162" i="12813"/>
  <c r="J161" i="12813"/>
  <c r="J163" i="12813" s="1"/>
  <c r="I161" i="12813"/>
  <c r="H161" i="12813"/>
  <c r="I156" i="12813"/>
  <c r="H156" i="12813"/>
  <c r="J146" i="12813"/>
  <c r="I146" i="12813"/>
  <c r="H146" i="12813"/>
  <c r="J113" i="12813"/>
  <c r="I113" i="12813"/>
  <c r="H113" i="12813"/>
  <c r="J98" i="12813"/>
  <c r="I98" i="12813"/>
  <c r="H98" i="12813"/>
  <c r="J74" i="12813"/>
  <c r="I74" i="12813"/>
  <c r="H74" i="12813"/>
  <c r="J47" i="12813"/>
  <c r="L47" i="12813" s="1"/>
  <c r="I47" i="12813"/>
  <c r="H47" i="12813"/>
  <c r="M137" i="12812"/>
  <c r="D135" i="12812"/>
  <c r="E135" i="12812" s="1"/>
  <c r="K135" i="12812" s="1"/>
  <c r="O135" i="12811" s="1"/>
  <c r="D133" i="12812"/>
  <c r="F133" i="12812" s="1"/>
  <c r="K133" i="12812" s="1"/>
  <c r="O133" i="12811" s="1"/>
  <c r="D132" i="12812"/>
  <c r="N132" i="12811" s="1"/>
  <c r="D131" i="12812"/>
  <c r="F131" i="12812" s="1"/>
  <c r="K129" i="12812"/>
  <c r="D129" i="12812"/>
  <c r="N129" i="12811" s="1"/>
  <c r="J127" i="12812"/>
  <c r="J137" i="12812" s="1"/>
  <c r="E20" i="12809" s="1"/>
  <c r="I127" i="12812"/>
  <c r="H126" i="12812"/>
  <c r="F126" i="12812"/>
  <c r="D126" i="12812"/>
  <c r="N126" i="12811" s="1"/>
  <c r="H125" i="12812"/>
  <c r="D125" i="12812"/>
  <c r="N125" i="12811" s="1"/>
  <c r="H124" i="12812"/>
  <c r="D124" i="12812"/>
  <c r="N124" i="12811" s="1"/>
  <c r="H123" i="12812"/>
  <c r="D123" i="12812"/>
  <c r="N123" i="12811" s="1"/>
  <c r="H122" i="12812"/>
  <c r="D122" i="12812"/>
  <c r="N122" i="12811" s="1"/>
  <c r="H121" i="12812"/>
  <c r="D121" i="12812"/>
  <c r="N121" i="12811" s="1"/>
  <c r="M117" i="12812"/>
  <c r="D115" i="12812"/>
  <c r="D113" i="12812"/>
  <c r="H113" i="12812" s="1"/>
  <c r="K113" i="12812" s="1"/>
  <c r="O113" i="12811" s="1"/>
  <c r="D112" i="12812"/>
  <c r="N112" i="12811" s="1"/>
  <c r="D111" i="12812"/>
  <c r="F111" i="12812" s="1"/>
  <c r="K111" i="12812" s="1"/>
  <c r="O111" i="12811" s="1"/>
  <c r="D110" i="12812"/>
  <c r="N110" i="12811" s="1"/>
  <c r="D109" i="12812"/>
  <c r="F109" i="12812" s="1"/>
  <c r="K109" i="12812" s="1"/>
  <c r="O109" i="12811" s="1"/>
  <c r="D108" i="12812"/>
  <c r="N108" i="12811" s="1"/>
  <c r="D107" i="12812"/>
  <c r="F107" i="12812" s="1"/>
  <c r="F157" i="12812" s="1"/>
  <c r="K105" i="12812"/>
  <c r="D105" i="12812"/>
  <c r="J103" i="12812"/>
  <c r="J117" i="12812" s="1"/>
  <c r="I103" i="12812"/>
  <c r="I117" i="12812" s="1"/>
  <c r="M102" i="12812"/>
  <c r="H102" i="12812"/>
  <c r="D102" i="12812"/>
  <c r="N102" i="12811" s="1"/>
  <c r="M101" i="12812"/>
  <c r="H101" i="12812"/>
  <c r="D101" i="12812"/>
  <c r="N101" i="12811" s="1"/>
  <c r="M97" i="12812"/>
  <c r="D95" i="12812"/>
  <c r="E95" i="12812" s="1"/>
  <c r="K95" i="12812" s="1"/>
  <c r="O95" i="12811" s="1"/>
  <c r="D93" i="12812"/>
  <c r="F93" i="12812" s="1"/>
  <c r="K93" i="12812" s="1"/>
  <c r="O93" i="12811" s="1"/>
  <c r="D92" i="12812"/>
  <c r="N92" i="12811" s="1"/>
  <c r="D91" i="12812"/>
  <c r="F91" i="12812" s="1"/>
  <c r="K91" i="12812" s="1"/>
  <c r="O91" i="12811" s="1"/>
  <c r="D90" i="12812"/>
  <c r="N90" i="12811" s="1"/>
  <c r="D89" i="12812"/>
  <c r="F89" i="12812" s="1"/>
  <c r="K89" i="12812" s="1"/>
  <c r="O89" i="12811" s="1"/>
  <c r="K87" i="12812"/>
  <c r="D87" i="12812"/>
  <c r="J85" i="12812"/>
  <c r="H84" i="12812"/>
  <c r="H85" i="12812" s="1"/>
  <c r="D84" i="12812"/>
  <c r="D85" i="12812" s="1"/>
  <c r="J82" i="12812"/>
  <c r="I82" i="12812"/>
  <c r="M81" i="12812"/>
  <c r="H81" i="12812"/>
  <c r="N81" i="12811"/>
  <c r="M80" i="12812"/>
  <c r="H80" i="12812"/>
  <c r="N80" i="12811"/>
  <c r="H79" i="12812"/>
  <c r="D79" i="12812"/>
  <c r="N79" i="12811" s="1"/>
  <c r="J77" i="12812"/>
  <c r="I77" i="12812"/>
  <c r="M76" i="12812"/>
  <c r="H76" i="12812"/>
  <c r="H77" i="12812" s="1"/>
  <c r="D76" i="12812"/>
  <c r="D77" i="12812" s="1"/>
  <c r="J74" i="12812"/>
  <c r="I74" i="12812"/>
  <c r="M73" i="12812"/>
  <c r="H73" i="12812"/>
  <c r="D73" i="12812"/>
  <c r="N73" i="12811" s="1"/>
  <c r="M72" i="12812"/>
  <c r="H72" i="12812"/>
  <c r="D72" i="12812"/>
  <c r="N72" i="12811" s="1"/>
  <c r="M71" i="12812"/>
  <c r="H71" i="12812"/>
  <c r="D71" i="12812"/>
  <c r="N71" i="12811" s="1"/>
  <c r="M68" i="12812"/>
  <c r="D66" i="12812"/>
  <c r="E66" i="12812" s="1"/>
  <c r="K66" i="12812" s="1"/>
  <c r="O66" i="12811" s="1"/>
  <c r="D64" i="12812"/>
  <c r="F64" i="12812" s="1"/>
  <c r="K64" i="12812" s="1"/>
  <c r="O64" i="12811" s="1"/>
  <c r="D63" i="12812"/>
  <c r="N63" i="12811" s="1"/>
  <c r="D62" i="12812"/>
  <c r="D61" i="12812"/>
  <c r="N61" i="12811" s="1"/>
  <c r="D60" i="12812"/>
  <c r="F60" i="12812" s="1"/>
  <c r="K60" i="12812" s="1"/>
  <c r="O60" i="12811" s="1"/>
  <c r="D59" i="12812"/>
  <c r="N59" i="12811" s="1"/>
  <c r="D58" i="12812"/>
  <c r="F58" i="12812" s="1"/>
  <c r="K58" i="12812" s="1"/>
  <c r="O58" i="12811" s="1"/>
  <c r="K56" i="12812"/>
  <c r="D56" i="12812"/>
  <c r="J54" i="12812"/>
  <c r="I54" i="12812"/>
  <c r="I68" i="12812" s="1"/>
  <c r="H53" i="12812"/>
  <c r="D53" i="12812"/>
  <c r="N53" i="12811" s="1"/>
  <c r="H52" i="12812"/>
  <c r="D52" i="12812"/>
  <c r="N52" i="12811" s="1"/>
  <c r="J50" i="12812"/>
  <c r="M49" i="12812"/>
  <c r="H49" i="12812"/>
  <c r="H50" i="12812" s="1"/>
  <c r="D49" i="12812"/>
  <c r="D50" i="12812" s="1"/>
  <c r="M46" i="12812"/>
  <c r="H46" i="12812"/>
  <c r="H47" i="12812" s="1"/>
  <c r="D46" i="12812"/>
  <c r="N46" i="12811" s="1"/>
  <c r="N47" i="12811" s="1"/>
  <c r="M43" i="12812"/>
  <c r="H43" i="12812"/>
  <c r="D43" i="12812"/>
  <c r="N43" i="12811" s="1"/>
  <c r="M42" i="12812"/>
  <c r="H42" i="12812"/>
  <c r="D42" i="12812"/>
  <c r="N42" i="12811" s="1"/>
  <c r="M41" i="12812"/>
  <c r="H41" i="12812"/>
  <c r="D41" i="12812"/>
  <c r="M38" i="12812"/>
  <c r="D36" i="12812"/>
  <c r="D34" i="12812"/>
  <c r="N34" i="12811" s="1"/>
  <c r="D33" i="12812"/>
  <c r="H33" i="12812" s="1"/>
  <c r="K33" i="12812" s="1"/>
  <c r="D32" i="12812"/>
  <c r="N32" i="12811" s="1"/>
  <c r="D31" i="12812"/>
  <c r="D30" i="12812"/>
  <c r="N30" i="12811" s="1"/>
  <c r="D29" i="12812"/>
  <c r="D28" i="12812"/>
  <c r="N28" i="12811" s="1"/>
  <c r="D27" i="12812"/>
  <c r="F27" i="12812" s="1"/>
  <c r="D26" i="12812"/>
  <c r="N26" i="12811" s="1"/>
  <c r="K24" i="12812"/>
  <c r="D24" i="12812"/>
  <c r="J22" i="12812"/>
  <c r="I22" i="12812"/>
  <c r="H21" i="12812"/>
  <c r="D21" i="12812"/>
  <c r="D22" i="12812" s="1"/>
  <c r="I19" i="12812"/>
  <c r="M18" i="12812"/>
  <c r="H18" i="12812"/>
  <c r="D18" i="12812"/>
  <c r="N18" i="12811" s="1"/>
  <c r="M17" i="12812"/>
  <c r="H17" i="12812"/>
  <c r="D17" i="12812"/>
  <c r="N17" i="12811" s="1"/>
  <c r="M16" i="12812"/>
  <c r="H16" i="12812"/>
  <c r="D16" i="12812"/>
  <c r="N16" i="12811" s="1"/>
  <c r="M15" i="12812"/>
  <c r="H15" i="12812"/>
  <c r="D15" i="12812"/>
  <c r="N15" i="12811" s="1"/>
  <c r="H14" i="12812"/>
  <c r="D14" i="12812"/>
  <c r="N14" i="12811" s="1"/>
  <c r="H13" i="12812"/>
  <c r="D13" i="12812"/>
  <c r="N13" i="12811" s="1"/>
  <c r="A6" i="12812"/>
  <c r="G135" i="12811"/>
  <c r="H135" i="12811" s="1"/>
  <c r="L135" i="12811" s="1"/>
  <c r="L133" i="12811"/>
  <c r="G133" i="12811"/>
  <c r="M133" i="12811" s="1"/>
  <c r="L132" i="12811"/>
  <c r="G132" i="12811"/>
  <c r="D132" i="12811"/>
  <c r="L131" i="12811"/>
  <c r="G131" i="12811"/>
  <c r="D131" i="12811"/>
  <c r="O129" i="12811"/>
  <c r="L129" i="12811"/>
  <c r="G129" i="12811"/>
  <c r="K127" i="12811"/>
  <c r="K137" i="12811" s="1"/>
  <c r="J127" i="12811"/>
  <c r="J137" i="12811" s="1"/>
  <c r="G126" i="12811"/>
  <c r="M126" i="12811" s="1"/>
  <c r="D126" i="12811"/>
  <c r="E126" i="12811" s="1"/>
  <c r="G125" i="12811"/>
  <c r="D125" i="12811"/>
  <c r="G124" i="12811"/>
  <c r="D124" i="12811"/>
  <c r="G123" i="12811"/>
  <c r="D123" i="12811"/>
  <c r="E123" i="12811" s="1"/>
  <c r="G122" i="12811"/>
  <c r="D122" i="12811"/>
  <c r="E122" i="12811" s="1"/>
  <c r="G121" i="12811"/>
  <c r="D121" i="12811"/>
  <c r="G115" i="12811"/>
  <c r="H115" i="12811" s="1"/>
  <c r="L115" i="12811" s="1"/>
  <c r="L113" i="12811"/>
  <c r="G113" i="12811"/>
  <c r="M113" i="12811" s="1"/>
  <c r="L112" i="12811"/>
  <c r="G112" i="12811"/>
  <c r="M112" i="12811" s="1"/>
  <c r="L111" i="12811"/>
  <c r="G111" i="12811"/>
  <c r="M111" i="12811" s="1"/>
  <c r="L110" i="12811"/>
  <c r="G110" i="12811"/>
  <c r="M110" i="12811" s="1"/>
  <c r="L109" i="12811"/>
  <c r="G109" i="12811"/>
  <c r="D109" i="12811"/>
  <c r="L108" i="12811"/>
  <c r="G108" i="12811"/>
  <c r="D108" i="12811"/>
  <c r="L107" i="12811"/>
  <c r="G107" i="12811"/>
  <c r="D107" i="12811"/>
  <c r="O105" i="12811"/>
  <c r="L105" i="12811"/>
  <c r="G105" i="12811"/>
  <c r="M105" i="12811" s="1"/>
  <c r="K103" i="12811"/>
  <c r="K117" i="12811" s="1"/>
  <c r="J103" i="12811"/>
  <c r="J117" i="12811" s="1"/>
  <c r="G102" i="12811"/>
  <c r="D102" i="12811"/>
  <c r="G101" i="12811"/>
  <c r="D101" i="12811"/>
  <c r="G95" i="12811"/>
  <c r="L93" i="12811"/>
  <c r="G93" i="12811"/>
  <c r="L92" i="12811"/>
  <c r="G92" i="12811"/>
  <c r="L91" i="12811"/>
  <c r="G91" i="12811"/>
  <c r="L90" i="12811"/>
  <c r="G90" i="12811"/>
  <c r="D90" i="12811"/>
  <c r="L89" i="12811"/>
  <c r="G89" i="12811"/>
  <c r="D89" i="12811"/>
  <c r="O87" i="12811"/>
  <c r="G87" i="12811"/>
  <c r="M87" i="12811" s="1"/>
  <c r="K85" i="12811"/>
  <c r="J85" i="12811"/>
  <c r="G84" i="12811"/>
  <c r="D84" i="12811"/>
  <c r="K82" i="12811"/>
  <c r="J82" i="12811"/>
  <c r="D81" i="12811"/>
  <c r="D80" i="12811"/>
  <c r="G79" i="12811"/>
  <c r="D79" i="12811"/>
  <c r="K77" i="12811"/>
  <c r="J77" i="12811"/>
  <c r="G76" i="12811"/>
  <c r="D76" i="12811"/>
  <c r="K74" i="12811"/>
  <c r="K97" i="12811" s="1"/>
  <c r="J74" i="12811"/>
  <c r="J97" i="12811" s="1"/>
  <c r="G73" i="12811"/>
  <c r="D73" i="12811"/>
  <c r="E73" i="12811" s="1"/>
  <c r="G72" i="12811"/>
  <c r="D72" i="12811"/>
  <c r="E72" i="12811" s="1"/>
  <c r="G71" i="12811"/>
  <c r="D71" i="12811"/>
  <c r="G66" i="12811"/>
  <c r="H66" i="12811" s="1"/>
  <c r="L66" i="12811" s="1"/>
  <c r="L64" i="12811"/>
  <c r="G64" i="12811"/>
  <c r="M64" i="12811" s="1"/>
  <c r="L63" i="12811"/>
  <c r="G63" i="12811"/>
  <c r="M63" i="12811" s="1"/>
  <c r="L62" i="12811"/>
  <c r="G62" i="12811"/>
  <c r="L61" i="12811"/>
  <c r="G61" i="12811"/>
  <c r="M61" i="12811" s="1"/>
  <c r="L60" i="12811"/>
  <c r="G60" i="12811"/>
  <c r="M60" i="12811" s="1"/>
  <c r="L59" i="12811"/>
  <c r="G59" i="12811"/>
  <c r="D59" i="12811"/>
  <c r="L58" i="12811"/>
  <c r="G58" i="12811"/>
  <c r="D58" i="12811"/>
  <c r="O56" i="12811"/>
  <c r="L56" i="12811"/>
  <c r="G56" i="12811"/>
  <c r="K54" i="12811"/>
  <c r="J54" i="12811"/>
  <c r="G53" i="12811"/>
  <c r="D53" i="12811"/>
  <c r="G52" i="12811"/>
  <c r="D52" i="12811"/>
  <c r="E52" i="12811" s="1"/>
  <c r="K50" i="12811"/>
  <c r="J50" i="12811"/>
  <c r="G49" i="12811"/>
  <c r="D49" i="12811"/>
  <c r="J47" i="12811"/>
  <c r="G46" i="12811"/>
  <c r="D46" i="12811"/>
  <c r="D47" i="12811" s="1"/>
  <c r="J44" i="12811"/>
  <c r="G43" i="12811"/>
  <c r="D43" i="12811"/>
  <c r="E43" i="12811" s="1"/>
  <c r="G42" i="12811"/>
  <c r="D42" i="12811"/>
  <c r="E42" i="12811" s="1"/>
  <c r="N41" i="12811"/>
  <c r="G41" i="12811"/>
  <c r="D41" i="12811"/>
  <c r="G36" i="12811"/>
  <c r="L34" i="12811"/>
  <c r="G34" i="12811"/>
  <c r="L33" i="12811"/>
  <c r="G33" i="12811"/>
  <c r="L30" i="12811"/>
  <c r="G30" i="12811"/>
  <c r="L29" i="12811"/>
  <c r="G29" i="12811"/>
  <c r="L28" i="12811"/>
  <c r="G28" i="12811"/>
  <c r="G27" i="12811"/>
  <c r="D27" i="12811"/>
  <c r="G26" i="12811"/>
  <c r="D26" i="12811"/>
  <c r="O24" i="12811"/>
  <c r="L24" i="12811"/>
  <c r="G24" i="12811"/>
  <c r="K22" i="12811"/>
  <c r="J22" i="12811"/>
  <c r="G21" i="12811"/>
  <c r="D21" i="12811"/>
  <c r="J19" i="12811"/>
  <c r="G18" i="12811"/>
  <c r="D18" i="12811"/>
  <c r="E18" i="12811" s="1"/>
  <c r="G17" i="12811"/>
  <c r="D17" i="12811"/>
  <c r="E17" i="12811" s="1"/>
  <c r="G16" i="12811"/>
  <c r="D16" i="12811"/>
  <c r="E16" i="12811" s="1"/>
  <c r="G15" i="12811"/>
  <c r="D15" i="12811"/>
  <c r="E15" i="12811" s="1"/>
  <c r="G14" i="12811"/>
  <c r="D14" i="12811"/>
  <c r="E14" i="12811" s="1"/>
  <c r="G13" i="12811"/>
  <c r="D13" i="12811"/>
  <c r="A6" i="12811"/>
  <c r="F24" i="12810"/>
  <c r="F23" i="12810"/>
  <c r="B6" i="12810"/>
  <c r="E19" i="12809"/>
  <c r="A6" i="12809"/>
  <c r="F30" i="12815" l="1"/>
  <c r="I38" i="12812"/>
  <c r="J97" i="12812"/>
  <c r="E18" i="12809" s="1"/>
  <c r="L105" i="12812"/>
  <c r="N105" i="12812" s="1"/>
  <c r="O105" i="12812" s="1"/>
  <c r="P105" i="12811" s="1"/>
  <c r="Q105" i="12811" s="1"/>
  <c r="C15" i="12815"/>
  <c r="J38" i="12811"/>
  <c r="M28" i="12811"/>
  <c r="M29" i="12811"/>
  <c r="M30" i="12811"/>
  <c r="M33" i="12811"/>
  <c r="M34" i="12811"/>
  <c r="F20" i="12815"/>
  <c r="F22" i="12815"/>
  <c r="F24" i="12815"/>
  <c r="G81" i="12812" s="1"/>
  <c r="G82" i="12812" s="1"/>
  <c r="F36" i="12815"/>
  <c r="F38" i="12815"/>
  <c r="F45" i="12815"/>
  <c r="F47" i="12815"/>
  <c r="F49" i="12815"/>
  <c r="T14" i="12823"/>
  <c r="S14" i="12823"/>
  <c r="U14" i="12823" s="1"/>
  <c r="O69" i="12823"/>
  <c r="T67" i="12823"/>
  <c r="AD67" i="12823" s="1"/>
  <c r="S67" i="12823"/>
  <c r="U67" i="12823" s="1"/>
  <c r="W87" i="12823"/>
  <c r="T87" i="12823"/>
  <c r="AD87" i="12823" s="1"/>
  <c r="S87" i="12823"/>
  <c r="U87" i="12823" s="1"/>
  <c r="T90" i="12823"/>
  <c r="AD90" i="12823" s="1"/>
  <c r="S90" i="12823"/>
  <c r="U90" i="12823" s="1"/>
  <c r="O65" i="12823"/>
  <c r="S63" i="12823"/>
  <c r="U63" i="12823" s="1"/>
  <c r="T63" i="12823"/>
  <c r="AD63" i="12823" s="1"/>
  <c r="S68" i="12823"/>
  <c r="U68" i="12823" s="1"/>
  <c r="T68" i="12823"/>
  <c r="AD68" i="12823" s="1"/>
  <c r="W86" i="12823"/>
  <c r="S86" i="12823"/>
  <c r="U86" i="12823" s="1"/>
  <c r="T86" i="12823"/>
  <c r="AD86" i="12823" s="1"/>
  <c r="T47" i="12823"/>
  <c r="S74" i="12823"/>
  <c r="U74" i="12823" s="1"/>
  <c r="T74" i="12823"/>
  <c r="AD74" i="12823" s="1"/>
  <c r="S56" i="12823"/>
  <c r="U56" i="12823" s="1"/>
  <c r="O58" i="12823"/>
  <c r="S58" i="12823" s="1"/>
  <c r="U58" i="12823" s="1"/>
  <c r="T56" i="12823"/>
  <c r="F19" i="12815"/>
  <c r="F21" i="12815"/>
  <c r="G77" i="12812" s="1"/>
  <c r="F23" i="12815"/>
  <c r="F25" i="12815"/>
  <c r="G85" i="12812" s="1"/>
  <c r="F35" i="12815"/>
  <c r="F37" i="12815"/>
  <c r="F44" i="12815"/>
  <c r="F46" i="12815"/>
  <c r="F48" i="12815"/>
  <c r="T73" i="12823"/>
  <c r="AD73" i="12823" s="1"/>
  <c r="AD75" i="12823" s="1"/>
  <c r="O75" i="12823"/>
  <c r="S73" i="12823"/>
  <c r="U73" i="12823" s="1"/>
  <c r="S100" i="12823"/>
  <c r="U100" i="12823" s="1"/>
  <c r="T100" i="12823"/>
  <c r="AD100" i="12823" s="1"/>
  <c r="T78" i="12823"/>
  <c r="AD78" i="12823" s="1"/>
  <c r="S78" i="12823"/>
  <c r="U78" i="12823" s="1"/>
  <c r="T64" i="12823"/>
  <c r="AD64" i="12823" s="1"/>
  <c r="S64" i="12823"/>
  <c r="U64" i="12823" s="1"/>
  <c r="T83" i="12823"/>
  <c r="AD83" i="12823" s="1"/>
  <c r="AD84" i="12823" s="1"/>
  <c r="O84" i="12823"/>
  <c r="S83" i="12823"/>
  <c r="U83" i="12823" s="1"/>
  <c r="S108" i="12823"/>
  <c r="U108" i="12823" s="1"/>
  <c r="T108" i="12823"/>
  <c r="AD108" i="12823" s="1"/>
  <c r="T93" i="12823"/>
  <c r="AD93" i="12823" s="1"/>
  <c r="S93" i="12823"/>
  <c r="U93" i="12823" s="1"/>
  <c r="W71" i="12823"/>
  <c r="S71" i="12823"/>
  <c r="U71" i="12823" s="1"/>
  <c r="T71" i="12823"/>
  <c r="AD71" i="12823" s="1"/>
  <c r="S110" i="12823"/>
  <c r="U110" i="12823" s="1"/>
  <c r="T110" i="12823"/>
  <c r="S105" i="12823"/>
  <c r="U105" i="12823" s="1"/>
  <c r="T105" i="12823"/>
  <c r="AD105" i="12823" s="1"/>
  <c r="S79" i="12823"/>
  <c r="U79" i="12823" s="1"/>
  <c r="T79" i="12823"/>
  <c r="AD79" i="12823" s="1"/>
  <c r="S28" i="12823"/>
  <c r="U28" i="12823" s="1"/>
  <c r="T28" i="12823"/>
  <c r="S77" i="12823"/>
  <c r="U77" i="12823" s="1"/>
  <c r="T77" i="12823"/>
  <c r="AD77" i="12823" s="1"/>
  <c r="O81" i="12823"/>
  <c r="O91" i="12823"/>
  <c r="T89" i="12823"/>
  <c r="AD89" i="12823" s="1"/>
  <c r="AD91" i="12823" s="1"/>
  <c r="S89" i="12823"/>
  <c r="U89" i="12823" s="1"/>
  <c r="T41" i="12823"/>
  <c r="C112" i="12823"/>
  <c r="S80" i="12823"/>
  <c r="U80" i="12823" s="1"/>
  <c r="T80" i="12823"/>
  <c r="AD80" i="12823" s="1"/>
  <c r="S104" i="12823"/>
  <c r="U104" i="12823" s="1"/>
  <c r="T104" i="12823"/>
  <c r="AD104" i="12823" s="1"/>
  <c r="AD106" i="12823" s="1"/>
  <c r="O106" i="12823"/>
  <c r="S102" i="12823"/>
  <c r="U102" i="12823" s="1"/>
  <c r="T102" i="12823"/>
  <c r="AD102" i="12823" s="1"/>
  <c r="S95" i="12823"/>
  <c r="U95" i="12823" s="1"/>
  <c r="O98" i="12823"/>
  <c r="T95" i="12823"/>
  <c r="AD95" i="12823" s="1"/>
  <c r="AD98" i="12823" s="1"/>
  <c r="L56" i="12812"/>
  <c r="N56" i="12812" s="1"/>
  <c r="O56" i="12812" s="1"/>
  <c r="P56" i="12811" s="1"/>
  <c r="Q56" i="12811" s="1"/>
  <c r="L87" i="12812"/>
  <c r="N87" i="12812" s="1"/>
  <c r="O87" i="12812" s="1"/>
  <c r="P87" i="12811" s="1"/>
  <c r="Q87" i="12811" s="1"/>
  <c r="F62" i="12812"/>
  <c r="K62" i="12812" s="1"/>
  <c r="L62" i="12812" s="1"/>
  <c r="F31" i="12812"/>
  <c r="K31" i="12812" s="1"/>
  <c r="O31" i="12811" s="1"/>
  <c r="N31" i="12811"/>
  <c r="M24" i="12811"/>
  <c r="M56" i="12811"/>
  <c r="M91" i="12811"/>
  <c r="M92" i="12811"/>
  <c r="M93" i="12811"/>
  <c r="M129" i="12811"/>
  <c r="J68" i="12811"/>
  <c r="D50" i="12811"/>
  <c r="F29" i="12812"/>
  <c r="F153" i="12812" s="1"/>
  <c r="I97" i="12812"/>
  <c r="I140" i="12812" s="1"/>
  <c r="D22" i="12811"/>
  <c r="E21" i="12811"/>
  <c r="E22" i="12811" s="1"/>
  <c r="E13" i="12811"/>
  <c r="E19" i="12811" s="1"/>
  <c r="E121" i="12811"/>
  <c r="E124" i="12811"/>
  <c r="E125" i="12811"/>
  <c r="D85" i="12811"/>
  <c r="E84" i="12811"/>
  <c r="E85" i="12811" s="1"/>
  <c r="D77" i="12811"/>
  <c r="D44" i="12811"/>
  <c r="J140" i="12811"/>
  <c r="AC37" i="12774"/>
  <c r="E115" i="12812"/>
  <c r="K115" i="12812" s="1"/>
  <c r="O115" i="12811" s="1"/>
  <c r="N36" i="12811"/>
  <c r="E36" i="12812"/>
  <c r="K36" i="12812" s="1"/>
  <c r="O36" i="12811" s="1"/>
  <c r="AC33" i="12775"/>
  <c r="H95" i="12811"/>
  <c r="L95" i="12811" s="1"/>
  <c r="M95" i="12811" s="1"/>
  <c r="I17" i="12811"/>
  <c r="AC13" i="12775"/>
  <c r="H36" i="12811"/>
  <c r="L36" i="12811" s="1"/>
  <c r="M36" i="12811" s="1"/>
  <c r="H103" i="12812"/>
  <c r="M66" i="12811"/>
  <c r="AC23" i="12775"/>
  <c r="G54" i="12811"/>
  <c r="N29" i="12811"/>
  <c r="N87" i="12811"/>
  <c r="N93" i="12811"/>
  <c r="N58" i="12811"/>
  <c r="N64" i="12811"/>
  <c r="N27" i="12811"/>
  <c r="N33" i="12811"/>
  <c r="N76" i="12811"/>
  <c r="N77" i="12811" s="1"/>
  <c r="H1239" i="12767"/>
  <c r="N21" i="12811"/>
  <c r="N22" i="12811" s="1"/>
  <c r="N49" i="12811"/>
  <c r="N50" i="12811" s="1"/>
  <c r="N89" i="12811"/>
  <c r="N91" i="12811"/>
  <c r="N115" i="12811"/>
  <c r="N131" i="12811"/>
  <c r="N133" i="12811"/>
  <c r="N135" i="12811"/>
  <c r="AC44" i="12774"/>
  <c r="N95" i="12811"/>
  <c r="AC33" i="12774"/>
  <c r="N66" i="12811"/>
  <c r="AC23" i="12774"/>
  <c r="AC13" i="12774"/>
  <c r="M135" i="12811"/>
  <c r="AC44" i="12775"/>
  <c r="M115" i="12811"/>
  <c r="AC37" i="12775"/>
  <c r="H152" i="12813"/>
  <c r="H155" i="12813" s="1"/>
  <c r="H157" i="12813" s="1"/>
  <c r="J152" i="12813"/>
  <c r="L152" i="12813" s="1"/>
  <c r="D54" i="12811"/>
  <c r="H44" i="12812"/>
  <c r="C15" i="12814"/>
  <c r="K19" i="12811"/>
  <c r="K38" i="12811" s="1"/>
  <c r="K44" i="12811"/>
  <c r="K47" i="12811"/>
  <c r="N84" i="12811"/>
  <c r="N85" i="12811" s="1"/>
  <c r="N107" i="12811"/>
  <c r="N109" i="12811"/>
  <c r="N111" i="12811"/>
  <c r="N113" i="12811"/>
  <c r="N24" i="12811"/>
  <c r="N56" i="12811"/>
  <c r="N60" i="12811"/>
  <c r="N62" i="12811"/>
  <c r="N105" i="12811"/>
  <c r="H127" i="12812"/>
  <c r="H137" i="12812" s="1"/>
  <c r="H163" i="12813"/>
  <c r="C50" i="12815"/>
  <c r="G19" i="12812"/>
  <c r="K126" i="12812"/>
  <c r="O126" i="12811" s="1"/>
  <c r="F8" i="12814"/>
  <c r="C26" i="12815"/>
  <c r="C31" i="12815"/>
  <c r="C40" i="12815"/>
  <c r="C31" i="12814"/>
  <c r="H22" i="12812"/>
  <c r="D103" i="12811"/>
  <c r="N103" i="12811"/>
  <c r="H54" i="12812"/>
  <c r="G103" i="12811"/>
  <c r="G117" i="12811" s="1"/>
  <c r="D82" i="12811"/>
  <c r="N74" i="12811"/>
  <c r="G19" i="12811"/>
  <c r="G74" i="12811"/>
  <c r="N54" i="12811"/>
  <c r="N19" i="12811"/>
  <c r="I163" i="12813"/>
  <c r="N44" i="12811"/>
  <c r="D19" i="12811"/>
  <c r="G44" i="12811"/>
  <c r="H19" i="12812"/>
  <c r="D82" i="12812"/>
  <c r="G85" i="12811"/>
  <c r="N127" i="12811"/>
  <c r="K131" i="12812"/>
  <c r="L131" i="12812" s="1"/>
  <c r="N131" i="12812" s="1"/>
  <c r="O131" i="12812" s="1"/>
  <c r="P131" i="12812" s="1"/>
  <c r="O131" i="12811"/>
  <c r="G77" i="12811"/>
  <c r="L133" i="12812"/>
  <c r="N133" i="12812" s="1"/>
  <c r="O133" i="12812" s="1"/>
  <c r="P133" i="12812" s="1"/>
  <c r="G22" i="12811"/>
  <c r="D74" i="12811"/>
  <c r="G82" i="12811"/>
  <c r="N82" i="12811"/>
  <c r="D127" i="12811"/>
  <c r="D137" i="12811" s="1"/>
  <c r="D19" i="12812"/>
  <c r="D38" i="12812" s="1"/>
  <c r="D54" i="12812"/>
  <c r="H74" i="12812"/>
  <c r="H82" i="12812"/>
  <c r="F29" i="12814"/>
  <c r="O33" i="12811"/>
  <c r="L33" i="12812"/>
  <c r="D47" i="12812"/>
  <c r="L58" i="12812"/>
  <c r="L89" i="12812"/>
  <c r="L93" i="12812"/>
  <c r="L111" i="12812"/>
  <c r="J155" i="12813"/>
  <c r="J157" i="12813" s="1"/>
  <c r="G47" i="12811"/>
  <c r="G50" i="12811"/>
  <c r="G127" i="12811"/>
  <c r="G137" i="12811" s="1"/>
  <c r="L24" i="12812"/>
  <c r="D44" i="12812"/>
  <c r="L60" i="12812"/>
  <c r="L64" i="12812"/>
  <c r="L91" i="12812"/>
  <c r="L109" i="12812"/>
  <c r="L113" i="12812"/>
  <c r="F26" i="12812"/>
  <c r="K27" i="12812"/>
  <c r="F28" i="12812"/>
  <c r="F30" i="12812"/>
  <c r="F154" i="12812" s="1"/>
  <c r="F32" i="12812"/>
  <c r="F34" i="12812"/>
  <c r="F132" i="12812"/>
  <c r="C40" i="12814"/>
  <c r="F34" i="12814"/>
  <c r="C50" i="12814"/>
  <c r="F43" i="12814"/>
  <c r="L66" i="12812"/>
  <c r="D74" i="12812"/>
  <c r="L95" i="12812"/>
  <c r="D103" i="12812"/>
  <c r="D117" i="12812" s="1"/>
  <c r="D127" i="12812"/>
  <c r="D137" i="12812" s="1"/>
  <c r="L129" i="12812"/>
  <c r="L135" i="12812"/>
  <c r="F59" i="12812"/>
  <c r="K59" i="12812" s="1"/>
  <c r="F61" i="12812"/>
  <c r="K61" i="12812" s="1"/>
  <c r="L61" i="12812" s="1"/>
  <c r="H63" i="12812"/>
  <c r="K63" i="12812" s="1"/>
  <c r="F90" i="12812"/>
  <c r="K90" i="12812" s="1"/>
  <c r="H92" i="12812"/>
  <c r="K92" i="12812" s="1"/>
  <c r="L92" i="12812" s="1"/>
  <c r="K107" i="12812"/>
  <c r="F108" i="12812"/>
  <c r="K108" i="12812" s="1"/>
  <c r="L108" i="12812" s="1"/>
  <c r="F110" i="12812"/>
  <c r="K110" i="12812" s="1"/>
  <c r="H112" i="12812"/>
  <c r="K112" i="12812" s="1"/>
  <c r="L112" i="12812" s="1"/>
  <c r="I152" i="12813"/>
  <c r="I155" i="12813" s="1"/>
  <c r="I157" i="12813" s="1"/>
  <c r="C26" i="12814"/>
  <c r="F8" i="12815"/>
  <c r="F18" i="12815"/>
  <c r="G74" i="12812" s="1"/>
  <c r="F34" i="12815"/>
  <c r="G127" i="12812" s="1"/>
  <c r="G137" i="12812" s="1"/>
  <c r="F43" i="12815"/>
  <c r="G22" i="12812" s="1"/>
  <c r="G38" i="12812" s="1"/>
  <c r="F9" i="12815"/>
  <c r="F10" i="12815"/>
  <c r="F11" i="12815"/>
  <c r="G47" i="12812" s="1"/>
  <c r="F12" i="12815"/>
  <c r="G50" i="12812" s="1"/>
  <c r="F13" i="12815"/>
  <c r="F14" i="12815"/>
  <c r="F29" i="12815"/>
  <c r="G103" i="12812" s="1"/>
  <c r="G117" i="12812" s="1"/>
  <c r="K68" i="12811" l="1"/>
  <c r="AD81" i="12823"/>
  <c r="T98" i="12823"/>
  <c r="S98" i="12823"/>
  <c r="U98" i="12823" s="1"/>
  <c r="T106" i="12823"/>
  <c r="S106" i="12823"/>
  <c r="U106" i="12823" s="1"/>
  <c r="S91" i="12823"/>
  <c r="U91" i="12823" s="1"/>
  <c r="T91" i="12823"/>
  <c r="O112" i="12823"/>
  <c r="S112" i="12823" s="1"/>
  <c r="U112" i="12823" s="1"/>
  <c r="T84" i="12823"/>
  <c r="S84" i="12823"/>
  <c r="U84" i="12823" s="1"/>
  <c r="AD65" i="12823"/>
  <c r="T65" i="12823"/>
  <c r="S65" i="12823"/>
  <c r="U65" i="12823" s="1"/>
  <c r="T69" i="12823"/>
  <c r="S69" i="12823"/>
  <c r="U69" i="12823" s="1"/>
  <c r="T81" i="12823"/>
  <c r="S81" i="12823"/>
  <c r="U81" i="12823" s="1"/>
  <c r="AD110" i="12823"/>
  <c r="T75" i="12823"/>
  <c r="S75" i="12823"/>
  <c r="U75" i="12823" s="1"/>
  <c r="T58" i="12823"/>
  <c r="AD69" i="12823"/>
  <c r="L35" i="12783"/>
  <c r="N35" i="12783" s="1"/>
  <c r="K29" i="12812"/>
  <c r="O29" i="12811" s="1"/>
  <c r="D20" i="12810"/>
  <c r="D19" i="12810"/>
  <c r="O62" i="12811"/>
  <c r="D68" i="12811"/>
  <c r="L115" i="12812"/>
  <c r="N115" i="12812" s="1"/>
  <c r="O115" i="12812" s="1"/>
  <c r="P115" i="12812" s="1"/>
  <c r="D38" i="12811"/>
  <c r="E38" i="12811"/>
  <c r="E127" i="12811"/>
  <c r="E137" i="12811" s="1"/>
  <c r="L36" i="12812"/>
  <c r="N36" i="12812" s="1"/>
  <c r="O36" i="12812" s="1"/>
  <c r="P36" i="12811" s="1"/>
  <c r="Q36" i="12811" s="1"/>
  <c r="R36" i="12811" s="1"/>
  <c r="R87" i="12811"/>
  <c r="K1239" i="12767"/>
  <c r="N38" i="12811"/>
  <c r="C16" i="12809" s="1"/>
  <c r="N137" i="12811"/>
  <c r="C20" i="12809" s="1"/>
  <c r="G38" i="12811"/>
  <c r="H38" i="12812"/>
  <c r="G54" i="12812"/>
  <c r="D117" i="12811"/>
  <c r="D97" i="12811"/>
  <c r="G68" i="12811"/>
  <c r="C52" i="12815"/>
  <c r="D97" i="12812"/>
  <c r="R56" i="12811"/>
  <c r="N97" i="12811"/>
  <c r="C18" i="12809" s="1"/>
  <c r="N68" i="12811"/>
  <c r="C17" i="12809" s="1"/>
  <c r="N117" i="12811"/>
  <c r="C19" i="12809" s="1"/>
  <c r="L126" i="12812"/>
  <c r="N126" i="12812" s="1"/>
  <c r="O126" i="12812" s="1"/>
  <c r="R105" i="12811"/>
  <c r="G97" i="12812"/>
  <c r="G97" i="12811"/>
  <c r="D68" i="12812"/>
  <c r="N92" i="12812"/>
  <c r="O92" i="12812" s="1"/>
  <c r="P92" i="12811" s="1"/>
  <c r="N61" i="12812"/>
  <c r="O61" i="12812" s="1"/>
  <c r="P61" i="12811" s="1"/>
  <c r="N112" i="12812"/>
  <c r="O112" i="12812" s="1"/>
  <c r="P112" i="12811" s="1"/>
  <c r="N108" i="12812"/>
  <c r="O108" i="12812" s="1"/>
  <c r="P108" i="12811" s="1"/>
  <c r="F52" i="12815"/>
  <c r="O110" i="12811"/>
  <c r="L107" i="12812"/>
  <c r="O107" i="12811"/>
  <c r="O90" i="12811"/>
  <c r="O63" i="12811"/>
  <c r="O59" i="12811"/>
  <c r="N129" i="12812"/>
  <c r="O129" i="12812" s="1"/>
  <c r="F151" i="12812"/>
  <c r="K34" i="12812"/>
  <c r="L31" i="12812"/>
  <c r="O27" i="12811"/>
  <c r="L27" i="12812"/>
  <c r="N33" i="12812"/>
  <c r="O33" i="12812" s="1"/>
  <c r="F52" i="12814"/>
  <c r="C52" i="12814"/>
  <c r="L90" i="12812"/>
  <c r="H97" i="12812"/>
  <c r="L63" i="12812"/>
  <c r="L59" i="12812"/>
  <c r="P105" i="12812"/>
  <c r="P87" i="12812"/>
  <c r="P56" i="12812"/>
  <c r="L110" i="12812"/>
  <c r="R105" i="12812"/>
  <c r="S105" i="12812" s="1"/>
  <c r="H117" i="12812"/>
  <c r="R87" i="12812"/>
  <c r="S87" i="12812" s="1"/>
  <c r="R56" i="12812"/>
  <c r="S56" i="12812" s="1"/>
  <c r="H68" i="12812"/>
  <c r="F158" i="12812"/>
  <c r="O112" i="12811"/>
  <c r="O108" i="12811"/>
  <c r="O92" i="12811"/>
  <c r="O61" i="12811"/>
  <c r="R133" i="12812"/>
  <c r="S133" i="12812" s="1"/>
  <c r="P133" i="12811"/>
  <c r="Q133" i="12811" s="1"/>
  <c r="R133" i="12811" s="1"/>
  <c r="R131" i="12812"/>
  <c r="S131" i="12812" s="1"/>
  <c r="P131" i="12811"/>
  <c r="Q131" i="12811" s="1"/>
  <c r="R131" i="12811" s="1"/>
  <c r="N135" i="12812"/>
  <c r="O135" i="12812" s="1"/>
  <c r="P135" i="12812" s="1"/>
  <c r="N95" i="12812"/>
  <c r="O95" i="12812" s="1"/>
  <c r="P95" i="12812" s="1"/>
  <c r="N66" i="12812"/>
  <c r="O66" i="12812" s="1"/>
  <c r="P66" i="12812" s="1"/>
  <c r="K132" i="12812"/>
  <c r="O132" i="12811"/>
  <c r="F159" i="12812"/>
  <c r="K32" i="12812"/>
  <c r="O32" i="12811" s="1"/>
  <c r="K30" i="12812"/>
  <c r="F152" i="12812"/>
  <c r="K28" i="12812"/>
  <c r="F155" i="12812"/>
  <c r="K26" i="12812"/>
  <c r="N113" i="12812"/>
  <c r="O113" i="12812" s="1"/>
  <c r="P113" i="12812" s="1"/>
  <c r="N109" i="12812"/>
  <c r="O109" i="12812" s="1"/>
  <c r="P109" i="12812" s="1"/>
  <c r="N91" i="12812"/>
  <c r="O91" i="12812" s="1"/>
  <c r="P91" i="12812" s="1"/>
  <c r="N64" i="12812"/>
  <c r="O64" i="12812" s="1"/>
  <c r="P64" i="12812" s="1"/>
  <c r="N60" i="12812"/>
  <c r="O60" i="12812" s="1"/>
  <c r="P60" i="12812" s="1"/>
  <c r="N24" i="12812"/>
  <c r="O24" i="12812" s="1"/>
  <c r="P24" i="12812" s="1"/>
  <c r="N111" i="12812"/>
  <c r="O111" i="12812" s="1"/>
  <c r="N93" i="12812"/>
  <c r="O93" i="12812" s="1"/>
  <c r="N89" i="12812"/>
  <c r="O89" i="12812" s="1"/>
  <c r="N62" i="12812"/>
  <c r="O62" i="12812" s="1"/>
  <c r="N58" i="12812"/>
  <c r="O58" i="12812" s="1"/>
  <c r="F156" i="12812"/>
  <c r="K140" i="12811"/>
  <c r="T112" i="12823" l="1"/>
  <c r="AD112" i="12823"/>
  <c r="L29" i="12812"/>
  <c r="N29" i="12812" s="1"/>
  <c r="O29" i="12812" s="1"/>
  <c r="D16" i="12810"/>
  <c r="D18" i="12810"/>
  <c r="D17" i="12810"/>
  <c r="F162" i="12812"/>
  <c r="P36" i="12812"/>
  <c r="R36" i="12812"/>
  <c r="S36" i="12812" s="1"/>
  <c r="R112" i="12812"/>
  <c r="S112" i="12812" s="1"/>
  <c r="Q61" i="12811"/>
  <c r="R61" i="12811" s="1"/>
  <c r="R108" i="12812"/>
  <c r="S108" i="12812" s="1"/>
  <c r="D140" i="12811"/>
  <c r="D140" i="12812"/>
  <c r="R61" i="12812"/>
  <c r="S61" i="12812" s="1"/>
  <c r="N140" i="12811"/>
  <c r="G140" i="12811"/>
  <c r="C54" i="12814" s="1"/>
  <c r="Q108" i="12811"/>
  <c r="R108" i="12811" s="1"/>
  <c r="Q92" i="12811"/>
  <c r="R92" i="12811" s="1"/>
  <c r="R92" i="12812"/>
  <c r="S92" i="12812" s="1"/>
  <c r="Q112" i="12811"/>
  <c r="R112" i="12811" s="1"/>
  <c r="H140" i="12812"/>
  <c r="P58" i="12811"/>
  <c r="Q58" i="12811" s="1"/>
  <c r="R58" i="12811" s="1"/>
  <c r="R58" i="12812"/>
  <c r="S58" i="12812" s="1"/>
  <c r="P62" i="12811"/>
  <c r="Q62" i="12811" s="1"/>
  <c r="R62" i="12811" s="1"/>
  <c r="R62" i="12812"/>
  <c r="S62" i="12812" s="1"/>
  <c r="P89" i="12811"/>
  <c r="Q89" i="12811" s="1"/>
  <c r="R89" i="12811" s="1"/>
  <c r="R89" i="12812"/>
  <c r="S89" i="12812" s="1"/>
  <c r="P93" i="12811"/>
  <c r="Q93" i="12811" s="1"/>
  <c r="R93" i="12811" s="1"/>
  <c r="R93" i="12812"/>
  <c r="S93" i="12812" s="1"/>
  <c r="P111" i="12811"/>
  <c r="Q111" i="12811" s="1"/>
  <c r="R111" i="12811" s="1"/>
  <c r="R111" i="12812"/>
  <c r="S111" i="12812" s="1"/>
  <c r="L132" i="12812"/>
  <c r="P126" i="12811"/>
  <c r="Q126" i="12811" s="1"/>
  <c r="R126" i="12811" s="1"/>
  <c r="R126" i="12812"/>
  <c r="S126" i="12812" s="1"/>
  <c r="N59" i="12812"/>
  <c r="O59" i="12812" s="1"/>
  <c r="P59" i="12812" s="1"/>
  <c r="B11" i="12817"/>
  <c r="J44" i="12812"/>
  <c r="P33" i="12811"/>
  <c r="Q33" i="12811" s="1"/>
  <c r="R33" i="12811" s="1"/>
  <c r="R33" i="12812"/>
  <c r="S33" i="12812" s="1"/>
  <c r="C21" i="12809"/>
  <c r="C25" i="12809" s="1"/>
  <c r="N27" i="12812"/>
  <c r="O27" i="12812" s="1"/>
  <c r="P27" i="12812" s="1"/>
  <c r="N31" i="12812"/>
  <c r="O31" i="12812" s="1"/>
  <c r="O34" i="12811"/>
  <c r="L34" i="12812"/>
  <c r="P129" i="12811"/>
  <c r="Q129" i="12811" s="1"/>
  <c r="R129" i="12811" s="1"/>
  <c r="R129" i="12812"/>
  <c r="S129" i="12812" s="1"/>
  <c r="G44" i="12812"/>
  <c r="G68" i="12812" s="1"/>
  <c r="G140" i="12812" s="1"/>
  <c r="F54" i="12815" s="1"/>
  <c r="R24" i="12812"/>
  <c r="S24" i="12812" s="1"/>
  <c r="P24" i="12811"/>
  <c r="Q24" i="12811" s="1"/>
  <c r="R24" i="12811" s="1"/>
  <c r="P60" i="12811"/>
  <c r="Q60" i="12811" s="1"/>
  <c r="R60" i="12811" s="1"/>
  <c r="R60" i="12812"/>
  <c r="S60" i="12812" s="1"/>
  <c r="P64" i="12811"/>
  <c r="Q64" i="12811" s="1"/>
  <c r="R64" i="12811" s="1"/>
  <c r="R64" i="12812"/>
  <c r="S64" i="12812" s="1"/>
  <c r="P91" i="12811"/>
  <c r="Q91" i="12811" s="1"/>
  <c r="R91" i="12811" s="1"/>
  <c r="R91" i="12812"/>
  <c r="S91" i="12812" s="1"/>
  <c r="P109" i="12811"/>
  <c r="Q109" i="12811" s="1"/>
  <c r="R109" i="12811" s="1"/>
  <c r="R109" i="12812"/>
  <c r="S109" i="12812" s="1"/>
  <c r="P113" i="12811"/>
  <c r="Q113" i="12811" s="1"/>
  <c r="R113" i="12811" s="1"/>
  <c r="R113" i="12812"/>
  <c r="S113" i="12812" s="1"/>
  <c r="O26" i="12811"/>
  <c r="L26" i="12812"/>
  <c r="O28" i="12811"/>
  <c r="L28" i="12812"/>
  <c r="O30" i="12811"/>
  <c r="L30" i="12812"/>
  <c r="L32" i="12812"/>
  <c r="R66" i="12812"/>
  <c r="S66" i="12812" s="1"/>
  <c r="P66" i="12811"/>
  <c r="Q66" i="12811" s="1"/>
  <c r="R66" i="12811" s="1"/>
  <c r="R95" i="12812"/>
  <c r="S95" i="12812" s="1"/>
  <c r="P95" i="12811"/>
  <c r="Q95" i="12811" s="1"/>
  <c r="R95" i="12811" s="1"/>
  <c r="R135" i="12812"/>
  <c r="S135" i="12812" s="1"/>
  <c r="P135" i="12811"/>
  <c r="Q135" i="12811" s="1"/>
  <c r="R135" i="12811" s="1"/>
  <c r="N110" i="12812"/>
  <c r="O110" i="12812" s="1"/>
  <c r="P110" i="12812" s="1"/>
  <c r="N63" i="12812"/>
  <c r="O63" i="12812" s="1"/>
  <c r="P63" i="12812" s="1"/>
  <c r="N90" i="12812"/>
  <c r="O90" i="12812" s="1"/>
  <c r="P90" i="12812" s="1"/>
  <c r="P115" i="12811"/>
  <c r="Q115" i="12811" s="1"/>
  <c r="R115" i="12811" s="1"/>
  <c r="R115" i="12812"/>
  <c r="S115" i="12812" s="1"/>
  <c r="N107" i="12812"/>
  <c r="O107" i="12812" s="1"/>
  <c r="P107" i="12812" s="1"/>
  <c r="P58" i="12812"/>
  <c r="P62" i="12812"/>
  <c r="P89" i="12812"/>
  <c r="P93" i="12812"/>
  <c r="P111" i="12812"/>
  <c r="P126" i="12812"/>
  <c r="P33" i="12812"/>
  <c r="P129" i="12812"/>
  <c r="P108" i="12812"/>
  <c r="P112" i="12812"/>
  <c r="P61" i="12812"/>
  <c r="P92" i="12812"/>
  <c r="D21" i="12810" l="1"/>
  <c r="D25" i="12810" s="1"/>
  <c r="R31" i="12812"/>
  <c r="S31" i="12812" s="1"/>
  <c r="P31" i="12811"/>
  <c r="Q31" i="12811" s="1"/>
  <c r="R31" i="12811" s="1"/>
  <c r="P29" i="12812"/>
  <c r="C54" i="12815"/>
  <c r="P31" i="12812"/>
  <c r="N28" i="12812"/>
  <c r="O28" i="12812" s="1"/>
  <c r="P28" i="12812" s="1"/>
  <c r="N34" i="12812"/>
  <c r="O34" i="12812" s="1"/>
  <c r="P34" i="12812" s="1"/>
  <c r="P107" i="12811"/>
  <c r="Q107" i="12811" s="1"/>
  <c r="R107" i="12811" s="1"/>
  <c r="R107" i="12812"/>
  <c r="S107" i="12812" s="1"/>
  <c r="P29" i="12811"/>
  <c r="Q29" i="12811" s="1"/>
  <c r="R29" i="12811" s="1"/>
  <c r="R29" i="12812"/>
  <c r="S29" i="12812" s="1"/>
  <c r="J19" i="12812"/>
  <c r="J38" i="12812" s="1"/>
  <c r="P90" i="12811"/>
  <c r="Q90" i="12811" s="1"/>
  <c r="R90" i="12811" s="1"/>
  <c r="R90" i="12812"/>
  <c r="S90" i="12812" s="1"/>
  <c r="P63" i="12811"/>
  <c r="Q63" i="12811" s="1"/>
  <c r="R63" i="12811" s="1"/>
  <c r="R63" i="12812"/>
  <c r="S63" i="12812" s="1"/>
  <c r="P110" i="12811"/>
  <c r="Q110" i="12811" s="1"/>
  <c r="R110" i="12811" s="1"/>
  <c r="R110" i="12812"/>
  <c r="S110" i="12812" s="1"/>
  <c r="N32" i="12812"/>
  <c r="O32" i="12812" s="1"/>
  <c r="N30" i="12812"/>
  <c r="O30" i="12812" s="1"/>
  <c r="P30" i="12812" s="1"/>
  <c r="N26" i="12812"/>
  <c r="O26" i="12812" s="1"/>
  <c r="P26" i="12812" s="1"/>
  <c r="J47" i="12812"/>
  <c r="P27" i="12811"/>
  <c r="Q27" i="12811" s="1"/>
  <c r="R27" i="12811" s="1"/>
  <c r="R27" i="12812"/>
  <c r="S27" i="12812" s="1"/>
  <c r="P59" i="12811"/>
  <c r="Q59" i="12811" s="1"/>
  <c r="R59" i="12811" s="1"/>
  <c r="R59" i="12812"/>
  <c r="S59" i="12812" s="1"/>
  <c r="N132" i="12812"/>
  <c r="O132" i="12812" s="1"/>
  <c r="P132" i="12812" s="1"/>
  <c r="J68" i="12812"/>
  <c r="E17" i="12809" s="1"/>
  <c r="R32" i="12812" l="1"/>
  <c r="S32" i="12812" s="1"/>
  <c r="P32" i="12811"/>
  <c r="Q32" i="12811" s="1"/>
  <c r="R32" i="12811" s="1"/>
  <c r="P32" i="12812"/>
  <c r="J140" i="12812"/>
  <c r="E16" i="12809"/>
  <c r="E21" i="12809" s="1"/>
  <c r="E25" i="12809" s="1"/>
  <c r="P28" i="12811"/>
  <c r="Q28" i="12811" s="1"/>
  <c r="R28" i="12811" s="1"/>
  <c r="R28" i="12812"/>
  <c r="S28" i="12812" s="1"/>
  <c r="P132" i="12811"/>
  <c r="Q132" i="12811" s="1"/>
  <c r="R132" i="12811" s="1"/>
  <c r="R132" i="12812"/>
  <c r="S132" i="12812" s="1"/>
  <c r="P26" i="12811"/>
  <c r="Q26" i="12811" s="1"/>
  <c r="R26" i="12811" s="1"/>
  <c r="R26" i="12812"/>
  <c r="S26" i="12812" s="1"/>
  <c r="P30" i="12811"/>
  <c r="Q30" i="12811" s="1"/>
  <c r="R30" i="12811" s="1"/>
  <c r="R30" i="12812"/>
  <c r="S30" i="12812" s="1"/>
  <c r="P34" i="12811"/>
  <c r="Q34" i="12811" s="1"/>
  <c r="R34" i="12811" s="1"/>
  <c r="R34" i="12812"/>
  <c r="S34" i="12812" s="1"/>
  <c r="I86" i="12767" l="1"/>
  <c r="I1178" i="12767"/>
  <c r="N18" i="12791" l="1"/>
  <c r="T14" i="12771"/>
  <c r="O20" i="12770"/>
  <c r="O19" i="12770"/>
  <c r="X23" i="12769"/>
  <c r="X22" i="12769"/>
  <c r="X21" i="12769"/>
  <c r="N18" i="12772" l="1"/>
  <c r="N18" i="12773"/>
  <c r="E1149" i="12767" l="1"/>
  <c r="E94" i="12763" l="1"/>
  <c r="B883" i="12767"/>
  <c r="B72" i="12767" l="1"/>
  <c r="B71" i="12767"/>
  <c r="B70" i="12767"/>
  <c r="B69" i="12767"/>
  <c r="B67" i="12767"/>
  <c r="E76" i="12763"/>
  <c r="I94" i="12763"/>
  <c r="G38" i="12763"/>
  <c r="K38" i="12763" l="1"/>
  <c r="I81" i="12811" s="1"/>
  <c r="J38" i="12763"/>
  <c r="L38" i="12763" s="1"/>
  <c r="I1109" i="12767" l="1"/>
  <c r="I1110" i="12767"/>
  <c r="I1111" i="12767"/>
  <c r="I1112" i="12767"/>
  <c r="I1113" i="12767"/>
  <c r="I1114" i="12767"/>
  <c r="I1108" i="12767"/>
  <c r="N17" i="12791" l="1"/>
  <c r="O16" i="12791"/>
  <c r="N16" i="12791"/>
  <c r="N17" i="12773"/>
  <c r="O16" i="12773"/>
  <c r="O15" i="12773"/>
  <c r="N16" i="12773"/>
  <c r="N15" i="12773"/>
  <c r="O16" i="12772"/>
  <c r="O15" i="12772"/>
  <c r="N17" i="12772"/>
  <c r="N16" i="12772"/>
  <c r="N15" i="12772"/>
  <c r="T21" i="12771"/>
  <c r="T20" i="12771"/>
  <c r="T19" i="12771"/>
  <c r="T18" i="12771"/>
  <c r="T17" i="12771"/>
  <c r="O18" i="12770"/>
  <c r="P16" i="12770"/>
  <c r="P15" i="12770"/>
  <c r="O16" i="12770"/>
  <c r="O15" i="12770"/>
  <c r="O14" i="12770"/>
  <c r="X20" i="12769"/>
  <c r="X18" i="12769"/>
  <c r="Y14" i="12769"/>
  <c r="X14" i="12769"/>
  <c r="G16" i="12770" l="1"/>
  <c r="G14" i="12770"/>
  <c r="G15" i="12770"/>
  <c r="R83" i="12767"/>
  <c r="P85" i="12767"/>
  <c r="P82" i="12767"/>
  <c r="I114" i="12767" l="1"/>
  <c r="I99" i="12767"/>
  <c r="AI42" i="12774" l="1"/>
  <c r="AI21" i="12774"/>
  <c r="AI40" i="12774"/>
  <c r="AI39" i="12774"/>
  <c r="AI38" i="12774"/>
  <c r="AI41" i="12774"/>
  <c r="AI29" i="12774"/>
  <c r="AI30" i="12774"/>
  <c r="AI19" i="12774"/>
  <c r="AI28" i="12774"/>
  <c r="AI35" i="12774"/>
  <c r="AI34" i="12774"/>
  <c r="AI27" i="12774"/>
  <c r="AI18" i="12774"/>
  <c r="AI26" i="12774"/>
  <c r="AI16" i="12774"/>
  <c r="AI25" i="12774"/>
  <c r="AI15" i="12774"/>
  <c r="AI24" i="12774"/>
  <c r="AI14" i="12774"/>
  <c r="AI31" i="12774"/>
  <c r="AI20" i="12774"/>
  <c r="AI10" i="12774"/>
  <c r="AI9" i="12774"/>
  <c r="AI8" i="12774"/>
  <c r="AI7" i="12774"/>
  <c r="AI6" i="12774"/>
  <c r="P15" i="12775" l="1"/>
  <c r="P9" i="12774"/>
  <c r="AJ9" i="12774" s="1"/>
  <c r="P7" i="12775"/>
  <c r="P39" i="12764" l="1"/>
  <c r="P27" i="12764"/>
  <c r="P26" i="12764"/>
  <c r="P11" i="12764"/>
  <c r="H1228" i="12767" l="1"/>
  <c r="H1227" i="12767"/>
  <c r="H1226" i="12767"/>
  <c r="H1224" i="12767"/>
  <c r="H1223" i="12767"/>
  <c r="H1221" i="12767"/>
  <c r="H1220" i="12767"/>
  <c r="H1219" i="12767"/>
  <c r="H1216" i="12767"/>
  <c r="H1215" i="12767"/>
  <c r="H1213" i="12767"/>
  <c r="H1212" i="12767"/>
  <c r="H1211" i="12767"/>
  <c r="H1208" i="12767"/>
  <c r="H1207" i="12767"/>
  <c r="H1204" i="12767"/>
  <c r="H1205" i="12767"/>
  <c r="H1203" i="12767"/>
  <c r="H1192" i="12767"/>
  <c r="H1190" i="12767"/>
  <c r="H1189" i="12767"/>
  <c r="K1149" i="12767" l="1"/>
  <c r="H1163" i="12767"/>
  <c r="H1162" i="12767"/>
  <c r="H1161" i="12767"/>
  <c r="H1160" i="12767"/>
  <c r="H1159" i="12767"/>
  <c r="H1152" i="12767"/>
  <c r="H1153" i="12767"/>
  <c r="H1154" i="12767"/>
  <c r="H1155" i="12767"/>
  <c r="H1156" i="12767"/>
  <c r="H1151" i="12767"/>
  <c r="H1166" i="12767"/>
  <c r="H1165" i="12767"/>
  <c r="K1178" i="12767"/>
  <c r="H1178" i="12767"/>
  <c r="K1126" i="12767"/>
  <c r="H1126" i="12767"/>
  <c r="H1125" i="12767"/>
  <c r="H1114" i="12767"/>
  <c r="H1113" i="12767"/>
  <c r="H1112" i="12767"/>
  <c r="H1111" i="12767"/>
  <c r="H1110" i="12767"/>
  <c r="H1109" i="12767"/>
  <c r="H1108" i="12767"/>
  <c r="H1098" i="12767"/>
  <c r="H1099" i="12767"/>
  <c r="H1100" i="12767"/>
  <c r="H1101" i="12767"/>
  <c r="H1102" i="12767"/>
  <c r="H1103" i="12767"/>
  <c r="H1104" i="12767"/>
  <c r="H1105" i="12767"/>
  <c r="H1106" i="12767"/>
  <c r="H1097" i="12767"/>
  <c r="B1061" i="12767"/>
  <c r="B1063" i="12767"/>
  <c r="B1064" i="12767"/>
  <c r="B1060" i="12767"/>
  <c r="F80" i="12811" s="1"/>
  <c r="E80" i="12811" s="1"/>
  <c r="B935" i="12767"/>
  <c r="B939" i="12767" s="1"/>
  <c r="B929" i="12767"/>
  <c r="E929" i="12767" s="1"/>
  <c r="B931" i="12767"/>
  <c r="H931" i="12767" s="1"/>
  <c r="B932" i="12767"/>
  <c r="H932" i="12767" s="1"/>
  <c r="B928" i="12767"/>
  <c r="H928" i="12767" s="1"/>
  <c r="B1068" i="12767"/>
  <c r="B1067" i="12767"/>
  <c r="B1065" i="12767"/>
  <c r="H935" i="12767"/>
  <c r="H929" i="12767"/>
  <c r="B976" i="12767"/>
  <c r="H974" i="12767"/>
  <c r="H973" i="12767"/>
  <c r="H971" i="12767"/>
  <c r="H970" i="12767"/>
  <c r="H969" i="12767"/>
  <c r="B968" i="12767"/>
  <c r="H967" i="12767"/>
  <c r="E967" i="12767"/>
  <c r="H966" i="12767"/>
  <c r="B1049" i="12767"/>
  <c r="B1048" i="12767"/>
  <c r="B1046" i="12767"/>
  <c r="B1045" i="12767"/>
  <c r="B1044" i="12767"/>
  <c r="B1042" i="12767"/>
  <c r="B911" i="12767" s="1"/>
  <c r="B1041" i="12767"/>
  <c r="H1024" i="12767"/>
  <c r="H1023" i="12767"/>
  <c r="B1025" i="12767"/>
  <c r="H1085" i="12767"/>
  <c r="H1086" i="12767"/>
  <c r="H1083" i="12767"/>
  <c r="H1082" i="12767"/>
  <c r="H1081" i="12767"/>
  <c r="H1079" i="12767"/>
  <c r="H1078" i="12767"/>
  <c r="H1012" i="12767"/>
  <c r="H1013" i="12767"/>
  <c r="H1010" i="12767"/>
  <c r="H1009" i="12767"/>
  <c r="H1008" i="12767"/>
  <c r="H1006" i="12767"/>
  <c r="H1005" i="12767"/>
  <c r="H955" i="12767"/>
  <c r="H956" i="12767"/>
  <c r="H953" i="12767"/>
  <c r="H952" i="12767"/>
  <c r="H951" i="12767"/>
  <c r="H949" i="12767"/>
  <c r="H948" i="12767"/>
  <c r="H878" i="12767"/>
  <c r="H837" i="12767"/>
  <c r="H858" i="12767"/>
  <c r="H836" i="12767"/>
  <c r="H831" i="12767"/>
  <c r="H830" i="12767"/>
  <c r="H829" i="12767"/>
  <c r="H828" i="12767"/>
  <c r="H827" i="12767"/>
  <c r="H825" i="12767"/>
  <c r="H820" i="12767"/>
  <c r="H819" i="12767"/>
  <c r="H818" i="12767"/>
  <c r="H816" i="12767"/>
  <c r="H784" i="12767"/>
  <c r="H783" i="12767"/>
  <c r="H778" i="12767"/>
  <c r="H777" i="12767"/>
  <c r="H776" i="12767"/>
  <c r="H775" i="12767"/>
  <c r="H774" i="12767"/>
  <c r="H772" i="12767"/>
  <c r="H767" i="12767"/>
  <c r="H766" i="12767"/>
  <c r="H765" i="12767"/>
  <c r="H763" i="12767"/>
  <c r="H641" i="12767"/>
  <c r="H678" i="12767"/>
  <c r="H675" i="12767"/>
  <c r="H672" i="12767"/>
  <c r="H659" i="12767"/>
  <c r="H683" i="12767"/>
  <c r="H681" i="12767"/>
  <c r="H676" i="12767"/>
  <c r="H673" i="12767"/>
  <c r="H671" i="12767"/>
  <c r="H645" i="12767"/>
  <c r="H640" i="12767"/>
  <c r="H638" i="12767"/>
  <c r="H637" i="12767"/>
  <c r="H635" i="12767"/>
  <c r="H634" i="12767"/>
  <c r="H633" i="12767"/>
  <c r="B383" i="12767"/>
  <c r="B914" i="12767" l="1"/>
  <c r="B910" i="12767"/>
  <c r="B917" i="12767"/>
  <c r="H1060" i="12767"/>
  <c r="B350" i="12767"/>
  <c r="B174" i="12767" s="1"/>
  <c r="B387" i="12767"/>
  <c r="B352" i="12767" s="1"/>
  <c r="B176" i="12767" s="1"/>
  <c r="H1139" i="12767"/>
  <c r="H1061" i="12767"/>
  <c r="B915" i="12767"/>
  <c r="B918" i="12767"/>
  <c r="B913" i="12767"/>
  <c r="H1048" i="12767"/>
  <c r="H660" i="12767"/>
  <c r="H1042" i="12767"/>
  <c r="H1045" i="12767"/>
  <c r="H1049" i="12767"/>
  <c r="B989" i="12767"/>
  <c r="E989" i="12767" s="1"/>
  <c r="B987" i="12767"/>
  <c r="E987" i="12767" s="1"/>
  <c r="B991" i="12767"/>
  <c r="B993" i="12767" s="1"/>
  <c r="B933" i="12767"/>
  <c r="E933" i="12767" s="1"/>
  <c r="B984" i="12767"/>
  <c r="E984" i="12767" s="1"/>
  <c r="B988" i="12767"/>
  <c r="B895" i="12767" s="1"/>
  <c r="B985" i="12767"/>
  <c r="E985" i="12767" s="1"/>
  <c r="B992" i="12767"/>
  <c r="H992" i="12767" s="1"/>
  <c r="B936" i="12767"/>
  <c r="E936" i="12767" s="1"/>
  <c r="H1041" i="12767"/>
  <c r="H1044" i="12767"/>
  <c r="H1046" i="12767"/>
  <c r="H976" i="12767"/>
  <c r="B1062" i="12767"/>
  <c r="E991" i="12767"/>
  <c r="E974" i="12767"/>
  <c r="E928" i="12767"/>
  <c r="E1027" i="12767"/>
  <c r="E1028" i="12767"/>
  <c r="E1030" i="12767"/>
  <c r="E1026" i="12767"/>
  <c r="E988" i="12767"/>
  <c r="E969" i="12767"/>
  <c r="E970" i="12767"/>
  <c r="E971" i="12767"/>
  <c r="E973" i="12767"/>
  <c r="E931" i="12767"/>
  <c r="E932" i="12767"/>
  <c r="E935" i="12767"/>
  <c r="E966" i="12767"/>
  <c r="H989" i="12767"/>
  <c r="B995" i="12767"/>
  <c r="E1023" i="12767"/>
  <c r="E1024" i="12767"/>
  <c r="E1061" i="12767" s="1"/>
  <c r="H1026" i="12767"/>
  <c r="H1063" i="12767" s="1"/>
  <c r="H1027" i="12767"/>
  <c r="H1064" i="12767" s="1"/>
  <c r="H1028" i="12767"/>
  <c r="H1065" i="12767" s="1"/>
  <c r="H1030" i="12767"/>
  <c r="H1067" i="12767" s="1"/>
  <c r="H1031" i="12767"/>
  <c r="H1068" i="12767" s="1"/>
  <c r="B1033" i="12767"/>
  <c r="E1031" i="12767"/>
  <c r="H525" i="12767"/>
  <c r="H524" i="12767"/>
  <c r="H523" i="12767"/>
  <c r="H522" i="12767"/>
  <c r="H521" i="12767"/>
  <c r="H518" i="12767"/>
  <c r="H517" i="12767"/>
  <c r="H516" i="12767"/>
  <c r="H490" i="12767"/>
  <c r="H489" i="12767"/>
  <c r="H488" i="12767"/>
  <c r="H487" i="12767"/>
  <c r="H486" i="12767"/>
  <c r="H483" i="12767"/>
  <c r="H482" i="12767"/>
  <c r="H481" i="12767"/>
  <c r="H419" i="12767"/>
  <c r="H417" i="12767"/>
  <c r="H415" i="12767"/>
  <c r="H412" i="12767"/>
  <c r="H411" i="12767"/>
  <c r="H410" i="12767"/>
  <c r="H384" i="12767"/>
  <c r="H382" i="12767"/>
  <c r="H381" i="12767"/>
  <c r="H380" i="12767"/>
  <c r="H377" i="12767"/>
  <c r="H376" i="12767"/>
  <c r="H375" i="12767"/>
  <c r="H314" i="12767"/>
  <c r="H312" i="12767"/>
  <c r="H311" i="12767"/>
  <c r="H310" i="12767"/>
  <c r="H308" i="12767"/>
  <c r="H307" i="12767"/>
  <c r="H306" i="12767"/>
  <c r="H280" i="12767"/>
  <c r="H276" i="12767"/>
  <c r="H273" i="12767"/>
  <c r="H204" i="12767" s="1"/>
  <c r="H274" i="12767"/>
  <c r="H272" i="12767"/>
  <c r="H145" i="12767"/>
  <c r="H144" i="12767"/>
  <c r="H132" i="12767"/>
  <c r="H129" i="12767"/>
  <c r="H148" i="12767"/>
  <c r="H147" i="12767"/>
  <c r="H133" i="12767"/>
  <c r="H115" i="12767"/>
  <c r="H114" i="12767"/>
  <c r="H99" i="12767"/>
  <c r="P86" i="12767"/>
  <c r="H987" i="12767" l="1"/>
  <c r="H988" i="12767"/>
  <c r="E1064" i="12767"/>
  <c r="E1060" i="12767"/>
  <c r="H914" i="12767"/>
  <c r="H895" i="12767" s="1"/>
  <c r="E992" i="12767"/>
  <c r="E995" i="12767" s="1"/>
  <c r="H918" i="12767"/>
  <c r="H205" i="12767"/>
  <c r="E1068" i="12767"/>
  <c r="H915" i="12767"/>
  <c r="H896" i="12767" s="1"/>
  <c r="H991" i="12767"/>
  <c r="E1067" i="12767"/>
  <c r="H917" i="12767"/>
  <c r="H898" i="12767" s="1"/>
  <c r="H910" i="12767"/>
  <c r="H891" i="12767" s="1"/>
  <c r="H911" i="12767"/>
  <c r="H892" i="12767" s="1"/>
  <c r="E1065" i="12767"/>
  <c r="E1063" i="12767"/>
  <c r="H203" i="12767"/>
  <c r="H211" i="12767"/>
  <c r="I1032" i="12767"/>
  <c r="K1032" i="12767" s="1"/>
  <c r="K1069" i="12767" s="1"/>
  <c r="I1014" i="12767"/>
  <c r="K1014" i="12767" s="1"/>
  <c r="K1050" i="12767" s="1"/>
  <c r="K993" i="12767"/>
  <c r="H913" i="12767"/>
  <c r="H894" i="12767" s="1"/>
  <c r="H207" i="12767"/>
  <c r="H936" i="12767"/>
  <c r="B892" i="12767"/>
  <c r="H985" i="12767"/>
  <c r="B891" i="12767"/>
  <c r="H984" i="12767"/>
  <c r="H933" i="12767"/>
  <c r="B898" i="12767"/>
  <c r="B896" i="12767"/>
  <c r="B899" i="12767"/>
  <c r="B894" i="12767"/>
  <c r="H899" i="12767"/>
  <c r="B1070" i="12767"/>
  <c r="E976" i="12767"/>
  <c r="E939" i="12767"/>
  <c r="H1033" i="12767"/>
  <c r="E1033" i="12767"/>
  <c r="H71" i="12767"/>
  <c r="H70" i="12767"/>
  <c r="H66" i="12767"/>
  <c r="H65" i="12767"/>
  <c r="H54" i="12767"/>
  <c r="H53" i="12767"/>
  <c r="H52" i="12767"/>
  <c r="H51" i="12767"/>
  <c r="H49" i="12767"/>
  <c r="H48" i="12767"/>
  <c r="H47" i="12767"/>
  <c r="H33" i="12767"/>
  <c r="H30" i="12767"/>
  <c r="H31" i="12767"/>
  <c r="H29" i="12767"/>
  <c r="H1179" i="12767"/>
  <c r="H1138" i="12767" s="1"/>
  <c r="H857" i="12767"/>
  <c r="H856" i="12767"/>
  <c r="H851" i="12767"/>
  <c r="H850" i="12767"/>
  <c r="H849" i="12767"/>
  <c r="H848" i="12767"/>
  <c r="H847" i="12767"/>
  <c r="H845" i="12767"/>
  <c r="H844" i="12767"/>
  <c r="H843" i="12767"/>
  <c r="H842" i="12767"/>
  <c r="H840" i="12767"/>
  <c r="H804" i="12767"/>
  <c r="H803" i="12767"/>
  <c r="H798" i="12767"/>
  <c r="H797" i="12767"/>
  <c r="H796" i="12767"/>
  <c r="H795" i="12767"/>
  <c r="H794" i="12767"/>
  <c r="H792" i="12767"/>
  <c r="H791" i="12767"/>
  <c r="H790" i="12767"/>
  <c r="H789" i="12767"/>
  <c r="H787" i="12767"/>
  <c r="H696" i="12767"/>
  <c r="H694" i="12767"/>
  <c r="H691" i="12767"/>
  <c r="H690" i="12767"/>
  <c r="H689" i="12767"/>
  <c r="H688" i="12767"/>
  <c r="H687" i="12767"/>
  <c r="H658" i="12767"/>
  <c r="H656" i="12767"/>
  <c r="H655" i="12767"/>
  <c r="H654" i="12767"/>
  <c r="H653" i="12767"/>
  <c r="H652" i="12767"/>
  <c r="H651" i="12767"/>
  <c r="H650" i="12767"/>
  <c r="H649" i="12767"/>
  <c r="H537" i="12767"/>
  <c r="H536" i="12767"/>
  <c r="H535" i="12767"/>
  <c r="H534" i="12767"/>
  <c r="H533" i="12767"/>
  <c r="H532" i="12767"/>
  <c r="H531" i="12767"/>
  <c r="H530" i="12767"/>
  <c r="H502" i="12767"/>
  <c r="H501" i="12767"/>
  <c r="H500" i="12767"/>
  <c r="H499" i="12767"/>
  <c r="H498" i="12767"/>
  <c r="H497" i="12767"/>
  <c r="H496" i="12767"/>
  <c r="H495" i="12767"/>
  <c r="H431" i="12767"/>
  <c r="H430" i="12767"/>
  <c r="H429" i="12767"/>
  <c r="H428" i="12767"/>
  <c r="H427" i="12767"/>
  <c r="H426" i="12767"/>
  <c r="H425" i="12767"/>
  <c r="H424" i="12767"/>
  <c r="H396" i="12767"/>
  <c r="H395" i="12767"/>
  <c r="H394" i="12767"/>
  <c r="H393" i="12767"/>
  <c r="H392" i="12767"/>
  <c r="H391" i="12767"/>
  <c r="H390" i="12767"/>
  <c r="H389" i="12767"/>
  <c r="H361" i="12767"/>
  <c r="H360" i="12767"/>
  <c r="H359" i="12767"/>
  <c r="H358" i="12767"/>
  <c r="H357" i="12767"/>
  <c r="H356" i="12767"/>
  <c r="H355" i="12767"/>
  <c r="H354" i="12767"/>
  <c r="H326" i="12767"/>
  <c r="H325" i="12767"/>
  <c r="H324" i="12767"/>
  <c r="H323" i="12767"/>
  <c r="H322" i="12767"/>
  <c r="H321" i="12767"/>
  <c r="H320" i="12767"/>
  <c r="H319" i="12767"/>
  <c r="H292" i="12767"/>
  <c r="H223" i="12767" s="1"/>
  <c r="H290" i="12767"/>
  <c r="H289" i="12767"/>
  <c r="H288" i="12767"/>
  <c r="H287" i="12767"/>
  <c r="H286" i="12767"/>
  <c r="H285" i="12767"/>
  <c r="H149" i="12767"/>
  <c r="H134" i="12767"/>
  <c r="H36" i="12767"/>
  <c r="H995" i="12767" l="1"/>
  <c r="H216" i="12767"/>
  <c r="H218" i="12767"/>
  <c r="H220" i="12767"/>
  <c r="K919" i="12767"/>
  <c r="H217" i="12767"/>
  <c r="H219" i="12767"/>
  <c r="H221" i="12767"/>
  <c r="H939" i="12767"/>
  <c r="H873" i="12767"/>
  <c r="H881" i="12767"/>
  <c r="H876" i="12767"/>
  <c r="H870" i="12767"/>
  <c r="H879" i="12767"/>
  <c r="H874" i="12767"/>
  <c r="H877" i="12767"/>
  <c r="H1070" i="12767"/>
  <c r="E1070" i="12767"/>
  <c r="H693" i="12767"/>
  <c r="H679" i="12767"/>
  <c r="H692" i="12767"/>
  <c r="H880" i="12767"/>
  <c r="K900" i="12767" l="1"/>
  <c r="P20" i="12783" s="1"/>
  <c r="P37" i="12764"/>
  <c r="V37" i="12823"/>
  <c r="H854" i="12767"/>
  <c r="H834" i="12767"/>
  <c r="H853" i="12767"/>
  <c r="H833" i="12767"/>
  <c r="H801" i="12767"/>
  <c r="H781" i="12767"/>
  <c r="H800" i="12767"/>
  <c r="H780" i="12767"/>
  <c r="AB37" i="12823" l="1"/>
  <c r="AA37" i="12823"/>
  <c r="W37" i="12823"/>
  <c r="X37" i="12823"/>
  <c r="AD37" i="12823" s="1"/>
  <c r="K71" i="12764"/>
  <c r="G71" i="12764"/>
  <c r="E71" i="12764"/>
  <c r="T96" i="12764"/>
  <c r="K96" i="12764"/>
  <c r="G96" i="12764"/>
  <c r="T86" i="12764"/>
  <c r="P86" i="12764"/>
  <c r="K86" i="12764"/>
  <c r="E86" i="12764"/>
  <c r="T79" i="12764"/>
  <c r="T12" i="12764"/>
  <c r="V26" i="12764"/>
  <c r="U26" i="12764"/>
  <c r="R26" i="12764"/>
  <c r="G86" i="12764"/>
  <c r="N85" i="12763"/>
  <c r="I85" i="12763"/>
  <c r="E85" i="12763"/>
  <c r="N68" i="12763"/>
  <c r="I68" i="12763"/>
  <c r="E68" i="12763"/>
  <c r="E9" i="12785"/>
  <c r="E10" i="12785"/>
  <c r="I752" i="12767"/>
  <c r="M752" i="12767" s="1"/>
  <c r="I753" i="12767"/>
  <c r="I858" i="12767"/>
  <c r="K858" i="12767" s="1"/>
  <c r="I621" i="12767"/>
  <c r="M621" i="12767" s="1"/>
  <c r="I622" i="12767"/>
  <c r="I189" i="12767"/>
  <c r="I258" i="12767" s="1"/>
  <c r="K258" i="12767" s="1"/>
  <c r="I190" i="12767"/>
  <c r="I259" i="12767" s="1"/>
  <c r="K259" i="12767" s="1"/>
  <c r="E398" i="12767"/>
  <c r="E397" i="12767"/>
  <c r="E15" i="12791"/>
  <c r="G15" i="12791" s="1"/>
  <c r="I102" i="12767"/>
  <c r="K102" i="12767" s="1"/>
  <c r="I103" i="12767"/>
  <c r="K103" i="12767" s="1"/>
  <c r="K114" i="12767"/>
  <c r="H116" i="12767"/>
  <c r="I117" i="12767"/>
  <c r="K117" i="12767" s="1"/>
  <c r="I118" i="12767"/>
  <c r="K118" i="12767" s="1"/>
  <c r="I129" i="12767"/>
  <c r="K129" i="12767" s="1"/>
  <c r="I132" i="12767"/>
  <c r="K132" i="12767" s="1"/>
  <c r="I133" i="12767"/>
  <c r="K133" i="12767" s="1"/>
  <c r="I144" i="12767"/>
  <c r="K144" i="12767" s="1"/>
  <c r="H146" i="12767"/>
  <c r="I147" i="12767"/>
  <c r="K147" i="12767" s="1"/>
  <c r="I148" i="12767"/>
  <c r="K148" i="12767" s="1"/>
  <c r="E99" i="12767"/>
  <c r="E102" i="12767"/>
  <c r="E103" i="12767"/>
  <c r="E104" i="12767"/>
  <c r="E114" i="12767"/>
  <c r="E115" i="12767"/>
  <c r="E116" i="12767"/>
  <c r="E117" i="12767"/>
  <c r="E118" i="12767"/>
  <c r="E119" i="12767"/>
  <c r="E129" i="12767"/>
  <c r="E132" i="12767"/>
  <c r="E133" i="12767"/>
  <c r="E134" i="12767"/>
  <c r="E144" i="12767"/>
  <c r="E145" i="12767"/>
  <c r="E146" i="12767"/>
  <c r="E147" i="12767"/>
  <c r="E148" i="12767"/>
  <c r="E149" i="12767"/>
  <c r="E16" i="12791"/>
  <c r="G16" i="12791" s="1"/>
  <c r="E17" i="12791"/>
  <c r="G17" i="12791" s="1"/>
  <c r="E19" i="12791"/>
  <c r="G19" i="12791" s="1"/>
  <c r="E20" i="12791"/>
  <c r="G20" i="12791" s="1"/>
  <c r="E21" i="12791"/>
  <c r="G21" i="12791" s="1"/>
  <c r="E23" i="12791"/>
  <c r="G23" i="12791" s="1"/>
  <c r="E24" i="12791"/>
  <c r="G24" i="12791" s="1"/>
  <c r="E25" i="12791"/>
  <c r="G25" i="12791" s="1"/>
  <c r="E27" i="12791"/>
  <c r="G27" i="12791" s="1"/>
  <c r="E28" i="12791"/>
  <c r="G28" i="12791" s="1"/>
  <c r="E29" i="12791"/>
  <c r="G29" i="12791" s="1"/>
  <c r="K1078" i="12767"/>
  <c r="K1081" i="12767"/>
  <c r="D32" i="12774"/>
  <c r="E32" i="12774"/>
  <c r="F32" i="12774"/>
  <c r="G32" i="12774"/>
  <c r="H32" i="12774"/>
  <c r="I32" i="12774"/>
  <c r="J32" i="12774"/>
  <c r="K32" i="12774"/>
  <c r="L32" i="12774"/>
  <c r="M32" i="12774"/>
  <c r="N32" i="12774"/>
  <c r="O32" i="12774"/>
  <c r="K878" i="12767"/>
  <c r="E483" i="12767"/>
  <c r="E481" i="12767"/>
  <c r="E482" i="12767"/>
  <c r="E486" i="12767"/>
  <c r="E499" i="12767"/>
  <c r="E489" i="12767"/>
  <c r="E490" i="12767"/>
  <c r="E501" i="12767"/>
  <c r="E502" i="12767"/>
  <c r="E518" i="12767"/>
  <c r="E516" i="12767"/>
  <c r="E517" i="12767"/>
  <c r="E521" i="12767"/>
  <c r="E522" i="12767"/>
  <c r="E523" i="12767"/>
  <c r="E524" i="12767"/>
  <c r="E525" i="12767"/>
  <c r="E531" i="12767"/>
  <c r="E274" i="12767"/>
  <c r="E319" i="12767"/>
  <c r="E307" i="12767"/>
  <c r="E308" i="12767"/>
  <c r="E322" i="12767"/>
  <c r="E311" i="12767"/>
  <c r="E324" i="12767"/>
  <c r="E325" i="12767"/>
  <c r="E326" i="12767"/>
  <c r="E320" i="12767"/>
  <c r="E323" i="12767"/>
  <c r="E389" i="12767"/>
  <c r="E376" i="12767"/>
  <c r="E377" i="12767"/>
  <c r="E380" i="12767"/>
  <c r="E393" i="12767"/>
  <c r="E394" i="12767"/>
  <c r="E395" i="12767"/>
  <c r="E384" i="12767"/>
  <c r="E396" i="12767"/>
  <c r="E410" i="12767"/>
  <c r="E411" i="12767"/>
  <c r="E412" i="12767"/>
  <c r="E415" i="12767"/>
  <c r="H416" i="12767"/>
  <c r="E417" i="12767"/>
  <c r="E430" i="12767"/>
  <c r="E360" i="12767" s="1"/>
  <c r="E419" i="12767"/>
  <c r="E425" i="12767"/>
  <c r="E429" i="12767"/>
  <c r="D22" i="12774"/>
  <c r="E22" i="12774"/>
  <c r="F22" i="12774"/>
  <c r="G22" i="12774"/>
  <c r="H22" i="12774"/>
  <c r="I22" i="12774"/>
  <c r="J22" i="12774"/>
  <c r="K22" i="12774"/>
  <c r="L22" i="12774"/>
  <c r="M22" i="12774"/>
  <c r="N22" i="12774"/>
  <c r="O22" i="12774"/>
  <c r="E649" i="12767"/>
  <c r="E635" i="12767"/>
  <c r="E653" i="12767"/>
  <c r="E687" i="12767"/>
  <c r="E671" i="12767"/>
  <c r="E689" i="12767"/>
  <c r="E691" i="12767"/>
  <c r="E678" i="12767"/>
  <c r="E679" i="12767"/>
  <c r="E681" i="12767"/>
  <c r="E683" i="12767"/>
  <c r="E690" i="12767"/>
  <c r="E693" i="12767"/>
  <c r="H695" i="12767"/>
  <c r="B698" i="12767"/>
  <c r="B622" i="12767" s="1"/>
  <c r="E763" i="12767"/>
  <c r="E789" i="12767"/>
  <c r="E791" i="12767"/>
  <c r="E795" i="12767"/>
  <c r="E796" i="12767"/>
  <c r="E777" i="12767"/>
  <c r="E778" i="12767"/>
  <c r="E803" i="12767"/>
  <c r="E804" i="12767"/>
  <c r="E790" i="12767"/>
  <c r="E798" i="12767"/>
  <c r="E816" i="12767"/>
  <c r="E818" i="12767"/>
  <c r="E819" i="12767"/>
  <c r="E820" i="12767"/>
  <c r="E825" i="12767"/>
  <c r="E847" i="12767"/>
  <c r="E848" i="12767"/>
  <c r="E829" i="12767"/>
  <c r="E830" i="12767"/>
  <c r="E831" i="12767"/>
  <c r="E856" i="12767"/>
  <c r="E857" i="12767"/>
  <c r="E751" i="12767" s="1"/>
  <c r="E840" i="12767"/>
  <c r="E845" i="12767"/>
  <c r="E850" i="12767"/>
  <c r="H859" i="12767"/>
  <c r="D36" i="12774"/>
  <c r="E36" i="12774"/>
  <c r="F36" i="12774"/>
  <c r="G36" i="12774"/>
  <c r="H36" i="12774"/>
  <c r="I36" i="12774"/>
  <c r="J36" i="12774"/>
  <c r="K36" i="12774"/>
  <c r="L36" i="12774"/>
  <c r="M36" i="12774"/>
  <c r="N36" i="12774"/>
  <c r="O36" i="12774"/>
  <c r="E869" i="12767"/>
  <c r="E870" i="12767"/>
  <c r="E872" i="12767"/>
  <c r="E873" i="12767"/>
  <c r="E874" i="12767"/>
  <c r="E876" i="12767"/>
  <c r="E878" i="12767"/>
  <c r="E879" i="12767"/>
  <c r="E880" i="12767"/>
  <c r="E1078" i="12767"/>
  <c r="E1079" i="12767"/>
  <c r="E1081" i="12767"/>
  <c r="E1082" i="12767"/>
  <c r="E1083" i="12767"/>
  <c r="E1085" i="12767"/>
  <c r="E1086" i="12767"/>
  <c r="E1189" i="12767"/>
  <c r="E1190" i="12767"/>
  <c r="E1192" i="12767"/>
  <c r="E29" i="12767"/>
  <c r="E31" i="12767"/>
  <c r="H34" i="12767"/>
  <c r="B35" i="12767"/>
  <c r="H35" i="12767" s="1"/>
  <c r="E36" i="12767"/>
  <c r="E47" i="12767"/>
  <c r="E48" i="12767"/>
  <c r="E51" i="12767"/>
  <c r="E66" i="12767"/>
  <c r="E71" i="12767"/>
  <c r="H72" i="12767"/>
  <c r="E1097" i="12767"/>
  <c r="E1098" i="12767"/>
  <c r="E1099" i="12767"/>
  <c r="E1100" i="12767"/>
  <c r="E1101" i="12767"/>
  <c r="E1102" i="12767"/>
  <c r="E1103" i="12767"/>
  <c r="E1104" i="12767"/>
  <c r="E1105" i="12767"/>
  <c r="E1106" i="12767"/>
  <c r="E1108" i="12767"/>
  <c r="E1109" i="12767"/>
  <c r="D43" i="12774"/>
  <c r="E43" i="12774"/>
  <c r="F43" i="12774"/>
  <c r="G43" i="12774"/>
  <c r="H43" i="12774"/>
  <c r="I43" i="12774"/>
  <c r="J43" i="12774"/>
  <c r="K43" i="12774"/>
  <c r="L43" i="12774"/>
  <c r="M43" i="12774"/>
  <c r="N43" i="12774"/>
  <c r="O43" i="12774"/>
  <c r="E1125" i="12767"/>
  <c r="E1126" i="12767"/>
  <c r="E1137" i="12767"/>
  <c r="K1137" i="12767" s="1"/>
  <c r="M1137" i="12767" s="1"/>
  <c r="E1178" i="12767"/>
  <c r="E1151" i="12767"/>
  <c r="E1152" i="12767"/>
  <c r="E1153" i="12767"/>
  <c r="E1154" i="12767"/>
  <c r="E1155" i="12767"/>
  <c r="E1156" i="12767"/>
  <c r="E1159" i="12767"/>
  <c r="E1160" i="12767"/>
  <c r="E1161" i="12767"/>
  <c r="E1162" i="12767"/>
  <c r="E1163" i="12767"/>
  <c r="E1203" i="12767"/>
  <c r="E1204" i="12767"/>
  <c r="E1205" i="12767"/>
  <c r="E1207" i="12767"/>
  <c r="E1208" i="12767"/>
  <c r="E1211" i="12767"/>
  <c r="E1212" i="12767"/>
  <c r="E1213" i="12767"/>
  <c r="E1215" i="12767"/>
  <c r="E1216" i="12767"/>
  <c r="E1219" i="12767"/>
  <c r="E1220" i="12767"/>
  <c r="E1221" i="12767"/>
  <c r="E1223" i="12767"/>
  <c r="E1224" i="12767"/>
  <c r="E1226" i="12767"/>
  <c r="E1227" i="12767"/>
  <c r="E1228" i="12767"/>
  <c r="B20" i="12767"/>
  <c r="B344" i="12767"/>
  <c r="B450" i="12767"/>
  <c r="B593" i="12767"/>
  <c r="B594" i="12767"/>
  <c r="B595" i="12767"/>
  <c r="B768" i="12767"/>
  <c r="F101" i="12811" s="1"/>
  <c r="B821" i="12767"/>
  <c r="F102" i="12811" s="1"/>
  <c r="E102" i="12811" s="1"/>
  <c r="B871" i="12767"/>
  <c r="B950" i="12767"/>
  <c r="B1007" i="12767"/>
  <c r="B986" i="12767" s="1"/>
  <c r="B1080" i="12767"/>
  <c r="F27" i="12783"/>
  <c r="F28" i="12783"/>
  <c r="B1140" i="12767"/>
  <c r="F29" i="12783" s="1"/>
  <c r="B1191" i="12767"/>
  <c r="I564" i="12767"/>
  <c r="I577" i="12767" s="1"/>
  <c r="K577" i="12767" s="1"/>
  <c r="I574" i="12767"/>
  <c r="K574" i="12767" s="1"/>
  <c r="B958" i="12767"/>
  <c r="B1015" i="12767"/>
  <c r="B1089" i="12767"/>
  <c r="D32" i="12775"/>
  <c r="E32" i="12775"/>
  <c r="F32" i="12775"/>
  <c r="G32" i="12775"/>
  <c r="H32" i="12775"/>
  <c r="I32" i="12775"/>
  <c r="J32" i="12775"/>
  <c r="K32" i="12775"/>
  <c r="L32" i="12775"/>
  <c r="M32" i="12775"/>
  <c r="N32" i="12775"/>
  <c r="O32" i="12775"/>
  <c r="E952" i="12767"/>
  <c r="E948" i="12767"/>
  <c r="B508" i="12767"/>
  <c r="B543" i="12767"/>
  <c r="I709" i="12767"/>
  <c r="I763" i="12767" s="1"/>
  <c r="K763" i="12767" s="1"/>
  <c r="I765" i="12767"/>
  <c r="K765" i="12767" s="1"/>
  <c r="I818" i="12767"/>
  <c r="K818" i="12767" s="1"/>
  <c r="H712" i="12767"/>
  <c r="H713" i="12767"/>
  <c r="B861" i="12767"/>
  <c r="H718" i="12767" s="1"/>
  <c r="H724" i="12767"/>
  <c r="B808" i="12767"/>
  <c r="B701" i="12767"/>
  <c r="K1165" i="12767"/>
  <c r="I1179" i="12767"/>
  <c r="K1179" i="12767" s="1"/>
  <c r="K1151" i="12767"/>
  <c r="K1152" i="12767"/>
  <c r="K1153" i="12767"/>
  <c r="K1154" i="12767"/>
  <c r="K1155" i="12767"/>
  <c r="K1156" i="12767"/>
  <c r="K1159" i="12767"/>
  <c r="K1160" i="12767"/>
  <c r="K1161" i="12767"/>
  <c r="K1162" i="12767"/>
  <c r="K1163" i="12767"/>
  <c r="E1013" i="12767"/>
  <c r="E955" i="12767"/>
  <c r="E956" i="12767"/>
  <c r="C33" i="12787"/>
  <c r="D33" i="12787" s="1"/>
  <c r="C50" i="12787"/>
  <c r="C67" i="12787"/>
  <c r="C59" i="12787"/>
  <c r="D50" i="12787" s="1"/>
  <c r="H50" i="12787" s="1"/>
  <c r="C76" i="12787"/>
  <c r="E33" i="12787"/>
  <c r="G33" i="12787" s="1"/>
  <c r="E50" i="12787"/>
  <c r="E67" i="12787"/>
  <c r="G67" i="12787" s="1"/>
  <c r="E34" i="12787"/>
  <c r="C34" i="12787"/>
  <c r="D34" i="12787" s="1"/>
  <c r="E35" i="12787"/>
  <c r="G35" i="12787" s="1"/>
  <c r="E37" i="12787"/>
  <c r="C37" i="12787"/>
  <c r="E38" i="12787"/>
  <c r="C38" i="12787"/>
  <c r="E39" i="12787"/>
  <c r="C39" i="12787"/>
  <c r="E40" i="12787"/>
  <c r="C40" i="12787"/>
  <c r="E51" i="12787"/>
  <c r="C51" i="12787"/>
  <c r="E52" i="12787"/>
  <c r="C52" i="12787"/>
  <c r="E54" i="12787"/>
  <c r="C54" i="12787"/>
  <c r="E55" i="12787"/>
  <c r="C55" i="12787"/>
  <c r="E56" i="12787"/>
  <c r="C56" i="12787"/>
  <c r="E57" i="12787"/>
  <c r="C57" i="12787"/>
  <c r="E68" i="12787"/>
  <c r="C68" i="12787"/>
  <c r="G68" i="12787"/>
  <c r="E69" i="12787"/>
  <c r="C69" i="12787"/>
  <c r="G69" i="12787" s="1"/>
  <c r="E71" i="12787"/>
  <c r="C71" i="12787"/>
  <c r="G71" i="12787" s="1"/>
  <c r="E72" i="12787"/>
  <c r="C72" i="12787"/>
  <c r="E73" i="12787"/>
  <c r="C73" i="12787"/>
  <c r="G73" i="12787" s="1"/>
  <c r="E74" i="12787"/>
  <c r="C74" i="12787"/>
  <c r="D68" i="12787"/>
  <c r="D35" i="12787"/>
  <c r="D71" i="12787"/>
  <c r="D39" i="12787"/>
  <c r="D57" i="12787"/>
  <c r="I23" i="12787"/>
  <c r="I40" i="12787" s="1"/>
  <c r="C58" i="12787"/>
  <c r="C75" i="12787"/>
  <c r="D24" i="12787"/>
  <c r="D25" i="12787"/>
  <c r="D27" i="12787" s="1"/>
  <c r="E22" i="12775"/>
  <c r="F22" i="12775"/>
  <c r="G22" i="12775"/>
  <c r="H22" i="12775"/>
  <c r="I22" i="12775"/>
  <c r="J22" i="12775"/>
  <c r="K22" i="12775"/>
  <c r="L22" i="12775"/>
  <c r="M22" i="12775"/>
  <c r="N22" i="12775"/>
  <c r="O22" i="12775"/>
  <c r="D44" i="12787"/>
  <c r="D61" i="12787"/>
  <c r="D78" i="12787"/>
  <c r="C96" i="12787"/>
  <c r="C109" i="12787"/>
  <c r="D96" i="12787"/>
  <c r="D83" i="12787" s="1"/>
  <c r="M83" i="12787" s="1"/>
  <c r="E96" i="12787"/>
  <c r="E109" i="12787"/>
  <c r="E122" i="12787"/>
  <c r="G122" i="12787" s="1"/>
  <c r="E135" i="12787"/>
  <c r="G135" i="12787" s="1"/>
  <c r="I96" i="12787"/>
  <c r="I109" i="12787"/>
  <c r="I122" i="12787"/>
  <c r="K122" i="12787" s="1"/>
  <c r="I135" i="12787"/>
  <c r="K135" i="12787" s="1"/>
  <c r="O83" i="12787"/>
  <c r="C110" i="12787"/>
  <c r="C111" i="12787" s="1"/>
  <c r="D97" i="12787"/>
  <c r="D84" i="12787" s="1"/>
  <c r="E97" i="12787"/>
  <c r="E123" i="12787"/>
  <c r="H123" i="12787" s="1"/>
  <c r="E110" i="12787"/>
  <c r="G110" i="12787" s="1"/>
  <c r="E136" i="12787"/>
  <c r="G136" i="12787" s="1"/>
  <c r="H136" i="12787"/>
  <c r="I97" i="12787"/>
  <c r="I123" i="12787"/>
  <c r="I110" i="12787"/>
  <c r="I136" i="12787"/>
  <c r="K136" i="12787" s="1"/>
  <c r="O84" i="12787"/>
  <c r="Q84" i="12787"/>
  <c r="C137" i="12787"/>
  <c r="E98" i="12787"/>
  <c r="E124" i="12787"/>
  <c r="H124" i="12787" s="1"/>
  <c r="E111" i="12787"/>
  <c r="E137" i="12787"/>
  <c r="G137" i="12787" s="1"/>
  <c r="H111" i="12787"/>
  <c r="H137" i="12787"/>
  <c r="I85" i="12787"/>
  <c r="I98" i="12787" s="1"/>
  <c r="C86" i="12787"/>
  <c r="D86" i="12787"/>
  <c r="E99" i="12787"/>
  <c r="G99" i="12787" s="1"/>
  <c r="E112" i="12787"/>
  <c r="G112" i="12787" s="1"/>
  <c r="E125" i="12787"/>
  <c r="G125" i="12787" s="1"/>
  <c r="E138" i="12787"/>
  <c r="G138" i="12787" s="1"/>
  <c r="H125" i="12787"/>
  <c r="I99" i="12787"/>
  <c r="K99" i="12787" s="1"/>
  <c r="I112" i="12787"/>
  <c r="K112" i="12787" s="1"/>
  <c r="I125" i="12787"/>
  <c r="K125" i="12787" s="1"/>
  <c r="I138" i="12787"/>
  <c r="K138" i="12787" s="1"/>
  <c r="M86" i="12787"/>
  <c r="O86" i="12787"/>
  <c r="C87" i="12787"/>
  <c r="D87" i="12787"/>
  <c r="E100" i="12787"/>
  <c r="G100" i="12787" s="1"/>
  <c r="E113" i="12787"/>
  <c r="G113" i="12787" s="1"/>
  <c r="E126" i="12787"/>
  <c r="G126" i="12787" s="1"/>
  <c r="E139" i="12787"/>
  <c r="G139" i="12787" s="1"/>
  <c r="H126" i="12787"/>
  <c r="I87" i="12787"/>
  <c r="I100" i="12787" s="1"/>
  <c r="K100" i="12787" s="1"/>
  <c r="I139" i="12787"/>
  <c r="K139" i="12787" s="1"/>
  <c r="C88" i="12787"/>
  <c r="D88" i="12787"/>
  <c r="I88" i="12787"/>
  <c r="O88" i="12787" s="1"/>
  <c r="I101" i="12787"/>
  <c r="K101" i="12787" s="1"/>
  <c r="I127" i="12787"/>
  <c r="K127" i="12787" s="1"/>
  <c r="C141" i="12787"/>
  <c r="D90" i="12787"/>
  <c r="H90" i="12787"/>
  <c r="D117" i="12787"/>
  <c r="D130" i="12787"/>
  <c r="D143" i="12787"/>
  <c r="C149" i="12787"/>
  <c r="C387" i="12787"/>
  <c r="D384" i="12787" s="1"/>
  <c r="E384" i="12787"/>
  <c r="G384" i="12787" s="1"/>
  <c r="E413" i="12787"/>
  <c r="G413" i="12787" s="1"/>
  <c r="D413" i="12787"/>
  <c r="H413" i="12787" s="1"/>
  <c r="I149" i="12787"/>
  <c r="I384" i="12787" s="1"/>
  <c r="I413" i="12787"/>
  <c r="K413" i="12787" s="1"/>
  <c r="C356" i="12787"/>
  <c r="C150" i="12787" s="1"/>
  <c r="D385" i="12787"/>
  <c r="D414" i="12787"/>
  <c r="D356" i="12787" s="1"/>
  <c r="D150" i="12787" s="1"/>
  <c r="E385" i="12787"/>
  <c r="G385" i="12787" s="1"/>
  <c r="E414" i="12787"/>
  <c r="G414" i="12787" s="1"/>
  <c r="I154" i="12787"/>
  <c r="I150" i="12787" s="1"/>
  <c r="E211" i="12787"/>
  <c r="H211" i="12787" s="1"/>
  <c r="E239" i="12787"/>
  <c r="C239" i="12787"/>
  <c r="C240" i="12787"/>
  <c r="E296" i="12787"/>
  <c r="C300" i="12787"/>
  <c r="C296" i="12787"/>
  <c r="E325" i="12787"/>
  <c r="D325" i="12787"/>
  <c r="E212" i="12787"/>
  <c r="H212" i="12787" s="1"/>
  <c r="E240" i="12787"/>
  <c r="E297" i="12787"/>
  <c r="H297" i="12787" s="1"/>
  <c r="E326" i="12787"/>
  <c r="H326" i="12787" s="1"/>
  <c r="I211" i="12787"/>
  <c r="C211" i="12787"/>
  <c r="I239" i="12787"/>
  <c r="I296" i="12787"/>
  <c r="K296" i="12787" s="1"/>
  <c r="I325" i="12787"/>
  <c r="K325" i="12787" s="1"/>
  <c r="K267" i="12787" s="1"/>
  <c r="C212" i="12787"/>
  <c r="C357" i="12787"/>
  <c r="C151" i="12787" s="1"/>
  <c r="C390" i="12787"/>
  <c r="C361" i="12787" s="1"/>
  <c r="C391" i="12787"/>
  <c r="E386" i="12787"/>
  <c r="G386" i="12787" s="1"/>
  <c r="E415" i="12787"/>
  <c r="I386" i="12787"/>
  <c r="K386" i="12787" s="1"/>
  <c r="I415" i="12787"/>
  <c r="K415" i="12787" s="1"/>
  <c r="O151" i="12787"/>
  <c r="C213" i="12787"/>
  <c r="E213" i="12787"/>
  <c r="E241" i="12787"/>
  <c r="C244" i="12787"/>
  <c r="C245" i="12787"/>
  <c r="C241" i="12787"/>
  <c r="E298" i="12787"/>
  <c r="H298" i="12787" s="1"/>
  <c r="E327" i="12787"/>
  <c r="H327" i="12787" s="1"/>
  <c r="I213" i="12787"/>
  <c r="K213" i="12787" s="1"/>
  <c r="I241" i="12787"/>
  <c r="K241" i="12787" s="1"/>
  <c r="I298" i="12787"/>
  <c r="K298" i="12787" s="1"/>
  <c r="I327" i="12787"/>
  <c r="K327" i="12787" s="1"/>
  <c r="E216" i="12787"/>
  <c r="E244" i="12787"/>
  <c r="G244" i="12787" s="1"/>
  <c r="E302" i="12787"/>
  <c r="C302" i="12787"/>
  <c r="C303" i="12787"/>
  <c r="E331" i="12787"/>
  <c r="C331" i="12787"/>
  <c r="C333" i="12787" s="1"/>
  <c r="E390" i="12787"/>
  <c r="E419" i="12787"/>
  <c r="G419" i="12787" s="1"/>
  <c r="C434" i="12787"/>
  <c r="D421" i="12787" s="1"/>
  <c r="E217" i="12787"/>
  <c r="E245" i="12787"/>
  <c r="E303" i="12787"/>
  <c r="G303" i="12787" s="1"/>
  <c r="E332" i="12787"/>
  <c r="H332" i="12787" s="1"/>
  <c r="E189" i="12787"/>
  <c r="E391" i="12787" s="1"/>
  <c r="G391" i="12787" s="1"/>
  <c r="E218" i="12787"/>
  <c r="E246" i="12787"/>
  <c r="E304" i="12787"/>
  <c r="E333" i="12787"/>
  <c r="H333" i="12787" s="1"/>
  <c r="E392" i="12787"/>
  <c r="G392" i="12787" s="1"/>
  <c r="E421" i="12787"/>
  <c r="G421" i="12787" s="1"/>
  <c r="I216" i="12787"/>
  <c r="I244" i="12787"/>
  <c r="K244" i="12787" s="1"/>
  <c r="I302" i="12787"/>
  <c r="K302" i="12787" s="1"/>
  <c r="I331" i="12787"/>
  <c r="K331" i="12787" s="1"/>
  <c r="I390" i="12787"/>
  <c r="I419" i="12787"/>
  <c r="K419" i="12787" s="1"/>
  <c r="I160" i="12787"/>
  <c r="I303" i="12787" s="1"/>
  <c r="I161" i="12787"/>
  <c r="I218" i="12787" s="1"/>
  <c r="I227" i="12787" s="1"/>
  <c r="I246" i="12787"/>
  <c r="I333" i="12787"/>
  <c r="K333" i="12787" s="1"/>
  <c r="I421" i="12787"/>
  <c r="K421" i="12787" s="1"/>
  <c r="C183" i="12787"/>
  <c r="G325" i="12787"/>
  <c r="O153" i="12787"/>
  <c r="C215" i="12787"/>
  <c r="E215" i="12787"/>
  <c r="E224" i="12787" s="1"/>
  <c r="E243" i="12787"/>
  <c r="E252" i="12787" s="1"/>
  <c r="G252" i="12787" s="1"/>
  <c r="C243" i="12787"/>
  <c r="E301" i="12787"/>
  <c r="H301" i="12787" s="1"/>
  <c r="E330" i="12787"/>
  <c r="H330" i="12787" s="1"/>
  <c r="E389" i="12787"/>
  <c r="G389" i="12787" s="1"/>
  <c r="E418" i="12787"/>
  <c r="E427" i="12787" s="1"/>
  <c r="G427" i="12787" s="1"/>
  <c r="I215" i="12787"/>
  <c r="I224" i="12787" s="1"/>
  <c r="I243" i="12787"/>
  <c r="I301" i="12787"/>
  <c r="K301" i="12787" s="1"/>
  <c r="I330" i="12787"/>
  <c r="K330" i="12787" s="1"/>
  <c r="I389" i="12787"/>
  <c r="K389" i="12787" s="1"/>
  <c r="I418" i="12787"/>
  <c r="K418" i="12787" s="1"/>
  <c r="C184" i="12787"/>
  <c r="C268" i="12787"/>
  <c r="D268" i="12787"/>
  <c r="G297" i="12787"/>
  <c r="G326" i="12787"/>
  <c r="O154" i="12787"/>
  <c r="C269" i="12787"/>
  <c r="D269" i="12787"/>
  <c r="G298" i="12787"/>
  <c r="O155" i="12787"/>
  <c r="C271" i="12787"/>
  <c r="C388" i="12787"/>
  <c r="C359" i="12787" s="1"/>
  <c r="D271" i="12787"/>
  <c r="D416" i="12787"/>
  <c r="D358" i="12787" s="1"/>
  <c r="C272" i="12787"/>
  <c r="C360" i="12787"/>
  <c r="D272" i="12787"/>
  <c r="G301" i="12787"/>
  <c r="G418" i="12787"/>
  <c r="O158" i="12787"/>
  <c r="G390" i="12787"/>
  <c r="O159" i="12787"/>
  <c r="C362" i="12787"/>
  <c r="O160" i="12787"/>
  <c r="C363" i="12787"/>
  <c r="G333" i="12787"/>
  <c r="O161" i="12787"/>
  <c r="C219" i="12787"/>
  <c r="C247" i="12787"/>
  <c r="C191" i="12787" s="1"/>
  <c r="C276" i="12787"/>
  <c r="C364" i="12787"/>
  <c r="E219" i="12787"/>
  <c r="G219" i="12787" s="1"/>
  <c r="E247" i="12787"/>
  <c r="E305" i="12787"/>
  <c r="G305" i="12787" s="1"/>
  <c r="E334" i="12787"/>
  <c r="G334" i="12787" s="1"/>
  <c r="E393" i="12787"/>
  <c r="G393" i="12787" s="1"/>
  <c r="E422" i="12787"/>
  <c r="G422" i="12787" s="1"/>
  <c r="I219" i="12787"/>
  <c r="K219" i="12787" s="1"/>
  <c r="I247" i="12787"/>
  <c r="I256" i="12787" s="1"/>
  <c r="K256" i="12787" s="1"/>
  <c r="I305" i="12787"/>
  <c r="K305" i="12787" s="1"/>
  <c r="I334" i="12787"/>
  <c r="K334" i="12787" s="1"/>
  <c r="I393" i="12787"/>
  <c r="K393" i="12787" s="1"/>
  <c r="I422" i="12787"/>
  <c r="K422" i="12787" s="1"/>
  <c r="O162" i="12787"/>
  <c r="C221" i="12787"/>
  <c r="C193" i="12787" s="1"/>
  <c r="C164" i="12787" s="1"/>
  <c r="E164" i="12787"/>
  <c r="E221" i="12787"/>
  <c r="E249" i="12787"/>
  <c r="G249" i="12787" s="1"/>
  <c r="E307" i="12787"/>
  <c r="G307" i="12787" s="1"/>
  <c r="E336" i="12787"/>
  <c r="G336" i="12787" s="1"/>
  <c r="E395" i="12787"/>
  <c r="G395" i="12787" s="1"/>
  <c r="E424" i="12787"/>
  <c r="G424" i="12787" s="1"/>
  <c r="H221" i="12787"/>
  <c r="H336" i="12787"/>
  <c r="D395" i="12787"/>
  <c r="D424" i="12787"/>
  <c r="I164" i="12787"/>
  <c r="I221" i="12787"/>
  <c r="I249" i="12787"/>
  <c r="K249" i="12787" s="1"/>
  <c r="I307" i="12787"/>
  <c r="K307" i="12787" s="1"/>
  <c r="I336" i="12787"/>
  <c r="K336" i="12787" s="1"/>
  <c r="I424" i="12787"/>
  <c r="K424" i="12787" s="1"/>
  <c r="C222" i="12787"/>
  <c r="C194" i="12787" s="1"/>
  <c r="C165" i="12787" s="1"/>
  <c r="E165" i="12787"/>
  <c r="E222" i="12787"/>
  <c r="G222" i="12787" s="1"/>
  <c r="E250" i="12787"/>
  <c r="G250" i="12787" s="1"/>
  <c r="E308" i="12787"/>
  <c r="G308" i="12787" s="1"/>
  <c r="E337" i="12787"/>
  <c r="G337" i="12787" s="1"/>
  <c r="E396" i="12787"/>
  <c r="G396" i="12787" s="1"/>
  <c r="E425" i="12787"/>
  <c r="G425" i="12787" s="1"/>
  <c r="H222" i="12787"/>
  <c r="D396" i="12787"/>
  <c r="D425" i="12787"/>
  <c r="I165" i="12787"/>
  <c r="C223" i="12787"/>
  <c r="C195" i="12787" s="1"/>
  <c r="C166" i="12787" s="1"/>
  <c r="E166" i="12787"/>
  <c r="E223" i="12787"/>
  <c r="G223" i="12787" s="1"/>
  <c r="E251" i="12787"/>
  <c r="G251" i="12787" s="1"/>
  <c r="E309" i="12787"/>
  <c r="G309" i="12787" s="1"/>
  <c r="E338" i="12787"/>
  <c r="G338" i="12787" s="1"/>
  <c r="E397" i="12787"/>
  <c r="G397" i="12787" s="1"/>
  <c r="E426" i="12787"/>
  <c r="G426" i="12787" s="1"/>
  <c r="I166" i="12787"/>
  <c r="I223" i="12787"/>
  <c r="I251" i="12787"/>
  <c r="K251" i="12787" s="1"/>
  <c r="I309" i="12787"/>
  <c r="K309" i="12787" s="1"/>
  <c r="I338" i="12787"/>
  <c r="K338" i="12787" s="1"/>
  <c r="I397" i="12787"/>
  <c r="K397" i="12787" s="1"/>
  <c r="I426" i="12787"/>
  <c r="K426" i="12787" s="1"/>
  <c r="C224" i="12787"/>
  <c r="C196" i="12787" s="1"/>
  <c r="C167" i="12787" s="1"/>
  <c r="E167" i="12787"/>
  <c r="E310" i="12787"/>
  <c r="G310" i="12787" s="1"/>
  <c r="E398" i="12787"/>
  <c r="G398" i="12787" s="1"/>
  <c r="D427" i="12787"/>
  <c r="I167" i="12787"/>
  <c r="I252" i="12787"/>
  <c r="K252" i="12787" s="1"/>
  <c r="I339" i="12787"/>
  <c r="K339" i="12787" s="1"/>
  <c r="I427" i="12787"/>
  <c r="K427" i="12787" s="1"/>
  <c r="C225" i="12787"/>
  <c r="C197" i="12787"/>
  <c r="C168" i="12787" s="1"/>
  <c r="E168" i="12787"/>
  <c r="E225" i="12787"/>
  <c r="G225" i="12787" s="1"/>
  <c r="E253" i="12787"/>
  <c r="G253" i="12787" s="1"/>
  <c r="E311" i="12787"/>
  <c r="G311" i="12787" s="1"/>
  <c r="E340" i="12787"/>
  <c r="G340" i="12787" s="1"/>
  <c r="E399" i="12787"/>
  <c r="G399" i="12787" s="1"/>
  <c r="E428" i="12787"/>
  <c r="G428" i="12787" s="1"/>
  <c r="H340" i="12787"/>
  <c r="D428" i="12787"/>
  <c r="H428" i="12787" s="1"/>
  <c r="I168" i="12787"/>
  <c r="I225" i="12787"/>
  <c r="K225" i="12787" s="1"/>
  <c r="I253" i="12787"/>
  <c r="K253" i="12787" s="1"/>
  <c r="I311" i="12787"/>
  <c r="K311" i="12787" s="1"/>
  <c r="I340" i="12787"/>
  <c r="K340" i="12787" s="1"/>
  <c r="I399" i="12787"/>
  <c r="K399" i="12787" s="1"/>
  <c r="I428" i="12787"/>
  <c r="K428" i="12787" s="1"/>
  <c r="C226" i="12787"/>
  <c r="C198" i="12787" s="1"/>
  <c r="C169" i="12787" s="1"/>
  <c r="E169" i="12787"/>
  <c r="E226" i="12787"/>
  <c r="G226" i="12787" s="1"/>
  <c r="E254" i="12787"/>
  <c r="G254" i="12787" s="1"/>
  <c r="E312" i="12787"/>
  <c r="G312" i="12787" s="1"/>
  <c r="E341" i="12787"/>
  <c r="E400" i="12787"/>
  <c r="G400" i="12787" s="1"/>
  <c r="D429" i="12787"/>
  <c r="I169" i="12787"/>
  <c r="E170" i="12787"/>
  <c r="E227" i="12787"/>
  <c r="E255" i="12787"/>
  <c r="G255" i="12787" s="1"/>
  <c r="E313" i="12787"/>
  <c r="G313" i="12787" s="1"/>
  <c r="E342" i="12787"/>
  <c r="E401" i="12787"/>
  <c r="G401" i="12787" s="1"/>
  <c r="E430" i="12787"/>
  <c r="G430" i="12787" s="1"/>
  <c r="D430" i="12787"/>
  <c r="I170" i="12787"/>
  <c r="I255" i="12787"/>
  <c r="K255" i="12787"/>
  <c r="I342" i="12787"/>
  <c r="K342" i="12787" s="1"/>
  <c r="I430" i="12787"/>
  <c r="K430" i="12787"/>
  <c r="C228" i="12787"/>
  <c r="C200" i="12787" s="1"/>
  <c r="C171" i="12787" s="1"/>
  <c r="E171" i="12787"/>
  <c r="E228" i="12787"/>
  <c r="G228" i="12787" s="1"/>
  <c r="E256" i="12787"/>
  <c r="G256" i="12787" s="1"/>
  <c r="E314" i="12787"/>
  <c r="G314" i="12787"/>
  <c r="E402" i="12787"/>
  <c r="G402" i="12787" s="1"/>
  <c r="E431" i="12787"/>
  <c r="G431" i="12787" s="1"/>
  <c r="D431" i="12787"/>
  <c r="I171" i="12787"/>
  <c r="I228" i="12787"/>
  <c r="K228" i="12787" s="1"/>
  <c r="I314" i="12787"/>
  <c r="K314" i="12787" s="1"/>
  <c r="I402" i="12787"/>
  <c r="K402" i="12787" s="1"/>
  <c r="C229" i="12787"/>
  <c r="C201" i="12787" s="1"/>
  <c r="C172" i="12787" s="1"/>
  <c r="E172" i="12787"/>
  <c r="E229" i="12787" s="1"/>
  <c r="D403" i="12787"/>
  <c r="D432" i="12787"/>
  <c r="I172" i="12787"/>
  <c r="I229" i="12787" s="1"/>
  <c r="C230" i="12787"/>
  <c r="C202" i="12787" s="1"/>
  <c r="C173" i="12787" s="1"/>
  <c r="E173" i="12787"/>
  <c r="E230" i="12787" s="1"/>
  <c r="D433" i="12787"/>
  <c r="I173" i="12787"/>
  <c r="I230" i="12787" s="1"/>
  <c r="D203" i="12787"/>
  <c r="D288" i="12787"/>
  <c r="D290" i="12787" s="1"/>
  <c r="D376" i="12787"/>
  <c r="D204" i="12787"/>
  <c r="D289" i="12787"/>
  <c r="D377" i="12787"/>
  <c r="H204" i="12787"/>
  <c r="H289" i="12787"/>
  <c r="H377" i="12787"/>
  <c r="E183" i="12787"/>
  <c r="E193" i="12787" s="1"/>
  <c r="I183" i="12787"/>
  <c r="I193" i="12787" s="1"/>
  <c r="E184" i="12787"/>
  <c r="E194" i="12787" s="1"/>
  <c r="I184" i="12787"/>
  <c r="I194" i="12787" s="1"/>
  <c r="E185" i="12787"/>
  <c r="E195" i="12787" s="1"/>
  <c r="I185" i="12787"/>
  <c r="I195" i="12787" s="1"/>
  <c r="E187" i="12787"/>
  <c r="I187" i="12787"/>
  <c r="I196" i="12787" s="1"/>
  <c r="E188" i="12787"/>
  <c r="E197" i="12787" s="1"/>
  <c r="I188" i="12787"/>
  <c r="I197" i="12787" s="1"/>
  <c r="I189" i="12787"/>
  <c r="I198" i="12787" s="1"/>
  <c r="E190" i="12787"/>
  <c r="E199" i="12787" s="1"/>
  <c r="I190" i="12787"/>
  <c r="E191" i="12787"/>
  <c r="E200" i="12787" s="1"/>
  <c r="I191" i="12787"/>
  <c r="I200" i="12787" s="1"/>
  <c r="E196" i="12787"/>
  <c r="E198" i="12787"/>
  <c r="I199" i="12787"/>
  <c r="C214" i="12787"/>
  <c r="D214" i="12787"/>
  <c r="D233" i="12787"/>
  <c r="D261" i="12787"/>
  <c r="E267" i="12787"/>
  <c r="I267" i="12787"/>
  <c r="E268" i="12787"/>
  <c r="I268" i="12787"/>
  <c r="E269" i="12787"/>
  <c r="I269" i="12787"/>
  <c r="E272" i="12787"/>
  <c r="I272" i="12787"/>
  <c r="E273" i="12787"/>
  <c r="I273" i="12787"/>
  <c r="E274" i="12787"/>
  <c r="I274" i="12787"/>
  <c r="E275" i="12787"/>
  <c r="I275" i="12787"/>
  <c r="E276" i="12787"/>
  <c r="I276" i="12787"/>
  <c r="E278" i="12787"/>
  <c r="I278" i="12787"/>
  <c r="E279" i="12787"/>
  <c r="I279" i="12787"/>
  <c r="E280" i="12787"/>
  <c r="I280" i="12787"/>
  <c r="E281" i="12787"/>
  <c r="I281" i="12787"/>
  <c r="E282" i="12787"/>
  <c r="I282" i="12787"/>
  <c r="E283" i="12787"/>
  <c r="I283" i="12787"/>
  <c r="E284" i="12787"/>
  <c r="I284" i="12787"/>
  <c r="E285" i="12787"/>
  <c r="I285" i="12787"/>
  <c r="E286" i="12787"/>
  <c r="C299" i="12787"/>
  <c r="D299" i="12787" s="1"/>
  <c r="D319" i="12787"/>
  <c r="C328" i="12787"/>
  <c r="D328" i="12787" s="1"/>
  <c r="D348" i="12787"/>
  <c r="C355" i="12787"/>
  <c r="E355" i="12787"/>
  <c r="I355" i="12787"/>
  <c r="E356" i="12787"/>
  <c r="I356" i="12787"/>
  <c r="E357" i="12787"/>
  <c r="I357" i="12787"/>
  <c r="C416" i="12787"/>
  <c r="C358" i="12787" s="1"/>
  <c r="D388" i="12787"/>
  <c r="D359" i="12787" s="1"/>
  <c r="E360" i="12787"/>
  <c r="I360" i="12787"/>
  <c r="E361" i="12787"/>
  <c r="I361" i="12787"/>
  <c r="E362" i="12787"/>
  <c r="I362" i="12787"/>
  <c r="E363" i="12787"/>
  <c r="I363" i="12787"/>
  <c r="E364" i="12787"/>
  <c r="I364" i="12787"/>
  <c r="E366" i="12787"/>
  <c r="I366" i="12787"/>
  <c r="E367" i="12787"/>
  <c r="I367" i="12787"/>
  <c r="E368" i="12787"/>
  <c r="I368" i="12787"/>
  <c r="E369" i="12787"/>
  <c r="I369" i="12787"/>
  <c r="E370" i="12787"/>
  <c r="I370" i="12787"/>
  <c r="E371" i="12787"/>
  <c r="I371" i="12787"/>
  <c r="E372" i="12787"/>
  <c r="I372" i="12787"/>
  <c r="E373" i="12787"/>
  <c r="I373" i="12787"/>
  <c r="E374" i="12787"/>
  <c r="D407" i="12787"/>
  <c r="D436" i="12787"/>
  <c r="E443" i="12787"/>
  <c r="G443" i="12787" s="1"/>
  <c r="H443" i="12787"/>
  <c r="I443" i="12766"/>
  <c r="I443" i="12787" s="1"/>
  <c r="K443" i="12787" s="1"/>
  <c r="E444" i="12787"/>
  <c r="G444" i="12787" s="1"/>
  <c r="H444" i="12787"/>
  <c r="I444" i="12766"/>
  <c r="I444" i="12787" s="1"/>
  <c r="K444" i="12787" s="1"/>
  <c r="E445" i="12787"/>
  <c r="G445" i="12787" s="1"/>
  <c r="H445" i="12787"/>
  <c r="I445" i="12766"/>
  <c r="I445" i="12787" s="1"/>
  <c r="K445" i="12787" s="1"/>
  <c r="C446" i="12787"/>
  <c r="D446" i="12787"/>
  <c r="E447" i="12787"/>
  <c r="G447" i="12787" s="1"/>
  <c r="H447" i="12787"/>
  <c r="I447" i="12766"/>
  <c r="I447" i="12787" s="1"/>
  <c r="K447" i="12787" s="1"/>
  <c r="E448" i="12787"/>
  <c r="G448" i="12787" s="1"/>
  <c r="H448" i="12787"/>
  <c r="I448" i="12766"/>
  <c r="I448" i="12787" s="1"/>
  <c r="K448" i="12787" s="1"/>
  <c r="E450" i="12787"/>
  <c r="G450" i="12787" s="1"/>
  <c r="H450" i="12787"/>
  <c r="I450" i="12766"/>
  <c r="I450" i="12787" s="1"/>
  <c r="K450" i="12787" s="1"/>
  <c r="E452" i="12787"/>
  <c r="G452" i="12787" s="1"/>
  <c r="H452" i="12787"/>
  <c r="I452" i="12766"/>
  <c r="I452" i="12787" s="1"/>
  <c r="K452" i="12787" s="1"/>
  <c r="E453" i="12787"/>
  <c r="G453" i="12787" s="1"/>
  <c r="H453" i="12787"/>
  <c r="I491" i="12766"/>
  <c r="I453" i="12766" s="1"/>
  <c r="E454" i="12787"/>
  <c r="G454" i="12787" s="1"/>
  <c r="H454" i="12787"/>
  <c r="I454" i="12787"/>
  <c r="K454" i="12787" s="1"/>
  <c r="E455" i="12787"/>
  <c r="G455" i="12787" s="1"/>
  <c r="H455" i="12787"/>
  <c r="I455" i="12787"/>
  <c r="K455" i="12787" s="1"/>
  <c r="E494" i="12787"/>
  <c r="E457" i="12787" s="1"/>
  <c r="G457" i="12787" s="1"/>
  <c r="H457" i="12787"/>
  <c r="E495" i="12787"/>
  <c r="E458" i="12787" s="1"/>
  <c r="G458" i="12787" s="1"/>
  <c r="H458" i="12787"/>
  <c r="E496" i="12787"/>
  <c r="E459" i="12787" s="1"/>
  <c r="G459" i="12787" s="1"/>
  <c r="H459" i="12787"/>
  <c r="E497" i="12787"/>
  <c r="E460" i="12787" s="1"/>
  <c r="G460" i="12787" s="1"/>
  <c r="H460" i="12787"/>
  <c r="E498" i="12787"/>
  <c r="E461" i="12787" s="1"/>
  <c r="G461" i="12787" s="1"/>
  <c r="H461" i="12787"/>
  <c r="E499" i="12787"/>
  <c r="E462" i="12787" s="1"/>
  <c r="G462" i="12787" s="1"/>
  <c r="H462" i="12787"/>
  <c r="E501" i="12787"/>
  <c r="E463" i="12787" s="1"/>
  <c r="G463" i="12787" s="1"/>
  <c r="H463" i="12787"/>
  <c r="E502" i="12787"/>
  <c r="E464" i="12787" s="1"/>
  <c r="G464" i="12787" s="1"/>
  <c r="H464" i="12787"/>
  <c r="E503" i="12787"/>
  <c r="E465" i="12787" s="1"/>
  <c r="G465" i="12787" s="1"/>
  <c r="H465" i="12787"/>
  <c r="I465" i="12787"/>
  <c r="K465" i="12787" s="1"/>
  <c r="E466" i="12787"/>
  <c r="G466" i="12787" s="1"/>
  <c r="H466" i="12787"/>
  <c r="I466" i="12787"/>
  <c r="K466" i="12787" s="1"/>
  <c r="G467" i="12787"/>
  <c r="H467" i="12787"/>
  <c r="K467" i="12787"/>
  <c r="G468" i="12787"/>
  <c r="H468" i="12787"/>
  <c r="K468" i="12787"/>
  <c r="I469" i="12766"/>
  <c r="I469" i="12787" s="1"/>
  <c r="K469" i="12787" s="1"/>
  <c r="E470" i="12787"/>
  <c r="H471" i="12787"/>
  <c r="C472" i="12787"/>
  <c r="C474" i="12787" s="1"/>
  <c r="D472" i="12787"/>
  <c r="D474" i="12787" s="1"/>
  <c r="C514" i="12787"/>
  <c r="C548" i="12787"/>
  <c r="C480" i="12787" s="1"/>
  <c r="D480" i="12787"/>
  <c r="E514" i="12787"/>
  <c r="G514" i="12787" s="1"/>
  <c r="E548" i="12787"/>
  <c r="I514" i="12787"/>
  <c r="I528" i="12787" s="1"/>
  <c r="K528" i="12787" s="1"/>
  <c r="I548" i="12787"/>
  <c r="M480" i="12787"/>
  <c r="O480" i="12787"/>
  <c r="C518" i="12787"/>
  <c r="E518" i="12787"/>
  <c r="E552" i="12787"/>
  <c r="E565" i="12787" s="1"/>
  <c r="G565" i="12787" s="1"/>
  <c r="C558" i="12787"/>
  <c r="C559" i="12787" s="1"/>
  <c r="C574" i="12787" s="1"/>
  <c r="C552" i="12787"/>
  <c r="C484" i="12787" s="1"/>
  <c r="C519" i="12787"/>
  <c r="E519" i="12787"/>
  <c r="E532" i="12787" s="1"/>
  <c r="G532" i="12787" s="1"/>
  <c r="E553" i="12787"/>
  <c r="C553" i="12787"/>
  <c r="I515" i="12787"/>
  <c r="C515" i="12787"/>
  <c r="I549" i="12787"/>
  <c r="C549" i="12787"/>
  <c r="I516" i="12787"/>
  <c r="I530" i="12787" s="1"/>
  <c r="C516" i="12787"/>
  <c r="K516" i="12787" s="1"/>
  <c r="I550" i="12787"/>
  <c r="I564" i="12787" s="1"/>
  <c r="K564" i="12787" s="1"/>
  <c r="C550" i="12787"/>
  <c r="I518" i="12787"/>
  <c r="I552" i="12787"/>
  <c r="I519" i="12787"/>
  <c r="I553" i="12787"/>
  <c r="E515" i="12787"/>
  <c r="E549" i="12787"/>
  <c r="E516" i="12787"/>
  <c r="E550" i="12787"/>
  <c r="H550" i="12787" s="1"/>
  <c r="D481" i="12787"/>
  <c r="M481" i="12787"/>
  <c r="O481" i="12787"/>
  <c r="D482" i="12787"/>
  <c r="D483" i="12787" s="1"/>
  <c r="O482" i="12787"/>
  <c r="E524" i="12787"/>
  <c r="E535" i="12787" s="1"/>
  <c r="G535" i="12787" s="1"/>
  <c r="E558" i="12787"/>
  <c r="E525" i="12787"/>
  <c r="E559" i="12787"/>
  <c r="I524" i="12787"/>
  <c r="I535" i="12787" s="1"/>
  <c r="K535" i="12787" s="1"/>
  <c r="I558" i="12787"/>
  <c r="I491" i="12787"/>
  <c r="O491" i="12787" s="1"/>
  <c r="C521" i="12787"/>
  <c r="E521" i="12787"/>
  <c r="E522" i="12787" s="1"/>
  <c r="E555" i="12787"/>
  <c r="E567" i="12787" s="1"/>
  <c r="C555" i="12787"/>
  <c r="E556" i="12787"/>
  <c r="G556" i="12787" s="1"/>
  <c r="I521" i="12787"/>
  <c r="I533" i="12787" s="1"/>
  <c r="I555" i="12787"/>
  <c r="O484" i="12787"/>
  <c r="O485" i="12787"/>
  <c r="O487" i="12787"/>
  <c r="C488" i="12787"/>
  <c r="E488" i="12787"/>
  <c r="E500" i="12787" s="1"/>
  <c r="I488" i="12787"/>
  <c r="O490" i="12787"/>
  <c r="C526" i="12787"/>
  <c r="C560" i="12787"/>
  <c r="E526" i="12787"/>
  <c r="G526" i="12787" s="1"/>
  <c r="E560" i="12787"/>
  <c r="E571" i="12787" s="1"/>
  <c r="I526" i="12787"/>
  <c r="K526" i="12787" s="1"/>
  <c r="I560" i="12787"/>
  <c r="O492" i="12787"/>
  <c r="C494" i="12787"/>
  <c r="D494" i="12787"/>
  <c r="E562" i="12787"/>
  <c r="I494" i="12787"/>
  <c r="I562" i="12787"/>
  <c r="K562" i="12787" s="1"/>
  <c r="C529" i="12787"/>
  <c r="C495" i="12787" s="1"/>
  <c r="D495" i="12787"/>
  <c r="I495" i="12787"/>
  <c r="I529" i="12787"/>
  <c r="I563" i="12787"/>
  <c r="K563" i="12787" s="1"/>
  <c r="C530" i="12787"/>
  <c r="C496" i="12787" s="1"/>
  <c r="D496" i="12787"/>
  <c r="I496" i="12787"/>
  <c r="C531" i="12787"/>
  <c r="C497" i="12787" s="1"/>
  <c r="E531" i="12787"/>
  <c r="I497" i="12787"/>
  <c r="I531" i="12787"/>
  <c r="C498" i="12787"/>
  <c r="E566" i="12787"/>
  <c r="G566" i="12787" s="1"/>
  <c r="I498" i="12787"/>
  <c r="I532" i="12787"/>
  <c r="K532" i="12787" s="1"/>
  <c r="C533" i="12787"/>
  <c r="C567" i="12787"/>
  <c r="I499" i="12787"/>
  <c r="C500" i="12787"/>
  <c r="C535" i="12787"/>
  <c r="C536" i="12787" s="1"/>
  <c r="C569" i="12787"/>
  <c r="I501" i="12787"/>
  <c r="E536" i="12787"/>
  <c r="C537" i="12787"/>
  <c r="C571" i="12787"/>
  <c r="C503" i="12787" s="1"/>
  <c r="I503" i="12787"/>
  <c r="C538" i="12787"/>
  <c r="C572" i="12787"/>
  <c r="D504" i="12787"/>
  <c r="E504" i="12787"/>
  <c r="E538" i="12787" s="1"/>
  <c r="I504" i="12787"/>
  <c r="I538" i="12787" s="1"/>
  <c r="C539" i="12787"/>
  <c r="C573" i="12787"/>
  <c r="E505" i="12787"/>
  <c r="E539" i="12787" s="1"/>
  <c r="G539" i="12787" s="1"/>
  <c r="I505" i="12787"/>
  <c r="I539" i="12787" s="1"/>
  <c r="D506" i="12787"/>
  <c r="D507" i="12787"/>
  <c r="H507" i="12787"/>
  <c r="D517" i="12787"/>
  <c r="D551" i="12787"/>
  <c r="C633" i="12787"/>
  <c r="C582" i="12787" s="1"/>
  <c r="D582" i="12787"/>
  <c r="E633" i="12787"/>
  <c r="E684" i="12787"/>
  <c r="G684" i="12787" s="1"/>
  <c r="I582" i="12787"/>
  <c r="I633" i="12787" s="1"/>
  <c r="E635" i="12787"/>
  <c r="H635" i="12787" s="1"/>
  <c r="E686" i="12787"/>
  <c r="H686" i="12787" s="1"/>
  <c r="E636" i="12787"/>
  <c r="H636" i="12787" s="1"/>
  <c r="E687" i="12787"/>
  <c r="H687" i="12787" s="1"/>
  <c r="E637" i="12787"/>
  <c r="H637" i="12787" s="1"/>
  <c r="E688" i="12787"/>
  <c r="H688" i="12787" s="1"/>
  <c r="E642" i="12787"/>
  <c r="H642" i="12787" s="1"/>
  <c r="E693" i="12787"/>
  <c r="G693" i="12787" s="1"/>
  <c r="C704" i="12787"/>
  <c r="C727" i="12787" s="1"/>
  <c r="E644" i="12787"/>
  <c r="H644" i="12787" s="1"/>
  <c r="E695" i="12787"/>
  <c r="E714" i="12787" s="1"/>
  <c r="G714" i="12787" s="1"/>
  <c r="C695" i="12787"/>
  <c r="E645" i="12787"/>
  <c r="H645" i="12787" s="1"/>
  <c r="E696" i="12787"/>
  <c r="G696" i="12787" s="1"/>
  <c r="C696" i="12787"/>
  <c r="E646" i="12787"/>
  <c r="H646" i="12787" s="1"/>
  <c r="E697" i="12787"/>
  <c r="C697" i="12787"/>
  <c r="E647" i="12787"/>
  <c r="H647" i="12787" s="1"/>
  <c r="E698" i="12787"/>
  <c r="H698" i="12787" s="1"/>
  <c r="E648" i="12787"/>
  <c r="H648" i="12787" s="1"/>
  <c r="E699" i="12787"/>
  <c r="H699" i="12787" s="1"/>
  <c r="I635" i="12787"/>
  <c r="C635" i="12787"/>
  <c r="I686" i="12787"/>
  <c r="K686" i="12787" s="1"/>
  <c r="I585" i="12787"/>
  <c r="I636" i="12787" s="1"/>
  <c r="C636" i="12787"/>
  <c r="C585" i="12787" s="1"/>
  <c r="I687" i="12787"/>
  <c r="K687" i="12787" s="1"/>
  <c r="I586" i="12787"/>
  <c r="I637" i="12787" s="1"/>
  <c r="C637" i="12787"/>
  <c r="I688" i="12787"/>
  <c r="K688" i="12787" s="1"/>
  <c r="I591" i="12787"/>
  <c r="K589" i="12787" s="1"/>
  <c r="C642" i="12787"/>
  <c r="C591" i="12787" s="1"/>
  <c r="I593" i="12787"/>
  <c r="I644" i="12787" s="1"/>
  <c r="C644" i="12787"/>
  <c r="I695" i="12787"/>
  <c r="K695" i="12787" s="1"/>
  <c r="I594" i="12787"/>
  <c r="I645" i="12787" s="1"/>
  <c r="C645" i="12787"/>
  <c r="G645" i="12787" s="1"/>
  <c r="I696" i="12787"/>
  <c r="K696" i="12787" s="1"/>
  <c r="I595" i="12787"/>
  <c r="I646" i="12787" s="1"/>
  <c r="C646" i="12787"/>
  <c r="I697" i="12787"/>
  <c r="K697" i="12787" s="1"/>
  <c r="I596" i="12787"/>
  <c r="I647" i="12787" s="1"/>
  <c r="K647" i="12787" s="1"/>
  <c r="I698" i="12787"/>
  <c r="K698" i="12787" s="1"/>
  <c r="I597" i="12787"/>
  <c r="I648" i="12787" s="1"/>
  <c r="I699" i="12787"/>
  <c r="K699" i="12787" s="1"/>
  <c r="D584" i="12787"/>
  <c r="M584" i="12787" s="1"/>
  <c r="G686" i="12787"/>
  <c r="E653" i="12787"/>
  <c r="C653" i="12787"/>
  <c r="C676" i="12787" s="1"/>
  <c r="E704" i="12787"/>
  <c r="E723" i="12787" s="1"/>
  <c r="I602" i="12787"/>
  <c r="I653" i="12787" s="1"/>
  <c r="K653" i="12787" s="1"/>
  <c r="D585" i="12787"/>
  <c r="C586" i="12787"/>
  <c r="D586" i="12787"/>
  <c r="G637" i="12787"/>
  <c r="O586" i="12787"/>
  <c r="C689" i="12787"/>
  <c r="D587" i="12787"/>
  <c r="C639" i="12787"/>
  <c r="C690" i="12787"/>
  <c r="D588" i="12787"/>
  <c r="C640" i="12787"/>
  <c r="C691" i="12787"/>
  <c r="D589" i="12787"/>
  <c r="C593" i="12787"/>
  <c r="O595" i="12787"/>
  <c r="C596" i="12787"/>
  <c r="D596" i="12787"/>
  <c r="O596" i="12787"/>
  <c r="C597" i="12787"/>
  <c r="D597" i="12787"/>
  <c r="G648" i="12787"/>
  <c r="M597" i="12787"/>
  <c r="C599" i="12787"/>
  <c r="E599" i="12787"/>
  <c r="E650" i="12787"/>
  <c r="G650" i="12787" s="1"/>
  <c r="C600" i="12787"/>
  <c r="E600" i="12787"/>
  <c r="E619" i="12787" s="1"/>
  <c r="E651" i="12787"/>
  <c r="G651" i="12787" s="1"/>
  <c r="E702" i="12787"/>
  <c r="G702" i="12787" s="1"/>
  <c r="I600" i="12787"/>
  <c r="I619" i="12787" s="1"/>
  <c r="G704" i="12787"/>
  <c r="C654" i="12787"/>
  <c r="C705" i="12787"/>
  <c r="C603" i="12787"/>
  <c r="E654" i="12787"/>
  <c r="E705" i="12787"/>
  <c r="G705" i="12787" s="1"/>
  <c r="I654" i="12787"/>
  <c r="I705" i="12787"/>
  <c r="K705" i="12787" s="1"/>
  <c r="O603" i="12787"/>
  <c r="C605" i="12787"/>
  <c r="D605" i="12787"/>
  <c r="E605" i="12787"/>
  <c r="E707" i="12787"/>
  <c r="G707" i="12787" s="1"/>
  <c r="I605" i="12787"/>
  <c r="M605" i="12787" s="1"/>
  <c r="C607" i="12787"/>
  <c r="D607" i="12787"/>
  <c r="E607" i="12787"/>
  <c r="E658" i="12787"/>
  <c r="G658" i="12787" s="1"/>
  <c r="I607" i="12787"/>
  <c r="M607" i="12787" s="1"/>
  <c r="I658" i="12787"/>
  <c r="K658" i="12787"/>
  <c r="C608" i="12787"/>
  <c r="D608" i="12787"/>
  <c r="E608" i="12787"/>
  <c r="E659" i="12787"/>
  <c r="G659" i="12787" s="1"/>
  <c r="I608" i="12787"/>
  <c r="M608" i="12787" s="1"/>
  <c r="C609" i="12787"/>
  <c r="D609" i="12787"/>
  <c r="E609" i="12787"/>
  <c r="E660" i="12787"/>
  <c r="G660" i="12787" s="1"/>
  <c r="I609" i="12787"/>
  <c r="M609" i="12787" s="1"/>
  <c r="I711" i="12787"/>
  <c r="K711" i="12787"/>
  <c r="C610" i="12787"/>
  <c r="E610" i="12787"/>
  <c r="E661" i="12787"/>
  <c r="G661" i="12787"/>
  <c r="H661" i="12787"/>
  <c r="I610" i="12787"/>
  <c r="C612" i="12787"/>
  <c r="E612" i="12787"/>
  <c r="I714" i="12787"/>
  <c r="K714" i="12787" s="1"/>
  <c r="C613" i="12787"/>
  <c r="E613" i="12787"/>
  <c r="E664" i="12787"/>
  <c r="G664" i="12787" s="1"/>
  <c r="E715" i="12787"/>
  <c r="G715" i="12787" s="1"/>
  <c r="I613" i="12787"/>
  <c r="C614" i="12787"/>
  <c r="E614" i="12787"/>
  <c r="E665" i="12787"/>
  <c r="G665" i="12787" s="1"/>
  <c r="E716" i="12787"/>
  <c r="G716" i="12787" s="1"/>
  <c r="I614" i="12787"/>
  <c r="C615" i="12787"/>
  <c r="D615" i="12787"/>
  <c r="E615" i="12787"/>
  <c r="E666" i="12787"/>
  <c r="G666" i="12787" s="1"/>
  <c r="H666" i="12787"/>
  <c r="C616" i="12787"/>
  <c r="D616" i="12787"/>
  <c r="E616" i="12787"/>
  <c r="E667" i="12787"/>
  <c r="G667" i="12787" s="1"/>
  <c r="I616" i="12787"/>
  <c r="C618" i="12787"/>
  <c r="E618" i="12787"/>
  <c r="C619" i="12787"/>
  <c r="C723" i="12787"/>
  <c r="C621" i="12787" s="1"/>
  <c r="E621" i="12787"/>
  <c r="E672" i="12787"/>
  <c r="G672" i="12787" s="1"/>
  <c r="C622" i="12787"/>
  <c r="E622" i="12787"/>
  <c r="E673" i="12787"/>
  <c r="G673" i="12787" s="1"/>
  <c r="I622" i="12787"/>
  <c r="C725" i="12787"/>
  <c r="C623" i="12787" s="1"/>
  <c r="D623" i="12787"/>
  <c r="E623" i="12787"/>
  <c r="E674" i="12787" s="1"/>
  <c r="I623" i="12787"/>
  <c r="I674" i="12787" s="1"/>
  <c r="K674" i="12787" s="1"/>
  <c r="C726" i="12787"/>
  <c r="C624" i="12787" s="1"/>
  <c r="E624" i="12787"/>
  <c r="E675" i="12787" s="1"/>
  <c r="G675" i="12787" s="1"/>
  <c r="I624" i="12787"/>
  <c r="I675" i="12787" s="1"/>
  <c r="K675" i="12787" s="1"/>
  <c r="D625" i="12787"/>
  <c r="D627" i="12787" s="1"/>
  <c r="P34" i="12775"/>
  <c r="P35" i="12775"/>
  <c r="D626" i="12787"/>
  <c r="H626" i="12787"/>
  <c r="D678" i="12787"/>
  <c r="D729" i="12787"/>
  <c r="E794" i="12787"/>
  <c r="E735" i="12787" s="1"/>
  <c r="I735" i="12787"/>
  <c r="K735" i="12787" s="1"/>
  <c r="E795" i="12787"/>
  <c r="E736" i="12787" s="1"/>
  <c r="G736" i="12787" s="1"/>
  <c r="I736" i="12787"/>
  <c r="C737" i="12787"/>
  <c r="D737" i="12787"/>
  <c r="E737" i="12787"/>
  <c r="I737" i="12787"/>
  <c r="C738" i="12787"/>
  <c r="C758" i="12787"/>
  <c r="E797" i="12787"/>
  <c r="E738" i="12787" s="1"/>
  <c r="I738" i="12787"/>
  <c r="K738" i="12787" s="1"/>
  <c r="E798" i="12787"/>
  <c r="E739" i="12787" s="1"/>
  <c r="I739" i="12787"/>
  <c r="K739" i="12787" s="1"/>
  <c r="C740" i="12787"/>
  <c r="E799" i="12787"/>
  <c r="E740" i="12787" s="1"/>
  <c r="I740" i="12787"/>
  <c r="E801" i="12787"/>
  <c r="E742" i="12787" s="1"/>
  <c r="I742" i="12787"/>
  <c r="K742" i="12787" s="1"/>
  <c r="E802" i="12787"/>
  <c r="E743" i="12787" s="1"/>
  <c r="I743" i="12787"/>
  <c r="K743" i="12787" s="1"/>
  <c r="G744" i="12787"/>
  <c r="H744" i="12787"/>
  <c r="K744" i="12787"/>
  <c r="M744" i="12787"/>
  <c r="E745" i="12787"/>
  <c r="I745" i="12787"/>
  <c r="C747" i="12787"/>
  <c r="I748" i="12787"/>
  <c r="K748" i="12787" s="1"/>
  <c r="C749" i="12787"/>
  <c r="E749" i="12787"/>
  <c r="E811" i="12787"/>
  <c r="E753" i="12787" s="1"/>
  <c r="H753" i="12787" s="1"/>
  <c r="G753" i="12787"/>
  <c r="I783" i="12787"/>
  <c r="I811" i="12787" s="1"/>
  <c r="I753" i="12787" s="1"/>
  <c r="K753" i="12787" s="1"/>
  <c r="E812" i="12787"/>
  <c r="E754" i="12787" s="1"/>
  <c r="G754" i="12787" s="1"/>
  <c r="I784" i="12787"/>
  <c r="I812" i="12787" s="1"/>
  <c r="C822" i="12787"/>
  <c r="C824" i="12787" s="1"/>
  <c r="C850" i="12787"/>
  <c r="D794" i="12787"/>
  <c r="D766" i="12787" s="1"/>
  <c r="E877" i="12787"/>
  <c r="H877" i="12787" s="1"/>
  <c r="I822" i="12787"/>
  <c r="I850" i="12787"/>
  <c r="K877" i="12787"/>
  <c r="O766" i="12787"/>
  <c r="C851" i="12787"/>
  <c r="C795" i="12787" s="1"/>
  <c r="C767" i="12787" s="1"/>
  <c r="D795" i="12787"/>
  <c r="D767" i="12787" s="1"/>
  <c r="M767" i="12787" s="1"/>
  <c r="E851" i="12787"/>
  <c r="E878" i="12787"/>
  <c r="G878" i="12787"/>
  <c r="H878" i="12787"/>
  <c r="I823" i="12787"/>
  <c r="K823" i="12787" s="1"/>
  <c r="I851" i="12787"/>
  <c r="K878" i="12787"/>
  <c r="O767" i="12787"/>
  <c r="C825" i="12787"/>
  <c r="C797" i="12787" s="1"/>
  <c r="C769" i="12787" s="1"/>
  <c r="C829" i="12787"/>
  <c r="C841" i="12787" s="1"/>
  <c r="C857" i="12787"/>
  <c r="C853" i="12787"/>
  <c r="E880" i="12787"/>
  <c r="E889" i="12787" s="1"/>
  <c r="G889" i="12787" s="1"/>
  <c r="C826" i="12787"/>
  <c r="C854" i="12787"/>
  <c r="E881" i="12787"/>
  <c r="C896" i="12787"/>
  <c r="D881" i="12787" s="1"/>
  <c r="I825" i="12787"/>
  <c r="I853" i="12787"/>
  <c r="K880" i="12787"/>
  <c r="I826" i="12787"/>
  <c r="K826" i="12787" s="1"/>
  <c r="I854" i="12787"/>
  <c r="K881" i="12787"/>
  <c r="O769" i="12787"/>
  <c r="V769" i="12787"/>
  <c r="G881" i="12787"/>
  <c r="O770" i="12787"/>
  <c r="E827" i="12787"/>
  <c r="E836" i="12787" s="1"/>
  <c r="C827" i="12787"/>
  <c r="C855" i="12787"/>
  <c r="E882" i="12787"/>
  <c r="E891" i="12787" s="1"/>
  <c r="I827" i="12787"/>
  <c r="I855" i="12787"/>
  <c r="I864" i="12787" s="1"/>
  <c r="K864" i="12787" s="1"/>
  <c r="K882" i="12787"/>
  <c r="G882" i="12787"/>
  <c r="O771" i="12787"/>
  <c r="E857" i="12787"/>
  <c r="E865" i="12787" s="1"/>
  <c r="E884" i="12787"/>
  <c r="D884" i="12787"/>
  <c r="H884" i="12787" s="1"/>
  <c r="I829" i="12787"/>
  <c r="I857" i="12787"/>
  <c r="K857" i="12787" s="1"/>
  <c r="K884" i="12787"/>
  <c r="G857" i="12787"/>
  <c r="G884" i="12787"/>
  <c r="O773" i="12787"/>
  <c r="C830" i="12787"/>
  <c r="C858" i="12787"/>
  <c r="C802" i="12787" s="1"/>
  <c r="C774" i="12787" s="1"/>
  <c r="E885" i="12787"/>
  <c r="G885" i="12787" s="1"/>
  <c r="I830" i="12787"/>
  <c r="I838" i="12787" s="1"/>
  <c r="K838" i="12787" s="1"/>
  <c r="I858" i="12787"/>
  <c r="K885" i="12787"/>
  <c r="O774" i="12787"/>
  <c r="C804" i="12787"/>
  <c r="C776" i="12787" s="1"/>
  <c r="D804" i="12787"/>
  <c r="D776" i="12787" s="1"/>
  <c r="E776" i="12787"/>
  <c r="I776" i="12787"/>
  <c r="I860" i="12787"/>
  <c r="K860" i="12787" s="1"/>
  <c r="I887" i="12787"/>
  <c r="K887" i="12787" s="1"/>
  <c r="C861" i="12787"/>
  <c r="C805" i="12787" s="1"/>
  <c r="C777" i="12787" s="1"/>
  <c r="D805" i="12787"/>
  <c r="D777" i="12787" s="1"/>
  <c r="E777" i="12787"/>
  <c r="E888" i="12787"/>
  <c r="G888" i="12787" s="1"/>
  <c r="I777" i="12787"/>
  <c r="I861" i="12787"/>
  <c r="I888" i="12787"/>
  <c r="K888" i="12787" s="1"/>
  <c r="C806" i="12787"/>
  <c r="C778" i="12787" s="1"/>
  <c r="E778" i="12787"/>
  <c r="I778" i="12787"/>
  <c r="I889" i="12787"/>
  <c r="K889" i="12787" s="1"/>
  <c r="C863" i="12787"/>
  <c r="C807" i="12787" s="1"/>
  <c r="C890" i="12787"/>
  <c r="E779" i="12787"/>
  <c r="E890" i="12787"/>
  <c r="I779" i="12787"/>
  <c r="I890" i="12787"/>
  <c r="K890" i="12787" s="1"/>
  <c r="C836" i="12787"/>
  <c r="C864" i="12787"/>
  <c r="C808" i="12787" s="1"/>
  <c r="C780" i="12787" s="1"/>
  <c r="C891" i="12787"/>
  <c r="E780" i="12787"/>
  <c r="I780" i="12787"/>
  <c r="I891" i="12787"/>
  <c r="C837" i="12787"/>
  <c r="C865" i="12787"/>
  <c r="C892" i="12787"/>
  <c r="E781" i="12787"/>
  <c r="E892" i="12787"/>
  <c r="G892" i="12787" s="1"/>
  <c r="I781" i="12787"/>
  <c r="I837" i="12787"/>
  <c r="K837" i="12787" s="1"/>
  <c r="I892" i="12787"/>
  <c r="C838" i="12787"/>
  <c r="C866" i="12787"/>
  <c r="C810" i="12787" s="1"/>
  <c r="C782" i="12787" s="1"/>
  <c r="C893" i="12787"/>
  <c r="E782" i="12787"/>
  <c r="E893" i="12787"/>
  <c r="I782" i="12787"/>
  <c r="I866" i="12787"/>
  <c r="I893" i="12787"/>
  <c r="C839" i="12787"/>
  <c r="C867" i="12787"/>
  <c r="D811" i="12787"/>
  <c r="D783" i="12787" s="1"/>
  <c r="M783" i="12787" s="1"/>
  <c r="E839" i="12787"/>
  <c r="H839" i="12787" s="1"/>
  <c r="E867" i="12787"/>
  <c r="E894" i="12787"/>
  <c r="G894" i="12787" s="1"/>
  <c r="C840" i="12787"/>
  <c r="C895" i="12787"/>
  <c r="C868" i="12787" s="1"/>
  <c r="E868" i="12787"/>
  <c r="E895" i="12787"/>
  <c r="D813" i="12787"/>
  <c r="D785" i="12787" s="1"/>
  <c r="D814" i="12787"/>
  <c r="D786" i="12787" s="1"/>
  <c r="H814" i="12787"/>
  <c r="H786" i="12787" s="1"/>
  <c r="O795" i="12787"/>
  <c r="D796" i="12787"/>
  <c r="O798" i="12787"/>
  <c r="O801" i="12787"/>
  <c r="E804" i="12787"/>
  <c r="I804" i="12787"/>
  <c r="E805" i="12787"/>
  <c r="I805" i="12787"/>
  <c r="E806" i="12787"/>
  <c r="I806" i="12787"/>
  <c r="E807" i="12787"/>
  <c r="I807" i="12787"/>
  <c r="I808" i="12787"/>
  <c r="E809" i="12787"/>
  <c r="I809" i="12787"/>
  <c r="I810" i="12787"/>
  <c r="D824" i="12787"/>
  <c r="D852" i="12787"/>
  <c r="O878" i="12787"/>
  <c r="C879" i="12787"/>
  <c r="O881" i="12787"/>
  <c r="O882" i="12787"/>
  <c r="O884" i="12787"/>
  <c r="O885" i="12787"/>
  <c r="C904" i="12787"/>
  <c r="D904" i="12787" s="1"/>
  <c r="C905" i="12787"/>
  <c r="G905" i="12787" s="1"/>
  <c r="G906" i="12787"/>
  <c r="G907" i="12787"/>
  <c r="G908" i="12787"/>
  <c r="G909" i="12787"/>
  <c r="G910" i="12787"/>
  <c r="C911" i="12787"/>
  <c r="G911" i="12787" s="1"/>
  <c r="G912" i="12787"/>
  <c r="C913" i="12787"/>
  <c r="G913" i="12787" s="1"/>
  <c r="G915" i="12787"/>
  <c r="G916" i="12787"/>
  <c r="D906" i="12787"/>
  <c r="H906" i="12787" s="1"/>
  <c r="D907" i="12787"/>
  <c r="H907" i="12787" s="1"/>
  <c r="D908" i="12787"/>
  <c r="H908" i="12787" s="1"/>
  <c r="D909" i="12787"/>
  <c r="H909" i="12787" s="1"/>
  <c r="D910" i="12787"/>
  <c r="H910" i="12787" s="1"/>
  <c r="D912" i="12787"/>
  <c r="H912" i="12787" s="1"/>
  <c r="D915" i="12787"/>
  <c r="H915" i="12787" s="1"/>
  <c r="D916" i="12787"/>
  <c r="H916" i="12787" s="1"/>
  <c r="P906" i="12787"/>
  <c r="P908" i="12787"/>
  <c r="P910" i="12787"/>
  <c r="P915" i="12787"/>
  <c r="D917" i="12787"/>
  <c r="P917" i="12787" s="1"/>
  <c r="G917" i="12787"/>
  <c r="H917" i="12787"/>
  <c r="D918" i="12787"/>
  <c r="P918" i="12787" s="1"/>
  <c r="G918" i="12787"/>
  <c r="H918" i="12787"/>
  <c r="D919" i="12787"/>
  <c r="P919" i="12787" s="1"/>
  <c r="G919" i="12787"/>
  <c r="H919" i="12787"/>
  <c r="D920" i="12787"/>
  <c r="P920" i="12787" s="1"/>
  <c r="G920" i="12787"/>
  <c r="H920" i="12787"/>
  <c r="D921" i="12787"/>
  <c r="P921" i="12787" s="1"/>
  <c r="G921" i="12787"/>
  <c r="H921" i="12787"/>
  <c r="C922" i="12787"/>
  <c r="D43" i="12775"/>
  <c r="E43" i="12775"/>
  <c r="F43" i="12775"/>
  <c r="G43" i="12775"/>
  <c r="H43" i="12775"/>
  <c r="I43" i="12775"/>
  <c r="J43" i="12775"/>
  <c r="K43" i="12775"/>
  <c r="L43" i="12775"/>
  <c r="M43" i="12775"/>
  <c r="N43" i="12775"/>
  <c r="O43" i="12775"/>
  <c r="D925" i="12787"/>
  <c r="K930" i="12787"/>
  <c r="M930" i="12787" s="1"/>
  <c r="C934" i="12787"/>
  <c r="D931" i="12787" s="1"/>
  <c r="G931" i="12787"/>
  <c r="K931" i="12787"/>
  <c r="G932" i="12787"/>
  <c r="I932" i="12787"/>
  <c r="C933" i="12787"/>
  <c r="D936" i="12787"/>
  <c r="G941" i="12787"/>
  <c r="H941" i="12787"/>
  <c r="K941" i="12787"/>
  <c r="M941" i="12787" s="1"/>
  <c r="C968" i="12787"/>
  <c r="C942" i="12787" s="1"/>
  <c r="C969" i="12787"/>
  <c r="C943" i="12787" s="1"/>
  <c r="C982" i="12787"/>
  <c r="D979" i="12787" s="1"/>
  <c r="E968" i="12787"/>
  <c r="E979" i="12787"/>
  <c r="G979" i="12787" s="1"/>
  <c r="I939" i="12766"/>
  <c r="I942" i="12787" s="1"/>
  <c r="I943" i="12787" s="1"/>
  <c r="I979" i="12787"/>
  <c r="K979" i="12787" s="1"/>
  <c r="D980" i="12787"/>
  <c r="E943" i="12787"/>
  <c r="C954" i="12787"/>
  <c r="G954" i="12787" s="1"/>
  <c r="C955" i="12787"/>
  <c r="G955" i="12787" s="1"/>
  <c r="C956" i="12787"/>
  <c r="G956" i="12787" s="1"/>
  <c r="C957" i="12787"/>
  <c r="G957" i="12787" s="1"/>
  <c r="C958" i="12787"/>
  <c r="G958" i="12787" s="1"/>
  <c r="C959" i="12787"/>
  <c r="G959" i="12787" s="1"/>
  <c r="G962" i="12787"/>
  <c r="C963" i="12787"/>
  <c r="G963" i="12787" s="1"/>
  <c r="C964" i="12787"/>
  <c r="G964" i="12787" s="1"/>
  <c r="C965" i="12787"/>
  <c r="G965" i="12787" s="1"/>
  <c r="C966" i="12787"/>
  <c r="G966" i="12787" s="1"/>
  <c r="C970" i="12787"/>
  <c r="C944" i="12787" s="1"/>
  <c r="D944" i="12787"/>
  <c r="D945" i="12787"/>
  <c r="K952" i="12787"/>
  <c r="I954" i="12787"/>
  <c r="I955" i="12787"/>
  <c r="I956" i="12787"/>
  <c r="I957" i="12787"/>
  <c r="I958" i="12787"/>
  <c r="I959" i="12787"/>
  <c r="I962" i="12787"/>
  <c r="K962" i="12787" s="1"/>
  <c r="I963" i="12787"/>
  <c r="K963" i="12787" s="1"/>
  <c r="I964" i="12787"/>
  <c r="I965" i="12787"/>
  <c r="K965" i="12787" s="1"/>
  <c r="I966" i="12787"/>
  <c r="K978" i="12787"/>
  <c r="D946" i="12787"/>
  <c r="H946" i="12787"/>
  <c r="P954" i="12787"/>
  <c r="P955" i="12787"/>
  <c r="P956" i="12787"/>
  <c r="P957" i="12787"/>
  <c r="P958" i="12787"/>
  <c r="P959" i="12787"/>
  <c r="P962" i="12787"/>
  <c r="P963" i="12787"/>
  <c r="P964" i="12787"/>
  <c r="P965" i="12787"/>
  <c r="P966" i="12787"/>
  <c r="D973" i="12787"/>
  <c r="D984" i="12787"/>
  <c r="G989" i="12787"/>
  <c r="H989" i="12787"/>
  <c r="I989" i="12787"/>
  <c r="K989" i="12787" s="1"/>
  <c r="G990" i="12787"/>
  <c r="H990" i="12787"/>
  <c r="I990" i="12787"/>
  <c r="K990" i="12787" s="1"/>
  <c r="C991" i="12787"/>
  <c r="C992" i="12787"/>
  <c r="G992" i="12787" s="1"/>
  <c r="H992" i="12787"/>
  <c r="M992" i="12787"/>
  <c r="D993" i="12787"/>
  <c r="D995" i="12787"/>
  <c r="C1001" i="12787"/>
  <c r="C1030" i="12787"/>
  <c r="G1001" i="12787"/>
  <c r="C1002" i="12787"/>
  <c r="G1002" i="12787" s="1"/>
  <c r="G1003" i="12787"/>
  <c r="C1005" i="12787"/>
  <c r="G1005" i="12787" s="1"/>
  <c r="G1006" i="12787"/>
  <c r="C1009" i="12787"/>
  <c r="G1009" i="12787" s="1"/>
  <c r="C1010" i="12787"/>
  <c r="G1010" i="12787" s="1"/>
  <c r="G1011" i="12787"/>
  <c r="G1013" i="12787"/>
  <c r="G1014" i="12787"/>
  <c r="G1017" i="12787"/>
  <c r="G1018" i="12787"/>
  <c r="G1019" i="12787"/>
  <c r="G1021" i="12787"/>
  <c r="G1022" i="12787"/>
  <c r="C1024" i="12787"/>
  <c r="G1024" i="12787" s="1"/>
  <c r="C1025" i="12787"/>
  <c r="G1025" i="12787" s="1"/>
  <c r="G1026" i="12787"/>
  <c r="C1028" i="12787"/>
  <c r="G1028" i="12787" s="1"/>
  <c r="D1005" i="12787"/>
  <c r="H1005" i="12787" s="1"/>
  <c r="D1018" i="12787"/>
  <c r="H1018" i="12787" s="1"/>
  <c r="C1029" i="12787"/>
  <c r="D1032" i="12787"/>
  <c r="G1037" i="12787"/>
  <c r="K1037" i="12787" s="1"/>
  <c r="E34" i="12763"/>
  <c r="G46" i="12763"/>
  <c r="G89" i="12763" s="1"/>
  <c r="R27" i="12764"/>
  <c r="I19" i="12764"/>
  <c r="I33" i="12764"/>
  <c r="G34" i="12764"/>
  <c r="C83" i="12764"/>
  <c r="C84" i="12764" s="1"/>
  <c r="I36" i="12764"/>
  <c r="N36" i="12764" s="1"/>
  <c r="F79" i="12812" s="1"/>
  <c r="I38" i="12764"/>
  <c r="N38" i="12764" s="1"/>
  <c r="F81" i="12812" s="1"/>
  <c r="E96" i="12764"/>
  <c r="N39" i="12764"/>
  <c r="R39" i="12764"/>
  <c r="I51" i="12764"/>
  <c r="N51" i="12764" s="1"/>
  <c r="F121" i="12812" s="1"/>
  <c r="K1230" i="12767"/>
  <c r="K1228" i="12767"/>
  <c r="K1227" i="12767"/>
  <c r="K1226" i="12767"/>
  <c r="K1223" i="12767"/>
  <c r="K1221" i="12767"/>
  <c r="K1220" i="12767"/>
  <c r="K1219" i="12767"/>
  <c r="K1216" i="12767"/>
  <c r="K1215" i="12767"/>
  <c r="K1213" i="12767"/>
  <c r="K1211" i="12767"/>
  <c r="K1208" i="12767"/>
  <c r="K1207" i="12767"/>
  <c r="M1204" i="12767"/>
  <c r="K1205" i="12767"/>
  <c r="K1203" i="12767"/>
  <c r="K1097" i="12767"/>
  <c r="K1098" i="12767"/>
  <c r="K1099" i="12767"/>
  <c r="K1100" i="12767"/>
  <c r="K1101" i="12767"/>
  <c r="K1102" i="12767"/>
  <c r="K1103" i="12767"/>
  <c r="K1104" i="12767"/>
  <c r="K1105" i="12767"/>
  <c r="K1106" i="12767"/>
  <c r="K1108" i="12767"/>
  <c r="K1109" i="12767"/>
  <c r="K1125" i="12767"/>
  <c r="B1130" i="12767"/>
  <c r="B1182" i="12767"/>
  <c r="B1181" i="12767" s="1"/>
  <c r="K1177" i="12767"/>
  <c r="K1212" i="12767"/>
  <c r="K1224" i="12767"/>
  <c r="I36" i="12767"/>
  <c r="K36" i="12767" s="1"/>
  <c r="I72" i="12767"/>
  <c r="K72" i="12767" s="1"/>
  <c r="K1189" i="12767"/>
  <c r="K1190" i="12767"/>
  <c r="K1192" i="12767"/>
  <c r="I787" i="12767"/>
  <c r="K787" i="12767" s="1"/>
  <c r="K578" i="12767"/>
  <c r="K579" i="12767"/>
  <c r="E552" i="12767"/>
  <c r="E553" i="12767"/>
  <c r="E554" i="12767"/>
  <c r="E556" i="12767"/>
  <c r="E557" i="12767"/>
  <c r="E559" i="12767"/>
  <c r="E561" i="12767"/>
  <c r="E562" i="12767"/>
  <c r="E563" i="12767"/>
  <c r="E568" i="12767"/>
  <c r="E569" i="12767"/>
  <c r="E570" i="12767"/>
  <c r="E571" i="12767"/>
  <c r="E572" i="12767"/>
  <c r="E573" i="12767"/>
  <c r="E574" i="12767"/>
  <c r="E575" i="12767"/>
  <c r="E576" i="12767"/>
  <c r="E577" i="12767"/>
  <c r="E578" i="12767"/>
  <c r="E579" i="12767"/>
  <c r="I593" i="12766"/>
  <c r="I596" i="12766"/>
  <c r="I597" i="12766"/>
  <c r="I160" i="12766"/>
  <c r="I161" i="12766" s="1"/>
  <c r="I149" i="12766"/>
  <c r="I150" i="12766"/>
  <c r="B82" i="12767"/>
  <c r="B122" i="12767"/>
  <c r="B152" i="12767"/>
  <c r="E12" i="12783"/>
  <c r="H12" i="12783"/>
  <c r="K12" i="12783"/>
  <c r="X16" i="12783"/>
  <c r="B1195" i="12767"/>
  <c r="E23" i="12783"/>
  <c r="H23" i="12783"/>
  <c r="K23" i="12783"/>
  <c r="B21" i="12767"/>
  <c r="M37" i="12828" s="1"/>
  <c r="B1170" i="12767"/>
  <c r="F30" i="12783"/>
  <c r="E31" i="12783"/>
  <c r="H31" i="12783"/>
  <c r="K31" i="12783"/>
  <c r="B275" i="12767"/>
  <c r="F41" i="12811" s="1"/>
  <c r="B636" i="12767"/>
  <c r="F46" i="12811" s="1"/>
  <c r="B309" i="12767"/>
  <c r="F71" i="12811" s="1"/>
  <c r="B674" i="12767"/>
  <c r="F76" i="12811" s="1"/>
  <c r="E29" i="12773"/>
  <c r="G29" i="12773" s="1"/>
  <c r="E28" i="12773"/>
  <c r="G28" i="12773" s="1"/>
  <c r="E27" i="12773"/>
  <c r="G27" i="12773" s="1"/>
  <c r="E25" i="12773"/>
  <c r="G25" i="12773" s="1"/>
  <c r="E24" i="12773"/>
  <c r="G24" i="12773" s="1"/>
  <c r="E23" i="12773"/>
  <c r="G23" i="12773" s="1"/>
  <c r="E21" i="12773"/>
  <c r="G21" i="12773" s="1"/>
  <c r="E20" i="12773"/>
  <c r="G20" i="12773" s="1"/>
  <c r="E19" i="12773"/>
  <c r="G19" i="12773" s="1"/>
  <c r="E17" i="12773"/>
  <c r="G17" i="12773" s="1"/>
  <c r="E16" i="12773"/>
  <c r="G16" i="12773" s="1"/>
  <c r="E15" i="12773"/>
  <c r="G15" i="12773" s="1"/>
  <c r="E29" i="12772"/>
  <c r="E28" i="12772"/>
  <c r="E27" i="12772"/>
  <c r="E25" i="12772"/>
  <c r="E24" i="12772"/>
  <c r="E23" i="12772"/>
  <c r="E21" i="12772"/>
  <c r="E20" i="12772"/>
  <c r="E19" i="12772"/>
  <c r="E17" i="12772"/>
  <c r="E16" i="12772"/>
  <c r="E15" i="12772"/>
  <c r="E33" i="12771"/>
  <c r="E32" i="12771"/>
  <c r="E31" i="12771"/>
  <c r="E29" i="12771"/>
  <c r="E28" i="12771"/>
  <c r="E27" i="12771"/>
  <c r="E25" i="12771"/>
  <c r="E24" i="12771"/>
  <c r="E23" i="12771"/>
  <c r="E20" i="12771"/>
  <c r="E19" i="12771"/>
  <c r="E18" i="12771"/>
  <c r="E40" i="12770"/>
  <c r="G40" i="12770" s="1"/>
  <c r="E39" i="12770"/>
  <c r="G39" i="12770" s="1"/>
  <c r="E38" i="12770"/>
  <c r="G38" i="12770" s="1"/>
  <c r="E36" i="12770"/>
  <c r="G36" i="12770" s="1"/>
  <c r="E35" i="12770"/>
  <c r="G35" i="12770" s="1"/>
  <c r="E34" i="12770"/>
  <c r="G34" i="12770" s="1"/>
  <c r="E32" i="12770"/>
  <c r="G32" i="12770" s="1"/>
  <c r="E31" i="12770"/>
  <c r="G31" i="12770" s="1"/>
  <c r="E30" i="12770"/>
  <c r="G30" i="12770" s="1"/>
  <c r="E28" i="12770"/>
  <c r="G28" i="12770" s="1"/>
  <c r="E27" i="12770"/>
  <c r="G27" i="12770" s="1"/>
  <c r="E26" i="12770"/>
  <c r="G26" i="12770" s="1"/>
  <c r="E24" i="12770"/>
  <c r="G24" i="12770" s="1"/>
  <c r="E23" i="12770"/>
  <c r="G23" i="12770" s="1"/>
  <c r="E22" i="12770"/>
  <c r="G22" i="12770" s="1"/>
  <c r="E20" i="12770"/>
  <c r="G20" i="12770" s="1"/>
  <c r="E19" i="12770"/>
  <c r="G19" i="12770" s="1"/>
  <c r="E18" i="12770"/>
  <c r="G18" i="12770" s="1"/>
  <c r="E32" i="12769"/>
  <c r="E31" i="12769"/>
  <c r="E30" i="12769"/>
  <c r="E28" i="12769"/>
  <c r="E27" i="12769"/>
  <c r="E26" i="12769"/>
  <c r="D24" i="12769"/>
  <c r="E24" i="12769" s="1"/>
  <c r="D23" i="12769"/>
  <c r="E23" i="12769" s="1"/>
  <c r="D22" i="12769"/>
  <c r="E22" i="12769" s="1"/>
  <c r="E20" i="12769"/>
  <c r="E19" i="12769"/>
  <c r="E18" i="12769"/>
  <c r="Y15" i="12769"/>
  <c r="X15" i="12769"/>
  <c r="G15" i="12769" s="1"/>
  <c r="B1139" i="12767"/>
  <c r="B1138" i="12767"/>
  <c r="T1166" i="12767"/>
  <c r="S1163" i="12767"/>
  <c r="S1162" i="12767"/>
  <c r="S1161" i="12767"/>
  <c r="S1160" i="12767"/>
  <c r="S1159" i="12767"/>
  <c r="S1152" i="12767"/>
  <c r="S1153" i="12767"/>
  <c r="S1154" i="12767"/>
  <c r="S1155" i="12767"/>
  <c r="S1156" i="12767"/>
  <c r="S1151" i="12767"/>
  <c r="M1113" i="12767"/>
  <c r="K1113" i="12767"/>
  <c r="E1113" i="12767"/>
  <c r="M1114" i="12767"/>
  <c r="K1114" i="12767"/>
  <c r="E1114" i="12767"/>
  <c r="M1110" i="12767"/>
  <c r="K1110" i="12767"/>
  <c r="E1110" i="12767"/>
  <c r="M1112" i="12767"/>
  <c r="K1112" i="12767"/>
  <c r="E1112" i="12767"/>
  <c r="M1111" i="12767"/>
  <c r="K1111" i="12767"/>
  <c r="E1111" i="12767"/>
  <c r="M1106" i="12767"/>
  <c r="M1101" i="12767"/>
  <c r="M1098" i="12767"/>
  <c r="P31" i="12775"/>
  <c r="P29" i="12775"/>
  <c r="B585" i="12767"/>
  <c r="B587" i="12767" s="1"/>
  <c r="I64" i="12763"/>
  <c r="P6" i="12775"/>
  <c r="P8" i="12775"/>
  <c r="P9" i="12775"/>
  <c r="P10" i="12775"/>
  <c r="P14" i="12775"/>
  <c r="P16" i="12775"/>
  <c r="P17" i="12775"/>
  <c r="P18" i="12775"/>
  <c r="P19" i="12775"/>
  <c r="P20" i="12775"/>
  <c r="P21" i="12775"/>
  <c r="P24" i="12775"/>
  <c r="P25" i="12775"/>
  <c r="P26" i="12775"/>
  <c r="P27" i="12775"/>
  <c r="P28" i="12775"/>
  <c r="P30" i="12775"/>
  <c r="AD32" i="12775"/>
  <c r="D36" i="12775"/>
  <c r="E36" i="12775"/>
  <c r="E45" i="12775" s="1"/>
  <c r="F36" i="12775"/>
  <c r="G36" i="12775"/>
  <c r="G45" i="12775" s="1"/>
  <c r="H36" i="12775"/>
  <c r="I36" i="12775"/>
  <c r="I45" i="12775" s="1"/>
  <c r="J36" i="12775"/>
  <c r="K36" i="12775"/>
  <c r="L36" i="12775"/>
  <c r="M36" i="12775"/>
  <c r="M45" i="12775" s="1"/>
  <c r="N36" i="12775"/>
  <c r="O36" i="12775"/>
  <c r="O45" i="12775" s="1"/>
  <c r="P38" i="12775"/>
  <c r="P39" i="12775"/>
  <c r="P40" i="12775"/>
  <c r="P41" i="12775"/>
  <c r="P42" i="12775"/>
  <c r="AD43" i="12775"/>
  <c r="P6" i="12774"/>
  <c r="AJ6" i="12774" s="1"/>
  <c r="P7" i="12774"/>
  <c r="AJ7" i="12774" s="1"/>
  <c r="P8" i="12774"/>
  <c r="AJ8" i="12774" s="1"/>
  <c r="P10" i="12774"/>
  <c r="AJ10" i="12774" s="1"/>
  <c r="P14" i="12774"/>
  <c r="AJ14" i="12774" s="1"/>
  <c r="P15" i="12774"/>
  <c r="AJ15" i="12774" s="1"/>
  <c r="P16" i="12774"/>
  <c r="AJ16" i="12774" s="1"/>
  <c r="P17" i="12774"/>
  <c r="AJ17" i="12774" s="1"/>
  <c r="P18" i="12774"/>
  <c r="AJ18" i="12774" s="1"/>
  <c r="P19" i="12774"/>
  <c r="AJ19" i="12774" s="1"/>
  <c r="AJ20" i="12774"/>
  <c r="P21" i="12774"/>
  <c r="AJ21" i="12774" s="1"/>
  <c r="P24" i="12774"/>
  <c r="AJ24" i="12774" s="1"/>
  <c r="P25" i="12774"/>
  <c r="AJ25" i="12774" s="1"/>
  <c r="P26" i="12774"/>
  <c r="AJ26" i="12774" s="1"/>
  <c r="P27" i="12774"/>
  <c r="AJ27" i="12774" s="1"/>
  <c r="P28" i="12774"/>
  <c r="AJ28" i="12774" s="1"/>
  <c r="P29" i="12774"/>
  <c r="AJ29" i="12774" s="1"/>
  <c r="P30" i="12774"/>
  <c r="AJ30" i="12774" s="1"/>
  <c r="P31" i="12774"/>
  <c r="AJ31" i="12774" s="1"/>
  <c r="AD32" i="12774"/>
  <c r="P34" i="12774"/>
  <c r="AJ34" i="12774" s="1"/>
  <c r="P35" i="12774"/>
  <c r="AJ35" i="12774" s="1"/>
  <c r="P38" i="12774"/>
  <c r="AJ38" i="12774" s="1"/>
  <c r="P39" i="12774"/>
  <c r="AJ39" i="12774" s="1"/>
  <c r="P40" i="12774"/>
  <c r="AJ40" i="12774" s="1"/>
  <c r="P41" i="12774"/>
  <c r="AJ41" i="12774" s="1"/>
  <c r="P42" i="12774"/>
  <c r="AJ42" i="12774" s="1"/>
  <c r="AD43" i="12774"/>
  <c r="D45" i="12774"/>
  <c r="E45" i="12774"/>
  <c r="F45" i="12774"/>
  <c r="G45" i="12774"/>
  <c r="H45" i="12774"/>
  <c r="I45" i="12774"/>
  <c r="J45" i="12774"/>
  <c r="K45" i="12774"/>
  <c r="L45" i="12774"/>
  <c r="M45" i="12774"/>
  <c r="N45" i="12774"/>
  <c r="O45" i="12774"/>
  <c r="C33" i="12766"/>
  <c r="D33" i="12766" s="1"/>
  <c r="H33" i="12766" s="1"/>
  <c r="C50" i="12766"/>
  <c r="C67" i="12766"/>
  <c r="D67" i="12766"/>
  <c r="H67" i="12766" s="1"/>
  <c r="G67" i="12766"/>
  <c r="I33" i="12766"/>
  <c r="I50" i="12766"/>
  <c r="I67" i="12766"/>
  <c r="O27" i="12766"/>
  <c r="C34" i="12766"/>
  <c r="D34" i="12766" s="1"/>
  <c r="H34" i="12766" s="1"/>
  <c r="C35" i="12766"/>
  <c r="D35" i="12766" s="1"/>
  <c r="C37" i="12766"/>
  <c r="D37" i="12766" s="1"/>
  <c r="H37" i="12766" s="1"/>
  <c r="C38" i="12766"/>
  <c r="D38" i="12766" s="1"/>
  <c r="C39" i="12766"/>
  <c r="C40" i="12766"/>
  <c r="D40" i="12766" s="1"/>
  <c r="C51" i="12766"/>
  <c r="G51" i="12766" s="1"/>
  <c r="C52" i="12766"/>
  <c r="D52" i="12766" s="1"/>
  <c r="H52" i="12766" s="1"/>
  <c r="C54" i="12766"/>
  <c r="D54" i="12766" s="1"/>
  <c r="H54" i="12766" s="1"/>
  <c r="C55" i="12766"/>
  <c r="D55" i="12766" s="1"/>
  <c r="H55" i="12766" s="1"/>
  <c r="C56" i="12766"/>
  <c r="D56" i="12766" s="1"/>
  <c r="H56" i="12766" s="1"/>
  <c r="C57" i="12766"/>
  <c r="D57" i="12766" s="1"/>
  <c r="H57" i="12766" s="1"/>
  <c r="C68" i="12766"/>
  <c r="D68" i="12766" s="1"/>
  <c r="H68" i="12766" s="1"/>
  <c r="C69" i="12766"/>
  <c r="C71" i="12766"/>
  <c r="D71" i="12766" s="1"/>
  <c r="H71" i="12766" s="1"/>
  <c r="C72" i="12766"/>
  <c r="D72" i="12766" s="1"/>
  <c r="C73" i="12766"/>
  <c r="D73" i="12766" s="1"/>
  <c r="H73" i="12766" s="1"/>
  <c r="C74" i="12766"/>
  <c r="D74" i="12766" s="1"/>
  <c r="H74" i="12766" s="1"/>
  <c r="I40" i="12766"/>
  <c r="I57" i="12766"/>
  <c r="I74" i="12766"/>
  <c r="I34" i="12766"/>
  <c r="I51" i="12766"/>
  <c r="I68" i="12766"/>
  <c r="G35" i="12766"/>
  <c r="I35" i="12766"/>
  <c r="I52" i="12766"/>
  <c r="K52" i="12766" s="1"/>
  <c r="I69" i="12766"/>
  <c r="I37" i="12766"/>
  <c r="I54" i="12766"/>
  <c r="I71" i="12766"/>
  <c r="G55" i="12766"/>
  <c r="I38" i="12766"/>
  <c r="I55" i="12766"/>
  <c r="I72" i="12766"/>
  <c r="I39" i="12766"/>
  <c r="I56" i="12766"/>
  <c r="I73" i="12766"/>
  <c r="G57" i="12766"/>
  <c r="C75" i="12766"/>
  <c r="C24" i="12766" s="1"/>
  <c r="D24" i="12766"/>
  <c r="C25" i="12766"/>
  <c r="D25" i="12766"/>
  <c r="D27" i="12766" s="1"/>
  <c r="C26" i="12766"/>
  <c r="C27" i="12766" s="1"/>
  <c r="G26" i="12766"/>
  <c r="K26" i="12766"/>
  <c r="C44" i="12766"/>
  <c r="D44" i="12766"/>
  <c r="C61" i="12766"/>
  <c r="D61" i="12766"/>
  <c r="C78" i="12766"/>
  <c r="D78" i="12766"/>
  <c r="I96" i="12766"/>
  <c r="K96" i="12766" s="1"/>
  <c r="C102" i="12766"/>
  <c r="I97" i="12766"/>
  <c r="K97" i="12766" s="1"/>
  <c r="I98" i="12766"/>
  <c r="K98" i="12766" s="1"/>
  <c r="I99" i="12766"/>
  <c r="K99" i="12766" s="1"/>
  <c r="I100" i="12766"/>
  <c r="K100" i="12766" s="1"/>
  <c r="I88" i="12766"/>
  <c r="I109" i="12766"/>
  <c r="K109" i="12766" s="1"/>
  <c r="C111" i="12766"/>
  <c r="I110" i="12766"/>
  <c r="K110" i="12766" s="1"/>
  <c r="I111" i="12766"/>
  <c r="K111" i="12766" s="1"/>
  <c r="I112" i="12766"/>
  <c r="K112" i="12766" s="1"/>
  <c r="I113" i="12766"/>
  <c r="K113" i="12766" s="1"/>
  <c r="I122" i="12766"/>
  <c r="K122" i="12766" s="1"/>
  <c r="C128" i="12766"/>
  <c r="I123" i="12766"/>
  <c r="K123" i="12766" s="1"/>
  <c r="I124" i="12766"/>
  <c r="K124" i="12766" s="1"/>
  <c r="I125" i="12766"/>
  <c r="K125" i="12766" s="1"/>
  <c r="I126" i="12766"/>
  <c r="K126" i="12766" s="1"/>
  <c r="I135" i="12766"/>
  <c r="K135" i="12766" s="1"/>
  <c r="C137" i="12766"/>
  <c r="C141" i="12766" s="1"/>
  <c r="C143" i="12766" s="1"/>
  <c r="I136" i="12766"/>
  <c r="K136" i="12766" s="1"/>
  <c r="I137" i="12766"/>
  <c r="K137" i="12766" s="1"/>
  <c r="I138" i="12766"/>
  <c r="K138" i="12766" s="1"/>
  <c r="I139" i="12766"/>
  <c r="K139" i="12766" s="1"/>
  <c r="K90" i="12766"/>
  <c r="D84" i="12766"/>
  <c r="M84" i="12766" s="1"/>
  <c r="D85" i="12766"/>
  <c r="D83" i="12766"/>
  <c r="M83" i="12766" s="1"/>
  <c r="C96" i="12766"/>
  <c r="G109" i="12766"/>
  <c r="G122" i="12766"/>
  <c r="G135" i="12766"/>
  <c r="H96" i="12766"/>
  <c r="H109" i="12766"/>
  <c r="H115" i="12766" s="1"/>
  <c r="H117" i="12766" s="1"/>
  <c r="H122" i="12766"/>
  <c r="H135" i="12766"/>
  <c r="O83" i="12766"/>
  <c r="C84" i="12766"/>
  <c r="G97" i="12766"/>
  <c r="G123" i="12766"/>
  <c r="G110" i="12766"/>
  <c r="G136" i="12766"/>
  <c r="H97" i="12766"/>
  <c r="H110" i="12766"/>
  <c r="H123" i="12766"/>
  <c r="H136" i="12766"/>
  <c r="O84" i="12766"/>
  <c r="Q84" i="12766"/>
  <c r="G98" i="12766"/>
  <c r="G124" i="12766"/>
  <c r="G137" i="12766"/>
  <c r="H98" i="12766"/>
  <c r="H111" i="12766"/>
  <c r="H124" i="12766"/>
  <c r="H137" i="12766"/>
  <c r="O85" i="12766"/>
  <c r="Q85" i="12766"/>
  <c r="C86" i="12766"/>
  <c r="D86" i="12766"/>
  <c r="M86" i="12766" s="1"/>
  <c r="G99" i="12766"/>
  <c r="G112" i="12766"/>
  <c r="G125" i="12766"/>
  <c r="G138" i="12766"/>
  <c r="H125" i="12766"/>
  <c r="H138" i="12766"/>
  <c r="O86" i="12766"/>
  <c r="C87" i="12766"/>
  <c r="D87" i="12766"/>
  <c r="G100" i="12766"/>
  <c r="G113" i="12766"/>
  <c r="G126" i="12766"/>
  <c r="G139" i="12766"/>
  <c r="H126" i="12766"/>
  <c r="H139" i="12766"/>
  <c r="H87" i="12766" s="1"/>
  <c r="M87" i="12766"/>
  <c r="O87" i="12766"/>
  <c r="C88" i="12766"/>
  <c r="D88" i="12766"/>
  <c r="E88" i="12766"/>
  <c r="E101" i="12766"/>
  <c r="G101" i="12766" s="1"/>
  <c r="E114" i="12766"/>
  <c r="G114" i="12766" s="1"/>
  <c r="E127" i="12766"/>
  <c r="G127" i="12766" s="1"/>
  <c r="E140" i="12766"/>
  <c r="G140" i="12766" s="1"/>
  <c r="H127" i="12766"/>
  <c r="D89" i="12766"/>
  <c r="C90" i="12766"/>
  <c r="D90" i="12766"/>
  <c r="G90" i="12766"/>
  <c r="H90" i="12766"/>
  <c r="O91" i="12766"/>
  <c r="C104" i="12766"/>
  <c r="D104" i="12766"/>
  <c r="D117" i="12766"/>
  <c r="C130" i="12766"/>
  <c r="D130" i="12766"/>
  <c r="D143" i="12766"/>
  <c r="C149" i="12766"/>
  <c r="C387" i="12766"/>
  <c r="D384" i="12766" s="1"/>
  <c r="D149" i="12766" s="1"/>
  <c r="M149" i="12766" s="1"/>
  <c r="E149" i="12766"/>
  <c r="O149" i="12766" s="1"/>
  <c r="G384" i="12766"/>
  <c r="G413" i="12766"/>
  <c r="C417" i="12766"/>
  <c r="D413" i="12766" s="1"/>
  <c r="I384" i="12766"/>
  <c r="I413" i="12766"/>
  <c r="I424" i="12766" s="1"/>
  <c r="C356" i="12766"/>
  <c r="C150" i="12766" s="1"/>
  <c r="D385" i="12766"/>
  <c r="D414" i="12766"/>
  <c r="G385" i="12766"/>
  <c r="G414" i="12766"/>
  <c r="H385" i="12766"/>
  <c r="H414" i="12766"/>
  <c r="I385" i="12766"/>
  <c r="K385" i="12766" s="1"/>
  <c r="I414" i="12766"/>
  <c r="K414" i="12766" s="1"/>
  <c r="O150" i="12766"/>
  <c r="C386" i="12766"/>
  <c r="C357" i="12766" s="1"/>
  <c r="C151" i="12766" s="1"/>
  <c r="C390" i="12766"/>
  <c r="C391" i="12766"/>
  <c r="G391" i="12766" s="1"/>
  <c r="C392" i="12766"/>
  <c r="G392" i="12766" s="1"/>
  <c r="C419" i="12766"/>
  <c r="G419" i="12766" s="1"/>
  <c r="C420" i="12766"/>
  <c r="G415" i="12766"/>
  <c r="H415" i="12766"/>
  <c r="I386" i="12766"/>
  <c r="I415" i="12766"/>
  <c r="K415" i="12766" s="1"/>
  <c r="O151" i="12766"/>
  <c r="C211" i="12766"/>
  <c r="C239" i="12766"/>
  <c r="C296" i="12766"/>
  <c r="C267" i="12766" s="1"/>
  <c r="C212" i="12766"/>
  <c r="G212" i="12766" s="1"/>
  <c r="C240" i="12766"/>
  <c r="C300" i="12766"/>
  <c r="D325" i="12766"/>
  <c r="G239" i="12766"/>
  <c r="G325" i="12766"/>
  <c r="H211" i="12766"/>
  <c r="H325" i="12766"/>
  <c r="I211" i="12766"/>
  <c r="K211" i="12766" s="1"/>
  <c r="I239" i="12766"/>
  <c r="I249" i="12766" s="1"/>
  <c r="I296" i="12766"/>
  <c r="I325" i="12766"/>
  <c r="O153" i="12766"/>
  <c r="C268" i="12766"/>
  <c r="C328" i="12766"/>
  <c r="C299" i="12766"/>
  <c r="D268" i="12766"/>
  <c r="G297" i="12766"/>
  <c r="G326" i="12766"/>
  <c r="H212" i="12766"/>
  <c r="H297" i="12766"/>
  <c r="H326" i="12766"/>
  <c r="I212" i="12766"/>
  <c r="K212" i="12766" s="1"/>
  <c r="I240" i="12766"/>
  <c r="I250" i="12766" s="1"/>
  <c r="I297" i="12766"/>
  <c r="K297" i="12766" s="1"/>
  <c r="I326" i="12766"/>
  <c r="K326" i="12766" s="1"/>
  <c r="O154" i="12766"/>
  <c r="C213" i="12766"/>
  <c r="G213" i="12766" s="1"/>
  <c r="C241" i="12766"/>
  <c r="C269" i="12766"/>
  <c r="C231" i="12766"/>
  <c r="C244" i="12766"/>
  <c r="C188" i="12766" s="1"/>
  <c r="C245" i="12766"/>
  <c r="C331" i="12766"/>
  <c r="C333" i="12766" s="1"/>
  <c r="C346" i="12766" s="1"/>
  <c r="C302" i="12766"/>
  <c r="C303" i="12766"/>
  <c r="C274" i="12766" s="1"/>
  <c r="D269" i="12766"/>
  <c r="G298" i="12766"/>
  <c r="G327" i="12766"/>
  <c r="H298" i="12766"/>
  <c r="H327" i="12766"/>
  <c r="H269" i="12766"/>
  <c r="I213" i="12766"/>
  <c r="I241" i="12766"/>
  <c r="I251" i="12766" s="1"/>
  <c r="I298" i="12766"/>
  <c r="K298" i="12766"/>
  <c r="I327" i="12766"/>
  <c r="K327" i="12766"/>
  <c r="O155" i="12766"/>
  <c r="C416" i="12766"/>
  <c r="C358" i="12766" s="1"/>
  <c r="D271" i="12766"/>
  <c r="C215" i="12766"/>
  <c r="C243" i="12766"/>
  <c r="G243" i="12766" s="1"/>
  <c r="C272" i="12766"/>
  <c r="C389" i="12766"/>
  <c r="C418" i="12766"/>
  <c r="D272" i="12766"/>
  <c r="G301" i="12766"/>
  <c r="G330" i="12766"/>
  <c r="G389" i="12766"/>
  <c r="H301" i="12766"/>
  <c r="H330" i="12766"/>
  <c r="H272" i="12766" s="1"/>
  <c r="I215" i="12766"/>
  <c r="I243" i="12766"/>
  <c r="I252" i="12766" s="1"/>
  <c r="I301" i="12766"/>
  <c r="K301" i="12766" s="1"/>
  <c r="I330" i="12766"/>
  <c r="K330" i="12766" s="1"/>
  <c r="I389" i="12766"/>
  <c r="I398" i="12766" s="1"/>
  <c r="I418" i="12766"/>
  <c r="I427" i="12766" s="1"/>
  <c r="O158" i="12766"/>
  <c r="C273" i="12766"/>
  <c r="G216" i="12766"/>
  <c r="G302" i="12766"/>
  <c r="I216" i="12766"/>
  <c r="I244" i="12766"/>
  <c r="I302" i="12766"/>
  <c r="I331" i="12766"/>
  <c r="I340" i="12766" s="1"/>
  <c r="I390" i="12766"/>
  <c r="I399" i="12766" s="1"/>
  <c r="I419" i="12766"/>
  <c r="O159" i="12766"/>
  <c r="H332" i="12766"/>
  <c r="I217" i="12766"/>
  <c r="I245" i="12766"/>
  <c r="I303" i="12766"/>
  <c r="I332" i="12766"/>
  <c r="K332" i="12766" s="1"/>
  <c r="I391" i="12766"/>
  <c r="I400" i="12766" s="1"/>
  <c r="I420" i="12766"/>
  <c r="I429" i="12766" s="1"/>
  <c r="G217" i="12766"/>
  <c r="G332" i="12766"/>
  <c r="O160" i="12766"/>
  <c r="D218" i="12766"/>
  <c r="H218" i="12766" s="1"/>
  <c r="G218" i="12766"/>
  <c r="G421" i="12766"/>
  <c r="H333" i="12766"/>
  <c r="I218" i="12766"/>
  <c r="I246" i="12766"/>
  <c r="I255" i="12766" s="1"/>
  <c r="I304" i="12766"/>
  <c r="I333" i="12766"/>
  <c r="K333" i="12766" s="1"/>
  <c r="I392" i="12766"/>
  <c r="I401" i="12766" s="1"/>
  <c r="I421" i="12766"/>
  <c r="I430" i="12766" s="1"/>
  <c r="O161" i="12766"/>
  <c r="C219" i="12766"/>
  <c r="D219" i="12766" s="1"/>
  <c r="C247" i="12766"/>
  <c r="C276" i="12766"/>
  <c r="C393" i="12766"/>
  <c r="C364" i="12766" s="1"/>
  <c r="G219" i="12766"/>
  <c r="G305" i="12766"/>
  <c r="G334" i="12766"/>
  <c r="G276" i="12766" s="1"/>
  <c r="G393" i="12766"/>
  <c r="G422" i="12766"/>
  <c r="G364" i="12766" s="1"/>
  <c r="H334" i="12766"/>
  <c r="I219" i="12766"/>
  <c r="K219" i="12766" s="1"/>
  <c r="I247" i="12766"/>
  <c r="I305" i="12766"/>
  <c r="I314" i="12766" s="1"/>
  <c r="I334" i="12766"/>
  <c r="K334" i="12766" s="1"/>
  <c r="I393" i="12766"/>
  <c r="I422" i="12766"/>
  <c r="O162" i="12766"/>
  <c r="C221" i="12766"/>
  <c r="C193" i="12766" s="1"/>
  <c r="C164" i="12766" s="1"/>
  <c r="E164" i="12766"/>
  <c r="E221" i="12766"/>
  <c r="G221" i="12766"/>
  <c r="E249" i="12766"/>
  <c r="G249" i="12766"/>
  <c r="E307" i="12766"/>
  <c r="G307" i="12766" s="1"/>
  <c r="E336" i="12766"/>
  <c r="G336" i="12766" s="1"/>
  <c r="E395" i="12766"/>
  <c r="G395" i="12766"/>
  <c r="E424" i="12766"/>
  <c r="G424" i="12766"/>
  <c r="H221" i="12766"/>
  <c r="H336" i="12766"/>
  <c r="I164" i="12766"/>
  <c r="I221" i="12766"/>
  <c r="K221" i="12766" s="1"/>
  <c r="I395" i="12766"/>
  <c r="C222" i="12766"/>
  <c r="C194" i="12766" s="1"/>
  <c r="C165" i="12766" s="1"/>
  <c r="E165" i="12766"/>
  <c r="E222" i="12766"/>
  <c r="E250" i="12766"/>
  <c r="G250" i="12766" s="1"/>
  <c r="E308" i="12766"/>
  <c r="G308" i="12766" s="1"/>
  <c r="E337" i="12766"/>
  <c r="G337" i="12766" s="1"/>
  <c r="E396" i="12766"/>
  <c r="G396" i="12766" s="1"/>
  <c r="E425" i="12766"/>
  <c r="G425" i="12766" s="1"/>
  <c r="H222" i="12766"/>
  <c r="I165" i="12766"/>
  <c r="I337" i="12766"/>
  <c r="K337" i="12766" s="1"/>
  <c r="I308" i="12766"/>
  <c r="K308" i="12766" s="1"/>
  <c r="I425" i="12766"/>
  <c r="C223" i="12766"/>
  <c r="C195" i="12766" s="1"/>
  <c r="C166" i="12766" s="1"/>
  <c r="E166" i="12766"/>
  <c r="E223" i="12766"/>
  <c r="G223" i="12766" s="1"/>
  <c r="E251" i="12766"/>
  <c r="G251" i="12766" s="1"/>
  <c r="E309" i="12766"/>
  <c r="G309" i="12766" s="1"/>
  <c r="E338" i="12766"/>
  <c r="G338" i="12766" s="1"/>
  <c r="E397" i="12766"/>
  <c r="G397" i="12766" s="1"/>
  <c r="E426" i="12766"/>
  <c r="G426" i="12766" s="1"/>
  <c r="I166" i="12766"/>
  <c r="I223" i="12766"/>
  <c r="I309" i="12766"/>
  <c r="I338" i="12766"/>
  <c r="K338" i="12766" s="1"/>
  <c r="I397" i="12766"/>
  <c r="C224" i="12766"/>
  <c r="C196" i="12766" s="1"/>
  <c r="C167" i="12766" s="1"/>
  <c r="E167" i="12766"/>
  <c r="E224" i="12766"/>
  <c r="G224" i="12766" s="1"/>
  <c r="E252" i="12766"/>
  <c r="G252" i="12766" s="1"/>
  <c r="E310" i="12766"/>
  <c r="G310" i="12766" s="1"/>
  <c r="E339" i="12766"/>
  <c r="G339" i="12766" s="1"/>
  <c r="E398" i="12766"/>
  <c r="G398" i="12766" s="1"/>
  <c r="E427" i="12766"/>
  <c r="G427" i="12766" s="1"/>
  <c r="H339" i="12766"/>
  <c r="I167" i="12766"/>
  <c r="I224" i="12766"/>
  <c r="C225" i="12766"/>
  <c r="C197" i="12766" s="1"/>
  <c r="C168" i="12766" s="1"/>
  <c r="E168" i="12766"/>
  <c r="E225" i="12766"/>
  <c r="G225" i="12766" s="1"/>
  <c r="E253" i="12766"/>
  <c r="G253" i="12766" s="1"/>
  <c r="E311" i="12766"/>
  <c r="G311" i="12766" s="1"/>
  <c r="E340" i="12766"/>
  <c r="G340" i="12766" s="1"/>
  <c r="E399" i="12766"/>
  <c r="G399" i="12766" s="1"/>
  <c r="E428" i="12766"/>
  <c r="G428" i="12766" s="1"/>
  <c r="H340" i="12766"/>
  <c r="I168" i="12766"/>
  <c r="I225" i="12766"/>
  <c r="I220" i="12766"/>
  <c r="I253" i="12766"/>
  <c r="I248" i="12766"/>
  <c r="I306" i="12766"/>
  <c r="I335" i="12766"/>
  <c r="I394" i="12766"/>
  <c r="I428" i="12766"/>
  <c r="I423" i="12766"/>
  <c r="C226" i="12766"/>
  <c r="C198" i="12766" s="1"/>
  <c r="C169" i="12766" s="1"/>
  <c r="E169" i="12766"/>
  <c r="E226" i="12766"/>
  <c r="G226" i="12766" s="1"/>
  <c r="E254" i="12766"/>
  <c r="G254" i="12766" s="1"/>
  <c r="E312" i="12766"/>
  <c r="G312" i="12766" s="1"/>
  <c r="E341" i="12766"/>
  <c r="G341" i="12766" s="1"/>
  <c r="E400" i="12766"/>
  <c r="G400" i="12766" s="1"/>
  <c r="E429" i="12766"/>
  <c r="G429" i="12766" s="1"/>
  <c r="H341" i="12766"/>
  <c r="I169" i="12766"/>
  <c r="I254" i="12766"/>
  <c r="E170" i="12766"/>
  <c r="E227" i="12766"/>
  <c r="E255" i="12766"/>
  <c r="G255" i="12766" s="1"/>
  <c r="E313" i="12766"/>
  <c r="G313" i="12766" s="1"/>
  <c r="E342" i="12766"/>
  <c r="G342" i="12766" s="1"/>
  <c r="E401" i="12766"/>
  <c r="G401" i="12766" s="1"/>
  <c r="E430" i="12766"/>
  <c r="G430" i="12766" s="1"/>
  <c r="I170" i="12766"/>
  <c r="I227" i="12766"/>
  <c r="C228" i="12766"/>
  <c r="C200" i="12766" s="1"/>
  <c r="C171" i="12766" s="1"/>
  <c r="E171" i="12766"/>
  <c r="E228" i="12766"/>
  <c r="E256" i="12766"/>
  <c r="G256" i="12766" s="1"/>
  <c r="E314" i="12766"/>
  <c r="G314" i="12766" s="1"/>
  <c r="E343" i="12766"/>
  <c r="E402" i="12766"/>
  <c r="G402" i="12766" s="1"/>
  <c r="E431" i="12766"/>
  <c r="G431" i="12766" s="1"/>
  <c r="I171" i="12766"/>
  <c r="I343" i="12766"/>
  <c r="C229" i="12766"/>
  <c r="C201" i="12766" s="1"/>
  <c r="C172" i="12766" s="1"/>
  <c r="G257" i="12766"/>
  <c r="G315" i="12766"/>
  <c r="G344" i="12766"/>
  <c r="G403" i="12766"/>
  <c r="G432" i="12766"/>
  <c r="H344" i="12766"/>
  <c r="D403" i="12766"/>
  <c r="H403" i="12766" s="1"/>
  <c r="D432" i="12766"/>
  <c r="H432" i="12766" s="1"/>
  <c r="I229" i="12766"/>
  <c r="I257" i="12766"/>
  <c r="I315" i="12766"/>
  <c r="I344" i="12766"/>
  <c r="K344" i="12766" s="1"/>
  <c r="I403" i="12766"/>
  <c r="K403" i="12766" s="1"/>
  <c r="I432" i="12766"/>
  <c r="C230" i="12766"/>
  <c r="D230" i="12766" s="1"/>
  <c r="H230" i="12766" s="1"/>
  <c r="G258" i="12766"/>
  <c r="G316" i="12766"/>
  <c r="G345" i="12766"/>
  <c r="G404" i="12766"/>
  <c r="G433" i="12766"/>
  <c r="H345" i="12766"/>
  <c r="I230" i="12766"/>
  <c r="I258" i="12766"/>
  <c r="I316" i="12766"/>
  <c r="I345" i="12766"/>
  <c r="K345" i="12766" s="1"/>
  <c r="I404" i="12766"/>
  <c r="I433" i="12766"/>
  <c r="D203" i="12766"/>
  <c r="D288" i="12766"/>
  <c r="D376" i="12766"/>
  <c r="C204" i="12766"/>
  <c r="C289" i="12766"/>
  <c r="C377" i="12766"/>
  <c r="D204" i="12766"/>
  <c r="D289" i="12766"/>
  <c r="D377" i="12766"/>
  <c r="G204" i="12766"/>
  <c r="G289" i="12766"/>
  <c r="G377" i="12766"/>
  <c r="H289" i="12766"/>
  <c r="H377" i="12766"/>
  <c r="H204" i="12766"/>
  <c r="K204" i="12766"/>
  <c r="K289" i="12766"/>
  <c r="K377" i="12766"/>
  <c r="O176" i="12766"/>
  <c r="I183" i="12766"/>
  <c r="I184" i="12766"/>
  <c r="I194" i="12766" s="1"/>
  <c r="I185" i="12766"/>
  <c r="I195" i="12766" s="1"/>
  <c r="I187" i="12766"/>
  <c r="I196" i="12766" s="1"/>
  <c r="I188" i="12766"/>
  <c r="I197" i="12766" s="1"/>
  <c r="I189" i="12766"/>
  <c r="I198" i="12766" s="1"/>
  <c r="I190" i="12766"/>
  <c r="I199" i="12766" s="1"/>
  <c r="I191" i="12766"/>
  <c r="I200" i="12766" s="1"/>
  <c r="I192" i="12766"/>
  <c r="E193" i="12766"/>
  <c r="I193" i="12766"/>
  <c r="E194" i="12766"/>
  <c r="E195" i="12766"/>
  <c r="E196" i="12766"/>
  <c r="E197" i="12766"/>
  <c r="E198" i="12766"/>
  <c r="E199" i="12766"/>
  <c r="E200" i="12766"/>
  <c r="I201" i="12766"/>
  <c r="I202" i="12766"/>
  <c r="D205" i="12766"/>
  <c r="D214" i="12766"/>
  <c r="C233" i="12766"/>
  <c r="D233" i="12766"/>
  <c r="D261" i="12766"/>
  <c r="I267" i="12766"/>
  <c r="I268" i="12766"/>
  <c r="I278" i="12766" s="1"/>
  <c r="I269" i="12766"/>
  <c r="I279" i="12766" s="1"/>
  <c r="I272" i="12766"/>
  <c r="I281" i="12766" s="1"/>
  <c r="I273" i="12766"/>
  <c r="I282" i="12766" s="1"/>
  <c r="I274" i="12766"/>
  <c r="I283" i="12766" s="1"/>
  <c r="I275" i="12766"/>
  <c r="I284" i="12766" s="1"/>
  <c r="I276" i="12766"/>
  <c r="I285" i="12766" s="1"/>
  <c r="I277" i="12766"/>
  <c r="E278" i="12766"/>
  <c r="E279" i="12766"/>
  <c r="E280" i="12766"/>
  <c r="I280" i="12766"/>
  <c r="E281" i="12766"/>
  <c r="E282" i="12766"/>
  <c r="E283" i="12766"/>
  <c r="E284" i="12766"/>
  <c r="E285" i="12766"/>
  <c r="I286" i="12766"/>
  <c r="I287" i="12766"/>
  <c r="D319" i="12766"/>
  <c r="D328" i="12766"/>
  <c r="D348" i="12766"/>
  <c r="C355" i="12766"/>
  <c r="I355" i="12766"/>
  <c r="I366" i="12766" s="1"/>
  <c r="I356" i="12766"/>
  <c r="I367" i="12766" s="1"/>
  <c r="I357" i="12766"/>
  <c r="I368" i="12766" s="1"/>
  <c r="C388" i="12766"/>
  <c r="I360" i="12766"/>
  <c r="I369" i="12766" s="1"/>
  <c r="I361" i="12766"/>
  <c r="I362" i="12766"/>
  <c r="I371" i="12766" s="1"/>
  <c r="I363" i="12766"/>
  <c r="I372" i="12766" s="1"/>
  <c r="I364" i="12766"/>
  <c r="I373" i="12766" s="1"/>
  <c r="I365" i="12766"/>
  <c r="E366" i="12766"/>
  <c r="E367" i="12766"/>
  <c r="E368" i="12766"/>
  <c r="E369" i="12766"/>
  <c r="E370" i="12766"/>
  <c r="I370" i="12766"/>
  <c r="E371" i="12766"/>
  <c r="E372" i="12766"/>
  <c r="E373" i="12766"/>
  <c r="I374" i="12766"/>
  <c r="I375" i="12766"/>
  <c r="D407" i="12766"/>
  <c r="D436" i="12766"/>
  <c r="E443" i="12766"/>
  <c r="G443" i="12766" s="1"/>
  <c r="H443" i="12766"/>
  <c r="K443" i="12766"/>
  <c r="E444" i="12766"/>
  <c r="G444" i="12766" s="1"/>
  <c r="H444" i="12766"/>
  <c r="K444" i="12766"/>
  <c r="E445" i="12766"/>
  <c r="G445" i="12766" s="1"/>
  <c r="H445" i="12766"/>
  <c r="K445" i="12766"/>
  <c r="C446" i="12766"/>
  <c r="D446" i="12766"/>
  <c r="E447" i="12766"/>
  <c r="G447" i="12766" s="1"/>
  <c r="H447" i="12766"/>
  <c r="K447" i="12766"/>
  <c r="E448" i="12766"/>
  <c r="G448" i="12766" s="1"/>
  <c r="H448" i="12766"/>
  <c r="K448" i="12766"/>
  <c r="E450" i="12766"/>
  <c r="G450" i="12766" s="1"/>
  <c r="H450" i="12766"/>
  <c r="K450" i="12766"/>
  <c r="E452" i="12766"/>
  <c r="G452" i="12766" s="1"/>
  <c r="H452" i="12766"/>
  <c r="K452" i="12766"/>
  <c r="E453" i="12766"/>
  <c r="G453" i="12766" s="1"/>
  <c r="H453" i="12766"/>
  <c r="K453" i="12766"/>
  <c r="G454" i="12766"/>
  <c r="H454" i="12766"/>
  <c r="K454" i="12766"/>
  <c r="G455" i="12766"/>
  <c r="H455" i="12766"/>
  <c r="K455" i="12766"/>
  <c r="E457" i="12766"/>
  <c r="G457" i="12766" s="1"/>
  <c r="H457" i="12766"/>
  <c r="H458" i="12766"/>
  <c r="E459" i="12766"/>
  <c r="G459" i="12766" s="1"/>
  <c r="H459" i="12766"/>
  <c r="H460" i="12766"/>
  <c r="E461" i="12766"/>
  <c r="G461" i="12766" s="1"/>
  <c r="H461" i="12766"/>
  <c r="H462" i="12766"/>
  <c r="E463" i="12766"/>
  <c r="G463" i="12766" s="1"/>
  <c r="H463" i="12766"/>
  <c r="H464" i="12766"/>
  <c r="G465" i="12766"/>
  <c r="H465" i="12766"/>
  <c r="K465" i="12766"/>
  <c r="G466" i="12766"/>
  <c r="H466" i="12766"/>
  <c r="K466" i="12766"/>
  <c r="G467" i="12766"/>
  <c r="H467" i="12766"/>
  <c r="K467" i="12766"/>
  <c r="G468" i="12766"/>
  <c r="H468" i="12766"/>
  <c r="K468" i="12766"/>
  <c r="K469" i="12766"/>
  <c r="E471" i="12766"/>
  <c r="G471" i="12766" s="1"/>
  <c r="H471" i="12766"/>
  <c r="C472" i="12766"/>
  <c r="D472" i="12766"/>
  <c r="D474" i="12766" s="1"/>
  <c r="C474" i="12766"/>
  <c r="C514" i="12766"/>
  <c r="G514" i="12766" s="1"/>
  <c r="C548" i="12766"/>
  <c r="C515" i="12766"/>
  <c r="G515" i="12766" s="1"/>
  <c r="C516" i="12766"/>
  <c r="C549" i="12766"/>
  <c r="C550" i="12766"/>
  <c r="D480" i="12766"/>
  <c r="M480" i="12766" s="1"/>
  <c r="G548" i="12766"/>
  <c r="H514" i="12766"/>
  <c r="H548" i="12766"/>
  <c r="H480" i="12766" s="1"/>
  <c r="I514" i="12766"/>
  <c r="K514" i="12766" s="1"/>
  <c r="I548" i="12766"/>
  <c r="K548" i="12766" s="1"/>
  <c r="O480" i="12766"/>
  <c r="I515" i="12766"/>
  <c r="I549" i="12766"/>
  <c r="K549" i="12766" s="1"/>
  <c r="I516" i="12766"/>
  <c r="K516" i="12766" s="1"/>
  <c r="I550" i="12766"/>
  <c r="K550" i="12766" s="1"/>
  <c r="C540" i="12766"/>
  <c r="C518" i="12766"/>
  <c r="D518" i="12766"/>
  <c r="H518" i="12766" s="1"/>
  <c r="I518" i="12766"/>
  <c r="K518" i="12766"/>
  <c r="C558" i="12766"/>
  <c r="C559" i="12766"/>
  <c r="C574" i="12766" s="1"/>
  <c r="C552" i="12766"/>
  <c r="C484" i="12766" s="1"/>
  <c r="I552" i="12766"/>
  <c r="C519" i="12766"/>
  <c r="D519" i="12766"/>
  <c r="H519" i="12766" s="1"/>
  <c r="I519" i="12766"/>
  <c r="K519" i="12766"/>
  <c r="C553" i="12766"/>
  <c r="I553" i="12766"/>
  <c r="I566" i="12766" s="1"/>
  <c r="H515" i="12766"/>
  <c r="H549" i="12766"/>
  <c r="H481" i="12766" s="1"/>
  <c r="H516" i="12766"/>
  <c r="H550" i="12766"/>
  <c r="S480" i="12766"/>
  <c r="T480" i="12766"/>
  <c r="T485" i="12766" s="1"/>
  <c r="U480" i="12766"/>
  <c r="V480" i="12766"/>
  <c r="V485" i="12766" s="1"/>
  <c r="D481" i="12766"/>
  <c r="D482" i="12766"/>
  <c r="M482" i="12766" s="1"/>
  <c r="G549" i="12766"/>
  <c r="M481" i="12766"/>
  <c r="O481" i="12766"/>
  <c r="S481" i="12766"/>
  <c r="T481" i="12766"/>
  <c r="U481" i="12766"/>
  <c r="V486" i="12766" s="1"/>
  <c r="V481" i="12766"/>
  <c r="G516" i="12766"/>
  <c r="O482" i="12766"/>
  <c r="G518" i="12766"/>
  <c r="G552" i="12766"/>
  <c r="O484" i="12766"/>
  <c r="C485" i="12766"/>
  <c r="G519" i="12766"/>
  <c r="G553" i="12766"/>
  <c r="O485" i="12766"/>
  <c r="C521" i="12766"/>
  <c r="C555" i="12766"/>
  <c r="G521" i="12766"/>
  <c r="I521" i="12766"/>
  <c r="I533" i="12766" s="1"/>
  <c r="I555" i="12766"/>
  <c r="O487" i="12766"/>
  <c r="C522" i="12766"/>
  <c r="C556" i="12766"/>
  <c r="E488" i="12766"/>
  <c r="E522" i="12766"/>
  <c r="E534" i="12766" s="1"/>
  <c r="G534" i="12766" s="1"/>
  <c r="E556" i="12766"/>
  <c r="I488" i="12766"/>
  <c r="I500" i="12766" s="1"/>
  <c r="I556" i="12766"/>
  <c r="G524" i="12766"/>
  <c r="G558" i="12766"/>
  <c r="I524" i="12766"/>
  <c r="I535" i="12766" s="1"/>
  <c r="I558" i="12766"/>
  <c r="I569" i="12766" s="1"/>
  <c r="O490" i="12766"/>
  <c r="G525" i="12766"/>
  <c r="I525" i="12766"/>
  <c r="I536" i="12766" s="1"/>
  <c r="I559" i="12766"/>
  <c r="I570" i="12766" s="1"/>
  <c r="O491" i="12766"/>
  <c r="C526" i="12766"/>
  <c r="C560" i="12766"/>
  <c r="G526" i="12766"/>
  <c r="I526" i="12766"/>
  <c r="I537" i="12766" s="1"/>
  <c r="I560" i="12766"/>
  <c r="I571" i="12766" s="1"/>
  <c r="O492" i="12766"/>
  <c r="C494" i="12766"/>
  <c r="D494" i="12766"/>
  <c r="E494" i="12766"/>
  <c r="E528" i="12766"/>
  <c r="G528" i="12766" s="1"/>
  <c r="E562" i="12766"/>
  <c r="G562" i="12766" s="1"/>
  <c r="I494" i="12766"/>
  <c r="I528" i="12766"/>
  <c r="I527" i="12766"/>
  <c r="I561" i="12766"/>
  <c r="C529" i="12766"/>
  <c r="C563" i="12766"/>
  <c r="D495" i="12766"/>
  <c r="E495" i="12766"/>
  <c r="E529" i="12766"/>
  <c r="G529" i="12766" s="1"/>
  <c r="E563" i="12766"/>
  <c r="G563" i="12766" s="1"/>
  <c r="H529" i="12766"/>
  <c r="I495" i="12766"/>
  <c r="I563" i="12766"/>
  <c r="K563" i="12766" s="1"/>
  <c r="C530" i="12766"/>
  <c r="C564" i="12766"/>
  <c r="D496" i="12766"/>
  <c r="E496" i="12766"/>
  <c r="E530" i="12766"/>
  <c r="G530" i="12766" s="1"/>
  <c r="E564" i="12766"/>
  <c r="G564" i="12766" s="1"/>
  <c r="I496" i="12766"/>
  <c r="M496" i="12766" s="1"/>
  <c r="I564" i="12766"/>
  <c r="K564" i="12766" s="1"/>
  <c r="C531" i="12766"/>
  <c r="C565" i="12766"/>
  <c r="E497" i="12766"/>
  <c r="E531" i="12766"/>
  <c r="E565" i="12766"/>
  <c r="I497" i="12766"/>
  <c r="I531" i="12766"/>
  <c r="C532" i="12766"/>
  <c r="C498" i="12766" s="1"/>
  <c r="E498" i="12766"/>
  <c r="E532" i="12766"/>
  <c r="G532" i="12766" s="1"/>
  <c r="E566" i="12766"/>
  <c r="G566" i="12766" s="1"/>
  <c r="I498" i="12766"/>
  <c r="I532" i="12766"/>
  <c r="C533" i="12766"/>
  <c r="C567" i="12766"/>
  <c r="E499" i="12766"/>
  <c r="E533" i="12766"/>
  <c r="E567" i="12766"/>
  <c r="G567" i="12766" s="1"/>
  <c r="I499" i="12766"/>
  <c r="I567" i="12766"/>
  <c r="C500" i="12766"/>
  <c r="E500" i="12766"/>
  <c r="E568" i="12766"/>
  <c r="G568" i="12766" s="1"/>
  <c r="I568" i="12766"/>
  <c r="C535" i="12766"/>
  <c r="C536" i="12766" s="1"/>
  <c r="C569" i="12766"/>
  <c r="C501" i="12766" s="1"/>
  <c r="E501" i="12766"/>
  <c r="E535" i="12766"/>
  <c r="G535" i="12766" s="1"/>
  <c r="E569" i="12766"/>
  <c r="I501" i="12766"/>
  <c r="E502" i="12766"/>
  <c r="E536" i="12766"/>
  <c r="E570" i="12766"/>
  <c r="I502" i="12766"/>
  <c r="C537" i="12766"/>
  <c r="C571" i="12766"/>
  <c r="C503" i="12766"/>
  <c r="E503" i="12766"/>
  <c r="E537" i="12766"/>
  <c r="G537" i="12766" s="1"/>
  <c r="E571" i="12766"/>
  <c r="G571" i="12766" s="1"/>
  <c r="I503" i="12766"/>
  <c r="C538" i="12766"/>
  <c r="D504" i="12766"/>
  <c r="G538" i="12766"/>
  <c r="H538" i="12766"/>
  <c r="H572" i="12766"/>
  <c r="I538" i="12766"/>
  <c r="K538" i="12766" s="1"/>
  <c r="I572" i="12766"/>
  <c r="K572" i="12766" s="1"/>
  <c r="M504" i="12766"/>
  <c r="C539" i="12766"/>
  <c r="G539" i="12766" s="1"/>
  <c r="D506" i="12766"/>
  <c r="C507" i="12766"/>
  <c r="D507" i="12766"/>
  <c r="G507" i="12766"/>
  <c r="H507" i="12766"/>
  <c r="K507" i="12766"/>
  <c r="O508" i="12766"/>
  <c r="D517" i="12766"/>
  <c r="C542" i="12766"/>
  <c r="D551" i="12766"/>
  <c r="C633" i="12766"/>
  <c r="C582" i="12766" s="1"/>
  <c r="C635" i="12766"/>
  <c r="C636" i="12766"/>
  <c r="C637" i="12766"/>
  <c r="C686" i="12766"/>
  <c r="G686" i="12766" s="1"/>
  <c r="C687" i="12766"/>
  <c r="G687" i="12766" s="1"/>
  <c r="C688" i="12766"/>
  <c r="G688" i="12766" s="1"/>
  <c r="D582" i="12766"/>
  <c r="G684" i="12766"/>
  <c r="H633" i="12766"/>
  <c r="H684" i="12766"/>
  <c r="I633" i="12766"/>
  <c r="K633" i="12766" s="1"/>
  <c r="I684" i="12766"/>
  <c r="K684" i="12766" s="1"/>
  <c r="M582" i="12766"/>
  <c r="E593" i="12766"/>
  <c r="R582" i="12766" s="1"/>
  <c r="S582" i="12766"/>
  <c r="T582" i="12766"/>
  <c r="U582" i="12766"/>
  <c r="R583" i="12766"/>
  <c r="S583" i="12766"/>
  <c r="T583" i="12766"/>
  <c r="U583" i="12766"/>
  <c r="D584" i="12766"/>
  <c r="H635" i="12766"/>
  <c r="H686" i="12766"/>
  <c r="I635" i="12766"/>
  <c r="K635" i="12766" s="1"/>
  <c r="I686" i="12766"/>
  <c r="K686" i="12766" s="1"/>
  <c r="M584" i="12766"/>
  <c r="D585" i="12766"/>
  <c r="M585" i="12766" s="1"/>
  <c r="H636" i="12766"/>
  <c r="H687" i="12766"/>
  <c r="I636" i="12766"/>
  <c r="K636" i="12766" s="1"/>
  <c r="I687" i="12766"/>
  <c r="K687" i="12766" s="1"/>
  <c r="O585" i="12766"/>
  <c r="D586" i="12766"/>
  <c r="H637" i="12766"/>
  <c r="H688" i="12766"/>
  <c r="I637" i="12766"/>
  <c r="K637" i="12766" s="1"/>
  <c r="I688" i="12766"/>
  <c r="K688" i="12766" s="1"/>
  <c r="M586" i="12766"/>
  <c r="O586" i="12766"/>
  <c r="D587" i="12766"/>
  <c r="S587" i="12766"/>
  <c r="U587" i="12766"/>
  <c r="C639" i="12766"/>
  <c r="C690" i="12766"/>
  <c r="D588" i="12766"/>
  <c r="C640" i="12766"/>
  <c r="C691" i="12766"/>
  <c r="D589" i="12766"/>
  <c r="C642" i="12766"/>
  <c r="C693" i="12766"/>
  <c r="C653" i="12766"/>
  <c r="C676" i="12766" s="1"/>
  <c r="C704" i="12766"/>
  <c r="C727" i="12766" s="1"/>
  <c r="G642" i="12766"/>
  <c r="H642" i="12766"/>
  <c r="I642" i="12766"/>
  <c r="K642" i="12766" s="1"/>
  <c r="I693" i="12766"/>
  <c r="I712" i="12766" s="1"/>
  <c r="O591" i="12766"/>
  <c r="C644" i="12766"/>
  <c r="H644" i="12766"/>
  <c r="C695" i="12766"/>
  <c r="G695" i="12766" s="1"/>
  <c r="C645" i="12766"/>
  <c r="G645" i="12766" s="1"/>
  <c r="H645" i="12766"/>
  <c r="C696" i="12766"/>
  <c r="G696" i="12766" s="1"/>
  <c r="C646" i="12766"/>
  <c r="H646" i="12766"/>
  <c r="C697" i="12766"/>
  <c r="G697" i="12766" s="1"/>
  <c r="C647" i="12766"/>
  <c r="H647" i="12766"/>
  <c r="C698" i="12766"/>
  <c r="G698" i="12766" s="1"/>
  <c r="H698" i="12766"/>
  <c r="C648" i="12766"/>
  <c r="H648" i="12766"/>
  <c r="C699" i="12766"/>
  <c r="G699" i="12766" s="1"/>
  <c r="H699" i="12766"/>
  <c r="I644" i="12766"/>
  <c r="K644" i="12766" s="1"/>
  <c r="I695" i="12766"/>
  <c r="I714" i="12766" s="1"/>
  <c r="I645" i="12766"/>
  <c r="K645" i="12766" s="1"/>
  <c r="I696" i="12766"/>
  <c r="I715" i="12766" s="1"/>
  <c r="I646" i="12766"/>
  <c r="K646" i="12766" s="1"/>
  <c r="I697" i="12766"/>
  <c r="I716" i="12766" s="1"/>
  <c r="I647" i="12766"/>
  <c r="K647" i="12766" s="1"/>
  <c r="I698" i="12766"/>
  <c r="K698" i="12766" s="1"/>
  <c r="I648" i="12766"/>
  <c r="K648" i="12766" s="1"/>
  <c r="I699" i="12766"/>
  <c r="K699" i="12766" s="1"/>
  <c r="I653" i="12766"/>
  <c r="I704" i="12766"/>
  <c r="O594" i="12766"/>
  <c r="O595" i="12766"/>
  <c r="C596" i="12766"/>
  <c r="D596" i="12766"/>
  <c r="G647" i="12766"/>
  <c r="M596" i="12766"/>
  <c r="O596" i="12766"/>
  <c r="D597" i="12766"/>
  <c r="M597" i="12766" s="1"/>
  <c r="O597" i="12766"/>
  <c r="C650" i="12766"/>
  <c r="C701" i="12766"/>
  <c r="E599" i="12766"/>
  <c r="E618" i="12766" s="1"/>
  <c r="E650" i="12766"/>
  <c r="E701" i="12766"/>
  <c r="I599" i="12766"/>
  <c r="I618" i="12766" s="1"/>
  <c r="C651" i="12766"/>
  <c r="C702" i="12766"/>
  <c r="E651" i="12766"/>
  <c r="G651" i="12766" s="1"/>
  <c r="E702" i="12766"/>
  <c r="G702" i="12766" s="1"/>
  <c r="I600" i="12766"/>
  <c r="I619" i="12766" s="1"/>
  <c r="O602" i="12766"/>
  <c r="C654" i="12766"/>
  <c r="G654" i="12766" s="1"/>
  <c r="C705" i="12766"/>
  <c r="C603" i="12766" s="1"/>
  <c r="I654" i="12766"/>
  <c r="I705" i="12766"/>
  <c r="O603" i="12766"/>
  <c r="C605" i="12766"/>
  <c r="D605" i="12766"/>
  <c r="E605" i="12766"/>
  <c r="E656" i="12766"/>
  <c r="G656" i="12766" s="1"/>
  <c r="E707" i="12766"/>
  <c r="G707" i="12766" s="1"/>
  <c r="I605" i="12766"/>
  <c r="M605" i="12766" s="1"/>
  <c r="C607" i="12766"/>
  <c r="D607" i="12766"/>
  <c r="E607" i="12766"/>
  <c r="E658" i="12766"/>
  <c r="G658" i="12766" s="1"/>
  <c r="E709" i="12766"/>
  <c r="G709" i="12766" s="1"/>
  <c r="I607" i="12766"/>
  <c r="M607" i="12766" s="1"/>
  <c r="C608" i="12766"/>
  <c r="D608" i="12766"/>
  <c r="E608" i="12766"/>
  <c r="E659" i="12766"/>
  <c r="G659" i="12766" s="1"/>
  <c r="E710" i="12766"/>
  <c r="G710" i="12766" s="1"/>
  <c r="I608" i="12766"/>
  <c r="M608" i="12766" s="1"/>
  <c r="I659" i="12766"/>
  <c r="K659" i="12766" s="1"/>
  <c r="C609" i="12766"/>
  <c r="D609" i="12766"/>
  <c r="E609" i="12766"/>
  <c r="E660" i="12766"/>
  <c r="G660" i="12766" s="1"/>
  <c r="E711" i="12766"/>
  <c r="G711" i="12766" s="1"/>
  <c r="I609" i="12766"/>
  <c r="M609" i="12766" s="1"/>
  <c r="C610" i="12766"/>
  <c r="E610" i="12766"/>
  <c r="E661" i="12766"/>
  <c r="G661" i="12766" s="1"/>
  <c r="E712" i="12766"/>
  <c r="G712" i="12766" s="1"/>
  <c r="H661" i="12766"/>
  <c r="I610" i="12766"/>
  <c r="I661" i="12766"/>
  <c r="K661" i="12766" s="1"/>
  <c r="C612" i="12766"/>
  <c r="E663" i="12766"/>
  <c r="G663" i="12766" s="1"/>
  <c r="E714" i="12766"/>
  <c r="G714" i="12766" s="1"/>
  <c r="I612" i="12766"/>
  <c r="C613" i="12766"/>
  <c r="E613" i="12766"/>
  <c r="E664" i="12766"/>
  <c r="G664" i="12766" s="1"/>
  <c r="E715" i="12766"/>
  <c r="G715" i="12766" s="1"/>
  <c r="I613" i="12766"/>
  <c r="I664" i="12766"/>
  <c r="C614" i="12766"/>
  <c r="E614" i="12766"/>
  <c r="E665" i="12766"/>
  <c r="G665" i="12766" s="1"/>
  <c r="E716" i="12766"/>
  <c r="G716" i="12766" s="1"/>
  <c r="I614" i="12766"/>
  <c r="C615" i="12766"/>
  <c r="D615" i="12766"/>
  <c r="E615" i="12766"/>
  <c r="E666" i="12766"/>
  <c r="G666" i="12766" s="1"/>
  <c r="E717" i="12766"/>
  <c r="G717" i="12766" s="1"/>
  <c r="H666" i="12766"/>
  <c r="I615" i="12766"/>
  <c r="C616" i="12766"/>
  <c r="D616" i="12766"/>
  <c r="E616" i="12766"/>
  <c r="E667" i="12766"/>
  <c r="G667" i="12766" s="1"/>
  <c r="E718" i="12766"/>
  <c r="G718" i="12766" s="1"/>
  <c r="H667" i="12766"/>
  <c r="I616" i="12766"/>
  <c r="M616" i="12766" s="1"/>
  <c r="C618" i="12766"/>
  <c r="C619" i="12766"/>
  <c r="C723" i="12766"/>
  <c r="C621" i="12766" s="1"/>
  <c r="E621" i="12766"/>
  <c r="E672" i="12766"/>
  <c r="G672" i="12766" s="1"/>
  <c r="E723" i="12766"/>
  <c r="I621" i="12766"/>
  <c r="C622" i="12766"/>
  <c r="E622" i="12766"/>
  <c r="E673" i="12766"/>
  <c r="G673" i="12766" s="1"/>
  <c r="E724" i="12766"/>
  <c r="G724" i="12766" s="1"/>
  <c r="I622" i="12766"/>
  <c r="C725" i="12766"/>
  <c r="C623" i="12766" s="1"/>
  <c r="D623" i="12766"/>
  <c r="M623" i="12766" s="1"/>
  <c r="G674" i="12766"/>
  <c r="G725" i="12766"/>
  <c r="G623" i="12766" s="1"/>
  <c r="H674" i="12766"/>
  <c r="H725" i="12766"/>
  <c r="I674" i="12766"/>
  <c r="K674" i="12766" s="1"/>
  <c r="I725" i="12766"/>
  <c r="K725" i="12766" s="1"/>
  <c r="C726" i="12766"/>
  <c r="C624" i="12766" s="1"/>
  <c r="G675" i="12766"/>
  <c r="G726" i="12766"/>
  <c r="I675" i="12766"/>
  <c r="I726" i="12766"/>
  <c r="D625" i="12766"/>
  <c r="C626" i="12766"/>
  <c r="D626" i="12766"/>
  <c r="G626" i="12766"/>
  <c r="H626" i="12766"/>
  <c r="K626" i="12766"/>
  <c r="O627" i="12766"/>
  <c r="I655" i="12766"/>
  <c r="D678" i="12766"/>
  <c r="I706" i="12766"/>
  <c r="D729" i="12766"/>
  <c r="C737" i="12766"/>
  <c r="E735" i="12766"/>
  <c r="G735" i="12766" s="1"/>
  <c r="I794" i="12766"/>
  <c r="I735" i="12766" s="1"/>
  <c r="E736" i="12766"/>
  <c r="G736" i="12766" s="1"/>
  <c r="I795" i="12766"/>
  <c r="I736" i="12766" s="1"/>
  <c r="K736" i="12766" s="1"/>
  <c r="D737" i="12766"/>
  <c r="E737" i="12766"/>
  <c r="I737" i="12766"/>
  <c r="C738" i="12766"/>
  <c r="C742" i="12766"/>
  <c r="C758" i="12766" s="1"/>
  <c r="E738" i="12766"/>
  <c r="G738" i="12766" s="1"/>
  <c r="I797" i="12766"/>
  <c r="I738" i="12766" s="1"/>
  <c r="E739" i="12766"/>
  <c r="G739" i="12766" s="1"/>
  <c r="I798" i="12766"/>
  <c r="I739" i="12766" s="1"/>
  <c r="C740" i="12766"/>
  <c r="E740" i="12766"/>
  <c r="E756" i="12766" s="1"/>
  <c r="G756" i="12766" s="1"/>
  <c r="I799" i="12766"/>
  <c r="I740" i="12766" s="1"/>
  <c r="E742" i="12766"/>
  <c r="I801" i="12766"/>
  <c r="I742" i="12766" s="1"/>
  <c r="C743" i="12766"/>
  <c r="E743" i="12766"/>
  <c r="I802" i="12766"/>
  <c r="I743" i="12766" s="1"/>
  <c r="G744" i="12766"/>
  <c r="H744" i="12766"/>
  <c r="K744" i="12766"/>
  <c r="M744" i="12766"/>
  <c r="E745" i="12766"/>
  <c r="I803" i="12766"/>
  <c r="I745" i="12766" s="1"/>
  <c r="C747" i="12766"/>
  <c r="E748" i="12766"/>
  <c r="G748" i="12766" s="1"/>
  <c r="C749" i="12766"/>
  <c r="E752" i="12766"/>
  <c r="G752" i="12766" s="1"/>
  <c r="E753" i="12766"/>
  <c r="G753" i="12766" s="1"/>
  <c r="H753" i="12766"/>
  <c r="I811" i="12766"/>
  <c r="I753" i="12766" s="1"/>
  <c r="E754" i="12766"/>
  <c r="G754" i="12766" s="1"/>
  <c r="I812" i="12766"/>
  <c r="I754" i="12766" s="1"/>
  <c r="K754" i="12766" s="1"/>
  <c r="C755" i="12766"/>
  <c r="O760" i="12766"/>
  <c r="C822" i="12766"/>
  <c r="C850" i="12766"/>
  <c r="C794" i="12766" s="1"/>
  <c r="C824" i="12766"/>
  <c r="C851" i="12766"/>
  <c r="G851" i="12766" s="1"/>
  <c r="D794" i="12766"/>
  <c r="C879" i="12766"/>
  <c r="D766" i="12766"/>
  <c r="M766" i="12766" s="1"/>
  <c r="G822" i="12766"/>
  <c r="G877" i="12766"/>
  <c r="H822" i="12766"/>
  <c r="H850" i="12766"/>
  <c r="H877" i="12766"/>
  <c r="I822" i="12766"/>
  <c r="K822" i="12766" s="1"/>
  <c r="I850" i="12766"/>
  <c r="K850" i="12766" s="1"/>
  <c r="I877" i="12766"/>
  <c r="K877" i="12766" s="1"/>
  <c r="O766" i="12766"/>
  <c r="I823" i="12766"/>
  <c r="K823" i="12766" s="1"/>
  <c r="I851" i="12766"/>
  <c r="K851" i="12766" s="1"/>
  <c r="I878" i="12766"/>
  <c r="K878" i="12766" s="1"/>
  <c r="C825" i="12766"/>
  <c r="G825" i="12766" s="1"/>
  <c r="C829" i="12766"/>
  <c r="C841" i="12766" s="1"/>
  <c r="I825" i="12766"/>
  <c r="I834" i="12766" s="1"/>
  <c r="C857" i="12766"/>
  <c r="C869" i="12766" s="1"/>
  <c r="C853" i="12766"/>
  <c r="C797" i="12766" s="1"/>
  <c r="C769" i="12766" s="1"/>
  <c r="I853" i="12766"/>
  <c r="C884" i="12766"/>
  <c r="C896" i="12766" s="1"/>
  <c r="I880" i="12766"/>
  <c r="K880" i="12766" s="1"/>
  <c r="C826" i="12766"/>
  <c r="G826" i="12766" s="1"/>
  <c r="I826" i="12766"/>
  <c r="C854" i="12766"/>
  <c r="G854" i="12766" s="1"/>
  <c r="I854" i="12766"/>
  <c r="I881" i="12766"/>
  <c r="I890" i="12766" s="1"/>
  <c r="H823" i="12766"/>
  <c r="H851" i="12766"/>
  <c r="H795" i="12766" s="1"/>
  <c r="H767" i="12766" s="1"/>
  <c r="H878" i="12766"/>
  <c r="H880" i="12766"/>
  <c r="R766" i="12766"/>
  <c r="S766" i="12766"/>
  <c r="D795" i="12766"/>
  <c r="D767" i="12766" s="1"/>
  <c r="G823" i="12766"/>
  <c r="G878" i="12766"/>
  <c r="O767" i="12766"/>
  <c r="R767" i="12766"/>
  <c r="S767" i="12766"/>
  <c r="G880" i="12766"/>
  <c r="O769" i="12766"/>
  <c r="G881" i="12766"/>
  <c r="O770" i="12766"/>
  <c r="S770" i="12766"/>
  <c r="C827" i="12766"/>
  <c r="C855" i="12766"/>
  <c r="G827" i="12766"/>
  <c r="G882" i="12766"/>
  <c r="I827" i="12766"/>
  <c r="I855" i="12766"/>
  <c r="I882" i="12766"/>
  <c r="I891" i="12766" s="1"/>
  <c r="O771" i="12766"/>
  <c r="G857" i="12766"/>
  <c r="I829" i="12766"/>
  <c r="I837" i="12766" s="1"/>
  <c r="I857" i="12766"/>
  <c r="I865" i="12766" s="1"/>
  <c r="I884" i="12766"/>
  <c r="I892" i="12766" s="1"/>
  <c r="O773" i="12766"/>
  <c r="C830" i="12766"/>
  <c r="G830" i="12766" s="1"/>
  <c r="C858" i="12766"/>
  <c r="G885" i="12766"/>
  <c r="I830" i="12766"/>
  <c r="I858" i="12766"/>
  <c r="I866" i="12766" s="1"/>
  <c r="I885" i="12766"/>
  <c r="I893" i="12766" s="1"/>
  <c r="O774" i="12766"/>
  <c r="C804" i="12766"/>
  <c r="C776" i="12766" s="1"/>
  <c r="D804" i="12766"/>
  <c r="D776" i="12766" s="1"/>
  <c r="E776" i="12766"/>
  <c r="E832" i="12766"/>
  <c r="G832" i="12766" s="1"/>
  <c r="E860" i="12766"/>
  <c r="G860" i="12766" s="1"/>
  <c r="E887" i="12766"/>
  <c r="G887" i="12766" s="1"/>
  <c r="I776" i="12766"/>
  <c r="I832" i="12766"/>
  <c r="K832" i="12766" s="1"/>
  <c r="C805" i="12766"/>
  <c r="C777" i="12766" s="1"/>
  <c r="D805" i="12766"/>
  <c r="D777" i="12766" s="1"/>
  <c r="E777" i="12766"/>
  <c r="E833" i="12766"/>
  <c r="G833" i="12766" s="1"/>
  <c r="E861" i="12766"/>
  <c r="G861" i="12766" s="1"/>
  <c r="E888" i="12766"/>
  <c r="G888" i="12766" s="1"/>
  <c r="H861" i="12766"/>
  <c r="I777" i="12766"/>
  <c r="M777" i="12766" s="1"/>
  <c r="I833" i="12766"/>
  <c r="K833" i="12766" s="1"/>
  <c r="I888" i="12766"/>
  <c r="K888" i="12766" s="1"/>
  <c r="C806" i="12766"/>
  <c r="C778" i="12766" s="1"/>
  <c r="E778" i="12766"/>
  <c r="E834" i="12766"/>
  <c r="G834" i="12766" s="1"/>
  <c r="E862" i="12766"/>
  <c r="G862" i="12766" s="1"/>
  <c r="E889" i="12766"/>
  <c r="G889" i="12766" s="1"/>
  <c r="I778" i="12766"/>
  <c r="I862" i="12766"/>
  <c r="C863" i="12766"/>
  <c r="C807" i="12766" s="1"/>
  <c r="C779" i="12766" s="1"/>
  <c r="E779" i="12766"/>
  <c r="E835" i="12766"/>
  <c r="G835" i="12766" s="1"/>
  <c r="E863" i="12766"/>
  <c r="E890" i="12766"/>
  <c r="G890" i="12766" s="1"/>
  <c r="I779" i="12766"/>
  <c r="I835" i="12766"/>
  <c r="I863" i="12766"/>
  <c r="C836" i="12766"/>
  <c r="C864" i="12766"/>
  <c r="E780" i="12766"/>
  <c r="E836" i="12766"/>
  <c r="E864" i="12766"/>
  <c r="E891" i="12766"/>
  <c r="G891" i="12766" s="1"/>
  <c r="I780" i="12766"/>
  <c r="C837" i="12766"/>
  <c r="D837" i="12766" s="1"/>
  <c r="C865" i="12766"/>
  <c r="E781" i="12766"/>
  <c r="E837" i="12766"/>
  <c r="E865" i="12766"/>
  <c r="E892" i="12766"/>
  <c r="I781" i="12766"/>
  <c r="C838" i="12766"/>
  <c r="C866" i="12766"/>
  <c r="E782" i="12766"/>
  <c r="E838" i="12766"/>
  <c r="E866" i="12766"/>
  <c r="E893" i="12766"/>
  <c r="G893" i="12766" s="1"/>
  <c r="I782" i="12766"/>
  <c r="I838" i="12766"/>
  <c r="C839" i="12766"/>
  <c r="G839" i="12766" s="1"/>
  <c r="C867" i="12766"/>
  <c r="D811" i="12766"/>
  <c r="D783" i="12766" s="1"/>
  <c r="M783" i="12766" s="1"/>
  <c r="G867" i="12766"/>
  <c r="G894" i="12766"/>
  <c r="H839" i="12766"/>
  <c r="H867" i="12766"/>
  <c r="H894" i="12766"/>
  <c r="I839" i="12766"/>
  <c r="K839" i="12766" s="1"/>
  <c r="I867" i="12766"/>
  <c r="K867" i="12766" s="1"/>
  <c r="I894" i="12766"/>
  <c r="K894" i="12766" s="1"/>
  <c r="O783" i="12766"/>
  <c r="C840" i="12766"/>
  <c r="C868" i="12766"/>
  <c r="G840" i="12766"/>
  <c r="G895" i="12766"/>
  <c r="I840" i="12766"/>
  <c r="I868" i="12766"/>
  <c r="I895" i="12766"/>
  <c r="D813" i="12766"/>
  <c r="D785" i="12766" s="1"/>
  <c r="C814" i="12766"/>
  <c r="C786" i="12766" s="1"/>
  <c r="D814" i="12766"/>
  <c r="D786" i="12766" s="1"/>
  <c r="G814" i="12766"/>
  <c r="G786" i="12766" s="1"/>
  <c r="H814" i="12766"/>
  <c r="H786" i="12766" s="1"/>
  <c r="K814" i="12766"/>
  <c r="K786" i="12766" s="1"/>
  <c r="O787" i="12766"/>
  <c r="E804" i="12766"/>
  <c r="E805" i="12766"/>
  <c r="E806" i="12766"/>
  <c r="E807" i="12766"/>
  <c r="E808" i="12766"/>
  <c r="I808" i="12766"/>
  <c r="E809" i="12766"/>
  <c r="I809" i="12766"/>
  <c r="E810" i="12766"/>
  <c r="D824" i="12766"/>
  <c r="I831" i="12766"/>
  <c r="D852" i="12766"/>
  <c r="I859" i="12766"/>
  <c r="I886" i="12766"/>
  <c r="C904" i="12766"/>
  <c r="D904" i="12766" s="1"/>
  <c r="O911" i="12766"/>
  <c r="C905" i="12766"/>
  <c r="D905" i="12766" s="1"/>
  <c r="C906" i="12766"/>
  <c r="D906" i="12766" s="1"/>
  <c r="C907" i="12766"/>
  <c r="D907" i="12766" s="1"/>
  <c r="G907" i="12766"/>
  <c r="C908" i="12766"/>
  <c r="C911" i="12766"/>
  <c r="D911" i="12766"/>
  <c r="K916" i="12766"/>
  <c r="M916" i="12766" s="1"/>
  <c r="C917" i="12766"/>
  <c r="C920" i="12766" s="1"/>
  <c r="G918" i="12766"/>
  <c r="C919" i="12766"/>
  <c r="D922" i="12766"/>
  <c r="O922" i="12766"/>
  <c r="G927" i="12766"/>
  <c r="H927" i="12766"/>
  <c r="K927" i="12766"/>
  <c r="M927" i="12766" s="1"/>
  <c r="C939" i="12766"/>
  <c r="C928" i="12766" s="1"/>
  <c r="C940" i="12766"/>
  <c r="C951" i="12766"/>
  <c r="C953" i="12766" s="1"/>
  <c r="G950" i="12766"/>
  <c r="I950" i="12766"/>
  <c r="I951" i="12766" s="1"/>
  <c r="E929" i="12766"/>
  <c r="E940" i="12766"/>
  <c r="G940" i="12766"/>
  <c r="E951" i="12766"/>
  <c r="G951" i="12766"/>
  <c r="I929" i="12766"/>
  <c r="I940" i="12766"/>
  <c r="C941" i="12766"/>
  <c r="C952" i="12766"/>
  <c r="C930" i="12766" s="1"/>
  <c r="D930" i="12766"/>
  <c r="D931" i="12766"/>
  <c r="K938" i="12766"/>
  <c r="K949" i="12766"/>
  <c r="C932" i="12766"/>
  <c r="D932" i="12766"/>
  <c r="G932" i="12766"/>
  <c r="H932" i="12766"/>
  <c r="K932" i="12766"/>
  <c r="D933" i="12766"/>
  <c r="O933" i="12766"/>
  <c r="D944" i="12766"/>
  <c r="D955" i="12766"/>
  <c r="C962" i="12766"/>
  <c r="G960" i="12766"/>
  <c r="H960" i="12766"/>
  <c r="K960" i="12766"/>
  <c r="M960" i="12766"/>
  <c r="G961" i="12766"/>
  <c r="H961" i="12766"/>
  <c r="K961" i="12766"/>
  <c r="M961" i="12766"/>
  <c r="C963" i="12766"/>
  <c r="C964" i="12766" s="1"/>
  <c r="C966" i="12766" s="1"/>
  <c r="G963" i="12766"/>
  <c r="H963" i="12766"/>
  <c r="K963" i="12766"/>
  <c r="K964" i="12766" s="1"/>
  <c r="K966" i="12766" s="1"/>
  <c r="M963" i="12766"/>
  <c r="D964" i="12766"/>
  <c r="D966" i="12766"/>
  <c r="O966" i="12766"/>
  <c r="C972" i="12766"/>
  <c r="D972" i="12766" s="1"/>
  <c r="O1003" i="12766"/>
  <c r="C973" i="12766"/>
  <c r="D973" i="12766" s="1"/>
  <c r="C974" i="12766"/>
  <c r="D974" i="12766" s="1"/>
  <c r="C976" i="12766"/>
  <c r="D976" i="12766" s="1"/>
  <c r="C977" i="12766"/>
  <c r="D977" i="12766" s="1"/>
  <c r="H977" i="12766" s="1"/>
  <c r="C980" i="12766"/>
  <c r="D980" i="12766" s="1"/>
  <c r="C981" i="12766"/>
  <c r="D981" i="12766" s="1"/>
  <c r="D982" i="12766"/>
  <c r="H982" i="12766" s="1"/>
  <c r="D984" i="12766"/>
  <c r="H984" i="12766" s="1"/>
  <c r="D985" i="12766"/>
  <c r="H985" i="12766" s="1"/>
  <c r="D988" i="12766"/>
  <c r="H988" i="12766" s="1"/>
  <c r="D989" i="12766"/>
  <c r="H989" i="12766" s="1"/>
  <c r="D990" i="12766"/>
  <c r="H990" i="12766" s="1"/>
  <c r="D992" i="12766"/>
  <c r="H992" i="12766" s="1"/>
  <c r="D993" i="12766"/>
  <c r="H993" i="12766" s="1"/>
  <c r="C995" i="12766"/>
  <c r="D995" i="12766" s="1"/>
  <c r="C996" i="12766"/>
  <c r="D996" i="12766" s="1"/>
  <c r="H996" i="12766" s="1"/>
  <c r="D997" i="12766"/>
  <c r="H997" i="12766" s="1"/>
  <c r="C999" i="12766"/>
  <c r="D999" i="12766" s="1"/>
  <c r="P997" i="12766"/>
  <c r="G981" i="12766"/>
  <c r="G982" i="12766"/>
  <c r="G984" i="12766"/>
  <c r="G985" i="12766"/>
  <c r="G988" i="12766"/>
  <c r="M988" i="12766"/>
  <c r="G989" i="12766"/>
  <c r="G990" i="12766"/>
  <c r="G992" i="12766"/>
  <c r="G993" i="12766"/>
  <c r="M993" i="12766"/>
  <c r="G997" i="12766"/>
  <c r="G999" i="12766"/>
  <c r="C1000" i="12766"/>
  <c r="C1003" i="12766"/>
  <c r="D1003" i="12766"/>
  <c r="K1008" i="12766"/>
  <c r="O1008" i="12766"/>
  <c r="B12" i="12767"/>
  <c r="B13" i="12767"/>
  <c r="B15" i="12767"/>
  <c r="B16" i="12767"/>
  <c r="B17" i="12767"/>
  <c r="B18" i="12767"/>
  <c r="M82" i="12767"/>
  <c r="B85" i="12767"/>
  <c r="M85" i="12767"/>
  <c r="B86" i="12767"/>
  <c r="M86" i="12767"/>
  <c r="B87" i="12767"/>
  <c r="I87" i="12767"/>
  <c r="P87" i="12767" s="1"/>
  <c r="B160" i="12767"/>
  <c r="B484" i="12767"/>
  <c r="B447" i="12767"/>
  <c r="B161" i="12767" s="1"/>
  <c r="B413" i="12767"/>
  <c r="B378" i="12767"/>
  <c r="B448" i="12767"/>
  <c r="B162" i="12767" s="1"/>
  <c r="H448" i="12767"/>
  <c r="H162" i="12767" s="1"/>
  <c r="B340" i="12767"/>
  <c r="B341" i="12767"/>
  <c r="B342" i="12767"/>
  <c r="H342" i="12767" s="1"/>
  <c r="B519" i="12767"/>
  <c r="B345" i="12767"/>
  <c r="H345" i="12767" s="1"/>
  <c r="B451" i="12767"/>
  <c r="B346" i="12767"/>
  <c r="B452" i="12767"/>
  <c r="B347" i="12767"/>
  <c r="H347" i="12767" s="1"/>
  <c r="B453" i="12767"/>
  <c r="B454" i="12767"/>
  <c r="B349" i="12767"/>
  <c r="H349" i="12767" s="1"/>
  <c r="B455" i="12767"/>
  <c r="B181" i="12767"/>
  <c r="B182" i="12767"/>
  <c r="B183" i="12767"/>
  <c r="B184" i="12767"/>
  <c r="B185" i="12767"/>
  <c r="B186" i="12767"/>
  <c r="B188" i="12767"/>
  <c r="B189" i="12767"/>
  <c r="B190" i="12767"/>
  <c r="B446" i="12767"/>
  <c r="H552" i="12767"/>
  <c r="H553" i="12767"/>
  <c r="H554" i="12767"/>
  <c r="B555" i="12767"/>
  <c r="H556" i="12767"/>
  <c r="H557" i="12767"/>
  <c r="H559" i="12767"/>
  <c r="H561" i="12767"/>
  <c r="H562" i="12767"/>
  <c r="H563" i="12767"/>
  <c r="H564" i="12767"/>
  <c r="H568" i="12767"/>
  <c r="H569" i="12767"/>
  <c r="H570" i="12767"/>
  <c r="H571" i="12767"/>
  <c r="H572" i="12767"/>
  <c r="H573" i="12767"/>
  <c r="H574" i="12767"/>
  <c r="H575" i="12767"/>
  <c r="H576" i="12767"/>
  <c r="H577" i="12767"/>
  <c r="H578" i="12767"/>
  <c r="H579" i="12767"/>
  <c r="H582" i="12767"/>
  <c r="H595" i="12767"/>
  <c r="B597" i="12767"/>
  <c r="B598" i="12767"/>
  <c r="B600" i="12767"/>
  <c r="B601" i="12767"/>
  <c r="B605" i="12767"/>
  <c r="B611" i="12767"/>
  <c r="E611" i="12767"/>
  <c r="H611" i="12767"/>
  <c r="B612" i="12767"/>
  <c r="B613" i="12767"/>
  <c r="H613" i="12767"/>
  <c r="B614" i="12767"/>
  <c r="B615" i="12767"/>
  <c r="B616" i="12767"/>
  <c r="B617" i="12767"/>
  <c r="B618" i="12767"/>
  <c r="B620" i="12767"/>
  <c r="B621" i="12767"/>
  <c r="B709" i="12767"/>
  <c r="B711" i="12767"/>
  <c r="M711" i="12767"/>
  <c r="B712" i="12767"/>
  <c r="B713" i="12767"/>
  <c r="B715" i="12767"/>
  <c r="B716" i="12767"/>
  <c r="B718" i="12767"/>
  <c r="B720" i="12767"/>
  <c r="B721" i="12767"/>
  <c r="B722" i="12767"/>
  <c r="B723" i="12767"/>
  <c r="B724" i="12767"/>
  <c r="B726" i="12767"/>
  <c r="B727" i="12767"/>
  <c r="B729" i="12767"/>
  <c r="B730" i="12767"/>
  <c r="B734" i="12767"/>
  <c r="H734" i="12767"/>
  <c r="B736" i="12767"/>
  <c r="I736" i="12767"/>
  <c r="M736" i="12767" s="1"/>
  <c r="B737" i="12767"/>
  <c r="B738" i="12767"/>
  <c r="B739" i="12767"/>
  <c r="B741" i="12767"/>
  <c r="B742" i="12767"/>
  <c r="B743" i="12767"/>
  <c r="B744" i="12767"/>
  <c r="B745" i="12767"/>
  <c r="B747" i="12767"/>
  <c r="B748" i="12767"/>
  <c r="B750" i="12767"/>
  <c r="B751" i="12767"/>
  <c r="I871" i="12767"/>
  <c r="M878" i="12767"/>
  <c r="M892" i="12767"/>
  <c r="M894" i="12767"/>
  <c r="M895" i="12767"/>
  <c r="M896" i="12767"/>
  <c r="M898" i="12767"/>
  <c r="M899" i="12767"/>
  <c r="M1097" i="12767"/>
  <c r="M1100" i="12767"/>
  <c r="M1105" i="12767"/>
  <c r="M1109" i="12767"/>
  <c r="M1124" i="12767"/>
  <c r="M1125" i="12767"/>
  <c r="M1126" i="12767"/>
  <c r="H1130" i="12767"/>
  <c r="H1137" i="12767"/>
  <c r="M1138" i="12767"/>
  <c r="M1139" i="12767"/>
  <c r="M1189" i="12767"/>
  <c r="M1195" i="12767" s="1"/>
  <c r="M1190" i="12767"/>
  <c r="M1192" i="12767"/>
  <c r="M1207" i="12767"/>
  <c r="M1211" i="12767"/>
  <c r="M1213" i="12767"/>
  <c r="M1216" i="12767"/>
  <c r="M1220" i="12767"/>
  <c r="M1223" i="12767"/>
  <c r="M1226" i="12767"/>
  <c r="M1228" i="12767"/>
  <c r="Y21" i="12769"/>
  <c r="Y22" i="12769"/>
  <c r="Y23" i="12769"/>
  <c r="Y18" i="12769"/>
  <c r="Y20" i="12769"/>
  <c r="G18" i="12771"/>
  <c r="I18" i="12771"/>
  <c r="G19" i="12771"/>
  <c r="I19" i="12771"/>
  <c r="G20" i="12771"/>
  <c r="I20" i="12771"/>
  <c r="G23" i="12771"/>
  <c r="I23" i="12771"/>
  <c r="G24" i="12771"/>
  <c r="I24" i="12771"/>
  <c r="G25" i="12771"/>
  <c r="I25" i="12771"/>
  <c r="G27" i="12771"/>
  <c r="I27" i="12771"/>
  <c r="G28" i="12771"/>
  <c r="I28" i="12771"/>
  <c r="G29" i="12771"/>
  <c r="I29" i="12771"/>
  <c r="G31" i="12771"/>
  <c r="I31" i="12771"/>
  <c r="G32" i="12771"/>
  <c r="I32" i="12771"/>
  <c r="G33" i="12771"/>
  <c r="I33" i="12771"/>
  <c r="G15" i="12772"/>
  <c r="G16" i="12772"/>
  <c r="G17" i="12772"/>
  <c r="G19" i="12772"/>
  <c r="G20" i="12772"/>
  <c r="G21" i="12772"/>
  <c r="G23" i="12772"/>
  <c r="G24" i="12772"/>
  <c r="G25" i="12772"/>
  <c r="G27" i="12772"/>
  <c r="G28" i="12772"/>
  <c r="G29" i="12772"/>
  <c r="I11" i="12764"/>
  <c r="C105" i="12764"/>
  <c r="G21" i="12763"/>
  <c r="K21" i="12763" s="1"/>
  <c r="L21" i="12763"/>
  <c r="E28" i="12763"/>
  <c r="I28" i="12763"/>
  <c r="L28" i="12763"/>
  <c r="E41" i="12763"/>
  <c r="I41" i="12763"/>
  <c r="J46" i="12763"/>
  <c r="L46" i="12763" s="1"/>
  <c r="E47" i="12763"/>
  <c r="I47" i="12763"/>
  <c r="K48" i="12763"/>
  <c r="K49" i="12763"/>
  <c r="K50" i="12763"/>
  <c r="E56" i="12763"/>
  <c r="I56" i="12763"/>
  <c r="N58" i="12763"/>
  <c r="E63" i="12763"/>
  <c r="I63" i="12763"/>
  <c r="N63" i="12763"/>
  <c r="E64" i="12763"/>
  <c r="L64" i="12763"/>
  <c r="N64" i="12763"/>
  <c r="E67" i="12763"/>
  <c r="I67" i="12763"/>
  <c r="N67" i="12763"/>
  <c r="E69" i="12763"/>
  <c r="I69" i="12763"/>
  <c r="N69" i="12763"/>
  <c r="E72" i="12763"/>
  <c r="I72" i="12763"/>
  <c r="N72" i="12763"/>
  <c r="E73" i="12763"/>
  <c r="I73" i="12763"/>
  <c r="N73" i="12763"/>
  <c r="I76" i="12763"/>
  <c r="N76" i="12763"/>
  <c r="E77" i="12763"/>
  <c r="I77" i="12763"/>
  <c r="N77" i="12763"/>
  <c r="E78" i="12763"/>
  <c r="I78" i="12763"/>
  <c r="N78" i="12763"/>
  <c r="E82" i="12763"/>
  <c r="E83" i="12763" s="1"/>
  <c r="I82" i="12763"/>
  <c r="N82" i="12763"/>
  <c r="N83" i="12763" s="1"/>
  <c r="I83" i="12763"/>
  <c r="E86" i="12763"/>
  <c r="I86" i="12763"/>
  <c r="N86" i="12763"/>
  <c r="E88" i="12763"/>
  <c r="I88" i="12763"/>
  <c r="N88" i="12763"/>
  <c r="E89" i="12763"/>
  <c r="I89" i="12763"/>
  <c r="N89" i="12763"/>
  <c r="E92" i="12763"/>
  <c r="I92" i="12763"/>
  <c r="N92" i="12763"/>
  <c r="N94" i="12763"/>
  <c r="E95" i="12763"/>
  <c r="E96" i="12763" s="1"/>
  <c r="I95" i="12763"/>
  <c r="N95" i="12763"/>
  <c r="E98" i="12763"/>
  <c r="I98" i="12763"/>
  <c r="N98" i="12763"/>
  <c r="E100" i="12763"/>
  <c r="I100" i="12763"/>
  <c r="N100" i="12763"/>
  <c r="E102" i="12763"/>
  <c r="I102" i="12763"/>
  <c r="N102" i="12763"/>
  <c r="E103" i="12763"/>
  <c r="I103" i="12763"/>
  <c r="N103" i="12763"/>
  <c r="E106" i="12763"/>
  <c r="I106" i="12763"/>
  <c r="N106" i="12763"/>
  <c r="E108" i="12763"/>
  <c r="I108" i="12763"/>
  <c r="N108" i="12763"/>
  <c r="I21" i="12764"/>
  <c r="N21" i="12764" s="1"/>
  <c r="X21" i="12764" s="1"/>
  <c r="O21" i="12764"/>
  <c r="R21" i="12764"/>
  <c r="V21" i="12764"/>
  <c r="U27" i="12764"/>
  <c r="V27" i="12764"/>
  <c r="E28" i="12764"/>
  <c r="G28" i="12764"/>
  <c r="K28" i="12764"/>
  <c r="M38" i="12764"/>
  <c r="O38" i="12764" s="1"/>
  <c r="Q39" i="12764"/>
  <c r="U39" i="12764"/>
  <c r="V39" i="12764"/>
  <c r="E41" i="12764"/>
  <c r="G41" i="12764"/>
  <c r="K41" i="12764"/>
  <c r="T41" i="12764"/>
  <c r="C47" i="12764"/>
  <c r="E47" i="12764"/>
  <c r="G47" i="12764"/>
  <c r="K47" i="12764"/>
  <c r="T47" i="12764"/>
  <c r="M51" i="12764"/>
  <c r="O51" i="12764" s="1"/>
  <c r="E56" i="12764"/>
  <c r="G56" i="12764"/>
  <c r="K56" i="12764"/>
  <c r="T56" i="12764"/>
  <c r="E63" i="12764"/>
  <c r="G63" i="12764"/>
  <c r="K63" i="12764"/>
  <c r="E64" i="12764"/>
  <c r="G64" i="12764"/>
  <c r="K64" i="12764"/>
  <c r="T64" i="12764"/>
  <c r="E67" i="12764"/>
  <c r="G67" i="12764"/>
  <c r="K67" i="12764"/>
  <c r="E68" i="12764"/>
  <c r="G68" i="12764"/>
  <c r="K68" i="12764"/>
  <c r="E73" i="12764"/>
  <c r="G73" i="12764"/>
  <c r="K73" i="12764"/>
  <c r="E74" i="12764"/>
  <c r="G74" i="12764"/>
  <c r="K74" i="12764"/>
  <c r="E77" i="12764"/>
  <c r="G77" i="12764"/>
  <c r="K77" i="12764"/>
  <c r="T77" i="12764"/>
  <c r="C78" i="12764"/>
  <c r="E78" i="12764"/>
  <c r="G78" i="12764"/>
  <c r="K78" i="12764"/>
  <c r="T78" i="12764"/>
  <c r="E83" i="12764"/>
  <c r="E84" i="12764" s="1"/>
  <c r="G83" i="12764"/>
  <c r="G84" i="12764" s="1"/>
  <c r="K83" i="12764"/>
  <c r="E87" i="12764"/>
  <c r="G87" i="12764"/>
  <c r="K87" i="12764"/>
  <c r="P87" i="12764"/>
  <c r="T87" i="12764"/>
  <c r="C89" i="12764"/>
  <c r="E89" i="12764"/>
  <c r="G89" i="12764"/>
  <c r="K89" i="12764"/>
  <c r="T89" i="12764"/>
  <c r="C90" i="12764"/>
  <c r="E90" i="12764"/>
  <c r="G90" i="12764"/>
  <c r="K90" i="12764"/>
  <c r="T90" i="12764"/>
  <c r="C93" i="12764"/>
  <c r="E93" i="12764"/>
  <c r="G93" i="12764"/>
  <c r="K93" i="12764"/>
  <c r="T93" i="12764"/>
  <c r="E95" i="12764"/>
  <c r="G95" i="12764"/>
  <c r="K95" i="12764"/>
  <c r="T95" i="12764"/>
  <c r="C97" i="12764"/>
  <c r="E97" i="12764"/>
  <c r="G97" i="12764"/>
  <c r="K97" i="12764"/>
  <c r="T97" i="12764"/>
  <c r="E100" i="12764"/>
  <c r="G100" i="12764"/>
  <c r="K100" i="12764"/>
  <c r="T100" i="12764"/>
  <c r="C102" i="12764"/>
  <c r="E102" i="12764"/>
  <c r="G102" i="12764"/>
  <c r="I102" i="12764"/>
  <c r="K102" i="12764"/>
  <c r="T102" i="12764"/>
  <c r="C104" i="12764"/>
  <c r="E104" i="12764"/>
  <c r="G104" i="12764"/>
  <c r="K104" i="12764"/>
  <c r="T104" i="12764"/>
  <c r="E105" i="12764"/>
  <c r="G105" i="12764"/>
  <c r="K105" i="12764"/>
  <c r="T105" i="12764"/>
  <c r="E108" i="12764"/>
  <c r="G108" i="12764"/>
  <c r="K108" i="12764"/>
  <c r="T108" i="12764"/>
  <c r="E110" i="12764"/>
  <c r="G110" i="12764"/>
  <c r="K110" i="12764"/>
  <c r="T110" i="12764"/>
  <c r="A2" i="12761"/>
  <c r="A3" i="12761"/>
  <c r="A4" i="12761"/>
  <c r="E7" i="12761"/>
  <c r="F7" i="12761" s="1"/>
  <c r="G7" i="12761" s="1"/>
  <c r="H7" i="12761" s="1"/>
  <c r="J7" i="12761"/>
  <c r="K7" i="12761" s="1"/>
  <c r="L7" i="12761" s="1"/>
  <c r="M7" i="12761" s="1"/>
  <c r="N7" i="12761" s="1"/>
  <c r="O8" i="12761"/>
  <c r="R8" i="12761" s="1"/>
  <c r="O9" i="12761"/>
  <c r="R9" i="12761" s="1"/>
  <c r="O10" i="12761"/>
  <c r="R10" i="12761" s="1"/>
  <c r="O11" i="12761"/>
  <c r="R11" i="12761" s="1"/>
  <c r="O12" i="12761"/>
  <c r="R12" i="12761" s="1"/>
  <c r="O13" i="12761"/>
  <c r="R13" i="12761" s="1"/>
  <c r="O14" i="12761"/>
  <c r="R14" i="12761" s="1"/>
  <c r="O15" i="12761"/>
  <c r="R15" i="12761" s="1"/>
  <c r="O16" i="12761"/>
  <c r="O17" i="12761"/>
  <c r="O18" i="12761"/>
  <c r="O19" i="12761"/>
  <c r="O20" i="12761"/>
  <c r="O21" i="12761"/>
  <c r="O22" i="12761"/>
  <c r="O23" i="12761"/>
  <c r="O24" i="12761"/>
  <c r="R24" i="12761" s="1"/>
  <c r="O25" i="12761"/>
  <c r="R25" i="12761" s="1"/>
  <c r="O26" i="12761"/>
  <c r="R26" i="12761" s="1"/>
  <c r="O27" i="12761"/>
  <c r="R27" i="12761" s="1"/>
  <c r="O28" i="12761"/>
  <c r="O29" i="12761"/>
  <c r="O30" i="12761"/>
  <c r="O31" i="12761"/>
  <c r="C33" i="12761"/>
  <c r="D33" i="12761"/>
  <c r="E33" i="12761"/>
  <c r="F33" i="12761"/>
  <c r="G33" i="12761"/>
  <c r="H33" i="12761"/>
  <c r="I33" i="12761"/>
  <c r="J33" i="12761"/>
  <c r="K33" i="12761"/>
  <c r="L33" i="12761"/>
  <c r="M33" i="12761"/>
  <c r="N33" i="12761"/>
  <c r="E35" i="12761"/>
  <c r="F35" i="12761" s="1"/>
  <c r="G35" i="12761" s="1"/>
  <c r="H35" i="12761" s="1"/>
  <c r="J35" i="12761"/>
  <c r="K35" i="12761" s="1"/>
  <c r="L35" i="12761" s="1"/>
  <c r="M35" i="12761" s="1"/>
  <c r="N35" i="12761" s="1"/>
  <c r="O36" i="12761"/>
  <c r="R36" i="12761" s="1"/>
  <c r="O37" i="12761"/>
  <c r="R37" i="12761" s="1"/>
  <c r="O38" i="12761"/>
  <c r="R38" i="12761" s="1"/>
  <c r="O39" i="12761"/>
  <c r="R39" i="12761" s="1"/>
  <c r="O40" i="12761"/>
  <c r="R40" i="12761" s="1"/>
  <c r="O41" i="12761"/>
  <c r="R41" i="12761" s="1"/>
  <c r="O42" i="12761"/>
  <c r="R42" i="12761" s="1"/>
  <c r="O43" i="12761"/>
  <c r="R43" i="12761" s="1"/>
  <c r="O44" i="12761"/>
  <c r="R44" i="12761" s="1"/>
  <c r="O45" i="12761"/>
  <c r="O46" i="12761"/>
  <c r="R46" i="12761" s="1"/>
  <c r="O47" i="12761"/>
  <c r="R47" i="12761" s="1"/>
  <c r="O48" i="12761"/>
  <c r="R48" i="12761" s="1"/>
  <c r="C54" i="12761"/>
  <c r="D54" i="12761"/>
  <c r="E54" i="12761"/>
  <c r="F54" i="12761"/>
  <c r="G54" i="12761"/>
  <c r="H54" i="12761"/>
  <c r="I54" i="12761"/>
  <c r="J54" i="12761"/>
  <c r="K54" i="12761"/>
  <c r="L54" i="12761"/>
  <c r="M54" i="12761"/>
  <c r="N54" i="12761"/>
  <c r="E56" i="12761"/>
  <c r="F56" i="12761" s="1"/>
  <c r="G56" i="12761" s="1"/>
  <c r="H56" i="12761" s="1"/>
  <c r="J56" i="12761"/>
  <c r="K56" i="12761" s="1"/>
  <c r="L56" i="12761" s="1"/>
  <c r="M56" i="12761" s="1"/>
  <c r="N56" i="12761" s="1"/>
  <c r="O57" i="12761"/>
  <c r="R57" i="12761" s="1"/>
  <c r="O58" i="12761"/>
  <c r="R58" i="12761" s="1"/>
  <c r="O59" i="12761"/>
  <c r="O60" i="12761"/>
  <c r="O61" i="12761"/>
  <c r="O62" i="12761"/>
  <c r="O63" i="12761"/>
  <c r="O64" i="12761"/>
  <c r="O65" i="12761"/>
  <c r="O66" i="12761"/>
  <c r="O67" i="12761"/>
  <c r="O68" i="12761"/>
  <c r="C69" i="12761"/>
  <c r="G69" i="12761" s="1"/>
  <c r="E71" i="12761"/>
  <c r="F71" i="12761" s="1"/>
  <c r="G71" i="12761" s="1"/>
  <c r="H71" i="12761" s="1"/>
  <c r="J71" i="12761"/>
  <c r="K71" i="12761" s="1"/>
  <c r="L71" i="12761" s="1"/>
  <c r="M71" i="12761" s="1"/>
  <c r="N71" i="12761" s="1"/>
  <c r="O72" i="12761"/>
  <c r="O73" i="12761"/>
  <c r="R73" i="12761" s="1"/>
  <c r="O74" i="12761"/>
  <c r="R74" i="12761" s="1"/>
  <c r="O75" i="12761"/>
  <c r="R75" i="12761" s="1"/>
  <c r="O76" i="12761"/>
  <c r="R76" i="12761" s="1"/>
  <c r="O77" i="12761"/>
  <c r="R77" i="12761" s="1"/>
  <c r="C81" i="12761"/>
  <c r="D81" i="12761"/>
  <c r="E81" i="12761"/>
  <c r="F81" i="12761"/>
  <c r="G81" i="12761"/>
  <c r="H81" i="12761"/>
  <c r="I81" i="12761"/>
  <c r="J81" i="12761"/>
  <c r="K81" i="12761"/>
  <c r="L81" i="12761"/>
  <c r="M81" i="12761"/>
  <c r="N81" i="12761"/>
  <c r="E83" i="12761"/>
  <c r="F83" i="12761" s="1"/>
  <c r="G83" i="12761" s="1"/>
  <c r="H83" i="12761" s="1"/>
  <c r="J83" i="12761"/>
  <c r="K83" i="12761" s="1"/>
  <c r="L83" i="12761" s="1"/>
  <c r="M83" i="12761" s="1"/>
  <c r="N83" i="12761" s="1"/>
  <c r="O84" i="12761"/>
  <c r="O85" i="12761"/>
  <c r="O86" i="12761"/>
  <c r="R86" i="12761" s="1"/>
  <c r="O87" i="12761"/>
  <c r="R87" i="12761" s="1"/>
  <c r="O88" i="12761"/>
  <c r="R88" i="12761" s="1"/>
  <c r="O89" i="12761"/>
  <c r="R89" i="12761" s="1"/>
  <c r="O90" i="12761"/>
  <c r="R90" i="12761" s="1"/>
  <c r="O91" i="12761"/>
  <c r="O92" i="12761"/>
  <c r="O93" i="12761"/>
  <c r="O94" i="12761"/>
  <c r="O95" i="12761"/>
  <c r="C97" i="12761"/>
  <c r="D97" i="12761"/>
  <c r="E97" i="12761"/>
  <c r="F97" i="12761"/>
  <c r="G97" i="12761"/>
  <c r="H97" i="12761"/>
  <c r="I97" i="12761"/>
  <c r="J97" i="12761"/>
  <c r="K97" i="12761"/>
  <c r="L97" i="12761"/>
  <c r="M97" i="12761"/>
  <c r="N97" i="12761"/>
  <c r="I734" i="12767" l="1"/>
  <c r="M734" i="12767" s="1"/>
  <c r="M709" i="12767"/>
  <c r="B473" i="12767"/>
  <c r="E349" i="12767"/>
  <c r="E448" i="12767"/>
  <c r="E162" i="12767" s="1"/>
  <c r="B755" i="12767"/>
  <c r="E455" i="12767"/>
  <c r="I842" i="12767"/>
  <c r="K842" i="12767" s="1"/>
  <c r="I28" i="12831"/>
  <c r="I28" i="12852"/>
  <c r="E82" i="12767"/>
  <c r="E86" i="12767"/>
  <c r="E87" i="12767"/>
  <c r="E85" i="12767"/>
  <c r="I149" i="12767"/>
  <c r="K149" i="12767" s="1"/>
  <c r="I119" i="12767"/>
  <c r="K119" i="12767" s="1"/>
  <c r="E33" i="12783"/>
  <c r="E37" i="12783" s="1"/>
  <c r="K384" i="12766"/>
  <c r="H597" i="12766"/>
  <c r="C595" i="12766"/>
  <c r="C593" i="12766"/>
  <c r="K340" i="12766"/>
  <c r="G865" i="12787"/>
  <c r="K740" i="12787"/>
  <c r="I750" i="12787"/>
  <c r="I756" i="12787"/>
  <c r="K756" i="12787" s="1"/>
  <c r="K384" i="12787"/>
  <c r="I395" i="12787"/>
  <c r="K395" i="12787" s="1"/>
  <c r="N74" i="12763"/>
  <c r="K997" i="12766"/>
  <c r="G996" i="12766"/>
  <c r="M990" i="12766"/>
  <c r="M984" i="12766"/>
  <c r="G974" i="12766"/>
  <c r="G964" i="12766"/>
  <c r="G966" i="12766" s="1"/>
  <c r="H811" i="12766"/>
  <c r="H783" i="12766" s="1"/>
  <c r="G866" i="12766"/>
  <c r="G864" i="12766"/>
  <c r="H832" i="12766"/>
  <c r="C798" i="12766"/>
  <c r="C770" i="12766" s="1"/>
  <c r="H739" i="12766"/>
  <c r="H735" i="12766"/>
  <c r="M615" i="12766"/>
  <c r="E612" i="12766"/>
  <c r="G646" i="12766"/>
  <c r="G595" i="12766" s="1"/>
  <c r="G644" i="12766"/>
  <c r="G593" i="12766" s="1"/>
  <c r="H585" i="12766"/>
  <c r="H584" i="12766"/>
  <c r="C586" i="12766"/>
  <c r="C584" i="12766"/>
  <c r="G533" i="12766"/>
  <c r="C499" i="12766"/>
  <c r="G556" i="12766"/>
  <c r="G375" i="12766"/>
  <c r="G228" i="12766"/>
  <c r="D228" i="12766"/>
  <c r="I426" i="12766"/>
  <c r="I396" i="12766"/>
  <c r="D396" i="12766"/>
  <c r="D395" i="12766"/>
  <c r="H395" i="12766" s="1"/>
  <c r="G268" i="12766"/>
  <c r="D296" i="12766"/>
  <c r="C183" i="12766"/>
  <c r="H356" i="12766"/>
  <c r="H150" i="12766" s="1"/>
  <c r="G356" i="12766"/>
  <c r="G150" i="12766" s="1"/>
  <c r="D356" i="12766"/>
  <c r="D150" i="12766" s="1"/>
  <c r="M150" i="12766" s="1"/>
  <c r="M88" i="12766"/>
  <c r="G37" i="12766"/>
  <c r="G33" i="12766"/>
  <c r="K866" i="12787"/>
  <c r="K810" i="12787" s="1"/>
  <c r="K782" i="12787" s="1"/>
  <c r="C779" i="12787"/>
  <c r="I755" i="12787"/>
  <c r="K755" i="12787" s="1"/>
  <c r="K736" i="12787"/>
  <c r="I747" i="12787"/>
  <c r="C551" i="12787"/>
  <c r="C517" i="12787"/>
  <c r="G890" i="12787"/>
  <c r="K861" i="12787"/>
  <c r="K827" i="12787"/>
  <c r="C799" i="12787"/>
  <c r="C771" i="12787" s="1"/>
  <c r="K851" i="12787"/>
  <c r="I717" i="12787"/>
  <c r="K717" i="12787" s="1"/>
  <c r="E717" i="12787"/>
  <c r="G717" i="12787" s="1"/>
  <c r="G613" i="12787"/>
  <c r="I612" i="12787"/>
  <c r="E663" i="12787"/>
  <c r="G663" i="12787" s="1"/>
  <c r="E711" i="12787"/>
  <c r="G711" i="12787" s="1"/>
  <c r="E710" i="12787"/>
  <c r="G710" i="12787" s="1"/>
  <c r="E709" i="12787"/>
  <c r="G709" i="12787" s="1"/>
  <c r="G698" i="12787"/>
  <c r="M585" i="12787"/>
  <c r="K531" i="12787"/>
  <c r="G571" i="12787"/>
  <c r="C492" i="12787"/>
  <c r="K555" i="12787"/>
  <c r="G567" i="12787"/>
  <c r="C487" i="12787"/>
  <c r="K223" i="12787"/>
  <c r="K221" i="12787"/>
  <c r="C273" i="12787"/>
  <c r="G327" i="12787"/>
  <c r="G224" i="12787"/>
  <c r="C186" i="12787"/>
  <c r="I392" i="12787"/>
  <c r="I304" i="12787"/>
  <c r="I313" i="12787" s="1"/>
  <c r="K313" i="12787" s="1"/>
  <c r="I332" i="12787"/>
  <c r="G363" i="12787"/>
  <c r="G245" i="12787"/>
  <c r="G331" i="12787"/>
  <c r="K185" i="12787"/>
  <c r="G241" i="12787"/>
  <c r="G213" i="12787"/>
  <c r="I297" i="12787"/>
  <c r="K211" i="12787"/>
  <c r="G240" i="12787"/>
  <c r="H325" i="12787"/>
  <c r="D296" i="12787"/>
  <c r="G239" i="12787"/>
  <c r="H385" i="12787"/>
  <c r="O149" i="12787"/>
  <c r="I113" i="12787"/>
  <c r="K113" i="12787" s="1"/>
  <c r="I137" i="12787"/>
  <c r="K110" i="12787"/>
  <c r="G39" i="12787"/>
  <c r="G50" i="12787"/>
  <c r="D67" i="12787"/>
  <c r="P32" i="12775"/>
  <c r="P992" i="12766"/>
  <c r="O967" i="12766"/>
  <c r="G904" i="12766"/>
  <c r="C812" i="12766"/>
  <c r="C784" i="12766" s="1"/>
  <c r="G811" i="12766"/>
  <c r="G783" i="12766" s="1"/>
  <c r="C811" i="12766"/>
  <c r="C783" i="12766" s="1"/>
  <c r="G837" i="12766"/>
  <c r="C809" i="12766"/>
  <c r="G836" i="12766"/>
  <c r="C808" i="12766"/>
  <c r="C780" i="12766" s="1"/>
  <c r="G863" i="12766"/>
  <c r="G806" i="12766"/>
  <c r="G805" i="12766"/>
  <c r="I860" i="12766"/>
  <c r="K860" i="12766" s="1"/>
  <c r="C799" i="12766"/>
  <c r="C771" i="12766" s="1"/>
  <c r="H754" i="12766"/>
  <c r="H752" i="12766"/>
  <c r="E747" i="12766"/>
  <c r="G747" i="12766" s="1"/>
  <c r="I718" i="12766"/>
  <c r="K718" i="12766" s="1"/>
  <c r="I717" i="12766"/>
  <c r="K717" i="12766" s="1"/>
  <c r="I663" i="12766"/>
  <c r="I710" i="12766"/>
  <c r="K710" i="12766" s="1"/>
  <c r="I709" i="12766"/>
  <c r="K709" i="12766" s="1"/>
  <c r="G705" i="12766"/>
  <c r="G704" i="12766"/>
  <c r="K597" i="12766"/>
  <c r="K596" i="12766"/>
  <c r="C597" i="12766"/>
  <c r="C589" i="12766"/>
  <c r="H586" i="12766"/>
  <c r="G637" i="12766"/>
  <c r="G586" i="12766" s="1"/>
  <c r="C689" i="12766"/>
  <c r="G569" i="12766"/>
  <c r="G531" i="12766"/>
  <c r="C497" i="12766"/>
  <c r="I530" i="12766"/>
  <c r="K530" i="12766" s="1"/>
  <c r="H564" i="12766"/>
  <c r="G496" i="12766"/>
  <c r="M495" i="12766"/>
  <c r="C495" i="12766"/>
  <c r="I562" i="12766"/>
  <c r="K562" i="12766" s="1"/>
  <c r="H562" i="12766"/>
  <c r="M494" i="12766"/>
  <c r="O488" i="12766"/>
  <c r="G522" i="12766"/>
  <c r="C488" i="12766"/>
  <c r="G485" i="12766"/>
  <c r="G484" i="12766"/>
  <c r="E470" i="12766"/>
  <c r="E469" i="12766"/>
  <c r="E464" i="12766"/>
  <c r="G464" i="12766" s="1"/>
  <c r="E462" i="12766"/>
  <c r="G462" i="12766" s="1"/>
  <c r="E460" i="12766"/>
  <c r="G460" i="12766" s="1"/>
  <c r="E458" i="12766"/>
  <c r="G458" i="12766" s="1"/>
  <c r="H175" i="12766"/>
  <c r="K230" i="12766"/>
  <c r="H342" i="12766"/>
  <c r="C227" i="12766"/>
  <c r="C199" i="12766" s="1"/>
  <c r="C170" i="12766" s="1"/>
  <c r="H308" i="12766"/>
  <c r="D213" i="12766"/>
  <c r="H213" i="12766" s="1"/>
  <c r="C185" i="12766"/>
  <c r="C155" i="12766" s="1"/>
  <c r="C270" i="12766"/>
  <c r="K56" i="12766"/>
  <c r="G56" i="12766"/>
  <c r="K55" i="12766"/>
  <c r="G72" i="12766"/>
  <c r="G38" i="12766"/>
  <c r="G71" i="12766"/>
  <c r="D50" i="12766"/>
  <c r="H50" i="12766" s="1"/>
  <c r="G50" i="12766"/>
  <c r="O97" i="12761"/>
  <c r="H102" i="12766"/>
  <c r="H104" i="12766" s="1"/>
  <c r="I660" i="12787"/>
  <c r="K660" i="12787" s="1"/>
  <c r="K637" i="12787"/>
  <c r="D693" i="12787"/>
  <c r="D695" i="12787"/>
  <c r="D593" i="12787" s="1"/>
  <c r="D697" i="12787"/>
  <c r="D595" i="12787" s="1"/>
  <c r="D721" i="12787"/>
  <c r="D724" i="12787"/>
  <c r="D715" i="12787"/>
  <c r="D716" i="12787"/>
  <c r="H993" i="12787"/>
  <c r="H995" i="12787" s="1"/>
  <c r="G562" i="12787"/>
  <c r="H562" i="12787"/>
  <c r="O488" i="12787"/>
  <c r="I500" i="12787"/>
  <c r="H549" i="12787"/>
  <c r="G549" i="12787"/>
  <c r="K552" i="12787"/>
  <c r="I565" i="12787"/>
  <c r="K565" i="12787" s="1"/>
  <c r="D1001" i="12787"/>
  <c r="H1001" i="12787" s="1"/>
  <c r="K966" i="12787"/>
  <c r="K964" i="12787"/>
  <c r="K958" i="12787"/>
  <c r="K956" i="12787"/>
  <c r="K954" i="12787"/>
  <c r="G904" i="12787"/>
  <c r="O880" i="12787"/>
  <c r="G895" i="12787"/>
  <c r="G839" i="12787"/>
  <c r="C811" i="12787"/>
  <c r="C783" i="12787" s="1"/>
  <c r="K893" i="12787"/>
  <c r="G893" i="12787"/>
  <c r="D892" i="12787"/>
  <c r="C809" i="12787"/>
  <c r="C781" i="12787" s="1"/>
  <c r="K891" i="12787"/>
  <c r="I836" i="12787"/>
  <c r="K836" i="12787" s="1"/>
  <c r="K808" i="12787" s="1"/>
  <c r="G891" i="12787"/>
  <c r="I833" i="12787"/>
  <c r="K833" i="12787" s="1"/>
  <c r="K855" i="12787"/>
  <c r="K854" i="12787"/>
  <c r="I752" i="12787"/>
  <c r="K747" i="12787"/>
  <c r="I621" i="12787"/>
  <c r="I718" i="12787"/>
  <c r="K718" i="12787" s="1"/>
  <c r="H667" i="12787"/>
  <c r="H717" i="12787"/>
  <c r="H615" i="12787" s="1"/>
  <c r="I599" i="12787"/>
  <c r="I618" i="12787" s="1"/>
  <c r="G647" i="12787"/>
  <c r="G646" i="12787"/>
  <c r="O593" i="12787"/>
  <c r="G688" i="12787"/>
  <c r="G586" i="12787" s="1"/>
  <c r="M586" i="12787"/>
  <c r="I704" i="12787"/>
  <c r="K704" i="12787" s="1"/>
  <c r="K602" i="12787" s="1"/>
  <c r="U584" i="12787" s="1"/>
  <c r="W584" i="12787" s="1"/>
  <c r="K596" i="12787"/>
  <c r="C595" i="12787"/>
  <c r="G644" i="12787"/>
  <c r="I642" i="12787"/>
  <c r="K635" i="12787"/>
  <c r="K584" i="12787" s="1"/>
  <c r="K539" i="12787"/>
  <c r="E563" i="12787"/>
  <c r="G563" i="12787" s="1"/>
  <c r="I525" i="12787"/>
  <c r="I536" i="12787" s="1"/>
  <c r="K536" i="12787" s="1"/>
  <c r="I559" i="12787"/>
  <c r="I570" i="12787" s="1"/>
  <c r="I502" i="12787"/>
  <c r="M482" i="12787"/>
  <c r="H516" i="12787"/>
  <c r="G516" i="12787"/>
  <c r="E530" i="12787"/>
  <c r="H515" i="12787"/>
  <c r="E529" i="12787"/>
  <c r="K518" i="12787"/>
  <c r="G548" i="12787"/>
  <c r="H548" i="12787"/>
  <c r="C505" i="12787"/>
  <c r="C501" i="12787"/>
  <c r="K553" i="12787"/>
  <c r="K550" i="12787"/>
  <c r="K482" i="12787" s="1"/>
  <c r="G553" i="12787"/>
  <c r="G518" i="12787"/>
  <c r="K548" i="12787"/>
  <c r="D378" i="12787"/>
  <c r="I431" i="12787"/>
  <c r="K431" i="12787" s="1"/>
  <c r="I343" i="12787"/>
  <c r="K343" i="12787" s="1"/>
  <c r="E343" i="12787"/>
  <c r="I398" i="12787"/>
  <c r="K398" i="12787" s="1"/>
  <c r="I310" i="12787"/>
  <c r="K310" i="12787" s="1"/>
  <c r="E339" i="12787"/>
  <c r="D426" i="12787"/>
  <c r="G221" i="12787"/>
  <c r="G269" i="12787"/>
  <c r="C185" i="12787"/>
  <c r="C155" i="12787" s="1"/>
  <c r="G268" i="12787"/>
  <c r="K243" i="12787"/>
  <c r="D418" i="12787"/>
  <c r="C187" i="12787"/>
  <c r="C158" i="12787" s="1"/>
  <c r="O87" i="12787"/>
  <c r="I126" i="12787"/>
  <c r="K126" i="12787" s="1"/>
  <c r="Q85" i="12787"/>
  <c r="I124" i="12787"/>
  <c r="H97" i="12787"/>
  <c r="K109" i="12787"/>
  <c r="G109" i="12787"/>
  <c r="C25" i="12787"/>
  <c r="D73" i="12787"/>
  <c r="D55" i="12787"/>
  <c r="H35" i="12787"/>
  <c r="G55" i="12787"/>
  <c r="G52" i="12787"/>
  <c r="G51" i="12787"/>
  <c r="G40" i="12787"/>
  <c r="H39" i="12787"/>
  <c r="K33" i="12783"/>
  <c r="K37" i="12783" s="1"/>
  <c r="B1142" i="12767"/>
  <c r="B1168" i="12767"/>
  <c r="E615" i="12767"/>
  <c r="M41" i="12828"/>
  <c r="B1193" i="12767"/>
  <c r="M39" i="12828"/>
  <c r="B1128" i="12767"/>
  <c r="I469" i="12767"/>
  <c r="I363" i="12767"/>
  <c r="G18" i="12769"/>
  <c r="G16" i="12769"/>
  <c r="I225" i="12767"/>
  <c r="K564" i="12767"/>
  <c r="G28" i="12769"/>
  <c r="I362" i="12767"/>
  <c r="I224" i="12767"/>
  <c r="G23" i="12769"/>
  <c r="H907" i="12766"/>
  <c r="M907" i="12766"/>
  <c r="I750" i="12766"/>
  <c r="K750" i="12766" s="1"/>
  <c r="I755" i="12766"/>
  <c r="O81" i="12761"/>
  <c r="G977" i="12766"/>
  <c r="P985" i="12766"/>
  <c r="C929" i="12766"/>
  <c r="G917" i="12766"/>
  <c r="G920" i="12766" s="1"/>
  <c r="G922" i="12766" s="1"/>
  <c r="I806" i="12766"/>
  <c r="I805" i="12766"/>
  <c r="G838" i="12766"/>
  <c r="C810" i="12766"/>
  <c r="C782" i="12766" s="1"/>
  <c r="G865" i="12766"/>
  <c r="H889" i="12766"/>
  <c r="I861" i="12766"/>
  <c r="K861" i="12766" s="1"/>
  <c r="K804" i="12766"/>
  <c r="H887" i="12766"/>
  <c r="G853" i="12766"/>
  <c r="G797" i="12766" s="1"/>
  <c r="G769" i="12766" s="1"/>
  <c r="S769" i="12766"/>
  <c r="C795" i="12766"/>
  <c r="C767" i="12766" s="1"/>
  <c r="K795" i="12766"/>
  <c r="K794" i="12766"/>
  <c r="H794" i="12766"/>
  <c r="H766" i="12766" s="1"/>
  <c r="E749" i="12766"/>
  <c r="E746" i="12766"/>
  <c r="G743" i="12766"/>
  <c r="G740" i="12766"/>
  <c r="H736" i="12766"/>
  <c r="G624" i="12766"/>
  <c r="H623" i="12766"/>
  <c r="G622" i="12766"/>
  <c r="G723" i="12766"/>
  <c r="I667" i="12766"/>
  <c r="K667" i="12766" s="1"/>
  <c r="H718" i="12766"/>
  <c r="H616" i="12766" s="1"/>
  <c r="I666" i="12766"/>
  <c r="K666" i="12766" s="1"/>
  <c r="H717" i="12766"/>
  <c r="H615" i="12766" s="1"/>
  <c r="I665" i="12766"/>
  <c r="G613" i="12766"/>
  <c r="H711" i="12766"/>
  <c r="G609" i="12766"/>
  <c r="K608" i="12766"/>
  <c r="H710" i="12766"/>
  <c r="G608" i="12766"/>
  <c r="I658" i="12766"/>
  <c r="K658" i="12766" s="1"/>
  <c r="K607" i="12766" s="1"/>
  <c r="H709" i="12766"/>
  <c r="G607" i="12766"/>
  <c r="H707" i="12766"/>
  <c r="G605" i="12766"/>
  <c r="G603" i="12766"/>
  <c r="C600" i="12766"/>
  <c r="G650" i="12766"/>
  <c r="C599" i="12766"/>
  <c r="G648" i="12766"/>
  <c r="G635" i="12766"/>
  <c r="S585" i="12766"/>
  <c r="H582" i="12766"/>
  <c r="G633" i="12766"/>
  <c r="G582" i="12766" s="1"/>
  <c r="C638" i="12766"/>
  <c r="K504" i="12766"/>
  <c r="C570" i="12766"/>
  <c r="G570" i="12766" s="1"/>
  <c r="G501" i="12766"/>
  <c r="G536" i="12766"/>
  <c r="G565" i="12766"/>
  <c r="H563" i="12766"/>
  <c r="H495" i="12766" s="1"/>
  <c r="G490" i="12766"/>
  <c r="I522" i="12766"/>
  <c r="I534" i="12766" s="1"/>
  <c r="C517" i="12766"/>
  <c r="C480" i="12766"/>
  <c r="G286" i="12766"/>
  <c r="K343" i="12766"/>
  <c r="H338" i="12766"/>
  <c r="G368" i="12766"/>
  <c r="G280" i="12766"/>
  <c r="G195" i="12766"/>
  <c r="H337" i="12766"/>
  <c r="D217" i="12766"/>
  <c r="H217" i="12766" s="1"/>
  <c r="G331" i="12766"/>
  <c r="G273" i="12766" s="1"/>
  <c r="G244" i="12766"/>
  <c r="D216" i="12766"/>
  <c r="H216" i="12766" s="1"/>
  <c r="G272" i="12766"/>
  <c r="G241" i="12766"/>
  <c r="G185" i="12766" s="1"/>
  <c r="C304" i="12766"/>
  <c r="C246" i="12766"/>
  <c r="K296" i="12766"/>
  <c r="G296" i="12766"/>
  <c r="G267" i="12766" s="1"/>
  <c r="C242" i="12766"/>
  <c r="C214" i="12766"/>
  <c r="C434" i="12766"/>
  <c r="G363" i="12766"/>
  <c r="C115" i="12766"/>
  <c r="G111" i="12766"/>
  <c r="I101" i="12766"/>
  <c r="K101" i="12766" s="1"/>
  <c r="I114" i="12766"/>
  <c r="K114" i="12766" s="1"/>
  <c r="I127" i="12766"/>
  <c r="K127" i="12766" s="1"/>
  <c r="D69" i="12766"/>
  <c r="G69" i="12766"/>
  <c r="D51" i="12766"/>
  <c r="H51" i="12766" s="1"/>
  <c r="C17" i="12766"/>
  <c r="D39" i="12766"/>
  <c r="H39" i="12766" s="1"/>
  <c r="C22" i="12766"/>
  <c r="D16" i="12766"/>
  <c r="D829" i="12787"/>
  <c r="D843" i="12787" s="1"/>
  <c r="D827" i="12787"/>
  <c r="D834" i="12787"/>
  <c r="P51" i="12764"/>
  <c r="V51" i="12823"/>
  <c r="G809" i="12766"/>
  <c r="M776" i="12766"/>
  <c r="G798" i="12766"/>
  <c r="G770" i="12766" s="1"/>
  <c r="G596" i="12766"/>
  <c r="G594" i="12766"/>
  <c r="C594" i="12766"/>
  <c r="G481" i="12766"/>
  <c r="G480" i="12766"/>
  <c r="G85" i="12766"/>
  <c r="C83" i="12766"/>
  <c r="G96" i="12766"/>
  <c r="G83" i="12766" s="1"/>
  <c r="T85" i="12766"/>
  <c r="D91" i="12766"/>
  <c r="H16" i="12766"/>
  <c r="G115" i="12766"/>
  <c r="G117" i="12766" s="1"/>
  <c r="H86" i="12766"/>
  <c r="G84" i="12766"/>
  <c r="K71" i="12766"/>
  <c r="K37" i="12766"/>
  <c r="K67" i="12766"/>
  <c r="K33" i="12766"/>
  <c r="G16" i="12766"/>
  <c r="C16" i="12766"/>
  <c r="H33" i="12783"/>
  <c r="H37" i="12783" s="1"/>
  <c r="D1024" i="12787"/>
  <c r="H1024" i="12787" s="1"/>
  <c r="D1011" i="12787"/>
  <c r="H1011" i="12787" s="1"/>
  <c r="Q969" i="12787"/>
  <c r="K959" i="12787"/>
  <c r="K957" i="12787"/>
  <c r="K955" i="12787"/>
  <c r="K968" i="12787"/>
  <c r="E980" i="12787"/>
  <c r="G980" i="12787" s="1"/>
  <c r="G968" i="12787"/>
  <c r="C971" i="12787"/>
  <c r="D968" i="12787" s="1"/>
  <c r="D932" i="12787"/>
  <c r="K932" i="12787" s="1"/>
  <c r="K934" i="12787" s="1"/>
  <c r="G934" i="12787"/>
  <c r="K45" i="12775"/>
  <c r="P916" i="12787"/>
  <c r="P912" i="12787"/>
  <c r="P909" i="12787"/>
  <c r="P907" i="12787"/>
  <c r="O877" i="12787"/>
  <c r="E810" i="12787"/>
  <c r="E808" i="12787"/>
  <c r="E840" i="12787"/>
  <c r="G840" i="12787" s="1"/>
  <c r="H894" i="12787"/>
  <c r="G867" i="12787"/>
  <c r="I863" i="12787"/>
  <c r="K863" i="12787" s="1"/>
  <c r="I835" i="12787"/>
  <c r="K835" i="12787" s="1"/>
  <c r="D890" i="12787"/>
  <c r="K858" i="12787"/>
  <c r="D885" i="12787"/>
  <c r="H885" i="12787" s="1"/>
  <c r="K829" i="12787"/>
  <c r="K799" i="12787"/>
  <c r="K771" i="12787" s="1"/>
  <c r="U770" i="12787" s="1"/>
  <c r="W770" i="12787" s="1"/>
  <c r="D882" i="12787"/>
  <c r="H882" i="12787" s="1"/>
  <c r="E823" i="12787"/>
  <c r="H823" i="12787" s="1"/>
  <c r="K822" i="12787"/>
  <c r="C794" i="12787"/>
  <c r="C766" i="12787" s="1"/>
  <c r="I757" i="12787"/>
  <c r="K757" i="12787" s="1"/>
  <c r="I751" i="12787"/>
  <c r="G749" i="12787"/>
  <c r="D738" i="12787"/>
  <c r="M738" i="12787" s="1"/>
  <c r="M736" i="12787"/>
  <c r="M735" i="12787"/>
  <c r="E724" i="12787"/>
  <c r="I723" i="12787"/>
  <c r="K723" i="12787" s="1"/>
  <c r="M616" i="12787"/>
  <c r="I615" i="12787"/>
  <c r="M615" i="12787" s="1"/>
  <c r="I715" i="12787"/>
  <c r="K715" i="12787" s="1"/>
  <c r="G654" i="12787"/>
  <c r="G603" i="12787" s="1"/>
  <c r="O602" i="12787"/>
  <c r="G596" i="12787"/>
  <c r="M596" i="12787"/>
  <c r="C589" i="12787"/>
  <c r="G723" i="12787"/>
  <c r="H684" i="12787"/>
  <c r="G633" i="12787"/>
  <c r="G538" i="12787"/>
  <c r="E568" i="12787"/>
  <c r="G568" i="12787" s="1"/>
  <c r="K533" i="12787"/>
  <c r="C499" i="12787"/>
  <c r="G498" i="12787"/>
  <c r="G531" i="12787"/>
  <c r="G497" i="12787" s="1"/>
  <c r="K529" i="12787"/>
  <c r="H563" i="12787"/>
  <c r="K521" i="12787"/>
  <c r="G555" i="12787"/>
  <c r="K558" i="12787"/>
  <c r="G559" i="12787"/>
  <c r="G558" i="12787"/>
  <c r="C482" i="12787"/>
  <c r="K519" i="12787"/>
  <c r="K549" i="12787"/>
  <c r="K515" i="12787"/>
  <c r="K230" i="12787"/>
  <c r="H430" i="12787"/>
  <c r="H426" i="12787"/>
  <c r="D947" i="12787"/>
  <c r="N45" i="12775"/>
  <c r="L45" i="12775"/>
  <c r="J45" i="12775"/>
  <c r="H45" i="12775"/>
  <c r="F45" i="12775"/>
  <c r="D45" i="12775"/>
  <c r="D838" i="12787"/>
  <c r="K780" i="12787"/>
  <c r="D836" i="12787"/>
  <c r="K801" i="12787"/>
  <c r="K773" i="12787" s="1"/>
  <c r="U771" i="12787" s="1"/>
  <c r="W771" i="12787" s="1"/>
  <c r="G836" i="12787"/>
  <c r="K609" i="12787"/>
  <c r="K530" i="12787"/>
  <c r="D174" i="12787"/>
  <c r="G342" i="12787"/>
  <c r="H342" i="12787"/>
  <c r="G341" i="12787"/>
  <c r="G283" i="12787" s="1"/>
  <c r="H341" i="12787"/>
  <c r="M84" i="12787"/>
  <c r="C162" i="12787"/>
  <c r="G360" i="12787"/>
  <c r="G185" i="12787"/>
  <c r="G296" i="12787"/>
  <c r="G267" i="12787" s="1"/>
  <c r="F22" i="12783"/>
  <c r="F53" i="12811"/>
  <c r="F81" i="12811"/>
  <c r="G230" i="12787"/>
  <c r="K229" i="12787"/>
  <c r="G372" i="12787"/>
  <c r="K370" i="12787"/>
  <c r="K197" i="12787"/>
  <c r="K224" i="12787"/>
  <c r="G367" i="12787"/>
  <c r="G194" i="12787"/>
  <c r="K366" i="12787"/>
  <c r="K193" i="12787"/>
  <c r="K247" i="12787"/>
  <c r="G247" i="12787"/>
  <c r="D422" i="12787"/>
  <c r="G332" i="12787"/>
  <c r="G274" i="12787" s="1"/>
  <c r="G330" i="12787"/>
  <c r="G272" i="12787" s="1"/>
  <c r="G215" i="12787"/>
  <c r="K360" i="12787"/>
  <c r="K215" i="12787"/>
  <c r="K187" i="12787" s="1"/>
  <c r="G243" i="12787"/>
  <c r="K390" i="12787"/>
  <c r="K361" i="12787" s="1"/>
  <c r="E420" i="12787"/>
  <c r="G361" i="12787"/>
  <c r="C304" i="12787"/>
  <c r="C275" i="12787" s="1"/>
  <c r="G302" i="12787"/>
  <c r="G273" i="12787" s="1"/>
  <c r="C405" i="12787"/>
  <c r="G212" i="12787"/>
  <c r="K239" i="12787"/>
  <c r="M150" i="12787"/>
  <c r="I140" i="12787"/>
  <c r="K140" i="12787" s="1"/>
  <c r="I114" i="12787"/>
  <c r="K114" i="12787" s="1"/>
  <c r="K137" i="12787"/>
  <c r="D98" i="12787"/>
  <c r="D102" i="12787" s="1"/>
  <c r="H110" i="12787"/>
  <c r="H84" i="12787" s="1"/>
  <c r="H135" i="12787"/>
  <c r="C21" i="12787"/>
  <c r="G74" i="12787"/>
  <c r="G57" i="12787"/>
  <c r="G56" i="12787"/>
  <c r="G37" i="12787"/>
  <c r="F79" i="12811"/>
  <c r="F103" i="12811"/>
  <c r="E101" i="12811"/>
  <c r="E103" i="12811" s="1"/>
  <c r="E117" i="12811" s="1"/>
  <c r="H346" i="12767"/>
  <c r="B170" i="12767"/>
  <c r="F44" i="12811"/>
  <c r="E41" i="12811"/>
  <c r="E44" i="12811" s="1"/>
  <c r="F74" i="12811"/>
  <c r="E71" i="12811"/>
  <c r="E74" i="12811" s="1"/>
  <c r="E46" i="12811"/>
  <c r="E47" i="12811" s="1"/>
  <c r="F47" i="12811"/>
  <c r="F77" i="12811"/>
  <c r="E76" i="12811"/>
  <c r="E77" i="12811" s="1"/>
  <c r="E80" i="12763"/>
  <c r="I65" i="12763"/>
  <c r="I80" i="12763"/>
  <c r="I468" i="12767"/>
  <c r="M989" i="12787"/>
  <c r="I867" i="12787"/>
  <c r="K867" i="12787" s="1"/>
  <c r="E573" i="12787"/>
  <c r="C41" i="12764"/>
  <c r="E572" i="12787"/>
  <c r="G572" i="12787" s="1"/>
  <c r="S24" i="12775"/>
  <c r="F70" i="12775" s="1"/>
  <c r="AA24" i="12775"/>
  <c r="N70" i="12775" s="1"/>
  <c r="W25" i="12775"/>
  <c r="J71" i="12775" s="1"/>
  <c r="S26" i="12775"/>
  <c r="F72" i="12775" s="1"/>
  <c r="S27" i="12775"/>
  <c r="F73" i="12775" s="1"/>
  <c r="AA27" i="12775"/>
  <c r="N73" i="12775" s="1"/>
  <c r="S28" i="12775"/>
  <c r="F74" i="12775" s="1"/>
  <c r="W28" i="12775"/>
  <c r="J74" i="12775" s="1"/>
  <c r="AA28" i="12775"/>
  <c r="N74" i="12775" s="1"/>
  <c r="AB30" i="12775"/>
  <c r="O76" i="12775" s="1"/>
  <c r="Q31" i="12775"/>
  <c r="D77" i="12775" s="1"/>
  <c r="Q24" i="12775"/>
  <c r="D70" i="12775" s="1"/>
  <c r="U24" i="12775"/>
  <c r="H70" i="12775" s="1"/>
  <c r="Y24" i="12775"/>
  <c r="L70" i="12775" s="1"/>
  <c r="Q25" i="12775"/>
  <c r="D71" i="12775" s="1"/>
  <c r="U25" i="12775"/>
  <c r="H71" i="12775" s="1"/>
  <c r="Y25" i="12775"/>
  <c r="L71" i="12775" s="1"/>
  <c r="Q26" i="12775"/>
  <c r="D72" i="12775" s="1"/>
  <c r="U26" i="12775"/>
  <c r="H72" i="12775" s="1"/>
  <c r="Y26" i="12775"/>
  <c r="L72" i="12775" s="1"/>
  <c r="Q27" i="12775"/>
  <c r="D73" i="12775" s="1"/>
  <c r="U27" i="12775"/>
  <c r="H73" i="12775" s="1"/>
  <c r="Y27" i="12775"/>
  <c r="L73" i="12775" s="1"/>
  <c r="Q28" i="12775"/>
  <c r="D74" i="12775" s="1"/>
  <c r="U28" i="12775"/>
  <c r="H74" i="12775" s="1"/>
  <c r="Y28" i="12775"/>
  <c r="L74" i="12775" s="1"/>
  <c r="R30" i="12775"/>
  <c r="E76" i="12775" s="1"/>
  <c r="V30" i="12775"/>
  <c r="I76" i="12775" s="1"/>
  <c r="Z30" i="12775"/>
  <c r="M76" i="12775" s="1"/>
  <c r="W24" i="12775"/>
  <c r="J70" i="12775" s="1"/>
  <c r="S25" i="12775"/>
  <c r="F71" i="12775" s="1"/>
  <c r="AA25" i="12775"/>
  <c r="N71" i="12775" s="1"/>
  <c r="W26" i="12775"/>
  <c r="J72" i="12775" s="1"/>
  <c r="AA26" i="12775"/>
  <c r="N72" i="12775" s="1"/>
  <c r="W27" i="12775"/>
  <c r="J73" i="12775" s="1"/>
  <c r="T30" i="12775"/>
  <c r="G76" i="12775" s="1"/>
  <c r="X30" i="12775"/>
  <c r="K76" i="12775" s="1"/>
  <c r="I97" i="12764"/>
  <c r="M97" i="12764" s="1"/>
  <c r="O97" i="12764" s="1"/>
  <c r="I93" i="12764"/>
  <c r="M93" i="12764" s="1"/>
  <c r="O93" i="12764" s="1"/>
  <c r="C77" i="12764"/>
  <c r="M36" i="12764"/>
  <c r="O36" i="12764" s="1"/>
  <c r="C89" i="12763"/>
  <c r="G31" i="12769"/>
  <c r="G26" i="12769"/>
  <c r="G20" i="12769"/>
  <c r="G14" i="12769"/>
  <c r="K216" i="12766"/>
  <c r="AD22" i="12775"/>
  <c r="AD44" i="12775" s="1"/>
  <c r="I894" i="12787"/>
  <c r="K894" i="12787" s="1"/>
  <c r="I839" i="12787"/>
  <c r="K839" i="12787" s="1"/>
  <c r="I725" i="12787"/>
  <c r="K725" i="12787" s="1"/>
  <c r="M504" i="12787"/>
  <c r="H572" i="12787"/>
  <c r="I375" i="12787"/>
  <c r="E287" i="12787"/>
  <c r="I201" i="12787"/>
  <c r="I345" i="12787"/>
  <c r="K345" i="12787" s="1"/>
  <c r="K218" i="12766"/>
  <c r="E447" i="12767"/>
  <c r="E161" i="12767" s="1"/>
  <c r="K1204" i="12767"/>
  <c r="E454" i="12767"/>
  <c r="G32" i="12769"/>
  <c r="G30" i="12769"/>
  <c r="G27" i="12769"/>
  <c r="G24" i="12769"/>
  <c r="G22" i="12769"/>
  <c r="G19" i="12769"/>
  <c r="F19" i="12783"/>
  <c r="I789" i="12767"/>
  <c r="K789" i="12767" s="1"/>
  <c r="E35" i="12767"/>
  <c r="I104" i="12767"/>
  <c r="K104" i="12767" s="1"/>
  <c r="R31" i="12775"/>
  <c r="E77" i="12775" s="1"/>
  <c r="P45" i="12774"/>
  <c r="E723" i="12767"/>
  <c r="E750" i="12767"/>
  <c r="E849" i="12767"/>
  <c r="E743" i="12767" s="1"/>
  <c r="E843" i="12767"/>
  <c r="E737" i="12767" s="1"/>
  <c r="E828" i="12767"/>
  <c r="E797" i="12767"/>
  <c r="E744" i="12767" s="1"/>
  <c r="E784" i="12767"/>
  <c r="E776" i="12767"/>
  <c r="E722" i="12767" s="1"/>
  <c r="E651" i="12767"/>
  <c r="E613" i="12767" s="1"/>
  <c r="E392" i="12767"/>
  <c r="E536" i="12767"/>
  <c r="E466" i="12767" s="1"/>
  <c r="I293" i="12767"/>
  <c r="K293" i="12767" s="1"/>
  <c r="I659" i="12767"/>
  <c r="K659" i="12767" s="1"/>
  <c r="I806" i="12767"/>
  <c r="K806" i="12767" s="1"/>
  <c r="I294" i="12767"/>
  <c r="K294" i="12767" s="1"/>
  <c r="I660" i="12767"/>
  <c r="K660" i="12767" s="1"/>
  <c r="I805" i="12767"/>
  <c r="K805" i="12767" s="1"/>
  <c r="K752" i="12767" s="1"/>
  <c r="B449" i="12767"/>
  <c r="E359" i="12767"/>
  <c r="E724" i="12767"/>
  <c r="Y31" i="12775"/>
  <c r="L77" i="12775" s="1"/>
  <c r="AA31" i="12775"/>
  <c r="N77" i="12775" s="1"/>
  <c r="U31" i="12775"/>
  <c r="H77" i="12775" s="1"/>
  <c r="W31" i="12775"/>
  <c r="J77" i="12775" s="1"/>
  <c r="S31" i="12775"/>
  <c r="F77" i="12775" s="1"/>
  <c r="C110" i="12764"/>
  <c r="N11" i="12764"/>
  <c r="F17" i="12812" s="1"/>
  <c r="M11" i="12764"/>
  <c r="O11" i="12764" s="1"/>
  <c r="G45" i="12763"/>
  <c r="K45" i="12763" s="1"/>
  <c r="I101" i="12811" s="1"/>
  <c r="E345" i="12787"/>
  <c r="G345" i="12787" s="1"/>
  <c r="AA30" i="12775"/>
  <c r="N76" i="12775" s="1"/>
  <c r="Y30" i="12775"/>
  <c r="L76" i="12775" s="1"/>
  <c r="W30" i="12775"/>
  <c r="J76" i="12775" s="1"/>
  <c r="U30" i="12775"/>
  <c r="H76" i="12775" s="1"/>
  <c r="S30" i="12775"/>
  <c r="F76" i="12775" s="1"/>
  <c r="Q30" i="12775"/>
  <c r="D76" i="12775" s="1"/>
  <c r="I895" i="12787"/>
  <c r="K895" i="12787" s="1"/>
  <c r="AB28" i="12775"/>
  <c r="O74" i="12775" s="1"/>
  <c r="Z28" i="12775"/>
  <c r="M74" i="12775" s="1"/>
  <c r="X28" i="12775"/>
  <c r="K74" i="12775" s="1"/>
  <c r="V28" i="12775"/>
  <c r="I74" i="12775" s="1"/>
  <c r="T28" i="12775"/>
  <c r="G74" i="12775" s="1"/>
  <c r="R28" i="12775"/>
  <c r="E74" i="12775" s="1"/>
  <c r="AB27" i="12775"/>
  <c r="O73" i="12775" s="1"/>
  <c r="Z27" i="12775"/>
  <c r="M73" i="12775" s="1"/>
  <c r="X27" i="12775"/>
  <c r="K73" i="12775" s="1"/>
  <c r="V27" i="12775"/>
  <c r="I73" i="12775" s="1"/>
  <c r="T27" i="12775"/>
  <c r="G73" i="12775" s="1"/>
  <c r="R27" i="12775"/>
  <c r="E73" i="12775" s="1"/>
  <c r="AB26" i="12775"/>
  <c r="O72" i="12775" s="1"/>
  <c r="Z26" i="12775"/>
  <c r="M72" i="12775" s="1"/>
  <c r="X26" i="12775"/>
  <c r="K72" i="12775" s="1"/>
  <c r="V26" i="12775"/>
  <c r="I72" i="12775" s="1"/>
  <c r="T26" i="12775"/>
  <c r="G72" i="12775" s="1"/>
  <c r="R26" i="12775"/>
  <c r="E72" i="12775" s="1"/>
  <c r="AB25" i="12775"/>
  <c r="O71" i="12775" s="1"/>
  <c r="Z25" i="12775"/>
  <c r="M71" i="12775" s="1"/>
  <c r="X25" i="12775"/>
  <c r="K71" i="12775" s="1"/>
  <c r="V25" i="12775"/>
  <c r="I71" i="12775" s="1"/>
  <c r="T25" i="12775"/>
  <c r="G71" i="12775" s="1"/>
  <c r="R25" i="12775"/>
  <c r="E71" i="12775" s="1"/>
  <c r="AB24" i="12775"/>
  <c r="O70" i="12775" s="1"/>
  <c r="Z24" i="12775"/>
  <c r="M70" i="12775" s="1"/>
  <c r="X24" i="12775"/>
  <c r="K70" i="12775" s="1"/>
  <c r="V24" i="12775"/>
  <c r="I70" i="12775" s="1"/>
  <c r="T24" i="12775"/>
  <c r="G70" i="12775" s="1"/>
  <c r="R24" i="12775"/>
  <c r="E70" i="12775" s="1"/>
  <c r="E433" i="12787"/>
  <c r="G433" i="12787" s="1"/>
  <c r="E258" i="12787"/>
  <c r="G258" i="12787" s="1"/>
  <c r="AB31" i="12775"/>
  <c r="O77" i="12775" s="1"/>
  <c r="Z31" i="12775"/>
  <c r="M77" i="12775" s="1"/>
  <c r="X31" i="12775"/>
  <c r="K77" i="12775" s="1"/>
  <c r="V31" i="12775"/>
  <c r="I77" i="12775" s="1"/>
  <c r="T31" i="12775"/>
  <c r="G77" i="12775" s="1"/>
  <c r="E503" i="12767"/>
  <c r="I433" i="12767"/>
  <c r="K433" i="12767" s="1"/>
  <c r="E726" i="12787"/>
  <c r="I374" i="12787"/>
  <c r="I202" i="12787"/>
  <c r="E201" i="12787"/>
  <c r="I433" i="12787"/>
  <c r="K433" i="12787" s="1"/>
  <c r="I258" i="12787"/>
  <c r="K258" i="12787" s="1"/>
  <c r="I344" i="12787"/>
  <c r="K344" i="12787" s="1"/>
  <c r="E344" i="12787"/>
  <c r="G344" i="12787" s="1"/>
  <c r="E538" i="12767"/>
  <c r="E432" i="12767"/>
  <c r="E362" i="12767" s="1"/>
  <c r="I539" i="12767"/>
  <c r="K539" i="12767" s="1"/>
  <c r="I398" i="12767"/>
  <c r="K398" i="12767" s="1"/>
  <c r="K363" i="12767" s="1"/>
  <c r="I15" i="12769"/>
  <c r="I14" i="12769"/>
  <c r="E205" i="12767"/>
  <c r="E1230" i="12767"/>
  <c r="E1233" i="12767" s="1"/>
  <c r="H1230" i="12767"/>
  <c r="H1233" i="12767" s="1"/>
  <c r="E69" i="12767"/>
  <c r="H69" i="12767"/>
  <c r="H15" i="12767" s="1"/>
  <c r="E67" i="12767"/>
  <c r="H67" i="12767"/>
  <c r="H13" i="12767" s="1"/>
  <c r="M87" i="12767"/>
  <c r="E742" i="12767"/>
  <c r="E787" i="12767"/>
  <c r="E734" i="12767" s="1"/>
  <c r="E767" i="12767"/>
  <c r="E713" i="12767" s="1"/>
  <c r="E765" i="12767"/>
  <c r="E711" i="12767" s="1"/>
  <c r="E696" i="12767"/>
  <c r="E676" i="12767"/>
  <c r="E645" i="12767"/>
  <c r="E605" i="12767" s="1"/>
  <c r="E637" i="12767"/>
  <c r="E634" i="12767"/>
  <c r="E427" i="12767"/>
  <c r="E390" i="12767"/>
  <c r="E355" i="12767" s="1"/>
  <c r="E375" i="12767"/>
  <c r="E340" i="12767" s="1"/>
  <c r="E321" i="12767"/>
  <c r="E306" i="12767"/>
  <c r="E287" i="12767"/>
  <c r="E276" i="12767"/>
  <c r="E273" i="12767"/>
  <c r="E204" i="12767" s="1"/>
  <c r="E534" i="12767"/>
  <c r="E464" i="12767" s="1"/>
  <c r="I134" i="12767"/>
  <c r="K134" i="12767" s="1"/>
  <c r="I328" i="12767"/>
  <c r="K328" i="12767" s="1"/>
  <c r="G504" i="12787"/>
  <c r="M582" i="12787"/>
  <c r="E539" i="12767"/>
  <c r="E327" i="12767"/>
  <c r="I504" i="12767"/>
  <c r="K504" i="12767" s="1"/>
  <c r="I697" i="12767"/>
  <c r="K697" i="12767" s="1"/>
  <c r="I859" i="12767"/>
  <c r="K859" i="12767" s="1"/>
  <c r="B1051" i="12767"/>
  <c r="B920" i="12767" s="1"/>
  <c r="B901" i="12767" s="1"/>
  <c r="B1043" i="12767"/>
  <c r="F49" i="12811" s="1"/>
  <c r="B930" i="12767"/>
  <c r="B165" i="12767"/>
  <c r="H341" i="12767"/>
  <c r="H165" i="12767" s="1"/>
  <c r="F26" i="12783"/>
  <c r="F31" i="12783" s="1"/>
  <c r="P43" i="12774"/>
  <c r="P43" i="12775"/>
  <c r="P22" i="12775"/>
  <c r="Q17" i="12775" s="1"/>
  <c r="P22" i="12774"/>
  <c r="S19" i="12774" s="1"/>
  <c r="F65" i="12774" s="1"/>
  <c r="P12" i="12774"/>
  <c r="R10" i="12774" s="1"/>
  <c r="E56" i="12774" s="1"/>
  <c r="P12" i="12775"/>
  <c r="S6" i="12775" s="1"/>
  <c r="F52" i="12775" s="1"/>
  <c r="T81" i="12764"/>
  <c r="AA19" i="12774"/>
  <c r="N65" i="12774" s="1"/>
  <c r="E1049" i="12767"/>
  <c r="E918" i="12767" s="1"/>
  <c r="E899" i="12767" s="1"/>
  <c r="E564" i="12767"/>
  <c r="B714" i="12767"/>
  <c r="H744" i="12767"/>
  <c r="E682" i="12767"/>
  <c r="H682" i="12767"/>
  <c r="B596" i="12767"/>
  <c r="E695" i="12767"/>
  <c r="B164" i="12767"/>
  <c r="H340" i="12767"/>
  <c r="H164" i="12767" s="1"/>
  <c r="B206" i="12767"/>
  <c r="B168" i="12767" s="1"/>
  <c r="E342" i="12767"/>
  <c r="B169" i="12767"/>
  <c r="E345" i="12767"/>
  <c r="E341" i="12767"/>
  <c r="E289" i="12767"/>
  <c r="E220" i="12767" s="1"/>
  <c r="K86" i="12767"/>
  <c r="H86" i="12767"/>
  <c r="H82" i="12767"/>
  <c r="K85" i="12767"/>
  <c r="H539" i="12767"/>
  <c r="H504" i="12767"/>
  <c r="H433" i="12767"/>
  <c r="H398" i="12767"/>
  <c r="H363" i="12767"/>
  <c r="H328" i="12767"/>
  <c r="H294" i="12767"/>
  <c r="H538" i="12767"/>
  <c r="H503" i="12767"/>
  <c r="H432" i="12767"/>
  <c r="H397" i="12767"/>
  <c r="H362" i="12767"/>
  <c r="H327" i="12767"/>
  <c r="H293" i="12767"/>
  <c r="H698" i="12767"/>
  <c r="H697" i="12767"/>
  <c r="H621" i="12767" s="1"/>
  <c r="H805" i="12767"/>
  <c r="H806" i="12767"/>
  <c r="B166" i="12767"/>
  <c r="E1009" i="12767"/>
  <c r="E1045" i="12767" s="1"/>
  <c r="E914" i="12767" s="1"/>
  <c r="E895" i="12767" s="1"/>
  <c r="E1008" i="12767"/>
  <c r="E1012" i="12767"/>
  <c r="E1048" i="12767" s="1"/>
  <c r="E917" i="12767" s="1"/>
  <c r="E898" i="12767" s="1"/>
  <c r="E780" i="12767"/>
  <c r="E688" i="12767"/>
  <c r="E428" i="12767"/>
  <c r="E358" i="12767" s="1"/>
  <c r="E285" i="12767"/>
  <c r="E216" i="12767" s="1"/>
  <c r="E1006" i="12767"/>
  <c r="E1005" i="12767"/>
  <c r="E1041" i="12767" s="1"/>
  <c r="E910" i="12767" s="1"/>
  <c r="E891" i="12767" s="1"/>
  <c r="E1010" i="12767"/>
  <c r="H593" i="12767"/>
  <c r="H585" i="12767"/>
  <c r="H587" i="12767" s="1"/>
  <c r="H447" i="12767"/>
  <c r="H161" i="12767" s="1"/>
  <c r="H85" i="12767"/>
  <c r="H11" i="12767"/>
  <c r="K1138" i="12767"/>
  <c r="H709" i="12767"/>
  <c r="K711" i="12767"/>
  <c r="E1130" i="12767"/>
  <c r="E72" i="12767"/>
  <c r="E53" i="12767"/>
  <c r="E52" i="12767"/>
  <c r="E33" i="12767"/>
  <c r="E709" i="12767"/>
  <c r="E774" i="12767"/>
  <c r="E772" i="12767"/>
  <c r="E718" i="12767" s="1"/>
  <c r="E673" i="12767"/>
  <c r="E595" i="12767" s="1"/>
  <c r="E672" i="12767"/>
  <c r="E658" i="12767"/>
  <c r="E620" i="12767" s="1"/>
  <c r="E640" i="12767"/>
  <c r="E600" i="12767" s="1"/>
  <c r="E416" i="12767"/>
  <c r="E391" i="12767"/>
  <c r="E382" i="12767"/>
  <c r="E347" i="12767" s="1"/>
  <c r="E381" i="12767"/>
  <c r="E312" i="12767"/>
  <c r="E487" i="12767"/>
  <c r="M1130" i="12767"/>
  <c r="E694" i="12767"/>
  <c r="E650" i="12767"/>
  <c r="E286" i="12767"/>
  <c r="E217" i="12767" s="1"/>
  <c r="E65" i="12763"/>
  <c r="E70" i="12763"/>
  <c r="I74" i="12763"/>
  <c r="C91" i="12764"/>
  <c r="M39" i="12764"/>
  <c r="O39" i="12764" s="1"/>
  <c r="E104" i="12763"/>
  <c r="E74" i="12763"/>
  <c r="G75" i="12764"/>
  <c r="G58" i="12764"/>
  <c r="I58" i="12763"/>
  <c r="E58" i="12763"/>
  <c r="K79" i="12764"/>
  <c r="K81" i="12764" s="1"/>
  <c r="E79" i="12764"/>
  <c r="E81" i="12764" s="1"/>
  <c r="I46" i="12764"/>
  <c r="I34" i="12764"/>
  <c r="M33" i="12764"/>
  <c r="O33" i="12764" s="1"/>
  <c r="G79" i="12764"/>
  <c r="G81" i="12764" s="1"/>
  <c r="E91" i="12764"/>
  <c r="E65" i="12764"/>
  <c r="E98" i="12764"/>
  <c r="E75" i="12764"/>
  <c r="E69" i="12764"/>
  <c r="G106" i="12764"/>
  <c r="G91" i="12764"/>
  <c r="R86" i="12764"/>
  <c r="I90" i="12763"/>
  <c r="I45" i="12764"/>
  <c r="I40" i="12764"/>
  <c r="E58" i="12764"/>
  <c r="I20" i="12764"/>
  <c r="I18" i="12764"/>
  <c r="M18" i="12764" s="1"/>
  <c r="O18" i="12764" s="1"/>
  <c r="V86" i="12764"/>
  <c r="P96" i="12764"/>
  <c r="R96" i="12764" s="1"/>
  <c r="C96" i="12764"/>
  <c r="I96" i="12764"/>
  <c r="U86" i="12764"/>
  <c r="C79" i="12764"/>
  <c r="I12" i="12764"/>
  <c r="M12" i="12764" s="1"/>
  <c r="O12" i="12764" s="1"/>
  <c r="C47" i="12763"/>
  <c r="C88" i="12763"/>
  <c r="C90" i="12763" s="1"/>
  <c r="G10" i="12763"/>
  <c r="K10" i="12763" s="1"/>
  <c r="I16" i="12811" s="1"/>
  <c r="G26" i="12763"/>
  <c r="G85" i="12763" s="1"/>
  <c r="K85" i="12763" s="1"/>
  <c r="G51" i="12763"/>
  <c r="G9" i="12763"/>
  <c r="G11" i="12763"/>
  <c r="G98" i="12764"/>
  <c r="K106" i="12764"/>
  <c r="N102" i="12764"/>
  <c r="X102" i="12764" s="1"/>
  <c r="E106" i="12764"/>
  <c r="I104" i="12763"/>
  <c r="N104" i="12763"/>
  <c r="E90" i="12763"/>
  <c r="I96" i="12763"/>
  <c r="N90" i="12763"/>
  <c r="N65" i="12763"/>
  <c r="J10" i="12763"/>
  <c r="L10" i="12763" s="1"/>
  <c r="N80" i="12763"/>
  <c r="N70" i="12763"/>
  <c r="N96" i="12763"/>
  <c r="C73" i="12764"/>
  <c r="I9" i="12764"/>
  <c r="G22" i="12763"/>
  <c r="K22" i="12763" s="1"/>
  <c r="C73" i="12763"/>
  <c r="G37" i="12763"/>
  <c r="J37" i="12763" s="1"/>
  <c r="L37" i="12763" s="1"/>
  <c r="C347" i="12787"/>
  <c r="E1239" i="12767"/>
  <c r="M102" i="12764"/>
  <c r="O102" i="12764" s="1"/>
  <c r="C106" i="12764"/>
  <c r="I25" i="12764"/>
  <c r="C28" i="12764"/>
  <c r="C108" i="12764"/>
  <c r="M19" i="12764"/>
  <c r="O19" i="12764" s="1"/>
  <c r="I78" i="12764"/>
  <c r="M34" i="12764"/>
  <c r="O34" i="12764" s="1"/>
  <c r="J89" i="12763"/>
  <c r="L89" i="12763" s="1"/>
  <c r="G40" i="12763"/>
  <c r="J40" i="12763" s="1"/>
  <c r="L40" i="12763" s="1"/>
  <c r="G19" i="12763"/>
  <c r="H974" i="12766"/>
  <c r="M974" i="12766"/>
  <c r="D950" i="12766"/>
  <c r="H950" i="12766" s="1"/>
  <c r="D951" i="12766"/>
  <c r="H951" i="12766" s="1"/>
  <c r="D917" i="12766"/>
  <c r="D918" i="12766"/>
  <c r="C922" i="12766"/>
  <c r="H905" i="12766"/>
  <c r="M905" i="12766"/>
  <c r="D738" i="12766"/>
  <c r="D743" i="12766"/>
  <c r="H743" i="12766" s="1"/>
  <c r="D755" i="12766"/>
  <c r="K755" i="12766" s="1"/>
  <c r="D757" i="12766"/>
  <c r="H464" i="12767"/>
  <c r="M755" i="12766"/>
  <c r="H981" i="12766"/>
  <c r="M981" i="12766"/>
  <c r="K904" i="12766"/>
  <c r="M904" i="12766"/>
  <c r="H904" i="12766"/>
  <c r="D857" i="12766"/>
  <c r="D858" i="12766"/>
  <c r="H858" i="12766" s="1"/>
  <c r="D862" i="12766"/>
  <c r="D865" i="12766"/>
  <c r="K865" i="12766" s="1"/>
  <c r="C871" i="12766"/>
  <c r="D853" i="12766"/>
  <c r="H853" i="12766" s="1"/>
  <c r="D854" i="12766"/>
  <c r="H854" i="12766" s="1"/>
  <c r="D855" i="12766"/>
  <c r="H855" i="12766" s="1"/>
  <c r="D864" i="12766"/>
  <c r="H864" i="12766" s="1"/>
  <c r="D868" i="12766"/>
  <c r="H868" i="12766" s="1"/>
  <c r="I751" i="12766"/>
  <c r="I757" i="12766"/>
  <c r="K854" i="12766"/>
  <c r="K853" i="12766"/>
  <c r="G502" i="12766"/>
  <c r="C492" i="12766"/>
  <c r="G560" i="12766"/>
  <c r="G492" i="12766" s="1"/>
  <c r="C487" i="12766"/>
  <c r="G555" i="12766"/>
  <c r="G487" i="12766" s="1"/>
  <c r="D522" i="12766"/>
  <c r="D521" i="12766"/>
  <c r="H521" i="12766" s="1"/>
  <c r="D526" i="12766"/>
  <c r="H526" i="12766" s="1"/>
  <c r="D531" i="12766"/>
  <c r="K531" i="12766" s="1"/>
  <c r="K515" i="12766"/>
  <c r="I529" i="12766"/>
  <c r="K529" i="12766" s="1"/>
  <c r="C359" i="12766"/>
  <c r="D388" i="12766"/>
  <c r="D359" i="12766" s="1"/>
  <c r="C202" i="12766"/>
  <c r="C173" i="12766" s="1"/>
  <c r="G230" i="12766"/>
  <c r="G202" i="12766" s="1"/>
  <c r="C191" i="12766"/>
  <c r="G247" i="12766"/>
  <c r="G191" i="12766" s="1"/>
  <c r="G162" i="12766" s="1"/>
  <c r="O16" i="12766"/>
  <c r="M16" i="12766"/>
  <c r="O69" i="12761"/>
  <c r="O54" i="12761"/>
  <c r="G65" i="12764"/>
  <c r="K89" i="12763"/>
  <c r="I70" i="12763"/>
  <c r="M1230" i="12767"/>
  <c r="M1227" i="12767"/>
  <c r="M1224" i="12767"/>
  <c r="M1221" i="12767"/>
  <c r="M1219" i="12767"/>
  <c r="M1215" i="12767"/>
  <c r="M1212" i="12767"/>
  <c r="M1208" i="12767"/>
  <c r="M1205" i="12767"/>
  <c r="M1203" i="12767"/>
  <c r="M1233" i="12767" s="1"/>
  <c r="H1195" i="12767"/>
  <c r="M753" i="12767"/>
  <c r="H737" i="12767"/>
  <c r="H612" i="12767"/>
  <c r="H594" i="12767"/>
  <c r="H455" i="12767"/>
  <c r="H446" i="12767"/>
  <c r="H160" i="12767" s="1"/>
  <c r="H87" i="12767"/>
  <c r="M18" i="12767"/>
  <c r="M996" i="12766"/>
  <c r="K992" i="12766"/>
  <c r="K989" i="12766"/>
  <c r="K985" i="12766"/>
  <c r="K982" i="12766"/>
  <c r="M977" i="12766"/>
  <c r="P989" i="12766"/>
  <c r="P982" i="12766"/>
  <c r="G972" i="12766"/>
  <c r="K951" i="12766"/>
  <c r="G905" i="12766"/>
  <c r="H865" i="12766"/>
  <c r="K862" i="12766"/>
  <c r="H888" i="12766"/>
  <c r="H833" i="12766"/>
  <c r="H805" i="12766" s="1"/>
  <c r="K858" i="12766"/>
  <c r="C802" i="12766"/>
  <c r="C774" i="12766" s="1"/>
  <c r="G884" i="12766"/>
  <c r="C801" i="12766"/>
  <c r="C773" i="12766" s="1"/>
  <c r="G850" i="12766"/>
  <c r="G794" i="12766" s="1"/>
  <c r="G766" i="12766" s="1"/>
  <c r="D796" i="12766"/>
  <c r="M754" i="12766"/>
  <c r="M750" i="12766"/>
  <c r="H748" i="12766"/>
  <c r="H747" i="12766"/>
  <c r="G742" i="12766"/>
  <c r="M736" i="12766"/>
  <c r="D627" i="12766"/>
  <c r="G701" i="12766"/>
  <c r="G599" i="12766" s="1"/>
  <c r="H596" i="12766"/>
  <c r="C591" i="12766"/>
  <c r="C588" i="12766"/>
  <c r="G584" i="12766"/>
  <c r="U585" i="12766"/>
  <c r="H504" i="12766"/>
  <c r="G503" i="12766"/>
  <c r="G499" i="12766"/>
  <c r="K496" i="12766"/>
  <c r="D483" i="12766"/>
  <c r="K482" i="12766"/>
  <c r="K480" i="12766"/>
  <c r="H472" i="12766"/>
  <c r="H474" i="12766" s="1"/>
  <c r="K175" i="12766"/>
  <c r="G175" i="12766"/>
  <c r="C175" i="12766"/>
  <c r="G284" i="12766"/>
  <c r="G282" i="12766"/>
  <c r="K396" i="12766"/>
  <c r="G366" i="12766"/>
  <c r="G193" i="12766"/>
  <c r="G88" i="12766"/>
  <c r="G343" i="12766"/>
  <c r="H343" i="12766"/>
  <c r="K217" i="12766"/>
  <c r="I226" i="12766"/>
  <c r="C360" i="12766"/>
  <c r="G418" i="12766"/>
  <c r="G360" i="12766" s="1"/>
  <c r="D215" i="12766"/>
  <c r="G215" i="12766"/>
  <c r="G187" i="12766" s="1"/>
  <c r="G158" i="12766" s="1"/>
  <c r="O33" i="12761"/>
  <c r="T91" i="12764"/>
  <c r="U87" i="12764"/>
  <c r="N110" i="12763"/>
  <c r="H730" i="12767"/>
  <c r="H466" i="12767"/>
  <c r="B173" i="12767"/>
  <c r="H451" i="12767"/>
  <c r="H152" i="12767"/>
  <c r="H57" i="12767"/>
  <c r="M964" i="12766"/>
  <c r="H964" i="12766"/>
  <c r="H966" i="12766" s="1"/>
  <c r="G929" i="12766"/>
  <c r="G953" i="12766"/>
  <c r="G955" i="12766" s="1"/>
  <c r="K868" i="12766"/>
  <c r="K811" i="12766"/>
  <c r="K783" i="12766" s="1"/>
  <c r="G808" i="12766"/>
  <c r="G780" i="12766" s="1"/>
  <c r="G778" i="12766"/>
  <c r="K805" i="12766"/>
  <c r="K777" i="12766" s="1"/>
  <c r="K855" i="12766"/>
  <c r="K738" i="12766"/>
  <c r="G616" i="12766"/>
  <c r="G615" i="12766"/>
  <c r="G614" i="12766"/>
  <c r="G612" i="12766"/>
  <c r="G610" i="12766"/>
  <c r="G597" i="12766"/>
  <c r="K585" i="12766"/>
  <c r="K584" i="12766"/>
  <c r="C587" i="12766"/>
  <c r="C585" i="12766"/>
  <c r="C502" i="12766"/>
  <c r="G500" i="12766"/>
  <c r="G498" i="12766"/>
  <c r="G495" i="12766"/>
  <c r="K522" i="12766"/>
  <c r="G488" i="12766"/>
  <c r="W480" i="12766"/>
  <c r="G472" i="12766"/>
  <c r="G474" i="12766" s="1"/>
  <c r="D175" i="12766"/>
  <c r="G373" i="12766"/>
  <c r="G200" i="12766"/>
  <c r="G283" i="12766"/>
  <c r="G281" i="12766"/>
  <c r="G279" i="12766"/>
  <c r="G102" i="12766"/>
  <c r="G104" i="12766" s="1"/>
  <c r="P904" i="12787"/>
  <c r="H904" i="12787"/>
  <c r="G743" i="12787"/>
  <c r="E752" i="12787"/>
  <c r="G752" i="12787" s="1"/>
  <c r="G740" i="12787"/>
  <c r="E750" i="12787"/>
  <c r="G750" i="12787" s="1"/>
  <c r="E756" i="12787"/>
  <c r="G738" i="12787"/>
  <c r="H738" i="12787"/>
  <c r="K645" i="12787"/>
  <c r="K594" i="12787" s="1"/>
  <c r="I664" i="12787"/>
  <c r="K664" i="12787" s="1"/>
  <c r="I453" i="12787"/>
  <c r="K453" i="12787" s="1"/>
  <c r="I464" i="12766"/>
  <c r="D391" i="12787"/>
  <c r="D389" i="12787"/>
  <c r="D393" i="12787"/>
  <c r="H393" i="12787" s="1"/>
  <c r="D397" i="12787"/>
  <c r="H397" i="12787" s="1"/>
  <c r="D398" i="12787"/>
  <c r="H398" i="12787" s="1"/>
  <c r="D402" i="12787"/>
  <c r="H402" i="12787" s="1"/>
  <c r="D404" i="12787"/>
  <c r="D399" i="12787"/>
  <c r="H399" i="12787" s="1"/>
  <c r="H370" i="12787" s="1"/>
  <c r="D400" i="12787"/>
  <c r="H400" i="12787" s="1"/>
  <c r="D401" i="12787"/>
  <c r="H401" i="12787" s="1"/>
  <c r="H372" i="12787" s="1"/>
  <c r="C376" i="12787"/>
  <c r="C115" i="12787"/>
  <c r="G111" i="12787"/>
  <c r="Q10" i="12775"/>
  <c r="D56" i="12775" s="1"/>
  <c r="R10" i="12775"/>
  <c r="E56" i="12775" s="1"/>
  <c r="V10" i="12775"/>
  <c r="I56" i="12775" s="1"/>
  <c r="Z10" i="12775"/>
  <c r="M56" i="12775" s="1"/>
  <c r="T10" i="12775"/>
  <c r="G56" i="12775" s="1"/>
  <c r="X10" i="12775"/>
  <c r="K56" i="12775" s="1"/>
  <c r="AB10" i="12775"/>
  <c r="O56" i="12775" s="1"/>
  <c r="C496" i="12766"/>
  <c r="K528" i="12766"/>
  <c r="K494" i="12766" s="1"/>
  <c r="T486" i="12766"/>
  <c r="H482" i="12766"/>
  <c r="C482" i="12766"/>
  <c r="C481" i="12766"/>
  <c r="D290" i="12766"/>
  <c r="D378" i="12766"/>
  <c r="D174" i="12766"/>
  <c r="D176" i="12766" s="1"/>
  <c r="G287" i="12766"/>
  <c r="K432" i="12766"/>
  <c r="H374" i="12766"/>
  <c r="G374" i="12766"/>
  <c r="G285" i="12766"/>
  <c r="H228" i="12766"/>
  <c r="G372" i="12766"/>
  <c r="G371" i="12766"/>
  <c r="G198" i="12766"/>
  <c r="G370" i="12766"/>
  <c r="G197" i="12766"/>
  <c r="K279" i="12766"/>
  <c r="I222" i="12766"/>
  <c r="K222" i="12766" s="1"/>
  <c r="D425" i="12766"/>
  <c r="K425" i="12766" s="1"/>
  <c r="H279" i="12766"/>
  <c r="G367" i="12766"/>
  <c r="G222" i="12766"/>
  <c r="G194" i="12766" s="1"/>
  <c r="G278" i="12766"/>
  <c r="C162" i="12766"/>
  <c r="C363" i="12766"/>
  <c r="G303" i="12766"/>
  <c r="G274" i="12766" s="1"/>
  <c r="C362" i="12766"/>
  <c r="C189" i="12766"/>
  <c r="G188" i="12766"/>
  <c r="C187" i="12766"/>
  <c r="K213" i="12766"/>
  <c r="G269" i="12766"/>
  <c r="C317" i="12766"/>
  <c r="H268" i="12766"/>
  <c r="G240" i="12766"/>
  <c r="G184" i="12766" s="1"/>
  <c r="G154" i="12766" s="1"/>
  <c r="C184" i="12766"/>
  <c r="K325" i="12766"/>
  <c r="G386" i="12766"/>
  <c r="G357" i="12766" s="1"/>
  <c r="G151" i="12766" s="1"/>
  <c r="G355" i="12766"/>
  <c r="G149" i="12766" s="1"/>
  <c r="H140" i="12766"/>
  <c r="H88" i="12766" s="1"/>
  <c r="G87" i="12766"/>
  <c r="H128" i="12766"/>
  <c r="H130" i="12766" s="1"/>
  <c r="H85" i="12766"/>
  <c r="H84" i="12766"/>
  <c r="N81" i="12766"/>
  <c r="K73" i="12766"/>
  <c r="K39" i="12766"/>
  <c r="G73" i="12766"/>
  <c r="G39" i="12766"/>
  <c r="G21" i="12766"/>
  <c r="K54" i="12766"/>
  <c r="G54" i="12766"/>
  <c r="G20" i="12766" s="1"/>
  <c r="C20" i="12766"/>
  <c r="G52" i="12766"/>
  <c r="G59" i="12766" s="1"/>
  <c r="G61" i="12766" s="1"/>
  <c r="K68" i="12766"/>
  <c r="K34" i="12766"/>
  <c r="G68" i="12766"/>
  <c r="G34" i="12766"/>
  <c r="K74" i="12766"/>
  <c r="K40" i="12766"/>
  <c r="M1103" i="12767"/>
  <c r="I54" i="12767"/>
  <c r="K54" i="12767" s="1"/>
  <c r="K18" i="12767" s="1"/>
  <c r="I55" i="12764"/>
  <c r="I54" i="12764"/>
  <c r="I53" i="12764"/>
  <c r="I52" i="12764"/>
  <c r="I37" i="12764"/>
  <c r="I35" i="12764"/>
  <c r="M35" i="12764" s="1"/>
  <c r="O35" i="12764" s="1"/>
  <c r="I32" i="12764"/>
  <c r="I22" i="12764"/>
  <c r="K46" i="12763"/>
  <c r="I102" i="12811" s="1"/>
  <c r="G982" i="12787"/>
  <c r="G86" i="12787"/>
  <c r="G742" i="12787"/>
  <c r="E751" i="12787"/>
  <c r="K648" i="12787"/>
  <c r="I667" i="12787"/>
  <c r="K667" i="12787" s="1"/>
  <c r="E534" i="12787"/>
  <c r="G534" i="12787" s="1"/>
  <c r="G500" i="12787" s="1"/>
  <c r="G522" i="12787"/>
  <c r="G488" i="12787" s="1"/>
  <c r="H296" i="12787"/>
  <c r="H267" i="12787" s="1"/>
  <c r="D267" i="12787"/>
  <c r="D270" i="12787" s="1"/>
  <c r="D149" i="12787"/>
  <c r="M149" i="12787" s="1"/>
  <c r="H384" i="12787"/>
  <c r="H355" i="12787" s="1"/>
  <c r="H149" i="12787" s="1"/>
  <c r="D355" i="12787"/>
  <c r="K269" i="12766"/>
  <c r="C153" i="12766"/>
  <c r="C405" i="12766"/>
  <c r="K356" i="12766"/>
  <c r="K150" i="12766" s="1"/>
  <c r="G141" i="12766"/>
  <c r="G143" i="12766" s="1"/>
  <c r="G86" i="12766"/>
  <c r="H83" i="12766"/>
  <c r="T84" i="12766" s="1"/>
  <c r="G128" i="12766"/>
  <c r="K57" i="12766"/>
  <c r="I27" i="12764"/>
  <c r="G34" i="12763"/>
  <c r="G942" i="12787"/>
  <c r="G614" i="12787"/>
  <c r="G370" i="12787"/>
  <c r="G197" i="12787"/>
  <c r="G278" i="12787"/>
  <c r="K364" i="12787"/>
  <c r="K191" i="12787"/>
  <c r="G364" i="12787"/>
  <c r="G191" i="12787"/>
  <c r="G87" i="12787"/>
  <c r="Q21" i="12774"/>
  <c r="U21" i="12774"/>
  <c r="H67" i="12774" s="1"/>
  <c r="Y21" i="12774"/>
  <c r="L67" i="12774" s="1"/>
  <c r="Q20" i="12774"/>
  <c r="D66" i="12774" s="1"/>
  <c r="U20" i="12774"/>
  <c r="H66" i="12774" s="1"/>
  <c r="Y20" i="12774"/>
  <c r="L66" i="12774" s="1"/>
  <c r="R21" i="12774"/>
  <c r="E67" i="12774" s="1"/>
  <c r="V21" i="12774"/>
  <c r="I67" i="12774" s="1"/>
  <c r="Z21" i="12774"/>
  <c r="M67" i="12774" s="1"/>
  <c r="R20" i="12774"/>
  <c r="E66" i="12774" s="1"/>
  <c r="V20" i="12774"/>
  <c r="I66" i="12774" s="1"/>
  <c r="Z20" i="12774"/>
  <c r="M66" i="12774" s="1"/>
  <c r="R19" i="12774"/>
  <c r="E65" i="12774" s="1"/>
  <c r="V19" i="12774"/>
  <c r="I65" i="12774" s="1"/>
  <c r="Z19" i="12774"/>
  <c r="M65" i="12774" s="1"/>
  <c r="C94" i="12763"/>
  <c r="D1026" i="12787"/>
  <c r="H1026" i="12787" s="1"/>
  <c r="D1021" i="12787"/>
  <c r="H1021" i="12787" s="1"/>
  <c r="D1014" i="12787"/>
  <c r="H1014" i="12787" s="1"/>
  <c r="D1009" i="12787"/>
  <c r="H1009" i="12787" s="1"/>
  <c r="D1002" i="12787"/>
  <c r="H1002" i="12787" s="1"/>
  <c r="K971" i="12787"/>
  <c r="C945" i="12787"/>
  <c r="K942" i="12787"/>
  <c r="H979" i="12787"/>
  <c r="D911" i="12787"/>
  <c r="D898" i="12787"/>
  <c r="C852" i="12787"/>
  <c r="O802" i="12787"/>
  <c r="O799" i="12787"/>
  <c r="O797" i="12787"/>
  <c r="C796" i="12787"/>
  <c r="O794" i="12787"/>
  <c r="G868" i="12787"/>
  <c r="D895" i="12787"/>
  <c r="H895" i="12787" s="1"/>
  <c r="G811" i="12787"/>
  <c r="G783" i="12787" s="1"/>
  <c r="D893" i="12787"/>
  <c r="H893" i="12787" s="1"/>
  <c r="K892" i="12787"/>
  <c r="I865" i="12787"/>
  <c r="K865" i="12787" s="1"/>
  <c r="H892" i="12787"/>
  <c r="D837" i="12787"/>
  <c r="D891" i="12787"/>
  <c r="H891" i="12787" s="1"/>
  <c r="H890" i="12787"/>
  <c r="D835" i="12787"/>
  <c r="H889" i="12787"/>
  <c r="M777" i="12787"/>
  <c r="I832" i="12787"/>
  <c r="K832" i="12787" s="1"/>
  <c r="K804" i="12787" s="1"/>
  <c r="E858" i="12787"/>
  <c r="E830" i="12787"/>
  <c r="D830" i="12787"/>
  <c r="E829" i="12787"/>
  <c r="E855" i="12787"/>
  <c r="E853" i="12787"/>
  <c r="E862" i="12787" s="1"/>
  <c r="G862" i="12787" s="1"/>
  <c r="E825" i="12787"/>
  <c r="D757" i="12787"/>
  <c r="D756" i="12787"/>
  <c r="M756" i="12787" s="1"/>
  <c r="D755" i="12787"/>
  <c r="H754" i="12787"/>
  <c r="H749" i="12787"/>
  <c r="M747" i="12787"/>
  <c r="D743" i="12787"/>
  <c r="M743" i="12787" s="1"/>
  <c r="D742" i="12787"/>
  <c r="M742" i="12787" s="1"/>
  <c r="D740" i="12787"/>
  <c r="M740" i="12787" s="1"/>
  <c r="M739" i="12787"/>
  <c r="H736" i="12787"/>
  <c r="P36" i="12775"/>
  <c r="G726" i="12787"/>
  <c r="G624" i="12787" s="1"/>
  <c r="M623" i="12787"/>
  <c r="I672" i="12787"/>
  <c r="K672" i="12787" s="1"/>
  <c r="K621" i="12787" s="1"/>
  <c r="D720" i="12787"/>
  <c r="E718" i="12787"/>
  <c r="I666" i="12787"/>
  <c r="K666" i="12787" s="1"/>
  <c r="I716" i="12787"/>
  <c r="K716" i="12787" s="1"/>
  <c r="D714" i="12787"/>
  <c r="H714" i="12787" s="1"/>
  <c r="I661" i="12787"/>
  <c r="K661" i="12787" s="1"/>
  <c r="E712" i="12787"/>
  <c r="G712" i="12787" s="1"/>
  <c r="D712" i="12787"/>
  <c r="D610" i="12787" s="1"/>
  <c r="M610" i="12787" s="1"/>
  <c r="H711" i="12787"/>
  <c r="I710" i="12787"/>
  <c r="K710" i="12787" s="1"/>
  <c r="H710" i="12787"/>
  <c r="I709" i="12787"/>
  <c r="K709" i="12787" s="1"/>
  <c r="H709" i="12787"/>
  <c r="H707" i="12787"/>
  <c r="E656" i="12787"/>
  <c r="G656" i="12787" s="1"/>
  <c r="K654" i="12787"/>
  <c r="D705" i="12787"/>
  <c r="H705" i="12787" s="1"/>
  <c r="E701" i="12787"/>
  <c r="G701" i="12787" s="1"/>
  <c r="O597" i="12787"/>
  <c r="O594" i="12787"/>
  <c r="C588" i="12787"/>
  <c r="G687" i="12787"/>
  <c r="G635" i="12787"/>
  <c r="G584" i="12787" s="1"/>
  <c r="C584" i="12787"/>
  <c r="G573" i="12787"/>
  <c r="G505" i="12787" s="1"/>
  <c r="K538" i="12787"/>
  <c r="C504" i="12787"/>
  <c r="E537" i="12787"/>
  <c r="G537" i="12787" s="1"/>
  <c r="E570" i="12787"/>
  <c r="C570" i="12787"/>
  <c r="K570" i="12787" s="1"/>
  <c r="K502" i="12787" s="1"/>
  <c r="I569" i="12787"/>
  <c r="K569" i="12787" s="1"/>
  <c r="E569" i="12787"/>
  <c r="G569" i="12787" s="1"/>
  <c r="I567" i="12787"/>
  <c r="K567" i="12787" s="1"/>
  <c r="E533" i="12787"/>
  <c r="G533" i="12787" s="1"/>
  <c r="G499" i="12787" s="1"/>
  <c r="I566" i="12787"/>
  <c r="K566" i="12787" s="1"/>
  <c r="K498" i="12787" s="1"/>
  <c r="E564" i="12787"/>
  <c r="E528" i="12787"/>
  <c r="K560" i="12787"/>
  <c r="G560" i="12787"/>
  <c r="G492" i="12787" s="1"/>
  <c r="G521" i="12787"/>
  <c r="K559" i="12787"/>
  <c r="G515" i="12787"/>
  <c r="G481" i="12787" s="1"/>
  <c r="C481" i="12787"/>
  <c r="C485" i="12787"/>
  <c r="G552" i="12787"/>
  <c r="G484" i="12787" s="1"/>
  <c r="K514" i="12787"/>
  <c r="E471" i="12787"/>
  <c r="G471" i="12787" s="1"/>
  <c r="I470" i="12766"/>
  <c r="E469" i="12787"/>
  <c r="I463" i="12766"/>
  <c r="I462" i="12766"/>
  <c r="I461" i="12766"/>
  <c r="I460" i="12766"/>
  <c r="I459" i="12766"/>
  <c r="I458" i="12766"/>
  <c r="I457" i="12766"/>
  <c r="H472" i="12787"/>
  <c r="H474" i="12787" s="1"/>
  <c r="E375" i="12787"/>
  <c r="I287" i="12787"/>
  <c r="I286" i="12787"/>
  <c r="D205" i="12787"/>
  <c r="E202" i="12787"/>
  <c r="D175" i="12787"/>
  <c r="D176" i="12787" s="1"/>
  <c r="I404" i="12787"/>
  <c r="K404" i="12787" s="1"/>
  <c r="I316" i="12787"/>
  <c r="K316" i="12787" s="1"/>
  <c r="K287" i="12787" s="1"/>
  <c r="H433" i="12787"/>
  <c r="H345" i="12787"/>
  <c r="E404" i="12787"/>
  <c r="E316" i="12787"/>
  <c r="G316" i="12787" s="1"/>
  <c r="G287" i="12787" s="1"/>
  <c r="I315" i="12787"/>
  <c r="K315" i="12787" s="1"/>
  <c r="H344" i="12787"/>
  <c r="K373" i="12787"/>
  <c r="K200" i="12787"/>
  <c r="H431" i="12787"/>
  <c r="G373" i="12787"/>
  <c r="G200" i="12787"/>
  <c r="K284" i="12787"/>
  <c r="K369" i="12787"/>
  <c r="K196" i="12787"/>
  <c r="H427" i="12787"/>
  <c r="G369" i="12787"/>
  <c r="G196" i="12787"/>
  <c r="K280" i="12787"/>
  <c r="H338" i="12787"/>
  <c r="G280" i="12787"/>
  <c r="H425" i="12787"/>
  <c r="H396" i="12787"/>
  <c r="H308" i="12787"/>
  <c r="H307" i="12787"/>
  <c r="H278" i="12787" s="1"/>
  <c r="H422" i="12787"/>
  <c r="H364" i="12787" s="1"/>
  <c r="D364" i="12787"/>
  <c r="C274" i="12787"/>
  <c r="C157" i="12787"/>
  <c r="C154" i="12787"/>
  <c r="H418" i="12787"/>
  <c r="G211" i="12787"/>
  <c r="C267" i="12787"/>
  <c r="H391" i="12787"/>
  <c r="H421" i="12787"/>
  <c r="C246" i="12787"/>
  <c r="G246" i="12787" s="1"/>
  <c r="K357" i="12787"/>
  <c r="K151" i="12787" s="1"/>
  <c r="I326" i="12787"/>
  <c r="I212" i="12787"/>
  <c r="C242" i="12787"/>
  <c r="G356" i="12787"/>
  <c r="G150" i="12787" s="1"/>
  <c r="E140" i="12787"/>
  <c r="E127" i="12787"/>
  <c r="E114" i="12787"/>
  <c r="G114" i="12787" s="1"/>
  <c r="G115" i="12787" s="1"/>
  <c r="E101" i="12787"/>
  <c r="G101" i="12787" s="1"/>
  <c r="H139" i="12787"/>
  <c r="H87" i="12787" s="1"/>
  <c r="M87" i="12787"/>
  <c r="H138" i="12787"/>
  <c r="H86" i="12787" s="1"/>
  <c r="O85" i="12787"/>
  <c r="I111" i="12787"/>
  <c r="K111" i="12787" s="1"/>
  <c r="K96" i="12787"/>
  <c r="H109" i="12787"/>
  <c r="H115" i="12787" s="1"/>
  <c r="H117" i="12787" s="1"/>
  <c r="G96" i="12787"/>
  <c r="C83" i="12787"/>
  <c r="C24" i="12787"/>
  <c r="K40" i="12787"/>
  <c r="C23" i="12787"/>
  <c r="D37" i="12787"/>
  <c r="H37" i="12787" s="1"/>
  <c r="D52" i="12787"/>
  <c r="C18" i="12787"/>
  <c r="G72" i="12787"/>
  <c r="H71" i="12787"/>
  <c r="H57" i="12787"/>
  <c r="G54" i="12787"/>
  <c r="G20" i="12787" s="1"/>
  <c r="H52" i="12787"/>
  <c r="G38" i="12787"/>
  <c r="G34" i="12787"/>
  <c r="G17" i="12787" s="1"/>
  <c r="C16" i="12787"/>
  <c r="K1139" i="12767"/>
  <c r="H729" i="12767"/>
  <c r="H723" i="12767"/>
  <c r="H711" i="12767"/>
  <c r="E452" i="12767"/>
  <c r="E122" i="12767"/>
  <c r="Z8" i="12823" s="1"/>
  <c r="H452" i="12767"/>
  <c r="E446" i="12767"/>
  <c r="E160" i="12767" s="1"/>
  <c r="E488" i="12767"/>
  <c r="E453" i="12767" s="1"/>
  <c r="T10" i="12774"/>
  <c r="G56" i="12774" s="1"/>
  <c r="X10" i="12774"/>
  <c r="K56" i="12774" s="1"/>
  <c r="AB10" i="12774"/>
  <c r="O56" i="12774" s="1"/>
  <c r="S10" i="12774"/>
  <c r="F56" i="12774" s="1"/>
  <c r="W10" i="12774"/>
  <c r="J56" i="12774" s="1"/>
  <c r="AA10" i="12774"/>
  <c r="N56" i="12774" s="1"/>
  <c r="G993" i="12787"/>
  <c r="C812" i="12787"/>
  <c r="C784" i="12787" s="1"/>
  <c r="K809" i="12787"/>
  <c r="K807" i="12787"/>
  <c r="M776" i="12787"/>
  <c r="C768" i="12787"/>
  <c r="G621" i="12787"/>
  <c r="G615" i="12787"/>
  <c r="H716" i="12787"/>
  <c r="H715" i="12787"/>
  <c r="G612" i="12787"/>
  <c r="G610" i="12787"/>
  <c r="K607" i="12787"/>
  <c r="G599" i="12787"/>
  <c r="G594" i="12787"/>
  <c r="K586" i="12787"/>
  <c r="H596" i="12787"/>
  <c r="H697" i="12787"/>
  <c r="C594" i="12787"/>
  <c r="H695" i="12787"/>
  <c r="H586" i="12787"/>
  <c r="H584" i="12787"/>
  <c r="K501" i="12787"/>
  <c r="G501" i="12787"/>
  <c r="K499" i="12787"/>
  <c r="M496" i="12787"/>
  <c r="M495" i="12787"/>
  <c r="M494" i="12787"/>
  <c r="K492" i="12787"/>
  <c r="G487" i="12787"/>
  <c r="H481" i="12787"/>
  <c r="K484" i="12787"/>
  <c r="K481" i="12787"/>
  <c r="C483" i="12787"/>
  <c r="H175" i="12787"/>
  <c r="K285" i="12787"/>
  <c r="K281" i="12787"/>
  <c r="K368" i="12787"/>
  <c r="K195" i="12787"/>
  <c r="G368" i="12787"/>
  <c r="G195" i="12787"/>
  <c r="G155" i="12787"/>
  <c r="G184" i="12787"/>
  <c r="G154" i="12787" s="1"/>
  <c r="H272" i="12787"/>
  <c r="G183" i="12787"/>
  <c r="G153" i="12787" s="1"/>
  <c r="M88" i="12787"/>
  <c r="K86" i="12787"/>
  <c r="H73" i="12787"/>
  <c r="H68" i="12787"/>
  <c r="G22" i="12787"/>
  <c r="H55" i="12787"/>
  <c r="D16" i="12787"/>
  <c r="E1165" i="12767"/>
  <c r="E1170" i="12767" s="1"/>
  <c r="E70" i="12767"/>
  <c r="E65" i="12767"/>
  <c r="E11" i="12767" s="1"/>
  <c r="E54" i="12767"/>
  <c r="E49" i="12767"/>
  <c r="E34" i="12767"/>
  <c r="E30" i="12767"/>
  <c r="E12" i="12767" s="1"/>
  <c r="E1195" i="12767"/>
  <c r="E854" i="12767"/>
  <c r="E837" i="12767"/>
  <c r="E730" i="12767" s="1"/>
  <c r="E836" i="12767"/>
  <c r="E827" i="12767"/>
  <c r="E775" i="12767"/>
  <c r="E675" i="12767"/>
  <c r="E597" i="12767" s="1"/>
  <c r="E654" i="12767"/>
  <c r="E638" i="12767"/>
  <c r="E652" i="12767"/>
  <c r="E614" i="12767" s="1"/>
  <c r="E633" i="12767"/>
  <c r="E593" i="12767" s="1"/>
  <c r="H418" i="12767"/>
  <c r="H383" i="12767"/>
  <c r="E314" i="12767"/>
  <c r="E310" i="12767"/>
  <c r="E292" i="12767"/>
  <c r="E223" i="12767" s="1"/>
  <c r="E280" i="12767"/>
  <c r="E288" i="12767"/>
  <c r="E219" i="12767" s="1"/>
  <c r="E272" i="12767"/>
  <c r="I698" i="12767"/>
  <c r="K698" i="12767" s="1"/>
  <c r="P36" i="12774"/>
  <c r="E290" i="12767"/>
  <c r="E221" i="12767" s="1"/>
  <c r="E451" i="12767"/>
  <c r="P32" i="12774"/>
  <c r="T29" i="12774" s="1"/>
  <c r="G75" i="12774" s="1"/>
  <c r="R20" i="12775"/>
  <c r="E66" i="12775" s="1"/>
  <c r="V20" i="12775"/>
  <c r="I66" i="12775" s="1"/>
  <c r="Z20" i="12775"/>
  <c r="M66" i="12775" s="1"/>
  <c r="Q14" i="12775"/>
  <c r="D60" i="12775" s="1"/>
  <c r="S14" i="12775"/>
  <c r="F60" i="12775" s="1"/>
  <c r="U14" i="12775"/>
  <c r="H60" i="12775" s="1"/>
  <c r="W14" i="12775"/>
  <c r="J60" i="12775" s="1"/>
  <c r="Y14" i="12775"/>
  <c r="L60" i="12775" s="1"/>
  <c r="AA14" i="12775"/>
  <c r="N60" i="12775" s="1"/>
  <c r="R15" i="12775"/>
  <c r="T15" i="12775"/>
  <c r="G61" i="12775" s="1"/>
  <c r="V15" i="12775"/>
  <c r="I61" i="12775" s="1"/>
  <c r="X15" i="12775"/>
  <c r="K61" i="12775" s="1"/>
  <c r="Z15" i="12775"/>
  <c r="M61" i="12775" s="1"/>
  <c r="AB15" i="12775"/>
  <c r="O61" i="12775" s="1"/>
  <c r="Q16" i="12775"/>
  <c r="S16" i="12775"/>
  <c r="F62" i="12775" s="1"/>
  <c r="U16" i="12775"/>
  <c r="H62" i="12775" s="1"/>
  <c r="W16" i="12775"/>
  <c r="J62" i="12775" s="1"/>
  <c r="Y16" i="12775"/>
  <c r="L62" i="12775" s="1"/>
  <c r="AA16" i="12775"/>
  <c r="N62" i="12775" s="1"/>
  <c r="Q18" i="12775"/>
  <c r="D64" i="12775" s="1"/>
  <c r="S18" i="12775"/>
  <c r="F64" i="12775" s="1"/>
  <c r="U18" i="12775"/>
  <c r="H64" i="12775" s="1"/>
  <c r="W18" i="12775"/>
  <c r="J64" i="12775" s="1"/>
  <c r="Y18" i="12775"/>
  <c r="L64" i="12775" s="1"/>
  <c r="AA18" i="12775"/>
  <c r="N64" i="12775" s="1"/>
  <c r="R19" i="12775"/>
  <c r="E65" i="12775" s="1"/>
  <c r="T19" i="12775"/>
  <c r="G65" i="12775" s="1"/>
  <c r="V19" i="12775"/>
  <c r="I65" i="12775" s="1"/>
  <c r="X19" i="12775"/>
  <c r="K65" i="12775" s="1"/>
  <c r="Z19" i="12775"/>
  <c r="M65" i="12775" s="1"/>
  <c r="AB19" i="12775"/>
  <c r="O65" i="12775" s="1"/>
  <c r="Q21" i="12775"/>
  <c r="D67" i="12775" s="1"/>
  <c r="S21" i="12775"/>
  <c r="F67" i="12775" s="1"/>
  <c r="U21" i="12775"/>
  <c r="H67" i="12775" s="1"/>
  <c r="W21" i="12775"/>
  <c r="J67" i="12775" s="1"/>
  <c r="Y21" i="12775"/>
  <c r="L67" i="12775" s="1"/>
  <c r="AA21" i="12775"/>
  <c r="N67" i="12775" s="1"/>
  <c r="T20" i="12775"/>
  <c r="G66" i="12775" s="1"/>
  <c r="X20" i="12775"/>
  <c r="K66" i="12775" s="1"/>
  <c r="AB20" i="12775"/>
  <c r="O66" i="12775" s="1"/>
  <c r="R14" i="12775"/>
  <c r="E60" i="12775" s="1"/>
  <c r="T14" i="12775"/>
  <c r="G60" i="12775" s="1"/>
  <c r="V14" i="12775"/>
  <c r="I60" i="12775" s="1"/>
  <c r="X14" i="12775"/>
  <c r="K60" i="12775" s="1"/>
  <c r="Z14" i="12775"/>
  <c r="M60" i="12775" s="1"/>
  <c r="AB14" i="12775"/>
  <c r="O60" i="12775" s="1"/>
  <c r="Q15" i="12775"/>
  <c r="D61" i="12775" s="1"/>
  <c r="S15" i="12775"/>
  <c r="F61" i="12775" s="1"/>
  <c r="U15" i="12775"/>
  <c r="H61" i="12775" s="1"/>
  <c r="W15" i="12775"/>
  <c r="J61" i="12775" s="1"/>
  <c r="Y15" i="12775"/>
  <c r="L61" i="12775" s="1"/>
  <c r="AA15" i="12775"/>
  <c r="N61" i="12775" s="1"/>
  <c r="R16" i="12775"/>
  <c r="E62" i="12775" s="1"/>
  <c r="T16" i="12775"/>
  <c r="G62" i="12775" s="1"/>
  <c r="V16" i="12775"/>
  <c r="I62" i="12775" s="1"/>
  <c r="X16" i="12775"/>
  <c r="K62" i="12775" s="1"/>
  <c r="Z16" i="12775"/>
  <c r="M62" i="12775" s="1"/>
  <c r="AB16" i="12775"/>
  <c r="O62" i="12775" s="1"/>
  <c r="R18" i="12775"/>
  <c r="E64" i="12775" s="1"/>
  <c r="T18" i="12775"/>
  <c r="G64" i="12775" s="1"/>
  <c r="V18" i="12775"/>
  <c r="I64" i="12775" s="1"/>
  <c r="X18" i="12775"/>
  <c r="K64" i="12775" s="1"/>
  <c r="Z18" i="12775"/>
  <c r="M64" i="12775" s="1"/>
  <c r="AB18" i="12775"/>
  <c r="O64" i="12775" s="1"/>
  <c r="Q19" i="12775"/>
  <c r="S19" i="12775"/>
  <c r="F65" i="12775" s="1"/>
  <c r="U19" i="12775"/>
  <c r="H65" i="12775" s="1"/>
  <c r="W19" i="12775"/>
  <c r="J65" i="12775" s="1"/>
  <c r="Y19" i="12775"/>
  <c r="L65" i="12775" s="1"/>
  <c r="AA19" i="12775"/>
  <c r="N65" i="12775" s="1"/>
  <c r="R21" i="12775"/>
  <c r="T21" i="12775"/>
  <c r="G67" i="12775" s="1"/>
  <c r="V21" i="12775"/>
  <c r="I67" i="12775" s="1"/>
  <c r="X21" i="12775"/>
  <c r="K67" i="12775" s="1"/>
  <c r="Z21" i="12775"/>
  <c r="M67" i="12775" s="1"/>
  <c r="AB21" i="12775"/>
  <c r="O67" i="12775" s="1"/>
  <c r="P967" i="12766"/>
  <c r="T41" i="12775"/>
  <c r="G87" i="12775" s="1"/>
  <c r="X41" i="12775"/>
  <c r="K87" i="12775" s="1"/>
  <c r="AB41" i="12775"/>
  <c r="O87" i="12775" s="1"/>
  <c r="R38" i="12775"/>
  <c r="V38" i="12775"/>
  <c r="Z38" i="12775"/>
  <c r="R39" i="12775"/>
  <c r="E85" i="12775" s="1"/>
  <c r="T39" i="12775"/>
  <c r="G85" i="12775" s="1"/>
  <c r="V39" i="12775"/>
  <c r="I85" i="12775" s="1"/>
  <c r="X39" i="12775"/>
  <c r="K85" i="12775" s="1"/>
  <c r="Z39" i="12775"/>
  <c r="M85" i="12775" s="1"/>
  <c r="AB39" i="12775"/>
  <c r="O85" i="12775" s="1"/>
  <c r="Q40" i="12775"/>
  <c r="D86" i="12775" s="1"/>
  <c r="S40" i="12775"/>
  <c r="F86" i="12775" s="1"/>
  <c r="U40" i="12775"/>
  <c r="H86" i="12775" s="1"/>
  <c r="W40" i="12775"/>
  <c r="J86" i="12775" s="1"/>
  <c r="Y40" i="12775"/>
  <c r="L86" i="12775" s="1"/>
  <c r="AA40" i="12775"/>
  <c r="N86" i="12775" s="1"/>
  <c r="Q42" i="12775"/>
  <c r="S42" i="12775"/>
  <c r="F88" i="12775" s="1"/>
  <c r="U42" i="12775"/>
  <c r="H88" i="12775" s="1"/>
  <c r="W42" i="12775"/>
  <c r="J88" i="12775" s="1"/>
  <c r="Y42" i="12775"/>
  <c r="L88" i="12775" s="1"/>
  <c r="AA42" i="12775"/>
  <c r="N88" i="12775" s="1"/>
  <c r="R41" i="12775"/>
  <c r="E87" i="12775" s="1"/>
  <c r="V41" i="12775"/>
  <c r="I87" i="12775" s="1"/>
  <c r="Z41" i="12775"/>
  <c r="M87" i="12775" s="1"/>
  <c r="T38" i="12775"/>
  <c r="X38" i="12775"/>
  <c r="AB38" i="12775"/>
  <c r="Q39" i="12775"/>
  <c r="S39" i="12775"/>
  <c r="F85" i="12775" s="1"/>
  <c r="U39" i="12775"/>
  <c r="H85" i="12775" s="1"/>
  <c r="W39" i="12775"/>
  <c r="J85" i="12775" s="1"/>
  <c r="Y39" i="12775"/>
  <c r="L85" i="12775" s="1"/>
  <c r="AA39" i="12775"/>
  <c r="N85" i="12775" s="1"/>
  <c r="R40" i="12775"/>
  <c r="T40" i="12775"/>
  <c r="G86" i="12775" s="1"/>
  <c r="V40" i="12775"/>
  <c r="I86" i="12775" s="1"/>
  <c r="X40" i="12775"/>
  <c r="K86" i="12775" s="1"/>
  <c r="Z40" i="12775"/>
  <c r="M86" i="12775" s="1"/>
  <c r="AB40" i="12775"/>
  <c r="O86" i="12775" s="1"/>
  <c r="R42" i="12775"/>
  <c r="E88" i="12775" s="1"/>
  <c r="T42" i="12775"/>
  <c r="G88" i="12775" s="1"/>
  <c r="V42" i="12775"/>
  <c r="I88" i="12775" s="1"/>
  <c r="X42" i="12775"/>
  <c r="K88" i="12775" s="1"/>
  <c r="Z42" i="12775"/>
  <c r="M88" i="12775" s="1"/>
  <c r="AB42" i="12775"/>
  <c r="O88" i="12775" s="1"/>
  <c r="I754" i="12787"/>
  <c r="M754" i="12787" s="1"/>
  <c r="I840" i="12787"/>
  <c r="K840" i="12787" s="1"/>
  <c r="I868" i="12787"/>
  <c r="K868" i="12787" s="1"/>
  <c r="R35" i="12783"/>
  <c r="T35" i="12783" s="1"/>
  <c r="T41" i="12774"/>
  <c r="G87" i="12774" s="1"/>
  <c r="X41" i="12774"/>
  <c r="K87" i="12774" s="1"/>
  <c r="AB41" i="12774"/>
  <c r="O87" i="12774" s="1"/>
  <c r="S38" i="12774"/>
  <c r="F84" i="12774" s="1"/>
  <c r="W38" i="12774"/>
  <c r="J84" i="12774" s="1"/>
  <c r="AA38" i="12774"/>
  <c r="N84" i="12774" s="1"/>
  <c r="S39" i="12774"/>
  <c r="F85" i="12774" s="1"/>
  <c r="W39" i="12774"/>
  <c r="J85" i="12774" s="1"/>
  <c r="AA39" i="12774"/>
  <c r="N85" i="12774" s="1"/>
  <c r="T40" i="12774"/>
  <c r="G86" i="12774" s="1"/>
  <c r="X40" i="12774"/>
  <c r="K86" i="12774" s="1"/>
  <c r="AB40" i="12774"/>
  <c r="O86" i="12774" s="1"/>
  <c r="Q42" i="12774"/>
  <c r="D88" i="12774" s="1"/>
  <c r="U42" i="12774"/>
  <c r="H88" i="12774" s="1"/>
  <c r="Y42" i="12774"/>
  <c r="L88" i="12774" s="1"/>
  <c r="R41" i="12774"/>
  <c r="E87" i="12774" s="1"/>
  <c r="V41" i="12774"/>
  <c r="I87" i="12774" s="1"/>
  <c r="Z41" i="12774"/>
  <c r="M87" i="12774" s="1"/>
  <c r="Q38" i="12774"/>
  <c r="D84" i="12774" s="1"/>
  <c r="U38" i="12774"/>
  <c r="H84" i="12774" s="1"/>
  <c r="Y38" i="12774"/>
  <c r="L84" i="12774" s="1"/>
  <c r="Q39" i="12774"/>
  <c r="D85" i="12774" s="1"/>
  <c r="U39" i="12774"/>
  <c r="H85" i="12774" s="1"/>
  <c r="Y39" i="12774"/>
  <c r="L85" i="12774" s="1"/>
  <c r="R40" i="12774"/>
  <c r="E86" i="12774" s="1"/>
  <c r="V40" i="12774"/>
  <c r="I86" i="12774" s="1"/>
  <c r="Z40" i="12774"/>
  <c r="M86" i="12774" s="1"/>
  <c r="S42" i="12774"/>
  <c r="F88" i="12774" s="1"/>
  <c r="W42" i="12774"/>
  <c r="J88" i="12774" s="1"/>
  <c r="AA42" i="12774"/>
  <c r="N88" i="12774" s="1"/>
  <c r="T98" i="12764"/>
  <c r="R87" i="12764"/>
  <c r="I16" i="12769"/>
  <c r="K526" i="12766"/>
  <c r="K521" i="12766"/>
  <c r="N46" i="12764"/>
  <c r="F102" i="12812" s="1"/>
  <c r="N45" i="12764"/>
  <c r="F101" i="12812" s="1"/>
  <c r="K37" i="12763"/>
  <c r="I80" i="12811" s="1"/>
  <c r="K811" i="12787"/>
  <c r="E315" i="12787"/>
  <c r="G315" i="12787" s="1"/>
  <c r="Q20" i="12775"/>
  <c r="D66" i="12775" s="1"/>
  <c r="N37" i="12764"/>
  <c r="F80" i="12812" s="1"/>
  <c r="F82" i="12812" s="1"/>
  <c r="N35" i="12764"/>
  <c r="F76" i="12812" s="1"/>
  <c r="N34" i="12764"/>
  <c r="F73" i="12812" s="1"/>
  <c r="N33" i="12764"/>
  <c r="F72" i="12812" s="1"/>
  <c r="N19" i="12764"/>
  <c r="F42" i="12812" s="1"/>
  <c r="N18" i="12764"/>
  <c r="K40" i="12763"/>
  <c r="I84" i="12811" s="1"/>
  <c r="I85" i="12811" s="1"/>
  <c r="M990" i="12787"/>
  <c r="M993" i="12787" s="1"/>
  <c r="Q41" i="12775"/>
  <c r="D87" i="12775" s="1"/>
  <c r="Q29" i="12775"/>
  <c r="Q41" i="12774"/>
  <c r="D87" i="12774" s="1"/>
  <c r="I538" i="12767"/>
  <c r="K538" i="12767" s="1"/>
  <c r="I503" i="12767"/>
  <c r="K503" i="12767" s="1"/>
  <c r="I432" i="12767"/>
  <c r="K432" i="12767" s="1"/>
  <c r="K11" i="12763"/>
  <c r="J11" i="12763"/>
  <c r="L11" i="12763" s="1"/>
  <c r="G73" i="12763"/>
  <c r="G69" i="12763"/>
  <c r="J69" i="12763" s="1"/>
  <c r="L69" i="12763" s="1"/>
  <c r="P999" i="12766"/>
  <c r="K999" i="12766"/>
  <c r="H999" i="12766"/>
  <c r="M999" i="12766"/>
  <c r="M995" i="12766"/>
  <c r="H995" i="12766"/>
  <c r="P995" i="12766"/>
  <c r="K995" i="12766"/>
  <c r="M976" i="12766"/>
  <c r="H976" i="12766"/>
  <c r="P976" i="12766"/>
  <c r="K976" i="12766"/>
  <c r="H972" i="12766"/>
  <c r="M972" i="12766"/>
  <c r="K972" i="12766"/>
  <c r="P972" i="12766"/>
  <c r="M906" i="12766"/>
  <c r="M909" i="12766" s="1"/>
  <c r="H906" i="12766"/>
  <c r="P906" i="12766"/>
  <c r="K906" i="12766"/>
  <c r="D884" i="12766"/>
  <c r="D890" i="12766"/>
  <c r="D893" i="12766"/>
  <c r="D881" i="12766"/>
  <c r="D882" i="12766"/>
  <c r="D885" i="12766"/>
  <c r="D891" i="12766"/>
  <c r="H891" i="12766" s="1"/>
  <c r="D895" i="12766"/>
  <c r="C898" i="12766"/>
  <c r="D827" i="12766"/>
  <c r="D830" i="12766"/>
  <c r="D834" i="12766"/>
  <c r="K834" i="12766" s="1"/>
  <c r="K806" i="12766" s="1"/>
  <c r="D836" i="12766"/>
  <c r="D840" i="12766"/>
  <c r="C813" i="12766"/>
  <c r="C843" i="12766"/>
  <c r="D825" i="12766"/>
  <c r="D826" i="12766"/>
  <c r="D829" i="12766"/>
  <c r="D835" i="12766"/>
  <c r="D838" i="12766"/>
  <c r="G795" i="12766"/>
  <c r="G767" i="12766" s="1"/>
  <c r="C766" i="12766"/>
  <c r="C768" i="12766" s="1"/>
  <c r="C796" i="12766"/>
  <c r="M753" i="12766"/>
  <c r="K753" i="12766"/>
  <c r="M743" i="12766"/>
  <c r="K743" i="12766"/>
  <c r="I752" i="12766"/>
  <c r="M739" i="12766"/>
  <c r="K739" i="12766"/>
  <c r="I749" i="12766"/>
  <c r="M735" i="12766"/>
  <c r="K735" i="12766"/>
  <c r="I746" i="12766"/>
  <c r="D654" i="12766"/>
  <c r="D663" i="12766"/>
  <c r="D664" i="12766"/>
  <c r="D665" i="12766"/>
  <c r="D669" i="12766"/>
  <c r="D670" i="12766"/>
  <c r="C625" i="12766"/>
  <c r="C627" i="12766" s="1"/>
  <c r="C678" i="12766"/>
  <c r="D653" i="12766"/>
  <c r="D650" i="12766"/>
  <c r="D651" i="12766"/>
  <c r="D672" i="12766"/>
  <c r="D673" i="12766"/>
  <c r="D675" i="12766"/>
  <c r="G494" i="12766"/>
  <c r="G540" i="12766"/>
  <c r="D552" i="12766"/>
  <c r="K552" i="12766" s="1"/>
  <c r="K484" i="12766" s="1"/>
  <c r="D555" i="12766"/>
  <c r="D560" i="12766"/>
  <c r="D565" i="12766"/>
  <c r="D553" i="12766"/>
  <c r="D556" i="12766"/>
  <c r="H556" i="12766" s="1"/>
  <c r="D558" i="12766"/>
  <c r="D559" i="12766"/>
  <c r="H559" i="12766" s="1"/>
  <c r="D566" i="12766"/>
  <c r="H566" i="12766" s="1"/>
  <c r="D567" i="12766"/>
  <c r="H567" i="12766" s="1"/>
  <c r="D568" i="12766"/>
  <c r="H568" i="12766" s="1"/>
  <c r="D569" i="12766"/>
  <c r="H569" i="12766" s="1"/>
  <c r="D570" i="12766"/>
  <c r="H570" i="12766" s="1"/>
  <c r="D571" i="12766"/>
  <c r="H571" i="12766" s="1"/>
  <c r="C506" i="12766"/>
  <c r="C508" i="12766" s="1"/>
  <c r="C576" i="12766"/>
  <c r="H522" i="12766"/>
  <c r="H488" i="12766" s="1"/>
  <c r="K481" i="12766"/>
  <c r="H219" i="12766"/>
  <c r="D331" i="12766"/>
  <c r="H331" i="12766" s="1"/>
  <c r="H346" i="12766" s="1"/>
  <c r="H348" i="12766" s="1"/>
  <c r="C348" i="12766"/>
  <c r="C259" i="12766"/>
  <c r="C190" i="12766"/>
  <c r="G246" i="12766"/>
  <c r="G190" i="12766" s="1"/>
  <c r="K267" i="12766"/>
  <c r="D240" i="12766"/>
  <c r="D239" i="12766"/>
  <c r="D422" i="12766"/>
  <c r="H422" i="12766" s="1"/>
  <c r="D426" i="12766"/>
  <c r="H426" i="12766" s="1"/>
  <c r="D427" i="12766"/>
  <c r="H427" i="12766" s="1"/>
  <c r="D428" i="12766"/>
  <c r="D429" i="12766"/>
  <c r="H429" i="12766" s="1"/>
  <c r="D430" i="12766"/>
  <c r="H430" i="12766" s="1"/>
  <c r="D433" i="12766"/>
  <c r="D418" i="12766"/>
  <c r="D419" i="12766"/>
  <c r="D420" i="12766"/>
  <c r="D421" i="12766"/>
  <c r="D431" i="12766"/>
  <c r="H431" i="12766" s="1"/>
  <c r="C436" i="12766"/>
  <c r="D389" i="12766"/>
  <c r="D390" i="12766"/>
  <c r="D392" i="12766"/>
  <c r="D397" i="12766"/>
  <c r="H397" i="12766" s="1"/>
  <c r="D398" i="12766"/>
  <c r="H398" i="12766" s="1"/>
  <c r="H369" i="12766" s="1"/>
  <c r="D399" i="12766"/>
  <c r="D400" i="12766"/>
  <c r="H400" i="12766" s="1"/>
  <c r="H371" i="12766" s="1"/>
  <c r="D401" i="12766"/>
  <c r="H401" i="12766" s="1"/>
  <c r="D404" i="12766"/>
  <c r="C407" i="12766"/>
  <c r="D386" i="12766"/>
  <c r="D391" i="12766"/>
  <c r="D393" i="12766"/>
  <c r="D402" i="12766"/>
  <c r="H402" i="12766" s="1"/>
  <c r="C376" i="12766"/>
  <c r="C378" i="12766" s="1"/>
  <c r="H413" i="12766"/>
  <c r="K413" i="12766"/>
  <c r="K355" i="12766" s="1"/>
  <c r="K149" i="12766" s="1"/>
  <c r="D416" i="12766"/>
  <c r="D358" i="12766" s="1"/>
  <c r="D355" i="12766"/>
  <c r="G89" i="12766"/>
  <c r="G91" i="12766" s="1"/>
  <c r="G130" i="12766"/>
  <c r="K115" i="12766"/>
  <c r="K117" i="12766" s="1"/>
  <c r="K83" i="12766"/>
  <c r="U84" i="12766" s="1"/>
  <c r="W84" i="12766" s="1"/>
  <c r="H69" i="12766"/>
  <c r="K69" i="12766"/>
  <c r="H40" i="12766"/>
  <c r="H23" i="12766" s="1"/>
  <c r="D23" i="12766"/>
  <c r="M23" i="12766" s="1"/>
  <c r="D18" i="12766"/>
  <c r="H35" i="12766"/>
  <c r="K35" i="12766"/>
  <c r="M1142" i="12767"/>
  <c r="M92" i="12767"/>
  <c r="H18" i="12767"/>
  <c r="H16" i="12767"/>
  <c r="K838" i="12766"/>
  <c r="K891" i="12766"/>
  <c r="K835" i="12766"/>
  <c r="K830" i="12766"/>
  <c r="K802" i="12766" s="1"/>
  <c r="K884" i="12766"/>
  <c r="K665" i="12766"/>
  <c r="K663" i="12766"/>
  <c r="K654" i="12766"/>
  <c r="K571" i="12766"/>
  <c r="K569" i="12766"/>
  <c r="K567" i="12766"/>
  <c r="C483" i="12766"/>
  <c r="G173" i="12766"/>
  <c r="K401" i="12766"/>
  <c r="G169" i="12766"/>
  <c r="G168" i="12766"/>
  <c r="K398" i="12766"/>
  <c r="G369" i="12766"/>
  <c r="G196" i="12766"/>
  <c r="K397" i="12766"/>
  <c r="G165" i="12766"/>
  <c r="K422" i="12766"/>
  <c r="K331" i="12766"/>
  <c r="K128" i="12766"/>
  <c r="K130" i="12766" s="1"/>
  <c r="K87" i="12766"/>
  <c r="K85" i="12766"/>
  <c r="K20" i="12766"/>
  <c r="H20" i="12766"/>
  <c r="M891" i="12767"/>
  <c r="M901" i="12767" s="1"/>
  <c r="H39" i="12767"/>
  <c r="H12" i="12767"/>
  <c r="M980" i="12766"/>
  <c r="H980" i="12766"/>
  <c r="P980" i="12766"/>
  <c r="K980" i="12766"/>
  <c r="M973" i="12766"/>
  <c r="H973" i="12766"/>
  <c r="P973" i="12766"/>
  <c r="K973" i="12766"/>
  <c r="H917" i="12766"/>
  <c r="M917" i="12766"/>
  <c r="K917" i="12766"/>
  <c r="D809" i="12766"/>
  <c r="H837" i="12766"/>
  <c r="H809" i="12766" s="1"/>
  <c r="K837" i="12766"/>
  <c r="M767" i="12766"/>
  <c r="D768" i="12766"/>
  <c r="H857" i="12766"/>
  <c r="D871" i="12766"/>
  <c r="K857" i="12766"/>
  <c r="H738" i="12766"/>
  <c r="M738" i="12766"/>
  <c r="D701" i="12766"/>
  <c r="H701" i="12766" s="1"/>
  <c r="D702" i="12766"/>
  <c r="H702" i="12766" s="1"/>
  <c r="D723" i="12766"/>
  <c r="H723" i="12766" s="1"/>
  <c r="D724" i="12766"/>
  <c r="H724" i="12766" s="1"/>
  <c r="D726" i="12766"/>
  <c r="C729" i="12766"/>
  <c r="D693" i="12766"/>
  <c r="D695" i="12766"/>
  <c r="D696" i="12766"/>
  <c r="D697" i="12766"/>
  <c r="D704" i="12766"/>
  <c r="H704" i="12766" s="1"/>
  <c r="D705" i="12766"/>
  <c r="H705" i="12766" s="1"/>
  <c r="D712" i="12766"/>
  <c r="K712" i="12766" s="1"/>
  <c r="K610" i="12766" s="1"/>
  <c r="D714" i="12766"/>
  <c r="H714" i="12766" s="1"/>
  <c r="D715" i="12766"/>
  <c r="H715" i="12766" s="1"/>
  <c r="D716" i="12766"/>
  <c r="H716" i="12766" s="1"/>
  <c r="D720" i="12766"/>
  <c r="D721" i="12766"/>
  <c r="K582" i="12766"/>
  <c r="D304" i="12766"/>
  <c r="K304" i="12766" s="1"/>
  <c r="K275" i="12766" s="1"/>
  <c r="D309" i="12766"/>
  <c r="D310" i="12766"/>
  <c r="H310" i="12766" s="1"/>
  <c r="H281" i="12766" s="1"/>
  <c r="D311" i="12766"/>
  <c r="H311" i="12766" s="1"/>
  <c r="H282" i="12766" s="1"/>
  <c r="D312" i="12766"/>
  <c r="H312" i="12766" s="1"/>
  <c r="H283" i="12766" s="1"/>
  <c r="D313" i="12766"/>
  <c r="H313" i="12766" s="1"/>
  <c r="H284" i="12766" s="1"/>
  <c r="D316" i="12766"/>
  <c r="H316" i="12766" s="1"/>
  <c r="H287" i="12766" s="1"/>
  <c r="C288" i="12766"/>
  <c r="C290" i="12766" s="1"/>
  <c r="D302" i="12766"/>
  <c r="K302" i="12766" s="1"/>
  <c r="D303" i="12766"/>
  <c r="D305" i="12766"/>
  <c r="D314" i="12766"/>
  <c r="K314" i="12766" s="1"/>
  <c r="K285" i="12766" s="1"/>
  <c r="D315" i="12766"/>
  <c r="C319" i="12766"/>
  <c r="D267" i="12766"/>
  <c r="D270" i="12766" s="1"/>
  <c r="H296" i="12766"/>
  <c r="C117" i="12766"/>
  <c r="C89" i="12766"/>
  <c r="C91" i="12766" s="1"/>
  <c r="H72" i="12766"/>
  <c r="H76" i="12766" s="1"/>
  <c r="H78" i="12766" s="1"/>
  <c r="K72" i="12766"/>
  <c r="K76" i="12766" s="1"/>
  <c r="K78" i="12766" s="1"/>
  <c r="D21" i="12766"/>
  <c r="H38" i="12766"/>
  <c r="K38" i="12766"/>
  <c r="H17" i="12766"/>
  <c r="R97" i="12761"/>
  <c r="H454" i="12767"/>
  <c r="H17" i="12767"/>
  <c r="H953" i="12766"/>
  <c r="H955" i="12766" s="1"/>
  <c r="H909" i="12766"/>
  <c r="H911" i="12766" s="1"/>
  <c r="P909" i="12766" s="1"/>
  <c r="K840" i="12766"/>
  <c r="K812" i="12766" s="1"/>
  <c r="G810" i="12766"/>
  <c r="G782" i="12766" s="1"/>
  <c r="G807" i="12766"/>
  <c r="G779" i="12766" s="1"/>
  <c r="G777" i="12766"/>
  <c r="G804" i="12766"/>
  <c r="G776" i="12766" s="1"/>
  <c r="K827" i="12766"/>
  <c r="K799" i="12766" s="1"/>
  <c r="K767" i="12766"/>
  <c r="K766" i="12766"/>
  <c r="K623" i="12766"/>
  <c r="G621" i="12766"/>
  <c r="K616" i="12766"/>
  <c r="K615" i="12766"/>
  <c r="K664" i="12766"/>
  <c r="G600" i="12766"/>
  <c r="K653" i="12766"/>
  <c r="K697" i="12766"/>
  <c r="K595" i="12766" s="1"/>
  <c r="K693" i="12766"/>
  <c r="K591" i="12766" s="1"/>
  <c r="K586" i="12766"/>
  <c r="K566" i="12766"/>
  <c r="G497" i="12766"/>
  <c r="K495" i="12766"/>
  <c r="K559" i="12766"/>
  <c r="K558" i="12766"/>
  <c r="K556" i="12766"/>
  <c r="K488" i="12766" s="1"/>
  <c r="K374" i="12766"/>
  <c r="G171" i="12766"/>
  <c r="K430" i="12766"/>
  <c r="K429" i="12766"/>
  <c r="K427" i="12766"/>
  <c r="K426" i="12766"/>
  <c r="G166" i="12766"/>
  <c r="G164" i="12766"/>
  <c r="K393" i="12766"/>
  <c r="K364" i="12766" s="1"/>
  <c r="K272" i="12766"/>
  <c r="C158" i="12766"/>
  <c r="K268" i="12766"/>
  <c r="K386" i="12766"/>
  <c r="T86" i="12766"/>
  <c r="K86" i="12766"/>
  <c r="K84" i="12766"/>
  <c r="K102" i="12766"/>
  <c r="K22" i="12766"/>
  <c r="K23" i="12766"/>
  <c r="H59" i="12766"/>
  <c r="H61" i="12766" s="1"/>
  <c r="H22" i="12766"/>
  <c r="P45" i="12775"/>
  <c r="T106" i="12764"/>
  <c r="K98" i="12764"/>
  <c r="K91" i="12764"/>
  <c r="V87" i="12764"/>
  <c r="K84" i="12764"/>
  <c r="K75" i="12764"/>
  <c r="K69" i="12764"/>
  <c r="G69" i="12764"/>
  <c r="K65" i="12764"/>
  <c r="K58" i="12764"/>
  <c r="C69" i="12763"/>
  <c r="I32" i="12769"/>
  <c r="I31" i="12769"/>
  <c r="I30" i="12769"/>
  <c r="I28" i="12769"/>
  <c r="I27" i="12769"/>
  <c r="I26" i="12769"/>
  <c r="I24" i="12769"/>
  <c r="I23" i="12769"/>
  <c r="I22" i="12769"/>
  <c r="I20" i="12769"/>
  <c r="I19" i="12769"/>
  <c r="I18" i="12769"/>
  <c r="H751" i="12767"/>
  <c r="H750" i="12767"/>
  <c r="H743" i="12767"/>
  <c r="H742" i="12767"/>
  <c r="B343" i="12767"/>
  <c r="H122" i="12767"/>
  <c r="M997" i="12766"/>
  <c r="K996" i="12766"/>
  <c r="G995" i="12766"/>
  <c r="K993" i="12766"/>
  <c r="M992" i="12766"/>
  <c r="K990" i="12766"/>
  <c r="M989" i="12766"/>
  <c r="K988" i="12766"/>
  <c r="M985" i="12766"/>
  <c r="K984" i="12766"/>
  <c r="M982" i="12766"/>
  <c r="K981" i="12766"/>
  <c r="G980" i="12766"/>
  <c r="K977" i="12766"/>
  <c r="G976" i="12766"/>
  <c r="K974" i="12766"/>
  <c r="G973" i="12766"/>
  <c r="G1001" i="12766" s="1"/>
  <c r="G1003" i="12766" s="1"/>
  <c r="P996" i="12766"/>
  <c r="P993" i="12766"/>
  <c r="P990" i="12766"/>
  <c r="P988" i="12766"/>
  <c r="P984" i="12766"/>
  <c r="P981" i="12766"/>
  <c r="P977" i="12766"/>
  <c r="P974" i="12766"/>
  <c r="C955" i="12766"/>
  <c r="G939" i="12766"/>
  <c r="C942" i="12766"/>
  <c r="K907" i="12766"/>
  <c r="G906" i="12766"/>
  <c r="G909" i="12766" s="1"/>
  <c r="G911" i="12766" s="1"/>
  <c r="K905" i="12766"/>
  <c r="K909" i="12766" s="1"/>
  <c r="K911" i="12766" s="1"/>
  <c r="P907" i="12766"/>
  <c r="P905" i="12766"/>
  <c r="P904" i="12766"/>
  <c r="I810" i="12766"/>
  <c r="I807" i="12766"/>
  <c r="I804" i="12766"/>
  <c r="G868" i="12766"/>
  <c r="G812" i="12766" s="1"/>
  <c r="G784" i="12766" s="1"/>
  <c r="D866" i="12766"/>
  <c r="K866" i="12766" s="1"/>
  <c r="C892" i="12766"/>
  <c r="C781" i="12766" s="1"/>
  <c r="I864" i="12766"/>
  <c r="K864" i="12766" s="1"/>
  <c r="I836" i="12766"/>
  <c r="K836" i="12766" s="1"/>
  <c r="D863" i="12766"/>
  <c r="K863" i="12766" s="1"/>
  <c r="I889" i="12766"/>
  <c r="K889" i="12766" s="1"/>
  <c r="H862" i="12766"/>
  <c r="I887" i="12766"/>
  <c r="K887" i="12766" s="1"/>
  <c r="K776" i="12766" s="1"/>
  <c r="H860" i="12766"/>
  <c r="H804" i="12766" s="1"/>
  <c r="H776" i="12766" s="1"/>
  <c r="G858" i="12766"/>
  <c r="G802" i="12766" s="1"/>
  <c r="G774" i="12766" s="1"/>
  <c r="G829" i="12766"/>
  <c r="G801" i="12766" s="1"/>
  <c r="G773" i="12766" s="1"/>
  <c r="G855" i="12766"/>
  <c r="G799" i="12766" s="1"/>
  <c r="G771" i="12766" s="1"/>
  <c r="C852" i="12766"/>
  <c r="C760" i="12766"/>
  <c r="K757" i="12766"/>
  <c r="E757" i="12766"/>
  <c r="G757" i="12766" s="1"/>
  <c r="I756" i="12766"/>
  <c r="D756" i="12766"/>
  <c r="E755" i="12766"/>
  <c r="E751" i="12766"/>
  <c r="E750" i="12766"/>
  <c r="I748" i="12766"/>
  <c r="I747" i="12766"/>
  <c r="D742" i="12766"/>
  <c r="D740" i="12766"/>
  <c r="I724" i="12766"/>
  <c r="K724" i="12766" s="1"/>
  <c r="I673" i="12766"/>
  <c r="K673" i="12766" s="1"/>
  <c r="H673" i="12766"/>
  <c r="H622" i="12766" s="1"/>
  <c r="I723" i="12766"/>
  <c r="K723" i="12766" s="1"/>
  <c r="I672" i="12766"/>
  <c r="K672" i="12766" s="1"/>
  <c r="H672" i="12766"/>
  <c r="H621" i="12766" s="1"/>
  <c r="E721" i="12766"/>
  <c r="E670" i="12766"/>
  <c r="E720" i="12766"/>
  <c r="E669" i="12766"/>
  <c r="I711" i="12766"/>
  <c r="K711" i="12766" s="1"/>
  <c r="I660" i="12766"/>
  <c r="K660" i="12766" s="1"/>
  <c r="H660" i="12766"/>
  <c r="H609" i="12766" s="1"/>
  <c r="H659" i="12766"/>
  <c r="H608" i="12766" s="1"/>
  <c r="H658" i="12766"/>
  <c r="H607" i="12766" s="1"/>
  <c r="I707" i="12766"/>
  <c r="K707" i="12766" s="1"/>
  <c r="I656" i="12766"/>
  <c r="K656" i="12766" s="1"/>
  <c r="H656" i="12766"/>
  <c r="H605" i="12766" s="1"/>
  <c r="G653" i="12766"/>
  <c r="G602" i="12766" s="1"/>
  <c r="C602" i="12766"/>
  <c r="I702" i="12766"/>
  <c r="I651" i="12766"/>
  <c r="H651" i="12766"/>
  <c r="H600" i="12766" s="1"/>
  <c r="E600" i="12766"/>
  <c r="E619" i="12766" s="1"/>
  <c r="I701" i="12766"/>
  <c r="I650" i="12766"/>
  <c r="H650" i="12766"/>
  <c r="O593" i="12766"/>
  <c r="G693" i="12766"/>
  <c r="G636" i="12766"/>
  <c r="G585" i="12766" s="1"/>
  <c r="D539" i="12766"/>
  <c r="C573" i="12766"/>
  <c r="C572" i="12766"/>
  <c r="D537" i="12766"/>
  <c r="D536" i="12766"/>
  <c r="D535" i="12766"/>
  <c r="D534" i="12766"/>
  <c r="D533" i="12766"/>
  <c r="D532" i="12766"/>
  <c r="I565" i="12766"/>
  <c r="K565" i="12766" s="1"/>
  <c r="H531" i="12766"/>
  <c r="H530" i="12766"/>
  <c r="H496" i="12766" s="1"/>
  <c r="H528" i="12766"/>
  <c r="H494" i="12766" s="1"/>
  <c r="G559" i="12766"/>
  <c r="G491" i="12766" s="1"/>
  <c r="D525" i="12766"/>
  <c r="D524" i="12766"/>
  <c r="K524" i="12766" s="1"/>
  <c r="D485" i="12766"/>
  <c r="M485" i="12766" s="1"/>
  <c r="G550" i="12766"/>
  <c r="G482" i="12766" s="1"/>
  <c r="W481" i="12766"/>
  <c r="C551" i="12766"/>
  <c r="D299" i="12766"/>
  <c r="G229" i="12766"/>
  <c r="G201" i="12766" s="1"/>
  <c r="G172" i="12766" s="1"/>
  <c r="D229" i="12766"/>
  <c r="I431" i="12766"/>
  <c r="K431" i="12766" s="1"/>
  <c r="I402" i="12766"/>
  <c r="K402" i="12766" s="1"/>
  <c r="I256" i="12766"/>
  <c r="I228" i="12766"/>
  <c r="K228" i="12766" s="1"/>
  <c r="H314" i="12766"/>
  <c r="H285" i="12766" s="1"/>
  <c r="I342" i="12766"/>
  <c r="K342" i="12766" s="1"/>
  <c r="I313" i="12766"/>
  <c r="K313" i="12766" s="1"/>
  <c r="D227" i="12766"/>
  <c r="I341" i="12766"/>
  <c r="K341" i="12766" s="1"/>
  <c r="I312" i="12766"/>
  <c r="K312" i="12766" s="1"/>
  <c r="D226" i="12766"/>
  <c r="I311" i="12766"/>
  <c r="K311" i="12766" s="1"/>
  <c r="K282" i="12766" s="1"/>
  <c r="D225" i="12766"/>
  <c r="I339" i="12766"/>
  <c r="K339" i="12766" s="1"/>
  <c r="I310" i="12766"/>
  <c r="D224" i="12766"/>
  <c r="K224" i="12766" s="1"/>
  <c r="D223" i="12766"/>
  <c r="H425" i="12766"/>
  <c r="H396" i="12766"/>
  <c r="I307" i="12766"/>
  <c r="K307" i="12766" s="1"/>
  <c r="I336" i="12766"/>
  <c r="K336" i="12766" s="1"/>
  <c r="D424" i="12766"/>
  <c r="H424" i="12766" s="1"/>
  <c r="H366" i="12766" s="1"/>
  <c r="H307" i="12766"/>
  <c r="H278" i="12766" s="1"/>
  <c r="G333" i="12766"/>
  <c r="G420" i="12766"/>
  <c r="G362" i="12766" s="1"/>
  <c r="G245" i="12766"/>
  <c r="G189" i="12766" s="1"/>
  <c r="G390" i="12766"/>
  <c r="C361" i="12766"/>
  <c r="C159" i="12766" s="1"/>
  <c r="C271" i="12766"/>
  <c r="G211" i="12766"/>
  <c r="H384" i="12766"/>
  <c r="O88" i="12766"/>
  <c r="U85" i="12766"/>
  <c r="W85" i="12766" s="1"/>
  <c r="M85" i="12766"/>
  <c r="M89" i="12766" s="1"/>
  <c r="C85" i="12766"/>
  <c r="I140" i="12766"/>
  <c r="K140" i="12766" s="1"/>
  <c r="K141" i="12766" s="1"/>
  <c r="K143" i="12766" s="1"/>
  <c r="K42" i="12766"/>
  <c r="G74" i="12766"/>
  <c r="G76" i="12766" s="1"/>
  <c r="G78" i="12766" s="1"/>
  <c r="G40" i="12766"/>
  <c r="C23" i="12766"/>
  <c r="C21" i="12766"/>
  <c r="C18" i="12766"/>
  <c r="D22" i="12766"/>
  <c r="D20" i="12766"/>
  <c r="D17" i="12766"/>
  <c r="H1117" i="12767"/>
  <c r="H931" i="12787"/>
  <c r="M931" i="12787"/>
  <c r="H836" i="12787"/>
  <c r="G923" i="12787"/>
  <c r="G812" i="12787"/>
  <c r="G784" i="12787" s="1"/>
  <c r="K783" i="12787"/>
  <c r="K781" i="12787"/>
  <c r="K779" i="12787"/>
  <c r="D942" i="12787"/>
  <c r="M942" i="12787" s="1"/>
  <c r="H968" i="12787"/>
  <c r="H830" i="12787"/>
  <c r="M1099" i="12767"/>
  <c r="M1102" i="12767"/>
  <c r="M1104" i="12767"/>
  <c r="M1108" i="12767"/>
  <c r="E582" i="12767"/>
  <c r="X39" i="12764"/>
  <c r="G1030" i="12787"/>
  <c r="G943" i="12787"/>
  <c r="G945" i="12787" s="1"/>
  <c r="G971" i="12787"/>
  <c r="K896" i="12787"/>
  <c r="H827" i="12787"/>
  <c r="G827" i="12787"/>
  <c r="K825" i="12787"/>
  <c r="I834" i="12787"/>
  <c r="K834" i="12787" s="1"/>
  <c r="D826" i="12787"/>
  <c r="C798" i="12787"/>
  <c r="C770" i="12787" s="1"/>
  <c r="H880" i="12787"/>
  <c r="G880" i="12787"/>
  <c r="G823" i="12787"/>
  <c r="E833" i="12787"/>
  <c r="M766" i="12787"/>
  <c r="U767" i="12787"/>
  <c r="G739" i="12787"/>
  <c r="H739" i="12787"/>
  <c r="Q34" i="12775"/>
  <c r="D80" i="12775" s="1"/>
  <c r="S34" i="12775"/>
  <c r="F80" i="12775" s="1"/>
  <c r="U34" i="12775"/>
  <c r="H80" i="12775" s="1"/>
  <c r="W34" i="12775"/>
  <c r="J80" i="12775" s="1"/>
  <c r="Y34" i="12775"/>
  <c r="L80" i="12775" s="1"/>
  <c r="AA34" i="12775"/>
  <c r="N80" i="12775" s="1"/>
  <c r="R35" i="12775"/>
  <c r="E81" i="12775" s="1"/>
  <c r="T35" i="12775"/>
  <c r="G81" i="12775" s="1"/>
  <c r="V35" i="12775"/>
  <c r="I81" i="12775" s="1"/>
  <c r="X35" i="12775"/>
  <c r="K81" i="12775" s="1"/>
  <c r="Z35" i="12775"/>
  <c r="M81" i="12775" s="1"/>
  <c r="AB35" i="12775"/>
  <c r="O81" i="12775" s="1"/>
  <c r="R34" i="12775"/>
  <c r="E80" i="12775" s="1"/>
  <c r="T34" i="12775"/>
  <c r="G80" i="12775" s="1"/>
  <c r="V34" i="12775"/>
  <c r="I80" i="12775" s="1"/>
  <c r="X34" i="12775"/>
  <c r="K80" i="12775" s="1"/>
  <c r="Z34" i="12775"/>
  <c r="M80" i="12775" s="1"/>
  <c r="AB34" i="12775"/>
  <c r="O80" i="12775" s="1"/>
  <c r="Q35" i="12775"/>
  <c r="S35" i="12775"/>
  <c r="F81" i="12775" s="1"/>
  <c r="U35" i="12775"/>
  <c r="H81" i="12775" s="1"/>
  <c r="W35" i="12775"/>
  <c r="J81" i="12775" s="1"/>
  <c r="Y35" i="12775"/>
  <c r="L81" i="12775" s="1"/>
  <c r="AA35" i="12775"/>
  <c r="N81" i="12775" s="1"/>
  <c r="G674" i="12787"/>
  <c r="H674" i="12787"/>
  <c r="D653" i="12787"/>
  <c r="D650" i="12787"/>
  <c r="D651" i="12787"/>
  <c r="D672" i="12787"/>
  <c r="D673" i="12787"/>
  <c r="D622" i="12787" s="1"/>
  <c r="M622" i="12787" s="1"/>
  <c r="D675" i="12787"/>
  <c r="D654" i="12787"/>
  <c r="D603" i="12787" s="1"/>
  <c r="M603" i="12787" s="1"/>
  <c r="D663" i="12787"/>
  <c r="D664" i="12787"/>
  <c r="D665" i="12787"/>
  <c r="D669" i="12787"/>
  <c r="D618" i="12787" s="1"/>
  <c r="D670" i="12787"/>
  <c r="D619" i="12787" s="1"/>
  <c r="C625" i="12787"/>
  <c r="I663" i="12787"/>
  <c r="K663" i="12787" s="1"/>
  <c r="K612" i="12787" s="1"/>
  <c r="K644" i="12787"/>
  <c r="K593" i="12787" s="1"/>
  <c r="I651" i="12787"/>
  <c r="K633" i="12787"/>
  <c r="I656" i="12787"/>
  <c r="K656" i="12787" s="1"/>
  <c r="G536" i="12787"/>
  <c r="C502" i="12787"/>
  <c r="D553" i="12787"/>
  <c r="D559" i="12787"/>
  <c r="H559" i="12787" s="1"/>
  <c r="D556" i="12787"/>
  <c r="H556" i="12787" s="1"/>
  <c r="D560" i="12787"/>
  <c r="H560" i="12787" s="1"/>
  <c r="D566" i="12787"/>
  <c r="H566" i="12787" s="1"/>
  <c r="D568" i="12787"/>
  <c r="H568" i="12787" s="1"/>
  <c r="D569" i="12787"/>
  <c r="H569" i="12787" s="1"/>
  <c r="D571" i="12787"/>
  <c r="H571" i="12787" s="1"/>
  <c r="D552" i="12787"/>
  <c r="H552" i="12787" s="1"/>
  <c r="D558" i="12787"/>
  <c r="D555" i="12787"/>
  <c r="H555" i="12787" s="1"/>
  <c r="D565" i="12787"/>
  <c r="H565" i="12787" s="1"/>
  <c r="D567" i="12787"/>
  <c r="H567" i="12787" s="1"/>
  <c r="D570" i="12787"/>
  <c r="H570" i="12787" s="1"/>
  <c r="D573" i="12787"/>
  <c r="H573" i="12787" s="1"/>
  <c r="K480" i="12787"/>
  <c r="G366" i="12787"/>
  <c r="G276" i="12787"/>
  <c r="K272" i="12787"/>
  <c r="K158" i="12787" s="1"/>
  <c r="D1028" i="12787"/>
  <c r="H1028" i="12787" s="1"/>
  <c r="D1025" i="12787"/>
  <c r="H1025" i="12787" s="1"/>
  <c r="D1022" i="12787"/>
  <c r="H1022" i="12787" s="1"/>
  <c r="D1019" i="12787"/>
  <c r="H1019" i="12787" s="1"/>
  <c r="D1017" i="12787"/>
  <c r="H1017" i="12787" s="1"/>
  <c r="D1013" i="12787"/>
  <c r="H1013" i="12787" s="1"/>
  <c r="D1010" i="12787"/>
  <c r="H1010" i="12787" s="1"/>
  <c r="D1006" i="12787"/>
  <c r="H1006" i="12787" s="1"/>
  <c r="D1003" i="12787"/>
  <c r="H1003" i="12787" s="1"/>
  <c r="C993" i="12787"/>
  <c r="K992" i="12787"/>
  <c r="K993" i="12787" s="1"/>
  <c r="I980" i="12787"/>
  <c r="K980" i="12787" s="1"/>
  <c r="K943" i="12787" s="1"/>
  <c r="D969" i="12787"/>
  <c r="AA38" i="12775"/>
  <c r="Y38" i="12775"/>
  <c r="W38" i="12775"/>
  <c r="U38" i="12775"/>
  <c r="S38" i="12775"/>
  <c r="Q38" i="12775"/>
  <c r="AA41" i="12775"/>
  <c r="N87" i="12775" s="1"/>
  <c r="Y41" i="12775"/>
  <c r="L87" i="12775" s="1"/>
  <c r="W41" i="12775"/>
  <c r="J87" i="12775" s="1"/>
  <c r="U41" i="12775"/>
  <c r="H87" i="12775" s="1"/>
  <c r="S41" i="12775"/>
  <c r="F87" i="12775" s="1"/>
  <c r="D913" i="12787"/>
  <c r="D905" i="12787"/>
  <c r="D840" i="12787"/>
  <c r="H867" i="12787"/>
  <c r="H811" i="12787" s="1"/>
  <c r="H783" i="12787" s="1"/>
  <c r="H888" i="12787"/>
  <c r="K830" i="12787"/>
  <c r="K802" i="12787" s="1"/>
  <c r="K774" i="12787" s="1"/>
  <c r="H829" i="12787"/>
  <c r="K798" i="12787"/>
  <c r="K770" i="12787" s="1"/>
  <c r="H881" i="12787"/>
  <c r="D825" i="12787"/>
  <c r="D768" i="12787"/>
  <c r="T767" i="12787"/>
  <c r="K795" i="12787"/>
  <c r="K767" i="12787" s="1"/>
  <c r="K850" i="12787"/>
  <c r="M757" i="12787"/>
  <c r="M755" i="12787"/>
  <c r="K754" i="12787"/>
  <c r="M753" i="12787"/>
  <c r="H752" i="12787"/>
  <c r="H750" i="12787"/>
  <c r="M748" i="12787"/>
  <c r="K623" i="12787"/>
  <c r="K616" i="12787"/>
  <c r="K615" i="12787"/>
  <c r="K613" i="12787"/>
  <c r="G609" i="12787"/>
  <c r="G608" i="12787"/>
  <c r="G607" i="12787"/>
  <c r="G605" i="12787"/>
  <c r="K603" i="12787"/>
  <c r="M619" i="12787"/>
  <c r="G600" i="12787"/>
  <c r="K597" i="12787"/>
  <c r="H597" i="12787"/>
  <c r="H595" i="12787"/>
  <c r="H593" i="12787"/>
  <c r="H585" i="12787"/>
  <c r="G503" i="12787"/>
  <c r="K497" i="12787"/>
  <c r="K496" i="12787"/>
  <c r="K495" i="12787"/>
  <c r="K494" i="12787"/>
  <c r="K487" i="12787"/>
  <c r="H482" i="12787"/>
  <c r="K485" i="12787"/>
  <c r="H553" i="12787"/>
  <c r="K375" i="12787"/>
  <c r="K202" i="12787"/>
  <c r="G202" i="12787"/>
  <c r="K286" i="12787"/>
  <c r="G286" i="12787"/>
  <c r="G284" i="12787"/>
  <c r="G198" i="12787"/>
  <c r="K282" i="12787"/>
  <c r="G282" i="12787"/>
  <c r="G168" i="12787" s="1"/>
  <c r="K166" i="12787"/>
  <c r="H368" i="12787"/>
  <c r="G166" i="12787"/>
  <c r="G279" i="12787"/>
  <c r="G165" i="12787" s="1"/>
  <c r="K278" i="12787"/>
  <c r="K164" i="12787" s="1"/>
  <c r="G193" i="12787"/>
  <c r="K276" i="12787"/>
  <c r="K162" i="12787" s="1"/>
  <c r="K853" i="12787"/>
  <c r="I862" i="12787"/>
  <c r="K862" i="12787" s="1"/>
  <c r="C869" i="12787"/>
  <c r="C801" i="12787"/>
  <c r="C773" i="12787" s="1"/>
  <c r="G851" i="12787"/>
  <c r="H851" i="12787"/>
  <c r="H795" i="12787" s="1"/>
  <c r="H767" i="12787" s="1"/>
  <c r="E861" i="12787"/>
  <c r="G877" i="12787"/>
  <c r="E887" i="12787"/>
  <c r="G735" i="12787"/>
  <c r="E746" i="12787"/>
  <c r="H735" i="12787"/>
  <c r="I665" i="12787"/>
  <c r="K665" i="12787" s="1"/>
  <c r="K614" i="12787" s="1"/>
  <c r="K646" i="12787"/>
  <c r="K595" i="12787" s="1"/>
  <c r="K636" i="12787"/>
  <c r="K585" i="12787" s="1"/>
  <c r="I659" i="12787"/>
  <c r="K659" i="12787" s="1"/>
  <c r="K608" i="12787" s="1"/>
  <c r="H693" i="12787"/>
  <c r="H591" i="12787" s="1"/>
  <c r="D591" i="12787"/>
  <c r="M591" i="12787" s="1"/>
  <c r="G582" i="12787"/>
  <c r="G480" i="12787"/>
  <c r="G229" i="12787"/>
  <c r="K303" i="12787"/>
  <c r="I312" i="12787"/>
  <c r="K312" i="12787" s="1"/>
  <c r="K805" i="12787"/>
  <c r="K777" i="12787" s="1"/>
  <c r="K776" i="12787"/>
  <c r="M618" i="12787"/>
  <c r="G472" i="12787"/>
  <c r="G474" i="12787" s="1"/>
  <c r="K171" i="12787"/>
  <c r="K168" i="12787"/>
  <c r="K167" i="12787"/>
  <c r="G162" i="12787"/>
  <c r="G415" i="12787"/>
  <c r="H415" i="12787"/>
  <c r="I385" i="12787"/>
  <c r="I414" i="12787"/>
  <c r="O150" i="12787"/>
  <c r="G16" i="12787"/>
  <c r="G42" i="12787"/>
  <c r="E854" i="12787"/>
  <c r="E826" i="12787"/>
  <c r="E850" i="12787"/>
  <c r="E822" i="12787"/>
  <c r="D760" i="12787"/>
  <c r="E757" i="12787"/>
  <c r="G757" i="12787" s="1"/>
  <c r="E755" i="12787"/>
  <c r="I749" i="12787"/>
  <c r="E748" i="12787"/>
  <c r="E747" i="12787"/>
  <c r="I746" i="12787"/>
  <c r="I726" i="12787"/>
  <c r="K726" i="12787" s="1"/>
  <c r="K624" i="12787" s="1"/>
  <c r="H675" i="12787"/>
  <c r="D726" i="12787"/>
  <c r="H726" i="12787" s="1"/>
  <c r="E725" i="12787"/>
  <c r="I724" i="12787"/>
  <c r="K724" i="12787" s="1"/>
  <c r="I673" i="12787"/>
  <c r="K673" i="12787" s="1"/>
  <c r="H673" i="12787"/>
  <c r="H672" i="12787"/>
  <c r="D723" i="12787"/>
  <c r="H723" i="12787" s="1"/>
  <c r="E721" i="12787"/>
  <c r="E670" i="12787"/>
  <c r="E720" i="12787"/>
  <c r="E669" i="12787"/>
  <c r="H712" i="12787"/>
  <c r="H610" i="12787" s="1"/>
  <c r="H660" i="12787"/>
  <c r="H609" i="12787" s="1"/>
  <c r="H659" i="12787"/>
  <c r="H608" i="12787" s="1"/>
  <c r="H658" i="12787"/>
  <c r="H607" i="12787" s="1"/>
  <c r="H656" i="12787"/>
  <c r="H605" i="12787" s="1"/>
  <c r="H654" i="12787"/>
  <c r="H603" i="12787" s="1"/>
  <c r="G653" i="12787"/>
  <c r="G602" i="12787" s="1"/>
  <c r="C602" i="12787"/>
  <c r="I702" i="12787"/>
  <c r="H651" i="12787"/>
  <c r="D702" i="12787"/>
  <c r="H702" i="12787" s="1"/>
  <c r="H650" i="12787"/>
  <c r="D701" i="12787"/>
  <c r="H701" i="12787" s="1"/>
  <c r="G699" i="12787"/>
  <c r="G597" i="12787" s="1"/>
  <c r="M595" i="12787"/>
  <c r="G697" i="12787"/>
  <c r="G595" i="12787" s="1"/>
  <c r="M593" i="12787"/>
  <c r="G695" i="12787"/>
  <c r="G593" i="12787" s="1"/>
  <c r="O591" i="12787"/>
  <c r="G642" i="12787"/>
  <c r="G591" i="12787" s="1"/>
  <c r="C638" i="12787"/>
  <c r="C587" i="12787" s="1"/>
  <c r="O585" i="12787"/>
  <c r="G636" i="12787"/>
  <c r="G585" i="12787" s="1"/>
  <c r="D704" i="12787"/>
  <c r="H704" i="12787" s="1"/>
  <c r="I693" i="12787"/>
  <c r="D696" i="12787"/>
  <c r="I684" i="12787"/>
  <c r="H633" i="12787"/>
  <c r="I573" i="12787"/>
  <c r="K573" i="12787" s="1"/>
  <c r="K505" i="12787" s="1"/>
  <c r="I572" i="12787"/>
  <c r="K572" i="12787" s="1"/>
  <c r="K504" i="12787" s="1"/>
  <c r="H538" i="12787"/>
  <c r="H504" i="12787" s="1"/>
  <c r="I571" i="12787"/>
  <c r="K571" i="12787" s="1"/>
  <c r="I537" i="12787"/>
  <c r="K537" i="12787" s="1"/>
  <c r="G519" i="12787"/>
  <c r="G485" i="12787" s="1"/>
  <c r="I556" i="12787"/>
  <c r="I522" i="12787"/>
  <c r="G550" i="12787"/>
  <c r="G482" i="12787" s="1"/>
  <c r="H514" i="12787"/>
  <c r="I471" i="12766"/>
  <c r="I432" i="12787"/>
  <c r="K432" i="12787" s="1"/>
  <c r="I403" i="12787"/>
  <c r="K403" i="12787" s="1"/>
  <c r="I257" i="12787"/>
  <c r="K257" i="12787" s="1"/>
  <c r="K201" i="12787" s="1"/>
  <c r="E432" i="12787"/>
  <c r="E403" i="12787"/>
  <c r="E257" i="12787"/>
  <c r="C227" i="12787"/>
  <c r="H337" i="12787"/>
  <c r="H279" i="12787" s="1"/>
  <c r="H424" i="12787"/>
  <c r="H395" i="12787"/>
  <c r="H334" i="12787"/>
  <c r="C346" i="12787"/>
  <c r="C317" i="12787"/>
  <c r="C259" i="12787"/>
  <c r="K183" i="12787"/>
  <c r="K153" i="12787" s="1"/>
  <c r="H268" i="12787"/>
  <c r="K355" i="12787"/>
  <c r="K149" i="12787" s="1"/>
  <c r="G355" i="12787"/>
  <c r="G149" i="12787" s="1"/>
  <c r="K87" i="12787"/>
  <c r="K141" i="12787"/>
  <c r="K115" i="12787"/>
  <c r="G23" i="12787"/>
  <c r="G18" i="12787"/>
  <c r="G76" i="12787"/>
  <c r="I217" i="12787"/>
  <c r="I245" i="12787"/>
  <c r="I391" i="12787"/>
  <c r="I420" i="12787"/>
  <c r="D419" i="12787"/>
  <c r="H419" i="12787" s="1"/>
  <c r="D420" i="12787"/>
  <c r="D362" i="12787" s="1"/>
  <c r="D386" i="12787"/>
  <c r="D357" i="12787" s="1"/>
  <c r="D151" i="12787" s="1"/>
  <c r="M151" i="12787" s="1"/>
  <c r="D390" i="12787"/>
  <c r="D392" i="12787"/>
  <c r="D363" i="12787" s="1"/>
  <c r="K83" i="12787"/>
  <c r="U84" i="12787" s="1"/>
  <c r="W84" i="12787" s="1"/>
  <c r="G83" i="12787"/>
  <c r="K273" i="12787"/>
  <c r="K269" i="12787"/>
  <c r="K155" i="12787" s="1"/>
  <c r="U151" i="12787" s="1"/>
  <c r="W151" i="12787" s="1"/>
  <c r="H269" i="12787"/>
  <c r="K88" i="12787"/>
  <c r="G21" i="12787"/>
  <c r="G59" i="12787"/>
  <c r="R29" i="12775"/>
  <c r="T29" i="12775"/>
  <c r="V29" i="12775"/>
  <c r="X29" i="12775"/>
  <c r="Z29" i="12775"/>
  <c r="AB29" i="12775"/>
  <c r="R34" i="12774"/>
  <c r="T34" i="12774"/>
  <c r="V34" i="12774"/>
  <c r="X34" i="12774"/>
  <c r="Z34" i="12774"/>
  <c r="AB34" i="12774"/>
  <c r="Q35" i="12774"/>
  <c r="S35" i="12774"/>
  <c r="F81" i="12774" s="1"/>
  <c r="U35" i="12774"/>
  <c r="H81" i="12774" s="1"/>
  <c r="W35" i="12774"/>
  <c r="J81" i="12774" s="1"/>
  <c r="Y35" i="12774"/>
  <c r="L81" i="12774" s="1"/>
  <c r="AA35" i="12774"/>
  <c r="N81" i="12774" s="1"/>
  <c r="Q34" i="12774"/>
  <c r="S34" i="12774"/>
  <c r="U34" i="12774"/>
  <c r="W34" i="12774"/>
  <c r="Y34" i="12774"/>
  <c r="AA34" i="12774"/>
  <c r="R35" i="12774"/>
  <c r="E81" i="12774" s="1"/>
  <c r="T35" i="12774"/>
  <c r="G81" i="12774" s="1"/>
  <c r="V35" i="12774"/>
  <c r="I81" i="12774" s="1"/>
  <c r="X35" i="12774"/>
  <c r="K81" i="12774" s="1"/>
  <c r="Z35" i="12774"/>
  <c r="M81" i="12774" s="1"/>
  <c r="AB35" i="12774"/>
  <c r="O81" i="12774" s="1"/>
  <c r="E641" i="12767"/>
  <c r="E601" i="12767" s="1"/>
  <c r="R29" i="12774"/>
  <c r="E75" i="12774" s="1"/>
  <c r="V29" i="12774"/>
  <c r="I75" i="12774" s="1"/>
  <c r="Z29" i="12774"/>
  <c r="M75" i="12774" s="1"/>
  <c r="S29" i="12774"/>
  <c r="F75" i="12774" s="1"/>
  <c r="AA29" i="12774"/>
  <c r="N75" i="12774" s="1"/>
  <c r="T27" i="12774"/>
  <c r="G73" i="12774" s="1"/>
  <c r="X27" i="12774"/>
  <c r="K73" i="12774" s="1"/>
  <c r="AB27" i="12774"/>
  <c r="O73" i="12774" s="1"/>
  <c r="T24" i="12774"/>
  <c r="X24" i="12774"/>
  <c r="AB24" i="12774"/>
  <c r="S25" i="12774"/>
  <c r="F71" i="12774" s="1"/>
  <c r="W25" i="12774"/>
  <c r="J71" i="12774" s="1"/>
  <c r="AA25" i="12774"/>
  <c r="N71" i="12774" s="1"/>
  <c r="T26" i="12774"/>
  <c r="G72" i="12774" s="1"/>
  <c r="X26" i="12774"/>
  <c r="K72" i="12774" s="1"/>
  <c r="AB26" i="12774"/>
  <c r="O72" i="12774" s="1"/>
  <c r="U29" i="12774"/>
  <c r="H75" i="12774" s="1"/>
  <c r="Q27" i="12774"/>
  <c r="U27" i="12774"/>
  <c r="H73" i="12774" s="1"/>
  <c r="Y27" i="12774"/>
  <c r="L73" i="12774" s="1"/>
  <c r="Q24" i="12774"/>
  <c r="U24" i="12774"/>
  <c r="Y24" i="12774"/>
  <c r="R25" i="12774"/>
  <c r="E71" i="12774" s="1"/>
  <c r="V25" i="12774"/>
  <c r="I71" i="12774" s="1"/>
  <c r="Z25" i="12774"/>
  <c r="M71" i="12774" s="1"/>
  <c r="Q26" i="12774"/>
  <c r="U26" i="12774"/>
  <c r="H72" i="12774" s="1"/>
  <c r="Y26" i="12774"/>
  <c r="L72" i="12774" s="1"/>
  <c r="Q28" i="12774"/>
  <c r="U28" i="12774"/>
  <c r="H74" i="12774" s="1"/>
  <c r="Y28" i="12774"/>
  <c r="L74" i="12774" s="1"/>
  <c r="R31" i="12774"/>
  <c r="E77" i="12774" s="1"/>
  <c r="V31" i="12774"/>
  <c r="I77" i="12774" s="1"/>
  <c r="Z31" i="12774"/>
  <c r="M77" i="12774" s="1"/>
  <c r="R28" i="12774"/>
  <c r="E74" i="12774" s="1"/>
  <c r="V28" i="12774"/>
  <c r="I74" i="12774" s="1"/>
  <c r="Z28" i="12774"/>
  <c r="M74" i="12774" s="1"/>
  <c r="Q31" i="12774"/>
  <c r="U31" i="12774"/>
  <c r="H77" i="12774" s="1"/>
  <c r="Y31" i="12774"/>
  <c r="L77" i="12774" s="1"/>
  <c r="I240" i="12787"/>
  <c r="H414" i="12787"/>
  <c r="H122" i="12787"/>
  <c r="H96" i="12787"/>
  <c r="AA20" i="12775"/>
  <c r="N66" i="12775" s="1"/>
  <c r="Y20" i="12775"/>
  <c r="L66" i="12775" s="1"/>
  <c r="W20" i="12775"/>
  <c r="J66" i="12775" s="1"/>
  <c r="U20" i="12775"/>
  <c r="H66" i="12775" s="1"/>
  <c r="S20" i="12775"/>
  <c r="F66" i="12775" s="1"/>
  <c r="AA10" i="12775"/>
  <c r="N56" i="12775" s="1"/>
  <c r="Y10" i="12775"/>
  <c r="L56" i="12775" s="1"/>
  <c r="W10" i="12775"/>
  <c r="J56" i="12775" s="1"/>
  <c r="U10" i="12775"/>
  <c r="H56" i="12775" s="1"/>
  <c r="S10" i="12775"/>
  <c r="F56" i="12775" s="1"/>
  <c r="I74" i="12787"/>
  <c r="K74" i="12787" s="1"/>
  <c r="I57" i="12787"/>
  <c r="K57" i="12787" s="1"/>
  <c r="D74" i="12787"/>
  <c r="H74" i="12787" s="1"/>
  <c r="D40" i="12787"/>
  <c r="D56" i="12787"/>
  <c r="H56" i="12787" s="1"/>
  <c r="H22" i="12787" s="1"/>
  <c r="C22" i="12787"/>
  <c r="D72" i="12787"/>
  <c r="H72" i="12787" s="1"/>
  <c r="D38" i="12787"/>
  <c r="D54" i="12787"/>
  <c r="H54" i="12787" s="1"/>
  <c r="C20" i="12787"/>
  <c r="D69" i="12787"/>
  <c r="H34" i="12787"/>
  <c r="D51" i="12787"/>
  <c r="H51" i="12787" s="1"/>
  <c r="H59" i="12787" s="1"/>
  <c r="H61" i="12787" s="1"/>
  <c r="C17" i="12787"/>
  <c r="H67" i="12787"/>
  <c r="H33" i="12787"/>
  <c r="H958" i="12767"/>
  <c r="I816" i="12767"/>
  <c r="E1139" i="12767"/>
  <c r="E152" i="12767"/>
  <c r="Z10" i="12823" s="1"/>
  <c r="Q6" i="12775"/>
  <c r="D52" i="12775" s="1"/>
  <c r="U6" i="12775"/>
  <c r="H52" i="12775" s="1"/>
  <c r="W6" i="12775"/>
  <c r="J52" i="12775" s="1"/>
  <c r="Y6" i="12775"/>
  <c r="L52" i="12775" s="1"/>
  <c r="AA6" i="12775"/>
  <c r="N52" i="12775" s="1"/>
  <c r="R7" i="12775"/>
  <c r="E53" i="12775" s="1"/>
  <c r="T7" i="12775"/>
  <c r="G53" i="12775" s="1"/>
  <c r="V7" i="12775"/>
  <c r="I53" i="12775" s="1"/>
  <c r="X7" i="12775"/>
  <c r="K53" i="12775" s="1"/>
  <c r="Z7" i="12775"/>
  <c r="M53" i="12775" s="1"/>
  <c r="AB7" i="12775"/>
  <c r="O53" i="12775" s="1"/>
  <c r="Q8" i="12775"/>
  <c r="D54" i="12775" s="1"/>
  <c r="S8" i="12775"/>
  <c r="F54" i="12775" s="1"/>
  <c r="U8" i="12775"/>
  <c r="H54" i="12775" s="1"/>
  <c r="W8" i="12775"/>
  <c r="J54" i="12775" s="1"/>
  <c r="Y8" i="12775"/>
  <c r="L54" i="12775" s="1"/>
  <c r="AA8" i="12775"/>
  <c r="N54" i="12775" s="1"/>
  <c r="R9" i="12775"/>
  <c r="E55" i="12775" s="1"/>
  <c r="T9" i="12775"/>
  <c r="G55" i="12775" s="1"/>
  <c r="V9" i="12775"/>
  <c r="I55" i="12775" s="1"/>
  <c r="X9" i="12775"/>
  <c r="K55" i="12775" s="1"/>
  <c r="Z9" i="12775"/>
  <c r="M55" i="12775" s="1"/>
  <c r="AB9" i="12775"/>
  <c r="O55" i="12775" s="1"/>
  <c r="R6" i="12775"/>
  <c r="E52" i="12775" s="1"/>
  <c r="V6" i="12775"/>
  <c r="I52" i="12775" s="1"/>
  <c r="Z6" i="12775"/>
  <c r="M52" i="12775" s="1"/>
  <c r="S7" i="12775"/>
  <c r="F53" i="12775" s="1"/>
  <c r="W7" i="12775"/>
  <c r="J53" i="12775" s="1"/>
  <c r="AA7" i="12775"/>
  <c r="N53" i="12775" s="1"/>
  <c r="T8" i="12775"/>
  <c r="G54" i="12775" s="1"/>
  <c r="X8" i="12775"/>
  <c r="K54" i="12775" s="1"/>
  <c r="AB8" i="12775"/>
  <c r="O54" i="12775" s="1"/>
  <c r="Q9" i="12775"/>
  <c r="U9" i="12775"/>
  <c r="H55" i="12775" s="1"/>
  <c r="Y9" i="12775"/>
  <c r="L55" i="12775" s="1"/>
  <c r="T6" i="12775"/>
  <c r="G52" i="12775" s="1"/>
  <c r="X6" i="12775"/>
  <c r="K52" i="12775" s="1"/>
  <c r="AB6" i="12775"/>
  <c r="O52" i="12775" s="1"/>
  <c r="Q7" i="12775"/>
  <c r="D53" i="12775" s="1"/>
  <c r="U7" i="12775"/>
  <c r="H53" i="12775" s="1"/>
  <c r="Y7" i="12775"/>
  <c r="L53" i="12775" s="1"/>
  <c r="R8" i="12775"/>
  <c r="E54" i="12775" s="1"/>
  <c r="V8" i="12775"/>
  <c r="I54" i="12775" s="1"/>
  <c r="Z8" i="12775"/>
  <c r="M54" i="12775" s="1"/>
  <c r="S9" i="12775"/>
  <c r="F55" i="12775" s="1"/>
  <c r="W9" i="12775"/>
  <c r="J55" i="12775" s="1"/>
  <c r="AA9" i="12775"/>
  <c r="N55" i="12775" s="1"/>
  <c r="E877" i="12767"/>
  <c r="E781" i="12767"/>
  <c r="E1117" i="12767"/>
  <c r="E859" i="12767"/>
  <c r="Q18" i="12774"/>
  <c r="D64" i="12774" s="1"/>
  <c r="U18" i="12774"/>
  <c r="H64" i="12774" s="1"/>
  <c r="Y18" i="12774"/>
  <c r="L64" i="12774" s="1"/>
  <c r="Q14" i="12774"/>
  <c r="D60" i="12774" s="1"/>
  <c r="U14" i="12774"/>
  <c r="H60" i="12774" s="1"/>
  <c r="Y14" i="12774"/>
  <c r="L60" i="12774" s="1"/>
  <c r="R15" i="12774"/>
  <c r="E61" i="12774" s="1"/>
  <c r="V15" i="12774"/>
  <c r="I61" i="12774" s="1"/>
  <c r="Z15" i="12774"/>
  <c r="M61" i="12774" s="1"/>
  <c r="Q16" i="12774"/>
  <c r="U16" i="12774"/>
  <c r="H62" i="12774" s="1"/>
  <c r="Y16" i="12774"/>
  <c r="L62" i="12774" s="1"/>
  <c r="R18" i="12774"/>
  <c r="E64" i="12774" s="1"/>
  <c r="V18" i="12774"/>
  <c r="I64" i="12774" s="1"/>
  <c r="Z18" i="12774"/>
  <c r="M64" i="12774" s="1"/>
  <c r="R14" i="12774"/>
  <c r="E60" i="12774" s="1"/>
  <c r="V14" i="12774"/>
  <c r="I60" i="12774" s="1"/>
  <c r="Z14" i="12774"/>
  <c r="M60" i="12774" s="1"/>
  <c r="Q15" i="12774"/>
  <c r="U15" i="12774"/>
  <c r="H61" i="12774" s="1"/>
  <c r="Y15" i="12774"/>
  <c r="L61" i="12774" s="1"/>
  <c r="R16" i="12774"/>
  <c r="E62" i="12774" s="1"/>
  <c r="V16" i="12774"/>
  <c r="I62" i="12774" s="1"/>
  <c r="Z16" i="12774"/>
  <c r="M62" i="12774" s="1"/>
  <c r="T6" i="12774"/>
  <c r="G52" i="12774" s="1"/>
  <c r="X6" i="12774"/>
  <c r="K52" i="12774" s="1"/>
  <c r="AB6" i="12774"/>
  <c r="O52" i="12774" s="1"/>
  <c r="S7" i="12774"/>
  <c r="F53" i="12774" s="1"/>
  <c r="W7" i="12774"/>
  <c r="J53" i="12774" s="1"/>
  <c r="AA7" i="12774"/>
  <c r="N53" i="12774" s="1"/>
  <c r="T8" i="12774"/>
  <c r="G54" i="12774" s="1"/>
  <c r="X8" i="12774"/>
  <c r="K54" i="12774" s="1"/>
  <c r="AB8" i="12774"/>
  <c r="O54" i="12774" s="1"/>
  <c r="S9" i="12774"/>
  <c r="F55" i="12774" s="1"/>
  <c r="W9" i="12774"/>
  <c r="J55" i="12774" s="1"/>
  <c r="AA9" i="12774"/>
  <c r="N55" i="12774" s="1"/>
  <c r="S6" i="12774"/>
  <c r="F52" i="12774" s="1"/>
  <c r="W6" i="12774"/>
  <c r="J52" i="12774" s="1"/>
  <c r="AA6" i="12774"/>
  <c r="N52" i="12774" s="1"/>
  <c r="T7" i="12774"/>
  <c r="G53" i="12774" s="1"/>
  <c r="X7" i="12774"/>
  <c r="K53" i="12774" s="1"/>
  <c r="AB7" i="12774"/>
  <c r="O53" i="12774" s="1"/>
  <c r="S8" i="12774"/>
  <c r="F54" i="12774" s="1"/>
  <c r="W8" i="12774"/>
  <c r="J54" i="12774" s="1"/>
  <c r="AA8" i="12774"/>
  <c r="N54" i="12774" s="1"/>
  <c r="T9" i="12774"/>
  <c r="G55" i="12774" s="1"/>
  <c r="X9" i="12774"/>
  <c r="K55" i="12774" s="1"/>
  <c r="AB9" i="12774"/>
  <c r="O55" i="12774" s="1"/>
  <c r="E697" i="12767"/>
  <c r="E659" i="12767"/>
  <c r="E949" i="12767"/>
  <c r="E951" i="12767"/>
  <c r="E953" i="12767"/>
  <c r="AA29" i="12775"/>
  <c r="Y29" i="12775"/>
  <c r="W29" i="12775"/>
  <c r="U29" i="12775"/>
  <c r="S29" i="12775"/>
  <c r="AB42" i="12774"/>
  <c r="O88" i="12774" s="1"/>
  <c r="Z42" i="12774"/>
  <c r="M88" i="12774" s="1"/>
  <c r="X42" i="12774"/>
  <c r="K88" i="12774" s="1"/>
  <c r="V42" i="12774"/>
  <c r="I88" i="12774" s="1"/>
  <c r="T42" i="12774"/>
  <c r="G88" i="12774" s="1"/>
  <c r="R42" i="12774"/>
  <c r="AA40" i="12774"/>
  <c r="Y40" i="12774"/>
  <c r="W40" i="12774"/>
  <c r="U40" i="12774"/>
  <c r="S40" i="12774"/>
  <c r="Q40" i="12774"/>
  <c r="AB39" i="12774"/>
  <c r="O85" i="12774" s="1"/>
  <c r="Z39" i="12774"/>
  <c r="M85" i="12774" s="1"/>
  <c r="X39" i="12774"/>
  <c r="K85" i="12774" s="1"/>
  <c r="V39" i="12774"/>
  <c r="I85" i="12774" s="1"/>
  <c r="T39" i="12774"/>
  <c r="G85" i="12774" s="1"/>
  <c r="R39" i="12774"/>
  <c r="AB38" i="12774"/>
  <c r="Z38" i="12774"/>
  <c r="X38" i="12774"/>
  <c r="V38" i="12774"/>
  <c r="T38" i="12774"/>
  <c r="R38" i="12774"/>
  <c r="AA41" i="12774"/>
  <c r="N87" i="12774" s="1"/>
  <c r="Y41" i="12774"/>
  <c r="L87" i="12774" s="1"/>
  <c r="W41" i="12774"/>
  <c r="J87" i="12774" s="1"/>
  <c r="U41" i="12774"/>
  <c r="H87" i="12774" s="1"/>
  <c r="S41" i="12774"/>
  <c r="E783" i="12767"/>
  <c r="E766" i="12767"/>
  <c r="E692" i="12767"/>
  <c r="H657" i="12767"/>
  <c r="E656" i="12767"/>
  <c r="H313" i="12767"/>
  <c r="H291" i="12767"/>
  <c r="H222" i="12767" s="1"/>
  <c r="K99" i="12767"/>
  <c r="E293" i="12767"/>
  <c r="E698" i="12767"/>
  <c r="E660" i="12767"/>
  <c r="I397" i="12767"/>
  <c r="K397" i="12767" s="1"/>
  <c r="I327" i="12767"/>
  <c r="K327" i="12767" s="1"/>
  <c r="E598" i="12767" l="1"/>
  <c r="E585" i="12767"/>
  <c r="E587" i="12767" s="1"/>
  <c r="E15" i="12767"/>
  <c r="E357" i="12767"/>
  <c r="K736" i="12767"/>
  <c r="E721" i="12767"/>
  <c r="H543" i="12767"/>
  <c r="V34" i="12823" s="1"/>
  <c r="E618" i="12767"/>
  <c r="E224" i="12767"/>
  <c r="E729" i="12767"/>
  <c r="E218" i="12767"/>
  <c r="E594" i="12767"/>
  <c r="E18" i="12767"/>
  <c r="U96" i="12764"/>
  <c r="E57" i="12767"/>
  <c r="E13" i="12767"/>
  <c r="E75" i="12767"/>
  <c r="E39" i="12767"/>
  <c r="Z11" i="12823" s="1"/>
  <c r="AA11" i="12823" s="1"/>
  <c r="E17" i="12767"/>
  <c r="E16" i="12767"/>
  <c r="H42" i="12766"/>
  <c r="O99" i="12761"/>
  <c r="K50" i="12766"/>
  <c r="K16" i="12766" s="1"/>
  <c r="G227" i="12766"/>
  <c r="G199" i="12766" s="1"/>
  <c r="G170" i="12766" s="1"/>
  <c r="K297" i="12787"/>
  <c r="I308" i="12787"/>
  <c r="K308" i="12787" s="1"/>
  <c r="K750" i="12787"/>
  <c r="M750" i="12787"/>
  <c r="K395" i="12766"/>
  <c r="H599" i="12787"/>
  <c r="H600" i="12787"/>
  <c r="K278" i="12766"/>
  <c r="K373" i="12766"/>
  <c r="H777" i="12766"/>
  <c r="K332" i="12787"/>
  <c r="K274" i="12787" s="1"/>
  <c r="I341" i="12787"/>
  <c r="K341" i="12787" s="1"/>
  <c r="K283" i="12787" s="1"/>
  <c r="K392" i="12787"/>
  <c r="K363" i="12787" s="1"/>
  <c r="I401" i="12787"/>
  <c r="K401" i="12787" s="1"/>
  <c r="K372" i="12787" s="1"/>
  <c r="G164" i="12787"/>
  <c r="K714" i="12766"/>
  <c r="K716" i="12766"/>
  <c r="G18" i="12766"/>
  <c r="G22" i="12766"/>
  <c r="G155" i="12766"/>
  <c r="C160" i="12766"/>
  <c r="K950" i="12766"/>
  <c r="K953" i="12766" s="1"/>
  <c r="K955" i="12766" s="1"/>
  <c r="G187" i="12787"/>
  <c r="G158" i="12787" s="1"/>
  <c r="G343" i="12787"/>
  <c r="G285" i="12787" s="1"/>
  <c r="G171" i="12787" s="1"/>
  <c r="H343" i="12787"/>
  <c r="G529" i="12787"/>
  <c r="G495" i="12787" s="1"/>
  <c r="H529" i="12787"/>
  <c r="H495" i="12787" s="1"/>
  <c r="H530" i="12787"/>
  <c r="G530" i="12787"/>
  <c r="I650" i="12787"/>
  <c r="K642" i="12787"/>
  <c r="K752" i="12787"/>
  <c r="M752" i="12787"/>
  <c r="G112" i="12764"/>
  <c r="G339" i="12787"/>
  <c r="H339" i="12787"/>
  <c r="E468" i="12767"/>
  <c r="K469" i="12767"/>
  <c r="M40" i="12828"/>
  <c r="M43" i="12828" s="1"/>
  <c r="B1141" i="12767"/>
  <c r="E185" i="12767"/>
  <c r="H75" i="12767"/>
  <c r="H21" i="12767" s="1"/>
  <c r="H224" i="12767"/>
  <c r="E166" i="12767"/>
  <c r="E165" i="12767"/>
  <c r="K225" i="12767"/>
  <c r="K190" i="12767" s="1"/>
  <c r="K621" i="12767"/>
  <c r="E203" i="12767"/>
  <c r="E164" i="12767" s="1"/>
  <c r="E207" i="12767"/>
  <c r="E169" i="12767" s="1"/>
  <c r="Z71" i="12823"/>
  <c r="Z74" i="12823"/>
  <c r="K346" i="12766"/>
  <c r="K348" i="12766" s="1"/>
  <c r="M756" i="12766"/>
  <c r="K316" i="12766"/>
  <c r="K287" i="12766" s="1"/>
  <c r="K705" i="12766"/>
  <c r="K400" i="12766"/>
  <c r="K246" i="12787"/>
  <c r="H367" i="12787"/>
  <c r="G570" i="12787"/>
  <c r="G502" i="12787" s="1"/>
  <c r="P10" i="12764"/>
  <c r="R10" i="12764" s="1"/>
  <c r="N16" i="12812" s="1"/>
  <c r="V10" i="12823"/>
  <c r="AB10" i="12823" s="1"/>
  <c r="M757" i="12766"/>
  <c r="F117" i="12811"/>
  <c r="D85" i="12787"/>
  <c r="H98" i="12787"/>
  <c r="H85" i="12787" s="1"/>
  <c r="G724" i="12787"/>
  <c r="G622" i="12787" s="1"/>
  <c r="H724" i="12787"/>
  <c r="H980" i="12787"/>
  <c r="K51" i="12766"/>
  <c r="AA51" i="12823"/>
  <c r="V102" i="12823"/>
  <c r="X51" i="12823"/>
  <c r="AD51" i="12823" s="1"/>
  <c r="AB51" i="12823"/>
  <c r="W51" i="12823"/>
  <c r="G746" i="12766"/>
  <c r="H746" i="12766"/>
  <c r="H20" i="12787"/>
  <c r="H622" i="12787"/>
  <c r="P54" i="12764"/>
  <c r="V54" i="12823"/>
  <c r="P12" i="12764"/>
  <c r="R12" i="12764" s="1"/>
  <c r="N21" i="12812" s="1"/>
  <c r="V12" i="12823"/>
  <c r="H982" i="12787"/>
  <c r="H984" i="12787" s="1"/>
  <c r="P24" i="12764"/>
  <c r="V24" i="12823"/>
  <c r="P55" i="12764"/>
  <c r="V55" i="12764" s="1"/>
  <c r="V55" i="12823"/>
  <c r="P25" i="12764"/>
  <c r="P108" i="12764" s="1"/>
  <c r="V25" i="12823"/>
  <c r="F50" i="12811"/>
  <c r="E49" i="12811"/>
  <c r="E50" i="12811" s="1"/>
  <c r="F82" i="12811"/>
  <c r="F97" i="12811" s="1"/>
  <c r="E79" i="12811"/>
  <c r="D89" i="12787"/>
  <c r="D104" i="12787"/>
  <c r="G420" i="12787"/>
  <c r="G362" i="12787" s="1"/>
  <c r="E429" i="12787"/>
  <c r="E81" i="12811"/>
  <c r="F54" i="12811"/>
  <c r="E53" i="12811"/>
  <c r="E54" i="12811" s="1"/>
  <c r="G304" i="12787"/>
  <c r="K304" i="12787"/>
  <c r="K275" i="12787" s="1"/>
  <c r="K751" i="12787"/>
  <c r="M751" i="12787"/>
  <c r="M932" i="12787"/>
  <c r="M934" i="12787" s="1"/>
  <c r="H932" i="12787"/>
  <c r="H934" i="12787" s="1"/>
  <c r="H936" i="12787" s="1"/>
  <c r="C275" i="12766"/>
  <c r="C161" i="12766" s="1"/>
  <c r="G304" i="12766"/>
  <c r="G317" i="12766" s="1"/>
  <c r="G749" i="12766"/>
  <c r="H749" i="12766"/>
  <c r="K224" i="12767"/>
  <c r="I103" i="12811"/>
  <c r="I117" i="12811" s="1"/>
  <c r="H225" i="12767"/>
  <c r="Z68" i="12823"/>
  <c r="V8" i="12823"/>
  <c r="AB8" i="12823" s="1"/>
  <c r="P8" i="12764"/>
  <c r="AB16" i="12774"/>
  <c r="O62" i="12774" s="1"/>
  <c r="X16" i="12774"/>
  <c r="K62" i="12774" s="1"/>
  <c r="T16" i="12774"/>
  <c r="G62" i="12774" s="1"/>
  <c r="AA15" i="12774"/>
  <c r="N61" i="12774" s="1"/>
  <c r="W15" i="12774"/>
  <c r="J61" i="12774" s="1"/>
  <c r="S15" i="12774"/>
  <c r="F61" i="12774" s="1"/>
  <c r="AB14" i="12774"/>
  <c r="O60" i="12774" s="1"/>
  <c r="X14" i="12774"/>
  <c r="K60" i="12774" s="1"/>
  <c r="T14" i="12774"/>
  <c r="G60" i="12774" s="1"/>
  <c r="AB18" i="12774"/>
  <c r="O64" i="12774" s="1"/>
  <c r="X18" i="12774"/>
  <c r="K64" i="12774" s="1"/>
  <c r="T18" i="12774"/>
  <c r="G64" i="12774" s="1"/>
  <c r="AA16" i="12774"/>
  <c r="N62" i="12774" s="1"/>
  <c r="W16" i="12774"/>
  <c r="J62" i="12774" s="1"/>
  <c r="S16" i="12774"/>
  <c r="F62" i="12774" s="1"/>
  <c r="AB15" i="12774"/>
  <c r="O61" i="12774" s="1"/>
  <c r="X15" i="12774"/>
  <c r="K61" i="12774" s="1"/>
  <c r="T15" i="12774"/>
  <c r="G61" i="12774" s="1"/>
  <c r="AA14" i="12774"/>
  <c r="N60" i="12774" s="1"/>
  <c r="W14" i="12774"/>
  <c r="J60" i="12774" s="1"/>
  <c r="S14" i="12774"/>
  <c r="F60" i="12774" s="1"/>
  <c r="AA18" i="12774"/>
  <c r="N64" i="12774" s="1"/>
  <c r="W18" i="12774"/>
  <c r="J64" i="12774" s="1"/>
  <c r="S18" i="12774"/>
  <c r="F64" i="12774" s="1"/>
  <c r="AB19" i="12774"/>
  <c r="O65" i="12774" s="1"/>
  <c r="X19" i="12774"/>
  <c r="K65" i="12774" s="1"/>
  <c r="T19" i="12774"/>
  <c r="G65" i="12774" s="1"/>
  <c r="AB20" i="12774"/>
  <c r="O66" i="12774" s="1"/>
  <c r="X20" i="12774"/>
  <c r="K66" i="12774" s="1"/>
  <c r="T20" i="12774"/>
  <c r="G66" i="12774" s="1"/>
  <c r="AB21" i="12774"/>
  <c r="O67" i="12774" s="1"/>
  <c r="X21" i="12774"/>
  <c r="K67" i="12774" s="1"/>
  <c r="T21" i="12774"/>
  <c r="G67" i="12774" s="1"/>
  <c r="AA20" i="12774"/>
  <c r="N66" i="12774" s="1"/>
  <c r="W20" i="12774"/>
  <c r="J66" i="12774" s="1"/>
  <c r="S20" i="12774"/>
  <c r="F66" i="12774" s="1"/>
  <c r="AA21" i="12774"/>
  <c r="N67" i="12774" s="1"/>
  <c r="W21" i="12774"/>
  <c r="J67" i="12774" s="1"/>
  <c r="S21" i="12774"/>
  <c r="F67" i="12774" s="1"/>
  <c r="Z9" i="12774"/>
  <c r="M55" i="12774" s="1"/>
  <c r="V9" i="12774"/>
  <c r="I55" i="12774" s="1"/>
  <c r="R9" i="12774"/>
  <c r="E55" i="12774" s="1"/>
  <c r="Y8" i="12774"/>
  <c r="L54" i="12774" s="1"/>
  <c r="U8" i="12774"/>
  <c r="H54" i="12774" s="1"/>
  <c r="Q8" i="12774"/>
  <c r="D54" i="12774" s="1"/>
  <c r="Z7" i="12774"/>
  <c r="M53" i="12774" s="1"/>
  <c r="V7" i="12774"/>
  <c r="I53" i="12774" s="1"/>
  <c r="R7" i="12774"/>
  <c r="E53" i="12774" s="1"/>
  <c r="Y6" i="12774"/>
  <c r="L52" i="12774" s="1"/>
  <c r="U6" i="12774"/>
  <c r="H52" i="12774" s="1"/>
  <c r="Q6" i="12774"/>
  <c r="D52" i="12774" s="1"/>
  <c r="Y9" i="12774"/>
  <c r="L55" i="12774" s="1"/>
  <c r="U9" i="12774"/>
  <c r="H55" i="12774" s="1"/>
  <c r="Q9" i="12774"/>
  <c r="D55" i="12774" s="1"/>
  <c r="Z8" i="12774"/>
  <c r="M54" i="12774" s="1"/>
  <c r="V8" i="12774"/>
  <c r="I54" i="12774" s="1"/>
  <c r="R8" i="12774"/>
  <c r="E54" i="12774" s="1"/>
  <c r="Y7" i="12774"/>
  <c r="L53" i="12774" s="1"/>
  <c r="U7" i="12774"/>
  <c r="H53" i="12774" s="1"/>
  <c r="Q7" i="12774"/>
  <c r="D53" i="12774" s="1"/>
  <c r="Z6" i="12774"/>
  <c r="M52" i="12774" s="1"/>
  <c r="V6" i="12774"/>
  <c r="I52" i="12774" s="1"/>
  <c r="R6" i="12774"/>
  <c r="E52" i="12774" s="1"/>
  <c r="Y10" i="12774"/>
  <c r="L56" i="12774" s="1"/>
  <c r="U10" i="12774"/>
  <c r="H56" i="12774" s="1"/>
  <c r="Q10" i="12774"/>
  <c r="D56" i="12774" s="1"/>
  <c r="Z10" i="12774"/>
  <c r="M56" i="12774" s="1"/>
  <c r="V10" i="12774"/>
  <c r="I56" i="12774" s="1"/>
  <c r="AA31" i="12774"/>
  <c r="N77" i="12774" s="1"/>
  <c r="W31" i="12774"/>
  <c r="J77" i="12774" s="1"/>
  <c r="S31" i="12774"/>
  <c r="F77" i="12774" s="1"/>
  <c r="AB28" i="12774"/>
  <c r="O74" i="12774" s="1"/>
  <c r="X28" i="12774"/>
  <c r="K74" i="12774" s="1"/>
  <c r="T28" i="12774"/>
  <c r="G74" i="12774" s="1"/>
  <c r="AB31" i="12774"/>
  <c r="O77" i="12774" s="1"/>
  <c r="X31" i="12774"/>
  <c r="K77" i="12774" s="1"/>
  <c r="T31" i="12774"/>
  <c r="G77" i="12774" s="1"/>
  <c r="AA28" i="12774"/>
  <c r="N74" i="12774" s="1"/>
  <c r="W28" i="12774"/>
  <c r="J74" i="12774" s="1"/>
  <c r="S28" i="12774"/>
  <c r="F74" i="12774" s="1"/>
  <c r="AA26" i="12774"/>
  <c r="N72" i="12774" s="1"/>
  <c r="W26" i="12774"/>
  <c r="J72" i="12774" s="1"/>
  <c r="S26" i="12774"/>
  <c r="F72" i="12774" s="1"/>
  <c r="AB25" i="12774"/>
  <c r="O71" i="12774" s="1"/>
  <c r="X25" i="12774"/>
  <c r="K71" i="12774" s="1"/>
  <c r="T25" i="12774"/>
  <c r="G71" i="12774" s="1"/>
  <c r="AA24" i="12774"/>
  <c r="N70" i="12774" s="1"/>
  <c r="W24" i="12774"/>
  <c r="J70" i="12774" s="1"/>
  <c r="S24" i="12774"/>
  <c r="F70" i="12774" s="1"/>
  <c r="AA27" i="12774"/>
  <c r="N73" i="12774" s="1"/>
  <c r="W27" i="12774"/>
  <c r="J73" i="12774" s="1"/>
  <c r="S27" i="12774"/>
  <c r="F73" i="12774" s="1"/>
  <c r="Y29" i="12774"/>
  <c r="L75" i="12774" s="1"/>
  <c r="Q29" i="12774"/>
  <c r="D75" i="12774" s="1"/>
  <c r="Z26" i="12774"/>
  <c r="M72" i="12774" s="1"/>
  <c r="V26" i="12774"/>
  <c r="I72" i="12774" s="1"/>
  <c r="R26" i="12774"/>
  <c r="E72" i="12774" s="1"/>
  <c r="Y25" i="12774"/>
  <c r="L71" i="12774" s="1"/>
  <c r="U25" i="12774"/>
  <c r="H71" i="12774" s="1"/>
  <c r="Q25" i="12774"/>
  <c r="D71" i="12774" s="1"/>
  <c r="Z24" i="12774"/>
  <c r="M70" i="12774" s="1"/>
  <c r="V24" i="12774"/>
  <c r="I70" i="12774" s="1"/>
  <c r="R24" i="12774"/>
  <c r="E70" i="12774" s="1"/>
  <c r="Z27" i="12774"/>
  <c r="M73" i="12774" s="1"/>
  <c r="V27" i="12774"/>
  <c r="I73" i="12774" s="1"/>
  <c r="R27" i="12774"/>
  <c r="E73" i="12774" s="1"/>
  <c r="W29" i="12774"/>
  <c r="J75" i="12774" s="1"/>
  <c r="AB29" i="12774"/>
  <c r="O75" i="12774" s="1"/>
  <c r="X29" i="12774"/>
  <c r="K75" i="12774" s="1"/>
  <c r="B167" i="12767"/>
  <c r="C81" i="12764"/>
  <c r="N93" i="12764"/>
  <c r="X93" i="12764" s="1"/>
  <c r="N97" i="12764"/>
  <c r="X97" i="12764" s="1"/>
  <c r="P73" i="12775"/>
  <c r="AC26" i="12775"/>
  <c r="P72" i="12775"/>
  <c r="P74" i="12775"/>
  <c r="P70" i="12775"/>
  <c r="AC28" i="12775"/>
  <c r="AC25" i="12775"/>
  <c r="P76" i="12775"/>
  <c r="P71" i="12775"/>
  <c r="P77" i="12775"/>
  <c r="AC24" i="12775"/>
  <c r="AC30" i="12775"/>
  <c r="H80" i="12811" s="1"/>
  <c r="AC31" i="12775"/>
  <c r="AC27" i="12775"/>
  <c r="Y11" i="12775"/>
  <c r="L57" i="12775" s="1"/>
  <c r="U11" i="12775"/>
  <c r="H57" i="12775" s="1"/>
  <c r="Q11" i="12775"/>
  <c r="D57" i="12775" s="1"/>
  <c r="Z11" i="12775"/>
  <c r="M57" i="12775" s="1"/>
  <c r="V11" i="12775"/>
  <c r="I57" i="12775" s="1"/>
  <c r="R11" i="12775"/>
  <c r="E57" i="12775" s="1"/>
  <c r="AA11" i="12775"/>
  <c r="N57" i="12775" s="1"/>
  <c r="W11" i="12775"/>
  <c r="J57" i="12775" s="1"/>
  <c r="S11" i="12775"/>
  <c r="F57" i="12775" s="1"/>
  <c r="AB11" i="12775"/>
  <c r="O57" i="12775" s="1"/>
  <c r="X11" i="12775"/>
  <c r="K57" i="12775" s="1"/>
  <c r="T11" i="12775"/>
  <c r="G57" i="12775" s="1"/>
  <c r="Y11" i="12774"/>
  <c r="U11" i="12774"/>
  <c r="Q11" i="12774"/>
  <c r="Z11" i="12774"/>
  <c r="V11" i="12774"/>
  <c r="R11" i="12774"/>
  <c r="AA11" i="12774"/>
  <c r="W11" i="12774"/>
  <c r="S11" i="12774"/>
  <c r="AB11" i="12774"/>
  <c r="X11" i="12774"/>
  <c r="T11" i="12774"/>
  <c r="I79" i="12764"/>
  <c r="M79" i="12764" s="1"/>
  <c r="O79" i="12764" s="1"/>
  <c r="I80" i="12764"/>
  <c r="B263" i="12767"/>
  <c r="H242" i="12767"/>
  <c r="E242" i="12767"/>
  <c r="H243" i="12767"/>
  <c r="E243" i="12767"/>
  <c r="K570" i="12766"/>
  <c r="K273" i="12766"/>
  <c r="C100" i="12763"/>
  <c r="K310" i="12766"/>
  <c r="K568" i="12766"/>
  <c r="C72" i="12763"/>
  <c r="C74" i="12763" s="1"/>
  <c r="K26" i="12763"/>
  <c r="J26" i="12763"/>
  <c r="L26" i="12763" s="1"/>
  <c r="C85" i="12763"/>
  <c r="K497" i="12766"/>
  <c r="C63" i="12764"/>
  <c r="K23" i="12787"/>
  <c r="E612" i="12767"/>
  <c r="K87" i="12767"/>
  <c r="E720" i="12767"/>
  <c r="K753" i="12767"/>
  <c r="AB17" i="12775"/>
  <c r="O63" i="12775" s="1"/>
  <c r="Z17" i="12775"/>
  <c r="M63" i="12775" s="1"/>
  <c r="X17" i="12775"/>
  <c r="K63" i="12775" s="1"/>
  <c r="V17" i="12775"/>
  <c r="I63" i="12775" s="1"/>
  <c r="T17" i="12775"/>
  <c r="G63" i="12775" s="1"/>
  <c r="K112" i="12764"/>
  <c r="N47" i="12764"/>
  <c r="J85" i="12763"/>
  <c r="L85" i="12763" s="1"/>
  <c r="E112" i="12764"/>
  <c r="N12" i="12764"/>
  <c r="F21" i="12812" s="1"/>
  <c r="I63" i="12764"/>
  <c r="M63" i="12764" s="1"/>
  <c r="O63" i="12764" s="1"/>
  <c r="I110" i="12763"/>
  <c r="I112" i="12763" s="1"/>
  <c r="C100" i="12764"/>
  <c r="C56" i="12764"/>
  <c r="I23" i="12764"/>
  <c r="C95" i="12764"/>
  <c r="C98" i="12764" s="1"/>
  <c r="K173" i="12787"/>
  <c r="R51" i="12764"/>
  <c r="N121" i="12812" s="1"/>
  <c r="Q51" i="12764"/>
  <c r="V51" i="12764"/>
  <c r="U51" i="12764"/>
  <c r="P102" i="12764"/>
  <c r="H1089" i="12767"/>
  <c r="B912" i="12767"/>
  <c r="T8" i="12764"/>
  <c r="T68" i="12764" s="1"/>
  <c r="R17" i="12775"/>
  <c r="E63" i="12775" s="1"/>
  <c r="AA17" i="12775"/>
  <c r="N63" i="12775" s="1"/>
  <c r="W17" i="12775"/>
  <c r="J63" i="12775" s="1"/>
  <c r="S17" i="12775"/>
  <c r="F63" i="12775" s="1"/>
  <c r="D63" i="12775"/>
  <c r="Q22" i="12775"/>
  <c r="Y17" i="12775"/>
  <c r="L63" i="12775" s="1"/>
  <c r="U17" i="12775"/>
  <c r="H63" i="12775" s="1"/>
  <c r="W19" i="12774"/>
  <c r="J65" i="12774" s="1"/>
  <c r="U19" i="12774"/>
  <c r="H65" i="12774" s="1"/>
  <c r="Q17" i="12774"/>
  <c r="S17" i="12774"/>
  <c r="U17" i="12774"/>
  <c r="W17" i="12774"/>
  <c r="Y17" i="12774"/>
  <c r="AA17" i="12774"/>
  <c r="R63" i="12774"/>
  <c r="T63" i="12774"/>
  <c r="V63" i="12774"/>
  <c r="X63" i="12774"/>
  <c r="Z63" i="12774"/>
  <c r="AB63" i="12774"/>
  <c r="Q19" i="12774"/>
  <c r="Y19" i="12774"/>
  <c r="L65" i="12774" s="1"/>
  <c r="R17" i="12774"/>
  <c r="R22" i="12774" s="1"/>
  <c r="T17" i="12774"/>
  <c r="V17" i="12774"/>
  <c r="V22" i="12774" s="1"/>
  <c r="X17" i="12774"/>
  <c r="Z17" i="12774"/>
  <c r="Z22" i="12774" s="1"/>
  <c r="AB17" i="12774"/>
  <c r="S63" i="12774"/>
  <c r="U63" i="12774"/>
  <c r="W63" i="12774"/>
  <c r="Y63" i="12774"/>
  <c r="AA63" i="12774"/>
  <c r="Q96" i="12764"/>
  <c r="E1046" i="12767"/>
  <c r="E1042" i="12767"/>
  <c r="E911" i="12767" s="1"/>
  <c r="E892" i="12767" s="1"/>
  <c r="E1044" i="12767"/>
  <c r="E913" i="12767" s="1"/>
  <c r="E894" i="12767" s="1"/>
  <c r="H468" i="12767"/>
  <c r="F18" i="12783"/>
  <c r="F17" i="12783"/>
  <c r="E806" i="12767"/>
  <c r="E753" i="12767" s="1"/>
  <c r="H753" i="12767"/>
  <c r="E805" i="12767"/>
  <c r="E530" i="12767"/>
  <c r="E535" i="12767"/>
  <c r="E426" i="12767"/>
  <c r="E356" i="12767" s="1"/>
  <c r="E792" i="12767"/>
  <c r="E739" i="12767" s="1"/>
  <c r="E834" i="12767"/>
  <c r="E727" i="12767" s="1"/>
  <c r="H727" i="12767"/>
  <c r="E211" i="12767"/>
  <c r="E173" i="12767" s="1"/>
  <c r="E532" i="12767"/>
  <c r="E533" i="12767"/>
  <c r="E537" i="12767"/>
  <c r="E467" i="12767" s="1"/>
  <c r="H467" i="12767"/>
  <c r="E424" i="12767"/>
  <c r="E354" i="12767" s="1"/>
  <c r="E431" i="12767"/>
  <c r="E361" i="12767" s="1"/>
  <c r="E881" i="12767"/>
  <c r="E883" i="12767" s="1"/>
  <c r="E800" i="12767"/>
  <c r="E346" i="12767"/>
  <c r="J22" i="12763"/>
  <c r="L22" i="12763" s="1"/>
  <c r="M46" i="12764"/>
  <c r="O46" i="12764" s="1"/>
  <c r="I90" i="12764"/>
  <c r="E110" i="12763"/>
  <c r="E112" i="12763" s="1"/>
  <c r="C86" i="12764"/>
  <c r="C71" i="12764"/>
  <c r="N20" i="12764"/>
  <c r="F43" i="12812" s="1"/>
  <c r="M20" i="12764"/>
  <c r="O20" i="12764" s="1"/>
  <c r="M45" i="12764"/>
  <c r="O45" i="12764" s="1"/>
  <c r="I47" i="12764"/>
  <c r="I89" i="12764"/>
  <c r="V96" i="12764"/>
  <c r="N40" i="12764"/>
  <c r="F84" i="12812" s="1"/>
  <c r="M40" i="12764"/>
  <c r="O40" i="12764" s="1"/>
  <c r="N96" i="12764"/>
  <c r="X96" i="12764" s="1"/>
  <c r="M96" i="12764"/>
  <c r="O96" i="12764" s="1"/>
  <c r="N79" i="12764"/>
  <c r="X79" i="12764" s="1"/>
  <c r="I24" i="12764"/>
  <c r="C64" i="12764"/>
  <c r="I26" i="12764"/>
  <c r="C87" i="12764"/>
  <c r="J45" i="12763"/>
  <c r="L45" i="12763" s="1"/>
  <c r="G47" i="12763"/>
  <c r="K47" i="12763" s="1"/>
  <c r="G88" i="12763"/>
  <c r="C63" i="12763"/>
  <c r="G12" i="12763"/>
  <c r="C68" i="12763"/>
  <c r="G8" i="12763"/>
  <c r="I8" i="12764"/>
  <c r="C68" i="12764"/>
  <c r="I7" i="12764"/>
  <c r="C67" i="12764"/>
  <c r="C69" i="12764" s="1"/>
  <c r="J9" i="12763"/>
  <c r="L9" i="12763" s="1"/>
  <c r="G72" i="12763"/>
  <c r="K9" i="12763"/>
  <c r="I15" i="12811" s="1"/>
  <c r="K51" i="12763"/>
  <c r="I121" i="12811" s="1"/>
  <c r="J51" i="12763"/>
  <c r="L51" i="12763" s="1"/>
  <c r="G100" i="12763"/>
  <c r="N9" i="12764"/>
  <c r="F15" i="12812" s="1"/>
  <c r="M9" i="12764"/>
  <c r="O9" i="12764" s="1"/>
  <c r="I73" i="12764"/>
  <c r="G52" i="12763"/>
  <c r="C102" i="12763"/>
  <c r="I10" i="12764"/>
  <c r="C74" i="12764"/>
  <c r="C75" i="12764" s="1"/>
  <c r="G55" i="12763"/>
  <c r="C108" i="12763"/>
  <c r="C575" i="12787"/>
  <c r="C576" i="12787" s="1"/>
  <c r="C77" i="12787"/>
  <c r="C78" i="12787" s="1"/>
  <c r="P87" i="12775"/>
  <c r="K19" i="12763"/>
  <c r="I42" i="12811" s="1"/>
  <c r="J19" i="12763"/>
  <c r="L19" i="12763" s="1"/>
  <c r="N78" i="12764"/>
  <c r="X78" i="12764" s="1"/>
  <c r="M78" i="12764"/>
  <c r="O78" i="12764" s="1"/>
  <c r="N25" i="12764"/>
  <c r="F53" i="12812" s="1"/>
  <c r="M25" i="12764"/>
  <c r="O25" i="12764" s="1"/>
  <c r="I108" i="12764"/>
  <c r="E383" i="12767"/>
  <c r="B402" i="12767"/>
  <c r="B348" i="12767"/>
  <c r="H348" i="12767" s="1"/>
  <c r="E842" i="12767"/>
  <c r="E736" i="12767" s="1"/>
  <c r="H736" i="12767"/>
  <c r="E851" i="12767"/>
  <c r="E745" i="12767" s="1"/>
  <c r="H745" i="12767"/>
  <c r="H453" i="12767"/>
  <c r="H720" i="12767"/>
  <c r="H722" i="12767"/>
  <c r="G127" i="12787"/>
  <c r="H127" i="12787"/>
  <c r="H128" i="12787" s="1"/>
  <c r="H130" i="12787" s="1"/>
  <c r="K212" i="12787"/>
  <c r="I222" i="12787"/>
  <c r="K222" i="12787" s="1"/>
  <c r="C153" i="12787"/>
  <c r="C270" i="12787"/>
  <c r="I458" i="12787"/>
  <c r="K458" i="12787" s="1"/>
  <c r="K458" i="12766"/>
  <c r="I460" i="12787"/>
  <c r="K460" i="12787" s="1"/>
  <c r="K460" i="12766"/>
  <c r="I462" i="12787"/>
  <c r="K462" i="12787" s="1"/>
  <c r="K462" i="12766"/>
  <c r="G528" i="12787"/>
  <c r="G494" i="12787" s="1"/>
  <c r="H528" i="12787"/>
  <c r="H494" i="12787" s="1"/>
  <c r="G718" i="12787"/>
  <c r="G616" i="12787" s="1"/>
  <c r="H718" i="12787"/>
  <c r="H616" i="12787" s="1"/>
  <c r="G855" i="12787"/>
  <c r="E864" i="12787"/>
  <c r="G864" i="12787" s="1"/>
  <c r="G808" i="12787" s="1"/>
  <c r="G780" i="12787" s="1"/>
  <c r="G858" i="12787"/>
  <c r="E866" i="12787"/>
  <c r="G866" i="12787" s="1"/>
  <c r="H911" i="12787"/>
  <c r="P911" i="12787"/>
  <c r="G7" i="12763"/>
  <c r="G14" i="12763" s="1"/>
  <c r="C67" i="12763"/>
  <c r="C70" i="12763" s="1"/>
  <c r="G24" i="12763"/>
  <c r="C64" i="12763"/>
  <c r="C65" i="12763" s="1"/>
  <c r="G25" i="12763"/>
  <c r="C106" i="12763"/>
  <c r="D67" i="12774"/>
  <c r="K34" i="12763"/>
  <c r="I73" i="12811" s="1"/>
  <c r="J34" i="12763"/>
  <c r="L34" i="12763" s="1"/>
  <c r="G53" i="12763"/>
  <c r="C56" i="12763"/>
  <c r="C103" i="12763"/>
  <c r="N22" i="12764"/>
  <c r="M22" i="12764"/>
  <c r="O22" i="12764" s="1"/>
  <c r="I83" i="12764"/>
  <c r="M37" i="12764"/>
  <c r="O37" i="12764" s="1"/>
  <c r="N52" i="12764"/>
  <c r="F122" i="12812" s="1"/>
  <c r="I104" i="12764"/>
  <c r="M52" i="12764"/>
  <c r="O52" i="12764" s="1"/>
  <c r="I56" i="12764"/>
  <c r="N54" i="12764"/>
  <c r="F124" i="12812" s="1"/>
  <c r="M54" i="12764"/>
  <c r="O54" i="12764" s="1"/>
  <c r="I100" i="12764"/>
  <c r="C154" i="12766"/>
  <c r="C156" i="12766" s="1"/>
  <c r="C186" i="12766"/>
  <c r="G39" i="12763"/>
  <c r="C95" i="12763"/>
  <c r="G32" i="12763"/>
  <c r="C41" i="12763"/>
  <c r="H1170" i="12767"/>
  <c r="K751" i="12766"/>
  <c r="M751" i="12766"/>
  <c r="P66" i="12775"/>
  <c r="K374" i="12787"/>
  <c r="K172" i="12787" s="1"/>
  <c r="K503" i="12787"/>
  <c r="G23" i="12766"/>
  <c r="C1020" i="12766"/>
  <c r="H367" i="12766"/>
  <c r="K281" i="12766"/>
  <c r="K605" i="12766"/>
  <c r="K621" i="12766"/>
  <c r="K808" i="12766"/>
  <c r="K780" i="12766" s="1"/>
  <c r="H866" i="12766"/>
  <c r="K809" i="12766"/>
  <c r="H742" i="12787"/>
  <c r="H369" i="12787"/>
  <c r="H743" i="12787"/>
  <c r="K367" i="12766"/>
  <c r="R30" i="12774"/>
  <c r="T30" i="12774"/>
  <c r="G76" i="12774" s="1"/>
  <c r="V30" i="12774"/>
  <c r="I76" i="12774" s="1"/>
  <c r="X30" i="12774"/>
  <c r="K76" i="12774" s="1"/>
  <c r="Z30" i="12774"/>
  <c r="M76" i="12774" s="1"/>
  <c r="AB30" i="12774"/>
  <c r="O76" i="12774" s="1"/>
  <c r="S30" i="12774"/>
  <c r="F76" i="12774" s="1"/>
  <c r="W30" i="12774"/>
  <c r="J76" i="12774" s="1"/>
  <c r="AA30" i="12774"/>
  <c r="N76" i="12774" s="1"/>
  <c r="Q30" i="12774"/>
  <c r="D76" i="12774" s="1"/>
  <c r="U30" i="12774"/>
  <c r="H76" i="12774" s="1"/>
  <c r="Y30" i="12774"/>
  <c r="L76" i="12774" s="1"/>
  <c r="E497" i="12767"/>
  <c r="H462" i="12767"/>
  <c r="E418" i="12767"/>
  <c r="B437" i="12767"/>
  <c r="E833" i="12767"/>
  <c r="E726" i="12767" s="1"/>
  <c r="H726" i="12767"/>
  <c r="E844" i="12767"/>
  <c r="E738" i="12767" s="1"/>
  <c r="H738" i="12767"/>
  <c r="E1179" i="12767"/>
  <c r="G18" i="12763"/>
  <c r="C76" i="12763"/>
  <c r="E500" i="12767"/>
  <c r="H465" i="12767"/>
  <c r="H721" i="12767"/>
  <c r="G140" i="12787"/>
  <c r="G141" i="12787" s="1"/>
  <c r="H140" i="12787"/>
  <c r="D239" i="12787"/>
  <c r="D240" i="12787"/>
  <c r="K326" i="12787"/>
  <c r="I337" i="12787"/>
  <c r="K337" i="12787" s="1"/>
  <c r="K279" i="12787" s="1"/>
  <c r="G404" i="12787"/>
  <c r="G375" i="12787" s="1"/>
  <c r="G173" i="12787" s="1"/>
  <c r="H404" i="12787"/>
  <c r="H375" i="12787" s="1"/>
  <c r="I457" i="12787"/>
  <c r="K457" i="12787" s="1"/>
  <c r="K457" i="12766"/>
  <c r="I459" i="12787"/>
  <c r="K459" i="12787" s="1"/>
  <c r="K459" i="12766"/>
  <c r="I461" i="12787"/>
  <c r="K461" i="12787" s="1"/>
  <c r="K461" i="12766"/>
  <c r="I463" i="12787"/>
  <c r="K463" i="12787" s="1"/>
  <c r="K463" i="12766"/>
  <c r="I470" i="12787"/>
  <c r="K470" i="12787" s="1"/>
  <c r="K470" i="12766"/>
  <c r="G564" i="12787"/>
  <c r="G496" i="12787" s="1"/>
  <c r="H564" i="12787"/>
  <c r="H496" i="12787" s="1"/>
  <c r="E834" i="12787"/>
  <c r="G825" i="12787"/>
  <c r="G829" i="12787"/>
  <c r="G801" i="12787" s="1"/>
  <c r="G773" i="12787" s="1"/>
  <c r="E837" i="12787"/>
  <c r="G830" i="12787"/>
  <c r="G802" i="12787" s="1"/>
  <c r="G774" i="12787" s="1"/>
  <c r="E838" i="12787"/>
  <c r="G23" i="12763"/>
  <c r="G33" i="12763"/>
  <c r="C77" i="12763"/>
  <c r="G35" i="12763"/>
  <c r="C82" i="12763"/>
  <c r="C83" i="12763" s="1"/>
  <c r="G54" i="12763"/>
  <c r="C98" i="12763"/>
  <c r="N27" i="12764"/>
  <c r="X27" i="12764" s="1"/>
  <c r="M27" i="12764"/>
  <c r="O27" i="12764" s="1"/>
  <c r="Q27" i="12764"/>
  <c r="I87" i="12764"/>
  <c r="G751" i="12787"/>
  <c r="H751" i="12787"/>
  <c r="N32" i="12764"/>
  <c r="F71" i="12812" s="1"/>
  <c r="F74" i="12812" s="1"/>
  <c r="I41" i="12764"/>
  <c r="M32" i="12764"/>
  <c r="O32" i="12764" s="1"/>
  <c r="I77" i="12764"/>
  <c r="N53" i="12764"/>
  <c r="F123" i="12812" s="1"/>
  <c r="M53" i="12764"/>
  <c r="O53" i="12764" s="1"/>
  <c r="I105" i="12764"/>
  <c r="N55" i="12764"/>
  <c r="F125" i="12812" s="1"/>
  <c r="M55" i="12764"/>
  <c r="O55" i="12764" s="1"/>
  <c r="I110" i="12764"/>
  <c r="H389" i="12787"/>
  <c r="H360" i="12787" s="1"/>
  <c r="D360" i="12787"/>
  <c r="I464" i="12787"/>
  <c r="K464" i="12787" s="1"/>
  <c r="K464" i="12766"/>
  <c r="G756" i="12787"/>
  <c r="H756" i="12787"/>
  <c r="G36" i="12763"/>
  <c r="C92" i="12763"/>
  <c r="H215" i="12766"/>
  <c r="K215" i="12766"/>
  <c r="K918" i="12766"/>
  <c r="M918" i="12766"/>
  <c r="M920" i="12766" s="1"/>
  <c r="H918" i="12766"/>
  <c r="H1015" i="12767"/>
  <c r="H1030" i="12787"/>
  <c r="H1032" i="12787" s="1"/>
  <c r="G799" i="12787"/>
  <c r="G771" i="12787" s="1"/>
  <c r="G160" i="12766"/>
  <c r="G434" i="12766"/>
  <c r="G436" i="12766" s="1"/>
  <c r="P908" i="12766"/>
  <c r="K21" i="12766"/>
  <c r="K920" i="12766"/>
  <c r="K922" i="12766" s="1"/>
  <c r="H920" i="12766"/>
  <c r="H922" i="12766" s="1"/>
  <c r="K18" i="12766"/>
  <c r="H373" i="12766"/>
  <c r="H372" i="12766"/>
  <c r="H368" i="12766"/>
  <c r="D488" i="12766"/>
  <c r="M488" i="12766" s="1"/>
  <c r="K468" i="12767"/>
  <c r="C156" i="12787"/>
  <c r="G853" i="12787"/>
  <c r="H141" i="12787"/>
  <c r="H143" i="12787" s="1"/>
  <c r="G17" i="12766"/>
  <c r="H373" i="12787"/>
  <c r="H740" i="12787"/>
  <c r="H141" i="12766"/>
  <c r="E58" i="12767"/>
  <c r="G60" i="12787"/>
  <c r="K60" i="12787" s="1"/>
  <c r="Q32" i="12775"/>
  <c r="D75" i="12775"/>
  <c r="D78" i="12775" s="1"/>
  <c r="C435" i="12787"/>
  <c r="C436" i="12787" s="1"/>
  <c r="AC40" i="12775"/>
  <c r="H123" i="12811" s="1"/>
  <c r="E86" i="12775"/>
  <c r="P86" i="12775" s="1"/>
  <c r="AC39" i="12775"/>
  <c r="H122" i="12811" s="1"/>
  <c r="D85" i="12775"/>
  <c r="P85" i="12775" s="1"/>
  <c r="X43" i="12775"/>
  <c r="K84" i="12775"/>
  <c r="K89" i="12775" s="1"/>
  <c r="AC42" i="12775"/>
  <c r="H125" i="12811" s="1"/>
  <c r="D88" i="12775"/>
  <c r="P88" i="12775" s="1"/>
  <c r="V43" i="12775"/>
  <c r="I84" i="12775"/>
  <c r="I89" i="12775" s="1"/>
  <c r="O68" i="12775"/>
  <c r="AB22" i="12775"/>
  <c r="K68" i="12775"/>
  <c r="X22" i="12775"/>
  <c r="G68" i="12775"/>
  <c r="T22" i="12775"/>
  <c r="AC16" i="12775"/>
  <c r="H43" i="12811" s="1"/>
  <c r="D62" i="12775"/>
  <c r="P62" i="12775" s="1"/>
  <c r="AC15" i="12775"/>
  <c r="H42" i="12811" s="1"/>
  <c r="E61" i="12775"/>
  <c r="P61" i="12775" s="1"/>
  <c r="AC14" i="12775"/>
  <c r="H41" i="12811" s="1"/>
  <c r="P56" i="12775"/>
  <c r="C260" i="12787"/>
  <c r="AB43" i="12775"/>
  <c r="O84" i="12775"/>
  <c r="O89" i="12775" s="1"/>
  <c r="T43" i="12775"/>
  <c r="G84" i="12775"/>
  <c r="G89" i="12775" s="1"/>
  <c r="Z43" i="12775"/>
  <c r="M84" i="12775"/>
  <c r="M89" i="12775" s="1"/>
  <c r="R43" i="12775"/>
  <c r="E84" i="12775"/>
  <c r="AC21" i="12775"/>
  <c r="H53" i="12811" s="1"/>
  <c r="E67" i="12775"/>
  <c r="P67" i="12775" s="1"/>
  <c r="AC19" i="12775"/>
  <c r="H49" i="12811" s="1"/>
  <c r="D65" i="12775"/>
  <c r="P65" i="12775" s="1"/>
  <c r="AC18" i="12775"/>
  <c r="H46" i="12811" s="1"/>
  <c r="P64" i="12775"/>
  <c r="Z22" i="12775"/>
  <c r="M68" i="12775"/>
  <c r="V22" i="12775"/>
  <c r="I68" i="12775"/>
  <c r="R22" i="12775"/>
  <c r="E621" i="12767"/>
  <c r="H68" i="12775"/>
  <c r="L68" i="12775"/>
  <c r="K812" i="12787"/>
  <c r="K784" i="12787" s="1"/>
  <c r="C10" i="12785"/>
  <c r="D10" i="12785" s="1"/>
  <c r="C9" i="12785"/>
  <c r="D9" i="12785" s="1"/>
  <c r="E858" i="12767"/>
  <c r="H752" i="12767"/>
  <c r="K362" i="12767"/>
  <c r="K82" i="12767"/>
  <c r="E495" i="12767"/>
  <c r="E498" i="12767"/>
  <c r="H463" i="12767"/>
  <c r="B332" i="12767"/>
  <c r="E313" i="12767"/>
  <c r="E657" i="12767"/>
  <c r="E619" i="12767" s="1"/>
  <c r="B619" i="12767"/>
  <c r="E712" i="12767"/>
  <c r="E794" i="12767"/>
  <c r="E741" i="12767" s="1"/>
  <c r="AC38" i="12774"/>
  <c r="E121" i="12812" s="1"/>
  <c r="R43" i="12774"/>
  <c r="E84" i="12774"/>
  <c r="V43" i="12774"/>
  <c r="I84" i="12774"/>
  <c r="I89" i="12774" s="1"/>
  <c r="Z43" i="12774"/>
  <c r="M84" i="12774"/>
  <c r="M89" i="12774" s="1"/>
  <c r="K490" i="12766"/>
  <c r="E622" i="12767"/>
  <c r="E328" i="12767"/>
  <c r="E496" i="12767"/>
  <c r="E461" i="12767" s="1"/>
  <c r="E182" i="12767" s="1"/>
  <c r="H461" i="12767"/>
  <c r="E291" i="12767"/>
  <c r="E222" i="12767" s="1"/>
  <c r="E187" i="12767" s="1"/>
  <c r="B187" i="12767"/>
  <c r="E616" i="12767"/>
  <c r="E701" i="12767"/>
  <c r="F87" i="12774"/>
  <c r="P87" i="12774" s="1"/>
  <c r="AC41" i="12774"/>
  <c r="E124" i="12812" s="1"/>
  <c r="T43" i="12774"/>
  <c r="G84" i="12774"/>
  <c r="G89" i="12774" s="1"/>
  <c r="X43" i="12774"/>
  <c r="K84" i="12774"/>
  <c r="K89" i="12774" s="1"/>
  <c r="AB43" i="12774"/>
  <c r="O84" i="12774"/>
  <c r="O89" i="12774" s="1"/>
  <c r="P912" i="12766"/>
  <c r="O912" i="12766"/>
  <c r="K869" i="12766"/>
  <c r="K871" i="12766" s="1"/>
  <c r="S43" i="12774"/>
  <c r="F86" i="12774"/>
  <c r="W43" i="12774"/>
  <c r="J86" i="12774"/>
  <c r="J89" i="12774" s="1"/>
  <c r="AA43" i="12774"/>
  <c r="N86" i="12774"/>
  <c r="N89" i="12774" s="1"/>
  <c r="H75" i="12775"/>
  <c r="H78" i="12775" s="1"/>
  <c r="U32" i="12775"/>
  <c r="L75" i="12775"/>
  <c r="L78" i="12775" s="1"/>
  <c r="Y32" i="12775"/>
  <c r="E433" i="12767"/>
  <c r="F15" i="12783"/>
  <c r="E801" i="12767"/>
  <c r="E748" i="12767" s="1"/>
  <c r="H748" i="12767"/>
  <c r="AC7" i="12775"/>
  <c r="H14" i="12811" s="1"/>
  <c r="P53" i="12775"/>
  <c r="AC9" i="12775"/>
  <c r="H16" i="12811" s="1"/>
  <c r="D55" i="12775"/>
  <c r="P55" i="12775" s="1"/>
  <c r="T10" i="12764"/>
  <c r="H16" i="12787"/>
  <c r="D21" i="12787"/>
  <c r="H38" i="12787"/>
  <c r="H21" i="12787" s="1"/>
  <c r="D23" i="12787"/>
  <c r="M23" i="12787" s="1"/>
  <c r="H40" i="12787"/>
  <c r="H23" i="12787" s="1"/>
  <c r="H83" i="12787"/>
  <c r="T84" i="12787" s="1"/>
  <c r="H102" i="12787"/>
  <c r="H356" i="12787"/>
  <c r="H150" i="12787" s="1"/>
  <c r="N80" i="12774"/>
  <c r="N82" i="12774" s="1"/>
  <c r="AA36" i="12774"/>
  <c r="J80" i="12774"/>
  <c r="J82" i="12774" s="1"/>
  <c r="W36" i="12774"/>
  <c r="F80" i="12774"/>
  <c r="F82" i="12774" s="1"/>
  <c r="S36" i="12774"/>
  <c r="AB36" i="12774"/>
  <c r="O80" i="12774"/>
  <c r="O82" i="12774" s="1"/>
  <c r="X36" i="12774"/>
  <c r="K80" i="12774"/>
  <c r="K82" i="12774" s="1"/>
  <c r="T36" i="12774"/>
  <c r="G80" i="12774"/>
  <c r="G82" i="12774" s="1"/>
  <c r="AB32" i="12775"/>
  <c r="O75" i="12775"/>
  <c r="O78" i="12775" s="1"/>
  <c r="X32" i="12775"/>
  <c r="K75" i="12775"/>
  <c r="K78" i="12775" s="1"/>
  <c r="T32" i="12775"/>
  <c r="G75" i="12775"/>
  <c r="G78" i="12775" s="1"/>
  <c r="H390" i="12787"/>
  <c r="H361" i="12787" s="1"/>
  <c r="D361" i="12787"/>
  <c r="I429" i="12787"/>
  <c r="K429" i="12787" s="1"/>
  <c r="K420" i="12787"/>
  <c r="K245" i="12787"/>
  <c r="I254" i="12787"/>
  <c r="K254" i="12787" s="1"/>
  <c r="D244" i="12787"/>
  <c r="H244" i="12787" s="1"/>
  <c r="D245" i="12787"/>
  <c r="H245" i="12787" s="1"/>
  <c r="D246" i="12787"/>
  <c r="H246" i="12787" s="1"/>
  <c r="D243" i="12787"/>
  <c r="H243" i="12787" s="1"/>
  <c r="D249" i="12787"/>
  <c r="D252" i="12787"/>
  <c r="H252" i="12787" s="1"/>
  <c r="D254" i="12787"/>
  <c r="H254" i="12787" s="1"/>
  <c r="D256" i="12787"/>
  <c r="H256" i="12787" s="1"/>
  <c r="D258" i="12787"/>
  <c r="H258" i="12787" s="1"/>
  <c r="D241" i="12787"/>
  <c r="H241" i="12787" s="1"/>
  <c r="D247" i="12787"/>
  <c r="H247" i="12787" s="1"/>
  <c r="D250" i="12787"/>
  <c r="D251" i="12787"/>
  <c r="H251" i="12787" s="1"/>
  <c r="D253" i="12787"/>
  <c r="H253" i="12787" s="1"/>
  <c r="D255" i="12787"/>
  <c r="H255" i="12787" s="1"/>
  <c r="D257" i="12787"/>
  <c r="C261" i="12787"/>
  <c r="D302" i="12787"/>
  <c r="D303" i="12787"/>
  <c r="D304" i="12787"/>
  <c r="D309" i="12787"/>
  <c r="H309" i="12787" s="1"/>
  <c r="H280" i="12787" s="1"/>
  <c r="D311" i="12787"/>
  <c r="H311" i="12787" s="1"/>
  <c r="H282" i="12787" s="1"/>
  <c r="D313" i="12787"/>
  <c r="H313" i="12787" s="1"/>
  <c r="H284" i="12787" s="1"/>
  <c r="D315" i="12787"/>
  <c r="H315" i="12787" s="1"/>
  <c r="H286" i="12787" s="1"/>
  <c r="C288" i="12787"/>
  <c r="D305" i="12787"/>
  <c r="D310" i="12787"/>
  <c r="H310" i="12787" s="1"/>
  <c r="H281" i="12787" s="1"/>
  <c r="D312" i="12787"/>
  <c r="H312" i="12787" s="1"/>
  <c r="H283" i="12787" s="1"/>
  <c r="D314" i="12787"/>
  <c r="H314" i="12787" s="1"/>
  <c r="H285" i="12787" s="1"/>
  <c r="D316" i="12787"/>
  <c r="H316" i="12787" s="1"/>
  <c r="H287" i="12787" s="1"/>
  <c r="G257" i="12787"/>
  <c r="G259" i="12787" s="1"/>
  <c r="H257" i="12787"/>
  <c r="G432" i="12787"/>
  <c r="H432" i="12787"/>
  <c r="H480" i="12787"/>
  <c r="K522" i="12787"/>
  <c r="I534" i="12787"/>
  <c r="K534" i="12787" s="1"/>
  <c r="K684" i="12787"/>
  <c r="K582" i="12787" s="1"/>
  <c r="I707" i="12787"/>
  <c r="K707" i="12787" s="1"/>
  <c r="K693" i="12787"/>
  <c r="K591" i="12787" s="1"/>
  <c r="I712" i="12787"/>
  <c r="K712" i="12787" s="1"/>
  <c r="K610" i="12787" s="1"/>
  <c r="I701" i="12787"/>
  <c r="C1048" i="12787"/>
  <c r="C1049" i="12787"/>
  <c r="K702" i="12787"/>
  <c r="I721" i="12787"/>
  <c r="K721" i="12787" s="1"/>
  <c r="G720" i="12787"/>
  <c r="H720" i="12787"/>
  <c r="G721" i="12787"/>
  <c r="H721" i="12787"/>
  <c r="G725" i="12787"/>
  <c r="G727" i="12787" s="1"/>
  <c r="H725" i="12787"/>
  <c r="H623" i="12787" s="1"/>
  <c r="M746" i="12787"/>
  <c r="K746" i="12787"/>
  <c r="H748" i="12787"/>
  <c r="G748" i="12787"/>
  <c r="H755" i="12787"/>
  <c r="G755" i="12787"/>
  <c r="H850" i="12787"/>
  <c r="G850" i="12787"/>
  <c r="E860" i="12787"/>
  <c r="G854" i="12787"/>
  <c r="E863" i="12787"/>
  <c r="K414" i="12787"/>
  <c r="I425" i="12787"/>
  <c r="K425" i="12787" s="1"/>
  <c r="G746" i="12787"/>
  <c r="H746" i="12787"/>
  <c r="H887" i="12787"/>
  <c r="H896" i="12787" s="1"/>
  <c r="H898" i="12787" s="1"/>
  <c r="G887" i="12787"/>
  <c r="H861" i="12787"/>
  <c r="G861" i="12787"/>
  <c r="D853" i="12787"/>
  <c r="H853" i="12787" s="1"/>
  <c r="D854" i="12787"/>
  <c r="H854" i="12787" s="1"/>
  <c r="D858" i="12787"/>
  <c r="D862" i="12787"/>
  <c r="D855" i="12787"/>
  <c r="D863" i="12787"/>
  <c r="D807" i="12787" s="1"/>
  <c r="D779" i="12787" s="1"/>
  <c r="M779" i="12787" s="1"/>
  <c r="D864" i="12787"/>
  <c r="D865" i="12787"/>
  <c r="D866" i="12787"/>
  <c r="D868" i="12787"/>
  <c r="H868" i="12787" s="1"/>
  <c r="C813" i="12787"/>
  <c r="C785" i="12787" s="1"/>
  <c r="D857" i="12787"/>
  <c r="H905" i="12787"/>
  <c r="P905" i="12787"/>
  <c r="AC38" i="12775"/>
  <c r="H121" i="12811" s="1"/>
  <c r="Q43" i="12775"/>
  <c r="D84" i="12775"/>
  <c r="U43" i="12775"/>
  <c r="H84" i="12775"/>
  <c r="H89" i="12775" s="1"/>
  <c r="Y43" i="12775"/>
  <c r="L84" i="12775"/>
  <c r="L89" i="12775" s="1"/>
  <c r="D943" i="12787"/>
  <c r="M943" i="12787" s="1"/>
  <c r="M945" i="12787" s="1"/>
  <c r="H969" i="12787"/>
  <c r="H943" i="12787" s="1"/>
  <c r="G27" i="12763"/>
  <c r="C86" i="12763"/>
  <c r="U481" i="12787"/>
  <c r="W481" i="12787" s="1"/>
  <c r="H558" i="12787"/>
  <c r="H574" i="12787" s="1"/>
  <c r="H576" i="12787" s="1"/>
  <c r="D576" i="12787"/>
  <c r="K651" i="12787"/>
  <c r="K600" i="12787" s="1"/>
  <c r="I670" i="12787"/>
  <c r="K670" i="12787" s="1"/>
  <c r="H664" i="12787"/>
  <c r="H613" i="12787" s="1"/>
  <c r="D613" i="12787"/>
  <c r="M613" i="12787" s="1"/>
  <c r="D602" i="12787"/>
  <c r="M602" i="12787" s="1"/>
  <c r="H653" i="12787"/>
  <c r="H602" i="12787" s="1"/>
  <c r="T584" i="12787" s="1"/>
  <c r="AC35" i="12775"/>
  <c r="H102" i="12811" s="1"/>
  <c r="D81" i="12775"/>
  <c r="P81" i="12775" s="1"/>
  <c r="Z36" i="12775"/>
  <c r="M82" i="12775"/>
  <c r="V36" i="12775"/>
  <c r="I82" i="12775"/>
  <c r="R36" i="12775"/>
  <c r="E82" i="12775"/>
  <c r="Y36" i="12775"/>
  <c r="L82" i="12775"/>
  <c r="U36" i="12775"/>
  <c r="H82" i="12775"/>
  <c r="AC34" i="12775"/>
  <c r="H101" i="12811" s="1"/>
  <c r="Q36" i="12775"/>
  <c r="K841" i="12787"/>
  <c r="K797" i="12787"/>
  <c r="K769" i="12787" s="1"/>
  <c r="H942" i="12787"/>
  <c r="M20" i="12766"/>
  <c r="O20" i="12766"/>
  <c r="K44" i="12766"/>
  <c r="H355" i="12766"/>
  <c r="H149" i="12766" s="1"/>
  <c r="G361" i="12766"/>
  <c r="G159" i="12766" s="1"/>
  <c r="G405" i="12766"/>
  <c r="H226" i="12766"/>
  <c r="H227" i="12766"/>
  <c r="W482" i="12766"/>
  <c r="D491" i="12766"/>
  <c r="M491" i="12766" s="1"/>
  <c r="H525" i="12766"/>
  <c r="H491" i="12766" s="1"/>
  <c r="D498" i="12766"/>
  <c r="M498" i="12766" s="1"/>
  <c r="H532" i="12766"/>
  <c r="H498" i="12766" s="1"/>
  <c r="D500" i="12766"/>
  <c r="M500" i="12766" s="1"/>
  <c r="H534" i="12766"/>
  <c r="H500" i="12766" s="1"/>
  <c r="D502" i="12766"/>
  <c r="M502" i="12766" s="1"/>
  <c r="H536" i="12766"/>
  <c r="H502" i="12766" s="1"/>
  <c r="G572" i="12766"/>
  <c r="G504" i="12766" s="1"/>
  <c r="C504" i="12766"/>
  <c r="H539" i="12766"/>
  <c r="K539" i="12766"/>
  <c r="K650" i="12766"/>
  <c r="I669" i="12766"/>
  <c r="K669" i="12766" s="1"/>
  <c r="K651" i="12766"/>
  <c r="I670" i="12766"/>
  <c r="K670" i="12766" s="1"/>
  <c r="G669" i="12766"/>
  <c r="H669" i="12766"/>
  <c r="G670" i="12766"/>
  <c r="H670" i="12766"/>
  <c r="H742" i="12766"/>
  <c r="M742" i="12766"/>
  <c r="D760" i="12766"/>
  <c r="M748" i="12766"/>
  <c r="K748" i="12766"/>
  <c r="H751" i="12766"/>
  <c r="G751" i="12766"/>
  <c r="H756" i="12766"/>
  <c r="K756" i="12766"/>
  <c r="G928" i="12766"/>
  <c r="G942" i="12766"/>
  <c r="H44" i="12766"/>
  <c r="H25" i="12766"/>
  <c r="H27" i="12766" s="1"/>
  <c r="H267" i="12766"/>
  <c r="H303" i="12766"/>
  <c r="H274" i="12766" s="1"/>
  <c r="D274" i="12766"/>
  <c r="H309" i="12766"/>
  <c r="H280" i="12766" s="1"/>
  <c r="K309" i="12766"/>
  <c r="K280" i="12766" s="1"/>
  <c r="H697" i="12766"/>
  <c r="H595" i="12766" s="1"/>
  <c r="D595" i="12766"/>
  <c r="M595" i="12766" s="1"/>
  <c r="H695" i="12766"/>
  <c r="H593" i="12766" s="1"/>
  <c r="D593" i="12766"/>
  <c r="M593" i="12766" s="1"/>
  <c r="P923" i="12766"/>
  <c r="O923" i="12766"/>
  <c r="D364" i="12766"/>
  <c r="H393" i="12766"/>
  <c r="H364" i="12766" s="1"/>
  <c r="D357" i="12766"/>
  <c r="D151" i="12766" s="1"/>
  <c r="M151" i="12766" s="1"/>
  <c r="H386" i="12766"/>
  <c r="H357" i="12766" s="1"/>
  <c r="H151" i="12766" s="1"/>
  <c r="H404" i="12766"/>
  <c r="K404" i="12766"/>
  <c r="D363" i="12766"/>
  <c r="H392" i="12766"/>
  <c r="K392" i="12766"/>
  <c r="D360" i="12766"/>
  <c r="H389" i="12766"/>
  <c r="K389" i="12766"/>
  <c r="H420" i="12766"/>
  <c r="K420" i="12766"/>
  <c r="H418" i="12766"/>
  <c r="K418" i="12766"/>
  <c r="K428" i="12766"/>
  <c r="H428" i="12766"/>
  <c r="D183" i="12766"/>
  <c r="H239" i="12766"/>
  <c r="K239" i="12766"/>
  <c r="D241" i="12766"/>
  <c r="D245" i="12766"/>
  <c r="D246" i="12766"/>
  <c r="D249" i="12766"/>
  <c r="D256" i="12766"/>
  <c r="K256" i="12766" s="1"/>
  <c r="K200" i="12766" s="1"/>
  <c r="K171" i="12766" s="1"/>
  <c r="D258" i="12766"/>
  <c r="D243" i="12766"/>
  <c r="D244" i="12766"/>
  <c r="D247" i="12766"/>
  <c r="D250" i="12766"/>
  <c r="D251" i="12766"/>
  <c r="D195" i="12766" s="1"/>
  <c r="D166" i="12766" s="1"/>
  <c r="M166" i="12766" s="1"/>
  <c r="D252" i="12766"/>
  <c r="D253" i="12766"/>
  <c r="D197" i="12766" s="1"/>
  <c r="D168" i="12766" s="1"/>
  <c r="M168" i="12766" s="1"/>
  <c r="D254" i="12766"/>
  <c r="D255" i="12766"/>
  <c r="D199" i="12766" s="1"/>
  <c r="D170" i="12766" s="1"/>
  <c r="M170" i="12766" s="1"/>
  <c r="D257" i="12766"/>
  <c r="C203" i="12766"/>
  <c r="C261" i="12766"/>
  <c r="D497" i="12766"/>
  <c r="M497" i="12766" s="1"/>
  <c r="H565" i="12766"/>
  <c r="H555" i="12766"/>
  <c r="H487" i="12766" s="1"/>
  <c r="S495" i="12766" s="1"/>
  <c r="D487" i="12766"/>
  <c r="M487" i="12766" s="1"/>
  <c r="K555" i="12766"/>
  <c r="K487" i="12766" s="1"/>
  <c r="T495" i="12766" s="1"/>
  <c r="V495" i="12766" s="1"/>
  <c r="G542" i="12766"/>
  <c r="D624" i="12766"/>
  <c r="M624" i="12766" s="1"/>
  <c r="H675" i="12766"/>
  <c r="K675" i="12766"/>
  <c r="D614" i="12766"/>
  <c r="M614" i="12766" s="1"/>
  <c r="H665" i="12766"/>
  <c r="H614" i="12766" s="1"/>
  <c r="D612" i="12766"/>
  <c r="M612" i="12766" s="1"/>
  <c r="H663" i="12766"/>
  <c r="H612" i="12766" s="1"/>
  <c r="K746" i="12766"/>
  <c r="M746" i="12766"/>
  <c r="K752" i="12766"/>
  <c r="M752" i="12766"/>
  <c r="D807" i="12766"/>
  <c r="D779" i="12766" s="1"/>
  <c r="M779" i="12766" s="1"/>
  <c r="H835" i="12766"/>
  <c r="D798" i="12766"/>
  <c r="D770" i="12766" s="1"/>
  <c r="M770" i="12766" s="1"/>
  <c r="K826" i="12766"/>
  <c r="K798" i="12766" s="1"/>
  <c r="H826" i="12766"/>
  <c r="H798" i="12766" s="1"/>
  <c r="D812" i="12766"/>
  <c r="D784" i="12766" s="1"/>
  <c r="M784" i="12766" s="1"/>
  <c r="H840" i="12766"/>
  <c r="H812" i="12766" s="1"/>
  <c r="D806" i="12766"/>
  <c r="D778" i="12766" s="1"/>
  <c r="M778" i="12766" s="1"/>
  <c r="H834" i="12766"/>
  <c r="H806" i="12766" s="1"/>
  <c r="H778" i="12766" s="1"/>
  <c r="D799" i="12766"/>
  <c r="D771" i="12766" s="1"/>
  <c r="M771" i="12766" s="1"/>
  <c r="H827" i="12766"/>
  <c r="H799" i="12766" s="1"/>
  <c r="H895" i="12766"/>
  <c r="K895" i="12766"/>
  <c r="K784" i="12766" s="1"/>
  <c r="H882" i="12766"/>
  <c r="K882" i="12766"/>
  <c r="H893" i="12766"/>
  <c r="K893" i="12766"/>
  <c r="H884" i="12766"/>
  <c r="D898" i="12766"/>
  <c r="K69" i="12763"/>
  <c r="H17" i="12787"/>
  <c r="D17" i="12787"/>
  <c r="D22" i="12787"/>
  <c r="AC10" i="12775"/>
  <c r="H386" i="12787"/>
  <c r="H366" i="12787"/>
  <c r="H621" i="12787"/>
  <c r="K622" i="12787"/>
  <c r="H624" i="12787"/>
  <c r="K605" i="12787"/>
  <c r="D600" i="12787"/>
  <c r="M600" i="12787" s="1"/>
  <c r="G623" i="12787"/>
  <c r="G795" i="12787"/>
  <c r="G767" i="12787" s="1"/>
  <c r="D798" i="12787"/>
  <c r="D770" i="12787" s="1"/>
  <c r="M770" i="12787" s="1"/>
  <c r="AC41" i="12775"/>
  <c r="H124" i="12811" s="1"/>
  <c r="K982" i="12787"/>
  <c r="K283" i="12766"/>
  <c r="K284" i="12766"/>
  <c r="H497" i="12766"/>
  <c r="K609" i="12766"/>
  <c r="K622" i="12766"/>
  <c r="H863" i="12766"/>
  <c r="H869" i="12766" s="1"/>
  <c r="H871" i="12766" s="1"/>
  <c r="S22" i="12775"/>
  <c r="U22" i="12775"/>
  <c r="W22" i="12775"/>
  <c r="Y22" i="12775"/>
  <c r="AA22" i="12775"/>
  <c r="U86" i="12766"/>
  <c r="W86" i="12766" s="1"/>
  <c r="K88" i="12766"/>
  <c r="G259" i="12766"/>
  <c r="G261" i="12766" s="1"/>
  <c r="H757" i="12766"/>
  <c r="P910" i="12766"/>
  <c r="H21" i="12766"/>
  <c r="C157" i="12766"/>
  <c r="C1019" i="12766" s="1"/>
  <c r="K303" i="12766"/>
  <c r="K274" i="12766" s="1"/>
  <c r="K424" i="12766"/>
  <c r="K366" i="12766" s="1"/>
  <c r="G167" i="12766"/>
  <c r="K226" i="12766"/>
  <c r="K372" i="12766"/>
  <c r="G676" i="12766"/>
  <c r="K695" i="12766"/>
  <c r="K593" i="12766" s="1"/>
  <c r="K715" i="12766"/>
  <c r="K807" i="12766"/>
  <c r="G892" i="12766"/>
  <c r="H18" i="12766"/>
  <c r="D621" i="12766"/>
  <c r="M621" i="12766" s="1"/>
  <c r="D599" i="12766"/>
  <c r="M599" i="12766" s="1"/>
  <c r="D619" i="12766"/>
  <c r="M619" i="12766" s="1"/>
  <c r="K1001" i="12766"/>
  <c r="K1003" i="12766" s="1"/>
  <c r="H1001" i="12766"/>
  <c r="H1003" i="12766" s="1"/>
  <c r="P1000" i="12766" s="1"/>
  <c r="P1001" i="12766" s="1"/>
  <c r="AC39" i="12774"/>
  <c r="E122" i="12812" s="1"/>
  <c r="E85" i="12774"/>
  <c r="P85" i="12774" s="1"/>
  <c r="AC40" i="12774"/>
  <c r="E123" i="12812" s="1"/>
  <c r="Q43" i="12774"/>
  <c r="D86" i="12774"/>
  <c r="U43" i="12774"/>
  <c r="H86" i="12774"/>
  <c r="H89" i="12774" s="1"/>
  <c r="Y43" i="12774"/>
  <c r="L86" i="12774"/>
  <c r="L89" i="12774" s="1"/>
  <c r="AC42" i="12774"/>
  <c r="E125" i="12812" s="1"/>
  <c r="E88" i="12774"/>
  <c r="P88" i="12774" s="1"/>
  <c r="S32" i="12775"/>
  <c r="F75" i="12775"/>
  <c r="F78" i="12775" s="1"/>
  <c r="W32" i="12775"/>
  <c r="J75" i="12775"/>
  <c r="J78" i="12775" s="1"/>
  <c r="AA32" i="12775"/>
  <c r="N75" i="12775"/>
  <c r="N78" i="12775" s="1"/>
  <c r="E958" i="12767"/>
  <c r="E504" i="12767"/>
  <c r="E469" i="12767" s="1"/>
  <c r="H469" i="12767"/>
  <c r="E294" i="12767"/>
  <c r="D61" i="12774"/>
  <c r="D62" i="12774"/>
  <c r="H883" i="12767"/>
  <c r="AC8" i="12775"/>
  <c r="H15" i="12811" s="1"/>
  <c r="P54" i="12775"/>
  <c r="AC6" i="12775"/>
  <c r="K816" i="12767"/>
  <c r="I840" i="12767"/>
  <c r="K840" i="12767" s="1"/>
  <c r="K734" i="12767" s="1"/>
  <c r="D18" i="12787"/>
  <c r="H69" i="12787"/>
  <c r="H18" i="12787" s="1"/>
  <c r="K240" i="12787"/>
  <c r="I250" i="12787"/>
  <c r="K250" i="12787" s="1"/>
  <c r="K194" i="12787" s="1"/>
  <c r="D77" i="12774"/>
  <c r="D74" i="12774"/>
  <c r="D72" i="12774"/>
  <c r="L70" i="12774"/>
  <c r="H70" i="12774"/>
  <c r="D70" i="12774"/>
  <c r="D73" i="12774"/>
  <c r="O70" i="12774"/>
  <c r="K70" i="12774"/>
  <c r="G70" i="12774"/>
  <c r="E655" i="12767"/>
  <c r="E617" i="12767" s="1"/>
  <c r="L80" i="12774"/>
  <c r="L82" i="12774" s="1"/>
  <c r="Y36" i="12774"/>
  <c r="H80" i="12774"/>
  <c r="H82" i="12774" s="1"/>
  <c r="U36" i="12774"/>
  <c r="AC34" i="12774"/>
  <c r="E101" i="12812" s="1"/>
  <c r="D80" i="12774"/>
  <c r="Q36" i="12774"/>
  <c r="AC35" i="12774"/>
  <c r="E102" i="12812" s="1"/>
  <c r="D81" i="12774"/>
  <c r="P81" i="12774" s="1"/>
  <c r="Z36" i="12774"/>
  <c r="M80" i="12774"/>
  <c r="M82" i="12774" s="1"/>
  <c r="V36" i="12774"/>
  <c r="I80" i="12774"/>
  <c r="I82" i="12774" s="1"/>
  <c r="R36" i="12774"/>
  <c r="E80" i="12774"/>
  <c r="E82" i="12774" s="1"/>
  <c r="Z32" i="12775"/>
  <c r="M75" i="12775"/>
  <c r="M78" i="12775" s="1"/>
  <c r="V32" i="12775"/>
  <c r="I75" i="12775"/>
  <c r="I78" i="12775" s="1"/>
  <c r="R32" i="12775"/>
  <c r="E75" i="12775"/>
  <c r="K391" i="12787"/>
  <c r="K362" i="12787" s="1"/>
  <c r="I400" i="12787"/>
  <c r="K400" i="12787" s="1"/>
  <c r="K371" i="12787" s="1"/>
  <c r="I226" i="12787"/>
  <c r="K226" i="12787" s="1"/>
  <c r="K198" i="12787" s="1"/>
  <c r="D331" i="12787"/>
  <c r="H331" i="12787" s="1"/>
  <c r="H346" i="12787" s="1"/>
  <c r="H348" i="12787" s="1"/>
  <c r="C348" i="12787"/>
  <c r="C199" i="12787"/>
  <c r="C170" i="12787" s="1"/>
  <c r="G227" i="12787"/>
  <c r="G199" i="12787" s="1"/>
  <c r="G170" i="12787" s="1"/>
  <c r="K227" i="12787"/>
  <c r="K199" i="12787" s="1"/>
  <c r="K170" i="12787" s="1"/>
  <c r="G403" i="12787"/>
  <c r="H403" i="12787"/>
  <c r="H374" i="12787" s="1"/>
  <c r="I471" i="12787"/>
  <c r="K471" i="12787" s="1"/>
  <c r="K471" i="12766"/>
  <c r="K472" i="12766" s="1"/>
  <c r="K474" i="12766" s="1"/>
  <c r="K556" i="12787"/>
  <c r="I568" i="12787"/>
  <c r="K568" i="12787" s="1"/>
  <c r="H582" i="12787"/>
  <c r="H696" i="12787"/>
  <c r="D594" i="12787"/>
  <c r="M594" i="12787" s="1"/>
  <c r="G669" i="12787"/>
  <c r="G618" i="12787" s="1"/>
  <c r="H669" i="12787"/>
  <c r="H618" i="12787" s="1"/>
  <c r="G670" i="12787"/>
  <c r="G619" i="12787" s="1"/>
  <c r="H670" i="12787"/>
  <c r="H619" i="12787" s="1"/>
  <c r="H747" i="12787"/>
  <c r="G747" i="12787"/>
  <c r="M749" i="12787"/>
  <c r="K749" i="12787"/>
  <c r="H822" i="12787"/>
  <c r="G822" i="12787"/>
  <c r="E832" i="12787"/>
  <c r="G826" i="12787"/>
  <c r="G798" i="12787" s="1"/>
  <c r="G770" i="12787" s="1"/>
  <c r="H826" i="12787"/>
  <c r="E835" i="12787"/>
  <c r="G25" i="12787"/>
  <c r="K385" i="12787"/>
  <c r="I396" i="12787"/>
  <c r="K396" i="12787" s="1"/>
  <c r="K367" i="12787" s="1"/>
  <c r="G357" i="12787"/>
  <c r="G151" i="12787" s="1"/>
  <c r="K794" i="12787"/>
  <c r="K766" i="12787" s="1"/>
  <c r="U768" i="12787" s="1"/>
  <c r="W768" i="12787" s="1"/>
  <c r="K869" i="12787"/>
  <c r="H825" i="12787"/>
  <c r="H797" i="12787" s="1"/>
  <c r="H769" i="12787" s="1"/>
  <c r="D797" i="12787"/>
  <c r="D769" i="12787" s="1"/>
  <c r="M769" i="12787" s="1"/>
  <c r="H840" i="12787"/>
  <c r="H812" i="12787" s="1"/>
  <c r="H784" i="12787" s="1"/>
  <c r="D812" i="12787"/>
  <c r="D784" i="12787" s="1"/>
  <c r="M784" i="12787" s="1"/>
  <c r="H913" i="12787"/>
  <c r="P913" i="12787"/>
  <c r="S43" i="12775"/>
  <c r="F84" i="12775"/>
  <c r="F89" i="12775" s="1"/>
  <c r="W43" i="12775"/>
  <c r="J84" i="12775"/>
  <c r="J89" i="12775" s="1"/>
  <c r="AA43" i="12775"/>
  <c r="N84" i="12775"/>
  <c r="N89" i="12775" s="1"/>
  <c r="G20" i="12763"/>
  <c r="G79" i="12763" s="1"/>
  <c r="C28" i="12763"/>
  <c r="C78" i="12763"/>
  <c r="H665" i="12787"/>
  <c r="H614" i="12787" s="1"/>
  <c r="D614" i="12787"/>
  <c r="M614" i="12787" s="1"/>
  <c r="H663" i="12787"/>
  <c r="H612" i="12787" s="1"/>
  <c r="D612" i="12787"/>
  <c r="M612" i="12787" s="1"/>
  <c r="AB36" i="12775"/>
  <c r="O82" i="12775"/>
  <c r="X36" i="12775"/>
  <c r="K82" i="12775"/>
  <c r="T36" i="12775"/>
  <c r="G82" i="12775"/>
  <c r="AA36" i="12775"/>
  <c r="N82" i="12775"/>
  <c r="W36" i="12775"/>
  <c r="J82" i="12775"/>
  <c r="S36" i="12775"/>
  <c r="F82" i="12775"/>
  <c r="W767" i="12787"/>
  <c r="H833" i="12787"/>
  <c r="H805" i="12787" s="1"/>
  <c r="H777" i="12787" s="1"/>
  <c r="G833" i="12787"/>
  <c r="G805" i="12787" s="1"/>
  <c r="G777" i="12787" s="1"/>
  <c r="P71" i="12764"/>
  <c r="R71" i="12764" s="1"/>
  <c r="M17" i="12766"/>
  <c r="O17" i="12766"/>
  <c r="M22" i="12766"/>
  <c r="O22" i="12766"/>
  <c r="G183" i="12766"/>
  <c r="G153" i="12766" s="1"/>
  <c r="G231" i="12766"/>
  <c r="G275" i="12766"/>
  <c r="G161" i="12766" s="1"/>
  <c r="G346" i="12766"/>
  <c r="G348" i="12766" s="1"/>
  <c r="H223" i="12766"/>
  <c r="D196" i="12766"/>
  <c r="D167" i="12766" s="1"/>
  <c r="M167" i="12766" s="1"/>
  <c r="H224" i="12766"/>
  <c r="H225" i="12766"/>
  <c r="K225" i="12766"/>
  <c r="D201" i="12766"/>
  <c r="D172" i="12766" s="1"/>
  <c r="M172" i="12766" s="1"/>
  <c r="H229" i="12766"/>
  <c r="D490" i="12766"/>
  <c r="H524" i="12766"/>
  <c r="D542" i="12766"/>
  <c r="D499" i="12766"/>
  <c r="M499" i="12766" s="1"/>
  <c r="H533" i="12766"/>
  <c r="H499" i="12766" s="1"/>
  <c r="D501" i="12766"/>
  <c r="M501" i="12766" s="1"/>
  <c r="H535" i="12766"/>
  <c r="H501" i="12766" s="1"/>
  <c r="D503" i="12766"/>
  <c r="M503" i="12766" s="1"/>
  <c r="H537" i="12766"/>
  <c r="H503" i="12766" s="1"/>
  <c r="G573" i="12766"/>
  <c r="G505" i="12766" s="1"/>
  <c r="C505" i="12766"/>
  <c r="G591" i="12766"/>
  <c r="H599" i="12766"/>
  <c r="K701" i="12766"/>
  <c r="I720" i="12766"/>
  <c r="K720" i="12766" s="1"/>
  <c r="K702" i="12766"/>
  <c r="I721" i="12766"/>
  <c r="K721" i="12766" s="1"/>
  <c r="H720" i="12766"/>
  <c r="G720" i="12766"/>
  <c r="H721" i="12766"/>
  <c r="G721" i="12766"/>
  <c r="H740" i="12766"/>
  <c r="M740" i="12766"/>
  <c r="M747" i="12766"/>
  <c r="K747" i="12766"/>
  <c r="H750" i="12766"/>
  <c r="G750" i="12766"/>
  <c r="H755" i="12766"/>
  <c r="G755" i="12766"/>
  <c r="D940" i="12766"/>
  <c r="D939" i="12766"/>
  <c r="C931" i="12766"/>
  <c r="C933" i="12766" s="1"/>
  <c r="C944" i="12766"/>
  <c r="H739" i="12767"/>
  <c r="K89" i="12766"/>
  <c r="K91" i="12766" s="1"/>
  <c r="K104" i="12766"/>
  <c r="K357" i="12766"/>
  <c r="K151" i="12766" s="1"/>
  <c r="O21" i="12766"/>
  <c r="M21" i="12766"/>
  <c r="H315" i="12766"/>
  <c r="H286" i="12766" s="1"/>
  <c r="K315" i="12766"/>
  <c r="K286" i="12766" s="1"/>
  <c r="D276" i="12766"/>
  <c r="H305" i="12766"/>
  <c r="H276" i="12766" s="1"/>
  <c r="K305" i="12766"/>
  <c r="K276" i="12766" s="1"/>
  <c r="D273" i="12766"/>
  <c r="H302" i="12766"/>
  <c r="H273" i="12766" s="1"/>
  <c r="D275" i="12766"/>
  <c r="H304" i="12766"/>
  <c r="H275" i="12766" s="1"/>
  <c r="D610" i="12766"/>
  <c r="M610" i="12766" s="1"/>
  <c r="H712" i="12766"/>
  <c r="H610" i="12766" s="1"/>
  <c r="H696" i="12766"/>
  <c r="H594" i="12766" s="1"/>
  <c r="K696" i="12766"/>
  <c r="K594" i="12766" s="1"/>
  <c r="D594" i="12766"/>
  <c r="M594" i="12766" s="1"/>
  <c r="D591" i="12766"/>
  <c r="M591" i="12766" s="1"/>
  <c r="H693" i="12766"/>
  <c r="H726" i="12766"/>
  <c r="K726" i="12766"/>
  <c r="G319" i="12766"/>
  <c r="O18" i="12766"/>
  <c r="M18" i="12766"/>
  <c r="H391" i="12766"/>
  <c r="H362" i="12766" s="1"/>
  <c r="D362" i="12766"/>
  <c r="K391" i="12766"/>
  <c r="H399" i="12766"/>
  <c r="H370" i="12766" s="1"/>
  <c r="K399" i="12766"/>
  <c r="K370" i="12766" s="1"/>
  <c r="D361" i="12766"/>
  <c r="H390" i="12766"/>
  <c r="K390" i="12766"/>
  <c r="H421" i="12766"/>
  <c r="K421" i="12766"/>
  <c r="H419" i="12766"/>
  <c r="K419" i="12766"/>
  <c r="H433" i="12766"/>
  <c r="K433" i="12766"/>
  <c r="H240" i="12766"/>
  <c r="H184" i="12766" s="1"/>
  <c r="H154" i="12766" s="1"/>
  <c r="D184" i="12766"/>
  <c r="D154" i="12766" s="1"/>
  <c r="M154" i="12766" s="1"/>
  <c r="K240" i="12766"/>
  <c r="K184" i="12766" s="1"/>
  <c r="K154" i="12766" s="1"/>
  <c r="D576" i="12766"/>
  <c r="H558" i="12766"/>
  <c r="K553" i="12766"/>
  <c r="H553" i="12766"/>
  <c r="H485" i="12766" s="1"/>
  <c r="H560" i="12766"/>
  <c r="H492" i="12766" s="1"/>
  <c r="D492" i="12766"/>
  <c r="M492" i="12766" s="1"/>
  <c r="K560" i="12766"/>
  <c r="K492" i="12766" s="1"/>
  <c r="H552" i="12766"/>
  <c r="D484" i="12766"/>
  <c r="M484" i="12766" s="1"/>
  <c r="H653" i="12766"/>
  <c r="H602" i="12766" s="1"/>
  <c r="R593" i="12766" s="1"/>
  <c r="D602" i="12766"/>
  <c r="M602" i="12766" s="1"/>
  <c r="D613" i="12766"/>
  <c r="M613" i="12766" s="1"/>
  <c r="H664" i="12766"/>
  <c r="H613" i="12766" s="1"/>
  <c r="D603" i="12766"/>
  <c r="M603" i="12766" s="1"/>
  <c r="H654" i="12766"/>
  <c r="H603" i="12766" s="1"/>
  <c r="K749" i="12766"/>
  <c r="M749" i="12766"/>
  <c r="D810" i="12766"/>
  <c r="D782" i="12766" s="1"/>
  <c r="M782" i="12766" s="1"/>
  <c r="H838" i="12766"/>
  <c r="H810" i="12766" s="1"/>
  <c r="H782" i="12766" s="1"/>
  <c r="D801" i="12766"/>
  <c r="H829" i="12766"/>
  <c r="H801" i="12766" s="1"/>
  <c r="H773" i="12766" s="1"/>
  <c r="R777" i="12766" s="1"/>
  <c r="K829" i="12766"/>
  <c r="K801" i="12766" s="1"/>
  <c r="K773" i="12766" s="1"/>
  <c r="S777" i="12766" s="1"/>
  <c r="U777" i="12766" s="1"/>
  <c r="D843" i="12766"/>
  <c r="H825" i="12766"/>
  <c r="D797" i="12766"/>
  <c r="D769" i="12766" s="1"/>
  <c r="M769" i="12766" s="1"/>
  <c r="K825" i="12766"/>
  <c r="C785" i="12766"/>
  <c r="C787" i="12766" s="1"/>
  <c r="C815" i="12766"/>
  <c r="D808" i="12766"/>
  <c r="D780" i="12766" s="1"/>
  <c r="M780" i="12766" s="1"/>
  <c r="H836" i="12766"/>
  <c r="H808" i="12766" s="1"/>
  <c r="H780" i="12766" s="1"/>
  <c r="D802" i="12766"/>
  <c r="D774" i="12766" s="1"/>
  <c r="M774" i="12766" s="1"/>
  <c r="H830" i="12766"/>
  <c r="H802" i="12766" s="1"/>
  <c r="H885" i="12766"/>
  <c r="K885" i="12766"/>
  <c r="K774" i="12766" s="1"/>
  <c r="H881" i="12766"/>
  <c r="K881" i="12766"/>
  <c r="H890" i="12766"/>
  <c r="K890" i="12766"/>
  <c r="K73" i="12763"/>
  <c r="J73" i="12763"/>
  <c r="L73" i="12763" s="1"/>
  <c r="G74" i="12763"/>
  <c r="K622" i="12767"/>
  <c r="AC29" i="12775"/>
  <c r="H81" i="12811" s="1"/>
  <c r="H701" i="12767"/>
  <c r="H76" i="12787"/>
  <c r="H78" i="12787" s="1"/>
  <c r="D20" i="12787"/>
  <c r="AC20" i="12775"/>
  <c r="H52" i="12811" s="1"/>
  <c r="H420" i="12787"/>
  <c r="H362" i="12787" s="1"/>
  <c r="H392" i="12787"/>
  <c r="H363" i="12787" s="1"/>
  <c r="H757" i="12787"/>
  <c r="G758" i="12787"/>
  <c r="G896" i="12787"/>
  <c r="G574" i="12787"/>
  <c r="K317" i="12787"/>
  <c r="D624" i="12787"/>
  <c r="M624" i="12787" s="1"/>
  <c r="D621" i="12787"/>
  <c r="M621" i="12787" s="1"/>
  <c r="D599" i="12787"/>
  <c r="M599" i="12787" s="1"/>
  <c r="K806" i="12787"/>
  <c r="K778" i="12787" s="1"/>
  <c r="M1117" i="12767"/>
  <c r="G42" i="12766"/>
  <c r="F68" i="12775"/>
  <c r="J68" i="12775"/>
  <c r="N68" i="12775"/>
  <c r="K223" i="12766"/>
  <c r="K533" i="12766"/>
  <c r="K499" i="12766" s="1"/>
  <c r="K535" i="12766"/>
  <c r="K501" i="12766" s="1"/>
  <c r="K537" i="12766"/>
  <c r="K503" i="12766" s="1"/>
  <c r="K613" i="12766"/>
  <c r="K742" i="12766"/>
  <c r="K771" i="12766"/>
  <c r="S776" i="12766" s="1"/>
  <c r="U776" i="12766" s="1"/>
  <c r="D68" i="12775"/>
  <c r="K368" i="12766"/>
  <c r="K369" i="12766"/>
  <c r="K371" i="12766"/>
  <c r="K227" i="12766"/>
  <c r="K229" i="12766"/>
  <c r="K525" i="12766"/>
  <c r="K491" i="12766" s="1"/>
  <c r="K532" i="12766"/>
  <c r="K498" i="12766" s="1"/>
  <c r="K534" i="12766"/>
  <c r="K500" i="12766" s="1"/>
  <c r="K536" i="12766"/>
  <c r="K502" i="12766" s="1"/>
  <c r="K704" i="12766"/>
  <c r="K602" i="12766" s="1"/>
  <c r="S593" i="12766" s="1"/>
  <c r="U593" i="12766" s="1"/>
  <c r="K603" i="12766"/>
  <c r="K612" i="12766"/>
  <c r="K614" i="12766"/>
  <c r="K740" i="12766"/>
  <c r="G841" i="12766"/>
  <c r="K778" i="12766"/>
  <c r="K810" i="12766"/>
  <c r="K782" i="12766" s="1"/>
  <c r="D573" i="12766"/>
  <c r="D505" i="12766" s="1"/>
  <c r="M505" i="12766" s="1"/>
  <c r="D622" i="12766"/>
  <c r="M622" i="12766" s="1"/>
  <c r="D600" i="12766"/>
  <c r="M600" i="12766" s="1"/>
  <c r="D618" i="12766"/>
  <c r="M618" i="12766" s="1"/>
  <c r="G869" i="12766"/>
  <c r="G871" i="12766" s="1"/>
  <c r="D892" i="12766"/>
  <c r="D781" i="12766" s="1"/>
  <c r="M781" i="12766" s="1"/>
  <c r="M1001" i="12766"/>
  <c r="V25" i="12764" l="1"/>
  <c r="AB11" i="12823"/>
  <c r="E189" i="12767"/>
  <c r="R25" i="12764"/>
  <c r="N53" i="12812" s="1"/>
  <c r="Q25" i="12764"/>
  <c r="E68" i="12811"/>
  <c r="P74" i="12764"/>
  <c r="R74" i="12764" s="1"/>
  <c r="E21" i="12767"/>
  <c r="P34" i="12764"/>
  <c r="E462" i="12767"/>
  <c r="E183" i="12767" s="1"/>
  <c r="E225" i="12767"/>
  <c r="U25" i="12764"/>
  <c r="E465" i="12767"/>
  <c r="E186" i="12767" s="1"/>
  <c r="Q55" i="12764"/>
  <c r="I27" i="12831"/>
  <c r="I27" i="12852"/>
  <c r="E463" i="12767"/>
  <c r="E184" i="12767" s="1"/>
  <c r="P110" i="12764"/>
  <c r="U110" i="12764" s="1"/>
  <c r="R55" i="12764"/>
  <c r="N125" i="12812" s="1"/>
  <c r="U55" i="12764"/>
  <c r="V40" i="12823"/>
  <c r="V64" i="12823" s="1"/>
  <c r="Q10" i="12764"/>
  <c r="E59" i="12767"/>
  <c r="P40" i="12764"/>
  <c r="R40" i="12764" s="1"/>
  <c r="N84" i="12812" s="1"/>
  <c r="Q12" i="12764"/>
  <c r="T11" i="12764"/>
  <c r="T71" i="12764" s="1"/>
  <c r="V71" i="12764" s="1"/>
  <c r="G676" i="12787"/>
  <c r="H758" i="12787"/>
  <c r="H760" i="12787" s="1"/>
  <c r="H758" i="12766"/>
  <c r="H760" i="12766" s="1"/>
  <c r="G281" i="12787"/>
  <c r="G167" i="12787" s="1"/>
  <c r="G346" i="12787"/>
  <c r="H434" i="12766"/>
  <c r="H436" i="12766" s="1"/>
  <c r="K362" i="12766"/>
  <c r="G288" i="12766"/>
  <c r="G290" i="12766" s="1"/>
  <c r="K169" i="12787"/>
  <c r="H971" i="12787"/>
  <c r="I669" i="12787"/>
  <c r="K669" i="12787" s="1"/>
  <c r="K650" i="12787"/>
  <c r="K676" i="12787" s="1"/>
  <c r="G201" i="12787"/>
  <c r="J42" i="12828"/>
  <c r="N1232" i="12767" s="1"/>
  <c r="K1232" i="12767" s="1"/>
  <c r="J40" i="12828"/>
  <c r="N1141" i="12767" s="1"/>
  <c r="J38" i="12828"/>
  <c r="N1116" i="12767" s="1"/>
  <c r="K1116" i="12767" s="1"/>
  <c r="J41" i="12828"/>
  <c r="N1193" i="12767" s="1"/>
  <c r="J39" i="12828"/>
  <c r="N1128" i="12767" s="1"/>
  <c r="I1129" i="12767" s="1"/>
  <c r="J37" i="12828"/>
  <c r="H862" i="12767"/>
  <c r="K862" i="12767" s="1"/>
  <c r="H1183" i="12767"/>
  <c r="K1183" i="12767" s="1"/>
  <c r="H103" i="12811"/>
  <c r="H117" i="12811" s="1"/>
  <c r="H1131" i="12767"/>
  <c r="K1131" i="12767" s="1"/>
  <c r="H1234" i="12767"/>
  <c r="K1234" i="12767" s="1"/>
  <c r="H1118" i="12767"/>
  <c r="K1118" i="12767" s="1"/>
  <c r="K1128" i="12767"/>
  <c r="N19" i="12767"/>
  <c r="I73" i="12767" s="1"/>
  <c r="K73" i="12767" s="1"/>
  <c r="E915" i="12767"/>
  <c r="E896" i="12767" s="1"/>
  <c r="V12" i="12764"/>
  <c r="U12" i="12764"/>
  <c r="F68" i="12811"/>
  <c r="F140" i="12811" s="1"/>
  <c r="B1251" i="12767" s="1"/>
  <c r="P36" i="12764"/>
  <c r="V36" i="12823"/>
  <c r="U583" i="12787"/>
  <c r="W583" i="12787" s="1"/>
  <c r="P38" i="12764"/>
  <c r="V38" i="12823"/>
  <c r="V63" i="12823"/>
  <c r="AB12" i="12823"/>
  <c r="X12" i="12823"/>
  <c r="AD12" i="12823" s="1"/>
  <c r="AA12" i="12823"/>
  <c r="W12" i="12823"/>
  <c r="V100" i="12823"/>
  <c r="X54" i="12823"/>
  <c r="AD54" i="12823" s="1"/>
  <c r="W54" i="12823"/>
  <c r="AB54" i="12823"/>
  <c r="AA54" i="12823"/>
  <c r="U85" i="12787"/>
  <c r="W85" i="12787" s="1"/>
  <c r="T85" i="12787"/>
  <c r="D91" i="12787"/>
  <c r="M85" i="12787"/>
  <c r="M89" i="12787" s="1"/>
  <c r="AA71" i="12823"/>
  <c r="AB71" i="12823"/>
  <c r="P35" i="12764"/>
  <c r="R35" i="12764" s="1"/>
  <c r="N76" i="12812" s="1"/>
  <c r="V35" i="12823"/>
  <c r="K758" i="12766"/>
  <c r="K760" i="12766" s="1"/>
  <c r="G574" i="12766"/>
  <c r="G576" i="12766" s="1"/>
  <c r="K619" i="12787"/>
  <c r="P52" i="12764"/>
  <c r="R52" i="12764" s="1"/>
  <c r="N122" i="12812" s="1"/>
  <c r="V52" i="12823"/>
  <c r="G275" i="12787"/>
  <c r="G317" i="12787"/>
  <c r="G288" i="12787" s="1"/>
  <c r="G429" i="12787"/>
  <c r="H429" i="12787"/>
  <c r="H371" i="12787" s="1"/>
  <c r="E82" i="12811"/>
  <c r="E97" i="12811" s="1"/>
  <c r="V108" i="12823"/>
  <c r="X25" i="12823"/>
  <c r="AD25" i="12823" s="1"/>
  <c r="AA25" i="12823"/>
  <c r="AB25" i="12823"/>
  <c r="W25" i="12823"/>
  <c r="AB55" i="12823"/>
  <c r="AA55" i="12823"/>
  <c r="V110" i="12823"/>
  <c r="X55" i="12823"/>
  <c r="AD55" i="12823" s="1"/>
  <c r="W55" i="12823"/>
  <c r="X24" i="12823"/>
  <c r="AD24" i="12823" s="1"/>
  <c r="AA24" i="12823"/>
  <c r="AB24" i="12823"/>
  <c r="W24" i="12823"/>
  <c r="AA102" i="12823"/>
  <c r="AB102" i="12823"/>
  <c r="X102" i="12823"/>
  <c r="W102" i="12823"/>
  <c r="K59" i="12766"/>
  <c r="K17" i="12766"/>
  <c r="T86" i="12787"/>
  <c r="V74" i="12823"/>
  <c r="AB74" i="12823" s="1"/>
  <c r="X10" i="12823"/>
  <c r="AD10" i="12823" s="1"/>
  <c r="W10" i="12823"/>
  <c r="AA10" i="12823"/>
  <c r="I14" i="12764"/>
  <c r="F46" i="12812"/>
  <c r="V68" i="12823"/>
  <c r="W8" i="12823"/>
  <c r="X8" i="12823"/>
  <c r="AD8" i="12823" s="1"/>
  <c r="AA8" i="12823"/>
  <c r="P67" i="12774"/>
  <c r="AC14" i="12774"/>
  <c r="E41" i="12812" s="1"/>
  <c r="AC16" i="12774"/>
  <c r="E43" i="12812" s="1"/>
  <c r="AC15" i="12774"/>
  <c r="E42" i="12812" s="1"/>
  <c r="N68" i="12774"/>
  <c r="AC9" i="12774"/>
  <c r="AE9" i="12774" s="1"/>
  <c r="Q55" i="12774" s="1"/>
  <c r="AC7" i="12774"/>
  <c r="E14" i="12812" s="1"/>
  <c r="AC8" i="12774"/>
  <c r="E15" i="12812" s="1"/>
  <c r="P56" i="12774"/>
  <c r="AB22" i="12774"/>
  <c r="X22" i="12774"/>
  <c r="T22" i="12774"/>
  <c r="AA22" i="12774"/>
  <c r="S22" i="12774"/>
  <c r="P66" i="12774"/>
  <c r="P53" i="12774"/>
  <c r="P55" i="12774"/>
  <c r="AC10" i="12774"/>
  <c r="E21" i="12812" s="1"/>
  <c r="F68" i="12774"/>
  <c r="AC18" i="12774"/>
  <c r="E46" i="12812" s="1"/>
  <c r="P62" i="12774"/>
  <c r="P61" i="12774"/>
  <c r="AC6" i="12774"/>
  <c r="E13" i="12812" s="1"/>
  <c r="AC21" i="12774"/>
  <c r="E53" i="12812" s="1"/>
  <c r="AC20" i="12774"/>
  <c r="E52" i="12812" s="1"/>
  <c r="N63" i="12764"/>
  <c r="X63" i="12764" s="1"/>
  <c r="I81" i="12764"/>
  <c r="AC24" i="12774"/>
  <c r="E71" i="12812" s="1"/>
  <c r="P71" i="12774"/>
  <c r="AC27" i="12774"/>
  <c r="E76" i="12812" s="1"/>
  <c r="AC26" i="12774"/>
  <c r="E73" i="12812" s="1"/>
  <c r="AC28" i="12774"/>
  <c r="E79" i="12812" s="1"/>
  <c r="AC31" i="12774"/>
  <c r="E84" i="12812" s="1"/>
  <c r="H13" i="12811"/>
  <c r="AE6" i="12775"/>
  <c r="P75" i="12774"/>
  <c r="P73" i="12774"/>
  <c r="P72" i="12774"/>
  <c r="P74" i="12774"/>
  <c r="P77" i="12774"/>
  <c r="AC25" i="12774"/>
  <c r="E72" i="12812" s="1"/>
  <c r="AC29" i="12774"/>
  <c r="E81" i="12812" s="1"/>
  <c r="R32" i="12774"/>
  <c r="AB34" i="12823"/>
  <c r="AA34" i="12823"/>
  <c r="X34" i="12823"/>
  <c r="AD34" i="12823" s="1"/>
  <c r="W34" i="12823"/>
  <c r="Q22" i="12774"/>
  <c r="T32" i="12774"/>
  <c r="X32" i="12774"/>
  <c r="AB32" i="12774"/>
  <c r="K53" i="12812"/>
  <c r="L53" i="12812" s="1"/>
  <c r="H54" i="12811"/>
  <c r="B58" i="12767"/>
  <c r="H44" i="12811"/>
  <c r="B299" i="12767"/>
  <c r="L42" i="12811"/>
  <c r="M42" i="12811" s="1"/>
  <c r="B403" i="12767"/>
  <c r="B509" i="12767"/>
  <c r="H47" i="12811"/>
  <c r="B664" i="12767"/>
  <c r="H50" i="12811"/>
  <c r="B1052" i="12767"/>
  <c r="H959" i="12767" s="1"/>
  <c r="K959" i="12767" s="1"/>
  <c r="B1196" i="12767"/>
  <c r="E127" i="12812"/>
  <c r="E137" i="12812" s="1"/>
  <c r="H1171" i="12767"/>
  <c r="K1171" i="12767" s="1"/>
  <c r="K125" i="12812"/>
  <c r="O125" i="12811" s="1"/>
  <c r="K122" i="12812"/>
  <c r="O122" i="12811" s="1"/>
  <c r="H809" i="12767"/>
  <c r="K809" i="12767" s="1"/>
  <c r="E103" i="12812"/>
  <c r="E117" i="12812" s="1"/>
  <c r="E664" i="12767"/>
  <c r="K17" i="12812"/>
  <c r="O17" i="12811" s="1"/>
  <c r="H127" i="12811"/>
  <c r="H137" i="12811" s="1"/>
  <c r="B1118" i="12767"/>
  <c r="B1234" i="12767"/>
  <c r="B1171" i="12767"/>
  <c r="B1183" i="12767"/>
  <c r="L121" i="12811"/>
  <c r="B1131" i="12767"/>
  <c r="L102" i="12811"/>
  <c r="M102" i="12811" s="1"/>
  <c r="B862" i="12767"/>
  <c r="L101" i="12811"/>
  <c r="B809" i="12767"/>
  <c r="AE31" i="12775"/>
  <c r="Q77" i="12775" s="1"/>
  <c r="R77" i="12775" s="1"/>
  <c r="H84" i="12811"/>
  <c r="L80" i="12811"/>
  <c r="M80" i="12811" s="1"/>
  <c r="B1071" i="12767"/>
  <c r="H977" i="12767" s="1"/>
  <c r="AE30" i="12775"/>
  <c r="Q76" i="12775" s="1"/>
  <c r="R76" i="12775" s="1"/>
  <c r="AE28" i="12775"/>
  <c r="Q74" i="12775" s="1"/>
  <c r="R74" i="12775" s="1"/>
  <c r="H79" i="12811"/>
  <c r="AE27" i="12775"/>
  <c r="Q73" i="12775" s="1"/>
  <c r="R73" i="12775" s="1"/>
  <c r="H76" i="12811"/>
  <c r="AE26" i="12775"/>
  <c r="Q72" i="12775" s="1"/>
  <c r="R72" i="12775" s="1"/>
  <c r="H73" i="12811"/>
  <c r="AE25" i="12775"/>
  <c r="Q71" i="12775" s="1"/>
  <c r="R71" i="12775" s="1"/>
  <c r="H72" i="12811"/>
  <c r="AE24" i="12775"/>
  <c r="Q70" i="12775" s="1"/>
  <c r="R70" i="12775" s="1"/>
  <c r="H71" i="12811"/>
  <c r="L17" i="12811"/>
  <c r="M17" i="12811" s="1"/>
  <c r="H21" i="12811"/>
  <c r="L15" i="12811"/>
  <c r="M15" i="12811" s="1"/>
  <c r="B138" i="12767"/>
  <c r="L16" i="12811"/>
  <c r="M16" i="12811" s="1"/>
  <c r="B153" i="12767"/>
  <c r="B123" i="12767"/>
  <c r="C80" i="12763"/>
  <c r="C58" i="12763"/>
  <c r="K121" i="12812"/>
  <c r="F22" i="12812"/>
  <c r="J78" i="12774"/>
  <c r="V32" i="12774"/>
  <c r="Z32" i="12774"/>
  <c r="F78" i="12774"/>
  <c r="N78" i="12774"/>
  <c r="U32" i="12774"/>
  <c r="U22" i="12774"/>
  <c r="G78" i="12774"/>
  <c r="K78" i="12774"/>
  <c r="O78" i="12774"/>
  <c r="Q32" i="12774"/>
  <c r="L78" i="12774"/>
  <c r="Y22" i="12774"/>
  <c r="AC32" i="12775"/>
  <c r="H78" i="12774"/>
  <c r="W22" i="12774"/>
  <c r="Y32" i="12774"/>
  <c r="W32" i="12774"/>
  <c r="T12" i="12774"/>
  <c r="G57" i="12774"/>
  <c r="G58" i="12774" s="1"/>
  <c r="AB12" i="12774"/>
  <c r="O57" i="12774"/>
  <c r="O58" i="12774" s="1"/>
  <c r="W12" i="12774"/>
  <c r="J57" i="12774"/>
  <c r="J58" i="12774" s="1"/>
  <c r="R12" i="12774"/>
  <c r="E57" i="12774"/>
  <c r="E58" i="12774" s="1"/>
  <c r="Z12" i="12774"/>
  <c r="M57" i="12774"/>
  <c r="M58" i="12774" s="1"/>
  <c r="U12" i="12774"/>
  <c r="H57" i="12774"/>
  <c r="H58" i="12774" s="1"/>
  <c r="X12" i="12774"/>
  <c r="K57" i="12774"/>
  <c r="K58" i="12774" s="1"/>
  <c r="S12" i="12774"/>
  <c r="F57" i="12774"/>
  <c r="F58" i="12774" s="1"/>
  <c r="AA12" i="12774"/>
  <c r="N57" i="12774"/>
  <c r="N58" i="12774" s="1"/>
  <c r="V12" i="12774"/>
  <c r="I57" i="12774"/>
  <c r="I58" i="12774" s="1"/>
  <c r="Q12" i="12774"/>
  <c r="D57" i="12774"/>
  <c r="D58" i="12774" s="1"/>
  <c r="Y12" i="12774"/>
  <c r="L57" i="12774"/>
  <c r="L58" i="12774" s="1"/>
  <c r="X12" i="12775"/>
  <c r="K58" i="12775"/>
  <c r="K91" i="12775" s="1"/>
  <c r="S12" i="12775"/>
  <c r="F58" i="12775"/>
  <c r="F91" i="12775" s="1"/>
  <c r="AA12" i="12775"/>
  <c r="N58" i="12775"/>
  <c r="N91" i="12775" s="1"/>
  <c r="V12" i="12775"/>
  <c r="I58" i="12775"/>
  <c r="I91" i="12775" s="1"/>
  <c r="Q12" i="12775"/>
  <c r="Q45" i="12775" s="1"/>
  <c r="D58" i="12775"/>
  <c r="Y12" i="12775"/>
  <c r="L58" i="12775"/>
  <c r="L91" i="12775" s="1"/>
  <c r="T12" i="12775"/>
  <c r="G58" i="12775"/>
  <c r="G91" i="12775" s="1"/>
  <c r="AB12" i="12775"/>
  <c r="O58" i="12775"/>
  <c r="O91" i="12775" s="1"/>
  <c r="W12" i="12775"/>
  <c r="J58" i="12775"/>
  <c r="J91" i="12775" s="1"/>
  <c r="R12" i="12775"/>
  <c r="E58" i="12775"/>
  <c r="Z12" i="12775"/>
  <c r="M58" i="12775"/>
  <c r="M91" i="12775" s="1"/>
  <c r="U12" i="12775"/>
  <c r="H58" i="12775"/>
  <c r="H91" i="12775" s="1"/>
  <c r="AC11" i="12775"/>
  <c r="H18" i="12811" s="1"/>
  <c r="AC11" i="12774"/>
  <c r="P63" i="12775"/>
  <c r="K79" i="12763"/>
  <c r="J79" i="12763"/>
  <c r="L79" i="12763" s="1"/>
  <c r="N80" i="12764"/>
  <c r="X80" i="12764" s="1"/>
  <c r="M80" i="12764"/>
  <c r="O80" i="12764" s="1"/>
  <c r="C58" i="12764"/>
  <c r="C65" i="12764"/>
  <c r="E263" i="12767"/>
  <c r="E265" i="12767" s="1"/>
  <c r="H263" i="12767"/>
  <c r="I28" i="12764"/>
  <c r="J68" i="12774"/>
  <c r="K472" i="12787"/>
  <c r="K474" i="12787" s="1"/>
  <c r="K189" i="12767"/>
  <c r="I78" i="12774"/>
  <c r="M78" i="12774"/>
  <c r="S32" i="12774"/>
  <c r="AA32" i="12774"/>
  <c r="N41" i="12764"/>
  <c r="I95" i="12764"/>
  <c r="I98" i="12764" s="1"/>
  <c r="C104" i="12763"/>
  <c r="K317" i="12766"/>
  <c r="X12" i="12764"/>
  <c r="E188" i="12767"/>
  <c r="N23" i="12764"/>
  <c r="F49" i="12812" s="1"/>
  <c r="F50" i="12812" s="1"/>
  <c r="M23" i="12764"/>
  <c r="O23" i="12764" s="1"/>
  <c r="Q102" i="12764"/>
  <c r="V102" i="12764"/>
  <c r="R102" i="12764"/>
  <c r="U102" i="12764"/>
  <c r="X51" i="12764"/>
  <c r="H279" i="12767"/>
  <c r="H210" i="12767" s="1"/>
  <c r="H278" i="12767"/>
  <c r="H209" i="12767" s="1"/>
  <c r="H277" i="12767"/>
  <c r="H208" i="12767" s="1"/>
  <c r="H643" i="12767"/>
  <c r="H130" i="12767"/>
  <c r="N56" i="12764"/>
  <c r="H100" i="12767"/>
  <c r="B893" i="12767"/>
  <c r="B1250" i="12767" s="1"/>
  <c r="F20" i="12783"/>
  <c r="F23" i="12783" s="1"/>
  <c r="F33" i="12783" s="1"/>
  <c r="F37" i="12783" s="1"/>
  <c r="AC17" i="12775"/>
  <c r="AE17" i="12775" s="1"/>
  <c r="D65" i="12774"/>
  <c r="P65" i="12774" s="1"/>
  <c r="AC19" i="12774"/>
  <c r="E49" i="12812" s="1"/>
  <c r="D63" i="12774"/>
  <c r="P63" i="12774" s="1"/>
  <c r="AC17" i="12774"/>
  <c r="AE17" i="12774" s="1"/>
  <c r="Q63" i="12774" s="1"/>
  <c r="AC63" i="12774" s="1"/>
  <c r="X55" i="12764"/>
  <c r="H1051" i="12767"/>
  <c r="E1015" i="12767"/>
  <c r="E543" i="12767"/>
  <c r="C112" i="12764"/>
  <c r="U71" i="12764"/>
  <c r="N90" i="12764"/>
  <c r="X90" i="12764" s="1"/>
  <c r="M90" i="12764"/>
  <c r="O90" i="12764" s="1"/>
  <c r="I86" i="12764"/>
  <c r="Q86" i="12764" s="1"/>
  <c r="I71" i="12764"/>
  <c r="N89" i="12764"/>
  <c r="X89" i="12764" s="1"/>
  <c r="X91" i="12764" s="1"/>
  <c r="I91" i="12764"/>
  <c r="M89" i="12764"/>
  <c r="O89" i="12764" s="1"/>
  <c r="M47" i="12764"/>
  <c r="O47" i="12764" s="1"/>
  <c r="N24" i="12764"/>
  <c r="F52" i="12812" s="1"/>
  <c r="M24" i="12764"/>
  <c r="O24" i="12764" s="1"/>
  <c r="I64" i="12764"/>
  <c r="J88" i="12763"/>
  <c r="L88" i="12763" s="1"/>
  <c r="K88" i="12763"/>
  <c r="G90" i="12763"/>
  <c r="M26" i="12764"/>
  <c r="O26" i="12764" s="1"/>
  <c r="N26" i="12764"/>
  <c r="F41" i="12812" s="1"/>
  <c r="Q26" i="12764"/>
  <c r="G68" i="12763"/>
  <c r="K8" i="12763"/>
  <c r="I14" i="12811" s="1"/>
  <c r="L14" i="12811" s="1"/>
  <c r="M14" i="12811" s="1"/>
  <c r="J8" i="12763"/>
  <c r="L8" i="12763" s="1"/>
  <c r="K12" i="12763"/>
  <c r="I21" i="12811" s="1"/>
  <c r="I22" i="12811" s="1"/>
  <c r="G63" i="12763"/>
  <c r="J12" i="12763"/>
  <c r="L12" i="12763" s="1"/>
  <c r="N8" i="12764"/>
  <c r="F14" i="12812" s="1"/>
  <c r="M8" i="12764"/>
  <c r="O8" i="12764" s="1"/>
  <c r="I68" i="12764"/>
  <c r="N7" i="12764"/>
  <c r="F13" i="12812" s="1"/>
  <c r="M7" i="12764"/>
  <c r="O7" i="12764" s="1"/>
  <c r="Y7" i="12764" s="1"/>
  <c r="I67" i="12764"/>
  <c r="K72" i="12763"/>
  <c r="J72" i="12763"/>
  <c r="L72" i="12763" s="1"/>
  <c r="K100" i="12763"/>
  <c r="J100" i="12763"/>
  <c r="L100" i="12763" s="1"/>
  <c r="N73" i="12764"/>
  <c r="X73" i="12764" s="1"/>
  <c r="M73" i="12764"/>
  <c r="O73" i="12764" s="1"/>
  <c r="N10" i="12764"/>
  <c r="I58" i="12764"/>
  <c r="I74" i="12764"/>
  <c r="M10" i="12764"/>
  <c r="O10" i="12764" s="1"/>
  <c r="K52" i="12763"/>
  <c r="I122" i="12811" s="1"/>
  <c r="L122" i="12811" s="1"/>
  <c r="M122" i="12811" s="1"/>
  <c r="J52" i="12763"/>
  <c r="L52" i="12763" s="1"/>
  <c r="G102" i="12763"/>
  <c r="K55" i="12763"/>
  <c r="I125" i="12811" s="1"/>
  <c r="J55" i="12763"/>
  <c r="L55" i="12763" s="1"/>
  <c r="G108" i="12763"/>
  <c r="E68" i="12775"/>
  <c r="E89" i="12775"/>
  <c r="N108" i="12764"/>
  <c r="X108" i="12764" s="1"/>
  <c r="M108" i="12764"/>
  <c r="O108" i="12764" s="1"/>
  <c r="K36" i="12763"/>
  <c r="I79" i="12811" s="1"/>
  <c r="I82" i="12811" s="1"/>
  <c r="G92" i="12763"/>
  <c r="J36" i="12763"/>
  <c r="L36" i="12763" s="1"/>
  <c r="M110" i="12764"/>
  <c r="O110" i="12764" s="1"/>
  <c r="N110" i="12764"/>
  <c r="N77" i="12764"/>
  <c r="X77" i="12764" s="1"/>
  <c r="M77" i="12764"/>
  <c r="O77" i="12764" s="1"/>
  <c r="M41" i="12764"/>
  <c r="O41" i="12764" s="1"/>
  <c r="K54" i="12763"/>
  <c r="I124" i="12811" s="1"/>
  <c r="L124" i="12811" s="1"/>
  <c r="M124" i="12811" s="1"/>
  <c r="J54" i="12763"/>
  <c r="L54" i="12763" s="1"/>
  <c r="G98" i="12763"/>
  <c r="K35" i="12763"/>
  <c r="I76" i="12811" s="1"/>
  <c r="I77" i="12811" s="1"/>
  <c r="G82" i="12763"/>
  <c r="J35" i="12763"/>
  <c r="L35" i="12763" s="1"/>
  <c r="K33" i="12763"/>
  <c r="I72" i="12811" s="1"/>
  <c r="J33" i="12763"/>
  <c r="L33" i="12763" s="1"/>
  <c r="G77" i="12763"/>
  <c r="K23" i="12763"/>
  <c r="I49" i="12811" s="1"/>
  <c r="I50" i="12811" s="1"/>
  <c r="J23" i="12763"/>
  <c r="L23" i="12763" s="1"/>
  <c r="G834" i="12787"/>
  <c r="G806" i="12787" s="1"/>
  <c r="G778" i="12787" s="1"/>
  <c r="H834" i="12787"/>
  <c r="H240" i="12787"/>
  <c r="H184" i="12787" s="1"/>
  <c r="H154" i="12787" s="1"/>
  <c r="D184" i="12787"/>
  <c r="D154" i="12787" s="1"/>
  <c r="M154" i="12787" s="1"/>
  <c r="H1182" i="12767"/>
  <c r="AC30" i="12774"/>
  <c r="E80" i="12812" s="1"/>
  <c r="E76" i="12774"/>
  <c r="P76" i="12774" s="1"/>
  <c r="K32" i="12763"/>
  <c r="I71" i="12811" s="1"/>
  <c r="J32" i="12763"/>
  <c r="L32" i="12763" s="1"/>
  <c r="G41" i="12763"/>
  <c r="K39" i="12763"/>
  <c r="J39" i="12763"/>
  <c r="L39" i="12763" s="1"/>
  <c r="G95" i="12763"/>
  <c r="M56" i="12764"/>
  <c r="O56" i="12764" s="1"/>
  <c r="N104" i="12764"/>
  <c r="X104" i="12764" s="1"/>
  <c r="I106" i="12764"/>
  <c r="M104" i="12764"/>
  <c r="O104" i="12764" s="1"/>
  <c r="N95" i="12764"/>
  <c r="X95" i="12764" s="1"/>
  <c r="X98" i="12764" s="1"/>
  <c r="I84" i="12764"/>
  <c r="N83" i="12764"/>
  <c r="X83" i="12764" s="1"/>
  <c r="X84" i="12764" s="1"/>
  <c r="M83" i="12764"/>
  <c r="O83" i="12764" s="1"/>
  <c r="N28" i="12764"/>
  <c r="M28" i="12764"/>
  <c r="O28" i="12764" s="1"/>
  <c r="K53" i="12763"/>
  <c r="I123" i="12811" s="1"/>
  <c r="L123" i="12811" s="1"/>
  <c r="M123" i="12811" s="1"/>
  <c r="G56" i="12763"/>
  <c r="G103" i="12763"/>
  <c r="J53" i="12763"/>
  <c r="L53" i="12763" s="1"/>
  <c r="K25" i="12763"/>
  <c r="I53" i="12811" s="1"/>
  <c r="L53" i="12811" s="1"/>
  <c r="M53" i="12811" s="1"/>
  <c r="G106" i="12763"/>
  <c r="J25" i="12763"/>
  <c r="L25" i="12763" s="1"/>
  <c r="K24" i="12763"/>
  <c r="I52" i="12811" s="1"/>
  <c r="G64" i="12763"/>
  <c r="J24" i="12763"/>
  <c r="L24" i="12763" s="1"/>
  <c r="J7" i="12763"/>
  <c r="L7" i="12763" s="1"/>
  <c r="G67" i="12763"/>
  <c r="K7" i="12763"/>
  <c r="E402" i="12767"/>
  <c r="E348" i="12767"/>
  <c r="M758" i="12766"/>
  <c r="G727" i="12766"/>
  <c r="G729" i="12766" s="1"/>
  <c r="K574" i="12787"/>
  <c r="H771" i="12766"/>
  <c r="R776" i="12766" s="1"/>
  <c r="H784" i="12766"/>
  <c r="G61" i="12787"/>
  <c r="G88" i="12787"/>
  <c r="H88" i="12787"/>
  <c r="H143" i="12766"/>
  <c r="H89" i="12766"/>
  <c r="H91" i="12766" s="1"/>
  <c r="N105" i="12764"/>
  <c r="X105" i="12764" s="1"/>
  <c r="M105" i="12764"/>
  <c r="O105" i="12764" s="1"/>
  <c r="Q87" i="12764"/>
  <c r="M87" i="12764"/>
  <c r="O87" i="12764" s="1"/>
  <c r="N87" i="12764"/>
  <c r="X87" i="12764" s="1"/>
  <c r="G94" i="12763"/>
  <c r="C96" i="12763"/>
  <c r="G838" i="12787"/>
  <c r="G810" i="12787" s="1"/>
  <c r="G782" i="12787" s="1"/>
  <c r="H838" i="12787"/>
  <c r="G837" i="12787"/>
  <c r="G809" i="12787" s="1"/>
  <c r="G781" i="12787" s="1"/>
  <c r="H837" i="12787"/>
  <c r="K268" i="12787"/>
  <c r="K346" i="12787"/>
  <c r="D183" i="12787"/>
  <c r="H239" i="12787"/>
  <c r="H183" i="12787" s="1"/>
  <c r="H153" i="12787" s="1"/>
  <c r="J18" i="12763"/>
  <c r="L18" i="12763" s="1"/>
  <c r="G76" i="12763"/>
  <c r="K18" i="12763"/>
  <c r="E1182" i="12767"/>
  <c r="E1138" i="12767"/>
  <c r="E1142" i="12767" s="1"/>
  <c r="E1089" i="12767"/>
  <c r="E853" i="12767"/>
  <c r="E747" i="12767" s="1"/>
  <c r="N100" i="12764"/>
  <c r="X100" i="12764" s="1"/>
  <c r="M100" i="12764"/>
  <c r="O100" i="12764" s="1"/>
  <c r="B367" i="12767"/>
  <c r="M625" i="12787"/>
  <c r="K434" i="12766"/>
  <c r="K436" i="12766" s="1"/>
  <c r="U769" i="12787"/>
  <c r="W769" i="12787" s="1"/>
  <c r="S592" i="12766"/>
  <c r="U592" i="12766" s="1"/>
  <c r="G797" i="12787"/>
  <c r="G769" i="12787" s="1"/>
  <c r="AE18" i="12775"/>
  <c r="Q64" i="12775" s="1"/>
  <c r="R64" i="12775" s="1"/>
  <c r="AE19" i="12775"/>
  <c r="AE21" i="12775"/>
  <c r="C870" i="12787"/>
  <c r="C871" i="12787" s="1"/>
  <c r="G68" i="12774"/>
  <c r="K68" i="12774"/>
  <c r="O68" i="12774"/>
  <c r="P60" i="12775"/>
  <c r="P68" i="12775" s="1"/>
  <c r="AE14" i="12775"/>
  <c r="Q60" i="12775" s="1"/>
  <c r="AE15" i="12775"/>
  <c r="Q61" i="12775" s="1"/>
  <c r="R61" i="12775" s="1"/>
  <c r="AE16" i="12775"/>
  <c r="Q62" i="12775" s="1"/>
  <c r="R62" i="12775" s="1"/>
  <c r="AE42" i="12775"/>
  <c r="Q88" i="12775" s="1"/>
  <c r="R88" i="12775" s="1"/>
  <c r="AE39" i="12775"/>
  <c r="AE40" i="12775"/>
  <c r="Q86" i="12775" s="1"/>
  <c r="R86" i="12775" s="1"/>
  <c r="H68" i="12774"/>
  <c r="L68" i="12774"/>
  <c r="P761" i="12766"/>
  <c r="O761" i="12766"/>
  <c r="K288" i="12787"/>
  <c r="AE20" i="12775"/>
  <c r="C217" i="12787"/>
  <c r="K74" i="12763"/>
  <c r="J74" i="12763"/>
  <c r="L74" i="12763" s="1"/>
  <c r="K485" i="12766"/>
  <c r="H591" i="12766"/>
  <c r="R592" i="12766" s="1"/>
  <c r="H727" i="12766"/>
  <c r="H729" i="12766" s="1"/>
  <c r="K939" i="12766"/>
  <c r="D928" i="12766"/>
  <c r="M928" i="12766" s="1"/>
  <c r="H939" i="12766"/>
  <c r="M490" i="12766"/>
  <c r="D508" i="12766"/>
  <c r="G233" i="12766"/>
  <c r="G203" i="12766"/>
  <c r="J20" i="12763"/>
  <c r="L20" i="12763" s="1"/>
  <c r="G28" i="12763"/>
  <c r="G78" i="12763"/>
  <c r="K20" i="12763"/>
  <c r="I43" i="12811" s="1"/>
  <c r="L43" i="12811" s="1"/>
  <c r="M43" i="12811" s="1"/>
  <c r="G835" i="12787"/>
  <c r="H835" i="12787"/>
  <c r="G794" i="12787"/>
  <c r="G766" i="12787" s="1"/>
  <c r="G374" i="12787"/>
  <c r="G405" i="12787"/>
  <c r="P75" i="12775"/>
  <c r="P78" i="12775" s="1"/>
  <c r="E78" i="12775"/>
  <c r="AC36" i="12774"/>
  <c r="AE34" i="12774"/>
  <c r="AE8" i="12775"/>
  <c r="Q54" i="12775" s="1"/>
  <c r="R54" i="12775" s="1"/>
  <c r="P60" i="12774"/>
  <c r="C97" i="12787"/>
  <c r="AE42" i="12774"/>
  <c r="Q88" i="12774" s="1"/>
  <c r="R88" i="12774" s="1"/>
  <c r="Q972" i="12766"/>
  <c r="R972" i="12766" s="1"/>
  <c r="Q974" i="12766"/>
  <c r="R974" i="12766" s="1"/>
  <c r="Q977" i="12766"/>
  <c r="R977" i="12766" s="1"/>
  <c r="Q981" i="12766"/>
  <c r="R981" i="12766" s="1"/>
  <c r="Q984" i="12766"/>
  <c r="R984" i="12766" s="1"/>
  <c r="Q988" i="12766"/>
  <c r="R988" i="12766" s="1"/>
  <c r="Q990" i="12766"/>
  <c r="R990" i="12766" s="1"/>
  <c r="Q993" i="12766"/>
  <c r="R993" i="12766" s="1"/>
  <c r="Q996" i="12766"/>
  <c r="R996" i="12766" s="1"/>
  <c r="Q999" i="12766"/>
  <c r="R999" i="12766" s="1"/>
  <c r="Q973" i="12766"/>
  <c r="R973" i="12766" s="1"/>
  <c r="Q976" i="12766"/>
  <c r="R976" i="12766" s="1"/>
  <c r="Q980" i="12766"/>
  <c r="R980" i="12766" s="1"/>
  <c r="Q982" i="12766"/>
  <c r="R982" i="12766" s="1"/>
  <c r="Q985" i="12766"/>
  <c r="R985" i="12766" s="1"/>
  <c r="Q989" i="12766"/>
  <c r="R989" i="12766" s="1"/>
  <c r="Q992" i="12766"/>
  <c r="R992" i="12766" s="1"/>
  <c r="Q995" i="12766"/>
  <c r="R995" i="12766" s="1"/>
  <c r="Q997" i="12766"/>
  <c r="R997" i="12766" s="1"/>
  <c r="K945" i="12787"/>
  <c r="AE41" i="12775"/>
  <c r="Q87" i="12775" s="1"/>
  <c r="R87" i="12775" s="1"/>
  <c r="H357" i="12787"/>
  <c r="H151" i="12787" s="1"/>
  <c r="H405" i="12787"/>
  <c r="H257" i="12766"/>
  <c r="K257" i="12766"/>
  <c r="K254" i="12766"/>
  <c r="H254" i="12766"/>
  <c r="K252" i="12766"/>
  <c r="K196" i="12766" s="1"/>
  <c r="K167" i="12766" s="1"/>
  <c r="H252" i="12766"/>
  <c r="D194" i="12766"/>
  <c r="D165" i="12766" s="1"/>
  <c r="M165" i="12766" s="1"/>
  <c r="K250" i="12766"/>
  <c r="K194" i="12766" s="1"/>
  <c r="K165" i="12766" s="1"/>
  <c r="H250" i="12766"/>
  <c r="H194" i="12766" s="1"/>
  <c r="H165" i="12766" s="1"/>
  <c r="D188" i="12766"/>
  <c r="D159" i="12766" s="1"/>
  <c r="M159" i="12766" s="1"/>
  <c r="H244" i="12766"/>
  <c r="H188" i="12766" s="1"/>
  <c r="K244" i="12766"/>
  <c r="K188" i="12766" s="1"/>
  <c r="H258" i="12766"/>
  <c r="H202" i="12766" s="1"/>
  <c r="D202" i="12766"/>
  <c r="D173" i="12766" s="1"/>
  <c r="M173" i="12766" s="1"/>
  <c r="K258" i="12766"/>
  <c r="K202" i="12766" s="1"/>
  <c r="D193" i="12766"/>
  <c r="D164" i="12766" s="1"/>
  <c r="M164" i="12766" s="1"/>
  <c r="H249" i="12766"/>
  <c r="H193" i="12766" s="1"/>
  <c r="H164" i="12766" s="1"/>
  <c r="K249" i="12766"/>
  <c r="K193" i="12766" s="1"/>
  <c r="K164" i="12766" s="1"/>
  <c r="H245" i="12766"/>
  <c r="H189" i="12766" s="1"/>
  <c r="H160" i="12766" s="1"/>
  <c r="D189" i="12766"/>
  <c r="D160" i="12766" s="1"/>
  <c r="M160" i="12766" s="1"/>
  <c r="K245" i="12766"/>
  <c r="K189" i="12766" s="1"/>
  <c r="K160" i="12766" s="1"/>
  <c r="K183" i="12766"/>
  <c r="K153" i="12766" s="1"/>
  <c r="S166" i="12766" s="1"/>
  <c r="U166" i="12766" s="1"/>
  <c r="D153" i="12766"/>
  <c r="D186" i="12766"/>
  <c r="R24" i="12764"/>
  <c r="N52" i="12812" s="1"/>
  <c r="Q24" i="12764"/>
  <c r="V24" i="12764"/>
  <c r="U24" i="12764"/>
  <c r="H973" i="12787"/>
  <c r="H945" i="12787"/>
  <c r="H947" i="12787" s="1"/>
  <c r="P80" i="12775"/>
  <c r="P82" i="12775" s="1"/>
  <c r="D82" i="12775"/>
  <c r="AE34" i="12775"/>
  <c r="AC36" i="12775"/>
  <c r="AE35" i="12775"/>
  <c r="Q81" i="12775" s="1"/>
  <c r="R81" i="12775" s="1"/>
  <c r="K27" i="12763"/>
  <c r="I46" i="12811" s="1"/>
  <c r="I47" i="12811" s="1"/>
  <c r="J27" i="12763"/>
  <c r="L27" i="12763" s="1"/>
  <c r="G86" i="12763"/>
  <c r="H857" i="12787"/>
  <c r="H801" i="12787" s="1"/>
  <c r="H773" i="12787" s="1"/>
  <c r="T771" i="12787" s="1"/>
  <c r="D871" i="12787"/>
  <c r="D801" i="12787"/>
  <c r="H865" i="12787"/>
  <c r="H809" i="12787" s="1"/>
  <c r="H781" i="12787" s="1"/>
  <c r="D809" i="12787"/>
  <c r="D781" i="12787" s="1"/>
  <c r="M781" i="12787" s="1"/>
  <c r="H862" i="12787"/>
  <c r="H806" i="12787" s="1"/>
  <c r="H778" i="12787" s="1"/>
  <c r="D806" i="12787"/>
  <c r="D778" i="12787" s="1"/>
  <c r="M778" i="12787" s="1"/>
  <c r="G863" i="12787"/>
  <c r="H863" i="12787"/>
  <c r="K701" i="12787"/>
  <c r="K599" i="12787" s="1"/>
  <c r="I720" i="12787"/>
  <c r="K720" i="12787" s="1"/>
  <c r="K618" i="12787" s="1"/>
  <c r="K488" i="12787"/>
  <c r="U483" i="12787" s="1"/>
  <c r="W483" i="12787" s="1"/>
  <c r="D276" i="12787"/>
  <c r="H305" i="12787"/>
  <c r="H276" i="12787" s="1"/>
  <c r="D275" i="12787"/>
  <c r="H304" i="12787"/>
  <c r="H275" i="12787" s="1"/>
  <c r="D273" i="12787"/>
  <c r="H302" i="12787"/>
  <c r="D194" i="12787"/>
  <c r="D165" i="12787" s="1"/>
  <c r="M165" i="12787" s="1"/>
  <c r="H250" i="12787"/>
  <c r="H194" i="12787" s="1"/>
  <c r="H165" i="12787" s="1"/>
  <c r="H104" i="12787"/>
  <c r="H89" i="12787"/>
  <c r="H91" i="12787" s="1"/>
  <c r="U10" i="12764"/>
  <c r="T74" i="12764"/>
  <c r="V10" i="12764"/>
  <c r="T63" i="12764"/>
  <c r="E363" i="12767"/>
  <c r="E437" i="12767"/>
  <c r="C524" i="12787"/>
  <c r="P84" i="12774"/>
  <c r="E89" i="12774"/>
  <c r="AE38" i="12774"/>
  <c r="H460" i="12767"/>
  <c r="H508" i="12767"/>
  <c r="M506" i="12766"/>
  <c r="K361" i="12766"/>
  <c r="K405" i="12766"/>
  <c r="G758" i="12766"/>
  <c r="G760" i="12766" s="1"/>
  <c r="H676" i="12766"/>
  <c r="H196" i="12766"/>
  <c r="H167" i="12766" s="1"/>
  <c r="O23" i="12766"/>
  <c r="O25" i="12766" s="1"/>
  <c r="K165" i="12787"/>
  <c r="K779" i="12766"/>
  <c r="K727" i="12766"/>
  <c r="K729" i="12766" s="1"/>
  <c r="K770" i="12766"/>
  <c r="H807" i="12766"/>
  <c r="H779" i="12766" s="1"/>
  <c r="K624" i="12766"/>
  <c r="G506" i="12766"/>
  <c r="G508" i="12766" s="1"/>
  <c r="H360" i="12766"/>
  <c r="K363" i="12766"/>
  <c r="H375" i="12766"/>
  <c r="H619" i="12766"/>
  <c r="H618" i="12766"/>
  <c r="K619" i="12766"/>
  <c r="K618" i="12766"/>
  <c r="D198" i="12766"/>
  <c r="D169" i="12766" s="1"/>
  <c r="M169" i="12766" s="1"/>
  <c r="P922" i="12787"/>
  <c r="K758" i="12787"/>
  <c r="H434" i="12787"/>
  <c r="H436" i="12787" s="1"/>
  <c r="H42" i="12787"/>
  <c r="T494" i="12766"/>
  <c r="V494" i="12766" s="1"/>
  <c r="E332" i="12767"/>
  <c r="H892" i="12766"/>
  <c r="H781" i="12766" s="1"/>
  <c r="K892" i="12766"/>
  <c r="K781" i="12766" s="1"/>
  <c r="K573" i="12766"/>
  <c r="K574" i="12766" s="1"/>
  <c r="K576" i="12766" s="1"/>
  <c r="H573" i="12766"/>
  <c r="H574" i="12766" s="1"/>
  <c r="H576" i="12766" s="1"/>
  <c r="K288" i="12766"/>
  <c r="K290" i="12766" s="1"/>
  <c r="K319" i="12766"/>
  <c r="G813" i="12766"/>
  <c r="G843" i="12766"/>
  <c r="K231" i="12766"/>
  <c r="G25" i="12766"/>
  <c r="G27" i="12766" s="1"/>
  <c r="G44" i="12766"/>
  <c r="G625" i="12787"/>
  <c r="AE29" i="12775"/>
  <c r="Q75" i="12775" s="1"/>
  <c r="C218" i="12787"/>
  <c r="K797" i="12766"/>
  <c r="K769" i="12766" s="1"/>
  <c r="K841" i="12766"/>
  <c r="H797" i="12766"/>
  <c r="H769" i="12766" s="1"/>
  <c r="H841" i="12766"/>
  <c r="D815" i="12766"/>
  <c r="D773" i="12766"/>
  <c r="H484" i="12766"/>
  <c r="M80" i="12766"/>
  <c r="P92" i="12766"/>
  <c r="O92" i="12766"/>
  <c r="D929" i="12766"/>
  <c r="M929" i="12766" s="1"/>
  <c r="H940" i="12766"/>
  <c r="H929" i="12766" s="1"/>
  <c r="K940" i="12766"/>
  <c r="K929" i="12766" s="1"/>
  <c r="H490" i="12766"/>
  <c r="S494" i="12766" s="1"/>
  <c r="H540" i="12766"/>
  <c r="R8" i="12764"/>
  <c r="U8" i="12764"/>
  <c r="Q8" i="12764"/>
  <c r="V8" i="12764"/>
  <c r="P68" i="12764"/>
  <c r="R54" i="12764"/>
  <c r="N124" i="12812" s="1"/>
  <c r="U54" i="12764"/>
  <c r="Q54" i="12764"/>
  <c r="V54" i="12764"/>
  <c r="P100" i="12764"/>
  <c r="R11" i="12764"/>
  <c r="Q11" i="12764"/>
  <c r="P63" i="12764"/>
  <c r="K356" i="12787"/>
  <c r="K150" i="12787" s="1"/>
  <c r="K405" i="12787"/>
  <c r="G832" i="12787"/>
  <c r="H832" i="12787"/>
  <c r="H794" i="12787"/>
  <c r="H766" i="12787" s="1"/>
  <c r="H841" i="12787"/>
  <c r="H594" i="12787"/>
  <c r="T583" i="12787" s="1"/>
  <c r="H727" i="12787"/>
  <c r="H729" i="12787" s="1"/>
  <c r="AE35" i="12774"/>
  <c r="Q81" i="12774" s="1"/>
  <c r="R81" i="12774" s="1"/>
  <c r="P80" i="12774"/>
  <c r="P82" i="12774" s="1"/>
  <c r="D82" i="12774"/>
  <c r="P70" i="12774"/>
  <c r="D78" i="12774"/>
  <c r="K259" i="12787"/>
  <c r="K184" i="12787"/>
  <c r="K154" i="12787" s="1"/>
  <c r="K709" i="12767"/>
  <c r="P52" i="12775"/>
  <c r="C216" i="12787"/>
  <c r="P52" i="12774"/>
  <c r="P86" i="12774"/>
  <c r="D89" i="12774"/>
  <c r="AE40" i="12774"/>
  <c r="Q86" i="12774" s="1"/>
  <c r="AE39" i="12774"/>
  <c r="Q85" i="12774" s="1"/>
  <c r="R85" i="12774" s="1"/>
  <c r="O1004" i="12766"/>
  <c r="P1004" i="12766"/>
  <c r="G781" i="12766"/>
  <c r="G896" i="12766"/>
  <c r="G898" i="12766" s="1"/>
  <c r="G625" i="12766"/>
  <c r="G627" i="12766" s="1"/>
  <c r="G678" i="12766"/>
  <c r="Q905" i="12766"/>
  <c r="R905" i="12766" s="1"/>
  <c r="Q907" i="12766"/>
  <c r="R907" i="12766" s="1"/>
  <c r="Q904" i="12766"/>
  <c r="R904" i="12766" s="1"/>
  <c r="Q906" i="12766"/>
  <c r="R906" i="12766" s="1"/>
  <c r="AE10" i="12775"/>
  <c r="Q56" i="12775" s="1"/>
  <c r="R56" i="12775" s="1"/>
  <c r="C174" i="12766"/>
  <c r="C176" i="12766" s="1"/>
  <c r="C1006" i="12766" s="1"/>
  <c r="C1009" i="12766" s="1"/>
  <c r="C1016" i="12766" s="1"/>
  <c r="C205" i="12766"/>
  <c r="K255" i="12766"/>
  <c r="K199" i="12766" s="1"/>
  <c r="K170" i="12766" s="1"/>
  <c r="H255" i="12766"/>
  <c r="K253" i="12766"/>
  <c r="K197" i="12766" s="1"/>
  <c r="K168" i="12766" s="1"/>
  <c r="H253" i="12766"/>
  <c r="H197" i="12766" s="1"/>
  <c r="H168" i="12766" s="1"/>
  <c r="K251" i="12766"/>
  <c r="K195" i="12766" s="1"/>
  <c r="K166" i="12766" s="1"/>
  <c r="H251" i="12766"/>
  <c r="H195" i="12766" s="1"/>
  <c r="H166" i="12766" s="1"/>
  <c r="H247" i="12766"/>
  <c r="H191" i="12766" s="1"/>
  <c r="H162" i="12766" s="1"/>
  <c r="D191" i="12766"/>
  <c r="D162" i="12766" s="1"/>
  <c r="M162" i="12766" s="1"/>
  <c r="K247" i="12766"/>
  <c r="K191" i="12766" s="1"/>
  <c r="K162" i="12766" s="1"/>
  <c r="D187" i="12766"/>
  <c r="D158" i="12766" s="1"/>
  <c r="M158" i="12766" s="1"/>
  <c r="H243" i="12766"/>
  <c r="H187" i="12766" s="1"/>
  <c r="H158" i="12766" s="1"/>
  <c r="K243" i="12766"/>
  <c r="K187" i="12766" s="1"/>
  <c r="D200" i="12766"/>
  <c r="D171" i="12766" s="1"/>
  <c r="M171" i="12766" s="1"/>
  <c r="H256" i="12766"/>
  <c r="H200" i="12766" s="1"/>
  <c r="H171" i="12766" s="1"/>
  <c r="D190" i="12766"/>
  <c r="D161" i="12766" s="1"/>
  <c r="M161" i="12766" s="1"/>
  <c r="H246" i="12766"/>
  <c r="H190" i="12766" s="1"/>
  <c r="K246" i="12766"/>
  <c r="K190" i="12766" s="1"/>
  <c r="D185" i="12766"/>
  <c r="D155" i="12766" s="1"/>
  <c r="M155" i="12766" s="1"/>
  <c r="H241" i="12766"/>
  <c r="H185" i="12766" s="1"/>
  <c r="H155" i="12766" s="1"/>
  <c r="R167" i="12766" s="1"/>
  <c r="K241" i="12766"/>
  <c r="K185" i="12766" s="1"/>
  <c r="K155" i="12766" s="1"/>
  <c r="S167" i="12766" s="1"/>
  <c r="U167" i="12766" s="1"/>
  <c r="H183" i="12766"/>
  <c r="H153" i="12766" s="1"/>
  <c r="R166" i="12766" s="1"/>
  <c r="G931" i="12766"/>
  <c r="G933" i="12766" s="1"/>
  <c r="G944" i="12766"/>
  <c r="K599" i="12766"/>
  <c r="K676" i="12766"/>
  <c r="G407" i="12766"/>
  <c r="G376" i="12766"/>
  <c r="G378" i="12766" s="1"/>
  <c r="R37" i="12764"/>
  <c r="N80" i="12812" s="1"/>
  <c r="U37" i="12764"/>
  <c r="V37" i="12764"/>
  <c r="Q37" i="12764"/>
  <c r="R108" i="12764"/>
  <c r="Q108" i="12764"/>
  <c r="U108" i="12764"/>
  <c r="V108" i="12764"/>
  <c r="K813" i="12787"/>
  <c r="D89" i="12775"/>
  <c r="P84" i="12775"/>
  <c r="P89" i="12775" s="1"/>
  <c r="AC43" i="12775"/>
  <c r="AE38" i="12775"/>
  <c r="C759" i="12787"/>
  <c r="C760" i="12787" s="1"/>
  <c r="H866" i="12787"/>
  <c r="H810" i="12787" s="1"/>
  <c r="H782" i="12787" s="1"/>
  <c r="D810" i="12787"/>
  <c r="D782" i="12787" s="1"/>
  <c r="M782" i="12787" s="1"/>
  <c r="H864" i="12787"/>
  <c r="H808" i="12787" s="1"/>
  <c r="H780" i="12787" s="1"/>
  <c r="D808" i="12787"/>
  <c r="D780" i="12787" s="1"/>
  <c r="M780" i="12787" s="1"/>
  <c r="D799" i="12787"/>
  <c r="D771" i="12787" s="1"/>
  <c r="M771" i="12787" s="1"/>
  <c r="H855" i="12787"/>
  <c r="H799" i="12787" s="1"/>
  <c r="H771" i="12787" s="1"/>
  <c r="T770" i="12787" s="1"/>
  <c r="H858" i="12787"/>
  <c r="H802" i="12787" s="1"/>
  <c r="H774" i="12787" s="1"/>
  <c r="D802" i="12787"/>
  <c r="D774" i="12787" s="1"/>
  <c r="M774" i="12787" s="1"/>
  <c r="G860" i="12787"/>
  <c r="G869" i="12787" s="1"/>
  <c r="H860" i="12787"/>
  <c r="D274" i="12787"/>
  <c r="H303" i="12787"/>
  <c r="H274" i="12787" s="1"/>
  <c r="D193" i="12787"/>
  <c r="D164" i="12787" s="1"/>
  <c r="M164" i="12787" s="1"/>
  <c r="H249" i="12787"/>
  <c r="H193" i="12787" s="1"/>
  <c r="H164" i="12787" s="1"/>
  <c r="AE9" i="12775"/>
  <c r="Q55" i="12775" s="1"/>
  <c r="R55" i="12775" s="1"/>
  <c r="AE7" i="12775"/>
  <c r="Q53" i="12775" s="1"/>
  <c r="R53" i="12775" s="1"/>
  <c r="AE41" i="12774"/>
  <c r="Q87" i="12774" s="1"/>
  <c r="R87" i="12774" s="1"/>
  <c r="H741" i="12767"/>
  <c r="H808" i="12767"/>
  <c r="E460" i="12767"/>
  <c r="E181" i="12767" s="1"/>
  <c r="E508" i="12767"/>
  <c r="E752" i="12767"/>
  <c r="C123" i="12787"/>
  <c r="C8" i="12785"/>
  <c r="F11" i="12785"/>
  <c r="K201" i="12766"/>
  <c r="K172" i="12766" s="1"/>
  <c r="K896" i="12766"/>
  <c r="K898" i="12766" s="1"/>
  <c r="H774" i="12766"/>
  <c r="H361" i="12766"/>
  <c r="M625" i="12766"/>
  <c r="H201" i="12766"/>
  <c r="H172" i="12766" s="1"/>
  <c r="M25" i="12766"/>
  <c r="H798" i="12787"/>
  <c r="H770" i="12787" s="1"/>
  <c r="H676" i="12787"/>
  <c r="P64" i="12774"/>
  <c r="E68" i="12774"/>
  <c r="I68" i="12774"/>
  <c r="M68" i="12774"/>
  <c r="P54" i="12774"/>
  <c r="K198" i="12766"/>
  <c r="K169" i="12766" s="1"/>
  <c r="G172" i="12787"/>
  <c r="H770" i="12766"/>
  <c r="H624" i="12766"/>
  <c r="K360" i="12766"/>
  <c r="H363" i="12766"/>
  <c r="K375" i="12766"/>
  <c r="H317" i="12766"/>
  <c r="G619" i="12766"/>
  <c r="G618" i="12766"/>
  <c r="K600" i="12766"/>
  <c r="H505" i="12766"/>
  <c r="H199" i="12766"/>
  <c r="H170" i="12766" s="1"/>
  <c r="H198" i="12766"/>
  <c r="H169" i="12766" s="1"/>
  <c r="H405" i="12766"/>
  <c r="H923" i="12787"/>
  <c r="H925" i="12787" s="1"/>
  <c r="K434" i="12787"/>
  <c r="M758" i="12787"/>
  <c r="K500" i="12787"/>
  <c r="T150" i="12787"/>
  <c r="F89" i="12774"/>
  <c r="H231" i="12766"/>
  <c r="K540" i="12766"/>
  <c r="E808" i="12767"/>
  <c r="U11" i="12764" l="1"/>
  <c r="X25" i="12764"/>
  <c r="E140" i="12811"/>
  <c r="E190" i="12767"/>
  <c r="Q74" i="12764"/>
  <c r="V110" i="12764"/>
  <c r="Q110" i="12764"/>
  <c r="R110" i="12764"/>
  <c r="U35" i="12764"/>
  <c r="X52" i="12764"/>
  <c r="B1016" i="12767"/>
  <c r="B1017" i="12767" s="1"/>
  <c r="AB40" i="12823"/>
  <c r="V40" i="12764"/>
  <c r="X40" i="12823"/>
  <c r="AD40" i="12823" s="1"/>
  <c r="Q35" i="12764"/>
  <c r="P104" i="12764"/>
  <c r="V104" i="12764" s="1"/>
  <c r="AA40" i="12823"/>
  <c r="Q52" i="12764"/>
  <c r="W40" i="12823"/>
  <c r="U40" i="12764"/>
  <c r="AA74" i="12823"/>
  <c r="V11" i="12764"/>
  <c r="Q40" i="12764"/>
  <c r="P64" i="12764"/>
  <c r="U64" i="12764" s="1"/>
  <c r="K161" i="12766"/>
  <c r="K1141" i="12767"/>
  <c r="P29" i="12783" s="1"/>
  <c r="H869" i="12787"/>
  <c r="H871" i="12787" s="1"/>
  <c r="K727" i="12787"/>
  <c r="I37" i="12767"/>
  <c r="K37" i="12767" s="1"/>
  <c r="I1194" i="12767"/>
  <c r="P1197" i="12767" s="1"/>
  <c r="K1193" i="12767"/>
  <c r="P22" i="12783" s="1"/>
  <c r="I55" i="12767"/>
  <c r="K55" i="12767" s="1"/>
  <c r="H1071" i="12767"/>
  <c r="H22" i="12811"/>
  <c r="H74" i="12811"/>
  <c r="H77" i="12811"/>
  <c r="H82" i="12811"/>
  <c r="L82" i="12811" s="1"/>
  <c r="K72" i="12812"/>
  <c r="L72" i="12812" s="1"/>
  <c r="E85" i="12812"/>
  <c r="K73" i="12812"/>
  <c r="O73" i="12811" s="1"/>
  <c r="H108" i="12767"/>
  <c r="K108" i="12767" s="1"/>
  <c r="H123" i="12767"/>
  <c r="K123" i="12767" s="1"/>
  <c r="K43" i="12812"/>
  <c r="L43" i="12812" s="1"/>
  <c r="E50" i="12812"/>
  <c r="H85" i="12811"/>
  <c r="K79" i="12812"/>
  <c r="O79" i="12811" s="1"/>
  <c r="E77" i="12812"/>
  <c r="K71" i="12812"/>
  <c r="L71" i="12812" s="1"/>
  <c r="H1196" i="12767"/>
  <c r="K1196" i="12767" s="1"/>
  <c r="K21" i="12812"/>
  <c r="K22" i="12812" s="1"/>
  <c r="H138" i="12767"/>
  <c r="K138" i="12767" s="1"/>
  <c r="K42" i="12812"/>
  <c r="O42" i="12811" s="1"/>
  <c r="H299" i="12767"/>
  <c r="K299" i="12767" s="1"/>
  <c r="K1117" i="12767"/>
  <c r="P27" i="12783"/>
  <c r="K1233" i="12767"/>
  <c r="P30" i="12783"/>
  <c r="K1130" i="12767"/>
  <c r="P28" i="12783"/>
  <c r="K1181" i="12767"/>
  <c r="K1182" i="12767" s="1"/>
  <c r="K1168" i="12767"/>
  <c r="K1170" i="12767" s="1"/>
  <c r="I1169" i="12767"/>
  <c r="V35" i="12764"/>
  <c r="V52" i="12764"/>
  <c r="U52" i="12764"/>
  <c r="B1053" i="12767"/>
  <c r="B959" i="12767"/>
  <c r="K61" i="12766"/>
  <c r="K25" i="12766"/>
  <c r="K27" i="12766" s="1"/>
  <c r="AA110" i="12823"/>
  <c r="AB110" i="12823"/>
  <c r="X110" i="12823"/>
  <c r="W110" i="12823"/>
  <c r="G371" i="12787"/>
  <c r="G169" i="12787" s="1"/>
  <c r="G434" i="12787"/>
  <c r="AB35" i="12823"/>
  <c r="W35" i="12823"/>
  <c r="X35" i="12823"/>
  <c r="AD35" i="12823" s="1"/>
  <c r="AA35" i="12823"/>
  <c r="X63" i="12823"/>
  <c r="AA63" i="12823"/>
  <c r="AB63" i="12823"/>
  <c r="V65" i="12823"/>
  <c r="W63" i="12823"/>
  <c r="V97" i="12823"/>
  <c r="AB38" i="12823"/>
  <c r="AA38" i="12823"/>
  <c r="X38" i="12823"/>
  <c r="AD38" i="12823" s="1"/>
  <c r="W38" i="12823"/>
  <c r="H259" i="12766"/>
  <c r="H261" i="12766" s="1"/>
  <c r="P53" i="12764"/>
  <c r="P56" i="12764" s="1"/>
  <c r="V56" i="12764" s="1"/>
  <c r="V53" i="12823"/>
  <c r="V56" i="12823" s="1"/>
  <c r="P23" i="12764"/>
  <c r="V23" i="12823"/>
  <c r="X74" i="12823"/>
  <c r="W74" i="12823"/>
  <c r="AA64" i="12823"/>
  <c r="X64" i="12823"/>
  <c r="AB64" i="12823"/>
  <c r="W64" i="12823"/>
  <c r="AB108" i="12823"/>
  <c r="X108" i="12823"/>
  <c r="AA108" i="12823"/>
  <c r="W108" i="12823"/>
  <c r="V104" i="12823"/>
  <c r="AA52" i="12823"/>
  <c r="AB52" i="12823"/>
  <c r="X52" i="12823"/>
  <c r="AD52" i="12823" s="1"/>
  <c r="W52" i="12823"/>
  <c r="AA100" i="12823"/>
  <c r="X100" i="12823"/>
  <c r="AB100" i="12823"/>
  <c r="W100" i="12823"/>
  <c r="V93" i="12823"/>
  <c r="AA36" i="12823"/>
  <c r="AB36" i="12823"/>
  <c r="X36" i="12823"/>
  <c r="AD36" i="12823" s="1"/>
  <c r="W36" i="12823"/>
  <c r="I54" i="12811"/>
  <c r="I127" i="12811"/>
  <c r="I137" i="12811" s="1"/>
  <c r="L49" i="12811"/>
  <c r="X11" i="12764"/>
  <c r="N17" i="12812"/>
  <c r="O17" i="12812" s="1"/>
  <c r="I74" i="12811"/>
  <c r="I97" i="12811" s="1"/>
  <c r="L46" i="12811"/>
  <c r="L52" i="12811"/>
  <c r="M52" i="12811" s="1"/>
  <c r="AE16" i="12774"/>
  <c r="Q62" i="12774" s="1"/>
  <c r="R62" i="12774" s="1"/>
  <c r="K14" i="12812"/>
  <c r="O14" i="12811" s="1"/>
  <c r="N14" i="12812"/>
  <c r="X68" i="12823"/>
  <c r="W68" i="12823"/>
  <c r="AB68" i="12823"/>
  <c r="AA68" i="12823"/>
  <c r="H509" i="12767"/>
  <c r="K509" i="12767" s="1"/>
  <c r="H544" i="12767"/>
  <c r="K544" i="12767" s="1"/>
  <c r="H403" i="12767"/>
  <c r="K403" i="12767" s="1"/>
  <c r="H76" i="12767"/>
  <c r="K76" i="12767" s="1"/>
  <c r="R55" i="12774"/>
  <c r="E16" i="12812"/>
  <c r="H884" i="12767"/>
  <c r="K884" i="12767" s="1"/>
  <c r="AE18" i="12774"/>
  <c r="Q64" i="12774" s="1"/>
  <c r="R64" i="12774" s="1"/>
  <c r="AE15" i="12774"/>
  <c r="Q61" i="12774" s="1"/>
  <c r="R61" i="12774" s="1"/>
  <c r="AE8" i="12774"/>
  <c r="Q54" i="12774" s="1"/>
  <c r="R54" i="12774" s="1"/>
  <c r="AE10" i="12774"/>
  <c r="Q56" i="12774" s="1"/>
  <c r="R56" i="12774" s="1"/>
  <c r="AE21" i="12774"/>
  <c r="Q67" i="12774" s="1"/>
  <c r="R67" i="12774" s="1"/>
  <c r="E44" i="12812"/>
  <c r="AE7" i="12774"/>
  <c r="Q53" i="12774" s="1"/>
  <c r="R53" i="12774" s="1"/>
  <c r="AE20" i="12774"/>
  <c r="Q66" i="12774" s="1"/>
  <c r="R66" i="12774" s="1"/>
  <c r="M95" i="12764"/>
  <c r="O95" i="12764" s="1"/>
  <c r="AC22" i="12775"/>
  <c r="AE24" i="12774"/>
  <c r="Q70" i="12774" s="1"/>
  <c r="R70" i="12774" s="1"/>
  <c r="AE27" i="12774"/>
  <c r="Q73" i="12774" s="1"/>
  <c r="R73" i="12774" s="1"/>
  <c r="H333" i="12767"/>
  <c r="K333" i="12767" s="1"/>
  <c r="AE29" i="12774"/>
  <c r="Q75" i="12774" s="1"/>
  <c r="R75" i="12774" s="1"/>
  <c r="AE28" i="12774"/>
  <c r="Q74" i="12774" s="1"/>
  <c r="R74" i="12774" s="1"/>
  <c r="H702" i="12767"/>
  <c r="K702" i="12767" s="1"/>
  <c r="E74" i="12812"/>
  <c r="AE31" i="12774"/>
  <c r="Q77" i="12774" s="1"/>
  <c r="R77" i="12774" s="1"/>
  <c r="AE26" i="12774"/>
  <c r="Q72" i="12774" s="1"/>
  <c r="R72" i="12774" s="1"/>
  <c r="R45" i="12774"/>
  <c r="X26" i="12764"/>
  <c r="X10" i="12764"/>
  <c r="F16" i="12812"/>
  <c r="AE25" i="12774"/>
  <c r="Q71" i="12774" s="1"/>
  <c r="R71" i="12774" s="1"/>
  <c r="H438" i="12767"/>
  <c r="K438" i="12767" s="1"/>
  <c r="V45" i="12823"/>
  <c r="P45" i="12764"/>
  <c r="P20" i="12764"/>
  <c r="U20" i="12764" s="1"/>
  <c r="V20" i="12823"/>
  <c r="X45" i="12774"/>
  <c r="I44" i="12811"/>
  <c r="I68" i="12811" s="1"/>
  <c r="P13" i="12764"/>
  <c r="Q13" i="12764" s="1"/>
  <c r="V13" i="12823"/>
  <c r="AB45" i="12774"/>
  <c r="T45" i="12774"/>
  <c r="L125" i="12811"/>
  <c r="M125" i="12811" s="1"/>
  <c r="K14" i="12763"/>
  <c r="I13" i="12811"/>
  <c r="L41" i="12811"/>
  <c r="M41" i="12811" s="1"/>
  <c r="L125" i="12812"/>
  <c r="AF42" i="12774" s="1"/>
  <c r="B1034" i="12767"/>
  <c r="B1035" i="12767" s="1"/>
  <c r="B1072" i="12767"/>
  <c r="O53" i="12811"/>
  <c r="L122" i="12812"/>
  <c r="O122" i="12812" s="1"/>
  <c r="B921" i="12767"/>
  <c r="B977" i="12767"/>
  <c r="B978" i="12767" s="1"/>
  <c r="L50" i="12811"/>
  <c r="M49" i="12811"/>
  <c r="M44" i="12811"/>
  <c r="L47" i="12811"/>
  <c r="M46" i="12811"/>
  <c r="H68" i="12811"/>
  <c r="L54" i="12811"/>
  <c r="AG17" i="12774"/>
  <c r="E82" i="12812"/>
  <c r="K80" i="12812"/>
  <c r="L80" i="12812" s="1"/>
  <c r="H1034" i="12767"/>
  <c r="K1034" i="12767" s="1"/>
  <c r="AC32" i="12774"/>
  <c r="H58" i="12767"/>
  <c r="E54" i="12812"/>
  <c r="H664" i="12767"/>
  <c r="K664" i="12767" s="1"/>
  <c r="E47" i="12812"/>
  <c r="H1016" i="12767"/>
  <c r="H1052" i="12767"/>
  <c r="K1052" i="12767" s="1"/>
  <c r="K49" i="12812"/>
  <c r="L17" i="12812"/>
  <c r="H40" i="12767"/>
  <c r="E22" i="12812"/>
  <c r="AE11" i="12774"/>
  <c r="Q57" i="12774" s="1"/>
  <c r="E18" i="12812"/>
  <c r="Y45" i="12774"/>
  <c r="Z45" i="12774"/>
  <c r="M121" i="12811"/>
  <c r="L103" i="12811"/>
  <c r="L117" i="12811" s="1"/>
  <c r="M101" i="12811"/>
  <c r="M103" i="12811" s="1"/>
  <c r="L84" i="12811"/>
  <c r="B76" i="12767"/>
  <c r="B77" i="12767" s="1"/>
  <c r="AF31" i="12775" s="1"/>
  <c r="AG31" i="12775" s="1"/>
  <c r="L81" i="12811"/>
  <c r="M81" i="12811" s="1"/>
  <c r="B1090" i="12767"/>
  <c r="K977" i="12767"/>
  <c r="H940" i="12767"/>
  <c r="K940" i="12767" s="1"/>
  <c r="L79" i="12811"/>
  <c r="M79" i="12811" s="1"/>
  <c r="B884" i="12767"/>
  <c r="B885" i="12767" s="1"/>
  <c r="L76" i="12811"/>
  <c r="B702" i="12767"/>
  <c r="B703" i="12767" s="1"/>
  <c r="AF27" i="12775" s="1"/>
  <c r="AG27" i="12775" s="1"/>
  <c r="L72" i="12811"/>
  <c r="M72" i="12811" s="1"/>
  <c r="B438" i="12767"/>
  <c r="B439" i="12767" s="1"/>
  <c r="AF25" i="12775" s="1"/>
  <c r="AG25" i="12775" s="1"/>
  <c r="L73" i="12811"/>
  <c r="M73" i="12811" s="1"/>
  <c r="B544" i="12767"/>
  <c r="B545" i="12767" s="1"/>
  <c r="AF26" i="12775" s="1"/>
  <c r="AG26" i="12775" s="1"/>
  <c r="L71" i="12811"/>
  <c r="M71" i="12811" s="1"/>
  <c r="B333" i="12767"/>
  <c r="B334" i="12767" s="1"/>
  <c r="AF24" i="12775" s="1"/>
  <c r="L21" i="12811"/>
  <c r="B40" i="12767"/>
  <c r="B22" i="12767" s="1"/>
  <c r="B23" i="12767" s="1"/>
  <c r="B108" i="12767"/>
  <c r="AE11" i="12775"/>
  <c r="Q57" i="12775" s="1"/>
  <c r="H19" i="12811"/>
  <c r="F77" i="12812"/>
  <c r="K76" i="12812"/>
  <c r="F54" i="12812"/>
  <c r="K52" i="12812"/>
  <c r="F85" i="12812"/>
  <c r="F97" i="12812" s="1"/>
  <c r="K84" i="12812"/>
  <c r="L121" i="12812"/>
  <c r="O121" i="12811"/>
  <c r="X54" i="12764"/>
  <c r="K124" i="12812"/>
  <c r="AF21" i="12774"/>
  <c r="O53" i="12812"/>
  <c r="G80" i="12763"/>
  <c r="U45" i="12774"/>
  <c r="G91" i="12774"/>
  <c r="AA45" i="12774"/>
  <c r="N91" i="12774"/>
  <c r="L91" i="12774"/>
  <c r="X81" i="12764"/>
  <c r="V45" i="12774"/>
  <c r="R75" i="12775"/>
  <c r="J91" i="12774"/>
  <c r="Q45" i="12774"/>
  <c r="S45" i="12774"/>
  <c r="AE32" i="12775"/>
  <c r="AC22" i="12774"/>
  <c r="P78" i="12774"/>
  <c r="H91" i="12774"/>
  <c r="O91" i="12774"/>
  <c r="W45" i="12774"/>
  <c r="E91" i="12775"/>
  <c r="P57" i="12774"/>
  <c r="P58" i="12774" s="1"/>
  <c r="AE63" i="12774"/>
  <c r="AG63" i="12774" s="1"/>
  <c r="P57" i="12775"/>
  <c r="P58" i="12775" s="1"/>
  <c r="AC12" i="12775"/>
  <c r="AC45" i="12775" s="1"/>
  <c r="AC12" i="12774"/>
  <c r="H83" i="12767"/>
  <c r="E861" i="12767"/>
  <c r="E755" i="12767" s="1"/>
  <c r="H920" i="12767"/>
  <c r="H901" i="12767" s="1"/>
  <c r="X106" i="12764"/>
  <c r="G58" i="12763"/>
  <c r="K58" i="12763" s="1"/>
  <c r="K91" i="12774"/>
  <c r="B960" i="12767"/>
  <c r="B1249" i="12767"/>
  <c r="R34" i="12764"/>
  <c r="N73" i="12812" s="1"/>
  <c r="Q34" i="12764"/>
  <c r="U34" i="12764"/>
  <c r="V34" i="12764"/>
  <c r="X8" i="12764"/>
  <c r="X24" i="12764"/>
  <c r="X40" i="12764"/>
  <c r="D68" i="12774"/>
  <c r="D91" i="12774" s="1"/>
  <c r="E78" i="12774"/>
  <c r="E91" i="12774" s="1"/>
  <c r="Q63" i="12775"/>
  <c r="R63" i="12775" s="1"/>
  <c r="AG17" i="12775"/>
  <c r="AE19" i="12774"/>
  <c r="Q65" i="12774" s="1"/>
  <c r="R65" i="12774" s="1"/>
  <c r="X35" i="12764"/>
  <c r="X37" i="12764"/>
  <c r="K28" i="12763"/>
  <c r="K41" i="12763"/>
  <c r="K56" i="12763"/>
  <c r="H1142" i="12767"/>
  <c r="E1051" i="12767"/>
  <c r="X110" i="12764"/>
  <c r="N86" i="12764"/>
  <c r="X86" i="12764" s="1"/>
  <c r="M86" i="12764"/>
  <c r="O86" i="12764" s="1"/>
  <c r="Q71" i="12764"/>
  <c r="M71" i="12764"/>
  <c r="O71" i="12764" s="1"/>
  <c r="N71" i="12764"/>
  <c r="X71" i="12764" s="1"/>
  <c r="N91" i="12764"/>
  <c r="M91" i="12764"/>
  <c r="O91" i="12764" s="1"/>
  <c r="M64" i="12764"/>
  <c r="O64" i="12764" s="1"/>
  <c r="N64" i="12764"/>
  <c r="X64" i="12764" s="1"/>
  <c r="X65" i="12764" s="1"/>
  <c r="I65" i="12764"/>
  <c r="K63" i="12763"/>
  <c r="J63" i="12763"/>
  <c r="L63" i="12763" s="1"/>
  <c r="J68" i="12763"/>
  <c r="L68" i="12763" s="1"/>
  <c r="K68" i="12763"/>
  <c r="J90" i="12763"/>
  <c r="L90" i="12763" s="1"/>
  <c r="K90" i="12763"/>
  <c r="C110" i="12763"/>
  <c r="C112" i="12763" s="1"/>
  <c r="N68" i="12764"/>
  <c r="X68" i="12764" s="1"/>
  <c r="M68" i="12764"/>
  <c r="O68" i="12764" s="1"/>
  <c r="I69" i="12764"/>
  <c r="M67" i="12764"/>
  <c r="O67" i="12764" s="1"/>
  <c r="N67" i="12764"/>
  <c r="X67" i="12764" s="1"/>
  <c r="X69" i="12764" s="1"/>
  <c r="K108" i="12763"/>
  <c r="J108" i="12763"/>
  <c r="L108" i="12763" s="1"/>
  <c r="K102" i="12763"/>
  <c r="J102" i="12763"/>
  <c r="L102" i="12763" s="1"/>
  <c r="N74" i="12764"/>
  <c r="X74" i="12764" s="1"/>
  <c r="X75" i="12764" s="1"/>
  <c r="I75" i="12764"/>
  <c r="M74" i="12764"/>
  <c r="O74" i="12764" s="1"/>
  <c r="N14" i="12764"/>
  <c r="N58" i="12764" s="1"/>
  <c r="M14" i="12764"/>
  <c r="O14" i="12764" s="1"/>
  <c r="M91" i="12774"/>
  <c r="R60" i="12775"/>
  <c r="K76" i="12763"/>
  <c r="J76" i="12763"/>
  <c r="L76" i="12763" s="1"/>
  <c r="K67" i="12763"/>
  <c r="J67" i="12763"/>
  <c r="L67" i="12763" s="1"/>
  <c r="G70" i="12763"/>
  <c r="K106" i="12763"/>
  <c r="J106" i="12763"/>
  <c r="L106" i="12763" s="1"/>
  <c r="N84" i="12764"/>
  <c r="M84" i="12764"/>
  <c r="O84" i="12764" s="1"/>
  <c r="N98" i="12764"/>
  <c r="M98" i="12764"/>
  <c r="O98" i="12764" s="1"/>
  <c r="J95" i="12763"/>
  <c r="L95" i="12763" s="1"/>
  <c r="K95" i="12763"/>
  <c r="K77" i="12763"/>
  <c r="J77" i="12763"/>
  <c r="L77" i="12763" s="1"/>
  <c r="K82" i="12763"/>
  <c r="J82" i="12763"/>
  <c r="L82" i="12763" s="1"/>
  <c r="G83" i="12763"/>
  <c r="K98" i="12763"/>
  <c r="J98" i="12763"/>
  <c r="L98" i="12763" s="1"/>
  <c r="H747" i="12767"/>
  <c r="H861" i="12767"/>
  <c r="V46" i="12823" s="1"/>
  <c r="E40" i="12767"/>
  <c r="G43" i="12787"/>
  <c r="D153" i="12787"/>
  <c r="D186" i="12787"/>
  <c r="G96" i="12763"/>
  <c r="J94" i="12763"/>
  <c r="L94" i="12763" s="1"/>
  <c r="K94" i="12763"/>
  <c r="K64" i="12763"/>
  <c r="G65" i="12763"/>
  <c r="E1196" i="12767"/>
  <c r="G994" i="12787"/>
  <c r="K103" i="12763"/>
  <c r="G104" i="12763"/>
  <c r="J103" i="12763"/>
  <c r="L103" i="12763" s="1"/>
  <c r="N106" i="12764"/>
  <c r="M106" i="12764"/>
  <c r="O106" i="12764" s="1"/>
  <c r="M58" i="12764"/>
  <c r="O58" i="12764" s="1"/>
  <c r="AE30" i="12774"/>
  <c r="Q76" i="12774" s="1"/>
  <c r="R76" i="12774" s="1"/>
  <c r="M81" i="12764"/>
  <c r="O81" i="12764" s="1"/>
  <c r="N81" i="12764"/>
  <c r="K92" i="12763"/>
  <c r="J92" i="12763"/>
  <c r="L92" i="12763" s="1"/>
  <c r="M755" i="12767"/>
  <c r="C983" i="12787"/>
  <c r="C984" i="12787" s="1"/>
  <c r="C972" i="12787"/>
  <c r="C1031" i="12787"/>
  <c r="C1032" i="12787" s="1"/>
  <c r="C406" i="12787"/>
  <c r="C318" i="12787"/>
  <c r="C232" i="12787"/>
  <c r="C204" i="12787" s="1"/>
  <c r="C994" i="12787"/>
  <c r="C995" i="12787" s="1"/>
  <c r="C842" i="12787"/>
  <c r="C541" i="12787"/>
  <c r="C507" i="12787" s="1"/>
  <c r="Q85" i="12775"/>
  <c r="R85" i="12775" s="1"/>
  <c r="Q67" i="12775"/>
  <c r="R67" i="12775" s="1"/>
  <c r="Q65" i="12775"/>
  <c r="R65" i="12775" s="1"/>
  <c r="R86" i="12774"/>
  <c r="K506" i="12766"/>
  <c r="K508" i="12766" s="1"/>
  <c r="K542" i="12766"/>
  <c r="H376" i="12766"/>
  <c r="H378" i="12766" s="1"/>
  <c r="H407" i="12766"/>
  <c r="E130" i="12767"/>
  <c r="H182" i="12767"/>
  <c r="K625" i="12766"/>
  <c r="K627" i="12766" s="1"/>
  <c r="K678" i="12766"/>
  <c r="E1171" i="12767"/>
  <c r="G972" i="12787"/>
  <c r="E1183" i="12767"/>
  <c r="H1184" i="12767" s="1"/>
  <c r="G983" i="12787"/>
  <c r="B298" i="12767"/>
  <c r="E277" i="12767"/>
  <c r="E403" i="12767"/>
  <c r="G318" i="12787"/>
  <c r="E509" i="12767"/>
  <c r="E510" i="12767" s="1"/>
  <c r="G406" i="12787"/>
  <c r="E333" i="12767"/>
  <c r="E334" i="12767" s="1"/>
  <c r="G260" i="12787"/>
  <c r="E862" i="12767"/>
  <c r="G728" i="12787"/>
  <c r="R63" i="12764"/>
  <c r="Q63" i="12764"/>
  <c r="Q68" i="12764"/>
  <c r="V68" i="12764"/>
  <c r="R68" i="12764"/>
  <c r="U68" i="12764"/>
  <c r="X480" i="12766"/>
  <c r="S493" i="12766"/>
  <c r="S775" i="12766"/>
  <c r="U775" i="12766" s="1"/>
  <c r="P766" i="12766"/>
  <c r="C190" i="12787"/>
  <c r="C161" i="12787" s="1"/>
  <c r="G218" i="12787"/>
  <c r="G190" i="12787" s="1"/>
  <c r="G161" i="12787" s="1"/>
  <c r="K218" i="12787"/>
  <c r="K190" i="12787" s="1"/>
  <c r="K161" i="12787" s="1"/>
  <c r="K233" i="12766"/>
  <c r="H25" i="12787"/>
  <c r="H27" i="12787" s="1"/>
  <c r="H44" i="12787"/>
  <c r="P16" i="12766"/>
  <c r="P18" i="12766"/>
  <c r="P21" i="12766"/>
  <c r="P17" i="12766"/>
  <c r="P20" i="12766"/>
  <c r="P22" i="12766"/>
  <c r="H625" i="12766"/>
  <c r="H627" i="12766" s="1"/>
  <c r="H678" i="12766"/>
  <c r="K407" i="12766"/>
  <c r="K376" i="12766"/>
  <c r="K378" i="12766" s="1"/>
  <c r="E1131" i="12767"/>
  <c r="H1132" i="12767" s="1"/>
  <c r="G935" i="12787"/>
  <c r="H644" i="12767"/>
  <c r="B603" i="12767"/>
  <c r="E643" i="12767"/>
  <c r="K86" i="12763"/>
  <c r="J86" i="12763"/>
  <c r="L86" i="12763" s="1"/>
  <c r="C728" i="12787"/>
  <c r="C729" i="12787" s="1"/>
  <c r="AE36" i="12775"/>
  <c r="Q82" i="12775" s="1"/>
  <c r="R82" i="12775" s="1"/>
  <c r="Q80" i="12775"/>
  <c r="R80" i="12775" s="1"/>
  <c r="D1020" i="12766"/>
  <c r="D157" i="12766"/>
  <c r="D1019" i="12766" s="1"/>
  <c r="C924" i="12787"/>
  <c r="C925" i="12787" s="1"/>
  <c r="E1234" i="12767"/>
  <c r="H1235" i="12767" s="1"/>
  <c r="G1031" i="12787"/>
  <c r="C84" i="12787"/>
  <c r="G97" i="12787"/>
  <c r="K97" i="12787"/>
  <c r="C98" i="12787"/>
  <c r="C102" i="12787" s="1"/>
  <c r="E108" i="12767"/>
  <c r="G103" i="12787"/>
  <c r="G541" i="12787"/>
  <c r="Q52" i="12775"/>
  <c r="C103" i="12787"/>
  <c r="E702" i="12767"/>
  <c r="E626" i="12767" s="1"/>
  <c r="G575" i="12787"/>
  <c r="G376" i="12787"/>
  <c r="G407" i="12787"/>
  <c r="J58" i="12763"/>
  <c r="L58" i="12763" s="1"/>
  <c r="T493" i="12766"/>
  <c r="V493" i="12766" s="1"/>
  <c r="P480" i="12766"/>
  <c r="X481" i="12766"/>
  <c r="X482" i="12766" s="1"/>
  <c r="C189" i="12787"/>
  <c r="C160" i="12787" s="1"/>
  <c r="G217" i="12787"/>
  <c r="G189" i="12787" s="1"/>
  <c r="G160" i="12787" s="1"/>
  <c r="K217" i="12787"/>
  <c r="K189" i="12787" s="1"/>
  <c r="K160" i="12787" s="1"/>
  <c r="C60" i="12787"/>
  <c r="C61" i="12787" s="1"/>
  <c r="R36" i="12764"/>
  <c r="N79" i="12812" s="1"/>
  <c r="U36" i="12764"/>
  <c r="Q36" i="12764"/>
  <c r="V36" i="12764"/>
  <c r="P93" i="12764"/>
  <c r="H161" i="12766"/>
  <c r="K158" i="12766"/>
  <c r="T768" i="12787"/>
  <c r="T769" i="12787" s="1"/>
  <c r="G804" i="12787"/>
  <c r="G776" i="12787" s="1"/>
  <c r="U150" i="12787"/>
  <c r="W150" i="12787" s="1"/>
  <c r="R775" i="12766"/>
  <c r="H896" i="12766"/>
  <c r="H898" i="12766" s="1"/>
  <c r="P89" i="12774"/>
  <c r="K173" i="12766"/>
  <c r="H173" i="12766"/>
  <c r="H159" i="12766"/>
  <c r="Q159" i="12766" s="1"/>
  <c r="R168" i="12766" s="1"/>
  <c r="P68" i="12774"/>
  <c r="G841" i="12787"/>
  <c r="H807" i="12787"/>
  <c r="H779" i="12787" s="1"/>
  <c r="M931" i="12766"/>
  <c r="H203" i="12766"/>
  <c r="H233" i="12766"/>
  <c r="H288" i="12766"/>
  <c r="H290" i="12766" s="1"/>
  <c r="H319" i="12766"/>
  <c r="H625" i="12787"/>
  <c r="H627" i="12787" s="1"/>
  <c r="H678" i="12787"/>
  <c r="C11" i="12785"/>
  <c r="D8" i="12785"/>
  <c r="G123" i="12787"/>
  <c r="K123" i="12787"/>
  <c r="C124" i="12787"/>
  <c r="C128" i="12787" s="1"/>
  <c r="E473" i="12767"/>
  <c r="H181" i="12767"/>
  <c r="E1118" i="12767"/>
  <c r="H1119" i="12767" s="1"/>
  <c r="G924" i="12787"/>
  <c r="C116" i="12787"/>
  <c r="C117" i="12787" s="1"/>
  <c r="C142" i="12787"/>
  <c r="C143" i="12787" s="1"/>
  <c r="E1090" i="12767"/>
  <c r="G897" i="12787"/>
  <c r="E438" i="12767"/>
  <c r="E439" i="12767" s="1"/>
  <c r="G347" i="12787"/>
  <c r="AE43" i="12775"/>
  <c r="Q84" i="12775"/>
  <c r="R84" i="12775" s="1"/>
  <c r="C935" i="12787"/>
  <c r="C936" i="12787" s="1"/>
  <c r="K785" i="12787"/>
  <c r="C43" i="12787"/>
  <c r="E153" i="12767"/>
  <c r="G142" i="12787"/>
  <c r="E123" i="12767"/>
  <c r="G116" i="12787"/>
  <c r="C231" i="12787"/>
  <c r="C188" i="12787"/>
  <c r="C159" i="12787" s="1"/>
  <c r="G216" i="12787"/>
  <c r="K216" i="12787"/>
  <c r="E299" i="12767"/>
  <c r="G232" i="12787"/>
  <c r="E76" i="12767"/>
  <c r="G77" i="12787"/>
  <c r="E884" i="12767"/>
  <c r="G759" i="12787"/>
  <c r="E544" i="12767"/>
  <c r="G435" i="12787"/>
  <c r="H813" i="12787"/>
  <c r="H843" i="12787"/>
  <c r="K376" i="12787"/>
  <c r="Q100" i="12764"/>
  <c r="V100" i="12764"/>
  <c r="R100" i="12764"/>
  <c r="U100" i="12764"/>
  <c r="H506" i="12766"/>
  <c r="H508" i="12766" s="1"/>
  <c r="H542" i="12766"/>
  <c r="M773" i="12766"/>
  <c r="M785" i="12766" s="1"/>
  <c r="D787" i="12766"/>
  <c r="H813" i="12766"/>
  <c r="H843" i="12766"/>
  <c r="K813" i="12766"/>
  <c r="K843" i="12766"/>
  <c r="B172" i="12767"/>
  <c r="E279" i="12767"/>
  <c r="E210" i="12767" s="1"/>
  <c r="E172" i="12767" s="1"/>
  <c r="C897" i="12787"/>
  <c r="G785" i="12766"/>
  <c r="G787" i="12766" s="1"/>
  <c r="G815" i="12766"/>
  <c r="H473" i="12767"/>
  <c r="AE43" i="12774"/>
  <c r="Q84" i="12774"/>
  <c r="R84" i="12774" s="1"/>
  <c r="C525" i="12787"/>
  <c r="C540" i="12787" s="1"/>
  <c r="C490" i="12787"/>
  <c r="G524" i="12787"/>
  <c r="K524" i="12787"/>
  <c r="E367" i="12767"/>
  <c r="U63" i="12764"/>
  <c r="V63" i="12764"/>
  <c r="T65" i="12764"/>
  <c r="V74" i="12764"/>
  <c r="U74" i="12764"/>
  <c r="H273" i="12787"/>
  <c r="H317" i="12787"/>
  <c r="D773" i="12787"/>
  <c r="D815" i="12787"/>
  <c r="C677" i="12787"/>
  <c r="U104" i="12764"/>
  <c r="M153" i="12766"/>
  <c r="M174" i="12766" s="1"/>
  <c r="D156" i="12766"/>
  <c r="H407" i="12787"/>
  <c r="H376" i="12787"/>
  <c r="H378" i="12787" s="1"/>
  <c r="H101" i="12767"/>
  <c r="B83" i="12767"/>
  <c r="B88" i="12767" s="1"/>
  <c r="E100" i="12767"/>
  <c r="E138" i="12767"/>
  <c r="G129" i="12787"/>
  <c r="K129" i="12787" s="1"/>
  <c r="C129" i="12787"/>
  <c r="AE36" i="12774"/>
  <c r="Q82" i="12774" s="1"/>
  <c r="R82" i="12774" s="1"/>
  <c r="Q80" i="12774"/>
  <c r="R80" i="12774" s="1"/>
  <c r="E809" i="12767"/>
  <c r="G677" i="12787"/>
  <c r="K78" i="12763"/>
  <c r="J78" i="12763"/>
  <c r="L78" i="12763" s="1"/>
  <c r="G174" i="12766"/>
  <c r="G176" i="12766" s="1"/>
  <c r="G205" i="12766"/>
  <c r="H942" i="12766"/>
  <c r="H928" i="12766"/>
  <c r="K928" i="12766"/>
  <c r="K942" i="12766"/>
  <c r="B171" i="12767"/>
  <c r="E278" i="12767"/>
  <c r="E209" i="12767" s="1"/>
  <c r="E171" i="12767" s="1"/>
  <c r="Q66" i="12775"/>
  <c r="R66" i="12775" s="1"/>
  <c r="AE22" i="12775"/>
  <c r="Q68" i="12775" s="1"/>
  <c r="R68" i="12775" s="1"/>
  <c r="I91" i="12774"/>
  <c r="H332" i="12767"/>
  <c r="R169" i="12766"/>
  <c r="D91" i="12775"/>
  <c r="H804" i="12787"/>
  <c r="H776" i="12787" s="1"/>
  <c r="F91" i="12774"/>
  <c r="K505" i="12766"/>
  <c r="K259" i="12766"/>
  <c r="K261" i="12766" s="1"/>
  <c r="K159" i="12766"/>
  <c r="AE6" i="12774"/>
  <c r="G807" i="12787"/>
  <c r="G779" i="12787" s="1"/>
  <c r="K625" i="12787"/>
  <c r="D1006" i="12766"/>
  <c r="D1009" i="12766" s="1"/>
  <c r="D1016" i="12766" s="1"/>
  <c r="H259" i="12787"/>
  <c r="H261" i="12787" s="1"/>
  <c r="E863" i="12767" l="1"/>
  <c r="R104" i="12764"/>
  <c r="Q104" i="12764"/>
  <c r="R64" i="12764"/>
  <c r="P79" i="12764"/>
  <c r="R79" i="12764" s="1"/>
  <c r="V13" i="12764"/>
  <c r="U53" i="12764"/>
  <c r="B922" i="12767"/>
  <c r="L27" i="12852" s="1"/>
  <c r="K1195" i="12767"/>
  <c r="K1197" i="12767" s="1"/>
  <c r="R22" i="12783" s="1"/>
  <c r="R56" i="12764"/>
  <c r="V64" i="12764"/>
  <c r="Q64" i="12764"/>
  <c r="P65" i="12764"/>
  <c r="Q65" i="12764" s="1"/>
  <c r="K19" i="12767"/>
  <c r="P26" i="12783" s="1"/>
  <c r="P31" i="12783" s="1"/>
  <c r="G1006" i="12766"/>
  <c r="G1009" i="12766" s="1"/>
  <c r="G1016" i="12766" s="1"/>
  <c r="D11" i="12785"/>
  <c r="E11" i="12785"/>
  <c r="O43" i="12811"/>
  <c r="O72" i="12811"/>
  <c r="L73" i="12812"/>
  <c r="L74" i="12812" s="1"/>
  <c r="L21" i="12812"/>
  <c r="AF10" i="12774" s="1"/>
  <c r="O71" i="12811"/>
  <c r="O21" i="12811"/>
  <c r="O22" i="12811" s="1"/>
  <c r="L42" i="12812"/>
  <c r="AF15" i="12774" s="1"/>
  <c r="L79" i="12812"/>
  <c r="AF28" i="12774" s="1"/>
  <c r="H124" i="12767"/>
  <c r="H38" i="12811"/>
  <c r="K74" i="12812"/>
  <c r="H97" i="12811"/>
  <c r="H1197" i="12767"/>
  <c r="L22" i="12783" s="1"/>
  <c r="H153" i="12767"/>
  <c r="H154" i="12767" s="1"/>
  <c r="O80" i="12811"/>
  <c r="K1142" i="12767"/>
  <c r="B229" i="12767"/>
  <c r="B227" i="12767"/>
  <c r="B192" i="12767" s="1"/>
  <c r="Q20" i="12764"/>
  <c r="Q56" i="12764"/>
  <c r="P105" i="12764"/>
  <c r="P106" i="12764" s="1"/>
  <c r="U106" i="12764" s="1"/>
  <c r="R53" i="12764"/>
  <c r="N123" i="12812" s="1"/>
  <c r="R20" i="12764"/>
  <c r="N43" i="12812" s="1"/>
  <c r="O43" i="12812" s="1"/>
  <c r="U56" i="12764"/>
  <c r="Q53" i="12764"/>
  <c r="V53" i="12764"/>
  <c r="P80" i="12764"/>
  <c r="R80" i="12764" s="1"/>
  <c r="U13" i="12764"/>
  <c r="X93" i="12823"/>
  <c r="AB93" i="12823"/>
  <c r="AA93" i="12823"/>
  <c r="W93" i="12823"/>
  <c r="AA104" i="12823"/>
  <c r="X104" i="12823"/>
  <c r="AB104" i="12823"/>
  <c r="W104" i="12823"/>
  <c r="X97" i="12823"/>
  <c r="AA97" i="12823"/>
  <c r="AB97" i="12823"/>
  <c r="W97" i="12823"/>
  <c r="X65" i="12823"/>
  <c r="AB65" i="12823"/>
  <c r="AA65" i="12823"/>
  <c r="W65" i="12823"/>
  <c r="P28" i="12766"/>
  <c r="O28" i="12766"/>
  <c r="O29" i="12766" s="1"/>
  <c r="V90" i="12823"/>
  <c r="AA46" i="12823"/>
  <c r="X46" i="12823"/>
  <c r="AD46" i="12823" s="1"/>
  <c r="AB46" i="12823"/>
  <c r="W46" i="12823"/>
  <c r="L44" i="12811"/>
  <c r="L74" i="12811"/>
  <c r="AB56" i="12823"/>
  <c r="AA56" i="12823"/>
  <c r="X56" i="12823"/>
  <c r="W56" i="12823"/>
  <c r="AB23" i="12823"/>
  <c r="X23" i="12823"/>
  <c r="AD23" i="12823" s="1"/>
  <c r="AA23" i="12823"/>
  <c r="V95" i="12823"/>
  <c r="W23" i="12823"/>
  <c r="V105" i="12823"/>
  <c r="X53" i="12823"/>
  <c r="AD53" i="12823" s="1"/>
  <c r="AD56" i="12823" s="1"/>
  <c r="AA53" i="12823"/>
  <c r="AB53" i="12823"/>
  <c r="W53" i="12823"/>
  <c r="M74" i="12811"/>
  <c r="R13" i="12764"/>
  <c r="N18" i="12812" s="1"/>
  <c r="H545" i="12767"/>
  <c r="H77" i="12767"/>
  <c r="AG21" i="12774"/>
  <c r="H885" i="12767"/>
  <c r="L14" i="12812"/>
  <c r="AF7" i="12774" s="1"/>
  <c r="P32" i="12764"/>
  <c r="R32" i="12764" s="1"/>
  <c r="N71" i="12812" s="1"/>
  <c r="V32" i="12823"/>
  <c r="E19" i="12810"/>
  <c r="F19" i="12810" s="1"/>
  <c r="K16" i="12812"/>
  <c r="O16" i="12811" s="1"/>
  <c r="H510" i="12767"/>
  <c r="E97" i="12812"/>
  <c r="H703" i="12767"/>
  <c r="AE12" i="12775"/>
  <c r="AE44" i="12775" s="1"/>
  <c r="Q91" i="12775" s="1"/>
  <c r="H22" i="12767"/>
  <c r="K22" i="12767" s="1"/>
  <c r="K41" i="12812"/>
  <c r="F44" i="12812"/>
  <c r="V89" i="12823"/>
  <c r="AB45" i="12823"/>
  <c r="AA45" i="12823"/>
  <c r="X45" i="12823"/>
  <c r="AD45" i="12823" s="1"/>
  <c r="V47" i="12823"/>
  <c r="W45" i="12823"/>
  <c r="V79" i="12823"/>
  <c r="AB20" i="12823"/>
  <c r="AA20" i="12823"/>
  <c r="X20" i="12823"/>
  <c r="AD20" i="12823" s="1"/>
  <c r="W20" i="12823"/>
  <c r="V20" i="12764"/>
  <c r="V80" i="12823"/>
  <c r="X13" i="12823"/>
  <c r="AD13" i="12823" s="1"/>
  <c r="AB13" i="12823"/>
  <c r="AA13" i="12823"/>
  <c r="W13" i="12823"/>
  <c r="E68" i="12812"/>
  <c r="K40" i="12767"/>
  <c r="L127" i="12811"/>
  <c r="L137" i="12811" s="1"/>
  <c r="I19" i="12811"/>
  <c r="I38" i="12811" s="1"/>
  <c r="I140" i="12811" s="1"/>
  <c r="L13" i="12811"/>
  <c r="M13" i="12811" s="1"/>
  <c r="O125" i="12812"/>
  <c r="P125" i="12812" s="1"/>
  <c r="B996" i="12767"/>
  <c r="B997" i="12767" s="1"/>
  <c r="B940" i="12767"/>
  <c r="B941" i="12767" s="1"/>
  <c r="AF39" i="12774"/>
  <c r="AE12" i="12774"/>
  <c r="I19" i="12783"/>
  <c r="AF28" i="12775"/>
  <c r="AG28" i="12775" s="1"/>
  <c r="M54" i="12811"/>
  <c r="M47" i="12811"/>
  <c r="M50" i="12811"/>
  <c r="L68" i="12811"/>
  <c r="E17" i="12810" s="1"/>
  <c r="F17" i="12810" s="1"/>
  <c r="E19" i="12812"/>
  <c r="E38" i="12812" s="1"/>
  <c r="H264" i="12767"/>
  <c r="H1090" i="12767"/>
  <c r="K1090" i="12767" s="1"/>
  <c r="K81" i="12812"/>
  <c r="AF30" i="12774"/>
  <c r="O80" i="12812"/>
  <c r="P80" i="12812" s="1"/>
  <c r="O73" i="12812"/>
  <c r="AF25" i="12774"/>
  <c r="AF24" i="12774"/>
  <c r="K58" i="12767"/>
  <c r="H59" i="12767"/>
  <c r="K50" i="12812"/>
  <c r="O49" i="12811"/>
  <c r="L49" i="12812"/>
  <c r="K1016" i="12767"/>
  <c r="H996" i="12767"/>
  <c r="K996" i="12767" s="1"/>
  <c r="AF16" i="12774"/>
  <c r="P17" i="12811"/>
  <c r="Q17" i="12811" s="1"/>
  <c r="R17" i="12811" s="1"/>
  <c r="R17" i="12812"/>
  <c r="S17" i="12812" s="1"/>
  <c r="K18" i="12812"/>
  <c r="P17" i="12812"/>
  <c r="O14" i="12812"/>
  <c r="O16" i="12812"/>
  <c r="M127" i="12811"/>
  <c r="M137" i="12811" s="1"/>
  <c r="M117" i="12811"/>
  <c r="L85" i="12811"/>
  <c r="M84" i="12811"/>
  <c r="M82" i="12811"/>
  <c r="L77" i="12811"/>
  <c r="M76" i="12811"/>
  <c r="L22" i="12811"/>
  <c r="M21" i="12811"/>
  <c r="M22" i="12811" s="1"/>
  <c r="L18" i="12811"/>
  <c r="B264" i="12767"/>
  <c r="B228" i="12767" s="1"/>
  <c r="B193" i="12767" s="1"/>
  <c r="O76" i="12811"/>
  <c r="L76" i="12812"/>
  <c r="K77" i="12812"/>
  <c r="H755" i="12767"/>
  <c r="P46" i="12764"/>
  <c r="R46" i="12764" s="1"/>
  <c r="N102" i="12812" s="1"/>
  <c r="P53" i="12812"/>
  <c r="P53" i="12811"/>
  <c r="Q53" i="12811" s="1"/>
  <c r="R53" i="12811" s="1"/>
  <c r="R53" i="12812"/>
  <c r="S53" i="12812" s="1"/>
  <c r="O124" i="12811"/>
  <c r="L124" i="12812"/>
  <c r="AF38" i="12774"/>
  <c r="K123" i="12812"/>
  <c r="F127" i="12812"/>
  <c r="P122" i="12812"/>
  <c r="P122" i="12811"/>
  <c r="Q122" i="12811" s="1"/>
  <c r="R122" i="12811" s="1"/>
  <c r="R122" i="12812"/>
  <c r="S122" i="12812" s="1"/>
  <c r="L84" i="12812"/>
  <c r="O84" i="12811"/>
  <c r="K85" i="12812"/>
  <c r="K54" i="12812"/>
  <c r="L52" i="12812"/>
  <c r="O52" i="12811"/>
  <c r="Q58" i="12775"/>
  <c r="R58" i="12775" s="1"/>
  <c r="AC45" i="12774"/>
  <c r="P91" i="12775"/>
  <c r="R57" i="12774"/>
  <c r="AE32" i="12774"/>
  <c r="Q78" i="12774" s="1"/>
  <c r="R78" i="12774" s="1"/>
  <c r="R57" i="12775"/>
  <c r="I112" i="12764"/>
  <c r="M112" i="12764" s="1"/>
  <c r="O112" i="12764" s="1"/>
  <c r="B1252" i="12767"/>
  <c r="B863" i="12767"/>
  <c r="AF35" i="12775" s="1"/>
  <c r="AG35" i="12775" s="1"/>
  <c r="B1197" i="12767"/>
  <c r="I22" i="12783" s="1"/>
  <c r="B902" i="12767"/>
  <c r="B903" i="12767" s="1"/>
  <c r="B1132" i="12767"/>
  <c r="B154" i="12767"/>
  <c r="AF9" i="12775" s="1"/>
  <c r="AG9" i="12775" s="1"/>
  <c r="B124" i="12767"/>
  <c r="AF7" i="12775" s="1"/>
  <c r="AG7" i="12775" s="1"/>
  <c r="B59" i="12767"/>
  <c r="AF20" i="12775" s="1"/>
  <c r="AG20" i="12775" s="1"/>
  <c r="B1119" i="12767"/>
  <c r="B626" i="12767"/>
  <c r="B1235" i="12767"/>
  <c r="B1184" i="12767"/>
  <c r="AF40" i="12775" s="1"/>
  <c r="AG40" i="12775" s="1"/>
  <c r="X112" i="12764"/>
  <c r="X34" i="12764"/>
  <c r="X36" i="12764"/>
  <c r="E920" i="12767"/>
  <c r="E901" i="12767" s="1"/>
  <c r="L27" i="12783"/>
  <c r="L30" i="12783"/>
  <c r="L28" i="12783"/>
  <c r="E1071" i="12767"/>
  <c r="G842" i="12787"/>
  <c r="K842" i="12787" s="1"/>
  <c r="K843" i="12787" s="1"/>
  <c r="P97" i="12764"/>
  <c r="R38" i="12764"/>
  <c r="N81" i="12812" s="1"/>
  <c r="V38" i="12764"/>
  <c r="Q38" i="12764"/>
  <c r="U38" i="12764"/>
  <c r="G110" i="12763"/>
  <c r="H1143" i="12767"/>
  <c r="K1143" i="12767" s="1"/>
  <c r="H1172" i="12767"/>
  <c r="E810" i="12767"/>
  <c r="H41" i="12767"/>
  <c r="H474" i="12767"/>
  <c r="H368" i="12767"/>
  <c r="K368" i="12767" s="1"/>
  <c r="H626" i="12767"/>
  <c r="K626" i="12767" s="1"/>
  <c r="H863" i="12767"/>
  <c r="B137" i="12767"/>
  <c r="H131" i="12767"/>
  <c r="H137" i="12767" s="1"/>
  <c r="H107" i="12767"/>
  <c r="M65" i="12764"/>
  <c r="O65" i="12764" s="1"/>
  <c r="N65" i="12764"/>
  <c r="M69" i="12764"/>
  <c r="O69" i="12764" s="1"/>
  <c r="N69" i="12764"/>
  <c r="N75" i="12764"/>
  <c r="M75" i="12764"/>
  <c r="O75" i="12764" s="1"/>
  <c r="K104" i="12763"/>
  <c r="J104" i="12763"/>
  <c r="L104" i="12763" s="1"/>
  <c r="K994" i="12787"/>
  <c r="K995" i="12787" s="1"/>
  <c r="G995" i="12787"/>
  <c r="J65" i="12763"/>
  <c r="L65" i="12763" s="1"/>
  <c r="K65" i="12763"/>
  <c r="J96" i="12763"/>
  <c r="L96" i="12763" s="1"/>
  <c r="K96" i="12763"/>
  <c r="D156" i="12787"/>
  <c r="M153" i="12787"/>
  <c r="E41" i="12767"/>
  <c r="K70" i="12763"/>
  <c r="J70" i="12763"/>
  <c r="H402" i="12767"/>
  <c r="G870" i="12787"/>
  <c r="E1197" i="12767"/>
  <c r="D1049" i="12787"/>
  <c r="D157" i="12787"/>
  <c r="D1048" i="12787" s="1"/>
  <c r="K43" i="12787"/>
  <c r="G44" i="12787"/>
  <c r="K83" i="12763"/>
  <c r="J83" i="12763"/>
  <c r="L83" i="12763" s="1"/>
  <c r="H437" i="12767"/>
  <c r="AF19" i="12775"/>
  <c r="AG19" i="12775" s="1"/>
  <c r="AF30" i="12775"/>
  <c r="AG30" i="12775" s="1"/>
  <c r="B368" i="12767"/>
  <c r="B404" i="12767"/>
  <c r="B510" i="12767"/>
  <c r="B474" i="12767"/>
  <c r="C407" i="12787"/>
  <c r="C377" i="12787"/>
  <c r="C378" i="12787" s="1"/>
  <c r="C946" i="12787"/>
  <c r="C947" i="12787" s="1"/>
  <c r="C973" i="12787"/>
  <c r="B1143" i="12767"/>
  <c r="B1172" i="12767"/>
  <c r="C843" i="12787"/>
  <c r="C814" i="12787"/>
  <c r="C815" i="12787" s="1"/>
  <c r="C289" i="12787"/>
  <c r="C290" i="12787" s="1"/>
  <c r="C319" i="12787"/>
  <c r="R159" i="12766"/>
  <c r="S168" i="12766" s="1"/>
  <c r="U168" i="12766" s="1"/>
  <c r="K931" i="12766"/>
  <c r="K933" i="12766" s="1"/>
  <c r="K944" i="12766"/>
  <c r="H288" i="12787"/>
  <c r="H290" i="12787" s="1"/>
  <c r="H319" i="12787"/>
  <c r="D525" i="12787"/>
  <c r="D521" i="12787"/>
  <c r="D522" i="12787"/>
  <c r="D531" i="12787"/>
  <c r="D533" i="12787"/>
  <c r="D536" i="12787"/>
  <c r="D539" i="12787"/>
  <c r="D518" i="12787"/>
  <c r="D519" i="12787"/>
  <c r="D524" i="12787"/>
  <c r="D526" i="12787"/>
  <c r="D532" i="12787"/>
  <c r="D534" i="12787"/>
  <c r="D535" i="12787"/>
  <c r="D537" i="12787"/>
  <c r="C506" i="12787"/>
  <c r="C508" i="12787" s="1"/>
  <c r="C542" i="12787"/>
  <c r="K785" i="12766"/>
  <c r="K787" i="12766" s="1"/>
  <c r="K815" i="12766"/>
  <c r="H815" i="12766"/>
  <c r="H785" i="12766"/>
  <c r="H787" i="12766" s="1"/>
  <c r="K435" i="12787"/>
  <c r="K436" i="12787" s="1"/>
  <c r="G436" i="12787"/>
  <c r="E885" i="12767"/>
  <c r="G26" i="12787"/>
  <c r="K77" i="12787"/>
  <c r="G78" i="12787"/>
  <c r="E230" i="12767"/>
  <c r="G188" i="12787"/>
  <c r="G159" i="12787" s="1"/>
  <c r="G231" i="12787"/>
  <c r="D213" i="12787"/>
  <c r="D216" i="12787"/>
  <c r="D217" i="12787"/>
  <c r="D218" i="12787"/>
  <c r="D219" i="12787"/>
  <c r="D223" i="12787"/>
  <c r="D225" i="12787"/>
  <c r="D227" i="12787"/>
  <c r="D229" i="12787"/>
  <c r="D215" i="12787"/>
  <c r="D224" i="12787"/>
  <c r="D226" i="12787"/>
  <c r="D228" i="12787"/>
  <c r="D230" i="12787"/>
  <c r="C203" i="12787"/>
  <c r="C233" i="12787"/>
  <c r="E124" i="12767"/>
  <c r="E154" i="12767"/>
  <c r="Q89" i="12775"/>
  <c r="R89" i="12775" s="1"/>
  <c r="E1091" i="12767"/>
  <c r="K924" i="12787"/>
  <c r="G925" i="12787"/>
  <c r="K1119" i="12767"/>
  <c r="E1119" i="12767"/>
  <c r="AG24" i="12775"/>
  <c r="G813" i="12787"/>
  <c r="Q93" i="12764"/>
  <c r="V93" i="12764"/>
  <c r="R93" i="12764"/>
  <c r="U93" i="12764"/>
  <c r="E703" i="12767"/>
  <c r="R52" i="12775"/>
  <c r="G90" i="12787"/>
  <c r="K90" i="12787" s="1"/>
  <c r="K103" i="12787"/>
  <c r="C89" i="12787"/>
  <c r="C104" i="12787"/>
  <c r="K84" i="12787"/>
  <c r="K1235" i="12767"/>
  <c r="E1235" i="12767"/>
  <c r="E603" i="12767"/>
  <c r="B604" i="12767"/>
  <c r="E644" i="12767"/>
  <c r="E604" i="12767" s="1"/>
  <c r="K935" i="12787"/>
  <c r="K936" i="12787" s="1"/>
  <c r="G936" i="12787"/>
  <c r="R22" i="12766"/>
  <c r="Q22" i="12766"/>
  <c r="R17" i="12766"/>
  <c r="Q17" i="12766"/>
  <c r="R18" i="12766"/>
  <c r="Q18" i="12766"/>
  <c r="K260" i="12787"/>
  <c r="K261" i="12787" s="1"/>
  <c r="G261" i="12787"/>
  <c r="G377" i="12787"/>
  <c r="K377" i="12787" s="1"/>
  <c r="K378" i="12787" s="1"/>
  <c r="K406" i="12787"/>
  <c r="K407" i="12787" s="1"/>
  <c r="K318" i="12787"/>
  <c r="K319" i="12787" s="1"/>
  <c r="G289" i="12787"/>
  <c r="G319" i="12787"/>
  <c r="E208" i="12767"/>
  <c r="E170" i="12767" s="1"/>
  <c r="E298" i="12767"/>
  <c r="G984" i="12787"/>
  <c r="K983" i="12787"/>
  <c r="K984" i="12787" s="1"/>
  <c r="E1184" i="12767"/>
  <c r="K1184" i="12767"/>
  <c r="E1143" i="12767"/>
  <c r="K1172" i="12767"/>
  <c r="E1172" i="12767"/>
  <c r="P628" i="12766"/>
  <c r="O628" i="12766"/>
  <c r="O630" i="12766" s="1"/>
  <c r="M630" i="12766"/>
  <c r="R45" i="12764"/>
  <c r="N101" i="12812" s="1"/>
  <c r="U45" i="12764"/>
  <c r="P89" i="12764"/>
  <c r="Q45" i="12764"/>
  <c r="V45" i="12764"/>
  <c r="R23" i="12764"/>
  <c r="N49" i="12812" s="1"/>
  <c r="U23" i="12764"/>
  <c r="P95" i="12764"/>
  <c r="Q23" i="12764"/>
  <c r="V23" i="12764"/>
  <c r="E131" i="12767"/>
  <c r="E137" i="12767" s="1"/>
  <c r="Z9" i="12823" s="1"/>
  <c r="C130" i="12787"/>
  <c r="S169" i="12766"/>
  <c r="U169" i="12766" s="1"/>
  <c r="C90" i="12787"/>
  <c r="K80" i="12763"/>
  <c r="J80" i="12763"/>
  <c r="L80" i="12763" s="1"/>
  <c r="E756" i="12767"/>
  <c r="B84" i="12767"/>
  <c r="B89" i="12767" s="1"/>
  <c r="E101" i="12767"/>
  <c r="Q52" i="12774"/>
  <c r="Q58" i="12774" s="1"/>
  <c r="H931" i="12766"/>
  <c r="H933" i="12766" s="1"/>
  <c r="H944" i="12766"/>
  <c r="G626" i="12787"/>
  <c r="K677" i="12787"/>
  <c r="K678" i="12787" s="1"/>
  <c r="G678" i="12787"/>
  <c r="E83" i="12767"/>
  <c r="B756" i="12767"/>
  <c r="B810" i="12767"/>
  <c r="C626" i="12787"/>
  <c r="C627" i="12787" s="1"/>
  <c r="C678" i="12787"/>
  <c r="M773" i="12787"/>
  <c r="M785" i="12787" s="1"/>
  <c r="D787" i="12787"/>
  <c r="K490" i="12787"/>
  <c r="G490" i="12787"/>
  <c r="C491" i="12787"/>
  <c r="G525" i="12787"/>
  <c r="G491" i="12787" s="1"/>
  <c r="K525" i="12787"/>
  <c r="K491" i="12787" s="1"/>
  <c r="Q89" i="12774"/>
  <c r="R89" i="12774" s="1"/>
  <c r="C898" i="12787"/>
  <c r="B1091" i="12767"/>
  <c r="L28" i="12852" s="1"/>
  <c r="H785" i="12787"/>
  <c r="H787" i="12787" s="1"/>
  <c r="H815" i="12787"/>
  <c r="E545" i="12767"/>
  <c r="K759" i="12787"/>
  <c r="K760" i="12787" s="1"/>
  <c r="G760" i="12787"/>
  <c r="E22" i="12767"/>
  <c r="E77" i="12767"/>
  <c r="G204" i="12787"/>
  <c r="K232" i="12787"/>
  <c r="K188" i="12787"/>
  <c r="K159" i="12787" s="1"/>
  <c r="K231" i="12787"/>
  <c r="K116" i="12787"/>
  <c r="K117" i="12787" s="1"/>
  <c r="G117" i="12787"/>
  <c r="K142" i="12787"/>
  <c r="K143" i="12787" s="1"/>
  <c r="G143" i="12787"/>
  <c r="B41" i="12767"/>
  <c r="C44" i="12787"/>
  <c r="C26" i="12787"/>
  <c r="C27" i="12787" s="1"/>
  <c r="K347" i="12787"/>
  <c r="K348" i="12787" s="1"/>
  <c r="G348" i="12787"/>
  <c r="K897" i="12787"/>
  <c r="K898" i="12787" s="1"/>
  <c r="G898" i="12787"/>
  <c r="G124" i="12787"/>
  <c r="G128" i="12787" s="1"/>
  <c r="G130" i="12787" s="1"/>
  <c r="K124" i="12787"/>
  <c r="K128" i="12787" s="1"/>
  <c r="K130" i="12787" s="1"/>
  <c r="H174" i="12766"/>
  <c r="H176" i="12766" s="1"/>
  <c r="H205" i="12766"/>
  <c r="K575" i="12787"/>
  <c r="K576" i="12787" s="1"/>
  <c r="G576" i="12787"/>
  <c r="G507" i="12787"/>
  <c r="K507" i="12787" s="1"/>
  <c r="K541" i="12787"/>
  <c r="E93" i="12767"/>
  <c r="C85" i="12787"/>
  <c r="G98" i="12787"/>
  <c r="G102" i="12787" s="1"/>
  <c r="K98" i="12787"/>
  <c r="G84" i="12787"/>
  <c r="K1031" i="12787"/>
  <c r="G1032" i="12787"/>
  <c r="K1132" i="12767"/>
  <c r="E1132" i="12767"/>
  <c r="R20" i="12766"/>
  <c r="Q20" i="12766"/>
  <c r="R21" i="12766"/>
  <c r="Q21" i="12766"/>
  <c r="R16" i="12766"/>
  <c r="Q16" i="12766"/>
  <c r="Q23" i="12766" s="1"/>
  <c r="AD22" i="12774"/>
  <c r="AD44" i="12774" s="1"/>
  <c r="AE14" i="12774"/>
  <c r="K728" i="12787"/>
  <c r="K729" i="12787" s="1"/>
  <c r="G729" i="12787"/>
  <c r="E474" i="12767"/>
  <c r="E368" i="12767"/>
  <c r="E404" i="12767"/>
  <c r="B300" i="12767"/>
  <c r="G946" i="12787"/>
  <c r="K972" i="12787"/>
  <c r="K973" i="12787" s="1"/>
  <c r="G973" i="12787"/>
  <c r="P509" i="12766"/>
  <c r="M512" i="12766"/>
  <c r="O509" i="12766"/>
  <c r="O511" i="12766" s="1"/>
  <c r="B107" i="12767"/>
  <c r="P91" i="12774"/>
  <c r="B93" i="12767"/>
  <c r="B663" i="12767"/>
  <c r="K203" i="12766"/>
  <c r="X53" i="12764" l="1"/>
  <c r="X56" i="12764" s="1"/>
  <c r="V79" i="12764"/>
  <c r="R65" i="12764"/>
  <c r="U79" i="12764"/>
  <c r="Q79" i="12764"/>
  <c r="L27" i="12831"/>
  <c r="X20" i="12764"/>
  <c r="V65" i="12764"/>
  <c r="U65" i="12764"/>
  <c r="V106" i="12764"/>
  <c r="U105" i="12764"/>
  <c r="R106" i="12764"/>
  <c r="R105" i="12764"/>
  <c r="Q106" i="12764"/>
  <c r="V105" i="12764"/>
  <c r="Q105" i="12764"/>
  <c r="V80" i="12764"/>
  <c r="Q80" i="12764"/>
  <c r="R30" i="12783"/>
  <c r="P1235" i="12767"/>
  <c r="R28" i="12783"/>
  <c r="P1132" i="12767"/>
  <c r="AF26" i="12774"/>
  <c r="AG26" i="12774" s="1"/>
  <c r="L28" i="12831"/>
  <c r="O74" i="12811"/>
  <c r="L22" i="12812"/>
  <c r="H140" i="12811"/>
  <c r="H1144" i="12767"/>
  <c r="L29" i="12783" s="1"/>
  <c r="R27" i="12783"/>
  <c r="P1119" i="12767"/>
  <c r="U32" i="12764"/>
  <c r="V32" i="12764"/>
  <c r="U80" i="12764"/>
  <c r="X32" i="12764"/>
  <c r="Q32" i="12764"/>
  <c r="B139" i="12767"/>
  <c r="AF8" i="12775" s="1"/>
  <c r="AG8" i="12775" s="1"/>
  <c r="AF21" i="12775"/>
  <c r="AG21" i="12775" s="1"/>
  <c r="AD47" i="12823"/>
  <c r="P47" i="12764"/>
  <c r="U47" i="12764" s="1"/>
  <c r="X13" i="12764"/>
  <c r="X105" i="12823"/>
  <c r="AA105" i="12823"/>
  <c r="AB105" i="12823"/>
  <c r="W105" i="12823"/>
  <c r="AB95" i="12823"/>
  <c r="V98" i="12823"/>
  <c r="AA95" i="12823"/>
  <c r="W95" i="12823"/>
  <c r="X95" i="12823"/>
  <c r="G378" i="12787"/>
  <c r="H1006" i="12766"/>
  <c r="H1009" i="12766" s="1"/>
  <c r="H1016" i="12766" s="1"/>
  <c r="G843" i="12787"/>
  <c r="AB90" i="12823"/>
  <c r="AA90" i="12823"/>
  <c r="X90" i="12823"/>
  <c r="W90" i="12823"/>
  <c r="V106" i="12823"/>
  <c r="L19" i="12783"/>
  <c r="I30" i="12783"/>
  <c r="AF38" i="12775"/>
  <c r="AG38" i="12775" s="1"/>
  <c r="Q46" i="12764"/>
  <c r="L16" i="12812"/>
  <c r="AF9" i="12774" s="1"/>
  <c r="AG9" i="12774" s="1"/>
  <c r="AA32" i="12823"/>
  <c r="AB32" i="12823"/>
  <c r="X32" i="12823"/>
  <c r="AD32" i="12823" s="1"/>
  <c r="W32" i="12823"/>
  <c r="E20" i="12810"/>
  <c r="F20" i="12810" s="1"/>
  <c r="E84" i="12767"/>
  <c r="P7" i="12764"/>
  <c r="V7" i="12823"/>
  <c r="Z73" i="12823"/>
  <c r="V9" i="12823"/>
  <c r="AB9" i="12823" s="1"/>
  <c r="P9" i="12764"/>
  <c r="R9" i="12764" s="1"/>
  <c r="E140" i="12812"/>
  <c r="H23" i="12767"/>
  <c r="O41" i="12811"/>
  <c r="O44" i="12811" s="1"/>
  <c r="L41" i="12812"/>
  <c r="K44" i="12812"/>
  <c r="AA47" i="12823"/>
  <c r="X47" i="12823"/>
  <c r="AB47" i="12823"/>
  <c r="W47" i="12823"/>
  <c r="V91" i="12823"/>
  <c r="X89" i="12823"/>
  <c r="AB89" i="12823"/>
  <c r="AA89" i="12823"/>
  <c r="W89" i="12823"/>
  <c r="AB79" i="12823"/>
  <c r="X79" i="12823"/>
  <c r="AA79" i="12823"/>
  <c r="W79" i="12823"/>
  <c r="I27" i="12783"/>
  <c r="P33" i="12764"/>
  <c r="U33" i="12764" s="1"/>
  <c r="V33" i="12823"/>
  <c r="P19" i="12764"/>
  <c r="U19" i="12764" s="1"/>
  <c r="V19" i="12823"/>
  <c r="AA80" i="12823"/>
  <c r="X80" i="12823"/>
  <c r="AB80" i="12823"/>
  <c r="W80" i="12823"/>
  <c r="P125" i="12811"/>
  <c r="Q125" i="12811" s="1"/>
  <c r="R125" i="12811" s="1"/>
  <c r="R125" i="12812"/>
  <c r="S125" i="12812" s="1"/>
  <c r="AF41" i="12775"/>
  <c r="AG41" i="12775" s="1"/>
  <c r="I28" i="12783"/>
  <c r="AF42" i="12775"/>
  <c r="AG42" i="12775" s="1"/>
  <c r="H1091" i="12767"/>
  <c r="O28" i="12852" s="1"/>
  <c r="L97" i="12811"/>
  <c r="M68" i="12811"/>
  <c r="K264" i="12767"/>
  <c r="H265" i="12767"/>
  <c r="H230" i="12767"/>
  <c r="K230" i="12767" s="1"/>
  <c r="R80" i="12812"/>
  <c r="S80" i="12812" s="1"/>
  <c r="P80" i="12811"/>
  <c r="Q80" i="12811" s="1"/>
  <c r="R80" i="12811" s="1"/>
  <c r="L81" i="12812"/>
  <c r="O81" i="12811"/>
  <c r="O82" i="12811" s="1"/>
  <c r="K82" i="12812"/>
  <c r="K97" i="12812" s="1"/>
  <c r="O79" i="12812"/>
  <c r="P73" i="12812"/>
  <c r="P73" i="12811"/>
  <c r="Q73" i="12811" s="1"/>
  <c r="R73" i="12811" s="1"/>
  <c r="R73" i="12812"/>
  <c r="S73" i="12812" s="1"/>
  <c r="O71" i="12812"/>
  <c r="AF19" i="12774"/>
  <c r="L50" i="12812"/>
  <c r="O50" i="12811"/>
  <c r="P43" i="12812"/>
  <c r="P43" i="12811"/>
  <c r="Q43" i="12811" s="1"/>
  <c r="R43" i="12811" s="1"/>
  <c r="R43" i="12812"/>
  <c r="S43" i="12812" s="1"/>
  <c r="O18" i="12811"/>
  <c r="L18" i="12812"/>
  <c r="K153" i="12767"/>
  <c r="H93" i="12767"/>
  <c r="K93" i="12767" s="1"/>
  <c r="H475" i="12767"/>
  <c r="K474" i="12767"/>
  <c r="P16" i="12811"/>
  <c r="Q16" i="12811" s="1"/>
  <c r="R16" i="12811" s="1"/>
  <c r="R16" i="12812"/>
  <c r="S16" i="12812" s="1"/>
  <c r="P14" i="12812"/>
  <c r="P14" i="12811"/>
  <c r="Q14" i="12811" s="1"/>
  <c r="R14" i="12811" s="1"/>
  <c r="R14" i="12812"/>
  <c r="S14" i="12812" s="1"/>
  <c r="M85" i="12811"/>
  <c r="M77" i="12811"/>
  <c r="B230" i="12767"/>
  <c r="B231" i="12767" s="1"/>
  <c r="B265" i="12767"/>
  <c r="AF11" i="12775" s="1"/>
  <c r="AG11" i="12775" s="1"/>
  <c r="M18" i="12811"/>
  <c r="M19" i="12811" s="1"/>
  <c r="L19" i="12811"/>
  <c r="L38" i="12811" s="1"/>
  <c r="X46" i="12764"/>
  <c r="K102" i="12812"/>
  <c r="K101" i="12812"/>
  <c r="O77" i="12811"/>
  <c r="AF27" i="12774"/>
  <c r="AG27" i="12774" s="1"/>
  <c r="L77" i="12812"/>
  <c r="R91" i="12775"/>
  <c r="AF20" i="12774"/>
  <c r="AG20" i="12774" s="1"/>
  <c r="L54" i="12812"/>
  <c r="O85" i="12811"/>
  <c r="L123" i="12812"/>
  <c r="O123" i="12811"/>
  <c r="O127" i="12811" s="1"/>
  <c r="K127" i="12812"/>
  <c r="K137" i="12812" s="1"/>
  <c r="O121" i="12812"/>
  <c r="AF41" i="12774"/>
  <c r="AG41" i="12774" s="1"/>
  <c r="O124" i="12812"/>
  <c r="Q33" i="12764"/>
  <c r="O54" i="12811"/>
  <c r="AF31" i="12774"/>
  <c r="AG31" i="12774" s="1"/>
  <c r="L85" i="12812"/>
  <c r="F137" i="12812"/>
  <c r="P90" i="12764"/>
  <c r="P91" i="12764" s="1"/>
  <c r="U46" i="12764"/>
  <c r="V46" i="12764"/>
  <c r="O21" i="12812"/>
  <c r="N22" i="12812"/>
  <c r="B757" i="12767"/>
  <c r="B475" i="12767"/>
  <c r="B1144" i="12767"/>
  <c r="B369" i="12767"/>
  <c r="N112" i="12764"/>
  <c r="V27" i="12783"/>
  <c r="V22" i="12783"/>
  <c r="AG22" i="12783" s="1"/>
  <c r="V28" i="12783"/>
  <c r="V30" i="12783"/>
  <c r="K85" i="12787"/>
  <c r="E1016" i="12767"/>
  <c r="E959" i="12767"/>
  <c r="E1034" i="12767"/>
  <c r="E977" i="12767"/>
  <c r="X23" i="12764"/>
  <c r="X45" i="12764"/>
  <c r="H439" i="12767"/>
  <c r="E757" i="12767"/>
  <c r="C786" i="12787"/>
  <c r="C787" i="12787" s="1"/>
  <c r="E1072" i="12767"/>
  <c r="E921" i="12767"/>
  <c r="E902" i="12767" s="1"/>
  <c r="E903" i="12767" s="1"/>
  <c r="E1053" i="12767"/>
  <c r="C175" i="12787"/>
  <c r="H139" i="12767"/>
  <c r="X38" i="12764"/>
  <c r="Q97" i="12764"/>
  <c r="R97" i="12764"/>
  <c r="U97" i="12764"/>
  <c r="V97" i="12764"/>
  <c r="H334" i="12767"/>
  <c r="H756" i="12767"/>
  <c r="H810" i="12767"/>
  <c r="H84" i="12767"/>
  <c r="I88" i="12767" s="1"/>
  <c r="I83" i="12767" s="1"/>
  <c r="H92" i="12767"/>
  <c r="H109" i="12767"/>
  <c r="E107" i="12767"/>
  <c r="E663" i="12767"/>
  <c r="E369" i="12767"/>
  <c r="K870" i="12787"/>
  <c r="K871" i="12787" s="1"/>
  <c r="G814" i="12787"/>
  <c r="G871" i="12787"/>
  <c r="H404" i="12767"/>
  <c r="H367" i="12767"/>
  <c r="H369" i="12767" s="1"/>
  <c r="Q161" i="12766"/>
  <c r="AF16" i="12775"/>
  <c r="AG16" i="12775" s="1"/>
  <c r="AF39" i="12775"/>
  <c r="AG39" i="12775" s="1"/>
  <c r="AF15" i="12775"/>
  <c r="AG15" i="12775" s="1"/>
  <c r="B625" i="12767"/>
  <c r="B665" i="12767"/>
  <c r="B92" i="12767"/>
  <c r="B109" i="12767"/>
  <c r="H187" i="12767"/>
  <c r="H183" i="12767"/>
  <c r="H171" i="12767"/>
  <c r="AE22" i="12774"/>
  <c r="Q60" i="12774"/>
  <c r="R60" i="12774" s="1"/>
  <c r="G89" i="12787"/>
  <c r="G91" i="12787" s="1"/>
  <c r="G104" i="12787"/>
  <c r="AF10" i="12775"/>
  <c r="AG10" i="12775" s="1"/>
  <c r="AG7" i="12774"/>
  <c r="K204" i="12787"/>
  <c r="G175" i="12787"/>
  <c r="K175" i="12787" s="1"/>
  <c r="E23" i="12767"/>
  <c r="AF29" i="12775"/>
  <c r="I20" i="12783"/>
  <c r="K626" i="12787"/>
  <c r="K627" i="12787" s="1"/>
  <c r="G627" i="12787"/>
  <c r="R95" i="12764"/>
  <c r="P98" i="12764"/>
  <c r="Q95" i="12764"/>
  <c r="V95" i="12764"/>
  <c r="U95" i="12764"/>
  <c r="R89" i="12764"/>
  <c r="Q89" i="12764"/>
  <c r="V89" i="12764"/>
  <c r="U89" i="12764"/>
  <c r="K1144" i="12767"/>
  <c r="O1145" i="12767" s="1"/>
  <c r="E1144" i="12767"/>
  <c r="K289" i="12787"/>
  <c r="K290" i="12787" s="1"/>
  <c r="G290" i="12787"/>
  <c r="H230" i="12787"/>
  <c r="H202" i="12787" s="1"/>
  <c r="H173" i="12787" s="1"/>
  <c r="D202" i="12787"/>
  <c r="D173" i="12787" s="1"/>
  <c r="M173" i="12787" s="1"/>
  <c r="H226" i="12787"/>
  <c r="H198" i="12787" s="1"/>
  <c r="H169" i="12787" s="1"/>
  <c r="D198" i="12787"/>
  <c r="D169" i="12787" s="1"/>
  <c r="M169" i="12787" s="1"/>
  <c r="D187" i="12787"/>
  <c r="D158" i="12787" s="1"/>
  <c r="M158" i="12787" s="1"/>
  <c r="H215" i="12787"/>
  <c r="H187" i="12787" s="1"/>
  <c r="H158" i="12787" s="1"/>
  <c r="D199" i="12787"/>
  <c r="D170" i="12787" s="1"/>
  <c r="M170" i="12787" s="1"/>
  <c r="H227" i="12787"/>
  <c r="H199" i="12787" s="1"/>
  <c r="H170" i="12787" s="1"/>
  <c r="D195" i="12787"/>
  <c r="D166" i="12787" s="1"/>
  <c r="M166" i="12787" s="1"/>
  <c r="H223" i="12787"/>
  <c r="H195" i="12787" s="1"/>
  <c r="H166" i="12787" s="1"/>
  <c r="D190" i="12787"/>
  <c r="D161" i="12787" s="1"/>
  <c r="M161" i="12787" s="1"/>
  <c r="H218" i="12787"/>
  <c r="H190" i="12787" s="1"/>
  <c r="H161" i="12787" s="1"/>
  <c r="D188" i="12787"/>
  <c r="D159" i="12787" s="1"/>
  <c r="M159" i="12787" s="1"/>
  <c r="H216" i="12787"/>
  <c r="H188" i="12787" s="1"/>
  <c r="H159" i="12787" s="1"/>
  <c r="G203" i="12787"/>
  <c r="G233" i="12787"/>
  <c r="K26" i="12787"/>
  <c r="G27" i="12787"/>
  <c r="D503" i="12787"/>
  <c r="M503" i="12787" s="1"/>
  <c r="H537" i="12787"/>
  <c r="H503" i="12787" s="1"/>
  <c r="H534" i="12787"/>
  <c r="H500" i="12787" s="1"/>
  <c r="D500" i="12787"/>
  <c r="M500" i="12787" s="1"/>
  <c r="D492" i="12787"/>
  <c r="M492" i="12787" s="1"/>
  <c r="H526" i="12787"/>
  <c r="H492" i="12787" s="1"/>
  <c r="D485" i="12787"/>
  <c r="M485" i="12787" s="1"/>
  <c r="H519" i="12787"/>
  <c r="H485" i="12787" s="1"/>
  <c r="D505" i="12787"/>
  <c r="M505" i="12787" s="1"/>
  <c r="H539" i="12787"/>
  <c r="H505" i="12787" s="1"/>
  <c r="D499" i="12787"/>
  <c r="M499" i="12787" s="1"/>
  <c r="H533" i="12787"/>
  <c r="H499" i="12787" s="1"/>
  <c r="H522" i="12787"/>
  <c r="H488" i="12787" s="1"/>
  <c r="D488" i="12787"/>
  <c r="M488" i="12787" s="1"/>
  <c r="H525" i="12787"/>
  <c r="H491" i="12787" s="1"/>
  <c r="D491" i="12787"/>
  <c r="M491" i="12787" s="1"/>
  <c r="P934" i="12766"/>
  <c r="O934" i="12766"/>
  <c r="O936" i="12766" s="1"/>
  <c r="AG16" i="12774"/>
  <c r="U482" i="12787"/>
  <c r="W482" i="12787" s="1"/>
  <c r="K102" i="12787"/>
  <c r="M189" i="12767"/>
  <c r="H189" i="12767"/>
  <c r="H185" i="12767"/>
  <c r="H172" i="12767"/>
  <c r="B194" i="12767"/>
  <c r="K174" i="12766"/>
  <c r="K176" i="12766" s="1"/>
  <c r="K205" i="12766"/>
  <c r="G112" i="12763"/>
  <c r="K110" i="12763"/>
  <c r="K112" i="12763" s="1"/>
  <c r="J110" i="12763"/>
  <c r="L110" i="12763" s="1"/>
  <c r="K946" i="12787"/>
  <c r="K947" i="12787" s="1"/>
  <c r="G947" i="12787"/>
  <c r="H173" i="12767"/>
  <c r="M190" i="12767"/>
  <c r="H190" i="12767"/>
  <c r="H188" i="12767"/>
  <c r="H186" i="12767"/>
  <c r="H184" i="12767"/>
  <c r="H169" i="12767"/>
  <c r="AF14" i="12775"/>
  <c r="H170" i="12767"/>
  <c r="AG10" i="12774"/>
  <c r="AG42" i="12774"/>
  <c r="AG25" i="12774"/>
  <c r="K203" i="12787"/>
  <c r="K233" i="12787"/>
  <c r="AG28" i="12774"/>
  <c r="AF34" i="12775"/>
  <c r="R52" i="12774"/>
  <c r="R58" i="12774"/>
  <c r="E139" i="12767"/>
  <c r="T9" i="12764"/>
  <c r="E229" i="12767"/>
  <c r="E300" i="12767"/>
  <c r="G785" i="12787"/>
  <c r="G815" i="12787"/>
  <c r="C174" i="12787"/>
  <c r="C176" i="12787" s="1"/>
  <c r="C205" i="12787"/>
  <c r="H228" i="12787"/>
  <c r="H200" i="12787" s="1"/>
  <c r="H171" i="12787" s="1"/>
  <c r="D200" i="12787"/>
  <c r="D171" i="12787" s="1"/>
  <c r="M171" i="12787" s="1"/>
  <c r="H224" i="12787"/>
  <c r="H196" i="12787" s="1"/>
  <c r="H167" i="12787" s="1"/>
  <c r="D196" i="12787"/>
  <c r="D167" i="12787" s="1"/>
  <c r="M167" i="12787" s="1"/>
  <c r="D201" i="12787"/>
  <c r="D172" i="12787" s="1"/>
  <c r="M172" i="12787" s="1"/>
  <c r="H229" i="12787"/>
  <c r="H201" i="12787" s="1"/>
  <c r="H172" i="12787" s="1"/>
  <c r="D197" i="12787"/>
  <c r="D168" i="12787" s="1"/>
  <c r="M168" i="12787" s="1"/>
  <c r="H225" i="12787"/>
  <c r="H197" i="12787" s="1"/>
  <c r="H168" i="12787" s="1"/>
  <c r="D191" i="12787"/>
  <c r="D162" i="12787" s="1"/>
  <c r="M162" i="12787" s="1"/>
  <c r="H219" i="12787"/>
  <c r="H191" i="12787" s="1"/>
  <c r="H162" i="12787" s="1"/>
  <c r="D189" i="12787"/>
  <c r="D160" i="12787" s="1"/>
  <c r="M160" i="12787" s="1"/>
  <c r="H217" i="12787"/>
  <c r="H189" i="12787" s="1"/>
  <c r="H160" i="12787" s="1"/>
  <c r="D185" i="12787"/>
  <c r="D155" i="12787" s="1"/>
  <c r="M155" i="12787" s="1"/>
  <c r="H213" i="12787"/>
  <c r="E195" i="12767"/>
  <c r="P788" i="12766"/>
  <c r="O788" i="12766"/>
  <c r="O790" i="12766" s="1"/>
  <c r="D501" i="12787"/>
  <c r="M501" i="12787" s="1"/>
  <c r="H535" i="12787"/>
  <c r="H501" i="12787" s="1"/>
  <c r="D498" i="12787"/>
  <c r="M498" i="12787" s="1"/>
  <c r="H532" i="12787"/>
  <c r="H498" i="12787" s="1"/>
  <c r="D490" i="12787"/>
  <c r="D542" i="12787"/>
  <c r="H524" i="12787"/>
  <c r="H490" i="12787" s="1"/>
  <c r="T482" i="12787" s="1"/>
  <c r="D484" i="12787"/>
  <c r="M484" i="12787" s="1"/>
  <c r="H518" i="12787"/>
  <c r="D502" i="12787"/>
  <c r="M502" i="12787" s="1"/>
  <c r="H536" i="12787"/>
  <c r="H502" i="12787" s="1"/>
  <c r="D497" i="12787"/>
  <c r="M497" i="12787" s="1"/>
  <c r="H531" i="12787"/>
  <c r="H497" i="12787" s="1"/>
  <c r="H521" i="12787"/>
  <c r="H487" i="12787" s="1"/>
  <c r="T483" i="12787" s="1"/>
  <c r="D487" i="12787"/>
  <c r="M487" i="12787" s="1"/>
  <c r="G85" i="12787"/>
  <c r="G540" i="12787"/>
  <c r="K540" i="12787"/>
  <c r="E475" i="12767"/>
  <c r="U86" i="12787"/>
  <c r="W86" i="12787" s="1"/>
  <c r="C91" i="12787"/>
  <c r="V47" i="12764" l="1"/>
  <c r="R47" i="12764"/>
  <c r="E922" i="12767"/>
  <c r="Q47" i="12764"/>
  <c r="P73" i="12764"/>
  <c r="Q73" i="12764" s="1"/>
  <c r="Q9" i="12764"/>
  <c r="I89" i="12767"/>
  <c r="I84" i="12767" s="1"/>
  <c r="AB28" i="12852"/>
  <c r="W28" i="12852" s="1"/>
  <c r="X28" i="12852" s="1"/>
  <c r="U28" i="12852"/>
  <c r="Q28" i="12852" s="1"/>
  <c r="R29" i="12783"/>
  <c r="P1144" i="12767"/>
  <c r="O28" i="12831"/>
  <c r="I526" i="12767"/>
  <c r="K526" i="12767" s="1"/>
  <c r="I491" i="12767"/>
  <c r="K491" i="12767" s="1"/>
  <c r="I456" i="12767"/>
  <c r="I420" i="12767"/>
  <c r="K420" i="12767" s="1"/>
  <c r="I385" i="12767"/>
  <c r="K385" i="12767" s="1"/>
  <c r="I350" i="12767"/>
  <c r="I315" i="12767"/>
  <c r="K315" i="12767" s="1"/>
  <c r="I281" i="12767"/>
  <c r="K281" i="12767" s="1"/>
  <c r="I246" i="12767"/>
  <c r="K246" i="12767" s="1"/>
  <c r="I212" i="12767"/>
  <c r="I540" i="12767"/>
  <c r="K540" i="12767" s="1"/>
  <c r="I505" i="12767"/>
  <c r="K505" i="12767" s="1"/>
  <c r="I470" i="12767"/>
  <c r="I434" i="12767"/>
  <c r="K434" i="12767" s="1"/>
  <c r="I399" i="12767"/>
  <c r="K399" i="12767" s="1"/>
  <c r="I364" i="12767"/>
  <c r="I329" i="12767"/>
  <c r="K329" i="12767" s="1"/>
  <c r="I295" i="12767"/>
  <c r="K295" i="12767" s="1"/>
  <c r="I260" i="12767"/>
  <c r="K260" i="12767" s="1"/>
  <c r="I226" i="12767"/>
  <c r="I191" i="12767"/>
  <c r="X47" i="12764"/>
  <c r="R33" i="12764"/>
  <c r="X33" i="12764" s="1"/>
  <c r="X41" i="12764" s="1"/>
  <c r="P78" i="12764"/>
  <c r="R78" i="12764" s="1"/>
  <c r="V19" i="12764"/>
  <c r="P14" i="12764"/>
  <c r="P41" i="12764"/>
  <c r="Q41" i="12764" s="1"/>
  <c r="V33" i="12764"/>
  <c r="AB98" i="12823"/>
  <c r="AA98" i="12823"/>
  <c r="W98" i="12823"/>
  <c r="X98" i="12823"/>
  <c r="AA106" i="12823"/>
  <c r="AB106" i="12823"/>
  <c r="X106" i="12823"/>
  <c r="W106" i="12823"/>
  <c r="L26" i="12783"/>
  <c r="T22" i="12764"/>
  <c r="T28" i="12764" s="1"/>
  <c r="Z22" i="12823"/>
  <c r="P16" i="12812"/>
  <c r="E18" i="12810"/>
  <c r="F18" i="12810" s="1"/>
  <c r="E109" i="12767"/>
  <c r="Z7" i="12823"/>
  <c r="V67" i="12823"/>
  <c r="X7" i="12823"/>
  <c r="AD7" i="12823" s="1"/>
  <c r="W7" i="12823"/>
  <c r="Z75" i="12823"/>
  <c r="K15" i="12812"/>
  <c r="L15" i="12812" s="1"/>
  <c r="N15" i="12812"/>
  <c r="V73" i="12823"/>
  <c r="AB73" i="12823" s="1"/>
  <c r="X9" i="12823"/>
  <c r="AD9" i="12823" s="1"/>
  <c r="W9" i="12823"/>
  <c r="V14" i="12823"/>
  <c r="AA9" i="12823"/>
  <c r="AF14" i="12774"/>
  <c r="L44" i="12812"/>
  <c r="AB91" i="12823"/>
  <c r="AA91" i="12823"/>
  <c r="X91" i="12823"/>
  <c r="W91" i="12823"/>
  <c r="AB33" i="12823"/>
  <c r="V41" i="12823"/>
  <c r="W33" i="12823"/>
  <c r="X33" i="12823"/>
  <c r="AD33" i="12823" s="1"/>
  <c r="AD41" i="12823" s="1"/>
  <c r="AA33" i="12823"/>
  <c r="Q19" i="12764"/>
  <c r="R19" i="12764"/>
  <c r="V78" i="12823"/>
  <c r="AA19" i="12823"/>
  <c r="X19" i="12823"/>
  <c r="AD19" i="12823" s="1"/>
  <c r="AB19" i="12823"/>
  <c r="W19" i="12823"/>
  <c r="O97" i="12811"/>
  <c r="D18" i="12809" s="1"/>
  <c r="F18" i="12809" s="1"/>
  <c r="G18" i="12809" s="1"/>
  <c r="H195" i="12767"/>
  <c r="K195" i="12767" s="1"/>
  <c r="I18" i="12783"/>
  <c r="B195" i="12767"/>
  <c r="B196" i="12767" s="1"/>
  <c r="AF43" i="12775"/>
  <c r="AG43" i="12775" s="1"/>
  <c r="M97" i="12811"/>
  <c r="I29" i="12783"/>
  <c r="AF29" i="12774"/>
  <c r="L82" i="12812"/>
  <c r="L97" i="12812" s="1"/>
  <c r="P79" i="12811"/>
  <c r="R79" i="12812"/>
  <c r="P79" i="12812"/>
  <c r="P71" i="12811"/>
  <c r="R71" i="12812"/>
  <c r="P71" i="12812"/>
  <c r="O49" i="12812"/>
  <c r="N50" i="12812"/>
  <c r="O18" i="12812"/>
  <c r="AF11" i="12774"/>
  <c r="AG11" i="12774" s="1"/>
  <c r="H757" i="12767"/>
  <c r="K756" i="12767"/>
  <c r="I26" i="12783"/>
  <c r="M38" i="12811"/>
  <c r="E16" i="12810"/>
  <c r="L140" i="12811"/>
  <c r="F103" i="12812"/>
  <c r="F117" i="12812" s="1"/>
  <c r="O102" i="12811"/>
  <c r="L102" i="12812"/>
  <c r="O101" i="12811"/>
  <c r="K103" i="12812"/>
  <c r="K117" i="12812" s="1"/>
  <c r="L101" i="12812"/>
  <c r="O76" i="12812"/>
  <c r="N77" i="12812"/>
  <c r="P124" i="12811"/>
  <c r="Q124" i="12811" s="1"/>
  <c r="R124" i="12811" s="1"/>
  <c r="R124" i="12812"/>
  <c r="S124" i="12812" s="1"/>
  <c r="O137" i="12811"/>
  <c r="O52" i="12812"/>
  <c r="N54" i="12812"/>
  <c r="U41" i="12764"/>
  <c r="Q90" i="12764"/>
  <c r="V90" i="12764"/>
  <c r="U90" i="12764"/>
  <c r="R90" i="12764"/>
  <c r="O84" i="12812"/>
  <c r="N85" i="12812"/>
  <c r="P121" i="12811"/>
  <c r="R121" i="12812"/>
  <c r="P121" i="12812"/>
  <c r="AF40" i="12774"/>
  <c r="L127" i="12812"/>
  <c r="L137" i="12812" s="1"/>
  <c r="P124" i="12812"/>
  <c r="O22" i="12812"/>
  <c r="P21" i="12811"/>
  <c r="R21" i="12812"/>
  <c r="P21" i="12812"/>
  <c r="P22" i="12812" s="1"/>
  <c r="E92" i="12767"/>
  <c r="E94" i="12767" s="1"/>
  <c r="E625" i="12767"/>
  <c r="E627" i="12767" s="1"/>
  <c r="AG30" i="12774"/>
  <c r="E665" i="12767"/>
  <c r="T7" i="12764"/>
  <c r="U7" i="12764" s="1"/>
  <c r="V29" i="12783"/>
  <c r="W29" i="12783" s="1"/>
  <c r="H978" i="12767"/>
  <c r="E978" i="12767"/>
  <c r="E960" i="12767"/>
  <c r="E940" i="12767"/>
  <c r="H960" i="12767"/>
  <c r="E1035" i="12767"/>
  <c r="H1035" i="12767"/>
  <c r="E996" i="12767"/>
  <c r="E1017" i="12767"/>
  <c r="H1017" i="12767"/>
  <c r="X9" i="12764"/>
  <c r="K1071" i="12767"/>
  <c r="H1072" i="12767"/>
  <c r="H1053" i="12767"/>
  <c r="H921" i="12767"/>
  <c r="H902" i="12767" s="1"/>
  <c r="H903" i="12767" s="1"/>
  <c r="C1035" i="12787"/>
  <c r="C1038" i="12787" s="1"/>
  <c r="H94" i="12767"/>
  <c r="O25" i="12849" s="1"/>
  <c r="B627" i="12767"/>
  <c r="B94" i="12767"/>
  <c r="I12" i="12783" s="1"/>
  <c r="K814" i="12787"/>
  <c r="K815" i="12787" s="1"/>
  <c r="G786" i="12787"/>
  <c r="K786" i="12787" s="1"/>
  <c r="K787" i="12787" s="1"/>
  <c r="W22" i="12783"/>
  <c r="W30" i="12783"/>
  <c r="AG30" i="12783"/>
  <c r="K542" i="12787"/>
  <c r="K506" i="12787"/>
  <c r="K508" i="12787" s="1"/>
  <c r="AF36" i="12775"/>
  <c r="AG34" i="12775"/>
  <c r="M179" i="12766"/>
  <c r="P177" i="12766"/>
  <c r="O177" i="12766"/>
  <c r="K1006" i="12766"/>
  <c r="K1009" i="12766" s="1"/>
  <c r="K89" i="12787"/>
  <c r="K91" i="12787" s="1"/>
  <c r="K104" i="12787"/>
  <c r="R98" i="12764"/>
  <c r="Q98" i="12764"/>
  <c r="V98" i="12764"/>
  <c r="U98" i="12764"/>
  <c r="R7" i="12764"/>
  <c r="N13" i="12812" s="1"/>
  <c r="Q7" i="12764"/>
  <c r="P67" i="12764"/>
  <c r="N28" i="12783"/>
  <c r="Q68" i="12774"/>
  <c r="R68" i="12774" s="1"/>
  <c r="AE44" i="12774"/>
  <c r="Q91" i="12774" s="1"/>
  <c r="R91" i="12774" s="1"/>
  <c r="H298" i="12767"/>
  <c r="H166" i="12767"/>
  <c r="AF6" i="12775"/>
  <c r="AF12" i="12775" s="1"/>
  <c r="H620" i="12767"/>
  <c r="H617" i="12767"/>
  <c r="M622" i="12767"/>
  <c r="H622" i="12767"/>
  <c r="H616" i="12767"/>
  <c r="H605" i="12767"/>
  <c r="H603" i="12767"/>
  <c r="H604" i="12767"/>
  <c r="M174" i="12787"/>
  <c r="Q159" i="12787"/>
  <c r="T152" i="12787" s="1"/>
  <c r="R159" i="12787"/>
  <c r="W27" i="12783"/>
  <c r="AG27" i="12783"/>
  <c r="G542" i="12787"/>
  <c r="G506" i="12787"/>
  <c r="G508" i="12787" s="1"/>
  <c r="AG28" i="12783"/>
  <c r="W28" i="12783"/>
  <c r="H484" i="12787"/>
  <c r="H540" i="12787"/>
  <c r="M490" i="12787"/>
  <c r="M506" i="12787" s="1"/>
  <c r="D508" i="12787"/>
  <c r="D1035" i="12787" s="1"/>
  <c r="D1038" i="12787" s="1"/>
  <c r="D1045" i="12787" s="1"/>
  <c r="H185" i="12787"/>
  <c r="H155" i="12787" s="1"/>
  <c r="T151" i="12787" s="1"/>
  <c r="H231" i="12787"/>
  <c r="E194" i="12767"/>
  <c r="E196" i="12767" s="1"/>
  <c r="E231" i="12767"/>
  <c r="V9" i="12764"/>
  <c r="U9" i="12764"/>
  <c r="T73" i="12764"/>
  <c r="K174" i="12787"/>
  <c r="K176" i="12787" s="1"/>
  <c r="K205" i="12787"/>
  <c r="AG14" i="12775"/>
  <c r="AG39" i="12774"/>
  <c r="G174" i="12787"/>
  <c r="G176" i="12787" s="1"/>
  <c r="G205" i="12787"/>
  <c r="N27" i="12783"/>
  <c r="N30" i="12783"/>
  <c r="AG38" i="12774"/>
  <c r="R91" i="12764"/>
  <c r="Q91" i="12764"/>
  <c r="V91" i="12764"/>
  <c r="U91" i="12764"/>
  <c r="AG29" i="12775"/>
  <c r="AF32" i="12775"/>
  <c r="AG32" i="12775" s="1"/>
  <c r="H618" i="12767"/>
  <c r="H615" i="12767"/>
  <c r="H619" i="12767"/>
  <c r="H614" i="12767"/>
  <c r="AF18" i="12775"/>
  <c r="AG18" i="12775" s="1"/>
  <c r="H600" i="12767"/>
  <c r="H601" i="12767"/>
  <c r="H598" i="12767"/>
  <c r="U28" i="12831" l="1"/>
  <c r="Q28" i="12831" s="1"/>
  <c r="P75" i="12764"/>
  <c r="R73" i="12764"/>
  <c r="T13" i="12849"/>
  <c r="H14" i="12853" s="1"/>
  <c r="H24" i="12853" s="1"/>
  <c r="U78" i="12764"/>
  <c r="N72" i="12812"/>
  <c r="O72" i="12812" s="1"/>
  <c r="L11" i="12783"/>
  <c r="AD14" i="12823"/>
  <c r="Y11" i="12833"/>
  <c r="AA11" i="12833" s="1"/>
  <c r="I90" i="12767"/>
  <c r="I130" i="12767"/>
  <c r="K130" i="12767" s="1"/>
  <c r="M83" i="12767"/>
  <c r="I115" i="12767"/>
  <c r="K115" i="12767" s="1"/>
  <c r="I145" i="12767"/>
  <c r="K145" i="12767" s="1"/>
  <c r="I100" i="12767"/>
  <c r="K100" i="12767" s="1"/>
  <c r="R84" i="12767"/>
  <c r="M84" i="12767"/>
  <c r="I101" i="12767"/>
  <c r="K101" i="12767" s="1"/>
  <c r="I146" i="12767"/>
  <c r="K146" i="12767" s="1"/>
  <c r="I116" i="12767"/>
  <c r="K116" i="12767" s="1"/>
  <c r="I131" i="12767"/>
  <c r="K131" i="12767" s="1"/>
  <c r="V41" i="12764"/>
  <c r="Y12" i="12833"/>
  <c r="AA12" i="12833" s="1"/>
  <c r="AD28" i="12852"/>
  <c r="S28" i="12852"/>
  <c r="Y28" i="12852"/>
  <c r="Z28" i="12852" s="1"/>
  <c r="AF28" i="12852"/>
  <c r="T11" i="12849"/>
  <c r="H10" i="12853" s="1"/>
  <c r="H22" i="12853" s="1"/>
  <c r="T10" i="12849"/>
  <c r="R89" i="12767"/>
  <c r="I584" i="12767"/>
  <c r="AB28" i="12831"/>
  <c r="W28" i="12831" s="1"/>
  <c r="X28" i="12831" s="1"/>
  <c r="AE22" i="12783"/>
  <c r="N22" i="12783"/>
  <c r="P84" i="12767"/>
  <c r="P83" i="12767"/>
  <c r="I106" i="12767"/>
  <c r="K106" i="12767" s="1"/>
  <c r="I91" i="12767"/>
  <c r="U13" i="12849" s="1"/>
  <c r="I14" i="12853" s="1"/>
  <c r="I24" i="12853" s="1"/>
  <c r="K226" i="12767"/>
  <c r="K364" i="12767"/>
  <c r="K350" i="12767"/>
  <c r="I105" i="12767"/>
  <c r="K105" i="12767" s="1"/>
  <c r="I685" i="12767"/>
  <c r="I624" i="12767"/>
  <c r="K212" i="12767"/>
  <c r="I541" i="12767"/>
  <c r="K541" i="12767" s="1"/>
  <c r="I506" i="12767"/>
  <c r="K506" i="12767" s="1"/>
  <c r="I471" i="12767"/>
  <c r="I435" i="12767"/>
  <c r="K435" i="12767" s="1"/>
  <c r="I400" i="12767"/>
  <c r="K400" i="12767" s="1"/>
  <c r="I365" i="12767"/>
  <c r="I330" i="12767"/>
  <c r="K330" i="12767" s="1"/>
  <c r="I296" i="12767"/>
  <c r="K296" i="12767" s="1"/>
  <c r="I261" i="12767"/>
  <c r="K261" i="12767" s="1"/>
  <c r="I227" i="12767"/>
  <c r="I192" i="12767"/>
  <c r="I527" i="12767"/>
  <c r="K527" i="12767" s="1"/>
  <c r="I492" i="12767"/>
  <c r="K492" i="12767" s="1"/>
  <c r="I457" i="12767"/>
  <c r="I421" i="12767"/>
  <c r="K421" i="12767" s="1"/>
  <c r="I386" i="12767"/>
  <c r="K386" i="12767" s="1"/>
  <c r="I351" i="12767"/>
  <c r="I316" i="12767"/>
  <c r="K316" i="12767" s="1"/>
  <c r="I282" i="12767"/>
  <c r="K282" i="12767" s="1"/>
  <c r="I247" i="12767"/>
  <c r="K247" i="12767" s="1"/>
  <c r="I213" i="12767"/>
  <c r="K470" i="12767"/>
  <c r="K456" i="12767"/>
  <c r="I528" i="12767"/>
  <c r="K528" i="12767" s="1"/>
  <c r="I493" i="12767"/>
  <c r="K493" i="12767" s="1"/>
  <c r="I458" i="12767"/>
  <c r="I422" i="12767"/>
  <c r="K422" i="12767" s="1"/>
  <c r="I387" i="12767"/>
  <c r="K387" i="12767" s="1"/>
  <c r="I352" i="12767"/>
  <c r="I317" i="12767"/>
  <c r="K317" i="12767" s="1"/>
  <c r="I283" i="12767"/>
  <c r="K283" i="12767" s="1"/>
  <c r="I248" i="12767"/>
  <c r="K248" i="12767" s="1"/>
  <c r="I214" i="12767"/>
  <c r="I542" i="12767"/>
  <c r="K542" i="12767" s="1"/>
  <c r="I507" i="12767"/>
  <c r="K507" i="12767" s="1"/>
  <c r="I472" i="12767"/>
  <c r="I436" i="12767"/>
  <c r="K436" i="12767" s="1"/>
  <c r="I401" i="12767"/>
  <c r="K401" i="12767" s="1"/>
  <c r="I366" i="12767"/>
  <c r="I331" i="12767"/>
  <c r="K331" i="12767" s="1"/>
  <c r="I297" i="12767"/>
  <c r="K297" i="12767" s="1"/>
  <c r="I262" i="12767"/>
  <c r="K262" i="12767" s="1"/>
  <c r="I228" i="12767"/>
  <c r="I193" i="12767"/>
  <c r="T83" i="12764"/>
  <c r="T84" i="12764" s="1"/>
  <c r="V78" i="12764"/>
  <c r="Q78" i="12764"/>
  <c r="R41" i="12764"/>
  <c r="O15" i="12811"/>
  <c r="I17" i="12783"/>
  <c r="L18" i="12783"/>
  <c r="Z83" i="12823"/>
  <c r="Z28" i="12823"/>
  <c r="V7" i="12764"/>
  <c r="T14" i="12764"/>
  <c r="V14" i="12764" s="1"/>
  <c r="X67" i="12823"/>
  <c r="V69" i="12823"/>
  <c r="W67" i="12823"/>
  <c r="Z67" i="12823"/>
  <c r="AB7" i="12823"/>
  <c r="Z14" i="12823"/>
  <c r="AA14" i="12823" s="1"/>
  <c r="AA7" i="12823"/>
  <c r="X14" i="12823"/>
  <c r="W14" i="12823"/>
  <c r="V75" i="12823"/>
  <c r="AB75" i="12823" s="1"/>
  <c r="X73" i="12823"/>
  <c r="W73" i="12823"/>
  <c r="AA73" i="12823"/>
  <c r="X41" i="12823"/>
  <c r="AA41" i="12823"/>
  <c r="AB41" i="12823"/>
  <c r="W41" i="12823"/>
  <c r="AA78" i="12823"/>
  <c r="AB78" i="12823"/>
  <c r="X78" i="12823"/>
  <c r="W78" i="12823"/>
  <c r="N42" i="12812"/>
  <c r="O42" i="12812" s="1"/>
  <c r="X19" i="12764"/>
  <c r="P18" i="12764"/>
  <c r="P77" i="12764" s="1"/>
  <c r="P81" i="12764" s="1"/>
  <c r="V18" i="12823"/>
  <c r="I31" i="12783"/>
  <c r="AF8" i="12774"/>
  <c r="O15" i="12812"/>
  <c r="P15" i="12812" s="1"/>
  <c r="H229" i="12767"/>
  <c r="M140" i="12811"/>
  <c r="I15" i="12783"/>
  <c r="O81" i="12812"/>
  <c r="N82" i="12812"/>
  <c r="S79" i="12812"/>
  <c r="Q79" i="12811"/>
  <c r="S71" i="12812"/>
  <c r="Q71" i="12811"/>
  <c r="P49" i="12811"/>
  <c r="O50" i="12812"/>
  <c r="R49" i="12812"/>
  <c r="P49" i="12812"/>
  <c r="P50" i="12812" s="1"/>
  <c r="P18" i="12812"/>
  <c r="P18" i="12811"/>
  <c r="Q18" i="12811" s="1"/>
  <c r="R18" i="12811" s="1"/>
  <c r="R18" i="12812"/>
  <c r="S18" i="12812" s="1"/>
  <c r="E21" i="12810"/>
  <c r="E25" i="12810" s="1"/>
  <c r="F16" i="12810"/>
  <c r="F19" i="12812"/>
  <c r="F38" i="12812" s="1"/>
  <c r="K13" i="12812"/>
  <c r="O102" i="12812"/>
  <c r="P102" i="12812" s="1"/>
  <c r="AF35" i="12774"/>
  <c r="AG35" i="12774" s="1"/>
  <c r="AF34" i="12774"/>
  <c r="L103" i="12812"/>
  <c r="L117" i="12812" s="1"/>
  <c r="O103" i="12811"/>
  <c r="O117" i="12811" s="1"/>
  <c r="D19" i="12809" s="1"/>
  <c r="F19" i="12809" s="1"/>
  <c r="G19" i="12809" s="1"/>
  <c r="P76" i="12811"/>
  <c r="O77" i="12812"/>
  <c r="R76" i="12812"/>
  <c r="P76" i="12812"/>
  <c r="P77" i="12812" s="1"/>
  <c r="T67" i="12764"/>
  <c r="V67" i="12764" s="1"/>
  <c r="O123" i="12812"/>
  <c r="N127" i="12812"/>
  <c r="N137" i="12812" s="1"/>
  <c r="S121" i="12812"/>
  <c r="Q121" i="12811"/>
  <c r="R121" i="12811" s="1"/>
  <c r="O85" i="12812"/>
  <c r="P84" i="12811"/>
  <c r="R84" i="12812"/>
  <c r="P84" i="12812"/>
  <c r="P85" i="12812" s="1"/>
  <c r="P52" i="12811"/>
  <c r="O54" i="12812"/>
  <c r="R52" i="12812"/>
  <c r="P52" i="12812"/>
  <c r="P54" i="12812" s="1"/>
  <c r="D20" i="12809"/>
  <c r="E1237" i="12767"/>
  <c r="E1240" i="12767" s="1"/>
  <c r="S21" i="12812"/>
  <c r="S22" i="12812" s="1"/>
  <c r="R22" i="12812"/>
  <c r="P22" i="12811"/>
  <c r="Q21" i="12811"/>
  <c r="AG29" i="12783"/>
  <c r="AG40" i="12774"/>
  <c r="H941" i="12767"/>
  <c r="E941" i="12767"/>
  <c r="B1237" i="12767"/>
  <c r="B1240" i="12767" s="1"/>
  <c r="H997" i="12767"/>
  <c r="E997" i="12767"/>
  <c r="X7" i="12764"/>
  <c r="X14" i="12764" s="1"/>
  <c r="H922" i="12767"/>
  <c r="O27" i="12852" s="1"/>
  <c r="K921" i="12767"/>
  <c r="AF43" i="12774"/>
  <c r="AG43" i="12774" s="1"/>
  <c r="G787" i="12787"/>
  <c r="G1035" i="12787" s="1"/>
  <c r="G1038" i="12787" s="1"/>
  <c r="P788" i="12787"/>
  <c r="O788" i="12787"/>
  <c r="T153" i="12787"/>
  <c r="L31" i="12783"/>
  <c r="AE30" i="12783"/>
  <c r="P480" i="12787"/>
  <c r="T481" i="12787"/>
  <c r="C1042" i="12787"/>
  <c r="AG6" i="12775"/>
  <c r="H300" i="12767"/>
  <c r="Q67" i="12764"/>
  <c r="P69" i="12764"/>
  <c r="R67" i="12764"/>
  <c r="AG19" i="12774"/>
  <c r="O1009" i="12766"/>
  <c r="K1012" i="12766"/>
  <c r="P1009" i="12766"/>
  <c r="AF22" i="12775"/>
  <c r="AG22" i="12775" s="1"/>
  <c r="AE27" i="12783"/>
  <c r="R75" i="12764"/>
  <c r="Q75" i="12764"/>
  <c r="U73" i="12764"/>
  <c r="V73" i="12764"/>
  <c r="T75" i="12764"/>
  <c r="H233" i="12787"/>
  <c r="H203" i="12787"/>
  <c r="H506" i="12787"/>
  <c r="H508" i="12787" s="1"/>
  <c r="H542" i="12787"/>
  <c r="U152" i="12787"/>
  <c r="W152" i="12787" s="1"/>
  <c r="U153" i="12787"/>
  <c r="W153" i="12787" s="1"/>
  <c r="Q161" i="12787"/>
  <c r="H597" i="12767"/>
  <c r="H663" i="12767"/>
  <c r="AE28" i="12783"/>
  <c r="Q14" i="12764"/>
  <c r="R14" i="12764"/>
  <c r="N29" i="12783"/>
  <c r="AK28" i="12831" l="1"/>
  <c r="T12" i="12849"/>
  <c r="H9" i="12853"/>
  <c r="H11" i="12853" s="1"/>
  <c r="L12" i="12783"/>
  <c r="O26" i="12849"/>
  <c r="N74" i="12812"/>
  <c r="L35" i="12833"/>
  <c r="P35" i="12833" s="1"/>
  <c r="L19" i="12833"/>
  <c r="S19" i="12833" s="1"/>
  <c r="L12" i="12833"/>
  <c r="N12" i="12833" s="1"/>
  <c r="L22" i="12833"/>
  <c r="N22" i="12833" s="1"/>
  <c r="L13" i="12833"/>
  <c r="N13" i="12833" s="1"/>
  <c r="L21" i="12833"/>
  <c r="R21" i="12833" s="1"/>
  <c r="L18" i="12833"/>
  <c r="N18" i="12833" s="1"/>
  <c r="L17" i="12833"/>
  <c r="N17" i="12833" s="1"/>
  <c r="K83" i="12767"/>
  <c r="AB14" i="12823"/>
  <c r="L16" i="12833"/>
  <c r="S16" i="12833" s="1"/>
  <c r="L14" i="12833"/>
  <c r="N14" i="12833" s="1"/>
  <c r="K84" i="12767"/>
  <c r="L25" i="12833"/>
  <c r="S25" i="12833" s="1"/>
  <c r="L31" i="12833"/>
  <c r="S31" i="12833" s="1"/>
  <c r="L23" i="12833"/>
  <c r="N23" i="12833" s="1"/>
  <c r="L29" i="12833"/>
  <c r="R29" i="12833" s="1"/>
  <c r="L33" i="12833"/>
  <c r="N33" i="12833" s="1"/>
  <c r="L28" i="12833"/>
  <c r="N28" i="12833" s="1"/>
  <c r="L24" i="12833"/>
  <c r="N24" i="12833" s="1"/>
  <c r="L34" i="12833"/>
  <c r="S34" i="12833" s="1"/>
  <c r="L30" i="12833"/>
  <c r="R30" i="12833" s="1"/>
  <c r="L27" i="12833"/>
  <c r="S27" i="12833" s="1"/>
  <c r="I120" i="12767"/>
  <c r="I135" i="12767" s="1"/>
  <c r="U27" i="12852"/>
  <c r="Q27" i="12852" s="1"/>
  <c r="AB27" i="12852"/>
  <c r="W27" i="12852" s="1"/>
  <c r="V11" i="12783"/>
  <c r="AN11" i="12783" s="1"/>
  <c r="T16" i="12849"/>
  <c r="O13" i="12849"/>
  <c r="O12" i="12849"/>
  <c r="O11" i="12849"/>
  <c r="R22" i="12833"/>
  <c r="U14" i="12764"/>
  <c r="K584" i="12767"/>
  <c r="K566" i="12767"/>
  <c r="K191" i="12767"/>
  <c r="I647" i="12767"/>
  <c r="I662" i="12767" s="1"/>
  <c r="K662" i="12767" s="1"/>
  <c r="AF28" i="12831"/>
  <c r="Y28" i="12831"/>
  <c r="Z28" i="12831" s="1"/>
  <c r="O27" i="12831"/>
  <c r="R91" i="12767"/>
  <c r="I121" i="12767"/>
  <c r="I136" i="12767" s="1"/>
  <c r="K457" i="12767"/>
  <c r="K366" i="12767"/>
  <c r="K472" i="12767"/>
  <c r="K365" i="12767"/>
  <c r="I583" i="12767"/>
  <c r="K228" i="12767"/>
  <c r="K214" i="12767"/>
  <c r="K352" i="12767"/>
  <c r="K458" i="12767"/>
  <c r="K213" i="12767"/>
  <c r="K351" i="12767"/>
  <c r="K471" i="12767"/>
  <c r="I684" i="12767"/>
  <c r="I646" i="12767"/>
  <c r="I623" i="12767"/>
  <c r="K227" i="12767"/>
  <c r="K174" i="12767"/>
  <c r="I700" i="12767"/>
  <c r="K700" i="12767" s="1"/>
  <c r="K685" i="12767"/>
  <c r="Q18" i="12764"/>
  <c r="K107" i="12767"/>
  <c r="T58" i="12764"/>
  <c r="U67" i="12764"/>
  <c r="R18" i="12764"/>
  <c r="N41" i="12812" s="1"/>
  <c r="N97" i="12812"/>
  <c r="H18" i="12809" s="1"/>
  <c r="I18" i="12809" s="1"/>
  <c r="J18" i="12809" s="1"/>
  <c r="I23" i="12783"/>
  <c r="I33" i="12783" s="1"/>
  <c r="I37" i="12783" s="1"/>
  <c r="P22" i="12764"/>
  <c r="R22" i="12764" s="1"/>
  <c r="N46" i="12812" s="1"/>
  <c r="V22" i="12823"/>
  <c r="V28" i="12823" s="1"/>
  <c r="Z84" i="12823"/>
  <c r="Z58" i="12823"/>
  <c r="Z69" i="12823"/>
  <c r="AA67" i="12823"/>
  <c r="AB67" i="12823"/>
  <c r="X69" i="12823"/>
  <c r="W69" i="12823"/>
  <c r="X75" i="12823"/>
  <c r="W75" i="12823"/>
  <c r="AA75" i="12823"/>
  <c r="B1243" i="12767"/>
  <c r="M142" i="12811"/>
  <c r="P42" i="12812"/>
  <c r="R42" i="12812"/>
  <c r="S42" i="12812" s="1"/>
  <c r="P42" i="12811"/>
  <c r="Q42" i="12811" s="1"/>
  <c r="R42" i="12811" s="1"/>
  <c r="P72" i="12812"/>
  <c r="P74" i="12812" s="1"/>
  <c r="P72" i="12811"/>
  <c r="R72" i="12812"/>
  <c r="O74" i="12812"/>
  <c r="V77" i="12823"/>
  <c r="AB18" i="12823"/>
  <c r="AA18" i="12823"/>
  <c r="X18" i="12823"/>
  <c r="AD18" i="12823" s="1"/>
  <c r="W18" i="12823"/>
  <c r="P15" i="12811"/>
  <c r="Q15" i="12811" s="1"/>
  <c r="R15" i="12811" s="1"/>
  <c r="R15" i="12812"/>
  <c r="S15" i="12812" s="1"/>
  <c r="V18" i="12764"/>
  <c r="U18" i="12764"/>
  <c r="T69" i="12764"/>
  <c r="U69" i="12764" s="1"/>
  <c r="P81" i="12812"/>
  <c r="P82" i="12812" s="1"/>
  <c r="P81" i="12811"/>
  <c r="R81" i="12812"/>
  <c r="O82" i="12812"/>
  <c r="R79" i="12811"/>
  <c r="R71" i="12811"/>
  <c r="S49" i="12812"/>
  <c r="S50" i="12812" s="1"/>
  <c r="R50" i="12812"/>
  <c r="P50" i="12811"/>
  <c r="Q49" i="12811"/>
  <c r="F21" i="12810"/>
  <c r="K19" i="12812"/>
  <c r="K38" i="12812" s="1"/>
  <c r="L13" i="12812"/>
  <c r="O13" i="12811"/>
  <c r="R102" i="12812"/>
  <c r="S102" i="12812" s="1"/>
  <c r="P102" i="12811"/>
  <c r="Q102" i="12811" s="1"/>
  <c r="R102" i="12811" s="1"/>
  <c r="O101" i="12812"/>
  <c r="N103" i="12812"/>
  <c r="N117" i="12812" s="1"/>
  <c r="H19" i="12809" s="1"/>
  <c r="I19" i="12809" s="1"/>
  <c r="J19" i="12809" s="1"/>
  <c r="U77" i="12764"/>
  <c r="V77" i="12764"/>
  <c r="R77" i="12764"/>
  <c r="Q77" i="12764"/>
  <c r="S76" i="12812"/>
  <c r="S77" i="12812" s="1"/>
  <c r="R77" i="12812"/>
  <c r="P77" i="12811"/>
  <c r="Q76" i="12811"/>
  <c r="P85" i="12811"/>
  <c r="Q84" i="12811"/>
  <c r="P123" i="12811"/>
  <c r="R123" i="12812"/>
  <c r="P123" i="12812"/>
  <c r="P127" i="12812" s="1"/>
  <c r="P137" i="12812" s="1"/>
  <c r="O127" i="12812"/>
  <c r="O137" i="12812" s="1"/>
  <c r="F20" i="12809"/>
  <c r="S52" i="12812"/>
  <c r="S54" i="12812" s="1"/>
  <c r="R54" i="12812"/>
  <c r="P54" i="12811"/>
  <c r="Q52" i="12811"/>
  <c r="R85" i="12812"/>
  <c r="S84" i="12812"/>
  <c r="S85" i="12812" s="1"/>
  <c r="H20" i="12809"/>
  <c r="R21" i="12811"/>
  <c r="Q22" i="12811"/>
  <c r="AF44" i="12775"/>
  <c r="AG15" i="12774"/>
  <c r="K902" i="12767"/>
  <c r="L20" i="12783"/>
  <c r="AG29" i="12774"/>
  <c r="AE29" i="12783"/>
  <c r="AG24" i="12774"/>
  <c r="U75" i="12764"/>
  <c r="V75" i="12764"/>
  <c r="R81" i="12764"/>
  <c r="Q81" i="12764"/>
  <c r="V81" i="12764"/>
  <c r="U81" i="12764"/>
  <c r="H625" i="12767"/>
  <c r="H627" i="12767" s="1"/>
  <c r="H665" i="12767"/>
  <c r="H174" i="12787"/>
  <c r="H176" i="12787" s="1"/>
  <c r="H1035" i="12787" s="1"/>
  <c r="H1038" i="12787" s="1"/>
  <c r="H1045" i="12787" s="1"/>
  <c r="H205" i="12787"/>
  <c r="R69" i="12764"/>
  <c r="Q69" i="12764"/>
  <c r="C1043" i="12787"/>
  <c r="C1045" i="12787" s="1"/>
  <c r="H194" i="12767"/>
  <c r="H196" i="12767" s="1"/>
  <c r="H231" i="12767"/>
  <c r="AG11" i="12783" l="1"/>
  <c r="AK11" i="12783"/>
  <c r="T8" i="12849"/>
  <c r="T17" i="12849"/>
  <c r="S28" i="12831"/>
  <c r="AD28" i="12831"/>
  <c r="R14" i="12833"/>
  <c r="S35" i="12833"/>
  <c r="H21" i="12853"/>
  <c r="H13" i="12853"/>
  <c r="V12" i="12783"/>
  <c r="W12" i="12783" s="1"/>
  <c r="P13" i="12833"/>
  <c r="R35" i="12833"/>
  <c r="P22" i="12833"/>
  <c r="S22" i="12833"/>
  <c r="N35" i="12833"/>
  <c r="K647" i="12767"/>
  <c r="K607" i="12767" s="1"/>
  <c r="S33" i="12833"/>
  <c r="N25" i="12833"/>
  <c r="R19" i="12833"/>
  <c r="U22" i="12764"/>
  <c r="R16" i="12833"/>
  <c r="P18" i="12833"/>
  <c r="S28" i="12833"/>
  <c r="S12" i="12833"/>
  <c r="R18" i="12833"/>
  <c r="P19" i="12833"/>
  <c r="N16" i="12833"/>
  <c r="R33" i="12833"/>
  <c r="R25" i="12833"/>
  <c r="R12" i="12833"/>
  <c r="N19" i="12833"/>
  <c r="N21" i="12833"/>
  <c r="P12" i="12833"/>
  <c r="S18" i="12833"/>
  <c r="S21" i="12833"/>
  <c r="P33" i="12833"/>
  <c r="P21" i="12833"/>
  <c r="R13" i="12833"/>
  <c r="R17" i="12833"/>
  <c r="S13" i="12833"/>
  <c r="S17" i="12833"/>
  <c r="P34" i="12833"/>
  <c r="P25" i="12833"/>
  <c r="R24" i="12833"/>
  <c r="S30" i="12833"/>
  <c r="S29" i="12833"/>
  <c r="N34" i="12833"/>
  <c r="K120" i="12767"/>
  <c r="N29" i="12833"/>
  <c r="P14" i="12833"/>
  <c r="P17" i="12833"/>
  <c r="S14" i="12833"/>
  <c r="K121" i="12767"/>
  <c r="P29" i="12833"/>
  <c r="N31" i="12833"/>
  <c r="P16" i="12833"/>
  <c r="R34" i="12833"/>
  <c r="R28" i="12833"/>
  <c r="R23" i="12833"/>
  <c r="R31" i="12833"/>
  <c r="P23" i="12833"/>
  <c r="S24" i="12833"/>
  <c r="P24" i="12833"/>
  <c r="P28" i="12833"/>
  <c r="P31" i="12833"/>
  <c r="S23" i="12833"/>
  <c r="P27" i="12833"/>
  <c r="R27" i="12833"/>
  <c r="N27" i="12833"/>
  <c r="P30" i="12833"/>
  <c r="N30" i="12833"/>
  <c r="X27" i="12852"/>
  <c r="W32" i="12852"/>
  <c r="AD27" i="12852"/>
  <c r="S27" i="12852"/>
  <c r="AF27" i="12852"/>
  <c r="Y27" i="12852"/>
  <c r="Z27" i="12852" s="1"/>
  <c r="W11" i="12783"/>
  <c r="O8" i="12849"/>
  <c r="K192" i="12767"/>
  <c r="K583" i="12767"/>
  <c r="P16" i="12783" s="1"/>
  <c r="K565" i="12767"/>
  <c r="AB27" i="12831"/>
  <c r="W27" i="12831" s="1"/>
  <c r="U27" i="12831"/>
  <c r="K193" i="12767"/>
  <c r="K175" i="12767"/>
  <c r="I699" i="12767"/>
  <c r="K699" i="12767" s="1"/>
  <c r="K684" i="12767"/>
  <c r="K176" i="12767"/>
  <c r="K624" i="12767"/>
  <c r="I661" i="12767"/>
  <c r="K661" i="12767" s="1"/>
  <c r="K623" i="12767" s="1"/>
  <c r="K646" i="12767"/>
  <c r="K606" i="12767" s="1"/>
  <c r="V69" i="12764"/>
  <c r="K109" i="12767"/>
  <c r="I150" i="12767"/>
  <c r="K150" i="12767" s="1"/>
  <c r="K135" i="12767"/>
  <c r="K136" i="12767"/>
  <c r="I151" i="12767"/>
  <c r="K151" i="12767" s="1"/>
  <c r="V22" i="12764"/>
  <c r="X18" i="12764"/>
  <c r="T112" i="12764"/>
  <c r="O97" i="12812"/>
  <c r="Q22" i="12764"/>
  <c r="P28" i="12764"/>
  <c r="U28" i="12764" s="1"/>
  <c r="P83" i="12764"/>
  <c r="Q83" i="12764" s="1"/>
  <c r="V83" i="12823"/>
  <c r="X22" i="12823"/>
  <c r="AD22" i="12823" s="1"/>
  <c r="AD28" i="12823" s="1"/>
  <c r="AD58" i="12823" s="1"/>
  <c r="W22" i="12823"/>
  <c r="AB22" i="12823"/>
  <c r="AA22" i="12823"/>
  <c r="AB69" i="12823"/>
  <c r="AA69" i="12823"/>
  <c r="Z112" i="12823"/>
  <c r="P97" i="12812"/>
  <c r="S72" i="12812"/>
  <c r="S74" i="12812" s="1"/>
  <c r="R74" i="12812"/>
  <c r="Q72" i="12811"/>
  <c r="P74" i="12811"/>
  <c r="X77" i="12823"/>
  <c r="AB77" i="12823"/>
  <c r="V81" i="12823"/>
  <c r="AA77" i="12823"/>
  <c r="W77" i="12823"/>
  <c r="V58" i="12823"/>
  <c r="X28" i="12823"/>
  <c r="AB28" i="12823"/>
  <c r="AA28" i="12823"/>
  <c r="W28" i="12823"/>
  <c r="N44" i="12812"/>
  <c r="O41" i="12812"/>
  <c r="X22" i="12764"/>
  <c r="F25" i="12810"/>
  <c r="B1244" i="12767"/>
  <c r="B1246" i="12767" s="1"/>
  <c r="Q81" i="12811"/>
  <c r="P82" i="12811"/>
  <c r="S81" i="12812"/>
  <c r="S82" i="12812" s="1"/>
  <c r="R82" i="12812"/>
  <c r="R49" i="12811"/>
  <c r="R50" i="12811" s="1"/>
  <c r="Q50" i="12811"/>
  <c r="AF6" i="12774"/>
  <c r="AF12" i="12774" s="1"/>
  <c r="L19" i="12812"/>
  <c r="L38" i="12812" s="1"/>
  <c r="O19" i="12811"/>
  <c r="O38" i="12811" s="1"/>
  <c r="D16" i="12809" s="1"/>
  <c r="F16" i="12809" s="1"/>
  <c r="G16" i="12809" s="1"/>
  <c r="P101" i="12811"/>
  <c r="O103" i="12812"/>
  <c r="O117" i="12812" s="1"/>
  <c r="R101" i="12812"/>
  <c r="P101" i="12812"/>
  <c r="P103" i="12812" s="1"/>
  <c r="P117" i="12812" s="1"/>
  <c r="R76" i="12811"/>
  <c r="Q77" i="12811"/>
  <c r="H1237" i="12767"/>
  <c r="H1240" i="12767" s="1"/>
  <c r="F47" i="12812"/>
  <c r="K46" i="12812"/>
  <c r="I20" i="12809"/>
  <c r="G20" i="12809"/>
  <c r="S123" i="12812"/>
  <c r="S127" i="12812" s="1"/>
  <c r="S137" i="12812" s="1"/>
  <c r="R127" i="12812"/>
  <c r="R137" i="12812" s="1"/>
  <c r="R84" i="12811"/>
  <c r="Q85" i="12811"/>
  <c r="R52" i="12811"/>
  <c r="Q54" i="12811"/>
  <c r="Q123" i="12811"/>
  <c r="R123" i="12811" s="1"/>
  <c r="P127" i="12811"/>
  <c r="R22" i="12811"/>
  <c r="AF32" i="12774"/>
  <c r="AG32" i="12774" s="1"/>
  <c r="AG8" i="12774"/>
  <c r="L17" i="12783"/>
  <c r="L15" i="12783"/>
  <c r="AG34" i="12774"/>
  <c r="AF36" i="12774"/>
  <c r="Q27" i="12831" l="1"/>
  <c r="AK27" i="12831"/>
  <c r="AN27" i="12831" s="1"/>
  <c r="H23" i="12853"/>
  <c r="H25" i="12853" s="1"/>
  <c r="H15" i="12853"/>
  <c r="H17" i="12853" s="1"/>
  <c r="P17" i="12783"/>
  <c r="K122" i="12767"/>
  <c r="K124" i="12767" s="1"/>
  <c r="X32" i="12852"/>
  <c r="W44" i="12852"/>
  <c r="AF27" i="12831"/>
  <c r="Y27" i="12831"/>
  <c r="Z27" i="12831" s="1"/>
  <c r="X27" i="12831"/>
  <c r="W32" i="12831"/>
  <c r="P15" i="12783"/>
  <c r="K89" i="12767"/>
  <c r="P84" i="12764"/>
  <c r="U84" i="12764" s="1"/>
  <c r="K152" i="12767"/>
  <c r="K154" i="12767" s="1"/>
  <c r="K137" i="12767"/>
  <c r="K88" i="12767"/>
  <c r="X28" i="12764"/>
  <c r="X58" i="12764" s="1"/>
  <c r="R83" i="12764"/>
  <c r="R28" i="12764"/>
  <c r="P97" i="12811"/>
  <c r="V83" i="12764"/>
  <c r="U83" i="12764"/>
  <c r="P58" i="12764"/>
  <c r="V58" i="12764" s="1"/>
  <c r="V28" i="12764"/>
  <c r="Q28" i="12764"/>
  <c r="V84" i="12823"/>
  <c r="V112" i="12823" s="1"/>
  <c r="X83" i="12823"/>
  <c r="W83" i="12823"/>
  <c r="AA83" i="12823"/>
  <c r="AB83" i="12823"/>
  <c r="R97" i="12812"/>
  <c r="S97" i="12812"/>
  <c r="R72" i="12811"/>
  <c r="R74" i="12811" s="1"/>
  <c r="Q74" i="12811"/>
  <c r="AA81" i="12823"/>
  <c r="AB81" i="12823"/>
  <c r="X81" i="12823"/>
  <c r="W81" i="12823"/>
  <c r="AB58" i="12823"/>
  <c r="X58" i="12823"/>
  <c r="AA58" i="12823"/>
  <c r="W58" i="12823"/>
  <c r="O44" i="12812"/>
  <c r="R41" i="12812"/>
  <c r="P41" i="12811"/>
  <c r="P41" i="12812"/>
  <c r="P44" i="12812" s="1"/>
  <c r="R81" i="12811"/>
  <c r="Q82" i="12811"/>
  <c r="O13" i="12812"/>
  <c r="N19" i="12812"/>
  <c r="N38" i="12812" s="1"/>
  <c r="H16" i="12809" s="1"/>
  <c r="I16" i="12809" s="1"/>
  <c r="J16" i="12809" s="1"/>
  <c r="S101" i="12812"/>
  <c r="S103" i="12812" s="1"/>
  <c r="S117" i="12812" s="1"/>
  <c r="R103" i="12812"/>
  <c r="R117" i="12812" s="1"/>
  <c r="P103" i="12811"/>
  <c r="P117" i="12811" s="1"/>
  <c r="Q101" i="12811"/>
  <c r="R77" i="12811"/>
  <c r="F68" i="12812"/>
  <c r="F140" i="12812" s="1"/>
  <c r="F54" i="12814"/>
  <c r="K47" i="12812"/>
  <c r="K68" i="12812" s="1"/>
  <c r="K140" i="12812" s="1"/>
  <c r="L46" i="12812"/>
  <c r="O46" i="12811"/>
  <c r="P137" i="12811"/>
  <c r="Q127" i="12811"/>
  <c r="R85" i="12811"/>
  <c r="J20" i="12809"/>
  <c r="R54" i="12811"/>
  <c r="L23" i="12783"/>
  <c r="O922" i="12767" l="1"/>
  <c r="AD27" i="12831"/>
  <c r="S27" i="12831"/>
  <c r="R84" i="12764"/>
  <c r="R112" i="12764" s="1"/>
  <c r="W48" i="12852"/>
  <c r="X48" i="12852" s="1"/>
  <c r="X44" i="12852"/>
  <c r="X32" i="12831"/>
  <c r="W44" i="12831"/>
  <c r="P112" i="12764"/>
  <c r="V84" i="12764"/>
  <c r="V112" i="12764" s="1"/>
  <c r="Q84" i="12764"/>
  <c r="K139" i="12767"/>
  <c r="K92" i="12767"/>
  <c r="K94" i="12767" s="1"/>
  <c r="U10" i="12849" s="1"/>
  <c r="U58" i="12764"/>
  <c r="R58" i="12764"/>
  <c r="Q58" i="12764"/>
  <c r="X84" i="12823"/>
  <c r="W84" i="12823"/>
  <c r="AB84" i="12823"/>
  <c r="AB112" i="12823" s="1"/>
  <c r="AA84" i="12823"/>
  <c r="X112" i="12823"/>
  <c r="Q97" i="12811"/>
  <c r="W112" i="12823"/>
  <c r="AA112" i="12823"/>
  <c r="P44" i="12811"/>
  <c r="Q41" i="12811"/>
  <c r="S41" i="12812"/>
  <c r="S44" i="12812" s="1"/>
  <c r="R44" i="12812"/>
  <c r="R82" i="12811"/>
  <c r="R97" i="12811" s="1"/>
  <c r="P13" i="12811"/>
  <c r="O19" i="12812"/>
  <c r="O38" i="12812" s="1"/>
  <c r="R13" i="12812"/>
  <c r="P13" i="12812"/>
  <c r="P19" i="12812" s="1"/>
  <c r="P38" i="12812" s="1"/>
  <c r="R101" i="12811"/>
  <c r="R103" i="12811" s="1"/>
  <c r="Q103" i="12811"/>
  <c r="Q117" i="12811" s="1"/>
  <c r="O47" i="12811"/>
  <c r="O68" i="12811" s="1"/>
  <c r="AF18" i="12774"/>
  <c r="AG18" i="12774" s="1"/>
  <c r="L47" i="12812"/>
  <c r="L68" i="12812" s="1"/>
  <c r="L140" i="12812" s="1"/>
  <c r="R127" i="12811"/>
  <c r="R137" i="12811" s="1"/>
  <c r="Q137" i="12811"/>
  <c r="L33" i="12783"/>
  <c r="AG14" i="12774"/>
  <c r="AG12" i="12774"/>
  <c r="AG6" i="12774"/>
  <c r="AC11" i="12783" l="1"/>
  <c r="U11" i="12849"/>
  <c r="I10" i="12853" s="1"/>
  <c r="I22" i="12853" s="1"/>
  <c r="P23" i="12783"/>
  <c r="P33" i="12783" s="1"/>
  <c r="P37" i="12783" s="1"/>
  <c r="X44" i="12831"/>
  <c r="W48" i="12831"/>
  <c r="X48" i="12831" s="1"/>
  <c r="W24" i="12833"/>
  <c r="Q112" i="12764"/>
  <c r="U112" i="12764"/>
  <c r="R41" i="12811"/>
  <c r="R44" i="12811" s="1"/>
  <c r="Q44" i="12811"/>
  <c r="AF22" i="12774"/>
  <c r="AF44" i="12774" s="1"/>
  <c r="S13" i="12812"/>
  <c r="S19" i="12812" s="1"/>
  <c r="S38" i="12812" s="1"/>
  <c r="R19" i="12812"/>
  <c r="R38" i="12812" s="1"/>
  <c r="P19" i="12811"/>
  <c r="P38" i="12811" s="1"/>
  <c r="Q13" i="12811"/>
  <c r="R117" i="12811"/>
  <c r="D17" i="12809"/>
  <c r="O140" i="12811"/>
  <c r="O46" i="12812"/>
  <c r="N47" i="12812"/>
  <c r="N68" i="12812" s="1"/>
  <c r="AC33" i="12783"/>
  <c r="AC28" i="12783"/>
  <c r="X28" i="12783" s="1"/>
  <c r="AC29" i="12783"/>
  <c r="X29" i="12783" s="1"/>
  <c r="AC27" i="12783"/>
  <c r="X27" i="12783" s="1"/>
  <c r="AC21" i="12783"/>
  <c r="X21" i="12783" s="1"/>
  <c r="AC26" i="12783"/>
  <c r="X26" i="12783" s="1"/>
  <c r="AC18" i="12783"/>
  <c r="X18" i="12783" s="1"/>
  <c r="AC20" i="12783"/>
  <c r="X20" i="12783" s="1"/>
  <c r="AC22" i="12783"/>
  <c r="X22" i="12783" s="1"/>
  <c r="AC17" i="12783"/>
  <c r="X17" i="12783" s="1"/>
  <c r="AC30" i="12783"/>
  <c r="X30" i="12783" s="1"/>
  <c r="AC15" i="12783"/>
  <c r="X15" i="12783" s="1"/>
  <c r="AC19" i="12783"/>
  <c r="X19" i="12783" s="1"/>
  <c r="L37" i="12783"/>
  <c r="I9" i="12853" l="1"/>
  <c r="I21" i="12853" s="1"/>
  <c r="U12" i="12849"/>
  <c r="X11" i="12783"/>
  <c r="U16" i="12849"/>
  <c r="AG12" i="12783"/>
  <c r="B6" i="12826"/>
  <c r="B44" i="12826" s="1"/>
  <c r="E44" i="12826" s="1"/>
  <c r="E46" i="12826" s="1"/>
  <c r="AE12" i="12783"/>
  <c r="AG22" i="12774"/>
  <c r="AG44" i="12774" s="1"/>
  <c r="Q19" i="12811"/>
  <c r="Q38" i="12811" s="1"/>
  <c r="R13" i="12811"/>
  <c r="R19" i="12811" s="1"/>
  <c r="H17" i="12809"/>
  <c r="N140" i="12812"/>
  <c r="F17" i="12809"/>
  <c r="D21" i="12809"/>
  <c r="D25" i="12809" s="1"/>
  <c r="P46" i="12811"/>
  <c r="O47" i="12812"/>
  <c r="O68" i="12812" s="1"/>
  <c r="O140" i="12812" s="1"/>
  <c r="R46" i="12812"/>
  <c r="P46" i="12812"/>
  <c r="P47" i="12812" s="1"/>
  <c r="P68" i="12812" s="1"/>
  <c r="P140" i="12812" s="1"/>
  <c r="Y30" i="12783"/>
  <c r="T30" i="12783"/>
  <c r="Z30" i="12783"/>
  <c r="AA30" i="12783" s="1"/>
  <c r="Z22" i="12783"/>
  <c r="AA22" i="12783" s="1"/>
  <c r="Y22" i="12783"/>
  <c r="T22" i="12783"/>
  <c r="Y18" i="12783"/>
  <c r="T21" i="12783"/>
  <c r="Z21" i="12783"/>
  <c r="AA21" i="12783" s="1"/>
  <c r="Y21" i="12783"/>
  <c r="Y29" i="12783"/>
  <c r="Z29" i="12783"/>
  <c r="AA29" i="12783" s="1"/>
  <c r="T29" i="12783"/>
  <c r="Y19" i="12783"/>
  <c r="Y15" i="12783"/>
  <c r="X23" i="12783"/>
  <c r="Y17" i="12783"/>
  <c r="Y20" i="12783"/>
  <c r="Y26" i="12783"/>
  <c r="X31" i="12783"/>
  <c r="Z27" i="12783"/>
  <c r="AA27" i="12783" s="1"/>
  <c r="Y27" i="12783"/>
  <c r="T27" i="12783"/>
  <c r="Z28" i="12783"/>
  <c r="AA28" i="12783" s="1"/>
  <c r="Y28" i="12783"/>
  <c r="T28" i="12783"/>
  <c r="E1243" i="12767"/>
  <c r="I13" i="12853" l="1"/>
  <c r="I15" i="12853" s="1"/>
  <c r="U17" i="12849"/>
  <c r="U8" i="12849"/>
  <c r="I11" i="12853"/>
  <c r="Z11" i="12783"/>
  <c r="AA11" i="12783" s="1"/>
  <c r="Y11" i="12783"/>
  <c r="X12" i="12783"/>
  <c r="Z12" i="12783" s="1"/>
  <c r="AA12" i="12783" s="1"/>
  <c r="T11" i="12783"/>
  <c r="T12" i="12783" s="1"/>
  <c r="H1243" i="12767"/>
  <c r="I245" i="12767"/>
  <c r="R38" i="12811"/>
  <c r="S46" i="12812"/>
  <c r="S47" i="12812" s="1"/>
  <c r="S68" i="12812" s="1"/>
  <c r="S140" i="12812" s="1"/>
  <c r="R47" i="12812"/>
  <c r="R68" i="12812" s="1"/>
  <c r="R140" i="12812" s="1"/>
  <c r="P47" i="12811"/>
  <c r="P68" i="12811" s="1"/>
  <c r="P140" i="12811" s="1"/>
  <c r="Q46" i="12811"/>
  <c r="G17" i="12809"/>
  <c r="G21" i="12809" s="1"/>
  <c r="F21" i="12809"/>
  <c r="F25" i="12809" s="1"/>
  <c r="I17" i="12809"/>
  <c r="H21" i="12809"/>
  <c r="O1198" i="12767"/>
  <c r="O947" i="12787"/>
  <c r="O953" i="12787" s="1"/>
  <c r="O936" i="12787"/>
  <c r="O1236" i="12767"/>
  <c r="O1032" i="12787"/>
  <c r="Y31" i="12783"/>
  <c r="Y23" i="12783"/>
  <c r="G1042" i="12787"/>
  <c r="I23" i="12853" l="1"/>
  <c r="I25" i="12853" s="1"/>
  <c r="I17" i="12853"/>
  <c r="Y12" i="12783"/>
  <c r="X33" i="12783"/>
  <c r="X37" i="12783" s="1"/>
  <c r="Y37" i="12783" s="1"/>
  <c r="I239" i="12767"/>
  <c r="K239" i="12767" s="1"/>
  <c r="I162" i="12767"/>
  <c r="I609" i="12767"/>
  <c r="P609" i="12767" s="1"/>
  <c r="R18" i="12791"/>
  <c r="U18" i="12791" s="1"/>
  <c r="P1085" i="12767"/>
  <c r="I1088" i="12767"/>
  <c r="P1088" i="12767" s="1"/>
  <c r="V14" i="12771"/>
  <c r="I732" i="12767"/>
  <c r="P732" i="12767" s="1"/>
  <c r="P729" i="12767"/>
  <c r="P172" i="12767"/>
  <c r="I179" i="12767"/>
  <c r="I177" i="12767"/>
  <c r="P170" i="12767"/>
  <c r="P603" i="12767"/>
  <c r="I608" i="12767"/>
  <c r="P608" i="12767" s="1"/>
  <c r="I938" i="12767"/>
  <c r="P938" i="12767" s="1"/>
  <c r="P935" i="12767"/>
  <c r="I991" i="12767" s="1"/>
  <c r="P171" i="12767"/>
  <c r="I178" i="12767"/>
  <c r="P604" i="12767"/>
  <c r="I237" i="12767"/>
  <c r="I250" i="12767" s="1"/>
  <c r="K250" i="12767" s="1"/>
  <c r="I243" i="12767"/>
  <c r="K243" i="12767" s="1"/>
  <c r="I238" i="12767"/>
  <c r="K238" i="12767" s="1"/>
  <c r="I244" i="12767"/>
  <c r="I256" i="12767" s="1"/>
  <c r="K256" i="12767" s="1"/>
  <c r="I242" i="12767"/>
  <c r="O925" i="12787"/>
  <c r="P925" i="12787" s="1"/>
  <c r="R1150" i="12767"/>
  <c r="O95" i="12767"/>
  <c r="O1120" i="12767"/>
  <c r="O995" i="12787"/>
  <c r="P996" i="12787" s="1"/>
  <c r="J17" i="12809"/>
  <c r="I21" i="12809"/>
  <c r="J21" i="12809" s="1"/>
  <c r="G25" i="12809"/>
  <c r="R46" i="12811"/>
  <c r="R47" i="12811" s="1"/>
  <c r="Q47" i="12811"/>
  <c r="Q68" i="12811" s="1"/>
  <c r="Q140" i="12811" s="1"/>
  <c r="O1133" i="12767"/>
  <c r="I967" i="12767"/>
  <c r="K967" i="12767" s="1"/>
  <c r="P984" i="12767"/>
  <c r="K935" i="12767"/>
  <c r="P985" i="12767"/>
  <c r="I951" i="12767"/>
  <c r="O913" i="12767" s="1"/>
  <c r="O918" i="12767"/>
  <c r="P918" i="12767" s="1"/>
  <c r="P992" i="12767"/>
  <c r="P987" i="12767"/>
  <c r="I1027" i="12767"/>
  <c r="K1027" i="12767" s="1"/>
  <c r="P928" i="12767"/>
  <c r="I970" i="12767"/>
  <c r="K970" i="12767" s="1"/>
  <c r="I257" i="12767"/>
  <c r="K257" i="12767" s="1"/>
  <c r="K245" i="12767"/>
  <c r="I241" i="12767"/>
  <c r="P1086" i="12767"/>
  <c r="K1085" i="12767"/>
  <c r="P1083" i="12767"/>
  <c r="K1083" i="12767"/>
  <c r="R17" i="12791"/>
  <c r="U17" i="12791" s="1"/>
  <c r="P1082" i="12767"/>
  <c r="S16" i="12791"/>
  <c r="K1082" i="12767"/>
  <c r="P1079" i="12767"/>
  <c r="R16" i="12791"/>
  <c r="K1079" i="12767"/>
  <c r="P933" i="12767"/>
  <c r="I989" i="12767" s="1"/>
  <c r="I953" i="12767"/>
  <c r="O915" i="12767" s="1"/>
  <c r="I971" i="12767"/>
  <c r="K971" i="12767" s="1"/>
  <c r="K933" i="12767"/>
  <c r="O91" i="12787"/>
  <c r="O92" i="12787" s="1"/>
  <c r="P937" i="12787"/>
  <c r="O937" i="12787"/>
  <c r="P1032" i="12787"/>
  <c r="I252" i="12767" l="1"/>
  <c r="K252" i="12767" s="1"/>
  <c r="P991" i="12767"/>
  <c r="I1028" i="12767"/>
  <c r="K1028" i="12767" s="1"/>
  <c r="K1065" i="12767" s="1"/>
  <c r="Y33" i="12783"/>
  <c r="K244" i="12767"/>
  <c r="I255" i="12767"/>
  <c r="K255" i="12767" s="1"/>
  <c r="I251" i="12767"/>
  <c r="K251" i="12767" s="1"/>
  <c r="K237" i="12767"/>
  <c r="P923" i="12787"/>
  <c r="P924" i="12787" s="1"/>
  <c r="Q907" i="12787" s="1"/>
  <c r="R907" i="12787" s="1"/>
  <c r="J25" i="12809"/>
  <c r="H1244" i="12767"/>
  <c r="O996" i="12787"/>
  <c r="R68" i="12811"/>
  <c r="R140" i="12811" s="1"/>
  <c r="K1064" i="12767"/>
  <c r="I1024" i="12767"/>
  <c r="K1024" i="12767" s="1"/>
  <c r="K1061" i="12767" s="1"/>
  <c r="I956" i="12767"/>
  <c r="I877" i="12767" s="1"/>
  <c r="K984" i="12767"/>
  <c r="P988" i="12767"/>
  <c r="K987" i="12767"/>
  <c r="I1023" i="12767"/>
  <c r="K1023" i="12767" s="1"/>
  <c r="P932" i="12767"/>
  <c r="O760" i="12787"/>
  <c r="P761" i="12787" s="1"/>
  <c r="P931" i="12767"/>
  <c r="P929" i="12767"/>
  <c r="I952" i="12767"/>
  <c r="O914" i="12767" s="1"/>
  <c r="P914" i="12767" s="1"/>
  <c r="I969" i="12767"/>
  <c r="K969" i="12767" s="1"/>
  <c r="I973" i="12767"/>
  <c r="K973" i="12767" s="1"/>
  <c r="K929" i="12767"/>
  <c r="K988" i="12767"/>
  <c r="O176" i="12787"/>
  <c r="P177" i="12787" s="1"/>
  <c r="K932" i="12767"/>
  <c r="K931" i="12767"/>
  <c r="I955" i="12767"/>
  <c r="Q18" i="12772" s="1"/>
  <c r="T18" i="12772" s="1"/>
  <c r="I949" i="12767"/>
  <c r="O911" i="12767" s="1"/>
  <c r="P911" i="12767" s="1"/>
  <c r="I1012" i="12767"/>
  <c r="Q18" i="12773" s="1"/>
  <c r="T18" i="12773" s="1"/>
  <c r="I1009" i="12767"/>
  <c r="K1009" i="12767" s="1"/>
  <c r="K928" i="12767"/>
  <c r="K985" i="12767"/>
  <c r="K992" i="12767"/>
  <c r="I1005" i="12767"/>
  <c r="Q15" i="12773" s="1"/>
  <c r="P910" i="12767"/>
  <c r="I1008" i="12767"/>
  <c r="K1008" i="12767" s="1"/>
  <c r="I1006" i="12767"/>
  <c r="K1006" i="12767" s="1"/>
  <c r="I1031" i="12767"/>
  <c r="K1031" i="12767" s="1"/>
  <c r="K936" i="12767"/>
  <c r="I974" i="12767"/>
  <c r="K974" i="12767" s="1"/>
  <c r="P936" i="12767"/>
  <c r="I966" i="12767"/>
  <c r="K966" i="12767" s="1"/>
  <c r="I1026" i="12767"/>
  <c r="K1026" i="12767" s="1"/>
  <c r="I1013" i="12767"/>
  <c r="K1013" i="12767" s="1"/>
  <c r="I253" i="12767"/>
  <c r="K253" i="12767" s="1"/>
  <c r="K241" i="12767"/>
  <c r="I254" i="12767"/>
  <c r="K254" i="12767" s="1"/>
  <c r="K242" i="12767"/>
  <c r="O815" i="12787"/>
  <c r="P816" i="12787" s="1"/>
  <c r="P92" i="12787"/>
  <c r="K1086" i="12767"/>
  <c r="K1089" i="12767" s="1"/>
  <c r="K1091" i="12767" s="1"/>
  <c r="O898" i="12787"/>
  <c r="O888" i="12787" s="1"/>
  <c r="I29" i="12791"/>
  <c r="K29" i="12791" s="1"/>
  <c r="I19" i="12791"/>
  <c r="K19" i="12791" s="1"/>
  <c r="I21" i="12791"/>
  <c r="K21" i="12791" s="1"/>
  <c r="I15" i="12791"/>
  <c r="K15" i="12791" s="1"/>
  <c r="I25" i="12791"/>
  <c r="K25" i="12791" s="1"/>
  <c r="I20" i="12791"/>
  <c r="K20" i="12791" s="1"/>
  <c r="I24" i="12791"/>
  <c r="K24" i="12791" s="1"/>
  <c r="I27" i="12791"/>
  <c r="K27" i="12791" s="1"/>
  <c r="I16" i="12791"/>
  <c r="K16" i="12791" s="1"/>
  <c r="I28" i="12791"/>
  <c r="K28" i="12791" s="1"/>
  <c r="I23" i="12791"/>
  <c r="K23" i="12791" s="1"/>
  <c r="I17" i="12791"/>
  <c r="K17" i="12791" s="1"/>
  <c r="K951" i="12767"/>
  <c r="I872" i="12767"/>
  <c r="P913" i="12767"/>
  <c r="R15" i="12772"/>
  <c r="K953" i="12767"/>
  <c r="P915" i="12767"/>
  <c r="I874" i="12767"/>
  <c r="I879" i="12767" s="1"/>
  <c r="Q17" i="12772"/>
  <c r="T17" i="12772" s="1"/>
  <c r="P169" i="12767"/>
  <c r="I310" i="12767"/>
  <c r="I415" i="12767"/>
  <c r="I521" i="12767"/>
  <c r="I345" i="12767"/>
  <c r="I357" i="12767" s="1"/>
  <c r="I276" i="12767"/>
  <c r="I380" i="12767"/>
  <c r="I486" i="12767"/>
  <c r="I207" i="12767"/>
  <c r="I451" i="12767"/>
  <c r="I463" i="12767" s="1"/>
  <c r="I184" i="12767"/>
  <c r="M184" i="12767" s="1"/>
  <c r="M169" i="12767"/>
  <c r="I313" i="12767"/>
  <c r="I418" i="12767"/>
  <c r="I524" i="12767"/>
  <c r="I210" i="12767"/>
  <c r="AA23" i="12769" s="1"/>
  <c r="I187" i="12767"/>
  <c r="M187" i="12767" s="1"/>
  <c r="I454" i="12767"/>
  <c r="I466" i="12767" s="1"/>
  <c r="I279" i="12767"/>
  <c r="I383" i="12767"/>
  <c r="I489" i="12767"/>
  <c r="I348" i="12767"/>
  <c r="I360" i="12767" s="1"/>
  <c r="M172" i="12767"/>
  <c r="P166" i="12767"/>
  <c r="I274" i="12767"/>
  <c r="I377" i="12767"/>
  <c r="I205" i="12767"/>
  <c r="I183" i="12767"/>
  <c r="M183" i="12767" s="1"/>
  <c r="I308" i="12767"/>
  <c r="I412" i="12767"/>
  <c r="I342" i="12767"/>
  <c r="I356" i="12767" s="1"/>
  <c r="M166" i="12767"/>
  <c r="I349" i="12767"/>
  <c r="I361" i="12767" s="1"/>
  <c r="I280" i="12767"/>
  <c r="I314" i="12767"/>
  <c r="I419" i="12767"/>
  <c r="I525" i="12767"/>
  <c r="I211" i="12767"/>
  <c r="I223" i="12767" s="1"/>
  <c r="I455" i="12767"/>
  <c r="I467" i="12767" s="1"/>
  <c r="I384" i="12767"/>
  <c r="I490" i="12767"/>
  <c r="I188" i="12767"/>
  <c r="M188" i="12767" s="1"/>
  <c r="M173" i="12767"/>
  <c r="O508" i="12787"/>
  <c r="O27" i="12787"/>
  <c r="P27" i="12787" s="1"/>
  <c r="P597" i="12767"/>
  <c r="I675" i="12767"/>
  <c r="I556" i="12767"/>
  <c r="I637" i="12767"/>
  <c r="I614" i="12767"/>
  <c r="M614" i="12767" s="1"/>
  <c r="M597" i="12767"/>
  <c r="I601" i="12767"/>
  <c r="P600" i="12767"/>
  <c r="I678" i="12767"/>
  <c r="I640" i="12767"/>
  <c r="I559" i="12767"/>
  <c r="I616" i="12767"/>
  <c r="M616" i="12767" s="1"/>
  <c r="M600" i="12767"/>
  <c r="P593" i="12767"/>
  <c r="I552" i="12767"/>
  <c r="I671" i="12767"/>
  <c r="I611" i="12767"/>
  <c r="M611" i="12767" s="1"/>
  <c r="I633" i="12767"/>
  <c r="M593" i="12767"/>
  <c r="M625" i="12767" s="1"/>
  <c r="P594" i="12767"/>
  <c r="I672" i="12767"/>
  <c r="I553" i="12767"/>
  <c r="I634" i="12767"/>
  <c r="M594" i="12767"/>
  <c r="I612" i="12767"/>
  <c r="M612" i="12767" s="1"/>
  <c r="I33" i="12767"/>
  <c r="K33" i="12767" s="1"/>
  <c r="I69" i="12767"/>
  <c r="K69" i="12767" s="1"/>
  <c r="M15" i="12767"/>
  <c r="I51" i="12767"/>
  <c r="K51" i="12767" s="1"/>
  <c r="I65" i="12767"/>
  <c r="K65" i="12767" s="1"/>
  <c r="I29" i="12767"/>
  <c r="K29" i="12767" s="1"/>
  <c r="M11" i="12767"/>
  <c r="I47" i="12767"/>
  <c r="K47" i="12767" s="1"/>
  <c r="I70" i="12767"/>
  <c r="K70" i="12767" s="1"/>
  <c r="M16" i="12767"/>
  <c r="I34" i="12767"/>
  <c r="K34" i="12767" s="1"/>
  <c r="I52" i="12767"/>
  <c r="K52" i="12767" s="1"/>
  <c r="P165" i="12767"/>
  <c r="I307" i="12767"/>
  <c r="I182" i="12767"/>
  <c r="M182" i="12767" s="1"/>
  <c r="I411" i="12767"/>
  <c r="I204" i="12767"/>
  <c r="I341" i="12767"/>
  <c r="I355" i="12767" s="1"/>
  <c r="I376" i="12767"/>
  <c r="I273" i="12767"/>
  <c r="M165" i="12767"/>
  <c r="I311" i="12767"/>
  <c r="I416" i="12767"/>
  <c r="I522" i="12767"/>
  <c r="I208" i="12767"/>
  <c r="AA21" i="12769" s="1"/>
  <c r="I185" i="12767"/>
  <c r="M185" i="12767" s="1"/>
  <c r="I277" i="12767"/>
  <c r="I381" i="12767"/>
  <c r="I487" i="12767"/>
  <c r="I346" i="12767"/>
  <c r="I358" i="12767" s="1"/>
  <c r="I452" i="12767"/>
  <c r="I464" i="12767" s="1"/>
  <c r="M170" i="12767"/>
  <c r="P164" i="12767"/>
  <c r="I272" i="12767"/>
  <c r="I375" i="12767"/>
  <c r="I203" i="12767"/>
  <c r="I306" i="12767"/>
  <c r="I410" i="12767"/>
  <c r="I340" i="12767"/>
  <c r="I354" i="12767" s="1"/>
  <c r="I181" i="12767"/>
  <c r="M181" i="12767" s="1"/>
  <c r="M164" i="12767"/>
  <c r="I312" i="12767"/>
  <c r="I417" i="12767"/>
  <c r="I523" i="12767"/>
  <c r="I278" i="12767"/>
  <c r="I382" i="12767"/>
  <c r="I488" i="12767"/>
  <c r="I209" i="12767"/>
  <c r="AA22" i="12769" s="1"/>
  <c r="I453" i="12767"/>
  <c r="I465" i="12767" s="1"/>
  <c r="I186" i="12767"/>
  <c r="M186" i="12767" s="1"/>
  <c r="I347" i="12767"/>
  <c r="I359" i="12767" s="1"/>
  <c r="M171" i="12767"/>
  <c r="O627" i="12787"/>
  <c r="M729" i="12767"/>
  <c r="I783" i="12767"/>
  <c r="I836" i="12767"/>
  <c r="I750" i="12767"/>
  <c r="M750" i="12767" s="1"/>
  <c r="P730" i="12767"/>
  <c r="I837" i="12767"/>
  <c r="I751" i="12767"/>
  <c r="M751" i="12767" s="1"/>
  <c r="I784" i="12767"/>
  <c r="M730" i="12767"/>
  <c r="P595" i="12767"/>
  <c r="I554" i="12767"/>
  <c r="I673" i="12767"/>
  <c r="I635" i="12767"/>
  <c r="I613" i="12767"/>
  <c r="M613" i="12767" s="1"/>
  <c r="M595" i="12767"/>
  <c r="I681" i="12767"/>
  <c r="I643" i="12767"/>
  <c r="R19" i="12770" s="1"/>
  <c r="U19" i="12770" s="1"/>
  <c r="I561" i="12767"/>
  <c r="K561" i="12767" s="1"/>
  <c r="I618" i="12767"/>
  <c r="M618" i="12767" s="1"/>
  <c r="M603" i="12767"/>
  <c r="P598" i="12767"/>
  <c r="I557" i="12767"/>
  <c r="I676" i="12767"/>
  <c r="I638" i="12767"/>
  <c r="I615" i="12767"/>
  <c r="M615" i="12767" s="1"/>
  <c r="M598" i="12767"/>
  <c r="I31" i="12767"/>
  <c r="K31" i="12767" s="1"/>
  <c r="I67" i="12767"/>
  <c r="K67" i="12767" s="1"/>
  <c r="I49" i="12767"/>
  <c r="K49" i="12767" s="1"/>
  <c r="M13" i="12767"/>
  <c r="I35" i="12767"/>
  <c r="K35" i="12767" s="1"/>
  <c r="I71" i="12767"/>
  <c r="K71" i="12767" s="1"/>
  <c r="I53" i="12767"/>
  <c r="K53" i="12767" s="1"/>
  <c r="M17" i="12767"/>
  <c r="I30" i="12767"/>
  <c r="K30" i="12767" s="1"/>
  <c r="I66" i="12767"/>
  <c r="K66" i="12767" s="1"/>
  <c r="I48" i="12767"/>
  <c r="K48" i="12767" s="1"/>
  <c r="M12" i="12767"/>
  <c r="I1002" i="12787"/>
  <c r="I1009" i="12787"/>
  <c r="I1014" i="12787"/>
  <c r="I1021" i="12787"/>
  <c r="I1026" i="12787"/>
  <c r="I1003" i="12787"/>
  <c r="I1010" i="12787"/>
  <c r="I1017" i="12787"/>
  <c r="I1022" i="12787"/>
  <c r="I1028" i="12787"/>
  <c r="I1005" i="12787"/>
  <c r="I1011" i="12787"/>
  <c r="I1018" i="12787"/>
  <c r="I1024" i="12787"/>
  <c r="I1001" i="12787"/>
  <c r="I1006" i="12787"/>
  <c r="I1013" i="12787"/>
  <c r="I1019" i="12787"/>
  <c r="I1025" i="12787"/>
  <c r="I906" i="12787"/>
  <c r="I910" i="12787"/>
  <c r="I915" i="12787"/>
  <c r="I920" i="12787"/>
  <c r="I905" i="12787"/>
  <c r="I909" i="12787"/>
  <c r="I913" i="12787"/>
  <c r="I917" i="12787"/>
  <c r="I921" i="12787"/>
  <c r="I908" i="12787"/>
  <c r="I912" i="12787"/>
  <c r="I918" i="12787"/>
  <c r="I904" i="12787"/>
  <c r="I907" i="12787"/>
  <c r="I911" i="12787"/>
  <c r="I916" i="12787"/>
  <c r="I919" i="12787"/>
  <c r="E1244" i="12767"/>
  <c r="E1246" i="12767" s="1"/>
  <c r="I1030" i="12767" l="1"/>
  <c r="K1030" i="12767" s="1"/>
  <c r="K1033" i="12767" s="1"/>
  <c r="K1035" i="12767" s="1"/>
  <c r="P989" i="12767"/>
  <c r="K991" i="12767"/>
  <c r="I994" i="12767"/>
  <c r="P994" i="12767" s="1"/>
  <c r="I1010" i="12767"/>
  <c r="K989" i="12767"/>
  <c r="R16" i="12772"/>
  <c r="R16" i="12773"/>
  <c r="K956" i="12767"/>
  <c r="K1049" i="12767" s="1"/>
  <c r="K1063" i="12767"/>
  <c r="O917" i="12767"/>
  <c r="P917" i="12767" s="1"/>
  <c r="K263" i="12767"/>
  <c r="K265" i="12767" s="1"/>
  <c r="K976" i="12767"/>
  <c r="K978" i="12767" s="1"/>
  <c r="K57" i="12767"/>
  <c r="K59" i="12767" s="1"/>
  <c r="K939" i="12767"/>
  <c r="K941" i="12767" s="1"/>
  <c r="K75" i="12767"/>
  <c r="K77" i="12767" s="1"/>
  <c r="K39" i="12767"/>
  <c r="M21" i="12767"/>
  <c r="Q917" i="12787"/>
  <c r="R917" i="12787" s="1"/>
  <c r="Q919" i="12787"/>
  <c r="R919" i="12787" s="1"/>
  <c r="Q918" i="12787"/>
  <c r="R918" i="12787" s="1"/>
  <c r="Q920" i="12787"/>
  <c r="R920" i="12787" s="1"/>
  <c r="Q908" i="12787"/>
  <c r="R908" i="12787" s="1"/>
  <c r="Q909" i="12787"/>
  <c r="R909" i="12787" s="1"/>
  <c r="Q910" i="12787"/>
  <c r="R910" i="12787" s="1"/>
  <c r="Q911" i="12787"/>
  <c r="R911" i="12787" s="1"/>
  <c r="Q921" i="12787"/>
  <c r="R921" i="12787" s="1"/>
  <c r="Q912" i="12787"/>
  <c r="R912" i="12787" s="1"/>
  <c r="Q904" i="12787"/>
  <c r="R904" i="12787" s="1"/>
  <c r="Q913" i="12787"/>
  <c r="R913" i="12787" s="1"/>
  <c r="Q905" i="12787"/>
  <c r="R905" i="12787" s="1"/>
  <c r="Q915" i="12787"/>
  <c r="R915" i="12787" s="1"/>
  <c r="Q906" i="12787"/>
  <c r="R906" i="12787" s="1"/>
  <c r="Q916" i="12787"/>
  <c r="R916" i="12787" s="1"/>
  <c r="O761" i="12787"/>
  <c r="I876" i="12767"/>
  <c r="K1060" i="12767"/>
  <c r="K955" i="12767"/>
  <c r="K949" i="12767"/>
  <c r="K1042" i="12767" s="1"/>
  <c r="K911" i="12767" s="1"/>
  <c r="K892" i="12767" s="1"/>
  <c r="I873" i="12767"/>
  <c r="M873" i="12767" s="1"/>
  <c r="K1012" i="12767"/>
  <c r="I870" i="12767"/>
  <c r="K870" i="12767" s="1"/>
  <c r="Q16" i="12772"/>
  <c r="K952" i="12767"/>
  <c r="K1045" i="12767" s="1"/>
  <c r="K914" i="12767" s="1"/>
  <c r="K895" i="12767" s="1"/>
  <c r="R15" i="12773"/>
  <c r="K1005" i="12767"/>
  <c r="O177" i="12787"/>
  <c r="K948" i="12767"/>
  <c r="Q16" i="12773"/>
  <c r="K1068" i="12767"/>
  <c r="O816" i="12787"/>
  <c r="Q15" i="12772"/>
  <c r="I19" i="12772" s="1"/>
  <c r="K19" i="12772" s="1"/>
  <c r="I869" i="12767"/>
  <c r="M869" i="12767" s="1"/>
  <c r="K1044" i="12767"/>
  <c r="O1035" i="12787"/>
  <c r="K12" i="12767"/>
  <c r="K17" i="12767"/>
  <c r="K13" i="12767"/>
  <c r="K16" i="12767"/>
  <c r="M874" i="12767"/>
  <c r="K874" i="12767"/>
  <c r="I880" i="12767"/>
  <c r="M872" i="12767"/>
  <c r="K872" i="12767"/>
  <c r="K877" i="12767"/>
  <c r="M877" i="12767"/>
  <c r="K638" i="12767"/>
  <c r="I653" i="12767"/>
  <c r="K653" i="12767" s="1"/>
  <c r="S16" i="12770"/>
  <c r="I572" i="12767"/>
  <c r="K572" i="12767" s="1"/>
  <c r="K557" i="12767"/>
  <c r="I694" i="12767"/>
  <c r="K694" i="12767" s="1"/>
  <c r="K681" i="12767"/>
  <c r="I644" i="12767"/>
  <c r="R20" i="12770" s="1"/>
  <c r="U20" i="12770" s="1"/>
  <c r="I562" i="12767"/>
  <c r="I582" i="12767" s="1"/>
  <c r="I619" i="12767"/>
  <c r="M619" i="12767" s="1"/>
  <c r="I682" i="12767"/>
  <c r="M604" i="12767"/>
  <c r="K673" i="12767"/>
  <c r="I689" i="12767"/>
  <c r="K689" i="12767" s="1"/>
  <c r="K784" i="12767"/>
  <c r="I804" i="12767"/>
  <c r="K804" i="12767" s="1"/>
  <c r="K837" i="12767"/>
  <c r="I857" i="12767"/>
  <c r="K857" i="12767" s="1"/>
  <c r="I856" i="12767"/>
  <c r="K856" i="12767" s="1"/>
  <c r="K836" i="12767"/>
  <c r="K488" i="12767"/>
  <c r="I500" i="12767"/>
  <c r="K500" i="12767" s="1"/>
  <c r="I290" i="12767"/>
  <c r="K290" i="12767" s="1"/>
  <c r="K278" i="12767"/>
  <c r="K417" i="12767"/>
  <c r="I429" i="12767"/>
  <c r="K429" i="12767" s="1"/>
  <c r="K410" i="12767"/>
  <c r="I424" i="12767"/>
  <c r="K424" i="12767" s="1"/>
  <c r="AA14" i="12769"/>
  <c r="AA15" i="12769" s="1"/>
  <c r="I216" i="12767"/>
  <c r="K272" i="12767"/>
  <c r="I285" i="12767"/>
  <c r="K285" i="12767" s="1"/>
  <c r="P160" i="12767"/>
  <c r="I446" i="12767"/>
  <c r="I460" i="12767" s="1"/>
  <c r="M160" i="12767"/>
  <c r="M194" i="12767" s="1"/>
  <c r="I516" i="12767"/>
  <c r="I481" i="12767"/>
  <c r="K487" i="12767"/>
  <c r="I499" i="12767"/>
  <c r="K499" i="12767" s="1"/>
  <c r="I289" i="12767"/>
  <c r="K289" i="12767" s="1"/>
  <c r="K277" i="12767"/>
  <c r="AB21" i="12769"/>
  <c r="I220" i="12767"/>
  <c r="I428" i="12767"/>
  <c r="K428" i="12767" s="1"/>
  <c r="K416" i="12767"/>
  <c r="K273" i="12767"/>
  <c r="I286" i="12767"/>
  <c r="K286" i="12767" s="1"/>
  <c r="K411" i="12767"/>
  <c r="I425" i="12767"/>
  <c r="K425" i="12767" s="1"/>
  <c r="K307" i="12767"/>
  <c r="I320" i="12767"/>
  <c r="K320" i="12767" s="1"/>
  <c r="P161" i="12767"/>
  <c r="M161" i="12767"/>
  <c r="I447" i="12767"/>
  <c r="I461" i="12767" s="1"/>
  <c r="I482" i="12767"/>
  <c r="I517" i="12767"/>
  <c r="I569" i="12767"/>
  <c r="K569" i="12767" s="1"/>
  <c r="K553" i="12767"/>
  <c r="K633" i="12767"/>
  <c r="I649" i="12767"/>
  <c r="K649" i="12767" s="1"/>
  <c r="R14" i="12770"/>
  <c r="K671" i="12767"/>
  <c r="I687" i="12767"/>
  <c r="K687" i="12767" s="1"/>
  <c r="I641" i="12767"/>
  <c r="K640" i="12767"/>
  <c r="R18" i="12770"/>
  <c r="U18" i="12770" s="1"/>
  <c r="I654" i="12767"/>
  <c r="K654" i="12767" s="1"/>
  <c r="K637" i="12767"/>
  <c r="I652" i="12767"/>
  <c r="K652" i="12767" s="1"/>
  <c r="S15" i="12770"/>
  <c r="K675" i="12767"/>
  <c r="I690" i="12767"/>
  <c r="K690" i="12767" s="1"/>
  <c r="P720" i="12767"/>
  <c r="I774" i="12767"/>
  <c r="V17" i="12771"/>
  <c r="I741" i="12767"/>
  <c r="M741" i="12767" s="1"/>
  <c r="I724" i="12767"/>
  <c r="I827" i="12767"/>
  <c r="M720" i="12767"/>
  <c r="I727" i="12767"/>
  <c r="P721" i="12767"/>
  <c r="I775" i="12767"/>
  <c r="V18" i="12771"/>
  <c r="I742" i="12767"/>
  <c r="M742" i="12767" s="1"/>
  <c r="I828" i="12767"/>
  <c r="M721" i="12767"/>
  <c r="P722" i="12767"/>
  <c r="I829" i="12767"/>
  <c r="M722" i="12767"/>
  <c r="I776" i="12767"/>
  <c r="V19" i="12771"/>
  <c r="I743" i="12767"/>
  <c r="M743" i="12767" s="1"/>
  <c r="K384" i="12767"/>
  <c r="I396" i="12767"/>
  <c r="K396" i="12767" s="1"/>
  <c r="K419" i="12767"/>
  <c r="I431" i="12767"/>
  <c r="K431" i="12767" s="1"/>
  <c r="K280" i="12767"/>
  <c r="I292" i="12767"/>
  <c r="K292" i="12767" s="1"/>
  <c r="K308" i="12767"/>
  <c r="I321" i="12767"/>
  <c r="K321" i="12767" s="1"/>
  <c r="AA18" i="12769"/>
  <c r="AB18" i="12769" s="1"/>
  <c r="I218" i="12767"/>
  <c r="K274" i="12767"/>
  <c r="I287" i="12767"/>
  <c r="K287" i="12767" s="1"/>
  <c r="K218" i="12767" s="1"/>
  <c r="P162" i="12767"/>
  <c r="I483" i="12767"/>
  <c r="I518" i="12767"/>
  <c r="M162" i="12767"/>
  <c r="I448" i="12767"/>
  <c r="I462" i="12767" s="1"/>
  <c r="I395" i="12767"/>
  <c r="K395" i="12767" s="1"/>
  <c r="K383" i="12767"/>
  <c r="AB23" i="12769"/>
  <c r="I222" i="12767"/>
  <c r="I430" i="12767"/>
  <c r="K430" i="12767" s="1"/>
  <c r="K418" i="12767"/>
  <c r="AA20" i="12769"/>
  <c r="AB20" i="12769" s="1"/>
  <c r="I219" i="12767"/>
  <c r="K380" i="12767"/>
  <c r="I392" i="12767"/>
  <c r="K392" i="12767" s="1"/>
  <c r="K415" i="12767"/>
  <c r="I427" i="12767"/>
  <c r="K427" i="12767" s="1"/>
  <c r="K15" i="12767"/>
  <c r="K676" i="12767"/>
  <c r="I691" i="12767"/>
  <c r="K691" i="12767" s="1"/>
  <c r="I656" i="12767"/>
  <c r="K656" i="12767" s="1"/>
  <c r="K643" i="12767"/>
  <c r="K635" i="12767"/>
  <c r="I651" i="12767"/>
  <c r="K651" i="12767" s="1"/>
  <c r="R16" i="12770"/>
  <c r="I570" i="12767"/>
  <c r="K570" i="12767" s="1"/>
  <c r="K554" i="12767"/>
  <c r="K33" i="12771"/>
  <c r="O33" i="12771" s="1"/>
  <c r="K32" i="12771"/>
  <c r="O32" i="12771" s="1"/>
  <c r="K31" i="12771"/>
  <c r="O31" i="12771" s="1"/>
  <c r="K29" i="12771"/>
  <c r="O29" i="12771" s="1"/>
  <c r="K28" i="12771"/>
  <c r="O28" i="12771" s="1"/>
  <c r="K27" i="12771"/>
  <c r="O27" i="12771" s="1"/>
  <c r="K25" i="12771"/>
  <c r="O25" i="12771" s="1"/>
  <c r="K24" i="12771"/>
  <c r="O24" i="12771" s="1"/>
  <c r="K23" i="12771"/>
  <c r="O23" i="12771" s="1"/>
  <c r="K20" i="12771"/>
  <c r="O20" i="12771" s="1"/>
  <c r="K19" i="12771"/>
  <c r="O19" i="12771" s="1"/>
  <c r="K18" i="12771"/>
  <c r="O18" i="12771" s="1"/>
  <c r="I803" i="12767"/>
  <c r="K803" i="12767" s="1"/>
  <c r="K783" i="12767"/>
  <c r="P628" i="12787"/>
  <c r="O628" i="12787"/>
  <c r="O630" i="12787" s="1"/>
  <c r="AB22" i="12769"/>
  <c r="I221" i="12767"/>
  <c r="K382" i="12767"/>
  <c r="I394" i="12767"/>
  <c r="K394" i="12767" s="1"/>
  <c r="K523" i="12767"/>
  <c r="I535" i="12767"/>
  <c r="K535" i="12767" s="1"/>
  <c r="K312" i="12767"/>
  <c r="I324" i="12767"/>
  <c r="K324" i="12767" s="1"/>
  <c r="K306" i="12767"/>
  <c r="I319" i="12767"/>
  <c r="K319" i="12767" s="1"/>
  <c r="K375" i="12767"/>
  <c r="I389" i="12767"/>
  <c r="K389" i="12767" s="1"/>
  <c r="K381" i="12767"/>
  <c r="I393" i="12767"/>
  <c r="K393" i="12767" s="1"/>
  <c r="K522" i="12767"/>
  <c r="I534" i="12767"/>
  <c r="K534" i="12767" s="1"/>
  <c r="K311" i="12767"/>
  <c r="I323" i="12767"/>
  <c r="K323" i="12767" s="1"/>
  <c r="I390" i="12767"/>
  <c r="K390" i="12767" s="1"/>
  <c r="K376" i="12767"/>
  <c r="AB14" i="12769"/>
  <c r="AB15" i="12769" s="1"/>
  <c r="I217" i="12767"/>
  <c r="K11" i="12767"/>
  <c r="K634" i="12767"/>
  <c r="I650" i="12767"/>
  <c r="K650" i="12767" s="1"/>
  <c r="R15" i="12770"/>
  <c r="K672" i="12767"/>
  <c r="I688" i="12767"/>
  <c r="K688" i="12767" s="1"/>
  <c r="I568" i="12767"/>
  <c r="K568" i="12767" s="1"/>
  <c r="K552" i="12767"/>
  <c r="I573" i="12767"/>
  <c r="K559" i="12767"/>
  <c r="I679" i="12767"/>
  <c r="I692" i="12767"/>
  <c r="K692" i="12767" s="1"/>
  <c r="K678" i="12767"/>
  <c r="P601" i="12767"/>
  <c r="I617" i="12767"/>
  <c r="M617" i="12767" s="1"/>
  <c r="M601" i="12767"/>
  <c r="I571" i="12767"/>
  <c r="K571" i="12767" s="1"/>
  <c r="K556" i="12767"/>
  <c r="I819" i="12767"/>
  <c r="I766" i="12767"/>
  <c r="M712" i="12767"/>
  <c r="P712" i="12767"/>
  <c r="I737" i="12767"/>
  <c r="M737" i="12767" s="1"/>
  <c r="V20" i="12771"/>
  <c r="P718" i="12767"/>
  <c r="M718" i="12767"/>
  <c r="I726" i="12767"/>
  <c r="I772" i="12767"/>
  <c r="I825" i="12767"/>
  <c r="I739" i="12767"/>
  <c r="M739" i="12767" s="1"/>
  <c r="I767" i="12767"/>
  <c r="V21" i="12771"/>
  <c r="I738" i="12767"/>
  <c r="M738" i="12767" s="1"/>
  <c r="I820" i="12767"/>
  <c r="M713" i="12767"/>
  <c r="I16" i="12787"/>
  <c r="I20" i="12787"/>
  <c r="I17" i="12787"/>
  <c r="I21" i="12787"/>
  <c r="I18" i="12787"/>
  <c r="I22" i="12787"/>
  <c r="P509" i="12787"/>
  <c r="O509" i="12787"/>
  <c r="O511" i="12787" s="1"/>
  <c r="K490" i="12767"/>
  <c r="I502" i="12767"/>
  <c r="K502" i="12767" s="1"/>
  <c r="K525" i="12767"/>
  <c r="I537" i="12767"/>
  <c r="K537" i="12767" s="1"/>
  <c r="K314" i="12767"/>
  <c r="I326" i="12767"/>
  <c r="K326" i="12767" s="1"/>
  <c r="K412" i="12767"/>
  <c r="I426" i="12767"/>
  <c r="K426" i="12767" s="1"/>
  <c r="K377" i="12767"/>
  <c r="I391" i="12767"/>
  <c r="K391" i="12767" s="1"/>
  <c r="K489" i="12767"/>
  <c r="I501" i="12767"/>
  <c r="K501" i="12767" s="1"/>
  <c r="I291" i="12767"/>
  <c r="K291" i="12767" s="1"/>
  <c r="K279" i="12767"/>
  <c r="K524" i="12767"/>
  <c r="I536" i="12767"/>
  <c r="K536" i="12767" s="1"/>
  <c r="I325" i="12767"/>
  <c r="K325" i="12767" s="1"/>
  <c r="K313" i="12767"/>
  <c r="K486" i="12767"/>
  <c r="I498" i="12767"/>
  <c r="K498" i="12767" s="1"/>
  <c r="K276" i="12767"/>
  <c r="I288" i="12767"/>
  <c r="K288" i="12767" s="1"/>
  <c r="K521" i="12767"/>
  <c r="I533" i="12767"/>
  <c r="K533" i="12767" s="1"/>
  <c r="K310" i="12767"/>
  <c r="I322" i="12767"/>
  <c r="K322" i="12767" s="1"/>
  <c r="H1246" i="12767"/>
  <c r="M919" i="12787"/>
  <c r="K919" i="12787"/>
  <c r="M911" i="12787"/>
  <c r="K911" i="12787"/>
  <c r="M904" i="12787"/>
  <c r="K904" i="12787"/>
  <c r="K912" i="12787"/>
  <c r="M912" i="12787"/>
  <c r="K921" i="12787"/>
  <c r="M921" i="12787"/>
  <c r="K913" i="12787"/>
  <c r="M913" i="12787"/>
  <c r="K905" i="12787"/>
  <c r="M905" i="12787"/>
  <c r="M915" i="12787"/>
  <c r="K915" i="12787"/>
  <c r="M906" i="12787"/>
  <c r="K906" i="12787"/>
  <c r="M1019" i="12787"/>
  <c r="K1019" i="12787"/>
  <c r="M1006" i="12787"/>
  <c r="K1006" i="12787"/>
  <c r="K1024" i="12787"/>
  <c r="M1024" i="12787"/>
  <c r="K1011" i="12787"/>
  <c r="M1011" i="12787"/>
  <c r="K1028" i="12787"/>
  <c r="M1028" i="12787"/>
  <c r="K1017" i="12787"/>
  <c r="M1017" i="12787"/>
  <c r="K1003" i="12787"/>
  <c r="M1003" i="12787"/>
  <c r="M1021" i="12787"/>
  <c r="K1021" i="12787"/>
  <c r="M1009" i="12787"/>
  <c r="K1009" i="12787"/>
  <c r="M916" i="12787"/>
  <c r="K916" i="12787"/>
  <c r="M907" i="12787"/>
  <c r="K907" i="12787"/>
  <c r="K918" i="12787"/>
  <c r="M918" i="12787"/>
  <c r="K908" i="12787"/>
  <c r="M908" i="12787"/>
  <c r="K917" i="12787"/>
  <c r="M917" i="12787"/>
  <c r="K909" i="12787"/>
  <c r="M909" i="12787"/>
  <c r="M920" i="12787"/>
  <c r="K920" i="12787"/>
  <c r="M910" i="12787"/>
  <c r="K910" i="12787"/>
  <c r="M1025" i="12787"/>
  <c r="K1025" i="12787"/>
  <c r="M1013" i="12787"/>
  <c r="K1013" i="12787"/>
  <c r="M1001" i="12787"/>
  <c r="K1001" i="12787"/>
  <c r="K1018" i="12787"/>
  <c r="M1018" i="12787"/>
  <c r="K1005" i="12787"/>
  <c r="M1005" i="12787"/>
  <c r="K1022" i="12787"/>
  <c r="M1022" i="12787"/>
  <c r="K1010" i="12787"/>
  <c r="M1010" i="12787"/>
  <c r="M1026" i="12787"/>
  <c r="K1026" i="12787"/>
  <c r="M1014" i="12787"/>
  <c r="K1014" i="12787"/>
  <c r="M1002" i="12787"/>
  <c r="K1002" i="12787"/>
  <c r="G1043" i="12787"/>
  <c r="G1045" i="12787" s="1"/>
  <c r="K1067" i="12767" l="1"/>
  <c r="K995" i="12767"/>
  <c r="K997" i="12767" s="1"/>
  <c r="P997" i="12767" s="1"/>
  <c r="N30" i="12773" s="1"/>
  <c r="I29" i="12772"/>
  <c r="K29" i="12772" s="1"/>
  <c r="K205" i="12767"/>
  <c r="Q17" i="12773"/>
  <c r="T17" i="12773" s="1"/>
  <c r="K1010" i="12767"/>
  <c r="K1046" i="12767" s="1"/>
  <c r="K915" i="12767" s="1"/>
  <c r="K896" i="12767" s="1"/>
  <c r="P1094" i="12767"/>
  <c r="N30" i="12791" s="1"/>
  <c r="K730" i="12767"/>
  <c r="K913" i="12767"/>
  <c r="K894" i="12767" s="1"/>
  <c r="M876" i="12767"/>
  <c r="I881" i="12767"/>
  <c r="M881" i="12767" s="1"/>
  <c r="M20" i="12769"/>
  <c r="M18" i="12769"/>
  <c r="M15" i="12769"/>
  <c r="M19" i="12769"/>
  <c r="M16" i="12769"/>
  <c r="M14" i="12769"/>
  <c r="K1048" i="12767"/>
  <c r="K402" i="12767"/>
  <c r="K332" i="12767"/>
  <c r="K334" i="12767" s="1"/>
  <c r="K298" i="12767"/>
  <c r="K437" i="12767"/>
  <c r="K439" i="12767" s="1"/>
  <c r="K355" i="12767"/>
  <c r="K346" i="12767"/>
  <c r="K347" i="12767"/>
  <c r="K750" i="12767"/>
  <c r="K615" i="12767"/>
  <c r="K341" i="12767"/>
  <c r="K358" i="12767"/>
  <c r="K354" i="12767"/>
  <c r="K359" i="12767"/>
  <c r="K958" i="12767"/>
  <c r="K342" i="12767"/>
  <c r="K219" i="12767"/>
  <c r="K223" i="12767"/>
  <c r="K220" i="12767"/>
  <c r="K216" i="12767"/>
  <c r="K222" i="12767"/>
  <c r="K217" i="12767"/>
  <c r="K221" i="12767"/>
  <c r="K210" i="12767"/>
  <c r="K209" i="12767"/>
  <c r="K207" i="12767"/>
  <c r="K211" i="12767"/>
  <c r="K208" i="12767"/>
  <c r="K204" i="12767"/>
  <c r="K203" i="12767"/>
  <c r="K356" i="12767"/>
  <c r="K876" i="12767"/>
  <c r="M870" i="12767"/>
  <c r="K873" i="12767"/>
  <c r="K1041" i="12767"/>
  <c r="K869" i="12767"/>
  <c r="I23" i="12772"/>
  <c r="K23" i="12772" s="1"/>
  <c r="I27" i="12772"/>
  <c r="K27" i="12772" s="1"/>
  <c r="I28" i="12772"/>
  <c r="K28" i="12772" s="1"/>
  <c r="I25" i="12772"/>
  <c r="K25" i="12772" s="1"/>
  <c r="I24" i="12772"/>
  <c r="K24" i="12772" s="1"/>
  <c r="K918" i="12767"/>
  <c r="K899" i="12767" s="1"/>
  <c r="K1070" i="12767"/>
  <c r="K1072" i="12767" s="1"/>
  <c r="I15" i="12772"/>
  <c r="K15" i="12772" s="1"/>
  <c r="I21" i="12772"/>
  <c r="K21" i="12772" s="1"/>
  <c r="I20" i="12772"/>
  <c r="K20" i="12772" s="1"/>
  <c r="I16" i="12772"/>
  <c r="K16" i="12772" s="1"/>
  <c r="I17" i="12772"/>
  <c r="K17" i="12772" s="1"/>
  <c r="K600" i="12767"/>
  <c r="K595" i="12767"/>
  <c r="K618" i="12767"/>
  <c r="K603" i="12767"/>
  <c r="I40" i="12770"/>
  <c r="I38" i="12770"/>
  <c r="I36" i="12770"/>
  <c r="I34" i="12770"/>
  <c r="I32" i="12770"/>
  <c r="I30" i="12770"/>
  <c r="I28" i="12770"/>
  <c r="I26" i="12770"/>
  <c r="I24" i="12770"/>
  <c r="I22" i="12770"/>
  <c r="I20" i="12770"/>
  <c r="I18" i="12770"/>
  <c r="I16" i="12770"/>
  <c r="K16" i="12770" s="1"/>
  <c r="I14" i="12770"/>
  <c r="K14" i="12770" s="1"/>
  <c r="I39" i="12770"/>
  <c r="I35" i="12770"/>
  <c r="I31" i="12770"/>
  <c r="I27" i="12770"/>
  <c r="I23" i="12770"/>
  <c r="I19" i="12770"/>
  <c r="I15" i="12770"/>
  <c r="K15" i="12770" s="1"/>
  <c r="M880" i="12767"/>
  <c r="M883" i="12767" s="1"/>
  <c r="K880" i="12767"/>
  <c r="K879" i="12767"/>
  <c r="M879" i="12767"/>
  <c r="K612" i="12767"/>
  <c r="M22" i="12787"/>
  <c r="I73" i="12787"/>
  <c r="K73" i="12787" s="1"/>
  <c r="I56" i="12787"/>
  <c r="K56" i="12787" s="1"/>
  <c r="I39" i="12787"/>
  <c r="K39" i="12787" s="1"/>
  <c r="I72" i="12787"/>
  <c r="K72" i="12787" s="1"/>
  <c r="I55" i="12787"/>
  <c r="K55" i="12787" s="1"/>
  <c r="I38" i="12787"/>
  <c r="K38" i="12787" s="1"/>
  <c r="M21" i="12787"/>
  <c r="M20" i="12787"/>
  <c r="I71" i="12787"/>
  <c r="K71" i="12787" s="1"/>
  <c r="I54" i="12787"/>
  <c r="K54" i="12787" s="1"/>
  <c r="I37" i="12787"/>
  <c r="K37" i="12787" s="1"/>
  <c r="I791" i="12767"/>
  <c r="K791" i="12767" s="1"/>
  <c r="K767" i="12767"/>
  <c r="I792" i="12767"/>
  <c r="K792" i="12767" s="1"/>
  <c r="I780" i="12767"/>
  <c r="K772" i="12767"/>
  <c r="I843" i="12767"/>
  <c r="K843" i="12767" s="1"/>
  <c r="K819" i="12767"/>
  <c r="K679" i="12767"/>
  <c r="I693" i="12767"/>
  <c r="K693" i="12767" s="1"/>
  <c r="K573" i="12767"/>
  <c r="I580" i="12767"/>
  <c r="K580" i="12767" s="1"/>
  <c r="I581" i="12767"/>
  <c r="K581" i="12767" s="1"/>
  <c r="K518" i="12767"/>
  <c r="I532" i="12767"/>
  <c r="K532" i="12767" s="1"/>
  <c r="K828" i="12767"/>
  <c r="I848" i="12767"/>
  <c r="K848" i="12767" s="1"/>
  <c r="M31" i="12771"/>
  <c r="Q31" i="12771" s="1"/>
  <c r="M29" i="12771"/>
  <c r="Q29" i="12771" s="1"/>
  <c r="M28" i="12771"/>
  <c r="Q28" i="12771" s="1"/>
  <c r="M33" i="12771"/>
  <c r="Q33" i="12771" s="1"/>
  <c r="M27" i="12771"/>
  <c r="Q27" i="12771" s="1"/>
  <c r="M32" i="12771"/>
  <c r="Q32" i="12771" s="1"/>
  <c r="P724" i="12767"/>
  <c r="I831" i="12767"/>
  <c r="I745" i="12767"/>
  <c r="M745" i="12767" s="1"/>
  <c r="I778" i="12767"/>
  <c r="M724" i="12767"/>
  <c r="M25" i="12771"/>
  <c r="Q25" i="12771" s="1"/>
  <c r="M24" i="12771"/>
  <c r="Q24" i="12771" s="1"/>
  <c r="M18" i="12771"/>
  <c r="Q18" i="12771" s="1"/>
  <c r="M20" i="12771"/>
  <c r="Q20" i="12771" s="1"/>
  <c r="M23" i="12771"/>
  <c r="Q23" i="12771" s="1"/>
  <c r="M19" i="12771"/>
  <c r="Q19" i="12771" s="1"/>
  <c r="K593" i="12767"/>
  <c r="I496" i="12767"/>
  <c r="K496" i="12767" s="1"/>
  <c r="K482" i="12767"/>
  <c r="I495" i="12767"/>
  <c r="K495" i="12767" s="1"/>
  <c r="K481" i="12767"/>
  <c r="K30" i="12769"/>
  <c r="K18" i="12769"/>
  <c r="K28" i="12769"/>
  <c r="K19" i="12769"/>
  <c r="K27" i="12769"/>
  <c r="K16" i="12769"/>
  <c r="K26" i="12769"/>
  <c r="K15" i="12769"/>
  <c r="K23" i="12769"/>
  <c r="K14" i="12769"/>
  <c r="K24" i="12769"/>
  <c r="K32" i="12769"/>
  <c r="K20" i="12769"/>
  <c r="K31" i="12769"/>
  <c r="K22" i="12769"/>
  <c r="I695" i="12767"/>
  <c r="K695" i="12767" s="1"/>
  <c r="K682" i="12767"/>
  <c r="K582" i="12767"/>
  <c r="I575" i="12767"/>
  <c r="K575" i="12767" s="1"/>
  <c r="K562" i="12767"/>
  <c r="K463" i="12767"/>
  <c r="K466" i="12767"/>
  <c r="K467" i="12767"/>
  <c r="K357" i="12767"/>
  <c r="K348" i="12767"/>
  <c r="K349" i="12767"/>
  <c r="K614" i="12767"/>
  <c r="K616" i="12767"/>
  <c r="K611" i="12767"/>
  <c r="K464" i="12767"/>
  <c r="K453" i="12767"/>
  <c r="K598" i="12767"/>
  <c r="K21" i="12767"/>
  <c r="K23" i="12767" s="1"/>
  <c r="K41" i="12767"/>
  <c r="I69" i="12787"/>
  <c r="K69" i="12787" s="1"/>
  <c r="I52" i="12787"/>
  <c r="K52" i="12787" s="1"/>
  <c r="I35" i="12787"/>
  <c r="K35" i="12787" s="1"/>
  <c r="M18" i="12787"/>
  <c r="M17" i="12787"/>
  <c r="I68" i="12787"/>
  <c r="K68" i="12787" s="1"/>
  <c r="I51" i="12787"/>
  <c r="K51" i="12787" s="1"/>
  <c r="I34" i="12787"/>
  <c r="K34" i="12787" s="1"/>
  <c r="I50" i="12787"/>
  <c r="K50" i="12787" s="1"/>
  <c r="I67" i="12787"/>
  <c r="K67" i="12787" s="1"/>
  <c r="K76" i="12787" s="1"/>
  <c r="K78" i="12787" s="1"/>
  <c r="M16" i="12787"/>
  <c r="I33" i="12787"/>
  <c r="K33" i="12787" s="1"/>
  <c r="I844" i="12767"/>
  <c r="K844" i="12767" s="1"/>
  <c r="K820" i="12767"/>
  <c r="K825" i="12767"/>
  <c r="I845" i="12767"/>
  <c r="K845" i="12767" s="1"/>
  <c r="I833" i="12767"/>
  <c r="I747" i="12767"/>
  <c r="M747" i="12767" s="1"/>
  <c r="M726" i="12767"/>
  <c r="P723" i="12767"/>
  <c r="I777" i="12767"/>
  <c r="M723" i="12767"/>
  <c r="I830" i="12767"/>
  <c r="I744" i="12767"/>
  <c r="M744" i="12767" s="1"/>
  <c r="K766" i="12767"/>
  <c r="I790" i="12767"/>
  <c r="K790" i="12767" s="1"/>
  <c r="M24" i="12769"/>
  <c r="M23" i="12769"/>
  <c r="M26" i="12769"/>
  <c r="M32" i="12769"/>
  <c r="M27" i="12769"/>
  <c r="M31" i="12769"/>
  <c r="M28" i="12769"/>
  <c r="M22" i="12769"/>
  <c r="M30" i="12769"/>
  <c r="K340" i="12767"/>
  <c r="K483" i="12767"/>
  <c r="I497" i="12767"/>
  <c r="K497" i="12767" s="1"/>
  <c r="K776" i="12767"/>
  <c r="I796" i="12767"/>
  <c r="K796" i="12767" s="1"/>
  <c r="I849" i="12767"/>
  <c r="K849" i="12767" s="1"/>
  <c r="K829" i="12767"/>
  <c r="K775" i="12767"/>
  <c r="I795" i="12767"/>
  <c r="K795" i="12767" s="1"/>
  <c r="M727" i="12767"/>
  <c r="I748" i="12767"/>
  <c r="M748" i="12767" s="1"/>
  <c r="K827" i="12767"/>
  <c r="I847" i="12767"/>
  <c r="K847" i="12767" s="1"/>
  <c r="I834" i="12767"/>
  <c r="K774" i="12767"/>
  <c r="I781" i="12767"/>
  <c r="I794" i="12767"/>
  <c r="K794" i="12767" s="1"/>
  <c r="K641" i="12767"/>
  <c r="I655" i="12767"/>
  <c r="K655" i="12767" s="1"/>
  <c r="I531" i="12767"/>
  <c r="K531" i="12767" s="1"/>
  <c r="K517" i="12767"/>
  <c r="K516" i="12767"/>
  <c r="I530" i="12767"/>
  <c r="K530" i="12767" s="1"/>
  <c r="I657" i="12767"/>
  <c r="K657" i="12767" s="1"/>
  <c r="K644" i="12767"/>
  <c r="P605" i="12767"/>
  <c r="I683" i="12767"/>
  <c r="I563" i="12767"/>
  <c r="I645" i="12767"/>
  <c r="I620" i="12767"/>
  <c r="M620" i="12767" s="1"/>
  <c r="M605" i="12767"/>
  <c r="K451" i="12767"/>
  <c r="K454" i="12767"/>
  <c r="K455" i="12767"/>
  <c r="K594" i="12767"/>
  <c r="K345" i="12767"/>
  <c r="K360" i="12767"/>
  <c r="K361" i="12767"/>
  <c r="K597" i="12767"/>
  <c r="K452" i="12767"/>
  <c r="K465" i="12767"/>
  <c r="K729" i="12767"/>
  <c r="K751" i="12767"/>
  <c r="K613" i="12767"/>
  <c r="K1030" i="12787"/>
  <c r="K1032" i="12787" s="1"/>
  <c r="M923" i="12787"/>
  <c r="M1030" i="12787"/>
  <c r="K923" i="12787"/>
  <c r="K925" i="12787" s="1"/>
  <c r="K917" i="12767" l="1"/>
  <c r="K898" i="12767" s="1"/>
  <c r="I16" i="12773"/>
  <c r="K16" i="12773" s="1"/>
  <c r="I28" i="12773"/>
  <c r="K28" i="12773" s="1"/>
  <c r="K166" i="12767"/>
  <c r="I25" i="12773"/>
  <c r="K25" i="12773" s="1"/>
  <c r="I24" i="12773"/>
  <c r="K24" i="12773" s="1"/>
  <c r="I23" i="12773"/>
  <c r="K23" i="12773" s="1"/>
  <c r="I20" i="12773"/>
  <c r="K20" i="12773" s="1"/>
  <c r="I17" i="12773"/>
  <c r="K17" i="12773" s="1"/>
  <c r="I21" i="12773"/>
  <c r="K21" i="12773" s="1"/>
  <c r="I15" i="12773"/>
  <c r="K15" i="12773" s="1"/>
  <c r="I29" i="12773"/>
  <c r="K29" i="12773" s="1"/>
  <c r="I27" i="12773"/>
  <c r="K27" i="12773" s="1"/>
  <c r="I19" i="12773"/>
  <c r="K19" i="12773" s="1"/>
  <c r="K1015" i="12767"/>
  <c r="K1017" i="12767" s="1"/>
  <c r="K910" i="12767"/>
  <c r="R26" i="12783"/>
  <c r="N26" i="12783" s="1"/>
  <c r="N31" i="12783" s="1"/>
  <c r="K741" i="12767"/>
  <c r="K543" i="12767"/>
  <c r="K545" i="12767" s="1"/>
  <c r="K508" i="12767"/>
  <c r="K165" i="12767"/>
  <c r="K742" i="12767"/>
  <c r="K462" i="12767"/>
  <c r="K183" i="12767" s="1"/>
  <c r="K721" i="12767"/>
  <c r="K448" i="12767"/>
  <c r="K162" i="12767" s="1"/>
  <c r="K229" i="12767"/>
  <c r="K881" i="12767"/>
  <c r="K619" i="12767"/>
  <c r="K604" i="12767"/>
  <c r="K601" i="12767"/>
  <c r="K1051" i="12767"/>
  <c r="K1053" i="12767" s="1"/>
  <c r="K922" i="12767" s="1"/>
  <c r="K617" i="12767"/>
  <c r="K960" i="12767"/>
  <c r="K460" i="12767"/>
  <c r="K181" i="12767" s="1"/>
  <c r="K171" i="12767"/>
  <c r="K185" i="12767"/>
  <c r="M25" i="12787"/>
  <c r="K59" i="12787"/>
  <c r="K61" i="12787" s="1"/>
  <c r="K737" i="12767"/>
  <c r="K17" i="12787"/>
  <c r="K20" i="12787"/>
  <c r="K22" i="12787"/>
  <c r="K169" i="12767"/>
  <c r="K722" i="12767"/>
  <c r="K187" i="12767"/>
  <c r="K18" i="12787"/>
  <c r="I576" i="12767"/>
  <c r="K576" i="12767" s="1"/>
  <c r="K563" i="12767"/>
  <c r="K367" i="12767"/>
  <c r="K369" i="12767" s="1"/>
  <c r="K404" i="12767"/>
  <c r="U30" i="12769"/>
  <c r="Q30" i="12769"/>
  <c r="U28" i="12769"/>
  <c r="Q28" i="12769"/>
  <c r="U27" i="12769"/>
  <c r="Q27" i="12769"/>
  <c r="U26" i="12769"/>
  <c r="Q26" i="12769"/>
  <c r="U24" i="12769"/>
  <c r="Q24" i="12769"/>
  <c r="Q19" i="12769"/>
  <c r="U19" i="12769"/>
  <c r="U14" i="12769"/>
  <c r="Q14" i="12769"/>
  <c r="U20" i="12769"/>
  <c r="Q20" i="12769"/>
  <c r="K712" i="12767"/>
  <c r="I850" i="12767"/>
  <c r="K850" i="12767" s="1"/>
  <c r="K830" i="12767"/>
  <c r="K777" i="12767"/>
  <c r="I797" i="12767"/>
  <c r="K797" i="12767" s="1"/>
  <c r="K833" i="12767"/>
  <c r="I853" i="12767"/>
  <c r="K853" i="12767" s="1"/>
  <c r="V26" i="12783"/>
  <c r="O24" i="12767"/>
  <c r="S22" i="12769"/>
  <c r="O22" i="12769"/>
  <c r="S20" i="12769"/>
  <c r="O20" i="12769"/>
  <c r="S24" i="12769"/>
  <c r="O24" i="12769"/>
  <c r="S23" i="12769"/>
  <c r="O23" i="12769"/>
  <c r="S26" i="12769"/>
  <c r="O26" i="12769"/>
  <c r="S27" i="12769"/>
  <c r="O27" i="12769"/>
  <c r="S28" i="12769"/>
  <c r="O28" i="12769"/>
  <c r="S30" i="12769"/>
  <c r="O30" i="12769"/>
  <c r="I798" i="12767"/>
  <c r="K798" i="12767" s="1"/>
  <c r="K778" i="12767"/>
  <c r="K831" i="12767"/>
  <c r="I851" i="12767"/>
  <c r="K851" i="12767" s="1"/>
  <c r="K720" i="12767"/>
  <c r="K743" i="12767"/>
  <c r="K184" i="12767"/>
  <c r="K164" i="12767"/>
  <c r="K461" i="12767"/>
  <c r="K182" i="12767" s="1"/>
  <c r="K20" i="12770"/>
  <c r="K26" i="12770"/>
  <c r="K31" i="12770"/>
  <c r="K36" i="12770"/>
  <c r="K19" i="12770"/>
  <c r="K24" i="12770"/>
  <c r="K30" i="12770"/>
  <c r="K35" i="12770"/>
  <c r="K40" i="12770"/>
  <c r="K718" i="12767"/>
  <c r="K739" i="12767"/>
  <c r="K738" i="12767"/>
  <c r="K21" i="12787"/>
  <c r="K645" i="12767"/>
  <c r="I658" i="12767"/>
  <c r="K658" i="12767" s="1"/>
  <c r="K683" i="12767"/>
  <c r="I696" i="12767"/>
  <c r="K696" i="12767" s="1"/>
  <c r="K446" i="12767"/>
  <c r="K160" i="12767" s="1"/>
  <c r="I801" i="12767"/>
  <c r="K801" i="12767" s="1"/>
  <c r="K781" i="12767"/>
  <c r="I854" i="12767"/>
  <c r="K854" i="12767" s="1"/>
  <c r="K834" i="12767"/>
  <c r="U22" i="12769"/>
  <c r="Q22" i="12769"/>
  <c r="U31" i="12769"/>
  <c r="Q31" i="12769"/>
  <c r="U32" i="12769"/>
  <c r="Q32" i="12769"/>
  <c r="U23" i="12769"/>
  <c r="Q23" i="12769"/>
  <c r="Q16" i="12769"/>
  <c r="U16" i="12769"/>
  <c r="Q15" i="12769"/>
  <c r="U15" i="12769"/>
  <c r="U18" i="12769"/>
  <c r="Q18" i="12769"/>
  <c r="K42" i="12787"/>
  <c r="K16" i="12787"/>
  <c r="S31" i="12769"/>
  <c r="O31" i="12769"/>
  <c r="S32" i="12769"/>
  <c r="O32" i="12769"/>
  <c r="S14" i="12769"/>
  <c r="O14" i="12769"/>
  <c r="S15" i="12769"/>
  <c r="O15" i="12769"/>
  <c r="S16" i="12769"/>
  <c r="O16" i="12769"/>
  <c r="S19" i="12769"/>
  <c r="O19" i="12769"/>
  <c r="S18" i="12769"/>
  <c r="O18" i="12769"/>
  <c r="K300" i="12767"/>
  <c r="I800" i="12767"/>
  <c r="K800" i="12767" s="1"/>
  <c r="K780" i="12767"/>
  <c r="K188" i="12767"/>
  <c r="K186" i="12767"/>
  <c r="K170" i="12767"/>
  <c r="K173" i="12767"/>
  <c r="K172" i="12767"/>
  <c r="K447" i="12767"/>
  <c r="K161" i="12767" s="1"/>
  <c r="K18" i="12770"/>
  <c r="K23" i="12770"/>
  <c r="K28" i="12770"/>
  <c r="K34" i="12770"/>
  <c r="K39" i="12770"/>
  <c r="K22" i="12770"/>
  <c r="K27" i="12770"/>
  <c r="K32" i="12770"/>
  <c r="K38" i="12770"/>
  <c r="K713" i="12767"/>
  <c r="P1033" i="12787"/>
  <c r="O1033" i="12787"/>
  <c r="O926" i="12787"/>
  <c r="P926" i="12787"/>
  <c r="K883" i="12767" l="1"/>
  <c r="K885" i="12767" s="1"/>
  <c r="K585" i="12767"/>
  <c r="K587" i="12767" s="1"/>
  <c r="R16" i="12783" s="1"/>
  <c r="N16" i="12783" s="1"/>
  <c r="K701" i="12767"/>
  <c r="K703" i="12767" s="1"/>
  <c r="K663" i="12767"/>
  <c r="K665" i="12767" s="1"/>
  <c r="K808" i="12767"/>
  <c r="K810" i="12767" s="1"/>
  <c r="K861" i="12767"/>
  <c r="K863" i="12767" s="1"/>
  <c r="K920" i="12767"/>
  <c r="K747" i="12767"/>
  <c r="K726" i="12767"/>
  <c r="K744" i="12767"/>
  <c r="K745" i="12767"/>
  <c r="V20" i="12783"/>
  <c r="K473" i="12767"/>
  <c r="K475" i="12767" s="1"/>
  <c r="K510" i="12767"/>
  <c r="K727" i="12767"/>
  <c r="K620" i="12767"/>
  <c r="K231" i="12767"/>
  <c r="K44" i="12787"/>
  <c r="K25" i="12787"/>
  <c r="K27" i="12787" s="1"/>
  <c r="V31" i="12783"/>
  <c r="AG26" i="12783"/>
  <c r="W26" i="12783"/>
  <c r="Z26" i="12783"/>
  <c r="AA26" i="12783" s="1"/>
  <c r="K748" i="12767"/>
  <c r="K605" i="12767"/>
  <c r="K724" i="12767"/>
  <c r="K723" i="12767"/>
  <c r="R19" i="12783" l="1"/>
  <c r="N925" i="12767"/>
  <c r="O923" i="12767" s="1"/>
  <c r="AK20" i="12783"/>
  <c r="V19" i="12783"/>
  <c r="O886" i="12767"/>
  <c r="K901" i="12767"/>
  <c r="K903" i="12767" s="1"/>
  <c r="V16" i="12783"/>
  <c r="T16" i="12783" s="1"/>
  <c r="K194" i="12767"/>
  <c r="K196" i="12767" s="1"/>
  <c r="AG20" i="12783"/>
  <c r="W20" i="12783"/>
  <c r="Z20" i="12783"/>
  <c r="AA20" i="12783" s="1"/>
  <c r="K755" i="12767"/>
  <c r="K757" i="12767" s="1"/>
  <c r="R18" i="12783" s="1"/>
  <c r="AE26" i="12783"/>
  <c r="R31" i="12783"/>
  <c r="T26" i="12783"/>
  <c r="T31" i="12783" s="1"/>
  <c r="K625" i="12767"/>
  <c r="K627" i="12767" s="1"/>
  <c r="R17" i="12783" s="1"/>
  <c r="W31" i="12783"/>
  <c r="AG31" i="12783"/>
  <c r="Z31" i="12783"/>
  <c r="AA31" i="12783" s="1"/>
  <c r="K1035" i="12787"/>
  <c r="P28" i="12787"/>
  <c r="O28" i="12787"/>
  <c r="AK19" i="12783" l="1"/>
  <c r="AN19" i="12783"/>
  <c r="K1237" i="12767"/>
  <c r="R20" i="12783"/>
  <c r="N20" i="12783" s="1"/>
  <c r="P925" i="12767"/>
  <c r="N30" i="12772" s="1"/>
  <c r="AE19" i="12783"/>
  <c r="N19" i="12783"/>
  <c r="V15" i="12783"/>
  <c r="AN15" i="12783" s="1"/>
  <c r="R15" i="12783"/>
  <c r="T19" i="12783"/>
  <c r="Z19" i="12783"/>
  <c r="AA19" i="12783" s="1"/>
  <c r="AG19" i="12783"/>
  <c r="W19" i="12783"/>
  <c r="Z16" i="12783"/>
  <c r="V18" i="12783"/>
  <c r="AN18" i="12783" s="1"/>
  <c r="O197" i="12767"/>
  <c r="O758" i="12767"/>
  <c r="V17" i="12783"/>
  <c r="O628" i="12767"/>
  <c r="K1038" i="12787"/>
  <c r="P1036" i="12787" s="1"/>
  <c r="O1036" i="12787"/>
  <c r="AE31" i="12783"/>
  <c r="AK17" i="12783" l="1"/>
  <c r="AN17" i="12783"/>
  <c r="AG18" i="12783"/>
  <c r="AK18" i="12783"/>
  <c r="AG15" i="12783"/>
  <c r="AK15" i="12783"/>
  <c r="K1240" i="12767"/>
  <c r="T20" i="12783"/>
  <c r="AE20" i="12783"/>
  <c r="N15" i="12783"/>
  <c r="R23" i="12783"/>
  <c r="W15" i="12783"/>
  <c r="X34" i="12769" s="1"/>
  <c r="Z15" i="12783"/>
  <c r="AA15" i="12783" s="1"/>
  <c r="Z18" i="12783"/>
  <c r="AA18" i="12783" s="1"/>
  <c r="W18" i="12783"/>
  <c r="T33" i="12771" s="1"/>
  <c r="V23" i="12783"/>
  <c r="AG23" i="12783" s="1"/>
  <c r="AG17" i="12783"/>
  <c r="N17" i="12783"/>
  <c r="W17" i="12783"/>
  <c r="Z17" i="12783"/>
  <c r="AA17" i="12783" s="1"/>
  <c r="AE15" i="12783"/>
  <c r="T15" i="12783"/>
  <c r="AE18" i="12783" l="1"/>
  <c r="N18" i="12783"/>
  <c r="N23" i="12783" s="1"/>
  <c r="N33" i="12783" s="1"/>
  <c r="N37" i="12783" s="1"/>
  <c r="AE23" i="12783"/>
  <c r="T18" i="12783"/>
  <c r="W23" i="12783"/>
  <c r="Z23" i="12783"/>
  <c r="V33" i="12783"/>
  <c r="W16" i="12783"/>
  <c r="AA16" i="12783" s="1"/>
  <c r="O32" i="12770"/>
  <c r="AE17" i="12783"/>
  <c r="T17" i="12783"/>
  <c r="V37" i="12783" l="1"/>
  <c r="AK33" i="12783"/>
  <c r="R33" i="12783"/>
  <c r="AE33" i="12783" s="1"/>
  <c r="T23" i="12783"/>
  <c r="T33" i="12783" s="1"/>
  <c r="T37" i="12783" s="1"/>
  <c r="Z33" i="12783"/>
  <c r="AA33" i="12783" s="1"/>
  <c r="W33" i="12783"/>
  <c r="AG33" i="12783"/>
  <c r="W37" i="12783" l="1"/>
  <c r="AG37" i="12783"/>
  <c r="R37" i="12783"/>
  <c r="AE37" i="12783" s="1"/>
  <c r="D40" i="12826" l="1"/>
  <c r="C16" i="12785" s="1"/>
  <c r="D37" i="12826"/>
  <c r="D39" i="12826" s="1"/>
  <c r="E48" i="12826"/>
  <c r="J29" i="12826" s="1"/>
  <c r="E35" i="12826" l="1"/>
  <c r="E40" i="12826" s="1"/>
  <c r="C17" i="12785" s="1"/>
  <c r="D17" i="12785" l="1"/>
  <c r="G35" i="12826"/>
  <c r="H35" i="12826" s="1"/>
  <c r="E37" i="12826"/>
  <c r="E39" i="12826" s="1"/>
  <c r="Q23" i="12852" l="1"/>
  <c r="S23" i="12852"/>
  <c r="S32" i="12852" s="1"/>
  <c r="S44" i="12852" s="1"/>
  <c r="S48" i="12852" s="1"/>
  <c r="U23" i="12852"/>
  <c r="Y23" i="12852"/>
  <c r="Z23" i="12852"/>
  <c r="Q32" i="12852"/>
  <c r="AD32" i="12852" s="1"/>
  <c r="U32" i="12852"/>
  <c r="U44" i="12852" s="1"/>
  <c r="U23" i="12831"/>
  <c r="Z23" i="12831"/>
  <c r="Y23" i="12831" l="1"/>
  <c r="AK23" i="12831"/>
  <c r="AF32" i="12852"/>
  <c r="Y32" i="12852"/>
  <c r="V32" i="12852"/>
  <c r="U48" i="12852"/>
  <c r="Y44" i="12852"/>
  <c r="Z44" i="12852" s="1"/>
  <c r="V44" i="12852"/>
  <c r="AF44" i="12852"/>
  <c r="Q44" i="12852"/>
  <c r="Q23" i="12831"/>
  <c r="U32" i="12831"/>
  <c r="S23" i="12831" l="1"/>
  <c r="S32" i="12831" s="1"/>
  <c r="S44" i="12831" s="1"/>
  <c r="S48" i="12831" s="1"/>
  <c r="Q32" i="12831"/>
  <c r="V32" i="12831"/>
  <c r="U44" i="12831"/>
  <c r="AF32" i="12831"/>
  <c r="Y32" i="12831"/>
  <c r="AD44" i="12852"/>
  <c r="Q48" i="12852"/>
  <c r="AD48" i="12852" s="1"/>
  <c r="V48" i="12852"/>
  <c r="AD50" i="12852" s="1"/>
  <c r="AF48" i="12852"/>
  <c r="V44" i="12831" l="1"/>
  <c r="AF44" i="12831"/>
  <c r="U48" i="12831"/>
  <c r="AK48" i="12831" s="1"/>
  <c r="AK49" i="12831" s="1"/>
  <c r="AM20" i="12783" s="1"/>
  <c r="Y44" i="12831"/>
  <c r="Z44" i="12831" s="1"/>
  <c r="Q44" i="12831"/>
  <c r="AD32" i="12831"/>
  <c r="O903" i="12767" l="1"/>
  <c r="O904" i="12767" s="1"/>
  <c r="AL28" i="12831"/>
  <c r="AL48" i="12831" s="1"/>
  <c r="AL49" i="12831" s="1"/>
  <c r="V48" i="12831"/>
  <c r="AD50" i="12831" s="1"/>
  <c r="AF48" i="12831"/>
  <c r="Q48" i="12831"/>
  <c r="AD48" i="12831" s="1"/>
  <c r="AD44" i="12831"/>
  <c r="AM37" i="12783" l="1"/>
  <c r="AN37" i="12783" s="1"/>
  <c r="AN20" i="12783"/>
  <c r="O1091" i="12767"/>
  <c r="O1092" i="12767" s="1"/>
  <c r="O1239" i="12767" l="1"/>
  <c r="O1240" i="12767" s="1"/>
</calcChain>
</file>

<file path=xl/comments1.xml><?xml version="1.0" encoding="utf-8"?>
<comments xmlns="http://schemas.openxmlformats.org/spreadsheetml/2006/main">
  <authors>
    <author>Chris Mickelson</author>
  </authors>
  <commentList>
    <comment ref="D12" authorId="0">
      <text>
        <r>
          <rPr>
            <b/>
            <sz val="9"/>
            <color indexed="81"/>
            <rFont val="Tahoma"/>
            <family val="2"/>
          </rPr>
          <t>Chris Mickelson:</t>
        </r>
        <r>
          <rPr>
            <sz val="9"/>
            <color indexed="81"/>
            <rFont val="Tahoma"/>
            <family val="2"/>
          </rPr>
          <t xml:space="preserve">
Why times 6?</t>
        </r>
      </text>
    </comment>
  </commentList>
</comments>
</file>

<file path=xl/comments2.xml><?xml version="1.0" encoding="utf-8"?>
<comments xmlns="http://schemas.openxmlformats.org/spreadsheetml/2006/main">
  <authors>
    <author>Mickelson, Christopher (UTC)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Mickelson, Christopher (UTC):</t>
        </r>
        <r>
          <rPr>
            <sz val="9"/>
            <color indexed="81"/>
            <rFont val="Tahoma"/>
            <family val="2"/>
          </rPr>
          <t xml:space="preserve">
Select Appliances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Mickelson, Christopher (UTC):</t>
        </r>
        <r>
          <rPr>
            <sz val="9"/>
            <color indexed="81"/>
            <rFont val="Tahoma"/>
            <family val="2"/>
          </rPr>
          <t xml:space="preserve">
Larger list of select appliances.</t>
        </r>
      </text>
    </comment>
  </commentList>
</comments>
</file>

<file path=xl/comments3.xml><?xml version="1.0" encoding="utf-8"?>
<comments xmlns="http://schemas.openxmlformats.org/spreadsheetml/2006/main">
  <authors>
    <author>Judith M Ridenour</author>
    <author>P15223</author>
  </authors>
  <commentList>
    <comment ref="C5" authorId="0">
      <text>
        <r>
          <rPr>
            <sz val="10"/>
            <color indexed="81"/>
            <rFont val="Tahoma"/>
            <family val="2"/>
          </rPr>
          <t>BPA Revenues NOT INCLUDED
(Base Revenues)</t>
        </r>
      </text>
    </comment>
    <comment ref="K5" authorId="0">
      <text>
        <r>
          <rPr>
            <b/>
            <sz val="10"/>
            <color indexed="81"/>
            <rFont val="Tahoma"/>
            <family val="2"/>
          </rPr>
          <t>Mike Zimmerman:</t>
        </r>
        <r>
          <rPr>
            <sz val="10"/>
            <color indexed="81"/>
            <rFont val="Tahoma"/>
            <family val="2"/>
          </rPr>
          <t xml:space="preserve">
Low Income, BPA, SBC, REC and Hydro
 not included.</t>
        </r>
      </text>
    </comment>
    <comment ref="T13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  <comment ref="T18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</commentList>
</comments>
</file>

<file path=xl/comments4.xml><?xml version="1.0" encoding="utf-8"?>
<comments xmlns="http://schemas.openxmlformats.org/spreadsheetml/2006/main">
  <authors>
    <author>Judith M Ridenour</author>
    <author>P15223</author>
  </authors>
  <commentList>
    <comment ref="C5" authorId="0">
      <text>
        <r>
          <rPr>
            <sz val="10"/>
            <color indexed="81"/>
            <rFont val="Tahoma"/>
            <family val="2"/>
          </rPr>
          <t>BPA Revenues NOT INCLUDED
(Base Revenues)</t>
        </r>
      </text>
    </comment>
    <comment ref="Q5" authorId="0">
      <text>
        <r>
          <rPr>
            <b/>
            <sz val="10"/>
            <color indexed="81"/>
            <rFont val="Tahoma"/>
            <family val="2"/>
          </rPr>
          <t>Mike Zimmerman:</t>
        </r>
        <r>
          <rPr>
            <sz val="10"/>
            <color indexed="81"/>
            <rFont val="Tahoma"/>
            <family val="2"/>
          </rPr>
          <t xml:space="preserve">
Low Income, BPA, SBC, REC and Hydro
 not included.</t>
        </r>
      </text>
    </comment>
    <comment ref="Z13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  <comment ref="Z18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</commentList>
</comments>
</file>

<file path=xl/comments5.xml><?xml version="1.0" encoding="utf-8"?>
<comments xmlns="http://schemas.openxmlformats.org/spreadsheetml/2006/main">
  <authors>
    <author>P15223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Use this sheet if SBC changes mid-period.</t>
        </r>
      </text>
    </comment>
  </commentList>
</comments>
</file>

<file path=xl/sharedStrings.xml><?xml version="1.0" encoding="utf-8"?>
<sst xmlns="http://schemas.openxmlformats.org/spreadsheetml/2006/main" count="9006" uniqueCount="1131">
  <si>
    <t>Table 1</t>
  </si>
  <si>
    <t>Revenue</t>
  </si>
  <si>
    <t>Semi-Annual Report</t>
  </si>
  <si>
    <t>A</t>
  </si>
  <si>
    <t>B</t>
  </si>
  <si>
    <t>C</t>
  </si>
  <si>
    <t>D</t>
  </si>
  <si>
    <t>E</t>
  </si>
  <si>
    <t>I</t>
  </si>
  <si>
    <t>Total</t>
  </si>
  <si>
    <t xml:space="preserve">Total </t>
  </si>
  <si>
    <t>Normalizing</t>
  </si>
  <si>
    <t>Temperature</t>
  </si>
  <si>
    <t>Price</t>
  </si>
  <si>
    <t>Adjusted</t>
  </si>
  <si>
    <t>Adjustments</t>
  </si>
  <si>
    <t>Normalization</t>
  </si>
  <si>
    <t>Residential</t>
  </si>
  <si>
    <t>Commercial</t>
  </si>
  <si>
    <t>Public St &amp; Hwy</t>
  </si>
  <si>
    <t>Customer</t>
  </si>
  <si>
    <t>Source / Formula</t>
  </si>
  <si>
    <t>Info. Services</t>
  </si>
  <si>
    <t>MWh</t>
  </si>
  <si>
    <t>Month</t>
  </si>
  <si>
    <t>kWh</t>
  </si>
  <si>
    <t>Impact</t>
  </si>
  <si>
    <t>Total Residential</t>
  </si>
  <si>
    <t>Total Commercial</t>
  </si>
  <si>
    <t>Table 3</t>
  </si>
  <si>
    <t>Industrial</t>
  </si>
  <si>
    <t xml:space="preserve"> </t>
  </si>
  <si>
    <t>Rate</t>
  </si>
  <si>
    <t>Booked Revenues</t>
  </si>
  <si>
    <t>AGA</t>
  </si>
  <si>
    <t>Subtotal</t>
  </si>
  <si>
    <t>Public Street &amp; Highway Lighting</t>
  </si>
  <si>
    <t>Revenues</t>
  </si>
  <si>
    <t>Price*</t>
  </si>
  <si>
    <t>Average</t>
  </si>
  <si>
    <t>Customers</t>
  </si>
  <si>
    <t>Booked</t>
  </si>
  <si>
    <t>A + D</t>
  </si>
  <si>
    <t>B + C</t>
  </si>
  <si>
    <t>Adjustment</t>
  </si>
  <si>
    <t>Annualized</t>
  </si>
  <si>
    <t>Temperature Normalization</t>
  </si>
  <si>
    <t>State of Washington</t>
  </si>
  <si>
    <t>02RESD00016</t>
  </si>
  <si>
    <t>02RESD00018</t>
  </si>
  <si>
    <t>02OALTO15R</t>
  </si>
  <si>
    <t>02GNSV0024</t>
  </si>
  <si>
    <t>02GNSV024F</t>
  </si>
  <si>
    <t>02LGSV0036</t>
  </si>
  <si>
    <t>02LGSV048T</t>
  </si>
  <si>
    <t>02OALT015N</t>
  </si>
  <si>
    <t>02RCFL0054</t>
  </si>
  <si>
    <t>02GNSV24FP</t>
  </si>
  <si>
    <t>02APSV0040</t>
  </si>
  <si>
    <t>02APSV040X</t>
  </si>
  <si>
    <t>02LGSV048M</t>
  </si>
  <si>
    <t>02COSL0052</t>
  </si>
  <si>
    <t>02CUSL053F</t>
  </si>
  <si>
    <t>02CUSL053M</t>
  </si>
  <si>
    <t>02HPSV0051</t>
  </si>
  <si>
    <t>02MVSL0057</t>
  </si>
  <si>
    <t>Schedule 16</t>
  </si>
  <si>
    <t>Schedule 24</t>
  </si>
  <si>
    <t>Schedule 36</t>
  </si>
  <si>
    <t>Sub Total</t>
  </si>
  <si>
    <t>$</t>
  </si>
  <si>
    <t>48T</t>
  </si>
  <si>
    <t>Pacific Power &amp; Light Company</t>
  </si>
  <si>
    <t>Sch. 191</t>
  </si>
  <si>
    <t xml:space="preserve">  </t>
  </si>
  <si>
    <t xml:space="preserve">Adjustments </t>
  </si>
  <si>
    <t>Washington</t>
  </si>
  <si>
    <t>Total Washington</t>
  </si>
  <si>
    <t>Unbilled Rev</t>
  </si>
  <si>
    <t>Unbilled Rev.</t>
  </si>
  <si>
    <t>Unbilled Sales</t>
  </si>
  <si>
    <t>kWhs</t>
  </si>
  <si>
    <t>BPA Balance Acct.</t>
  </si>
  <si>
    <r>
      <t>Normalization</t>
    </r>
    <r>
      <rPr>
        <vertAlign val="superscript"/>
        <sz val="12"/>
        <rFont val="Times New Roman"/>
        <family val="1"/>
      </rPr>
      <t>1</t>
    </r>
  </si>
  <si>
    <t>Rev.</t>
  </si>
  <si>
    <t>Total Adj.</t>
  </si>
  <si>
    <t>Total Adj.Rev.</t>
  </si>
  <si>
    <t>Adj.</t>
  </si>
  <si>
    <t xml:space="preserve">Table 1 </t>
  </si>
  <si>
    <t>Other Non-Tariff Cont./Firm</t>
  </si>
  <si>
    <t>Other Non-Tariff Cont./Non-Firm</t>
  </si>
  <si>
    <t>Total with Contracts</t>
  </si>
  <si>
    <t>Non-Washington Contracts</t>
  </si>
  <si>
    <t>02RESD00017</t>
  </si>
  <si>
    <t>BPA Balancing Account</t>
  </si>
  <si>
    <t>BPA Balance Acct</t>
  </si>
  <si>
    <t>BPA Balancing Acct</t>
  </si>
  <si>
    <t>BPA</t>
  </si>
  <si>
    <t>Table 2</t>
  </si>
  <si>
    <t>Revenue Class Description</t>
  </si>
  <si>
    <t>Rate Description</t>
  </si>
  <si>
    <t>Rate Group Description</t>
  </si>
  <si>
    <t>Kwh</t>
  </si>
  <si>
    <t>Billing Count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</si>
  <si>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</si>
  <si>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</si>
  <si>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</si>
  <si>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</si>
  <si>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</si>
  <si>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</si>
  <si>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</si>
  <si>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</si>
  <si>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</si>
  <si>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</si>
  <si>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</si>
  <si>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</si>
  <si>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</si>
  <si>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</si>
  <si>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</si>
  <si>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</si>
  <si>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BPA BALANCING ACCOUNT</t>
  </si>
  <si>
    <t>CUSTOMER COUNT - BPA</t>
  </si>
  <si>
    <t>CUSTOMER COUNT - REGULAR</t>
  </si>
  <si>
    <t>UNBILLED REVENUE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</si>
  <si>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</si>
  <si>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</si>
  <si>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</si>
  <si>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</si>
  <si>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</si>
  <si>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</si>
  <si>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</si>
  <si>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02BPADEBIT-BPA ADJUST FEE</t>
  </si>
  <si>
    <t>CUSTOMER CNT - IRRIGATION</t>
  </si>
  <si>
    <t>CUSTOMER CNT - IRRIG BPA</t>
  </si>
  <si>
    <t>IRRIGATION BPA BAL ACCT</t>
  </si>
  <si>
    <t>IRRIGATION UNBILLED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</si>
  <si>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</si>
  <si>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</si>
  <si>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</si>
  <si>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</si>
  <si>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</si>
  <si>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</si>
  <si>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</si>
  <si>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</si>
  <si>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</si>
  <si>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</si>
  <si>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02RESD0017-BILL ASSISTANCE</t>
  </si>
  <si>
    <t>02RESD0018-WA 3 PHASE RES</t>
  </si>
  <si>
    <t>02RESD018X-WA 3 PHASE RES</t>
  </si>
  <si>
    <t>24f</t>
  </si>
  <si>
    <t>aga</t>
  </si>
  <si>
    <t>15n</t>
  </si>
  <si>
    <t>bpa</t>
  </si>
  <si>
    <t>merger</t>
  </si>
  <si>
    <t>unbilled</t>
  </si>
  <si>
    <t>48m</t>
  </si>
  <si>
    <t>48t</t>
  </si>
  <si>
    <t>24fp</t>
  </si>
  <si>
    <t>40x</t>
  </si>
  <si>
    <t>53f</t>
  </si>
  <si>
    <t>53m</t>
  </si>
  <si>
    <t>15r</t>
  </si>
  <si>
    <t>18x</t>
  </si>
  <si>
    <t>cent</t>
  </si>
  <si>
    <t>02RESD0018X</t>
  </si>
  <si>
    <t>Centralia Refund</t>
  </si>
  <si>
    <t>BPA Adjustment Fee</t>
  </si>
  <si>
    <t>02PRSV47TM</t>
  </si>
  <si>
    <t>Washington Total</t>
  </si>
  <si>
    <t>Non BPA</t>
  </si>
  <si>
    <t>Check</t>
  </si>
  <si>
    <t>KWhs</t>
  </si>
  <si>
    <t>305 Report</t>
  </si>
  <si>
    <t>Change</t>
  </si>
  <si>
    <t>kWh &amp; Rev</t>
  </si>
  <si>
    <t>Revenue Detail</t>
  </si>
  <si>
    <t>MONTHLY KWH</t>
  </si>
  <si>
    <t>Regular only</t>
  </si>
  <si>
    <r>
      <t>Adjustments</t>
    </r>
    <r>
      <rPr>
        <vertAlign val="superscript"/>
        <sz val="12"/>
        <rFont val="Times New Roman"/>
        <family val="1"/>
      </rPr>
      <t>1</t>
    </r>
  </si>
  <si>
    <t>Merger Credit</t>
  </si>
  <si>
    <t>No BPA</t>
  </si>
  <si>
    <t>b24fp</t>
  </si>
  <si>
    <t>b40</t>
  </si>
  <si>
    <t>b16</t>
  </si>
  <si>
    <t>b17</t>
  </si>
  <si>
    <t>b18</t>
  </si>
  <si>
    <t>b18x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</si>
  <si>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</si>
  <si>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</si>
  <si>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</si>
  <si>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</si>
  <si>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</si>
  <si>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</si>
  <si>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</si>
  <si>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</si>
  <si>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</si>
  <si>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</si>
  <si>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</si>
  <si>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</si>
  <si>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</si>
  <si>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</si>
  <si>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</si>
  <si>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</si>
  <si>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</si>
  <si>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</si>
  <si>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</si>
  <si>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</si>
  <si>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Ratio</t>
  </si>
  <si>
    <t>First Block</t>
  </si>
  <si>
    <t>Second Block</t>
  </si>
  <si>
    <t>Ratio from</t>
  </si>
  <si>
    <t>First Block kWh</t>
  </si>
  <si>
    <t>Second Block kWh</t>
  </si>
  <si>
    <t>Third Block</t>
  </si>
  <si>
    <t>Third Block kWh</t>
  </si>
  <si>
    <t>*Energy base rate effective during the month indicated.</t>
  </si>
  <si>
    <t>Total Irrigation</t>
  </si>
  <si>
    <t>02NMT24135, Net metering, WA</t>
  </si>
  <si>
    <t>02LGSB048T - WA GEN SRVC, NO BPA</t>
  </si>
  <si>
    <t>301119 - UNBILLED REV - UNCOLLECTIBLE</t>
  </si>
  <si>
    <t>02NMT24135</t>
  </si>
  <si>
    <t>02GNSB024F-GEN SRVC DOM/F W/BPA</t>
  </si>
  <si>
    <t>02GNSB0024-WA GEN SRVC DO</t>
  </si>
  <si>
    <t>02GNSB24FP-WA GEN SVC SEASONAL</t>
  </si>
  <si>
    <t>ACQUISITION COMMITMENT-A and G CREDIT</t>
  </si>
  <si>
    <t>02LGSB0036-LRG GENSVC IRG W/BPA</t>
  </si>
  <si>
    <t>02OALTB15N-WA OUTD AR LGT NR W/BPA</t>
  </si>
  <si>
    <t>ACQUISITION COMMITMENT-WEST VALLEY LEASE</t>
  </si>
  <si>
    <t>02GNSB0024-WA GEN SRVC DO W/BPA</t>
  </si>
  <si>
    <t>02GNSB24FP-WA GEN SVC SEASONAL W/BPA</t>
  </si>
  <si>
    <t>02OALTB15N-WA OUTD AR LGT NR</t>
  </si>
  <si>
    <t>02GNSB024F-GEN SRVC DOM/F</t>
  </si>
  <si>
    <t>02LGSB0036-LRG GEN SVC IRG</t>
  </si>
  <si>
    <t>02OALTB15R-WA OUTD AR LGT RES</t>
  </si>
  <si>
    <t>02OALTB15R-WA OUTD AR LGT RES W/BPA</t>
  </si>
  <si>
    <t>kwh</t>
  </si>
  <si>
    <t>rev</t>
  </si>
  <si>
    <t>b24f</t>
  </si>
  <si>
    <t>b36</t>
  </si>
  <si>
    <t>b15n</t>
  </si>
  <si>
    <t>Acquisition  Commitment</t>
  </si>
  <si>
    <t>Acquisition Commitment</t>
  </si>
  <si>
    <t>b24</t>
  </si>
  <si>
    <t>b15r</t>
  </si>
  <si>
    <t>Schedule 18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</si>
  <si>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</si>
  <si>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</si>
  <si>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</si>
  <si>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</si>
  <si>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</si>
  <si>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</si>
  <si>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02NETMT135 - WA RES NET METERING</t>
  </si>
  <si>
    <t>02NETMT135</t>
  </si>
  <si>
    <t>Error Check</t>
  </si>
  <si>
    <t>Increase</t>
  </si>
  <si>
    <t>Pro Forma</t>
  </si>
  <si>
    <t>Rate Schedule Tolerance Sheet</t>
  </si>
  <si>
    <t xml:space="preserve">Needed </t>
  </si>
  <si>
    <t>% Diff</t>
  </si>
  <si>
    <t>for</t>
  </si>
  <si>
    <t>Schedule</t>
  </si>
  <si>
    <t>Out of Period</t>
  </si>
  <si>
    <t>Adjusted 305A</t>
  </si>
  <si>
    <t>Cognos Run</t>
  </si>
  <si>
    <t>N - G</t>
  </si>
  <si>
    <t>Difference</t>
  </si>
  <si>
    <t>Tolerance</t>
  </si>
  <si>
    <t>RESIDENTIAL</t>
  </si>
  <si>
    <t>02RESD0016</t>
  </si>
  <si>
    <t>02RESD0017</t>
  </si>
  <si>
    <t>02RESD0018</t>
  </si>
  <si>
    <t>02RESD018X</t>
  </si>
  <si>
    <t>02OALTB15R</t>
  </si>
  <si>
    <t>TOT RES</t>
  </si>
  <si>
    <t>COMMERCIAL</t>
  </si>
  <si>
    <t>02PRSV033M</t>
  </si>
  <si>
    <t>TOT COM</t>
  </si>
  <si>
    <t>INDUSTRIAL</t>
  </si>
  <si>
    <t>TOT IND</t>
  </si>
  <si>
    <t>IRRIGATION</t>
  </si>
  <si>
    <t>TOT IRG</t>
  </si>
  <si>
    <t>PS&amp;H LIGHTING</t>
  </si>
  <si>
    <t>TOT LIGHT</t>
  </si>
  <si>
    <t>GRAND TOTAL</t>
  </si>
  <si>
    <t>SUMMARIES BY SCHEDULE</t>
  </si>
  <si>
    <t>Schedule 15 Total</t>
  </si>
  <si>
    <t>Schedule 16 Total</t>
  </si>
  <si>
    <t>Schedule 18 Total</t>
  </si>
  <si>
    <t>Schedule 24 Total</t>
  </si>
  <si>
    <t>Schedule 36 Total</t>
  </si>
  <si>
    <t>Schedule 40 Total</t>
  </si>
  <si>
    <t>Schedule 48 Total</t>
  </si>
  <si>
    <t>Schedule 53 Total</t>
  </si>
  <si>
    <t>and Error kWh</t>
  </si>
  <si>
    <t>Blocking b/4 Adj.</t>
  </si>
  <si>
    <t>K -I</t>
  </si>
  <si>
    <t>P - I</t>
  </si>
  <si>
    <t>P -K</t>
  </si>
  <si>
    <t>T - I</t>
  </si>
  <si>
    <t>T -P</t>
  </si>
  <si>
    <t>02GNSB24FP</t>
  </si>
  <si>
    <t>ESTIMATED EFFECT OF PROPOSED PRICES</t>
  </si>
  <si>
    <t>ON REVENUES FROM ELECTRIC SALES TO ULTIMATE CONSUMERS</t>
  </si>
  <si>
    <t>IN WASHINGTON</t>
  </si>
  <si>
    <t>12 MONTHS ENDED JUNE 2008 PRO FORMA</t>
  </si>
  <si>
    <t>Hydro Deferral</t>
  </si>
  <si>
    <t>Actual</t>
  </si>
  <si>
    <t>Proposed</t>
  </si>
  <si>
    <t>Surcharge</t>
  </si>
  <si>
    <t xml:space="preserve">Proposed </t>
  </si>
  <si>
    <t>Curr.</t>
  </si>
  <si>
    <t>Avg.</t>
  </si>
  <si>
    <t>Hydro</t>
  </si>
  <si>
    <t>Sch.</t>
  </si>
  <si>
    <t>Cust.</t>
  </si>
  <si>
    <t>MWH</t>
  </si>
  <si>
    <t>Cents/</t>
  </si>
  <si>
    <t>%</t>
  </si>
  <si>
    <t>(cents/kWh)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</si>
  <si>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</si>
  <si>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</si>
  <si>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</si>
  <si>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</si>
  <si>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</si>
  <si>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</si>
  <si>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</si>
  <si>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</si>
  <si>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</si>
  <si>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</si>
  <si>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(5)+(7)</t>
  </si>
  <si>
    <t>(7)/(5)</t>
  </si>
  <si>
    <t>(6/4)</t>
  </si>
  <si>
    <t>(7/4)</t>
  </si>
  <si>
    <t>Residential Service</t>
  </si>
  <si>
    <t>16/18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</si>
  <si>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</si>
  <si>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</si>
  <si>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</si>
  <si>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</si>
  <si>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</si>
  <si>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</si>
  <si>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</si>
  <si>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</si>
  <si>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</si>
  <si>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</si>
  <si>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</si>
  <si>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</si>
  <si>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</si>
  <si>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</si>
  <si>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</si>
  <si>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</si>
  <si>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</si>
  <si>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</si>
  <si>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</si>
  <si>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</si>
  <si>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</si>
  <si>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</si>
  <si>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</si>
  <si>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</si>
  <si>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</si>
  <si>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</si>
  <si>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</si>
  <si>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</si>
  <si>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</si>
  <si>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</si>
  <si>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</si>
  <si>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</si>
  <si>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</si>
  <si>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</si>
  <si>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</si>
  <si>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</si>
  <si>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</si>
  <si>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</si>
  <si>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</si>
  <si>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</si>
  <si>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</si>
  <si>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</si>
  <si>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</si>
  <si>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</si>
  <si>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</si>
  <si>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</si>
  <si>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</si>
  <si>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</si>
  <si>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</si>
  <si>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</si>
  <si>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</si>
  <si>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</si>
  <si>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</si>
  <si>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</si>
  <si>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</si>
  <si>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</si>
  <si>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</si>
  <si>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</si>
  <si>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</si>
  <si>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</si>
  <si>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</si>
  <si>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</si>
  <si>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</si>
  <si>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</si>
  <si>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</si>
  <si>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</si>
  <si>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</si>
  <si>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</si>
  <si>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</si>
  <si>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</si>
  <si>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</si>
  <si>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</si>
  <si>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</si>
  <si>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</si>
  <si>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</si>
  <si>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</si>
  <si>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</si>
  <si>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</si>
  <si>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</si>
  <si>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</si>
  <si>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</si>
  <si>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</si>
  <si>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</si>
  <si>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</si>
  <si>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</si>
  <si>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</si>
  <si>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</si>
  <si>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</si>
  <si>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</si>
  <si>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</si>
  <si>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</si>
  <si>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</si>
  <si>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</si>
  <si>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</si>
  <si>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</si>
  <si>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</si>
  <si>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</si>
  <si>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</si>
  <si>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</si>
  <si>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</si>
  <si>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</si>
  <si>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</si>
  <si>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</si>
  <si>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</si>
  <si>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</si>
  <si>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</si>
  <si>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</si>
  <si>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</si>
  <si>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</si>
  <si>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</si>
  <si>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</si>
  <si>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</si>
  <si>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</si>
  <si>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</si>
  <si>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</si>
  <si>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</si>
  <si>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</si>
  <si>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</si>
  <si>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</si>
  <si>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</si>
  <si>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</si>
  <si>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</si>
  <si>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</si>
  <si>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</si>
  <si>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</si>
  <si>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</si>
  <si>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</si>
  <si>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</si>
  <si>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</si>
  <si>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</si>
  <si>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</si>
  <si>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</si>
  <si>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</si>
  <si>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</si>
  <si>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</si>
  <si>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</si>
  <si>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</si>
  <si>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</si>
  <si>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</si>
  <si>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</si>
  <si>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</si>
  <si>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</si>
  <si>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</si>
  <si>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</si>
  <si>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</si>
  <si>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</si>
  <si>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</si>
  <si>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</si>
  <si>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</si>
  <si>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</si>
  <si>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</si>
  <si>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</si>
  <si>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</si>
  <si>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</si>
  <si>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</si>
  <si>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</si>
  <si>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</si>
  <si>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</si>
  <si>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</si>
  <si>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</si>
  <si>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</si>
  <si>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</si>
  <si>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</si>
  <si>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</si>
  <si>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</si>
  <si>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</si>
  <si>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</si>
  <si>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</si>
  <si>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</si>
  <si>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</si>
  <si>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</si>
  <si>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</si>
  <si>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</si>
  <si>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</si>
  <si>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</si>
  <si>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</si>
  <si>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</si>
  <si>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</si>
  <si>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</si>
  <si>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</si>
  <si>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</si>
  <si>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</si>
  <si>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</si>
  <si>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</si>
  <si>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</si>
  <si>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</si>
  <si>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</si>
  <si>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</si>
  <si>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</si>
  <si>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</si>
  <si>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 xml:space="preserve">Present </t>
  </si>
  <si>
    <t>Percent</t>
  </si>
  <si>
    <t>Present Price</t>
  </si>
  <si>
    <t>Proposed Price</t>
  </si>
  <si>
    <t>Basic</t>
  </si>
  <si>
    <t>Energy - 1st 600</t>
  </si>
  <si>
    <t>BPA Credit</t>
  </si>
  <si>
    <t>Hydro Deferral Surcharge</t>
  </si>
  <si>
    <t>Notes:</t>
  </si>
  <si>
    <t>Schedule 24 - Small General Service</t>
  </si>
  <si>
    <t>kW</t>
  </si>
  <si>
    <t>Monthly Billing *</t>
  </si>
  <si>
    <t>Dollar</t>
  </si>
  <si>
    <t>Load Size/</t>
  </si>
  <si>
    <t>kWh per kW</t>
  </si>
  <si>
    <t>Present Price Schedule 24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</si>
  <si>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</si>
  <si>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</si>
  <si>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</si>
  <si>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</si>
  <si>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</si>
  <si>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</si>
  <si>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</si>
  <si>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</si>
  <si>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</si>
  <si>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</si>
  <si>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</si>
  <si>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</si>
  <si>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</si>
  <si>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</si>
  <si>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</si>
  <si>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</si>
  <si>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</si>
  <si>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</si>
  <si>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</si>
  <si>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</si>
  <si>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Present Price Schedule 40 *</t>
  </si>
  <si>
    <t>Percent Difference</t>
  </si>
  <si>
    <t>Annual</t>
  </si>
  <si>
    <t>Schedule 40 ***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</si>
  <si>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</si>
  <si>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</si>
  <si>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</si>
  <si>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</si>
  <si>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</si>
  <si>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</si>
  <si>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</si>
  <si>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</si>
  <si>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</si>
  <si>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</si>
  <si>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</si>
  <si>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</si>
  <si>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</si>
  <si>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</si>
  <si>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MONTHLY Revenues</t>
  </si>
  <si>
    <t>Normalized</t>
  </si>
  <si>
    <t>NO ADJUSTMENTS</t>
  </si>
  <si>
    <t>Monthly kWh</t>
  </si>
  <si>
    <t>LIGHTING</t>
  </si>
  <si>
    <t>Difference due to rounding.</t>
  </si>
  <si>
    <t>WITH TEMP AND UNBILLED ADJ.</t>
  </si>
  <si>
    <t>Diff</t>
  </si>
  <si>
    <t>Blocking</t>
  </si>
  <si>
    <t>Pacific Power</t>
  </si>
  <si>
    <t>PACIFIC POWER</t>
  </si>
  <si>
    <t>SCHEDULE 48B</t>
  </si>
  <si>
    <t>02LGSV048B - Boise</t>
  </si>
  <si>
    <t>48b</t>
  </si>
  <si>
    <t>02LGSV048B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</si>
  <si>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</si>
  <si>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</si>
  <si>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</si>
  <si>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</si>
  <si>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</si>
  <si>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</si>
  <si>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</si>
  <si>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</si>
  <si>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</si>
  <si>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</si>
  <si>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</si>
  <si>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</si>
  <si>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</si>
  <si>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</si>
  <si>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</si>
  <si>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</si>
  <si>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</si>
  <si>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</si>
  <si>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</si>
  <si>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</si>
  <si>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</si>
  <si>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</si>
  <si>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</si>
  <si>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</si>
  <si>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</si>
  <si>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</si>
  <si>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</si>
  <si>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</si>
  <si>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</si>
  <si>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</si>
  <si>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</si>
  <si>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</si>
  <si>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</si>
  <si>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Proposed Price Schedule 24</t>
  </si>
  <si>
    <t>Proposed Price Schedule 40 *</t>
  </si>
  <si>
    <t>Schedule 40 **</t>
  </si>
  <si>
    <t>Monthly **</t>
  </si>
  <si>
    <t>TABLE A. PRESENT AND TARGETED RATES</t>
  </si>
  <si>
    <t>Washington Low Income</t>
  </si>
  <si>
    <t>Schedule 91 Surcharge Rates Proposal</t>
  </si>
  <si>
    <t>Program</t>
  </si>
  <si>
    <t>Program with</t>
  </si>
  <si>
    <t>Increase Over</t>
  </si>
  <si>
    <t xml:space="preserve">Current </t>
  </si>
  <si>
    <t>Est. Annual</t>
  </si>
  <si>
    <t>Estimated</t>
  </si>
  <si>
    <t>Current*</t>
  </si>
  <si>
    <t>Annual Revenues Collections</t>
  </si>
  <si>
    <t>Monthly</t>
  </si>
  <si>
    <t>Collections</t>
  </si>
  <si>
    <t xml:space="preserve">   Increase</t>
  </si>
  <si>
    <t>Aug 05</t>
  </si>
  <si>
    <t>Schedule 91 Charges</t>
  </si>
  <si>
    <t>47T</t>
  </si>
  <si>
    <t>Number of Qualifying Customers</t>
  </si>
  <si>
    <t>% Increase</t>
  </si>
  <si>
    <t>Cost per Qualifying Customer</t>
  </si>
  <si>
    <t>/Customer</t>
  </si>
  <si>
    <t>Average Credit per Customer - (Credit/Customers)</t>
  </si>
  <si>
    <t>Agency Charge per Qualifying Customer</t>
  </si>
  <si>
    <t>Average Cost per Qualifying Customer</t>
  </si>
  <si>
    <t xml:space="preserve">Annual Revenues - (Average Cost x Customers) </t>
  </si>
  <si>
    <t>Proposed Credit Increase</t>
  </si>
  <si>
    <t xml:space="preserve">Washington Low Income </t>
  </si>
  <si>
    <t>Energy Rate Credit Proposal</t>
  </si>
  <si>
    <t>% of Federal</t>
  </si>
  <si>
    <t>Discount/</t>
  </si>
  <si>
    <t>Poverty Level (FPL)</t>
  </si>
  <si>
    <t>Credit</t>
  </si>
  <si>
    <t>¢/kWh</t>
  </si>
  <si>
    <t xml:space="preserve">kWh </t>
  </si>
  <si>
    <t>0-75%</t>
  </si>
  <si>
    <t>76-100%</t>
  </si>
  <si>
    <t>Temp Adjustment in MWHs</t>
  </si>
  <si>
    <t>Year</t>
  </si>
  <si>
    <t>Annual Credits to Customers</t>
  </si>
  <si>
    <t>Grand Total</t>
  </si>
  <si>
    <t>Total kWh</t>
  </si>
  <si>
    <t>Low Income-Current</t>
  </si>
  <si>
    <t>Low Income-Proposed</t>
  </si>
  <si>
    <t>Low Income-proposed</t>
  </si>
  <si>
    <t>Low Income-current</t>
  </si>
  <si>
    <t>Large General Service 1,000 kW and over-Primary Dedicated Facilities</t>
  </si>
  <si>
    <t>Large General Service =&gt; 30,000 kW</t>
  </si>
  <si>
    <t>48</t>
  </si>
  <si>
    <t>Chehalis Deferral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</si>
  <si>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</si>
  <si>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</si>
  <si>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</si>
  <si>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</si>
  <si>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</si>
  <si>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</si>
  <si>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</si>
  <si>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Revenue Class Desc</t>
  </si>
  <si>
    <t>Rate Desc</t>
  </si>
  <si>
    <t>T kWh</t>
  </si>
  <si>
    <t>T Revenue</t>
  </si>
  <si>
    <t>02NMT36135-WA NET METER LRG SVC &lt; 1000KW</t>
  </si>
  <si>
    <t>SMUD REVENUE IMPUTATIONS</t>
  </si>
  <si>
    <t>WASHINGTON - CHEHALIS DEFERRAL</t>
  </si>
  <si>
    <t>02NETMT135 - WA RES NET METERING-BPA</t>
  </si>
  <si>
    <t>acq</t>
  </si>
  <si>
    <t>smud</t>
  </si>
  <si>
    <t>b135</t>
  </si>
  <si>
    <t>SMUD</t>
  </si>
  <si>
    <t>02NMT36135</t>
  </si>
  <si>
    <t>Calc Rev</t>
  </si>
  <si>
    <t>Includes Schedule 16 Net Metering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</si>
  <si>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</si>
  <si>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</si>
  <si>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</si>
  <si>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</si>
  <si>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</si>
  <si>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</si>
  <si>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</si>
  <si>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</si>
  <si>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Monthly Revenues</t>
  </si>
  <si>
    <t>in MWHs</t>
  </si>
  <si>
    <t>Res</t>
  </si>
  <si>
    <t>Com</t>
  </si>
  <si>
    <t>Sch 16</t>
  </si>
  <si>
    <t>Sch 18</t>
  </si>
  <si>
    <t>Sch 24</t>
  </si>
  <si>
    <t>Sch 36</t>
  </si>
  <si>
    <t>SumRes</t>
  </si>
  <si>
    <t>*</t>
  </si>
  <si>
    <t>* Average Washington Customer</t>
  </si>
  <si>
    <t>101-150%</t>
  </si>
  <si>
    <t>REVENUE_ACCOUNTING ADJUSTMENTS</t>
  </si>
  <si>
    <t>301461-IRRIGATION DEMAND CHARGE ACCRUAL</t>
  </si>
  <si>
    <t>U</t>
  </si>
  <si>
    <t>R</t>
  </si>
  <si>
    <t>Revenue Adjustment</t>
  </si>
  <si>
    <t>bpaadj</t>
  </si>
  <si>
    <t>Price Change</t>
  </si>
  <si>
    <t>Restating</t>
  </si>
  <si>
    <t>Total Restating</t>
  </si>
  <si>
    <t>Includes 47T</t>
  </si>
  <si>
    <t>Lighting</t>
  </si>
  <si>
    <t>REC Adjust</t>
  </si>
  <si>
    <t>Sum of Sum of Amount</t>
  </si>
  <si>
    <t>Sum of Sum of Billing Quantity</t>
  </si>
  <si>
    <t>Sum of Participants</t>
  </si>
  <si>
    <t>Bills during season for participants</t>
  </si>
  <si>
    <t>Administrative Costs ($/cust)</t>
  </si>
  <si>
    <t>Number of customers served</t>
  </si>
  <si>
    <t>Increase in average dollar subsidy/ client</t>
  </si>
  <si>
    <t>current</t>
  </si>
  <si>
    <t>proposed</t>
  </si>
  <si>
    <t>Prior Year</t>
  </si>
  <si>
    <t>Available for subsidy</t>
  </si>
  <si>
    <t>16/18(#2)</t>
  </si>
  <si>
    <t>(#1)</t>
  </si>
  <si>
    <t>Rev excess/(short)</t>
  </si>
  <si>
    <t>(#1) Annual Amount</t>
  </si>
  <si>
    <t>total participants</t>
  </si>
  <si>
    <t>Total benefits</t>
  </si>
  <si>
    <t>Admin Expense</t>
  </si>
  <si>
    <t>Total Program cost</t>
  </si>
  <si>
    <t>Admin Costs</t>
  </si>
  <si>
    <t>PacifiCorp</t>
  </si>
  <si>
    <t>J</t>
  </si>
  <si>
    <t>M</t>
  </si>
  <si>
    <t>H + I</t>
  </si>
  <si>
    <t>G + J</t>
  </si>
  <si>
    <t>A + B</t>
  </si>
  <si>
    <t xml:space="preserve">PacifiCorp </t>
  </si>
  <si>
    <r>
      <t>Adjustments</t>
    </r>
    <r>
      <rPr>
        <vertAlign val="superscript"/>
        <sz val="12"/>
        <rFont val="Times New Roman"/>
        <family val="1"/>
      </rPr>
      <t>2</t>
    </r>
  </si>
  <si>
    <t>Load Loss</t>
  </si>
  <si>
    <t>02RGNSB024</t>
  </si>
  <si>
    <t>Rev Adjustment</t>
  </si>
  <si>
    <t>Irrigation Demand Charge</t>
  </si>
  <si>
    <t>02CFR0012</t>
  </si>
  <si>
    <t xml:space="preserve">   </t>
  </si>
  <si>
    <r>
      <t>1</t>
    </r>
    <r>
      <rPr>
        <sz val="12"/>
        <rFont val="Times New Roman"/>
        <family val="1"/>
      </rPr>
      <t xml:space="preserve"> Temperature normalization.</t>
    </r>
  </si>
  <si>
    <r>
      <t>2</t>
    </r>
    <r>
      <rPr>
        <sz val="12"/>
        <rFont val="Times New Roman"/>
        <family val="1"/>
      </rPr>
      <t xml:space="preserve"> Removes Schedule 98 (BPA), Schedule 96 (Hydro Deferral Surcharge), Schedule 191 (System Benefits Charge), SMUD, Centralia Refund, Revenue Accounting Adjustments, Chehalis Deferral, Irrigation Demand Charge Accrual, DSM, and Blue Sky.</t>
    </r>
  </si>
  <si>
    <t>Total Annualized</t>
  </si>
  <si>
    <r>
      <t>Surcharge</t>
    </r>
    <r>
      <rPr>
        <vertAlign val="superscript"/>
        <sz val="12"/>
        <rFont val="Times New Roman"/>
        <family val="1"/>
      </rPr>
      <t>2</t>
    </r>
  </si>
  <si>
    <t>Restating and Annualized Adj.</t>
  </si>
  <si>
    <t>DSM</t>
  </si>
  <si>
    <t>Blue Sky</t>
  </si>
  <si>
    <t xml:space="preserve">DSM </t>
  </si>
  <si>
    <t>Merger Credits</t>
  </si>
  <si>
    <t>Revenue Accounting Adj</t>
  </si>
  <si>
    <t>Irrigation Demand Charge Accrual</t>
  </si>
  <si>
    <t>Washington- June 2012</t>
  </si>
  <si>
    <t>305 from Cognos (305 Reports)</t>
  </si>
  <si>
    <t>12 Months Ended June 2012</t>
  </si>
  <si>
    <t>REVENUE ADJUSTMENT - DEFERRED NPC</t>
  </si>
  <si>
    <t>def</t>
  </si>
  <si>
    <t>dsm</t>
  </si>
  <si>
    <t>301270-DSM REVENUE-COMMERCIAL</t>
  </si>
  <si>
    <t>blue</t>
  </si>
  <si>
    <t>301280-BLUE SKY REVENUE-COMMERCIAL</t>
  </si>
  <si>
    <t>02NMT24135, Net metering, WA-BPA</t>
  </si>
  <si>
    <t>301370-DSM REVENUE-INDUSTRIAL</t>
  </si>
  <si>
    <t>irr</t>
  </si>
  <si>
    <t>301470-DSM REVENUE-IRRIGATION</t>
  </si>
  <si>
    <t>301480-BLUE SKY REVENUE-IRRIGATION</t>
  </si>
  <si>
    <t>bbpaadj</t>
  </si>
  <si>
    <t>301670-DSM REVENUE-PSHL</t>
  </si>
  <si>
    <t>52f</t>
  </si>
  <si>
    <t>301170-DSM REVENUE-RESIDENTIAL</t>
  </si>
  <si>
    <t>301180-BLUE SKY REVENUE-RESIDENTIAL</t>
  </si>
  <si>
    <t>02RGNSB024-WA SMALL GENERAL SVC-RES</t>
  </si>
  <si>
    <t>02RGNSB024-WA SMALL GENERAL SVC-RES-BPA</t>
  </si>
  <si>
    <t>Check:  305 Report</t>
  </si>
  <si>
    <t>Days</t>
  </si>
  <si>
    <t>Sch. 96</t>
  </si>
  <si>
    <t>Schedule 17</t>
  </si>
  <si>
    <t>Total Revenues all Classes</t>
  </si>
  <si>
    <t xml:space="preserve">BPA </t>
  </si>
  <si>
    <t>Small General Service-Residential</t>
  </si>
  <si>
    <t>State Desc</t>
  </si>
  <si>
    <t>T Customers</t>
  </si>
  <si>
    <t>T Billing Count</t>
  </si>
  <si>
    <t>STATE OF WASHINGTON - PPL</t>
  </si>
  <si>
    <t>Washington- 12 Months Ended June 2012</t>
  </si>
  <si>
    <t>SBC/Hydro</t>
  </si>
  <si>
    <t>12 MONTHS ENDED JUNE 2012</t>
  </si>
  <si>
    <t xml:space="preserve">Normalization </t>
  </si>
  <si>
    <t>KWH</t>
  </si>
  <si>
    <t>Total Amount</t>
  </si>
  <si>
    <t>INVOICE_REVENUE_CLASS_CD</t>
  </si>
  <si>
    <t>INVOICING_SCHEDULE_STRUC_CD</t>
  </si>
  <si>
    <t>Voltage</t>
  </si>
  <si>
    <t>Basic Charge Load Size Category</t>
  </si>
  <si>
    <t>Load Size Actual</t>
  </si>
  <si>
    <t>Load Size Prorated</t>
  </si>
  <si>
    <t>KWH First 40,000</t>
  </si>
  <si>
    <t>Demand Actual</t>
  </si>
  <si>
    <t>Demand Prorated</t>
  </si>
  <si>
    <t>Minimum Demand at 50</t>
  </si>
  <si>
    <t>KVAR</t>
  </si>
  <si>
    <t>Total Amount Base</t>
  </si>
  <si>
    <t>Calc Amount</t>
  </si>
  <si>
    <t>Calc Present Rev</t>
  </si>
  <si>
    <t>COM</t>
  </si>
  <si>
    <t>Primary M &amp; D</t>
  </si>
  <si>
    <t>3. &gt; 300</t>
  </si>
  <si>
    <t>Irr</t>
  </si>
  <si>
    <t>Ind</t>
  </si>
  <si>
    <t>Sch 17</t>
  </si>
  <si>
    <t>Sch 48</t>
  </si>
  <si>
    <t>Sch 40</t>
  </si>
  <si>
    <t>SumCom</t>
  </si>
  <si>
    <t>Sum Irr</t>
  </si>
  <si>
    <t>Sum Ind</t>
  </si>
  <si>
    <t>June 12 Blocking</t>
  </si>
  <si>
    <t>Schedule 40</t>
  </si>
  <si>
    <t>State Cd</t>
  </si>
  <si>
    <t>Invoice Revenue Class Cd</t>
  </si>
  <si>
    <t>Invoicing Schedule Struc Cd</t>
  </si>
  <si>
    <t>Amount</t>
  </si>
  <si>
    <t>WA</t>
  </si>
  <si>
    <t>Applied to Sch 24</t>
  </si>
  <si>
    <t>02GNSB0024</t>
  </si>
  <si>
    <t>02GNSB024F</t>
  </si>
  <si>
    <t>02LGSB0036</t>
  </si>
  <si>
    <t>02OALTB15N</t>
  </si>
  <si>
    <t>IND</t>
  </si>
  <si>
    <t>IRG</t>
  </si>
  <si>
    <t>PSH</t>
  </si>
  <si>
    <t>Applied to Sch 52F</t>
  </si>
  <si>
    <t>RES</t>
  </si>
  <si>
    <t>Sch 24 Reclass</t>
  </si>
  <si>
    <t>=268698-118187</t>
  </si>
  <si>
    <t>Tolerance Adj</t>
  </si>
  <si>
    <r>
      <t>Rate Change</t>
    </r>
    <r>
      <rPr>
        <vertAlign val="superscript"/>
        <sz val="12"/>
        <rFont val="Times New Roman"/>
        <family val="1"/>
      </rPr>
      <t>2</t>
    </r>
  </si>
  <si>
    <r>
      <t>2</t>
    </r>
    <r>
      <rPr>
        <sz val="12"/>
        <rFont val="Times New Roman"/>
        <family val="1"/>
      </rPr>
      <t xml:space="preserve"> Impact for approximately 11.5 months of the $4.5 million price increase effective June, 2012.</t>
    </r>
  </si>
  <si>
    <t>and tolerance adjustment 32,334.</t>
  </si>
  <si>
    <t xml:space="preserve"> Irrigation Demand Charge Accrual -$13,900, DSM -$4,415,957, Blue Sky -$18,700 Out of Period $288,690 and Tolerance Adjustment $84,871.</t>
  </si>
  <si>
    <t>load loss</t>
  </si>
  <si>
    <r>
      <t>1</t>
    </r>
    <r>
      <rPr>
        <sz val="12"/>
        <rFont val="Times New Roman"/>
        <family val="1"/>
      </rPr>
      <t xml:space="preserve"> Temperature normalization -9,441,907 kWh, load loss -1,621,000, Out of Period 3,623,843 </t>
    </r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</si>
  <si>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-$8,775,130, Schedule 96 (Hydro Deferral Surcharge) -1,930,448, SMUD -$352,618, BPA $7,379,869, Acquisition Commitment $1,982,103, Chehalis Deferral $3,000,000, Revenue Accounting Adjustments $11,401,102, Irrigation Demand Charge Accrual -$13,900, DSM -$4,415,957, Blue Sky -$18,700,  Out of Period $288,690, tolerance adjustment $84,871, and load loss -$121,750.</t>
    </r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</si>
  <si>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-$8,775,130, SMUD -$352,618, Acquisition Commitment $1,982,103, Hydro -$1,930,448, Chehalis Deferral $3,000,000, Revenue Accounting Adjustments $11,401,102,</t>
    </r>
  </si>
  <si>
    <t>Data</t>
  </si>
  <si>
    <t>Unit Price New</t>
  </si>
  <si>
    <t>-0.0245 Total</t>
  </si>
  <si>
    <t>-0.03921 Total</t>
  </si>
  <si>
    <t>-0.05828 Total</t>
  </si>
  <si>
    <t>@4720 participants</t>
  </si>
  <si>
    <t>Level 1 - 5.828</t>
  </si>
  <si>
    <t>Level 2 - 3.921</t>
  </si>
  <si>
    <t>Level 3 - 2.450</t>
  </si>
  <si>
    <t xml:space="preserve">      ** Does not include November Load Size Charge.</t>
  </si>
  <si>
    <t>Cost Of Service By Rate Schedule</t>
  </si>
  <si>
    <t>WCA Method - (100 Summer, 100 Winter Hours) - 38%D / 62%E</t>
  </si>
  <si>
    <t>12 Months Ending June 2012</t>
  </si>
  <si>
    <t>Demand Factors</t>
  </si>
  <si>
    <t>F</t>
  </si>
  <si>
    <t>G</t>
  </si>
  <si>
    <t>H</t>
  </si>
  <si>
    <t>Small General</t>
  </si>
  <si>
    <t>Large General</t>
  </si>
  <si>
    <t>Agricultural</t>
  </si>
  <si>
    <t>Street &amp; Area</t>
  </si>
  <si>
    <t>Service</t>
  </si>
  <si>
    <t>Service &lt;1,000 kW</t>
  </si>
  <si>
    <t>Service &gt;1,000 kW</t>
  </si>
  <si>
    <t>Dedicated Facilities</t>
  </si>
  <si>
    <t>Pumping</t>
  </si>
  <si>
    <t>Schedule 48T</t>
  </si>
  <si>
    <t>Sch. 15,51-54,57</t>
  </si>
  <si>
    <t>Secondary</t>
  </si>
  <si>
    <t>Primary</t>
  </si>
  <si>
    <t>Sub-Transmission</t>
  </si>
  <si>
    <t>Transmission</t>
  </si>
  <si>
    <t>Total KW @ Input</t>
  </si>
  <si>
    <t>Total MWH @ Input</t>
  </si>
  <si>
    <t>MWH %</t>
  </si>
  <si>
    <t>FACTOR 10 - 38% D / 62% E</t>
  </si>
  <si>
    <t>NPC Spread</t>
  </si>
  <si>
    <t>Sch 15</t>
  </si>
  <si>
    <t>Sch 51</t>
  </si>
  <si>
    <t>Sch 52</t>
  </si>
  <si>
    <t>Sch 53</t>
  </si>
  <si>
    <t>Sch 54</t>
  </si>
  <si>
    <t>Sch 57</t>
  </si>
  <si>
    <t>NPC</t>
  </si>
  <si>
    <t>Total Energy Rate</t>
  </si>
  <si>
    <t>Total Rate - 1st 600 kWh</t>
  </si>
  <si>
    <t>Total Rate - All Addt'l kWh</t>
  </si>
  <si>
    <t>Total Rate - 1st 1,000 kWh</t>
  </si>
  <si>
    <t>Total Rate - Next 8,000 kWh</t>
  </si>
  <si>
    <t>Total Rate - All Additional kWh</t>
  </si>
  <si>
    <t>Total Rate - 1st 40,000 kWh</t>
  </si>
  <si>
    <t>Total Rate - All additional kWh</t>
  </si>
  <si>
    <t>Total Rate - All kWh</t>
  </si>
  <si>
    <t>Total Energy Rate per kWh</t>
  </si>
  <si>
    <t>(11)</t>
  </si>
  <si>
    <t>(12)</t>
  </si>
  <si>
    <t>(8/4)</t>
  </si>
  <si>
    <t>(9/4)</t>
  </si>
  <si>
    <t>85% of Avg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</si>
  <si>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REC Credit, Low Income Charge and BPA Credit.</t>
    </r>
  </si>
  <si>
    <t>PCAM-Base - NPC per kWh</t>
  </si>
  <si>
    <t>PCAM-Base - 1st 600 kWh</t>
  </si>
  <si>
    <t>PCAM-Base - All Addt'l kWh</t>
  </si>
  <si>
    <t>PCAM-Base - 1st 1,000 kWh</t>
  </si>
  <si>
    <t>PCAM-Base -Next 8,000 kWh</t>
  </si>
  <si>
    <t>PCAM-Base - All Additional kWh</t>
  </si>
  <si>
    <t>PCAM-Base - 1st 40,000 kWh</t>
  </si>
  <si>
    <t>PCAM-Base - All additional kWh</t>
  </si>
  <si>
    <t>PCAM-Base - All kWh</t>
  </si>
  <si>
    <t xml:space="preserve">Current Credit per Participant plus 30.0% </t>
  </si>
  <si>
    <t>Estimated kWh for 5,192 participants</t>
  </si>
  <si>
    <r>
      <t xml:space="preserve">       </t>
    </r>
    <r>
      <rPr>
        <vertAlign val="superscript"/>
        <sz val="10"/>
        <rFont val="Times New Roman"/>
        <family val="1"/>
      </rPr>
      <t xml:space="preserve">2 </t>
    </r>
    <r>
      <rPr>
        <sz val="10"/>
        <rFont val="Times New Roman"/>
        <family val="1"/>
      </rPr>
      <t>Includes no change to the Low Income Charge.</t>
    </r>
  </si>
  <si>
    <t xml:space="preserve">       * Includes SBC Charge, REC Credit and No change to the Low Income Charge.</t>
  </si>
  <si>
    <t xml:space="preserve">       * Includes SBC Charge, REC Credit and includes no change to the Low Income Charge.</t>
  </si>
  <si>
    <t xml:space="preserve">       * Includes SBC Charge, REC Credit, BPA Credit and no change to the Low Income charge.</t>
  </si>
  <si>
    <t xml:space="preserve">       * Includes SBC Charge, REC Credit and no change to the Low Income Charge.</t>
  </si>
  <si>
    <t>(#2) Reduced number of customers by change in new Schedule 17 customers</t>
  </si>
  <si>
    <t>Monthly Basic Charge</t>
  </si>
  <si>
    <r>
      <t xml:space="preserve">Monthly Energy Charge </t>
    </r>
    <r>
      <rPr>
        <vertAlign val="superscript"/>
        <sz val="11"/>
        <rFont val="Times New Roman"/>
        <family val="1"/>
      </rPr>
      <t>1,2</t>
    </r>
  </si>
  <si>
    <t>Comm</t>
  </si>
  <si>
    <t>Res'd</t>
  </si>
  <si>
    <t>GRC</t>
  </si>
  <si>
    <t>305 vs Cognos</t>
  </si>
  <si>
    <t>All Additional</t>
  </si>
  <si>
    <t>Next 8,000</t>
  </si>
  <si>
    <t>First 1,000</t>
  </si>
  <si>
    <t>3</t>
  </si>
  <si>
    <t>1</t>
  </si>
  <si>
    <t>Primary M</t>
  </si>
  <si>
    <t>NMT</t>
  </si>
  <si>
    <t>Primary D</t>
  </si>
  <si>
    <t>Primary D Discount</t>
  </si>
  <si>
    <t>Primary M Discount</t>
  </si>
  <si>
    <t>KWH Next 8,000</t>
  </si>
  <si>
    <t>KWH First 1,000</t>
  </si>
  <si>
    <t>SERVICE_PHASE</t>
  </si>
  <si>
    <t>REVENUE_CLASS_CD</t>
  </si>
  <si>
    <t>Total Monthly Bill</t>
  </si>
  <si>
    <t>Line No.</t>
  </si>
  <si>
    <t>(a)</t>
  </si>
  <si>
    <t>(b)</t>
  </si>
  <si>
    <t>(c)</t>
  </si>
  <si>
    <t>(d)</t>
  </si>
  <si>
    <t>(e)</t>
  </si>
  <si>
    <t>(f)</t>
  </si>
  <si>
    <t>(g)</t>
  </si>
  <si>
    <t>Bill Comparison</t>
  </si>
  <si>
    <t>Revised</t>
  </si>
  <si>
    <t>3/4-inch</t>
  </si>
  <si>
    <t>1-inch</t>
  </si>
  <si>
    <t>1 1/2-inch</t>
  </si>
  <si>
    <t>Allowance</t>
  </si>
  <si>
    <t>2-inch</t>
  </si>
  <si>
    <t>Rate 1</t>
  </si>
  <si>
    <t>3-inch</t>
  </si>
  <si>
    <t>Rate 2</t>
  </si>
  <si>
    <t>4-inch</t>
  </si>
  <si>
    <t>Rate 3</t>
  </si>
  <si>
    <t>6-inch</t>
  </si>
  <si>
    <t>Block 1</t>
  </si>
  <si>
    <t>Block 2</t>
  </si>
  <si>
    <t>Block 3 (Over)</t>
  </si>
  <si>
    <t>Usage Per kWh</t>
  </si>
  <si>
    <t>Current Monthly Bill</t>
  </si>
  <si>
    <t>Proposed vs. Current</t>
  </si>
  <si>
    <t>Proposed Monthly Bill</t>
  </si>
  <si>
    <t>Revised vs. Proposed</t>
  </si>
  <si>
    <t>Revised Monthly Bill</t>
  </si>
  <si>
    <t>Revised vs. Current</t>
  </si>
  <si>
    <t xml:space="preserve">  1st 800 kWh</t>
  </si>
  <si>
    <t xml:space="preserve">  Next 700 kWh</t>
  </si>
  <si>
    <t>PCAM-Base - 1st 800 kWh</t>
  </si>
  <si>
    <t>PCAM-Base - Next 700 kWh</t>
  </si>
  <si>
    <t>Total Rate - 1st 800 kWh</t>
  </si>
  <si>
    <t>Total Rate - Next 700 kWh</t>
  </si>
  <si>
    <t>revenue</t>
  </si>
  <si>
    <t>base+1st bl</t>
  </si>
  <si>
    <t>base</t>
  </si>
  <si>
    <t>1st bl</t>
  </si>
  <si>
    <t>2nd bl</t>
  </si>
  <si>
    <t>3rd bl</t>
  </si>
  <si>
    <t>total</t>
  </si>
  <si>
    <t>2nd + 3rd bl</t>
  </si>
  <si>
    <t>Schedules 16-18 - Residential</t>
  </si>
  <si>
    <t>a</t>
  </si>
  <si>
    <t>b</t>
  </si>
  <si>
    <t xml:space="preserve">c </t>
  </si>
  <si>
    <t>d</t>
  </si>
  <si>
    <t>e</t>
  </si>
  <si>
    <t>f</t>
  </si>
  <si>
    <t>g</t>
  </si>
  <si>
    <t>i</t>
  </si>
  <si>
    <t>j = i / e</t>
  </si>
  <si>
    <t>h = f + g</t>
  </si>
  <si>
    <t>Sch. No.</t>
  </si>
  <si>
    <t>Avg. Cust.</t>
  </si>
  <si>
    <t>Present Base Revenues ($000)</t>
  </si>
  <si>
    <t>Non NPC Revenues ($000)</t>
  </si>
  <si>
    <t>NPC Revenues ($000)</t>
  </si>
  <si>
    <t>Total Base Revenues ($000)</t>
  </si>
  <si>
    <t>Increase ($000)</t>
  </si>
  <si>
    <t>Base %</t>
  </si>
  <si>
    <t>PACIFICORP</t>
  </si>
  <si>
    <t>FOR THE TWELVE MONTHS ENDED JUNE 30, 2012</t>
  </si>
  <si>
    <t>2013 GENERAL RATE CASE</t>
  </si>
  <si>
    <t>ESTIMATED EFFECT OF PROPOSED PRICES ON REVENUES FROM ELECTRIC SALES TO CONSUMERS</t>
  </si>
  <si>
    <t>Unbundled Revised Base Revenues</t>
  </si>
  <si>
    <t>16-18</t>
  </si>
  <si>
    <t>COST OF SERVICE BY RATE SCHEDULE (TARGET)</t>
  </si>
  <si>
    <t>Schedule No.</t>
  </si>
  <si>
    <t>Annual Revenue</t>
  </si>
  <si>
    <t>Total Cost</t>
  </si>
  <si>
    <t>Generation Cost</t>
  </si>
  <si>
    <t>Transmission Cost</t>
  </si>
  <si>
    <t>Distribution Cost</t>
  </si>
  <si>
    <t>Retail Cost</t>
  </si>
  <si>
    <t>Misc. Cost</t>
  </si>
  <si>
    <t>Increase / (Decrease)</t>
  </si>
  <si>
    <t>Percentage Change</t>
  </si>
  <si>
    <t>Parity Ratio</t>
  </si>
  <si>
    <t>K</t>
  </si>
  <si>
    <t>L</t>
  </si>
  <si>
    <t>N</t>
  </si>
  <si>
    <t>O</t>
  </si>
  <si>
    <t>24</t>
  </si>
  <si>
    <t xml:space="preserve">Small General Service </t>
  </si>
  <si>
    <t>36</t>
  </si>
  <si>
    <t>Large General Service &gt;1,000 kW</t>
  </si>
  <si>
    <t>15,51-54,57</t>
  </si>
  <si>
    <t>Street Lighting</t>
  </si>
  <si>
    <t>Total Washington Jurisdiction</t>
  </si>
  <si>
    <t>increase</t>
  </si>
  <si>
    <t>Units Actual</t>
  </si>
  <si>
    <t>Propsed Dollars</t>
  </si>
  <si>
    <t>Actual Dollars</t>
  </si>
  <si>
    <t>RATE DESIGN BY SCHEDULE (Residential)</t>
  </si>
  <si>
    <t>RATE DESIGN BY SCHEDULE (All Other Schedules)</t>
  </si>
  <si>
    <t>Co. Proposed</t>
  </si>
  <si>
    <t>Staff Revised</t>
  </si>
  <si>
    <t>0-600</t>
  </si>
  <si>
    <t>1st Block</t>
  </si>
  <si>
    <t>600-800</t>
  </si>
  <si>
    <t>Sub-Total</t>
  </si>
  <si>
    <t>2nd Block</t>
  </si>
  <si>
    <t>1500+</t>
  </si>
  <si>
    <t>3rd Block</t>
  </si>
  <si>
    <t>Difference in Rates</t>
  </si>
  <si>
    <t>Difference in Revenues</t>
  </si>
  <si>
    <t>Revenues Collected by Rate Design (Sch. 16-18)</t>
  </si>
  <si>
    <t>REVENUE STABILITY</t>
  </si>
  <si>
    <t>800-1500</t>
  </si>
  <si>
    <t>3rd Block*</t>
  </si>
  <si>
    <t>* The Company does not have a third block; however, Staff is able to derive the revenue by applying the Company's current and proposed rates against Staff's actual units in the third block.</t>
  </si>
  <si>
    <t xml:space="preserve">A </t>
  </si>
  <si>
    <t>Lower-End</t>
  </si>
  <si>
    <t>Upper-End</t>
  </si>
  <si>
    <t>I. Electricity</t>
  </si>
  <si>
    <t>2 Unit</t>
  </si>
  <si>
    <t>2.5 Unit</t>
  </si>
  <si>
    <t>a. Lighting and Refrigeration</t>
  </si>
  <si>
    <t>b. Cooking</t>
  </si>
  <si>
    <t>c. Domestic Hot Water</t>
  </si>
  <si>
    <t>First Block / Sub-Total</t>
  </si>
  <si>
    <t>d. Space Heating</t>
  </si>
  <si>
    <t>e. Air Conditioning</t>
  </si>
  <si>
    <t>Second Block / Sub-Total</t>
  </si>
  <si>
    <t>II. Natural Gas and Bottled Gas</t>
  </si>
  <si>
    <t>a. Cooking</t>
  </si>
  <si>
    <t>Therms</t>
  </si>
  <si>
    <t>b. Domestic Hot Water</t>
  </si>
  <si>
    <t>c. Space Heating</t>
  </si>
  <si>
    <t>Second Block / Total</t>
  </si>
  <si>
    <t>Unit Size</t>
  </si>
  <si>
    <t>Factor</t>
  </si>
  <si>
    <t>0-BR</t>
  </si>
  <si>
    <t>1-BR</t>
  </si>
  <si>
    <t>2-BR</t>
  </si>
  <si>
    <t>3-BR</t>
  </si>
  <si>
    <t>4-BR</t>
  </si>
  <si>
    <t>5-BR</t>
  </si>
  <si>
    <t xml:space="preserve"> http://www.hud.gov/offices/adm/hudclips/guidebooks/7420.10G/7420g18GUID.pdf</t>
  </si>
  <si>
    <t>Electricity Consumption for 2001</t>
  </si>
  <si>
    <t>kWh per household</t>
  </si>
  <si>
    <t xml:space="preserve">kWh per household </t>
  </si>
  <si>
    <t>End Use</t>
  </si>
  <si>
    <t>Annual Consumption</t>
  </si>
  <si>
    <t>Monthly Consumption</t>
  </si>
  <si>
    <t>Refrigerators</t>
  </si>
  <si>
    <t>Water Heating</t>
  </si>
  <si>
    <t>Other Appliances</t>
  </si>
  <si>
    <t>First Block / Sub-total</t>
  </si>
  <si>
    <t>Air-Conditioning</t>
  </si>
  <si>
    <t>  Central Air-Conditioners</t>
  </si>
  <si>
    <t>  Room Air-Conditioners</t>
  </si>
  <si>
    <t>  Sub-Total</t>
  </si>
  <si>
    <t>Space Heating</t>
  </si>
  <si>
    <t>  Main Space-Heating Systems</t>
  </si>
  <si>
    <t xml:space="preserve">  Secondary Space-Heating Equipment</t>
  </si>
  <si>
    <t>http://www.eia.gov/emeu/recs/recs2001/enduse2001/enduse2001.html</t>
  </si>
  <si>
    <t>differential 2nd</t>
  </si>
  <si>
    <t>differential 1st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</si>
</sst>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&quot;$&quot;#,##0"/>
    <numFmt numFmtId="166" formatCode="0.0000%"/>
    <numFmt numFmtId="167" formatCode="_(&quot;$&quot;* #,##0_);_(&quot;$&quot;* \(#,##0\);_(&quot;$&quot;* &quot;-&quot;??_);_(@_)"/>
    <numFmt numFmtId="168" formatCode="_(* #,##0_);_(* \(#,##0\);_(* &quot;-&quot;??_);_(@_)"/>
    <numFmt numFmtId="169" formatCode="General_)"/>
    <numFmt numFmtId="170" formatCode="0.000000"/>
    <numFmt numFmtId="171" formatCode="0.0%"/>
    <numFmt numFmtId="172" formatCode="&quot;$&quot;#,##0.00"/>
    <numFmt numFmtId="173" formatCode="0.00000"/>
    <numFmt numFmtId="174" formatCode="&quot;$&quot;#,##0.00000_);\(&quot;$&quot;#,##0.00000\)"/>
    <numFmt numFmtId="175" formatCode="#,##0.0000"/>
    <numFmt numFmtId="176" formatCode="#,##0.00000"/>
    <numFmt numFmtId="177" formatCode="_(&quot;$&quot;* #,##0.00000_);_(&quot;$&quot;* \(#,##0.00000\);_(&quot;$&quot;* &quot;-&quot;?????_);_(@_)"/>
    <numFmt numFmtId="178" formatCode="0.00_);\(0.00\)"/>
    <numFmt numFmtId="179" formatCode="0.0"/>
    <numFmt numFmtId="180" formatCode="_(* #,##0.0000_);_(* \(#,##0.0000\);_(* &quot;-&quot;??_);_(@_)"/>
    <numFmt numFmtId="181" formatCode="_(* #,##0.00000_);_(* \(#,##0.00000\);_(* &quot;-&quot;??_);_(@_)"/>
    <numFmt numFmtId="182" formatCode="0.000"/>
    <numFmt numFmtId="183" formatCode="########\-###\-###"/>
    <numFmt numFmtId="184" formatCode="#,##0.000_);\(#,##0.000\)"/>
    <numFmt numFmtId="185" formatCode="_(* #,##0.000_);_(* \(#,##0.000\);_(* &quot;-&quot;??_);_(@_)"/>
    <numFmt numFmtId="186" formatCode="0.000_)"/>
    <numFmt numFmtId="187" formatCode="0.000000_)"/>
    <numFmt numFmtId="188" formatCode="0.00000000_)"/>
    <numFmt numFmtId="189" formatCode="&quot;$&quot;#,##0.000_);\(&quot;$&quot;#,##0.000\)"/>
    <numFmt numFmtId="190" formatCode="0.0000_)"/>
    <numFmt numFmtId="191" formatCode="0.00_)"/>
    <numFmt numFmtId="192" formatCode="0.000000000_)"/>
    <numFmt numFmtId="193" formatCode="#,##0.0_);\(#,##0.0\)"/>
    <numFmt numFmtId="194" formatCode="#,##0.000"/>
    <numFmt numFmtId="195" formatCode="#,##0;\-#,##0;#,##0"/>
    <numFmt numFmtId="196" formatCode="&quot;$&quot;#,##0.00_);\-&quot;$&quot;#,##0.00_);&quot;$&quot;#,##0.00_)"/>
    <numFmt numFmtId="197" formatCode="&quot;$&quot;#,##0.000000_);\(&quot;$&quot;#,##0.000000\)"/>
    <numFmt numFmtId="198" formatCode="_(&quot;$&quot;* #,##0.00000_);_(&quot;$&quot;* \(#,##0.00000\);_(&quot;$&quot;* &quot;-&quot;??_);_(@_)"/>
    <numFmt numFmtId="199" formatCode="0.000%"/>
    <numFmt numFmtId="200" formatCode="0.00000%"/>
    <numFmt numFmtId="201" formatCode="0.000000%"/>
    <numFmt numFmtId="202" formatCode="#,##0.0000000"/>
    <numFmt numFmtId="203" formatCode="_(* #,##0.00000000_);_(* \(#,##0.00000000\);_(* &quot;-&quot;??_);_(@_)"/>
    <numFmt numFmtId="204" formatCode="0.0000000%"/>
    <numFmt numFmtId="205" formatCode="0.00000000000000%"/>
    <numFmt numFmtId="206" formatCode="_(&quot;$&quot;* #,##0.000000_);_(&quot;$&quot;* \(#,##0.000000\);_(&quot;$&quot;* &quot;-&quot;??_);_(@_)"/>
    <numFmt numFmtId="207" formatCode="&quot;$&quot;#,##0_);\-&quot;$&quot;#,##0_);&quot;$&quot;#,##0_)"/>
    <numFmt numFmtId="208" formatCode="&quot;$&quot;#,##0;[Red]&quot;$&quot;#,##0"/>
    <numFmt numFmtId="209" formatCode="0.00000E+0;\-0.00000E+0"/>
    <numFmt numFmtId="210" formatCode="#,##0_)"/>
    <numFmt numFmtId="211" formatCode="#,##0.00;\-#,##0.00"/>
    <numFmt numFmtId="212" formatCode="&quot;$&quot;#,##0.00_)"/>
    <numFmt numFmtId="213" formatCode="0.00;\-0.00"/>
    <numFmt numFmtId="214" formatCode="&quot;$&quot;#,##0.00000"/>
    <numFmt numFmtId="215" formatCode="0_)"/>
    <numFmt numFmtId="216" formatCode="_(* #,##0.000_);_(* \(#,##0.000\);_(* &quot;-&quot;_);_(@_)"/>
  </numFmts>
  <fonts count="110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u val="singleAccounting"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u val="double"/>
      <sz val="12"/>
      <name val="Times New Roman"/>
      <family val="1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i/>
      <sz val="12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0"/>
      <name val="Times New Roman"/>
      <family val="1"/>
    </font>
    <font>
      <sz val="12"/>
      <color indexed="12"/>
      <name val="Times New Roman"/>
      <family val="1"/>
    </font>
    <font>
      <sz val="12"/>
      <color indexed="17"/>
      <name val="Times New Roman"/>
      <family val="1"/>
    </font>
    <font>
      <sz val="12"/>
      <color indexed="56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1"/>
      <color indexed="8"/>
      <name val="Times New Roman"/>
      <family val="1"/>
    </font>
    <font>
      <sz val="11"/>
      <color indexed="12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i/>
      <sz val="12"/>
      <color indexed="57"/>
      <name val="Times New Roman"/>
      <family val="1"/>
    </font>
    <font>
      <b/>
      <i/>
      <sz val="12"/>
      <color indexed="57"/>
      <name val="Times New Roman"/>
      <family val="1"/>
    </font>
    <font>
      <b/>
      <sz val="12"/>
      <name val="Times New Roman"/>
      <family val="1"/>
    </font>
    <font>
      <sz val="12"/>
      <color indexed="55"/>
      <name val="Times New Roman"/>
      <family val="1"/>
    </font>
    <font>
      <u/>
      <sz val="10"/>
      <name val="Arial"/>
      <family val="2"/>
    </font>
    <font>
      <u/>
      <sz val="12"/>
      <color indexed="8"/>
      <name val="Times New Roman"/>
      <family val="1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16"/>
      <name val="Times New Roman"/>
      <family val="1"/>
    </font>
    <font>
      <sz val="18"/>
      <name val="Times New Roman"/>
      <family val="1"/>
    </font>
    <font>
      <sz val="12"/>
      <name val="Arial"/>
      <family val="2"/>
      <charset val="1"/>
    </font>
    <font>
      <sz val="7"/>
      <name val="Arial"/>
      <family val="2"/>
      <charset val="1"/>
    </font>
    <font>
      <i/>
      <sz val="9"/>
      <name val="Times New Roman"/>
      <family val="1"/>
    </font>
    <font>
      <sz val="10"/>
      <color indexed="8"/>
      <name val="Arial"/>
      <family val="2"/>
      <charset val="1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u/>
      <sz val="12"/>
      <color indexed="8"/>
      <name val="Times New Roman"/>
      <family val="1"/>
    </font>
    <font>
      <sz val="10"/>
      <name val="SWISS"/>
    </font>
    <font>
      <sz val="10"/>
      <name val="Arial"/>
      <family val="2"/>
    </font>
    <font>
      <sz val="11"/>
      <color rgb="FFFF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Times New Roman"/>
      <family val="1"/>
    </font>
    <font>
      <i/>
      <sz val="10"/>
      <name val="Times New Roman"/>
      <family val="1"/>
    </font>
    <font>
      <sz val="10"/>
      <color rgb="FF7030A0"/>
      <name val="Times New Roman"/>
      <family val="1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sz val="11"/>
      <color indexed="8"/>
      <name val="Calibri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Geneva"/>
    </font>
    <font>
      <sz val="10"/>
      <name val="Arial"/>
      <family val="2"/>
    </font>
    <font>
      <b/>
      <sz val="11"/>
      <color indexed="8"/>
      <name val="Times New Roman"/>
      <family val="1"/>
    </font>
    <font>
      <sz val="10"/>
      <name val="Swiss"/>
      <family val="2"/>
    </font>
    <font>
      <sz val="11"/>
      <color theme="0"/>
      <name val="Times New Roman"/>
      <family val="1"/>
    </font>
    <font>
      <sz val="11"/>
      <color indexed="10"/>
      <name val="Times New Roman"/>
      <family val="1"/>
    </font>
    <font>
      <sz val="11"/>
      <color indexed="48"/>
      <name val="Times New Roman"/>
      <family val="1"/>
    </font>
    <font>
      <sz val="11"/>
      <color indexed="56"/>
      <name val="Times New Roman"/>
      <family val="1"/>
    </font>
    <font>
      <b/>
      <sz val="11"/>
      <color indexed="12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07D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79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 style="double">
        <color indexed="64"/>
      </bottom>
      <diagonal/>
    </border>
    <border>
      <left/>
      <right style="thin">
        <color indexed="8"/>
      </right>
      <top style="double">
        <color indexed="8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80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2" fillId="0" borderId="0" applyFont="0" applyFill="0" applyBorder="0" applyAlignment="0" applyProtection="0">
      <alignment horizontal="left"/>
    </xf>
    <xf numFmtId="183" fontId="7" fillId="0" borderId="0"/>
    <xf numFmtId="168" fontId="11" fillId="0" borderId="0" applyFont="0" applyAlignment="0" applyProtection="0"/>
    <xf numFmtId="0" fontId="7" fillId="0" borderId="0"/>
    <xf numFmtId="0" fontId="7" fillId="0" borderId="0"/>
    <xf numFmtId="0" fontId="7" fillId="0" borderId="0"/>
    <xf numFmtId="0" fontId="15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9" fontId="7" fillId="0" borderId="0" applyFont="0" applyFill="0" applyBorder="0" applyAlignment="0" applyProtection="0"/>
    <xf numFmtId="169" fontId="23" fillId="0" borderId="0">
      <alignment horizontal="left"/>
    </xf>
    <xf numFmtId="0" fontId="7" fillId="0" borderId="0">
      <alignment wrapText="1"/>
    </xf>
    <xf numFmtId="0" fontId="71" fillId="0" borderId="0"/>
    <xf numFmtId="43" fontId="71" fillId="0" borderId="0" applyFont="0" applyFill="0" applyBorder="0" applyAlignment="0" applyProtection="0"/>
    <xf numFmtId="0" fontId="72" fillId="0" borderId="0"/>
    <xf numFmtId="0" fontId="73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4" fillId="0" borderId="0"/>
    <xf numFmtId="0" fontId="14" fillId="0" borderId="0"/>
    <xf numFmtId="0" fontId="7" fillId="0" borderId="0"/>
    <xf numFmtId="43" fontId="7" fillId="0" borderId="0" applyFont="0" applyFill="0" applyBorder="0" applyAlignment="0" applyProtection="0"/>
    <xf numFmtId="0" fontId="14" fillId="0" borderId="0"/>
    <xf numFmtId="0" fontId="7" fillId="0" borderId="0">
      <alignment wrapText="1"/>
    </xf>
    <xf numFmtId="0" fontId="81" fillId="0" borderId="0">
      <alignment wrapText="1"/>
    </xf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1" fontId="84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5" fillId="0" borderId="0"/>
    <xf numFmtId="9" fontId="85" fillId="0" borderId="0" applyFont="0" applyFill="0" applyBorder="0" applyAlignment="0" applyProtection="0"/>
    <xf numFmtId="0" fontId="19" fillId="0" borderId="0"/>
    <xf numFmtId="0" fontId="7" fillId="0" borderId="0"/>
    <xf numFmtId="44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94" fillId="0" borderId="0"/>
    <xf numFmtId="0" fontId="52" fillId="0" borderId="0"/>
    <xf numFmtId="0" fontId="19" fillId="0" borderId="0"/>
    <xf numFmtId="9" fontId="14" fillId="0" borderId="0" applyFont="0" applyFill="0" applyBorder="0" applyAlignment="0" applyProtection="0"/>
    <xf numFmtId="9" fontId="52" fillId="0" borderId="0" applyFont="0" applyFill="0" applyBorder="0" applyAlignment="0" applyProtection="0"/>
    <xf numFmtId="38" fontId="95" fillId="0" borderId="0" applyNumberFormat="0" applyFont="0" applyFill="0" applyBorder="0">
      <alignment horizontal="left" indent="4"/>
      <protection locked="0"/>
    </xf>
    <xf numFmtId="0" fontId="96" fillId="0" borderId="0" applyNumberFormat="0" applyFont="0" applyFill="0" applyBorder="0" applyAlignment="0" applyProtection="0">
      <alignment horizontal="left"/>
    </xf>
    <xf numFmtId="15" fontId="96" fillId="0" borderId="0" applyFont="0" applyFill="0" applyBorder="0" applyAlignment="0" applyProtection="0"/>
    <xf numFmtId="4" fontId="96" fillId="0" borderId="0" applyFont="0" applyFill="0" applyBorder="0" applyAlignment="0" applyProtection="0"/>
    <xf numFmtId="0" fontId="97" fillId="0" borderId="57">
      <alignment horizontal="center"/>
    </xf>
    <xf numFmtId="3" fontId="96" fillId="0" borderId="0" applyFont="0" applyFill="0" applyBorder="0" applyAlignment="0" applyProtection="0"/>
    <xf numFmtId="0" fontId="96" fillId="15" borderId="0" applyNumberFormat="0" applyFont="0" applyBorder="0" applyAlignment="0" applyProtection="0"/>
    <xf numFmtId="168" fontId="52" fillId="16" borderId="0" applyFont="0" applyFill="0" applyBorder="0" applyAlignment="0" applyProtection="0">
      <alignment wrapText="1"/>
    </xf>
    <xf numFmtId="0" fontId="7" fillId="17" borderId="0" applyNumberFormat="0" applyFont="0" applyFill="0" applyBorder="0" applyAlignment="0" applyProtection="0"/>
    <xf numFmtId="0" fontId="98" fillId="0" borderId="0"/>
    <xf numFmtId="40" fontId="98" fillId="0" borderId="0" applyFont="0" applyFill="0" applyBorder="0" applyAlignment="0" applyProtection="0"/>
    <xf numFmtId="8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4" fillId="0" borderId="0"/>
    <xf numFmtId="0" fontId="3" fillId="0" borderId="0"/>
    <xf numFmtId="9" fontId="3" fillId="0" borderId="0" applyFont="0" applyFill="0" applyBorder="0" applyAlignment="0" applyProtection="0"/>
    <xf numFmtId="9" fontId="99" fillId="0" borderId="0" applyFont="0" applyFill="0" applyBorder="0" applyAlignment="0" applyProtection="0"/>
    <xf numFmtId="41" fontId="10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4" fillId="0" borderId="0"/>
    <xf numFmtId="0" fontId="7" fillId="0" borderId="0"/>
    <xf numFmtId="0" fontId="99" fillId="0" borderId="0"/>
    <xf numFmtId="0" fontId="1" fillId="0" borderId="0"/>
    <xf numFmtId="43" fontId="1" fillId="0" borderId="0" applyFont="0" applyFill="0" applyBorder="0" applyAlignment="0" applyProtection="0"/>
    <xf numFmtId="0" fontId="109" fillId="0" borderId="0" applyNumberFormat="0" applyFill="0" applyBorder="0" applyAlignment="0" applyProtection="0"/>
  </cellStyleXfs>
  <cellXfs count="1956">
    <xf numFmtId="0" fontId="0" fillId="0" borderId="0" xfId="0"/>
    <xf numFmtId="0" fontId="8" fillId="0" borderId="0" xfId="0" applyFont="1" applyFill="1" applyProtection="1"/>
    <xf numFmtId="5" fontId="8" fillId="0" borderId="0" xfId="0" applyNumberFormat="1" applyFont="1" applyFill="1" applyProtection="1"/>
    <xf numFmtId="0" fontId="0" fillId="0" borderId="0" xfId="0" applyFill="1"/>
    <xf numFmtId="0" fontId="14" fillId="0" borderId="0" xfId="0" applyFont="1" applyFill="1"/>
    <xf numFmtId="0" fontId="16" fillId="0" borderId="0" xfId="0" applyFont="1" applyFill="1"/>
    <xf numFmtId="0" fontId="14" fillId="0" borderId="4" xfId="0" applyFont="1" applyFill="1" applyBorder="1"/>
    <xf numFmtId="0" fontId="14" fillId="0" borderId="0" xfId="0" applyFont="1" applyFill="1" applyBorder="1"/>
    <xf numFmtId="168" fontId="14" fillId="0" borderId="0" xfId="0" applyNumberFormat="1" applyFont="1" applyFill="1"/>
    <xf numFmtId="168" fontId="14" fillId="0" borderId="0" xfId="0" applyNumberFormat="1" applyFont="1" applyFill="1" applyBorder="1"/>
    <xf numFmtId="168" fontId="14" fillId="0" borderId="5" xfId="0" applyNumberFormat="1" applyFont="1" applyFill="1" applyBorder="1"/>
    <xf numFmtId="0" fontId="12" fillId="0" borderId="0" xfId="0" applyFont="1" applyFill="1"/>
    <xf numFmtId="168" fontId="12" fillId="0" borderId="0" xfId="0" applyNumberFormat="1" applyFont="1" applyFill="1"/>
    <xf numFmtId="0" fontId="17" fillId="0" borderId="0" xfId="0" applyFont="1" applyFill="1"/>
    <xf numFmtId="171" fontId="15" fillId="0" borderId="0" xfId="14" applyNumberFormat="1" applyFont="1" applyFill="1"/>
    <xf numFmtId="168" fontId="0" fillId="0" borderId="0" xfId="0" applyNumberFormat="1" applyFill="1"/>
    <xf numFmtId="171" fontId="12" fillId="0" borderId="0" xfId="14" applyNumberFormat="1" applyFont="1" applyFill="1"/>
    <xf numFmtId="168" fontId="17" fillId="0" borderId="0" xfId="0" applyNumberFormat="1" applyFont="1" applyFill="1"/>
    <xf numFmtId="171" fontId="17" fillId="0" borderId="0" xfId="14" applyNumberFormat="1" applyFon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8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167" fontId="8" fillId="0" borderId="0" xfId="2" applyNumberFormat="1" applyFont="1" applyFill="1" applyProtection="1"/>
    <xf numFmtId="37" fontId="8" fillId="0" borderId="0" xfId="0" applyNumberFormat="1" applyFont="1" applyFill="1" applyBorder="1" applyProtection="1"/>
    <xf numFmtId="0" fontId="14" fillId="0" borderId="12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165" fontId="14" fillId="0" borderId="0" xfId="0" applyNumberFormat="1" applyFont="1" applyFill="1" applyBorder="1"/>
    <xf numFmtId="165" fontId="14" fillId="0" borderId="4" xfId="0" applyNumberFormat="1" applyFont="1" applyFill="1" applyBorder="1"/>
    <xf numFmtId="165" fontId="12" fillId="0" borderId="0" xfId="0" applyNumberFormat="1" applyFont="1" applyFill="1" applyBorder="1"/>
    <xf numFmtId="3" fontId="14" fillId="0" borderId="0" xfId="0" applyNumberFormat="1" applyFont="1" applyFill="1" applyBorder="1"/>
    <xf numFmtId="0" fontId="14" fillId="0" borderId="14" xfId="0" applyFont="1" applyFill="1" applyBorder="1"/>
    <xf numFmtId="0" fontId="14" fillId="0" borderId="15" xfId="0" applyFont="1" applyFill="1" applyBorder="1"/>
    <xf numFmtId="0" fontId="16" fillId="0" borderId="16" xfId="0" applyFont="1" applyFill="1" applyBorder="1"/>
    <xf numFmtId="168" fontId="14" fillId="0" borderId="16" xfId="0" applyNumberFormat="1" applyFont="1" applyFill="1" applyBorder="1"/>
    <xf numFmtId="165" fontId="14" fillId="0" borderId="15" xfId="0" applyNumberFormat="1" applyFont="1" applyFill="1" applyBorder="1"/>
    <xf numFmtId="0" fontId="17" fillId="0" borderId="17" xfId="0" applyFont="1" applyFill="1" applyBorder="1"/>
    <xf numFmtId="165" fontId="14" fillId="0" borderId="16" xfId="0" applyNumberFormat="1" applyFont="1" applyFill="1" applyBorder="1"/>
    <xf numFmtId="0" fontId="14" fillId="0" borderId="0" xfId="0" applyFont="1" applyFill="1" applyBorder="1" applyAlignment="1">
      <alignment horizontal="center"/>
    </xf>
    <xf numFmtId="3" fontId="14" fillId="0" borderId="18" xfId="0" applyNumberFormat="1" applyFont="1" applyFill="1" applyBorder="1"/>
    <xf numFmtId="0" fontId="0" fillId="0" borderId="5" xfId="0" applyFill="1" applyBorder="1"/>
    <xf numFmtId="0" fontId="21" fillId="0" borderId="0" xfId="0" quotePrefix="1" applyFont="1" applyFill="1" applyAlignment="1">
      <alignment horizontal="center"/>
    </xf>
    <xf numFmtId="0" fontId="18" fillId="0" borderId="0" xfId="0" applyFont="1" applyFill="1" applyAlignment="1"/>
    <xf numFmtId="0" fontId="14" fillId="0" borderId="0" xfId="0" applyFont="1" applyFill="1" applyBorder="1" applyAlignment="1"/>
    <xf numFmtId="3" fontId="14" fillId="0" borderId="4" xfId="0" applyNumberFormat="1" applyFont="1" applyFill="1" applyBorder="1" applyAlignment="1"/>
    <xf numFmtId="0" fontId="14" fillId="0" borderId="0" xfId="0" applyFont="1" applyFill="1" applyAlignment="1"/>
    <xf numFmtId="168" fontId="14" fillId="0" borderId="4" xfId="0" applyNumberFormat="1" applyFont="1" applyFill="1" applyBorder="1"/>
    <xf numFmtId="0" fontId="14" fillId="0" borderId="29" xfId="0" applyFont="1" applyFill="1" applyBorder="1"/>
    <xf numFmtId="0" fontId="20" fillId="0" borderId="0" xfId="0" applyFont="1" applyFill="1" applyAlignment="1">
      <alignment horizontal="centerContinuous"/>
    </xf>
    <xf numFmtId="5" fontId="8" fillId="0" borderId="0" xfId="0" applyNumberFormat="1" applyFont="1" applyFill="1" applyBorder="1" applyProtection="1"/>
    <xf numFmtId="0" fontId="29" fillId="0" borderId="0" xfId="10" applyFont="1" applyFill="1"/>
    <xf numFmtId="0" fontId="0" fillId="0" borderId="0" xfId="0" applyFill="1" applyAlignment="1">
      <alignment horizontal="right"/>
    </xf>
    <xf numFmtId="0" fontId="0" fillId="0" borderId="11" xfId="0" applyFill="1" applyBorder="1"/>
    <xf numFmtId="171" fontId="14" fillId="0" borderId="0" xfId="14" applyNumberFormat="1" applyFont="1" applyFill="1"/>
    <xf numFmtId="165" fontId="14" fillId="0" borderId="12" xfId="0" applyNumberFormat="1" applyFont="1" applyFill="1" applyBorder="1" applyAlignment="1">
      <alignment horizontal="center"/>
    </xf>
    <xf numFmtId="0" fontId="24" fillId="0" borderId="36" xfId="0" applyFont="1" applyFill="1" applyBorder="1" applyAlignment="1">
      <alignment horizontal="left"/>
    </xf>
    <xf numFmtId="0" fontId="0" fillId="0" borderId="28" xfId="0" applyFill="1" applyBorder="1"/>
    <xf numFmtId="3" fontId="16" fillId="0" borderId="0" xfId="0" applyNumberFormat="1" applyFont="1" applyFill="1"/>
    <xf numFmtId="49" fontId="10" fillId="0" borderId="0" xfId="9" applyNumberFormat="1" applyFont="1" applyFill="1"/>
    <xf numFmtId="49" fontId="10" fillId="0" borderId="0" xfId="9" applyNumberFormat="1" applyFont="1" applyFill="1" applyBorder="1"/>
    <xf numFmtId="165" fontId="14" fillId="0" borderId="0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37" fontId="14" fillId="0" borderId="0" xfId="0" applyNumberFormat="1" applyFont="1" applyFill="1" applyProtection="1"/>
    <xf numFmtId="167" fontId="8" fillId="0" borderId="0" xfId="0" applyNumberFormat="1" applyFont="1" applyFill="1" applyProtection="1"/>
    <xf numFmtId="0" fontId="0" fillId="0" borderId="38" xfId="0" applyFill="1" applyBorder="1"/>
    <xf numFmtId="168" fontId="0" fillId="0" borderId="39" xfId="0" applyNumberFormat="1" applyFill="1" applyBorder="1"/>
    <xf numFmtId="168" fontId="0" fillId="0" borderId="40" xfId="0" applyNumberFormat="1" applyFill="1" applyBorder="1"/>
    <xf numFmtId="3" fontId="0" fillId="0" borderId="0" xfId="0" applyNumberFormat="1" applyFill="1"/>
    <xf numFmtId="168" fontId="0" fillId="0" borderId="11" xfId="0" applyNumberFormat="1" applyFill="1" applyBorder="1"/>
    <xf numFmtId="168" fontId="0" fillId="0" borderId="41" xfId="0" applyNumberFormat="1" applyFill="1" applyBorder="1"/>
    <xf numFmtId="168" fontId="0" fillId="0" borderId="5" xfId="0" applyNumberFormat="1" applyFill="1" applyBorder="1"/>
    <xf numFmtId="177" fontId="26" fillId="0" borderId="0" xfId="0" applyNumberFormat="1" applyFont="1" applyFill="1"/>
    <xf numFmtId="3" fontId="0" fillId="0" borderId="0" xfId="0" applyNumberFormat="1" applyFill="1" applyBorder="1"/>
    <xf numFmtId="0" fontId="14" fillId="0" borderId="1" xfId="0" applyFont="1" applyFill="1" applyBorder="1" applyAlignment="1" applyProtection="1">
      <alignment horizontal="center"/>
    </xf>
    <xf numFmtId="5" fontId="14" fillId="0" borderId="1" xfId="0" applyNumberFormat="1" applyFont="1" applyFill="1" applyBorder="1" applyAlignment="1" applyProtection="1">
      <alignment horizontal="center"/>
    </xf>
    <xf numFmtId="0" fontId="14" fillId="0" borderId="10" xfId="0" applyFont="1" applyFill="1" applyBorder="1" applyAlignment="1" applyProtection="1">
      <alignment horizontal="center"/>
    </xf>
    <xf numFmtId="165" fontId="12" fillId="0" borderId="4" xfId="0" applyNumberFormat="1" applyFont="1" applyFill="1" applyBorder="1"/>
    <xf numFmtId="165" fontId="14" fillId="0" borderId="42" xfId="0" applyNumberFormat="1" applyFont="1" applyFill="1" applyBorder="1"/>
    <xf numFmtId="165" fontId="14" fillId="0" borderId="14" xfId="0" applyNumberFormat="1" applyFont="1" applyFill="1" applyBorder="1"/>
    <xf numFmtId="0" fontId="0" fillId="0" borderId="4" xfId="0" applyFill="1" applyBorder="1"/>
    <xf numFmtId="0" fontId="27" fillId="0" borderId="0" xfId="0" applyFont="1" applyFill="1"/>
    <xf numFmtId="0" fontId="19" fillId="0" borderId="28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39" xfId="0" applyFill="1" applyBorder="1"/>
    <xf numFmtId="0" fontId="29" fillId="0" borderId="0" xfId="10" applyFont="1" applyFill="1" applyAlignment="1">
      <alignment horizontal="center"/>
    </xf>
    <xf numFmtId="0" fontId="30" fillId="0" borderId="0" xfId="10" applyFont="1" applyFill="1"/>
    <xf numFmtId="3" fontId="14" fillId="0" borderId="0" xfId="0" applyNumberFormat="1" applyFont="1" applyFill="1"/>
    <xf numFmtId="14" fontId="19" fillId="0" borderId="12" xfId="0" applyNumberFormat="1" applyFont="1" applyFill="1" applyBorder="1" applyAlignment="1">
      <alignment horizontal="center"/>
    </xf>
    <xf numFmtId="165" fontId="13" fillId="0" borderId="0" xfId="0" applyNumberFormat="1" applyFont="1" applyFill="1" applyBorder="1"/>
    <xf numFmtId="165" fontId="14" fillId="0" borderId="46" xfId="0" applyNumberFormat="1" applyFont="1" applyFill="1" applyBorder="1"/>
    <xf numFmtId="3" fontId="14" fillId="0" borderId="4" xfId="0" applyNumberFormat="1" applyFont="1" applyFill="1" applyBorder="1"/>
    <xf numFmtId="3" fontId="12" fillId="0" borderId="0" xfId="0" applyNumberFormat="1" applyFont="1" applyFill="1" applyBorder="1"/>
    <xf numFmtId="3" fontId="12" fillId="0" borderId="4" xfId="0" applyNumberFormat="1" applyFont="1" applyFill="1" applyBorder="1"/>
    <xf numFmtId="168" fontId="13" fillId="0" borderId="0" xfId="0" applyNumberFormat="1" applyFont="1" applyFill="1" applyBorder="1"/>
    <xf numFmtId="168" fontId="13" fillId="0" borderId="4" xfId="0" applyNumberFormat="1" applyFont="1" applyFill="1" applyBorder="1"/>
    <xf numFmtId="3" fontId="14" fillId="0" borderId="15" xfId="0" applyNumberFormat="1" applyFont="1" applyFill="1" applyBorder="1"/>
    <xf numFmtId="168" fontId="14" fillId="0" borderId="12" xfId="0" applyNumberFormat="1" applyFont="1" applyFill="1" applyBorder="1"/>
    <xf numFmtId="168" fontId="14" fillId="0" borderId="13" xfId="0" applyNumberFormat="1" applyFont="1" applyFill="1" applyBorder="1"/>
    <xf numFmtId="3" fontId="14" fillId="0" borderId="28" xfId="0" applyNumberFormat="1" applyFont="1" applyFill="1" applyBorder="1"/>
    <xf numFmtId="3" fontId="14" fillId="0" borderId="16" xfId="0" applyNumberFormat="1" applyFont="1" applyFill="1" applyBorder="1"/>
    <xf numFmtId="3" fontId="14" fillId="0" borderId="46" xfId="0" applyNumberFormat="1" applyFont="1" applyFill="1" applyBorder="1"/>
    <xf numFmtId="0" fontId="14" fillId="0" borderId="28" xfId="0" applyFont="1" applyFill="1" applyBorder="1"/>
    <xf numFmtId="0" fontId="14" fillId="0" borderId="38" xfId="0" applyFont="1" applyFill="1" applyBorder="1"/>
    <xf numFmtId="168" fontId="15" fillId="0" borderId="0" xfId="1" applyNumberFormat="1" applyFont="1" applyFill="1"/>
    <xf numFmtId="167" fontId="15" fillId="0" borderId="0" xfId="2" applyNumberFormat="1" applyFont="1" applyFill="1"/>
    <xf numFmtId="3" fontId="16" fillId="0" borderId="0" xfId="0" applyNumberFormat="1" applyFont="1" applyFill="1" applyBorder="1"/>
    <xf numFmtId="8" fontId="16" fillId="0" borderId="0" xfId="0" applyNumberFormat="1" applyFont="1" applyFill="1" applyBorder="1"/>
    <xf numFmtId="3" fontId="27" fillId="0" borderId="0" xfId="0" applyNumberFormat="1" applyFont="1" applyFill="1" applyBorder="1"/>
    <xf numFmtId="8" fontId="14" fillId="0" borderId="0" xfId="0" applyNumberFormat="1" applyFont="1" applyFill="1" applyBorder="1"/>
    <xf numFmtId="0" fontId="16" fillId="0" borderId="0" xfId="0" applyFont="1" applyFill="1" applyBorder="1"/>
    <xf numFmtId="0" fontId="0" fillId="0" borderId="12" xfId="0" applyFill="1" applyBorder="1"/>
    <xf numFmtId="0" fontId="14" fillId="0" borderId="12" xfId="0" applyFont="1" applyFill="1" applyBorder="1"/>
    <xf numFmtId="3" fontId="14" fillId="0" borderId="12" xfId="0" applyNumberFormat="1" applyFont="1" applyFill="1" applyBorder="1"/>
    <xf numFmtId="165" fontId="14" fillId="0" borderId="0" xfId="0" applyNumberFormat="1" applyFont="1" applyFill="1" applyBorder="1" applyAlignment="1"/>
    <xf numFmtId="0" fontId="18" fillId="0" borderId="0" xfId="0" applyFont="1" applyFill="1" applyAlignment="1">
      <alignment horizontal="center"/>
    </xf>
    <xf numFmtId="0" fontId="39" fillId="0" borderId="0" xfId="6" applyFont="1"/>
    <xf numFmtId="0" fontId="40" fillId="0" borderId="0" xfId="6" applyFont="1"/>
    <xf numFmtId="43" fontId="40" fillId="0" borderId="0" xfId="1" applyFont="1"/>
    <xf numFmtId="168" fontId="7" fillId="0" borderId="0" xfId="1" applyNumberFormat="1"/>
    <xf numFmtId="0" fontId="7" fillId="0" borderId="0" xfId="6"/>
    <xf numFmtId="43" fontId="7" fillId="0" borderId="0" xfId="1"/>
    <xf numFmtId="0" fontId="7" fillId="0" borderId="0" xfId="6" applyAlignment="1">
      <alignment horizontal="center"/>
    </xf>
    <xf numFmtId="0" fontId="7" fillId="0" borderId="0" xfId="1" applyNumberFormat="1" applyAlignment="1">
      <alignment horizontal="left"/>
    </xf>
    <xf numFmtId="43" fontId="7" fillId="0" borderId="0" xfId="1" applyFont="1"/>
    <xf numFmtId="168" fontId="7" fillId="0" borderId="0" xfId="1" applyNumberFormat="1" applyFont="1"/>
    <xf numFmtId="43" fontId="7" fillId="0" borderId="0" xfId="1" applyFill="1"/>
    <xf numFmtId="43" fontId="7" fillId="0" borderId="0" xfId="1" applyFont="1" applyFill="1"/>
    <xf numFmtId="168" fontId="7" fillId="0" borderId="0" xfId="1" applyNumberFormat="1" applyFont="1" applyFill="1"/>
    <xf numFmtId="0" fontId="7" fillId="0" borderId="0" xfId="6" applyFill="1"/>
    <xf numFmtId="0" fontId="7" fillId="0" borderId="0" xfId="6" applyFill="1" applyAlignment="1">
      <alignment horizontal="center"/>
    </xf>
    <xf numFmtId="168" fontId="7" fillId="0" borderId="0" xfId="1" applyNumberFormat="1" applyFill="1"/>
    <xf numFmtId="168" fontId="41" fillId="0" borderId="0" xfId="1" applyNumberFormat="1" applyFont="1" applyFill="1"/>
    <xf numFmtId="168" fontId="7" fillId="0" borderId="0" xfId="6" applyNumberFormat="1" applyFill="1"/>
    <xf numFmtId="43" fontId="7" fillId="0" borderId="0" xfId="6" applyNumberFormat="1" applyFill="1"/>
    <xf numFmtId="168" fontId="40" fillId="0" borderId="0" xfId="1" applyNumberFormat="1" applyFont="1" applyFill="1"/>
    <xf numFmtId="168" fontId="41" fillId="0" borderId="0" xfId="1" applyNumberFormat="1" applyFont="1"/>
    <xf numFmtId="43" fontId="7" fillId="0" borderId="0" xfId="1" applyNumberFormat="1" applyFont="1" applyFill="1"/>
    <xf numFmtId="172" fontId="7" fillId="0" borderId="0" xfId="1" applyNumberFormat="1" applyFill="1"/>
    <xf numFmtId="172" fontId="7" fillId="0" borderId="0" xfId="1" applyNumberFormat="1"/>
    <xf numFmtId="0" fontId="7" fillId="0" borderId="0" xfId="6" applyFont="1"/>
    <xf numFmtId="172" fontId="7" fillId="0" borderId="0" xfId="1" applyNumberFormat="1" applyFont="1" applyFill="1"/>
    <xf numFmtId="43" fontId="7" fillId="0" borderId="0" xfId="1" applyNumberFormat="1" applyFill="1"/>
    <xf numFmtId="168" fontId="7" fillId="0" borderId="0" xfId="6" applyNumberFormat="1" applyAlignment="1">
      <alignment horizontal="center"/>
    </xf>
    <xf numFmtId="168" fontId="7" fillId="0" borderId="0" xfId="6" applyNumberFormat="1"/>
    <xf numFmtId="0" fontId="7" fillId="0" borderId="0" xfId="6" applyFont="1" applyAlignment="1">
      <alignment horizontal="center"/>
    </xf>
    <xf numFmtId="172" fontId="41" fillId="0" borderId="0" xfId="1" applyNumberFormat="1" applyFont="1" applyFill="1"/>
    <xf numFmtId="172" fontId="7" fillId="0" borderId="0" xfId="6" applyNumberFormat="1" applyFill="1"/>
    <xf numFmtId="182" fontId="7" fillId="0" borderId="0" xfId="6" applyNumberFormat="1" applyFill="1"/>
    <xf numFmtId="172" fontId="7" fillId="0" borderId="0" xfId="6" applyNumberFormat="1"/>
    <xf numFmtId="0" fontId="14" fillId="0" borderId="0" xfId="13" applyFont="1" applyFill="1" applyBorder="1"/>
    <xf numFmtId="0" fontId="8" fillId="0" borderId="0" xfId="12" applyFont="1" applyFill="1" applyAlignment="1">
      <alignment horizontal="center"/>
    </xf>
    <xf numFmtId="0" fontId="15" fillId="0" borderId="0" xfId="12" applyFill="1"/>
    <xf numFmtId="0" fontId="8" fillId="0" borderId="0" xfId="12" applyFont="1" applyFill="1"/>
    <xf numFmtId="0" fontId="15" fillId="0" borderId="0" xfId="12" applyFont="1" applyFill="1"/>
    <xf numFmtId="0" fontId="45" fillId="0" borderId="0" xfId="12" quotePrefix="1" applyFont="1" applyFill="1" applyAlignment="1">
      <alignment horizontal="centerContinuous"/>
    </xf>
    <xf numFmtId="0" fontId="45" fillId="0" borderId="0" xfId="12" applyFont="1" applyFill="1" applyAlignment="1">
      <alignment horizontal="centerContinuous"/>
    </xf>
    <xf numFmtId="0" fontId="45" fillId="0" borderId="0" xfId="12" applyFont="1" applyFill="1" applyAlignment="1"/>
    <xf numFmtId="0" fontId="45" fillId="0" borderId="0" xfId="12" quotePrefix="1" applyFont="1" applyFill="1" applyAlignment="1"/>
    <xf numFmtId="0" fontId="15" fillId="0" borderId="0" xfId="12" applyFill="1" applyBorder="1"/>
    <xf numFmtId="0" fontId="45" fillId="0" borderId="0" xfId="12" applyFont="1" applyFill="1" applyBorder="1" applyAlignment="1">
      <alignment horizontal="center"/>
    </xf>
    <xf numFmtId="0" fontId="46" fillId="0" borderId="0" xfId="12" applyFont="1" applyFill="1" applyBorder="1" applyAlignment="1">
      <alignment horizontal="center"/>
    </xf>
    <xf numFmtId="0" fontId="15" fillId="0" borderId="0" xfId="12" applyFont="1" applyFill="1" applyBorder="1" applyAlignment="1">
      <alignment horizontal="center"/>
    </xf>
    <xf numFmtId="0" fontId="15" fillId="0" borderId="0" xfId="12" applyFont="1" applyFill="1" applyAlignment="1">
      <alignment horizontal="center"/>
    </xf>
    <xf numFmtId="0" fontId="15" fillId="0" borderId="0" xfId="12" applyFont="1" applyFill="1" applyBorder="1" applyAlignment="1">
      <alignment horizontal="left"/>
    </xf>
    <xf numFmtId="0" fontId="15" fillId="0" borderId="0" xfId="12" applyFont="1" applyFill="1" applyBorder="1" applyAlignment="1"/>
    <xf numFmtId="0" fontId="15" fillId="0" borderId="0" xfId="12" quotePrefix="1" applyFont="1" applyFill="1" applyBorder="1" applyAlignment="1">
      <alignment horizontal="center"/>
    </xf>
    <xf numFmtId="0" fontId="15" fillId="0" borderId="28" xfId="12" applyFont="1" applyFill="1" applyBorder="1" applyAlignment="1">
      <alignment horizontal="center"/>
    </xf>
    <xf numFmtId="0" fontId="15" fillId="0" borderId="0" xfId="12" applyFill="1" applyAlignment="1">
      <alignment horizontal="center"/>
    </xf>
    <xf numFmtId="0" fontId="15" fillId="0" borderId="0" xfId="12" quotePrefix="1" applyFont="1" applyFill="1" applyAlignment="1">
      <alignment horizontal="center"/>
    </xf>
    <xf numFmtId="0" fontId="15" fillId="0" borderId="0" xfId="12" applyFill="1" applyBorder="1" applyAlignment="1">
      <alignment horizontal="center"/>
    </xf>
    <xf numFmtId="0" fontId="15" fillId="0" borderId="34" xfId="12" applyFill="1" applyBorder="1" applyAlignment="1">
      <alignment horizontal="center"/>
    </xf>
    <xf numFmtId="0" fontId="8" fillId="0" borderId="34" xfId="12" applyFont="1" applyFill="1" applyBorder="1" applyAlignment="1">
      <alignment horizontal="center"/>
    </xf>
    <xf numFmtId="0" fontId="8" fillId="0" borderId="0" xfId="12" applyFont="1" applyFill="1" applyBorder="1" applyAlignment="1">
      <alignment horizontal="center"/>
    </xf>
    <xf numFmtId="0" fontId="15" fillId="0" borderId="34" xfId="12" applyFont="1" applyFill="1" applyBorder="1" applyAlignment="1">
      <alignment horizontal="center"/>
    </xf>
    <xf numFmtId="6" fontId="15" fillId="0" borderId="34" xfId="12" quotePrefix="1" applyNumberFormat="1" applyFont="1" applyFill="1" applyBorder="1" applyAlignment="1">
      <alignment horizontal="center"/>
    </xf>
    <xf numFmtId="6" fontId="15" fillId="0" borderId="0" xfId="12" quotePrefix="1" applyNumberFormat="1" applyFont="1" applyFill="1" applyBorder="1" applyAlignment="1">
      <alignment horizontal="center"/>
    </xf>
    <xf numFmtId="0" fontId="15" fillId="0" borderId="12" xfId="12" quotePrefix="1" applyFont="1" applyFill="1" applyBorder="1" applyAlignment="1">
      <alignment horizontal="center"/>
    </xf>
    <xf numFmtId="6" fontId="15" fillId="0" borderId="12" xfId="12" quotePrefix="1" applyNumberFormat="1" applyFont="1" applyFill="1" applyBorder="1" applyAlignment="1">
      <alignment horizontal="center"/>
    </xf>
    <xf numFmtId="0" fontId="15" fillId="0" borderId="0" xfId="12" quotePrefix="1" applyFont="1" applyFill="1"/>
    <xf numFmtId="0" fontId="47" fillId="0" borderId="0" xfId="12" applyFont="1" applyFill="1"/>
    <xf numFmtId="0" fontId="8" fillId="0" borderId="0" xfId="12" quotePrefix="1" applyFont="1" applyFill="1" applyAlignment="1">
      <alignment horizontal="center"/>
    </xf>
    <xf numFmtId="37" fontId="15" fillId="0" borderId="0" xfId="12" applyNumberFormat="1" applyFont="1" applyFill="1" applyProtection="1"/>
    <xf numFmtId="5" fontId="8" fillId="0" borderId="0" xfId="12" applyNumberFormat="1" applyFont="1" applyFill="1" applyProtection="1">
      <protection locked="0"/>
    </xf>
    <xf numFmtId="10" fontId="8" fillId="0" borderId="0" xfId="14" applyNumberFormat="1" applyFont="1" applyFill="1" applyProtection="1">
      <protection locked="0"/>
    </xf>
    <xf numFmtId="5" fontId="8" fillId="0" borderId="0" xfId="14" applyNumberFormat="1" applyFont="1" applyFill="1" applyProtection="1">
      <protection locked="0"/>
    </xf>
    <xf numFmtId="171" fontId="8" fillId="0" borderId="0" xfId="14" applyNumberFormat="1" applyFont="1" applyFill="1" applyProtection="1">
      <protection locked="0"/>
    </xf>
    <xf numFmtId="185" fontId="8" fillId="0" borderId="0" xfId="1" applyNumberFormat="1" applyFont="1" applyFill="1" applyProtection="1">
      <protection locked="0"/>
    </xf>
    <xf numFmtId="184" fontId="15" fillId="0" borderId="0" xfId="12" applyNumberFormat="1" applyFont="1" applyFill="1" applyProtection="1"/>
    <xf numFmtId="186" fontId="0" fillId="0" borderId="0" xfId="0" applyNumberFormat="1" applyFill="1" applyBorder="1" applyProtection="1"/>
    <xf numFmtId="0" fontId="15" fillId="0" borderId="0" xfId="12" applyFont="1" applyFill="1" applyBorder="1"/>
    <xf numFmtId="10" fontId="8" fillId="0" borderId="0" xfId="14" applyNumberFormat="1" applyFont="1" applyFill="1" applyBorder="1" applyProtection="1">
      <protection locked="0"/>
    </xf>
    <xf numFmtId="2" fontId="15" fillId="0" borderId="0" xfId="12" applyNumberFormat="1" applyFont="1" applyFill="1"/>
    <xf numFmtId="0" fontId="15" fillId="0" borderId="34" xfId="12" applyFill="1" applyBorder="1"/>
    <xf numFmtId="0" fontId="15" fillId="0" borderId="12" xfId="12" applyFill="1" applyBorder="1"/>
    <xf numFmtId="171" fontId="15" fillId="0" borderId="12" xfId="14" applyNumberFormat="1" applyFont="1" applyFill="1" applyBorder="1"/>
    <xf numFmtId="171" fontId="15" fillId="0" borderId="12" xfId="12" applyNumberFormat="1" applyFill="1" applyBorder="1"/>
    <xf numFmtId="185" fontId="15" fillId="0" borderId="12" xfId="12" applyNumberFormat="1" applyFill="1" applyBorder="1"/>
    <xf numFmtId="186" fontId="15" fillId="0" borderId="12" xfId="12" applyNumberFormat="1" applyFill="1" applyBorder="1"/>
    <xf numFmtId="171" fontId="15" fillId="0" borderId="0" xfId="12" applyNumberFormat="1" applyFill="1"/>
    <xf numFmtId="185" fontId="15" fillId="0" borderId="0" xfId="12" applyNumberFormat="1" applyFill="1"/>
    <xf numFmtId="186" fontId="15" fillId="0" borderId="0" xfId="12" applyNumberFormat="1" applyFill="1"/>
    <xf numFmtId="37" fontId="15" fillId="0" borderId="0" xfId="12" applyNumberFormat="1" applyFill="1" applyProtection="1"/>
    <xf numFmtId="5" fontId="15" fillId="0" borderId="0" xfId="12" applyNumberFormat="1" applyFill="1" applyProtection="1"/>
    <xf numFmtId="185" fontId="8" fillId="0" borderId="0" xfId="14" applyNumberFormat="1" applyFont="1" applyFill="1" applyProtection="1">
      <protection locked="0"/>
    </xf>
    <xf numFmtId="37" fontId="15" fillId="0" borderId="0" xfId="12" applyNumberFormat="1" applyFill="1"/>
    <xf numFmtId="5" fontId="15" fillId="0" borderId="0" xfId="12" applyNumberFormat="1" applyFill="1"/>
    <xf numFmtId="37" fontId="15" fillId="0" borderId="34" xfId="12" applyNumberFormat="1" applyFill="1" applyBorder="1" applyProtection="1"/>
    <xf numFmtId="5" fontId="15" fillId="0" borderId="34" xfId="12" applyNumberFormat="1" applyFill="1" applyBorder="1" applyProtection="1"/>
    <xf numFmtId="5" fontId="15" fillId="0" borderId="0" xfId="12" applyNumberFormat="1" applyFill="1" applyBorder="1" applyProtection="1"/>
    <xf numFmtId="171" fontId="8" fillId="0" borderId="12" xfId="14" applyNumberFormat="1" applyFont="1" applyFill="1" applyBorder="1" applyProtection="1">
      <protection locked="0"/>
    </xf>
    <xf numFmtId="184" fontId="15" fillId="0" borderId="12" xfId="12" applyNumberFormat="1" applyFont="1" applyFill="1" applyBorder="1" applyProtection="1"/>
    <xf numFmtId="186" fontId="0" fillId="0" borderId="12" xfId="0" applyNumberFormat="1" applyFill="1" applyBorder="1" applyProtection="1"/>
    <xf numFmtId="186" fontId="14" fillId="0" borderId="0" xfId="0" applyNumberFormat="1" applyFont="1" applyFill="1" applyBorder="1" applyProtection="1"/>
    <xf numFmtId="37" fontId="15" fillId="0" borderId="0" xfId="12" applyNumberFormat="1" applyFill="1" applyBorder="1" applyProtection="1"/>
    <xf numFmtId="171" fontId="15" fillId="0" borderId="0" xfId="12" applyNumberFormat="1" applyFill="1" applyBorder="1" applyProtection="1"/>
    <xf numFmtId="10" fontId="15" fillId="0" borderId="0" xfId="12" applyNumberFormat="1" applyFill="1" applyBorder="1" applyProtection="1"/>
    <xf numFmtId="185" fontId="15" fillId="0" borderId="0" xfId="12" applyNumberFormat="1" applyFill="1" applyBorder="1" applyProtection="1"/>
    <xf numFmtId="186" fontId="15" fillId="0" borderId="0" xfId="12" applyNumberFormat="1" applyFill="1" applyBorder="1" applyProtection="1"/>
    <xf numFmtId="0" fontId="9" fillId="0" borderId="0" xfId="12" applyFont="1" applyFill="1"/>
    <xf numFmtId="37" fontId="15" fillId="0" borderId="37" xfId="12" applyNumberFormat="1" applyFill="1" applyBorder="1"/>
    <xf numFmtId="5" fontId="15" fillId="0" borderId="37" xfId="12" applyNumberFormat="1" applyFill="1" applyBorder="1"/>
    <xf numFmtId="5" fontId="15" fillId="0" borderId="0" xfId="12" applyNumberFormat="1" applyFill="1" applyBorder="1"/>
    <xf numFmtId="171" fontId="8" fillId="0" borderId="37" xfId="14" applyNumberFormat="1" applyFont="1" applyFill="1" applyBorder="1" applyProtection="1">
      <protection locked="0"/>
    </xf>
    <xf numFmtId="185" fontId="8" fillId="0" borderId="37" xfId="1" applyNumberFormat="1" applyFont="1" applyFill="1" applyBorder="1" applyProtection="1">
      <protection locked="0"/>
    </xf>
    <xf numFmtId="186" fontId="0" fillId="0" borderId="37" xfId="0" applyNumberFormat="1" applyFill="1" applyBorder="1" applyProtection="1"/>
    <xf numFmtId="37" fontId="15" fillId="0" borderId="0" xfId="12" applyNumberFormat="1" applyFill="1" applyBorder="1"/>
    <xf numFmtId="0" fontId="10" fillId="0" borderId="0" xfId="12" applyFont="1" applyFill="1"/>
    <xf numFmtId="10" fontId="8" fillId="0" borderId="0" xfId="14" quotePrefix="1" applyNumberFormat="1" applyFont="1" applyFill="1" applyBorder="1" applyProtection="1">
      <protection locked="0"/>
    </xf>
    <xf numFmtId="37" fontId="15" fillId="0" borderId="37" xfId="12" applyNumberFormat="1" applyFont="1" applyFill="1" applyBorder="1" applyProtection="1"/>
    <xf numFmtId="5" fontId="8" fillId="0" borderId="37" xfId="14" applyNumberFormat="1" applyFont="1" applyFill="1" applyBorder="1" applyProtection="1">
      <protection locked="0"/>
    </xf>
    <xf numFmtId="5" fontId="15" fillId="0" borderId="0" xfId="12" applyNumberFormat="1" applyFont="1" applyFill="1"/>
    <xf numFmtId="0" fontId="15" fillId="0" borderId="0" xfId="12" applyFont="1" applyFill="1" applyAlignment="1">
      <alignment horizontal="right"/>
    </xf>
    <xf numFmtId="43" fontId="15" fillId="0" borderId="0" xfId="1" applyFont="1" applyFill="1"/>
    <xf numFmtId="10" fontId="15" fillId="0" borderId="0" xfId="14" applyNumberFormat="1" applyFont="1" applyFill="1"/>
    <xf numFmtId="167" fontId="35" fillId="0" borderId="0" xfId="2" applyNumberFormat="1" applyFont="1" applyFill="1"/>
    <xf numFmtId="171" fontId="35" fillId="0" borderId="0" xfId="14" applyNumberFormat="1" applyFont="1" applyFill="1" applyBorder="1" applyProtection="1">
      <protection locked="0"/>
    </xf>
    <xf numFmtId="1" fontId="15" fillId="0" borderId="0" xfId="12" applyNumberFormat="1" applyFill="1"/>
    <xf numFmtId="171" fontId="15" fillId="0" borderId="0" xfId="14" applyNumberFormat="1" applyFont="1" applyFill="1" applyBorder="1"/>
    <xf numFmtId="1" fontId="35" fillId="0" borderId="0" xfId="12" applyNumberFormat="1" applyFont="1" applyFill="1"/>
    <xf numFmtId="171" fontId="35" fillId="0" borderId="0" xfId="14" applyNumberFormat="1" applyFont="1" applyFill="1"/>
    <xf numFmtId="205" fontId="15" fillId="0" borderId="0" xfId="12" applyNumberFormat="1" applyFill="1"/>
    <xf numFmtId="171" fontId="33" fillId="0" borderId="0" xfId="14" applyNumberFormat="1" applyFont="1" applyFill="1"/>
    <xf numFmtId="0" fontId="48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49" fillId="0" borderId="0" xfId="0" quotePrefix="1" applyNumberFormat="1" applyFont="1" applyFill="1" applyAlignment="1">
      <alignment horizontal="centerContinuous"/>
    </xf>
    <xf numFmtId="0" fontId="49" fillId="0" borderId="0" xfId="0" applyFont="1" applyFill="1" applyAlignment="1" applyProtection="1">
      <alignment horizontal="centerContinuous"/>
    </xf>
    <xf numFmtId="37" fontId="49" fillId="0" borderId="0" xfId="0" applyNumberFormat="1" applyFont="1" applyFill="1" applyAlignment="1" applyProtection="1">
      <alignment horizontal="centerContinuous"/>
    </xf>
    <xf numFmtId="0" fontId="30" fillId="0" borderId="0" xfId="0" quotePrefix="1" applyFont="1" applyFill="1" applyAlignment="1" applyProtection="1">
      <alignment horizontal="centerContinuous"/>
    </xf>
    <xf numFmtId="0" fontId="49" fillId="0" borderId="0" xfId="0" applyFont="1" applyFill="1" applyProtection="1"/>
    <xf numFmtId="37" fontId="30" fillId="0" borderId="0" xfId="0" applyNumberFormat="1" applyFont="1" applyFill="1" applyAlignment="1" applyProtection="1">
      <alignment horizontal="center"/>
    </xf>
    <xf numFmtId="0" fontId="30" fillId="0" borderId="0" xfId="0" applyFont="1" applyFill="1" applyProtection="1"/>
    <xf numFmtId="0" fontId="30" fillId="0" borderId="0" xfId="0" applyFont="1" applyFill="1" applyAlignment="1" applyProtection="1">
      <alignment horizontal="center"/>
    </xf>
    <xf numFmtId="0" fontId="50" fillId="0" borderId="0" xfId="0" applyFont="1" applyFill="1" applyAlignment="1" applyProtection="1">
      <alignment horizontal="center"/>
    </xf>
    <xf numFmtId="0" fontId="30" fillId="0" borderId="0" xfId="0" applyFont="1" applyFill="1" applyBorder="1" applyAlignment="1" applyProtection="1">
      <alignment horizontal="center"/>
    </xf>
    <xf numFmtId="37" fontId="30" fillId="0" borderId="34" xfId="0" applyNumberFormat="1" applyFont="1" applyFill="1" applyBorder="1" applyAlignment="1" applyProtection="1">
      <alignment horizontal="center"/>
    </xf>
    <xf numFmtId="0" fontId="30" fillId="0" borderId="34" xfId="0" applyFont="1" applyFill="1" applyBorder="1" applyAlignment="1" applyProtection="1">
      <alignment horizontal="center"/>
    </xf>
    <xf numFmtId="0" fontId="30" fillId="0" borderId="34" xfId="0" applyFont="1" applyFill="1" applyBorder="1" applyProtection="1"/>
    <xf numFmtId="0" fontId="51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11" fillId="0" borderId="0" xfId="2" applyNumberFormat="1" applyFont="1" applyFill="1"/>
    <xf numFmtId="43" fontId="0" fillId="0" borderId="0" xfId="0" applyNumberFormat="1" applyFill="1"/>
    <xf numFmtId="7" fontId="33" fillId="0" borderId="0" xfId="0" applyNumberFormat="1" applyFont="1" applyFill="1"/>
    <xf numFmtId="0" fontId="33" fillId="0" borderId="0" xfId="0" applyFont="1" applyFill="1"/>
    <xf numFmtId="7" fontId="11" fillId="0" borderId="0" xfId="2" applyNumberFormat="1" applyFont="1" applyFill="1" applyBorder="1"/>
    <xf numFmtId="37" fontId="0" fillId="0" borderId="0" xfId="0" applyNumberFormat="1" applyFill="1" applyBorder="1"/>
    <xf numFmtId="181" fontId="15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47" xfId="0" applyNumberFormat="1" applyFont="1" applyFill="1" applyBorder="1" applyProtection="1"/>
    <xf numFmtId="5" fontId="8" fillId="0" borderId="47" xfId="0" applyNumberFormat="1" applyFont="1" applyFill="1" applyBorder="1" applyProtection="1"/>
    <xf numFmtId="37" fontId="0" fillId="0" borderId="0" xfId="0" applyNumberFormat="1" applyFill="1" applyProtection="1"/>
    <xf numFmtId="201" fontId="15" fillId="0" borderId="0" xfId="14" applyNumberFormat="1" applyFont="1" applyFill="1"/>
    <xf numFmtId="0" fontId="52" fillId="0" borderId="0" xfId="7" applyFont="1" applyFill="1"/>
    <xf numFmtId="0" fontId="52" fillId="0" borderId="0" xfId="7" applyFont="1" applyFill="1" applyBorder="1"/>
    <xf numFmtId="197" fontId="52" fillId="0" borderId="0" xfId="7" applyNumberFormat="1" applyFont="1" applyFill="1" applyBorder="1"/>
    <xf numFmtId="0" fontId="52" fillId="0" borderId="0" xfId="7" applyFont="1" applyFill="1" applyBorder="1" applyAlignment="1">
      <alignment horizontal="right"/>
    </xf>
    <xf numFmtId="168" fontId="52" fillId="0" borderId="0" xfId="1" applyNumberFormat="1" applyFont="1" applyFill="1" applyBorder="1"/>
    <xf numFmtId="0" fontId="52" fillId="0" borderId="0" xfId="7" applyFont="1" applyFill="1" applyBorder="1" applyAlignment="1">
      <alignment horizontal="left"/>
    </xf>
    <xf numFmtId="7" fontId="52" fillId="0" borderId="0" xfId="7" applyNumberFormat="1" applyFont="1" applyFill="1" applyBorder="1" applyAlignment="1">
      <alignment horizontal="right"/>
    </xf>
    <xf numFmtId="181" fontId="52" fillId="0" borderId="0" xfId="1" applyNumberFormat="1" applyFont="1" applyFill="1" applyBorder="1"/>
    <xf numFmtId="168" fontId="53" fillId="0" borderId="0" xfId="1" applyNumberFormat="1" applyFont="1" applyFill="1" applyBorder="1"/>
    <xf numFmtId="168" fontId="52" fillId="0" borderId="0" xfId="1" applyNumberFormat="1" applyFont="1" applyFill="1"/>
    <xf numFmtId="7" fontId="52" fillId="0" borderId="0" xfId="7" applyNumberFormat="1" applyFont="1" applyFill="1" applyBorder="1"/>
    <xf numFmtId="0" fontId="52" fillId="0" borderId="0" xfId="7" applyFont="1" applyFill="1" applyBorder="1" applyAlignment="1">
      <alignment horizontal="center"/>
    </xf>
    <xf numFmtId="10" fontId="54" fillId="0" borderId="0" xfId="7" applyNumberFormat="1" applyFont="1" applyFill="1"/>
    <xf numFmtId="7" fontId="52" fillId="0" borderId="0" xfId="7" applyNumberFormat="1" applyFont="1" applyFill="1"/>
    <xf numFmtId="5" fontId="52" fillId="0" borderId="0" xfId="7" applyNumberFormat="1" applyFont="1" applyFill="1"/>
    <xf numFmtId="10" fontId="52" fillId="0" borderId="0" xfId="14" applyNumberFormat="1" applyFont="1" applyFill="1"/>
    <xf numFmtId="0" fontId="51" fillId="0" borderId="0" xfId="0" applyFont="1" applyFill="1" applyProtection="1"/>
    <xf numFmtId="199" fontId="15" fillId="0" borderId="0" xfId="14" applyNumberFormat="1" applyFont="1" applyFill="1"/>
    <xf numFmtId="174" fontId="0" fillId="0" borderId="0" xfId="0" applyNumberFormat="1" applyFill="1" applyAlignment="1">
      <alignment horizontal="right"/>
    </xf>
    <xf numFmtId="168" fontId="15" fillId="0" borderId="0" xfId="1" applyNumberFormat="1" applyFont="1" applyFill="1" applyAlignment="1">
      <alignment horizontal="right"/>
    </xf>
    <xf numFmtId="0" fontId="8" fillId="0" borderId="0" xfId="0" applyFont="1" applyFill="1" applyProtection="1">
      <protection locked="0"/>
    </xf>
    <xf numFmtId="7" fontId="33" fillId="0" borderId="0" xfId="0" applyNumberFormat="1" applyFont="1" applyFill="1" applyProtection="1">
      <protection locked="0"/>
    </xf>
    <xf numFmtId="186" fontId="33" fillId="0" borderId="0" xfId="0" applyNumberFormat="1" applyFont="1" applyFill="1" applyProtection="1">
      <protection locked="0"/>
    </xf>
    <xf numFmtId="182" fontId="0" fillId="0" borderId="0" xfId="0" applyNumberFormat="1" applyFill="1"/>
    <xf numFmtId="7" fontId="11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8" fillId="0" borderId="0" xfId="0" applyFont="1" applyFill="1"/>
    <xf numFmtId="7" fontId="8" fillId="0" borderId="0" xfId="0" applyNumberFormat="1" applyFont="1" applyFill="1" applyProtection="1">
      <protection locked="0"/>
    </xf>
    <xf numFmtId="168" fontId="8" fillId="0" borderId="0" xfId="0" applyNumberFormat="1" applyFont="1" applyFill="1" applyProtection="1"/>
    <xf numFmtId="186" fontId="10" fillId="0" borderId="0" xfId="0" applyNumberFormat="1" applyFont="1" applyFill="1" applyProtection="1">
      <protection locked="0"/>
    </xf>
    <xf numFmtId="168" fontId="8" fillId="0" borderId="0" xfId="1" applyNumberFormat="1" applyFont="1" applyFill="1" applyProtection="1"/>
    <xf numFmtId="37" fontId="8" fillId="0" borderId="12" xfId="0" applyNumberFormat="1" applyFont="1" applyFill="1" applyBorder="1" applyProtection="1"/>
    <xf numFmtId="0" fontId="0" fillId="0" borderId="0" xfId="0" applyFill="1" applyProtection="1"/>
    <xf numFmtId="5" fontId="8" fillId="0" borderId="34" xfId="0" applyNumberFormat="1" applyFont="1" applyFill="1" applyBorder="1" applyProtection="1"/>
    <xf numFmtId="37" fontId="0" fillId="0" borderId="48" xfId="0" applyNumberFormat="1" applyFont="1" applyFill="1" applyBorder="1" applyProtection="1"/>
    <xf numFmtId="5" fontId="8" fillId="0" borderId="48" xfId="0" applyNumberFormat="1" applyFont="1" applyFill="1" applyBorder="1" applyProtection="1"/>
    <xf numFmtId="187" fontId="8" fillId="0" borderId="0" xfId="0" applyNumberFormat="1" applyFont="1" applyFill="1" applyProtection="1"/>
    <xf numFmtId="166" fontId="15" fillId="0" borderId="0" xfId="14" applyNumberFormat="1" applyFont="1" applyFill="1"/>
    <xf numFmtId="202" fontId="0" fillId="0" borderId="0" xfId="0" applyNumberFormat="1" applyFill="1"/>
    <xf numFmtId="189" fontId="0" fillId="0" borderId="0" xfId="0" applyNumberFormat="1" applyFill="1"/>
    <xf numFmtId="37" fontId="8" fillId="0" borderId="34" xfId="0" applyNumberFormat="1" applyFont="1" applyFill="1" applyBorder="1" applyProtection="1"/>
    <xf numFmtId="167" fontId="15" fillId="0" borderId="48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33" fillId="0" borderId="0" xfId="0" applyNumberFormat="1" applyFont="1" applyFill="1" applyProtection="1">
      <protection locked="0"/>
    </xf>
    <xf numFmtId="0" fontId="33" fillId="0" borderId="0" xfId="0" applyFont="1" applyFill="1" applyProtection="1">
      <protection locked="0"/>
    </xf>
    <xf numFmtId="7" fontId="11" fillId="0" borderId="0" xfId="0" applyNumberFormat="1" applyFont="1" applyFill="1" applyProtection="1"/>
    <xf numFmtId="185" fontId="33" fillId="0" borderId="0" xfId="1" applyNumberFormat="1" applyFont="1" applyFill="1" applyProtection="1">
      <protection locked="0"/>
    </xf>
    <xf numFmtId="185" fontId="33" fillId="0" borderId="0" xfId="0" applyNumberFormat="1" applyFont="1" applyFill="1" applyProtection="1">
      <protection locked="0"/>
    </xf>
    <xf numFmtId="7" fontId="0" fillId="0" borderId="0" xfId="0" applyNumberFormat="1" applyFill="1"/>
    <xf numFmtId="191" fontId="33" fillId="0" borderId="0" xfId="0" applyNumberFormat="1" applyFont="1" applyFill="1" applyProtection="1">
      <protection locked="0"/>
    </xf>
    <xf numFmtId="0" fontId="9" fillId="0" borderId="0" xfId="0" applyFont="1" applyFill="1" applyProtection="1"/>
    <xf numFmtId="171" fontId="33" fillId="0" borderId="0" xfId="0" applyNumberFormat="1" applyFont="1" applyFill="1" applyProtection="1"/>
    <xf numFmtId="185" fontId="15" fillId="0" borderId="0" xfId="1" applyNumberFormat="1" applyFont="1" applyFill="1"/>
    <xf numFmtId="7" fontId="0" fillId="0" borderId="0" xfId="0" applyNumberFormat="1" applyFont="1" applyFill="1" applyProtection="1"/>
    <xf numFmtId="184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33" fillId="0" borderId="0" xfId="0" applyNumberFormat="1" applyFont="1" applyFill="1" applyProtection="1"/>
    <xf numFmtId="194" fontId="0" fillId="0" borderId="0" xfId="0" applyNumberFormat="1" applyFill="1"/>
    <xf numFmtId="39" fontId="33" fillId="0" borderId="0" xfId="0" applyNumberFormat="1" applyFont="1" applyFill="1" applyProtection="1">
      <protection locked="0"/>
    </xf>
    <xf numFmtId="37" fontId="0" fillId="0" borderId="12" xfId="0" applyNumberFormat="1" applyFont="1" applyFill="1" applyBorder="1" applyProtection="1"/>
    <xf numFmtId="5" fontId="0" fillId="0" borderId="34" xfId="0" applyNumberFormat="1" applyFont="1" applyFill="1" applyBorder="1" applyProtection="1"/>
    <xf numFmtId="171" fontId="0" fillId="0" borderId="48" xfId="0" applyNumberFormat="1" applyFont="1" applyFill="1" applyBorder="1" applyProtection="1"/>
    <xf numFmtId="10" fontId="51" fillId="0" borderId="48" xfId="0" applyNumberFormat="1" applyFont="1" applyFill="1" applyBorder="1" applyProtection="1"/>
    <xf numFmtId="5" fontId="0" fillId="0" borderId="48" xfId="0" applyNumberFormat="1" applyFont="1" applyFill="1" applyBorder="1" applyProtection="1"/>
    <xf numFmtId="0" fontId="8" fillId="0" borderId="48" xfId="0" applyFont="1" applyFill="1" applyBorder="1" applyProtection="1"/>
    <xf numFmtId="204" fontId="15" fillId="0" borderId="0" xfId="14" applyNumberFormat="1" applyFont="1" applyFill="1"/>
    <xf numFmtId="10" fontId="8" fillId="0" borderId="0" xfId="14" applyNumberFormat="1" applyFont="1" applyFill="1" applyProtection="1"/>
    <xf numFmtId="0" fontId="55" fillId="0" borderId="0" xfId="0" applyFont="1" applyFill="1" applyProtection="1"/>
    <xf numFmtId="37" fontId="0" fillId="0" borderId="34" xfId="0" applyNumberFormat="1" applyFont="1" applyFill="1" applyBorder="1" applyProtection="1"/>
    <xf numFmtId="37" fontId="0" fillId="0" borderId="0" xfId="0" applyNumberFormat="1" applyFont="1" applyFill="1" applyBorder="1" applyProtection="1"/>
    <xf numFmtId="171" fontId="0" fillId="0" borderId="0" xfId="0" applyNumberFormat="1" applyFont="1" applyFill="1" applyBorder="1" applyProtection="1"/>
    <xf numFmtId="10" fontId="51" fillId="0" borderId="0" xfId="0" applyNumberFormat="1" applyFont="1" applyFill="1" applyBorder="1" applyProtection="1"/>
    <xf numFmtId="7" fontId="14" fillId="0" borderId="0" xfId="0" applyNumberFormat="1" applyFont="1" applyFill="1" applyProtection="1"/>
    <xf numFmtId="37" fontId="33" fillId="0" borderId="0" xfId="0" applyNumberFormat="1" applyFont="1" applyFill="1" applyProtection="1"/>
    <xf numFmtId="7" fontId="10" fillId="0" borderId="0" xfId="0" applyNumberFormat="1" applyFont="1" applyFill="1" applyProtection="1">
      <protection locked="0"/>
    </xf>
    <xf numFmtId="7" fontId="51" fillId="0" borderId="0" xfId="0" applyNumberFormat="1" applyFont="1" applyFill="1" applyProtection="1"/>
    <xf numFmtId="185" fontId="10" fillId="0" borderId="0" xfId="1" applyNumberFormat="1" applyFont="1" applyFill="1" applyProtection="1">
      <protection locked="0"/>
    </xf>
    <xf numFmtId="179" fontId="0" fillId="0" borderId="0" xfId="0" applyNumberFormat="1" applyFont="1" applyFill="1" applyProtection="1"/>
    <xf numFmtId="174" fontId="11" fillId="0" borderId="0" xfId="0" applyNumberFormat="1" applyFont="1" applyFill="1" applyProtection="1"/>
    <xf numFmtId="0" fontId="16" fillId="0" borderId="0" xfId="0" applyFont="1" applyFill="1" applyProtection="1"/>
    <xf numFmtId="5" fontId="33" fillId="0" borderId="0" xfId="0" applyNumberFormat="1" applyFont="1" applyFill="1" applyProtection="1"/>
    <xf numFmtId="193" fontId="0" fillId="0" borderId="0" xfId="0" applyNumberFormat="1" applyFont="1" applyFill="1" applyProtection="1"/>
    <xf numFmtId="7" fontId="15" fillId="0" borderId="0" xfId="0" applyNumberFormat="1" applyFont="1" applyFill="1" applyProtection="1"/>
    <xf numFmtId="5" fontId="51" fillId="0" borderId="0" xfId="0" applyNumberFormat="1" applyFont="1" applyFill="1" applyProtection="1"/>
    <xf numFmtId="179" fontId="0" fillId="0" borderId="0" xfId="0" applyNumberFormat="1" applyFont="1" applyFill="1"/>
    <xf numFmtId="37" fontId="8" fillId="0" borderId="48" xfId="0" applyNumberFormat="1" applyFont="1" applyFill="1" applyBorder="1" applyProtection="1"/>
    <xf numFmtId="192" fontId="0" fillId="0" borderId="0" xfId="0" applyNumberFormat="1" applyFont="1" applyFill="1" applyProtection="1"/>
    <xf numFmtId="44" fontId="15" fillId="0" borderId="0" xfId="2" applyFont="1" applyFill="1"/>
    <xf numFmtId="7" fontId="15" fillId="0" borderId="0" xfId="0" applyNumberFormat="1" applyFont="1" applyFill="1" applyProtection="1">
      <protection locked="0"/>
    </xf>
    <xf numFmtId="184" fontId="33" fillId="0" borderId="0" xfId="0" applyNumberFormat="1" applyFont="1" applyFill="1" applyProtection="1">
      <protection locked="0"/>
    </xf>
    <xf numFmtId="176" fontId="0" fillId="0" borderId="0" xfId="0" applyNumberFormat="1" applyFill="1"/>
    <xf numFmtId="5" fontId="51" fillId="0" borderId="0" xfId="0" applyNumberFormat="1" applyFont="1" applyFill="1" applyProtection="1">
      <protection locked="0"/>
    </xf>
    <xf numFmtId="0" fontId="51" fillId="0" borderId="0" xfId="0" applyFont="1" applyFill="1" applyProtection="1">
      <protection locked="0"/>
    </xf>
    <xf numFmtId="186" fontId="8" fillId="0" borderId="0" xfId="0" applyNumberFormat="1" applyFont="1" applyFill="1" applyProtection="1">
      <protection locked="0"/>
    </xf>
    <xf numFmtId="191" fontId="8" fillId="0" borderId="0" xfId="0" applyNumberFormat="1" applyFont="1" applyFill="1" applyProtection="1">
      <protection locked="0"/>
    </xf>
    <xf numFmtId="4" fontId="0" fillId="0" borderId="0" xfId="0" applyNumberFormat="1" applyFill="1"/>
    <xf numFmtId="203" fontId="15" fillId="0" borderId="0" xfId="1" applyNumberFormat="1" applyFont="1" applyFill="1"/>
    <xf numFmtId="188" fontId="8" fillId="0" borderId="0" xfId="0" applyNumberFormat="1" applyFont="1" applyFill="1" applyProtection="1"/>
    <xf numFmtId="5" fontId="8" fillId="0" borderId="0" xfId="0" applyNumberFormat="1" applyFont="1" applyFill="1"/>
    <xf numFmtId="7" fontId="8" fillId="0" borderId="0" xfId="0" applyNumberFormat="1" applyFont="1" applyFill="1" applyProtection="1"/>
    <xf numFmtId="189" fontId="8" fillId="0" borderId="0" xfId="0" applyNumberFormat="1" applyFont="1" applyFill="1" applyProtection="1"/>
    <xf numFmtId="182" fontId="33" fillId="0" borderId="0" xfId="0" applyNumberFormat="1" applyFont="1" applyFill="1" applyProtection="1"/>
    <xf numFmtId="185" fontId="33" fillId="0" borderId="0" xfId="1" applyNumberFormat="1" applyFont="1" applyFill="1" applyProtection="1"/>
    <xf numFmtId="7" fontId="10" fillId="0" borderId="0" xfId="0" applyNumberFormat="1" applyFont="1" applyFill="1" applyProtection="1"/>
    <xf numFmtId="182" fontId="10" fillId="0" borderId="0" xfId="0" applyNumberFormat="1" applyFont="1" applyFill="1" applyProtection="1"/>
    <xf numFmtId="171" fontId="0" fillId="0" borderId="0" xfId="0" applyNumberFormat="1" applyFill="1" applyBorder="1" applyProtection="1"/>
    <xf numFmtId="186" fontId="10" fillId="0" borderId="0" xfId="0" applyNumberFormat="1" applyFont="1" applyFill="1" applyProtection="1"/>
    <xf numFmtId="174" fontId="10" fillId="0" borderId="0" xfId="0" applyNumberFormat="1" applyFont="1" applyFill="1" applyProtection="1"/>
    <xf numFmtId="171" fontId="10" fillId="0" borderId="0" xfId="0" applyNumberFormat="1" applyFont="1" applyFill="1" applyProtection="1"/>
    <xf numFmtId="184" fontId="10" fillId="0" borderId="0" xfId="0" applyNumberFormat="1" applyFont="1" applyFill="1" applyProtection="1"/>
    <xf numFmtId="189" fontId="0" fillId="0" borderId="0" xfId="0" applyNumberFormat="1" applyFont="1" applyFill="1" applyProtection="1"/>
    <xf numFmtId="182" fontId="0" fillId="0" borderId="0" xfId="0" applyNumberFormat="1" applyFont="1" applyFill="1"/>
    <xf numFmtId="37" fontId="8" fillId="0" borderId="47" xfId="0" applyNumberFormat="1" applyFont="1" applyFill="1" applyBorder="1" applyProtection="1"/>
    <xf numFmtId="171" fontId="0" fillId="0" borderId="0" xfId="0" applyNumberFormat="1" applyFill="1"/>
    <xf numFmtId="186" fontId="33" fillId="0" borderId="0" xfId="0" applyNumberFormat="1" applyFont="1" applyFill="1" applyProtection="1"/>
    <xf numFmtId="3" fontId="51" fillId="0" borderId="0" xfId="0" applyNumberFormat="1" applyFont="1" applyFill="1"/>
    <xf numFmtId="197" fontId="52" fillId="0" borderId="0" xfId="7" applyNumberFormat="1" applyFont="1" applyFill="1"/>
    <xf numFmtId="168" fontId="52" fillId="0" borderId="36" xfId="1" applyNumberFormat="1" applyFont="1" applyFill="1" applyBorder="1"/>
    <xf numFmtId="3" fontId="0" fillId="0" borderId="28" xfId="0" applyNumberFormat="1" applyFill="1" applyBorder="1"/>
    <xf numFmtId="44" fontId="52" fillId="0" borderId="28" xfId="7" applyNumberFormat="1" applyFont="1" applyFill="1" applyBorder="1"/>
    <xf numFmtId="7" fontId="52" fillId="0" borderId="38" xfId="7" applyNumberFormat="1" applyFont="1" applyFill="1" applyBorder="1" applyAlignment="1">
      <alignment horizontal="right"/>
    </xf>
    <xf numFmtId="168" fontId="52" fillId="0" borderId="5" xfId="1" applyNumberFormat="1" applyFont="1" applyFill="1" applyBorder="1"/>
    <xf numFmtId="44" fontId="52" fillId="0" borderId="0" xfId="7" applyNumberFormat="1" applyFont="1" applyFill="1" applyBorder="1"/>
    <xf numFmtId="7" fontId="52" fillId="0" borderId="4" xfId="7" applyNumberFormat="1" applyFont="1" applyFill="1" applyBorder="1" applyAlignment="1">
      <alignment horizontal="right"/>
    </xf>
    <xf numFmtId="5" fontId="15" fillId="0" borderId="0" xfId="2" applyNumberFormat="1" applyFont="1" applyFill="1" applyBorder="1"/>
    <xf numFmtId="7" fontId="52" fillId="0" borderId="4" xfId="7" applyNumberFormat="1" applyFont="1" applyFill="1" applyBorder="1"/>
    <xf numFmtId="7" fontId="52" fillId="0" borderId="19" xfId="7" applyNumberFormat="1" applyFont="1" applyFill="1" applyBorder="1"/>
    <xf numFmtId="44" fontId="52" fillId="0" borderId="12" xfId="7" applyNumberFormat="1" applyFont="1" applyFill="1" applyBorder="1"/>
    <xf numFmtId="0" fontId="0" fillId="0" borderId="13" xfId="0" applyFill="1" applyBorder="1"/>
    <xf numFmtId="5" fontId="52" fillId="0" borderId="0" xfId="7" applyNumberFormat="1" applyFont="1" applyFill="1" applyBorder="1" applyAlignment="1">
      <alignment horizontal="right"/>
    </xf>
    <xf numFmtId="5" fontId="52" fillId="0" borderId="0" xfId="7" applyNumberFormat="1" applyFont="1" applyFill="1" applyBorder="1"/>
    <xf numFmtId="5" fontId="10" fillId="0" borderId="0" xfId="0" applyNumberFormat="1" applyFont="1" applyFill="1" applyProtection="1"/>
    <xf numFmtId="0" fontId="33" fillId="0" borderId="0" xfId="0" applyFont="1" applyFill="1" applyProtection="1"/>
    <xf numFmtId="5" fontId="8" fillId="0" borderId="0" xfId="0" applyNumberFormat="1" applyFont="1" applyFill="1" applyAlignment="1" applyProtection="1">
      <alignment horizontal="right"/>
    </xf>
    <xf numFmtId="190" fontId="8" fillId="0" borderId="0" xfId="0" applyNumberFormat="1" applyFont="1" applyFill="1" applyProtection="1"/>
    <xf numFmtId="5" fontId="0" fillId="0" borderId="0" xfId="0" applyNumberFormat="1" applyFill="1" applyBorder="1"/>
    <xf numFmtId="186" fontId="8" fillId="0" borderId="47" xfId="0" applyNumberFormat="1" applyFont="1" applyFill="1" applyBorder="1" applyProtection="1"/>
    <xf numFmtId="0" fontId="8" fillId="0" borderId="47" xfId="0" applyFont="1" applyFill="1" applyBorder="1" applyProtection="1"/>
    <xf numFmtId="186" fontId="8" fillId="0" borderId="0" xfId="0" applyNumberFormat="1" applyFont="1" applyFill="1" applyProtection="1"/>
    <xf numFmtId="200" fontId="15" fillId="0" borderId="0" xfId="14" applyNumberFormat="1" applyFont="1" applyFill="1" applyBorder="1"/>
    <xf numFmtId="0" fontId="14" fillId="0" borderId="0" xfId="0" applyFont="1" applyFill="1" applyProtection="1"/>
    <xf numFmtId="186" fontId="8" fillId="0" borderId="0" xfId="0" applyNumberFormat="1" applyFont="1" applyFill="1" applyBorder="1" applyProtection="1"/>
    <xf numFmtId="204" fontId="15" fillId="0" borderId="0" xfId="14" applyNumberFormat="1" applyFont="1" applyFill="1" applyBorder="1"/>
    <xf numFmtId="182" fontId="14" fillId="0" borderId="0" xfId="0" applyNumberFormat="1" applyFont="1" applyFill="1" applyProtection="1"/>
    <xf numFmtId="9" fontId="15" fillId="0" borderId="0" xfId="14" applyFont="1" applyFill="1" applyBorder="1"/>
    <xf numFmtId="0" fontId="11" fillId="0" borderId="0" xfId="0" applyFont="1" applyFill="1" applyProtection="1"/>
    <xf numFmtId="0" fontId="0" fillId="0" borderId="34" xfId="0" applyFill="1" applyBorder="1" applyProtection="1"/>
    <xf numFmtId="5" fontId="8" fillId="0" borderId="34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9" fillId="0" borderId="0" xfId="0" applyFont="1" applyFill="1"/>
    <xf numFmtId="43" fontId="52" fillId="0" borderId="0" xfId="1" applyNumberFormat="1" applyFont="1" applyFill="1" applyBorder="1"/>
    <xf numFmtId="0" fontId="35" fillId="0" borderId="0" xfId="0" applyFont="1" applyFill="1" applyBorder="1"/>
    <xf numFmtId="0" fontId="11" fillId="0" borderId="0" xfId="0" applyFont="1" applyFill="1"/>
    <xf numFmtId="3" fontId="0" fillId="0" borderId="5" xfId="0" applyNumberFormat="1" applyFill="1" applyBorder="1"/>
    <xf numFmtId="43" fontId="0" fillId="0" borderId="0" xfId="0" applyNumberFormat="1" applyFill="1" applyBorder="1"/>
    <xf numFmtId="7" fontId="33" fillId="0" borderId="4" xfId="0" applyNumberFormat="1" applyFont="1" applyFill="1" applyBorder="1"/>
    <xf numFmtId="10" fontId="15" fillId="0" borderId="0" xfId="14" applyNumberFormat="1" applyFont="1" applyFill="1" applyBorder="1"/>
    <xf numFmtId="5" fontId="33" fillId="0" borderId="4" xfId="0" applyNumberFormat="1" applyFont="1" applyFill="1" applyBorder="1"/>
    <xf numFmtId="7" fontId="15" fillId="0" borderId="0" xfId="2" applyNumberFormat="1" applyFont="1" applyFill="1"/>
    <xf numFmtId="44" fontId="15" fillId="0" borderId="0" xfId="2" applyFont="1" applyFill="1" applyBorder="1"/>
    <xf numFmtId="168" fontId="52" fillId="0" borderId="19" xfId="1" applyNumberFormat="1" applyFont="1" applyFill="1" applyBorder="1"/>
    <xf numFmtId="206" fontId="15" fillId="0" borderId="12" xfId="2" applyNumberFormat="1" applyFont="1" applyFill="1" applyBorder="1"/>
    <xf numFmtId="7" fontId="52" fillId="0" borderId="13" xfId="7" applyNumberFormat="1" applyFont="1" applyFill="1" applyBorder="1"/>
    <xf numFmtId="10" fontId="54" fillId="0" borderId="0" xfId="7" applyNumberFormat="1" applyFont="1" applyFill="1" applyBorder="1"/>
    <xf numFmtId="37" fontId="15" fillId="0" borderId="0" xfId="0" applyNumberFormat="1" applyFont="1" applyFill="1" applyProtection="1"/>
    <xf numFmtId="7" fontId="55" fillId="0" borderId="0" xfId="0" applyNumberFormat="1" applyFont="1" applyFill="1" applyProtection="1"/>
    <xf numFmtId="0" fontId="10" fillId="0" borderId="0" xfId="0" applyFont="1" applyFill="1" applyBorder="1" applyProtection="1"/>
    <xf numFmtId="187" fontId="10" fillId="0" borderId="0" xfId="0" applyNumberFormat="1" applyFont="1" applyFill="1" applyProtection="1"/>
    <xf numFmtId="37" fontId="10" fillId="0" borderId="49" xfId="0" applyNumberFormat="1" applyFont="1" applyFill="1" applyBorder="1" applyProtection="1"/>
    <xf numFmtId="5" fontId="11" fillId="0" borderId="49" xfId="0" applyNumberFormat="1" applyFont="1" applyFill="1" applyBorder="1" applyProtection="1"/>
    <xf numFmtId="5" fontId="10" fillId="0" borderId="49" xfId="0" applyNumberFormat="1" applyFont="1" applyFill="1" applyBorder="1" applyProtection="1"/>
    <xf numFmtId="168" fontId="14" fillId="0" borderId="0" xfId="1" applyNumberFormat="1" applyFont="1" applyFill="1" applyBorder="1"/>
    <xf numFmtId="37" fontId="8" fillId="0" borderId="28" xfId="0" applyNumberFormat="1" applyFont="1" applyFill="1" applyBorder="1" applyProtection="1"/>
    <xf numFmtId="7" fontId="33" fillId="0" borderId="28" xfId="0" applyNumberFormat="1" applyFont="1" applyFill="1" applyBorder="1" applyProtection="1"/>
    <xf numFmtId="5" fontId="8" fillId="0" borderId="28" xfId="0" applyNumberFormat="1" applyFont="1" applyFill="1" applyBorder="1" applyProtection="1"/>
    <xf numFmtId="7" fontId="14" fillId="0" borderId="28" xfId="0" applyNumberFormat="1" applyFont="1" applyFill="1" applyBorder="1" applyProtection="1"/>
    <xf numFmtId="0" fontId="8" fillId="0" borderId="28" xfId="0" applyFont="1" applyFill="1" applyBorder="1" applyProtection="1"/>
    <xf numFmtId="5" fontId="14" fillId="0" borderId="0" xfId="0" applyNumberFormat="1" applyFont="1" applyFill="1" applyBorder="1"/>
    <xf numFmtId="0" fontId="9" fillId="0" borderId="0" xfId="0" applyFont="1" applyFill="1" applyBorder="1" applyProtection="1"/>
    <xf numFmtId="187" fontId="9" fillId="0" borderId="0" xfId="0" applyNumberFormat="1" applyFont="1" applyFill="1" applyProtection="1"/>
    <xf numFmtId="37" fontId="9" fillId="0" borderId="49" xfId="0" applyNumberFormat="1" applyFont="1" applyFill="1" applyBorder="1" applyProtection="1"/>
    <xf numFmtId="168" fontId="56" fillId="0" borderId="49" xfId="1" applyNumberFormat="1" applyFont="1" applyFill="1" applyBorder="1" applyProtection="1"/>
    <xf numFmtId="5" fontId="9" fillId="0" borderId="49" xfId="0" applyNumberFormat="1" applyFont="1" applyFill="1" applyBorder="1" applyProtection="1"/>
    <xf numFmtId="167" fontId="9" fillId="0" borderId="49" xfId="2" applyNumberFormat="1" applyFont="1" applyFill="1" applyBorder="1" applyProtection="1"/>
    <xf numFmtId="7" fontId="56" fillId="0" borderId="49" xfId="0" applyNumberFormat="1" applyFont="1" applyFill="1" applyBorder="1" applyProtection="1"/>
    <xf numFmtId="167" fontId="33" fillId="0" borderId="0" xfId="0" applyNumberFormat="1" applyFont="1" applyFill="1" applyProtection="1"/>
    <xf numFmtId="37" fontId="10" fillId="0" borderId="0" xfId="0" applyNumberFormat="1" applyFont="1" applyFill="1" applyBorder="1" applyProtection="1"/>
    <xf numFmtId="198" fontId="15" fillId="0" borderId="0" xfId="2" applyNumberFormat="1" applyFont="1" applyFill="1"/>
    <xf numFmtId="0" fontId="57" fillId="0" borderId="0" xfId="0" applyFont="1" applyFill="1" applyProtection="1"/>
    <xf numFmtId="10" fontId="52" fillId="0" borderId="0" xfId="14" applyNumberFormat="1" applyFont="1" applyFill="1" applyBorder="1"/>
    <xf numFmtId="0" fontId="0" fillId="0" borderId="0" xfId="0" applyFill="1" applyBorder="1" applyAlignment="1">
      <alignment horizontal="right"/>
    </xf>
    <xf numFmtId="168" fontId="15" fillId="0" borderId="48" xfId="1" applyNumberFormat="1" applyFont="1" applyFill="1" applyBorder="1" applyProtection="1"/>
    <xf numFmtId="168" fontId="15" fillId="0" borderId="0" xfId="1" applyNumberFormat="1" applyFont="1" applyFill="1" applyBorder="1"/>
    <xf numFmtId="174" fontId="14" fillId="0" borderId="0" xfId="0" applyNumberFormat="1" applyFont="1" applyFill="1" applyProtection="1"/>
    <xf numFmtId="43" fontId="33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8" fontId="8" fillId="0" borderId="0" xfId="1" applyNumberFormat="1" applyFont="1" applyFill="1" applyBorder="1" applyProtection="1"/>
    <xf numFmtId="43" fontId="33" fillId="0" borderId="0" xfId="1" applyNumberFormat="1" applyFont="1" applyFill="1" applyProtection="1"/>
    <xf numFmtId="5" fontId="9" fillId="0" borderId="28" xfId="0" applyNumberFormat="1" applyFont="1" applyFill="1" applyBorder="1" applyProtection="1"/>
    <xf numFmtId="0" fontId="58" fillId="0" borderId="0" xfId="11" applyFont="1" applyFill="1"/>
    <xf numFmtId="0" fontId="30" fillId="0" borderId="0" xfId="11" applyFont="1" applyFill="1"/>
    <xf numFmtId="0" fontId="30" fillId="0" borderId="0" xfId="11" applyFont="1" applyFill="1" applyAlignment="1">
      <alignment horizontal="centerContinuous"/>
    </xf>
    <xf numFmtId="0" fontId="59" fillId="0" borderId="0" xfId="11" applyFont="1" applyFill="1" applyBorder="1" applyAlignment="1">
      <alignment horizontal="centerContinuous"/>
    </xf>
    <xf numFmtId="0" fontId="59" fillId="0" borderId="0" xfId="11" applyFont="1" applyFill="1" applyAlignment="1">
      <alignment horizontal="centerContinuous"/>
    </xf>
    <xf numFmtId="0" fontId="58" fillId="0" borderId="0" xfId="11" applyFont="1" applyFill="1" applyAlignment="1">
      <alignment horizontal="centerContinuous"/>
    </xf>
    <xf numFmtId="0" fontId="58" fillId="0" borderId="12" xfId="11" applyFont="1" applyFill="1" applyBorder="1" applyAlignment="1">
      <alignment horizontal="centerContinuous"/>
    </xf>
    <xf numFmtId="0" fontId="29" fillId="0" borderId="0" xfId="11" applyFill="1"/>
    <xf numFmtId="0" fontId="58" fillId="0" borderId="0" xfId="11" applyFont="1" applyFill="1" applyBorder="1" applyAlignment="1">
      <alignment horizontal="center"/>
    </xf>
    <xf numFmtId="0" fontId="58" fillId="0" borderId="0" xfId="11" applyFont="1" applyFill="1" applyBorder="1" applyAlignment="1">
      <alignment horizontal="centerContinuous"/>
    </xf>
    <xf numFmtId="0" fontId="60" fillId="0" borderId="50" xfId="11" applyFont="1" applyFill="1" applyBorder="1"/>
    <xf numFmtId="0" fontId="60" fillId="0" borderId="51" xfId="11" applyFont="1" applyFill="1" applyBorder="1"/>
    <xf numFmtId="0" fontId="58" fillId="0" borderId="12" xfId="11" applyFont="1" applyFill="1" applyBorder="1" applyAlignment="1">
      <alignment horizontal="center"/>
    </xf>
    <xf numFmtId="0" fontId="58" fillId="0" borderId="34" xfId="11" applyFont="1" applyFill="1" applyBorder="1" applyAlignment="1">
      <alignment horizontal="centerContinuous"/>
    </xf>
    <xf numFmtId="0" fontId="31" fillId="0" borderId="0" xfId="11" applyFont="1" applyFill="1"/>
    <xf numFmtId="0" fontId="58" fillId="0" borderId="12" xfId="11" applyFont="1" applyFill="1" applyBorder="1"/>
    <xf numFmtId="0" fontId="60" fillId="0" borderId="52" xfId="11" applyFont="1" applyFill="1" applyBorder="1"/>
    <xf numFmtId="7" fontId="61" fillId="0" borderId="53" xfId="11" applyNumberFormat="1" applyFont="1" applyFill="1" applyBorder="1"/>
    <xf numFmtId="0" fontId="62" fillId="0" borderId="0" xfId="11" applyFont="1" applyFill="1"/>
    <xf numFmtId="182" fontId="61" fillId="0" borderId="53" xfId="11" applyNumberFormat="1" applyFont="1" applyFill="1" applyBorder="1"/>
    <xf numFmtId="185" fontId="61" fillId="0" borderId="53" xfId="1" applyNumberFormat="1" applyFont="1" applyFill="1" applyBorder="1" applyAlignment="1">
      <alignment horizontal="right"/>
    </xf>
    <xf numFmtId="43" fontId="58" fillId="0" borderId="0" xfId="11" applyNumberFormat="1" applyFont="1" applyFill="1"/>
    <xf numFmtId="37" fontId="58" fillId="0" borderId="0" xfId="11" applyNumberFormat="1" applyFont="1" applyFill="1" applyProtection="1"/>
    <xf numFmtId="7" fontId="29" fillId="0" borderId="0" xfId="11" applyNumberFormat="1" applyFill="1"/>
    <xf numFmtId="7" fontId="58" fillId="0" borderId="0" xfId="11" applyNumberFormat="1" applyFont="1" applyFill="1"/>
    <xf numFmtId="10" fontId="58" fillId="0" borderId="0" xfId="11" applyNumberFormat="1" applyFont="1" applyFill="1" applyProtection="1"/>
    <xf numFmtId="0" fontId="60" fillId="0" borderId="54" xfId="11" applyFont="1" applyFill="1" applyBorder="1"/>
    <xf numFmtId="182" fontId="61" fillId="0" borderId="55" xfId="11" applyNumberFormat="1" applyFont="1" applyFill="1" applyBorder="1"/>
    <xf numFmtId="0" fontId="60" fillId="0" borderId="0" xfId="11" applyFont="1" applyFill="1"/>
    <xf numFmtId="182" fontId="60" fillId="0" borderId="0" xfId="11" applyNumberFormat="1" applyFont="1" applyFill="1"/>
    <xf numFmtId="0" fontId="58" fillId="0" borderId="0" xfId="11" applyFont="1" applyFill="1" applyBorder="1"/>
    <xf numFmtId="7" fontId="58" fillId="0" borderId="0" xfId="11" applyNumberFormat="1" applyFont="1" applyFill="1" applyProtection="1"/>
    <xf numFmtId="171" fontId="60" fillId="0" borderId="0" xfId="11" applyNumberFormat="1" applyFont="1" applyFill="1"/>
    <xf numFmtId="191" fontId="58" fillId="0" borderId="0" xfId="11" applyNumberFormat="1" applyFont="1" applyFill="1" applyProtection="1"/>
    <xf numFmtId="37" fontId="58" fillId="0" borderId="12" xfId="11" applyNumberFormat="1" applyFont="1" applyFill="1" applyBorder="1" applyProtection="1"/>
    <xf numFmtId="7" fontId="58" fillId="0" borderId="12" xfId="11" applyNumberFormat="1" applyFont="1" applyFill="1" applyBorder="1" applyProtection="1"/>
    <xf numFmtId="191" fontId="58" fillId="0" borderId="12" xfId="11" applyNumberFormat="1" applyFont="1" applyFill="1" applyBorder="1" applyProtection="1"/>
    <xf numFmtId="0" fontId="19" fillId="0" borderId="0" xfId="11" applyFont="1" applyFill="1"/>
    <xf numFmtId="0" fontId="19" fillId="0" borderId="0" xfId="11" quotePrefix="1" applyFont="1" applyFill="1" applyBorder="1" applyAlignment="1">
      <alignment horizontal="left"/>
    </xf>
    <xf numFmtId="5" fontId="58" fillId="0" borderId="0" xfId="11" applyNumberFormat="1" applyFont="1" applyFill="1"/>
    <xf numFmtId="0" fontId="58" fillId="0" borderId="0" xfId="11" applyFont="1" applyFill="1" applyAlignment="1" applyProtection="1">
      <alignment horizontal="left"/>
    </xf>
    <xf numFmtId="44" fontId="58" fillId="0" borderId="0" xfId="2" applyFont="1" applyFill="1"/>
    <xf numFmtId="0" fontId="58" fillId="0" borderId="0" xfId="11" applyFont="1" applyFill="1" applyProtection="1"/>
    <xf numFmtId="0" fontId="30" fillId="0" borderId="0" xfId="11" applyFont="1" applyFill="1" applyAlignment="1" applyProtection="1">
      <alignment horizontal="centerContinuous"/>
    </xf>
    <xf numFmtId="0" fontId="59" fillId="0" borderId="0" xfId="11" applyFont="1" applyFill="1" applyBorder="1" applyAlignment="1" applyProtection="1">
      <alignment horizontal="center"/>
    </xf>
    <xf numFmtId="0" fontId="21" fillId="0" borderId="0" xfId="11" applyFont="1" applyFill="1" applyAlignment="1" applyProtection="1">
      <alignment horizontal="centerContinuous"/>
    </xf>
    <xf numFmtId="0" fontId="21" fillId="0" borderId="0" xfId="11" applyFont="1" applyFill="1" applyAlignment="1">
      <alignment horizontal="centerContinuous"/>
    </xf>
    <xf numFmtId="0" fontId="63" fillId="0" borderId="0" xfId="11" applyFont="1" applyFill="1" applyAlignment="1" applyProtection="1">
      <alignment horizontal="centerContinuous"/>
    </xf>
    <xf numFmtId="0" fontId="58" fillId="0" borderId="0" xfId="11" applyFont="1" applyFill="1" applyAlignment="1" applyProtection="1">
      <alignment horizontal="centerContinuous"/>
    </xf>
    <xf numFmtId="0" fontId="58" fillId="0" borderId="0" xfId="11" applyFont="1" applyFill="1" applyAlignment="1" applyProtection="1"/>
    <xf numFmtId="0" fontId="14" fillId="0" borderId="0" xfId="11" applyFont="1" applyFill="1" applyAlignment="1" applyProtection="1">
      <alignment horizontal="center"/>
    </xf>
    <xf numFmtId="0" fontId="14" fillId="0" borderId="0" xfId="11" applyFont="1" applyFill="1" applyProtection="1"/>
    <xf numFmtId="0" fontId="14" fillId="0" borderId="34" xfId="11" applyFont="1" applyFill="1" applyBorder="1" applyAlignment="1" applyProtection="1">
      <alignment horizontal="centerContinuous"/>
    </xf>
    <xf numFmtId="0" fontId="14" fillId="0" borderId="0" xfId="11" applyFont="1" applyFill="1" applyAlignment="1" applyProtection="1">
      <alignment horizontal="centerContinuous"/>
    </xf>
    <xf numFmtId="0" fontId="14" fillId="0" borderId="0" xfId="11" applyFont="1" applyFill="1"/>
    <xf numFmtId="0" fontId="14" fillId="0" borderId="0" xfId="11" applyFont="1" applyFill="1" applyBorder="1" applyAlignment="1" applyProtection="1">
      <alignment horizontal="center"/>
    </xf>
    <xf numFmtId="0" fontId="14" fillId="0" borderId="12" xfId="11" applyFont="1" applyFill="1" applyBorder="1" applyAlignment="1" applyProtection="1">
      <alignment horizontal="centerContinuous"/>
    </xf>
    <xf numFmtId="0" fontId="14" fillId="0" borderId="0" xfId="11" applyFont="1" applyFill="1" applyAlignment="1" applyProtection="1"/>
    <xf numFmtId="0" fontId="14" fillId="0" borderId="12" xfId="11" applyFont="1" applyFill="1" applyBorder="1" applyAlignment="1" applyProtection="1">
      <alignment horizontal="center"/>
    </xf>
    <xf numFmtId="0" fontId="12" fillId="0" borderId="0" xfId="11" applyFont="1" applyFill="1" applyProtection="1"/>
    <xf numFmtId="0" fontId="12" fillId="0" borderId="0" xfId="11" applyFont="1" applyFill="1" applyAlignment="1" applyProtection="1">
      <alignment horizontal="center"/>
    </xf>
    <xf numFmtId="0" fontId="14" fillId="0" borderId="34" xfId="11" applyFont="1" applyFill="1" applyBorder="1" applyAlignment="1" applyProtection="1">
      <alignment horizontal="center"/>
    </xf>
    <xf numFmtId="0" fontId="14" fillId="0" borderId="0" xfId="11" applyFont="1" applyFill="1" applyBorder="1" applyProtection="1"/>
    <xf numFmtId="0" fontId="58" fillId="0" borderId="50" xfId="11" applyFont="1" applyFill="1" applyBorder="1"/>
    <xf numFmtId="0" fontId="58" fillId="0" borderId="56" xfId="11" applyFont="1" applyFill="1" applyBorder="1"/>
    <xf numFmtId="0" fontId="58" fillId="0" borderId="51" xfId="11" applyFont="1" applyFill="1" applyBorder="1"/>
    <xf numFmtId="0" fontId="58" fillId="0" borderId="52" xfId="11" applyFont="1" applyFill="1" applyBorder="1"/>
    <xf numFmtId="0" fontId="58" fillId="0" borderId="53" xfId="11" applyFont="1" applyFill="1" applyBorder="1"/>
    <xf numFmtId="37" fontId="14" fillId="0" borderId="0" xfId="11" applyNumberFormat="1" applyFont="1" applyFill="1" applyProtection="1"/>
    <xf numFmtId="171" fontId="14" fillId="0" borderId="0" xfId="14" applyNumberFormat="1" applyFont="1" applyFill="1" applyProtection="1"/>
    <xf numFmtId="5" fontId="14" fillId="0" borderId="0" xfId="11" applyNumberFormat="1" applyFont="1" applyFill="1" applyProtection="1"/>
    <xf numFmtId="10" fontId="14" fillId="0" borderId="0" xfId="11" applyNumberFormat="1" applyFont="1" applyFill="1" applyProtection="1"/>
    <xf numFmtId="7" fontId="61" fillId="0" borderId="0" xfId="11" applyNumberFormat="1" applyFont="1" applyFill="1" applyBorder="1"/>
    <xf numFmtId="0" fontId="61" fillId="0" borderId="0" xfId="11" applyFont="1" applyFill="1" applyBorder="1"/>
    <xf numFmtId="7" fontId="58" fillId="0" borderId="0" xfId="2" applyNumberFormat="1" applyFont="1" applyFill="1"/>
    <xf numFmtId="7" fontId="60" fillId="0" borderId="0" xfId="11" applyNumberFormat="1" applyFont="1" applyFill="1" applyBorder="1"/>
    <xf numFmtId="0" fontId="58" fillId="0" borderId="52" xfId="11" applyFont="1" applyFill="1" applyBorder="1" applyAlignment="1">
      <alignment horizontal="right"/>
    </xf>
    <xf numFmtId="168" fontId="60" fillId="0" borderId="0" xfId="1" applyNumberFormat="1" applyFont="1" applyFill="1" applyBorder="1" applyAlignment="1">
      <alignment horizontal="right"/>
    </xf>
    <xf numFmtId="0" fontId="61" fillId="0" borderId="53" xfId="11" applyFont="1" applyFill="1" applyBorder="1"/>
    <xf numFmtId="0" fontId="58" fillId="0" borderId="0" xfId="11" applyFont="1" applyFill="1" applyBorder="1" applyAlignment="1">
      <alignment horizontal="right"/>
    </xf>
    <xf numFmtId="5" fontId="14" fillId="0" borderId="0" xfId="11" applyNumberFormat="1" applyFont="1" applyFill="1"/>
    <xf numFmtId="185" fontId="61" fillId="0" borderId="0" xfId="1" applyNumberFormat="1" applyFont="1" applyFill="1" applyBorder="1"/>
    <xf numFmtId="185" fontId="61" fillId="0" borderId="53" xfId="1" applyNumberFormat="1" applyFont="1" applyFill="1" applyBorder="1"/>
    <xf numFmtId="0" fontId="60" fillId="0" borderId="57" xfId="11" applyFont="1" applyFill="1" applyBorder="1"/>
    <xf numFmtId="0" fontId="60" fillId="0" borderId="55" xfId="11" applyFont="1" applyFill="1" applyBorder="1"/>
    <xf numFmtId="182" fontId="58" fillId="0" borderId="0" xfId="11" applyNumberFormat="1" applyFont="1" applyFill="1"/>
    <xf numFmtId="180" fontId="14" fillId="0" borderId="0" xfId="1" applyNumberFormat="1" applyFont="1" applyFill="1" applyProtection="1"/>
    <xf numFmtId="185" fontId="14" fillId="0" borderId="0" xfId="1" applyNumberFormat="1" applyFont="1" applyFill="1" applyProtection="1"/>
    <xf numFmtId="0" fontId="14" fillId="0" borderId="0" xfId="11" applyFont="1" applyFill="1" applyBorder="1"/>
    <xf numFmtId="171" fontId="14" fillId="0" borderId="0" xfId="14" applyNumberFormat="1" applyFont="1" applyFill="1" applyBorder="1" applyProtection="1"/>
    <xf numFmtId="0" fontId="19" fillId="0" borderId="0" xfId="11" quotePrefix="1" applyFont="1" applyFill="1"/>
    <xf numFmtId="0" fontId="59" fillId="0" borderId="0" xfId="11" applyFont="1" applyFill="1" applyBorder="1" applyAlignment="1" applyProtection="1">
      <alignment horizontal="centerContinuous"/>
    </xf>
    <xf numFmtId="0" fontId="14" fillId="0" borderId="0" xfId="11" applyFont="1" applyFill="1" applyAlignment="1">
      <alignment horizontal="center"/>
    </xf>
    <xf numFmtId="0" fontId="58" fillId="0" borderId="57" xfId="11" applyFont="1" applyFill="1" applyBorder="1"/>
    <xf numFmtId="0" fontId="14" fillId="0" borderId="0" xfId="11" applyFont="1" applyFill="1" applyAlignment="1" applyProtection="1">
      <alignment horizontal="left"/>
    </xf>
    <xf numFmtId="0" fontId="58" fillId="0" borderId="58" xfId="11" applyFont="1" applyFill="1" applyBorder="1" applyAlignment="1">
      <alignment horizontal="left"/>
    </xf>
    <xf numFmtId="0" fontId="58" fillId="0" borderId="56" xfId="11" applyFont="1" applyFill="1" applyBorder="1" applyAlignment="1">
      <alignment horizontal="centerContinuous"/>
    </xf>
    <xf numFmtId="0" fontId="58" fillId="0" borderId="51" xfId="11" applyFont="1" applyFill="1" applyBorder="1" applyAlignment="1">
      <alignment horizontal="centerContinuous"/>
    </xf>
    <xf numFmtId="0" fontId="58" fillId="0" borderId="53" xfId="11" applyFont="1" applyFill="1" applyBorder="1" applyAlignment="1">
      <alignment horizontal="center"/>
    </xf>
    <xf numFmtId="5" fontId="61" fillId="0" borderId="0" xfId="11" applyNumberFormat="1" applyFont="1" applyFill="1" applyBorder="1"/>
    <xf numFmtId="182" fontId="61" fillId="0" borderId="0" xfId="11" applyNumberFormat="1" applyFont="1" applyFill="1" applyBorder="1"/>
    <xf numFmtId="182" fontId="58" fillId="0" borderId="53" xfId="11" applyNumberFormat="1" applyFont="1" applyFill="1" applyBorder="1"/>
    <xf numFmtId="0" fontId="58" fillId="0" borderId="54" xfId="11" applyFont="1" applyFill="1" applyBorder="1"/>
    <xf numFmtId="185" fontId="60" fillId="0" borderId="57" xfId="1" applyNumberFormat="1" applyFont="1" applyFill="1" applyBorder="1"/>
    <xf numFmtId="0" fontId="58" fillId="0" borderId="55" xfId="11" applyFont="1" applyFill="1" applyBorder="1"/>
    <xf numFmtId="0" fontId="14" fillId="0" borderId="12" xfId="11" applyFont="1" applyFill="1" applyBorder="1" applyProtection="1"/>
    <xf numFmtId="0" fontId="14" fillId="0" borderId="12" xfId="11" applyFont="1" applyFill="1" applyBorder="1"/>
    <xf numFmtId="0" fontId="63" fillId="0" borderId="0" xfId="11" applyFont="1" applyFill="1" applyBorder="1" applyAlignment="1">
      <alignment horizontal="centerContinuous"/>
    </xf>
    <xf numFmtId="0" fontId="58" fillId="0" borderId="0" xfId="11" applyFont="1" applyFill="1" applyAlignment="1" applyProtection="1">
      <alignment horizontal="center"/>
    </xf>
    <xf numFmtId="0" fontId="58" fillId="0" borderId="0" xfId="11" applyFont="1" applyFill="1" applyAlignment="1">
      <alignment horizontal="center"/>
    </xf>
    <xf numFmtId="0" fontId="58" fillId="0" borderId="50" xfId="11" applyFont="1" applyFill="1" applyBorder="1" applyAlignment="1">
      <alignment horizontal="center"/>
    </xf>
    <xf numFmtId="0" fontId="58" fillId="0" borderId="0" xfId="11" applyFont="1" applyFill="1" applyBorder="1" applyAlignment="1" applyProtection="1">
      <alignment horizontal="center"/>
    </xf>
    <xf numFmtId="0" fontId="58" fillId="0" borderId="12" xfId="11" applyFont="1" applyFill="1" applyBorder="1" applyAlignment="1" applyProtection="1">
      <alignment horizontal="center"/>
    </xf>
    <xf numFmtId="0" fontId="62" fillId="0" borderId="0" xfId="11" applyFont="1" applyFill="1" applyAlignment="1">
      <alignment horizontal="center"/>
    </xf>
    <xf numFmtId="0" fontId="60" fillId="0" borderId="53" xfId="11" applyFont="1" applyFill="1" applyBorder="1"/>
    <xf numFmtId="0" fontId="60" fillId="0" borderId="0" xfId="11" applyFont="1" applyFill="1" applyBorder="1"/>
    <xf numFmtId="0" fontId="58" fillId="0" borderId="36" xfId="11" applyFont="1" applyFill="1" applyBorder="1"/>
    <xf numFmtId="0" fontId="58" fillId="0" borderId="28" xfId="11" applyFont="1" applyFill="1" applyBorder="1"/>
    <xf numFmtId="0" fontId="58" fillId="0" borderId="38" xfId="11" applyFont="1" applyFill="1" applyBorder="1"/>
    <xf numFmtId="0" fontId="62" fillId="0" borderId="0" xfId="11" applyFont="1" applyFill="1" applyBorder="1"/>
    <xf numFmtId="0" fontId="58" fillId="0" borderId="5" xfId="11" applyFont="1" applyFill="1" applyBorder="1"/>
    <xf numFmtId="7" fontId="61" fillId="0" borderId="4" xfId="11" applyNumberFormat="1" applyFont="1" applyFill="1" applyBorder="1"/>
    <xf numFmtId="5" fontId="58" fillId="0" borderId="0" xfId="11" applyNumberFormat="1" applyFont="1" applyFill="1" applyProtection="1"/>
    <xf numFmtId="5" fontId="61" fillId="0" borderId="4" xfId="11" applyNumberFormat="1" applyFont="1" applyFill="1" applyBorder="1"/>
    <xf numFmtId="0" fontId="58" fillId="0" borderId="19" xfId="11" applyFont="1" applyFill="1" applyBorder="1"/>
    <xf numFmtId="5" fontId="61" fillId="0" borderId="12" xfId="11" applyNumberFormat="1" applyFont="1" applyFill="1" applyBorder="1"/>
    <xf numFmtId="0" fontId="61" fillId="0" borderId="12" xfId="11" applyFont="1" applyFill="1" applyBorder="1"/>
    <xf numFmtId="5" fontId="61" fillId="0" borderId="13" xfId="11" applyNumberFormat="1" applyFont="1" applyFill="1" applyBorder="1"/>
    <xf numFmtId="0" fontId="19" fillId="0" borderId="0" xfId="11" quotePrefix="1" applyFont="1" applyFill="1" applyBorder="1"/>
    <xf numFmtId="10" fontId="58" fillId="0" borderId="0" xfId="14" applyNumberFormat="1" applyFont="1" applyFill="1"/>
    <xf numFmtId="0" fontId="63" fillId="0" borderId="0" xfId="11" applyFont="1" applyFill="1" applyAlignment="1">
      <alignment horizontal="centerContinuous"/>
    </xf>
    <xf numFmtId="0" fontId="58" fillId="0" borderId="50" xfId="11" applyFont="1" applyFill="1" applyBorder="1" applyAlignment="1">
      <alignment horizontal="centerContinuous"/>
    </xf>
    <xf numFmtId="43" fontId="33" fillId="0" borderId="0" xfId="1" applyFont="1" applyFill="1" applyProtection="1">
      <protection locked="0"/>
    </xf>
    <xf numFmtId="185" fontId="0" fillId="0" borderId="0" xfId="1" applyNumberFormat="1" applyFont="1" applyFill="1"/>
    <xf numFmtId="43" fontId="33" fillId="0" borderId="0" xfId="1" applyFont="1" applyFill="1" applyProtection="1"/>
    <xf numFmtId="0" fontId="0" fillId="0" borderId="0" xfId="0" applyAlignment="1">
      <alignment horizontal="right"/>
    </xf>
    <xf numFmtId="0" fontId="25" fillId="0" borderId="0" xfId="0" applyFont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64" fillId="0" borderId="0" xfId="0" applyFont="1"/>
    <xf numFmtId="6" fontId="33" fillId="0" borderId="0" xfId="1" applyNumberFormat="1" applyFont="1" applyBorder="1"/>
    <xf numFmtId="6" fontId="15" fillId="0" borderId="0" xfId="1" applyNumberFormat="1" applyFont="1" applyBorder="1"/>
    <xf numFmtId="168" fontId="33" fillId="0" borderId="0" xfId="1" applyNumberFormat="1" applyFont="1" applyBorder="1"/>
    <xf numFmtId="3" fontId="64" fillId="0" borderId="0" xfId="0" applyNumberFormat="1" applyFont="1" applyFill="1" applyBorder="1"/>
    <xf numFmtId="3" fontId="0" fillId="0" borderId="0" xfId="0" applyNumberFormat="1"/>
    <xf numFmtId="168" fontId="16" fillId="0" borderId="0" xfId="1" applyNumberFormat="1" applyFont="1" applyFill="1" applyBorder="1"/>
    <xf numFmtId="3" fontId="65" fillId="0" borderId="0" xfId="0" applyNumberFormat="1" applyFont="1" applyFill="1" applyBorder="1"/>
    <xf numFmtId="49" fontId="10" fillId="0" borderId="0" xfId="9" applyNumberFormat="1" applyFont="1"/>
    <xf numFmtId="49" fontId="10" fillId="0" borderId="0" xfId="9" applyNumberFormat="1" applyFont="1" applyBorder="1"/>
    <xf numFmtId="6" fontId="33" fillId="0" borderId="0" xfId="1" applyNumberFormat="1" applyFont="1" applyFill="1" applyBorder="1"/>
    <xf numFmtId="168" fontId="66" fillId="0" borderId="0" xfId="1" applyNumberFormat="1" applyFont="1" applyFill="1" applyBorder="1"/>
    <xf numFmtId="168" fontId="16" fillId="0" borderId="0" xfId="1" applyNumberFormat="1" applyFont="1" applyFill="1"/>
    <xf numFmtId="6" fontId="0" fillId="0" borderId="0" xfId="0" applyNumberFormat="1" applyBorder="1"/>
    <xf numFmtId="168" fontId="0" fillId="0" borderId="0" xfId="0" applyNumberFormat="1" applyBorder="1"/>
    <xf numFmtId="168" fontId="16" fillId="0" borderId="0" xfId="0" applyNumberFormat="1" applyFont="1" applyFill="1" applyBorder="1"/>
    <xf numFmtId="3" fontId="16" fillId="0" borderId="12" xfId="0" applyNumberFormat="1" applyFont="1" applyFill="1" applyBorder="1"/>
    <xf numFmtId="3" fontId="65" fillId="0" borderId="12" xfId="0" applyNumberFormat="1" applyFont="1" applyFill="1" applyBorder="1"/>
    <xf numFmtId="6" fontId="0" fillId="0" borderId="0" xfId="0" applyNumberFormat="1" applyFill="1" applyBorder="1"/>
    <xf numFmtId="0" fontId="0" fillId="0" borderId="15" xfId="0" applyBorder="1"/>
    <xf numFmtId="49" fontId="10" fillId="0" borderId="15" xfId="9" applyNumberFormat="1" applyFont="1" applyBorder="1"/>
    <xf numFmtId="6" fontId="0" fillId="0" borderId="15" xfId="0" applyNumberFormat="1" applyBorder="1"/>
    <xf numFmtId="168" fontId="27" fillId="0" borderId="0" xfId="1" applyNumberFormat="1" applyFont="1"/>
    <xf numFmtId="168" fontId="15" fillId="0" borderId="0" xfId="1" applyNumberFormat="1" applyFont="1"/>
    <xf numFmtId="3" fontId="34" fillId="0" borderId="0" xfId="0" applyNumberFormat="1" applyFont="1"/>
    <xf numFmtId="6" fontId="67" fillId="0" borderId="0" xfId="0" applyNumberFormat="1" applyFont="1" applyBorder="1"/>
    <xf numFmtId="6" fontId="16" fillId="0" borderId="0" xfId="0" applyNumberFormat="1" applyFont="1" applyBorder="1"/>
    <xf numFmtId="6" fontId="0" fillId="0" borderId="0" xfId="0" applyNumberFormat="1"/>
    <xf numFmtId="168" fontId="33" fillId="0" borderId="0" xfId="1" applyNumberFormat="1" applyFont="1" applyFill="1" applyBorder="1"/>
    <xf numFmtId="168" fontId="0" fillId="0" borderId="0" xfId="0" applyNumberFormat="1" applyFill="1" applyBorder="1"/>
    <xf numFmtId="38" fontId="0" fillId="0" borderId="0" xfId="0" applyNumberFormat="1" applyBorder="1"/>
    <xf numFmtId="3" fontId="0" fillId="0" borderId="0" xfId="0" applyNumberFormat="1" applyBorder="1"/>
    <xf numFmtId="38" fontId="67" fillId="0" borderId="0" xfId="0" applyNumberFormat="1" applyFont="1" applyBorder="1"/>
    <xf numFmtId="3" fontId="67" fillId="0" borderId="0" xfId="0" applyNumberFormat="1" applyFont="1" applyBorder="1"/>
    <xf numFmtId="3" fontId="16" fillId="0" borderId="0" xfId="0" applyNumberFormat="1" applyFont="1" applyBorder="1"/>
    <xf numFmtId="168" fontId="7" fillId="0" borderId="0" xfId="6" applyNumberFormat="1" applyFont="1" applyFill="1"/>
    <xf numFmtId="168" fontId="12" fillId="0" borderId="5" xfId="0" applyNumberFormat="1" applyFont="1" applyFill="1" applyBorder="1"/>
    <xf numFmtId="207" fontId="33" fillId="0" borderId="0" xfId="1" applyNumberFormat="1" applyFont="1" applyFill="1" applyBorder="1"/>
    <xf numFmtId="5" fontId="0" fillId="0" borderId="0" xfId="0" applyNumberFormat="1"/>
    <xf numFmtId="7" fontId="0" fillId="0" borderId="0" xfId="0" applyNumberFormat="1"/>
    <xf numFmtId="37" fontId="14" fillId="0" borderId="0" xfId="0" applyNumberFormat="1" applyFont="1" applyFill="1"/>
    <xf numFmtId="0" fontId="64" fillId="0" borderId="0" xfId="0" applyFont="1" applyFill="1"/>
    <xf numFmtId="6" fontId="15" fillId="0" borderId="0" xfId="1" applyNumberFormat="1" applyFont="1" applyFill="1" applyBorder="1"/>
    <xf numFmtId="165" fontId="12" fillId="0" borderId="0" xfId="0" applyNumberFormat="1" applyFont="1" applyFill="1"/>
    <xf numFmtId="165" fontId="14" fillId="0" borderId="0" xfId="0" applyNumberFormat="1" applyFont="1" applyFill="1"/>
    <xf numFmtId="176" fontId="0" fillId="0" borderId="0" xfId="0" applyNumberFormat="1" applyFill="1" applyBorder="1"/>
    <xf numFmtId="0" fontId="14" fillId="0" borderId="0" xfId="0" applyFont="1" applyFill="1" applyAlignment="1">
      <alignment horizontal="left"/>
    </xf>
    <xf numFmtId="0" fontId="7" fillId="0" borderId="0" xfId="8"/>
    <xf numFmtId="0" fontId="39" fillId="0" borderId="12" xfId="8" applyFont="1" applyBorder="1" applyAlignment="1">
      <alignment horizontal="center"/>
    </xf>
    <xf numFmtId="0" fontId="40" fillId="0" borderId="5" xfId="8" applyFont="1" applyBorder="1" applyAlignment="1">
      <alignment horizontal="center"/>
    </xf>
    <xf numFmtId="0" fontId="7" fillId="0" borderId="5" xfId="8" applyBorder="1" applyAlignment="1">
      <alignment horizontal="center"/>
    </xf>
    <xf numFmtId="0" fontId="7" fillId="0" borderId="4" xfId="8" applyBorder="1" applyAlignment="1">
      <alignment horizontal="center"/>
    </xf>
    <xf numFmtId="0" fontId="7" fillId="0" borderId="0" xfId="8" applyBorder="1"/>
    <xf numFmtId="0" fontId="7" fillId="0" borderId="0" xfId="8" applyBorder="1" applyAlignment="1">
      <alignment horizontal="center"/>
    </xf>
    <xf numFmtId="0" fontId="7" fillId="0" borderId="36" xfId="8" applyBorder="1"/>
    <xf numFmtId="0" fontId="7" fillId="0" borderId="28" xfId="8" applyBorder="1"/>
    <xf numFmtId="0" fontId="7" fillId="0" borderId="38" xfId="8" applyBorder="1"/>
    <xf numFmtId="10" fontId="40" fillId="0" borderId="0" xfId="14" applyNumberFormat="1" applyFont="1"/>
    <xf numFmtId="0" fontId="7" fillId="0" borderId="5" xfId="8" applyBorder="1" applyAlignment="1">
      <alignment horizontal="right"/>
    </xf>
    <xf numFmtId="0" fontId="7" fillId="0" borderId="12" xfId="8" applyBorder="1"/>
    <xf numFmtId="0" fontId="7" fillId="0" borderId="0" xfId="8" applyAlignment="1">
      <alignment horizontal="center"/>
    </xf>
    <xf numFmtId="0" fontId="7" fillId="0" borderId="5" xfId="8" applyBorder="1"/>
    <xf numFmtId="0" fontId="7" fillId="0" borderId="4" xfId="8" applyBorder="1"/>
    <xf numFmtId="171" fontId="7" fillId="0" borderId="4" xfId="8" applyNumberFormat="1" applyBorder="1" applyAlignment="1">
      <alignment horizontal="right"/>
    </xf>
    <xf numFmtId="0" fontId="7" fillId="0" borderId="0" xfId="8" applyAlignment="1">
      <alignment horizontal="right"/>
    </xf>
    <xf numFmtId="5" fontId="7" fillId="0" borderId="5" xfId="8" applyNumberFormat="1" applyBorder="1" applyAlignment="1">
      <alignment horizontal="right"/>
    </xf>
    <xf numFmtId="0" fontId="40" fillId="0" borderId="0" xfId="8" applyFont="1" applyBorder="1"/>
    <xf numFmtId="5" fontId="7" fillId="0" borderId="0" xfId="8" applyNumberFormat="1"/>
    <xf numFmtId="5" fontId="7" fillId="0" borderId="5" xfId="8" applyNumberFormat="1" applyBorder="1"/>
    <xf numFmtId="5" fontId="7" fillId="0" borderId="4" xfId="8" applyNumberFormat="1" applyBorder="1"/>
    <xf numFmtId="0" fontId="7" fillId="0" borderId="12" xfId="8" applyBorder="1" applyAlignment="1">
      <alignment horizontal="right"/>
    </xf>
    <xf numFmtId="16" fontId="7" fillId="0" borderId="0" xfId="8" quotePrefix="1" applyNumberFormat="1" applyBorder="1" applyAlignment="1">
      <alignment horizontal="center"/>
    </xf>
    <xf numFmtId="16" fontId="7" fillId="0" borderId="4" xfId="8" applyNumberFormat="1" applyBorder="1" applyAlignment="1">
      <alignment horizontal="center"/>
    </xf>
    <xf numFmtId="5" fontId="68" fillId="0" borderId="0" xfId="8" applyNumberFormat="1" applyFont="1" applyBorder="1"/>
    <xf numFmtId="5" fontId="7" fillId="0" borderId="36" xfId="8" applyNumberFormat="1" applyBorder="1" applyAlignment="1">
      <alignment horizontal="right"/>
    </xf>
    <xf numFmtId="5" fontId="7" fillId="0" borderId="28" xfId="8" applyNumberFormat="1" applyBorder="1" applyAlignment="1">
      <alignment horizontal="right"/>
    </xf>
    <xf numFmtId="0" fontId="68" fillId="0" borderId="0" xfId="8" applyFont="1" applyBorder="1" applyAlignment="1"/>
    <xf numFmtId="0" fontId="68" fillId="0" borderId="0" xfId="8" applyFont="1" applyBorder="1" applyAlignment="1">
      <alignment horizontal="center"/>
    </xf>
    <xf numFmtId="0" fontId="68" fillId="0" borderId="4" xfId="8" applyFont="1" applyBorder="1" applyAlignment="1">
      <alignment horizontal="center"/>
    </xf>
    <xf numFmtId="0" fontId="7" fillId="0" borderId="0" xfId="8" applyBorder="1" applyAlignment="1">
      <alignment horizontal="right"/>
    </xf>
    <xf numFmtId="0" fontId="7" fillId="0" borderId="0" xfId="8" applyAlignment="1">
      <alignment horizontal="left"/>
    </xf>
    <xf numFmtId="7" fontId="7" fillId="0" borderId="5" xfId="2" applyNumberFormat="1" applyBorder="1" applyAlignment="1">
      <alignment horizontal="right"/>
    </xf>
    <xf numFmtId="7" fontId="7" fillId="0" borderId="0" xfId="2" applyNumberFormat="1" applyBorder="1" applyAlignment="1">
      <alignment horizontal="right"/>
    </xf>
    <xf numFmtId="7" fontId="7" fillId="0" borderId="0" xfId="8" applyNumberFormat="1" applyBorder="1"/>
    <xf numFmtId="37" fontId="7" fillId="0" borderId="0" xfId="8" applyNumberFormat="1" applyBorder="1"/>
    <xf numFmtId="9" fontId="7" fillId="0" borderId="0" xfId="14" applyNumberFormat="1"/>
    <xf numFmtId="37" fontId="7" fillId="0" borderId="5" xfId="8" applyNumberFormat="1" applyBorder="1"/>
    <xf numFmtId="208" fontId="7" fillId="0" borderId="0" xfId="8" applyNumberFormat="1"/>
    <xf numFmtId="0" fontId="7" fillId="0" borderId="0" xfId="8" quotePrefix="1" applyBorder="1"/>
    <xf numFmtId="44" fontId="7" fillId="0" borderId="0" xfId="2" applyBorder="1" applyAlignment="1">
      <alignment horizontal="right"/>
    </xf>
    <xf numFmtId="37" fontId="68" fillId="0" borderId="0" xfId="8" applyNumberFormat="1" applyFont="1" applyBorder="1"/>
    <xf numFmtId="5" fontId="68" fillId="0" borderId="4" xfId="8" applyNumberFormat="1" applyFont="1" applyBorder="1"/>
    <xf numFmtId="7" fontId="68" fillId="0" borderId="0" xfId="8" applyNumberFormat="1" applyFont="1" applyBorder="1"/>
    <xf numFmtId="168" fontId="7" fillId="0" borderId="19" xfId="1" applyNumberFormat="1" applyBorder="1" applyAlignment="1">
      <alignment horizontal="right"/>
    </xf>
    <xf numFmtId="168" fontId="7" fillId="0" borderId="12" xfId="1" applyNumberFormat="1" applyFont="1" applyBorder="1" applyAlignment="1">
      <alignment horizontal="right"/>
    </xf>
    <xf numFmtId="168" fontId="7" fillId="0" borderId="0" xfId="1" applyNumberFormat="1" applyBorder="1" applyAlignment="1">
      <alignment horizontal="right"/>
    </xf>
    <xf numFmtId="168" fontId="7" fillId="0" borderId="0" xfId="1" applyNumberFormat="1" applyFont="1" applyBorder="1" applyAlignment="1">
      <alignment horizontal="right"/>
    </xf>
    <xf numFmtId="0" fontId="7" fillId="0" borderId="0" xfId="8" quotePrefix="1" applyAlignment="1">
      <alignment horizontal="left"/>
    </xf>
    <xf numFmtId="0" fontId="40" fillId="0" borderId="0" xfId="8" applyFont="1" applyAlignment="1">
      <alignment horizontal="left"/>
    </xf>
    <xf numFmtId="7" fontId="7" fillId="0" borderId="0" xfId="8" applyNumberFormat="1" applyAlignment="1">
      <alignment horizontal="right"/>
    </xf>
    <xf numFmtId="7" fontId="7" fillId="0" borderId="0" xfId="8" applyNumberFormat="1"/>
    <xf numFmtId="7" fontId="68" fillId="0" borderId="0" xfId="8" applyNumberFormat="1" applyFont="1" applyAlignment="1">
      <alignment horizontal="right"/>
    </xf>
    <xf numFmtId="5" fontId="7" fillId="0" borderId="0" xfId="8" applyNumberFormat="1" applyAlignment="1">
      <alignment horizontal="right"/>
    </xf>
    <xf numFmtId="0" fontId="68" fillId="0" borderId="0" xfId="8" applyFont="1" applyAlignment="1">
      <alignment horizontal="left"/>
    </xf>
    <xf numFmtId="0" fontId="68" fillId="0" borderId="0" xfId="8" applyFont="1" applyAlignment="1">
      <alignment horizontal="center"/>
    </xf>
    <xf numFmtId="0" fontId="69" fillId="0" borderId="0" xfId="8" quotePrefix="1" applyFont="1" applyFill="1" applyAlignment="1" applyProtection="1">
      <alignment horizontal="center"/>
    </xf>
    <xf numFmtId="37" fontId="7" fillId="0" borderId="0" xfId="8" applyNumberFormat="1" applyFill="1" applyBorder="1"/>
    <xf numFmtId="184" fontId="40" fillId="0" borderId="0" xfId="8" applyNumberFormat="1" applyFont="1"/>
    <xf numFmtId="0" fontId="11" fillId="0" borderId="0" xfId="2" applyNumberFormat="1" applyFont="1" applyFill="1"/>
    <xf numFmtId="7" fontId="33" fillId="0" borderId="0" xfId="0" applyNumberFormat="1" applyFont="1" applyFill="1" applyBorder="1"/>
    <xf numFmtId="5" fontId="33" fillId="0" borderId="0" xfId="0" applyNumberFormat="1" applyFont="1" applyFill="1" applyBorder="1"/>
    <xf numFmtId="206" fontId="15" fillId="0" borderId="0" xfId="2" applyNumberFormat="1" applyFont="1" applyFill="1" applyBorder="1"/>
    <xf numFmtId="0" fontId="7" fillId="0" borderId="0" xfId="8" applyFont="1" applyAlignment="1">
      <alignment horizontal="left"/>
    </xf>
    <xf numFmtId="0" fontId="7" fillId="0" borderId="0" xfId="8" applyFont="1"/>
    <xf numFmtId="0" fontId="0" fillId="0" borderId="0" xfId="0" applyAlignment="1">
      <alignment horizontal="center"/>
    </xf>
    <xf numFmtId="9" fontId="15" fillId="0" borderId="0" xfId="14" applyFont="1" applyFill="1"/>
    <xf numFmtId="0" fontId="58" fillId="0" borderId="0" xfId="11" applyFont="1" applyFill="1" applyAlignment="1">
      <alignment horizontal="right"/>
    </xf>
    <xf numFmtId="0" fontId="7" fillId="0" borderId="0" xfId="8" quotePrefix="1" applyFont="1" applyAlignment="1">
      <alignment horizontal="left"/>
    </xf>
    <xf numFmtId="5" fontId="7" fillId="0" borderId="0" xfId="8" applyNumberFormat="1" applyFont="1"/>
    <xf numFmtId="0" fontId="40" fillId="0" borderId="28" xfId="8" applyFont="1" applyBorder="1" applyAlignment="1">
      <alignment horizontal="center"/>
    </xf>
    <xf numFmtId="0" fontId="7" fillId="0" borderId="4" xfId="8" applyFont="1" applyBorder="1" applyAlignment="1">
      <alignment horizontal="center"/>
    </xf>
    <xf numFmtId="5" fontId="7" fillId="0" borderId="12" xfId="8" applyNumberFormat="1" applyBorder="1" applyAlignment="1">
      <alignment horizontal="right"/>
    </xf>
    <xf numFmtId="5" fontId="7" fillId="0" borderId="0" xfId="8" applyNumberFormat="1" applyBorder="1"/>
    <xf numFmtId="0" fontId="70" fillId="2" borderId="59" xfId="16" applyFont="1" applyFill="1" applyBorder="1" applyAlignment="1">
      <alignment horizontal="center" vertical="top" wrapText="1"/>
    </xf>
    <xf numFmtId="0" fontId="7" fillId="0" borderId="0" xfId="16" applyFont="1" applyAlignment="1">
      <alignment wrapText="1"/>
    </xf>
    <xf numFmtId="0" fontId="14" fillId="0" borderId="0" xfId="0" applyFont="1" applyFill="1" applyAlignment="1">
      <alignment horizontal="right"/>
    </xf>
    <xf numFmtId="0" fontId="7" fillId="3" borderId="0" xfId="6" applyFill="1"/>
    <xf numFmtId="168" fontId="7" fillId="3" borderId="0" xfId="1" applyNumberFormat="1" applyFill="1"/>
    <xf numFmtId="168" fontId="41" fillId="3" borderId="0" xfId="1" applyNumberFormat="1" applyFont="1" applyFill="1" applyAlignment="1">
      <alignment horizontal="left"/>
    </xf>
    <xf numFmtId="43" fontId="7" fillId="3" borderId="0" xfId="1" applyFill="1"/>
    <xf numFmtId="168" fontId="41" fillId="3" borderId="0" xfId="1" applyNumberFormat="1" applyFont="1" applyFill="1"/>
    <xf numFmtId="168" fontId="7" fillId="3" borderId="0" xfId="6" applyNumberFormat="1" applyFill="1"/>
    <xf numFmtId="43" fontId="7" fillId="3" borderId="0" xfId="6" applyNumberFormat="1" applyFill="1"/>
    <xf numFmtId="43" fontId="40" fillId="0" borderId="0" xfId="1" applyNumberFormat="1" applyFont="1" applyFill="1"/>
    <xf numFmtId="0" fontId="7" fillId="0" borderId="0" xfId="1" applyNumberFormat="1" applyFill="1" applyAlignment="1">
      <alignment horizontal="left"/>
    </xf>
    <xf numFmtId="172" fontId="7" fillId="3" borderId="0" xfId="1" applyNumberFormat="1" applyFill="1"/>
    <xf numFmtId="172" fontId="41" fillId="3" borderId="0" xfId="1" applyNumberFormat="1" applyFont="1" applyFill="1"/>
    <xf numFmtId="172" fontId="7" fillId="3" borderId="0" xfId="6" applyNumberFormat="1" applyFill="1"/>
    <xf numFmtId="185" fontId="7" fillId="3" borderId="0" xfId="6" applyNumberFormat="1" applyFill="1"/>
    <xf numFmtId="185" fontId="7" fillId="0" borderId="0" xfId="6" applyNumberFormat="1" applyFill="1"/>
    <xf numFmtId="0" fontId="14" fillId="0" borderId="0" xfId="0" applyFont="1"/>
    <xf numFmtId="6" fontId="14" fillId="0" borderId="0" xfId="1" applyNumberFormat="1" applyFont="1" applyFill="1" applyBorder="1"/>
    <xf numFmtId="5" fontId="14" fillId="0" borderId="0" xfId="1" applyNumberFormat="1" applyFont="1" applyFill="1" applyBorder="1"/>
    <xf numFmtId="5" fontId="14" fillId="0" borderId="0" xfId="12" applyNumberFormat="1" applyFont="1" applyFill="1"/>
    <xf numFmtId="0" fontId="29" fillId="0" borderId="0" xfId="11" applyFont="1" applyFill="1"/>
    <xf numFmtId="0" fontId="72" fillId="0" borderId="0" xfId="19"/>
    <xf numFmtId="37" fontId="72" fillId="0" borderId="0" xfId="19" applyNumberFormat="1"/>
    <xf numFmtId="182" fontId="0" fillId="0" borderId="0" xfId="0" applyNumberFormat="1"/>
    <xf numFmtId="5" fontId="29" fillId="0" borderId="0" xfId="11" applyNumberFormat="1" applyFont="1" applyFill="1" applyProtection="1"/>
    <xf numFmtId="0" fontId="7" fillId="0" borderId="0" xfId="19" applyFont="1"/>
    <xf numFmtId="0" fontId="70" fillId="2" borderId="59" xfId="16" applyFont="1" applyFill="1" applyBorder="1" applyAlignment="1">
      <alignment horizontal="left" vertical="top"/>
    </xf>
    <xf numFmtId="196" fontId="70" fillId="2" borderId="59" xfId="16" applyNumberFormat="1" applyFont="1" applyFill="1" applyBorder="1" applyAlignment="1">
      <alignment horizontal="right" vertical="top"/>
    </xf>
    <xf numFmtId="195" fontId="70" fillId="2" borderId="59" xfId="16" applyNumberFormat="1" applyFont="1" applyFill="1" applyBorder="1" applyAlignment="1">
      <alignment horizontal="right" vertical="top"/>
    </xf>
    <xf numFmtId="0" fontId="7" fillId="2" borderId="62" xfId="16" applyFont="1" applyFill="1" applyBorder="1" applyAlignment="1">
      <alignment wrapText="1"/>
    </xf>
    <xf numFmtId="0" fontId="70" fillId="2" borderId="63" xfId="16" applyFont="1" applyFill="1" applyBorder="1" applyAlignment="1">
      <alignment horizontal="left" vertical="top"/>
    </xf>
    <xf numFmtId="196" fontId="70" fillId="2" borderId="63" xfId="16" applyNumberFormat="1" applyFont="1" applyFill="1" applyBorder="1" applyAlignment="1">
      <alignment horizontal="right" vertical="top"/>
    </xf>
    <xf numFmtId="195" fontId="70" fillId="2" borderId="63" xfId="16" applyNumberFormat="1" applyFont="1" applyFill="1" applyBorder="1" applyAlignment="1">
      <alignment horizontal="right" vertical="top"/>
    </xf>
    <xf numFmtId="0" fontId="7" fillId="2" borderId="64" xfId="16" applyFont="1" applyFill="1" applyBorder="1" applyAlignment="1">
      <alignment wrapText="1"/>
    </xf>
    <xf numFmtId="182" fontId="7" fillId="3" borderId="0" xfId="6" applyNumberFormat="1" applyFill="1"/>
    <xf numFmtId="210" fontId="33" fillId="0" borderId="0" xfId="1" applyNumberFormat="1" applyFont="1" applyFill="1" applyBorder="1"/>
    <xf numFmtId="5" fontId="33" fillId="0" borderId="0" xfId="1" applyNumberFormat="1" applyFont="1" applyFill="1" applyBorder="1"/>
    <xf numFmtId="37" fontId="33" fillId="0" borderId="0" xfId="1" applyNumberFormat="1" applyFont="1" applyFill="1" applyBorder="1"/>
    <xf numFmtId="6" fontId="7" fillId="3" borderId="0" xfId="6" applyNumberFormat="1" applyFill="1"/>
    <xf numFmtId="6" fontId="7" fillId="0" borderId="0" xfId="6" applyNumberFormat="1"/>
    <xf numFmtId="168" fontId="14" fillId="0" borderId="0" xfId="1" applyNumberFormat="1" applyFont="1" applyFill="1"/>
    <xf numFmtId="0" fontId="7" fillId="0" borderId="0" xfId="23"/>
    <xf numFmtId="37" fontId="7" fillId="0" borderId="0" xfId="23" applyNumberFormat="1"/>
    <xf numFmtId="10" fontId="58" fillId="0" borderId="0" xfId="14" applyNumberFormat="1" applyFont="1" applyFill="1" applyAlignment="1">
      <alignment horizontal="center"/>
    </xf>
    <xf numFmtId="171" fontId="7" fillId="0" borderId="0" xfId="14" applyNumberFormat="1"/>
    <xf numFmtId="5" fontId="7" fillId="0" borderId="0" xfId="23" quotePrefix="1" applyNumberFormat="1"/>
    <xf numFmtId="10" fontId="14" fillId="0" borderId="0" xfId="14" applyNumberFormat="1" applyFont="1" applyFill="1" applyBorder="1"/>
    <xf numFmtId="0" fontId="29" fillId="0" borderId="34" xfId="11" applyFont="1" applyFill="1" applyBorder="1" applyAlignment="1">
      <alignment horizontal="centerContinuous"/>
    </xf>
    <xf numFmtId="199" fontId="7" fillId="0" borderId="0" xfId="8" applyNumberFormat="1" applyBorder="1" applyAlignment="1">
      <alignment horizontal="center"/>
    </xf>
    <xf numFmtId="44" fontId="7" fillId="0" borderId="0" xfId="2"/>
    <xf numFmtId="9" fontId="7" fillId="0" borderId="0" xfId="8" applyNumberFormat="1"/>
    <xf numFmtId="168" fontId="7" fillId="0" borderId="0" xfId="1" applyNumberFormat="1" applyFont="1" applyAlignment="1">
      <alignment horizontal="right"/>
    </xf>
    <xf numFmtId="168" fontId="7" fillId="0" borderId="0" xfId="1" applyNumberFormat="1" applyFont="1" applyAlignment="1">
      <alignment horizontal="center"/>
    </xf>
    <xf numFmtId="5" fontId="7" fillId="0" borderId="0" xfId="8" applyNumberFormat="1" applyFont="1" applyBorder="1" applyAlignment="1">
      <alignment horizontal="right"/>
    </xf>
    <xf numFmtId="5" fontId="7" fillId="0" borderId="4" xfId="8" applyNumberFormat="1" applyFont="1" applyBorder="1"/>
    <xf numFmtId="5" fontId="7" fillId="0" borderId="13" xfId="8" applyNumberFormat="1" applyBorder="1"/>
    <xf numFmtId="9" fontId="7" fillId="0" borderId="0" xfId="14" applyBorder="1" applyAlignment="1">
      <alignment horizontal="right"/>
    </xf>
    <xf numFmtId="0" fontId="7" fillId="0" borderId="5" xfId="1" applyNumberFormat="1" applyFont="1" applyBorder="1" applyAlignment="1">
      <alignment horizontal="right"/>
    </xf>
    <xf numFmtId="168" fontId="7" fillId="0" borderId="12" xfId="8" applyNumberFormat="1" applyFont="1" applyBorder="1"/>
    <xf numFmtId="43" fontId="7" fillId="0" borderId="0" xfId="1" applyNumberFormat="1" applyBorder="1" applyAlignment="1">
      <alignment horizontal="right"/>
    </xf>
    <xf numFmtId="10" fontId="7" fillId="0" borderId="0" xfId="14" applyNumberFormat="1"/>
    <xf numFmtId="0" fontId="7" fillId="0" borderId="0" xfId="8" applyFill="1" applyAlignment="1">
      <alignment horizontal="left"/>
    </xf>
    <xf numFmtId="5" fontId="7" fillId="0" borderId="0" xfId="0" applyNumberFormat="1" applyFont="1"/>
    <xf numFmtId="0" fontId="40" fillId="0" borderId="14" xfId="8" applyFont="1" applyBorder="1"/>
    <xf numFmtId="0" fontId="16" fillId="0" borderId="15" xfId="0" applyFont="1" applyBorder="1"/>
    <xf numFmtId="5" fontId="40" fillId="0" borderId="42" xfId="0" applyNumberFormat="1" applyFont="1" applyBorder="1"/>
    <xf numFmtId="0" fontId="14" fillId="0" borderId="0" xfId="0" applyFont="1" applyFill="1" applyAlignment="1" applyProtection="1">
      <alignment horizontal="left"/>
    </xf>
    <xf numFmtId="0" fontId="59" fillId="0" borderId="0" xfId="0" applyFont="1" applyFill="1" applyAlignment="1" applyProtection="1">
      <alignment horizontal="centerContinuous"/>
    </xf>
    <xf numFmtId="0" fontId="14" fillId="0" borderId="0" xfId="0" applyFont="1" applyFill="1" applyAlignment="1" applyProtection="1">
      <alignment horizontal="centerContinuous"/>
    </xf>
    <xf numFmtId="0" fontId="16" fillId="0" borderId="0" xfId="0" applyFont="1" applyFill="1" applyAlignment="1" applyProtection="1">
      <alignment horizontal="centerContinuous"/>
    </xf>
    <xf numFmtId="0" fontId="14" fillId="0" borderId="0" xfId="0" applyFont="1" applyFill="1" applyAlignment="1" applyProtection="1">
      <alignment horizontal="center"/>
    </xf>
    <xf numFmtId="0" fontId="14" fillId="0" borderId="6" xfId="0" applyFont="1" applyFill="1" applyBorder="1" applyAlignment="1" applyProtection="1">
      <alignment horizontal="centerContinuous"/>
    </xf>
    <xf numFmtId="0" fontId="14" fillId="0" borderId="3" xfId="0" applyFont="1" applyFill="1" applyBorder="1" applyAlignment="1" applyProtection="1">
      <alignment horizontal="centerContinuous"/>
    </xf>
    <xf numFmtId="0" fontId="14" fillId="0" borderId="65" xfId="0" applyFont="1" applyFill="1" applyBorder="1" applyAlignment="1" applyProtection="1">
      <alignment horizontal="center"/>
    </xf>
    <xf numFmtId="0" fontId="14" fillId="0" borderId="65" xfId="0" applyFont="1" applyFill="1" applyBorder="1" applyAlignment="1" applyProtection="1">
      <alignment horizontal="centerContinuous"/>
    </xf>
    <xf numFmtId="0" fontId="14" fillId="0" borderId="6" xfId="0" applyFont="1" applyFill="1" applyBorder="1" applyAlignment="1" applyProtection="1">
      <alignment horizontal="center"/>
    </xf>
    <xf numFmtId="0" fontId="14" fillId="0" borderId="2" xfId="0" applyFont="1" applyFill="1" applyBorder="1" applyAlignment="1" applyProtection="1">
      <alignment horizontal="centerContinuous"/>
    </xf>
    <xf numFmtId="0" fontId="14" fillId="0" borderId="1" xfId="0" applyFont="1" applyFill="1" applyBorder="1" applyAlignment="1" applyProtection="1">
      <alignment horizontal="centerContinuous"/>
    </xf>
    <xf numFmtId="0" fontId="14" fillId="0" borderId="0" xfId="0" quotePrefix="1" applyFont="1" applyFill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14" fillId="0" borderId="35" xfId="0" applyFont="1" applyFill="1" applyBorder="1" applyAlignment="1" applyProtection="1">
      <alignment horizontal="center"/>
    </xf>
    <xf numFmtId="0" fontId="14" fillId="0" borderId="2" xfId="0" applyFont="1" applyFill="1" applyBorder="1" applyAlignment="1" applyProtection="1">
      <alignment horizontal="center"/>
    </xf>
    <xf numFmtId="0" fontId="14" fillId="0" borderId="27" xfId="0" applyFont="1" applyFill="1" applyBorder="1" applyAlignment="1" applyProtection="1">
      <alignment horizontal="center"/>
    </xf>
    <xf numFmtId="0" fontId="14" fillId="0" borderId="7" xfId="0" applyFont="1" applyFill="1" applyBorder="1" applyAlignment="1" applyProtection="1">
      <alignment horizontal="left"/>
    </xf>
    <xf numFmtId="0" fontId="14" fillId="0" borderId="8" xfId="0" applyFont="1" applyFill="1" applyBorder="1" applyProtection="1"/>
    <xf numFmtId="5" fontId="14" fillId="0" borderId="8" xfId="0" applyNumberFormat="1" applyFont="1" applyFill="1" applyBorder="1" applyProtection="1"/>
    <xf numFmtId="0" fontId="14" fillId="0" borderId="9" xfId="0" applyFont="1" applyFill="1" applyBorder="1" applyAlignment="1" applyProtection="1">
      <alignment horizontal="left"/>
    </xf>
    <xf numFmtId="0" fontId="14" fillId="0" borderId="10" xfId="0" applyFont="1" applyFill="1" applyBorder="1" applyProtection="1"/>
    <xf numFmtId="0" fontId="14" fillId="0" borderId="11" xfId="0" applyFont="1" applyFill="1" applyBorder="1" applyAlignment="1" applyProtection="1">
      <alignment horizontal="left"/>
    </xf>
    <xf numFmtId="0" fontId="14" fillId="0" borderId="1" xfId="0" applyFont="1" applyFill="1" applyBorder="1" applyProtection="1"/>
    <xf numFmtId="5" fontId="14" fillId="0" borderId="3" xfId="0" applyNumberFormat="1" applyFont="1" applyFill="1" applyBorder="1" applyProtection="1"/>
    <xf numFmtId="0" fontId="14" fillId="0" borderId="32" xfId="0" applyFont="1" applyFill="1" applyBorder="1" applyAlignment="1" applyProtection="1">
      <alignment horizontal="left"/>
    </xf>
    <xf numFmtId="0" fontId="14" fillId="0" borderId="33" xfId="0" applyFont="1" applyFill="1" applyBorder="1" applyProtection="1"/>
    <xf numFmtId="5" fontId="14" fillId="0" borderId="33" xfId="0" applyNumberFormat="1" applyFont="1" applyFill="1" applyBorder="1" applyProtection="1"/>
    <xf numFmtId="0" fontId="14" fillId="0" borderId="30" xfId="0" applyFont="1" applyFill="1" applyBorder="1" applyAlignment="1" applyProtection="1">
      <alignment horizontal="left"/>
    </xf>
    <xf numFmtId="0" fontId="14" fillId="0" borderId="31" xfId="0" applyFont="1" applyFill="1" applyBorder="1" applyProtection="1"/>
    <xf numFmtId="5" fontId="14" fillId="0" borderId="21" xfId="0" applyNumberFormat="1" applyFont="1" applyFill="1" applyBorder="1" applyProtection="1"/>
    <xf numFmtId="0" fontId="14" fillId="0" borderId="22" xfId="0" applyFont="1" applyFill="1" applyBorder="1" applyAlignment="1" applyProtection="1">
      <alignment horizontal="left"/>
    </xf>
    <xf numFmtId="0" fontId="14" fillId="0" borderId="23" xfId="0" applyFont="1" applyFill="1" applyBorder="1" applyProtection="1"/>
    <xf numFmtId="5" fontId="14" fillId="0" borderId="23" xfId="0" applyNumberFormat="1" applyFont="1" applyFill="1" applyBorder="1" applyProtection="1"/>
    <xf numFmtId="5" fontId="14" fillId="0" borderId="0" xfId="0" applyNumberFormat="1" applyFont="1" applyFill="1" applyProtection="1"/>
    <xf numFmtId="0" fontId="14" fillId="0" borderId="1" xfId="0" quotePrefix="1" applyFont="1" applyFill="1" applyBorder="1" applyAlignment="1" applyProtection="1">
      <alignment horizontal="center"/>
    </xf>
    <xf numFmtId="10" fontId="14" fillId="0" borderId="0" xfId="14" applyNumberFormat="1" applyFont="1" applyFill="1" applyProtection="1"/>
    <xf numFmtId="0" fontId="74" fillId="0" borderId="0" xfId="0" applyFont="1" applyFill="1" applyAlignment="1"/>
    <xf numFmtId="164" fontId="14" fillId="0" borderId="0" xfId="0" applyNumberFormat="1" applyFont="1" applyFill="1" applyProtection="1"/>
    <xf numFmtId="167" fontId="14" fillId="0" borderId="0" xfId="0" applyNumberFormat="1" applyFont="1" applyFill="1"/>
    <xf numFmtId="5" fontId="14" fillId="0" borderId="0" xfId="0" applyNumberFormat="1" applyFont="1" applyFill="1"/>
    <xf numFmtId="0" fontId="20" fillId="0" borderId="0" xfId="0" applyFont="1" applyFill="1" applyAlignment="1" applyProtection="1">
      <alignment horizontal="centerContinuous"/>
    </xf>
    <xf numFmtId="0" fontId="75" fillId="0" borderId="0" xfId="0" applyFont="1" applyFill="1" applyAlignment="1" applyProtection="1">
      <alignment horizontal="centerContinuous"/>
    </xf>
    <xf numFmtId="0" fontId="14" fillId="0" borderId="0" xfId="0" applyFont="1" applyFill="1" applyAlignment="1">
      <alignment horizontal="centerContinuous"/>
    </xf>
    <xf numFmtId="0" fontId="14" fillId="0" borderId="3" xfId="0" applyFont="1" applyFill="1" applyBorder="1" applyAlignment="1" applyProtection="1">
      <alignment horizontal="center"/>
    </xf>
    <xf numFmtId="0" fontId="14" fillId="0" borderId="21" xfId="0" applyFont="1" applyFill="1" applyBorder="1" applyAlignment="1" applyProtection="1">
      <alignment horizontal="center"/>
    </xf>
    <xf numFmtId="37" fontId="14" fillId="0" borderId="8" xfId="0" applyNumberFormat="1" applyFont="1" applyFill="1" applyBorder="1" applyProtection="1"/>
    <xf numFmtId="37" fontId="14" fillId="0" borderId="20" xfId="0" applyNumberFormat="1" applyFont="1" applyFill="1" applyBorder="1" applyProtection="1"/>
    <xf numFmtId="37" fontId="14" fillId="0" borderId="10" xfId="0" applyNumberFormat="1" applyFont="1" applyFill="1" applyBorder="1" applyProtection="1"/>
    <xf numFmtId="0" fontId="14" fillId="0" borderId="66" xfId="0" applyFont="1" applyFill="1" applyBorder="1" applyAlignment="1" applyProtection="1">
      <alignment horizontal="left"/>
    </xf>
    <xf numFmtId="0" fontId="14" fillId="0" borderId="67" xfId="0" applyFont="1" applyFill="1" applyBorder="1" applyProtection="1"/>
    <xf numFmtId="37" fontId="14" fillId="0" borderId="67" xfId="0" applyNumberFormat="1" applyFont="1" applyFill="1" applyBorder="1" applyProtection="1"/>
    <xf numFmtId="37" fontId="14" fillId="0" borderId="68" xfId="0" applyNumberFormat="1" applyFont="1" applyFill="1" applyBorder="1" applyProtection="1"/>
    <xf numFmtId="37" fontId="14" fillId="0" borderId="23" xfId="0" applyNumberFormat="1" applyFont="1" applyFill="1" applyBorder="1" applyProtection="1"/>
    <xf numFmtId="37" fontId="14" fillId="0" borderId="27" xfId="0" applyNumberFormat="1" applyFont="1" applyFill="1" applyBorder="1" applyProtection="1"/>
    <xf numFmtId="0" fontId="14" fillId="0" borderId="24" xfId="0" applyFont="1" applyFill="1" applyBorder="1" applyAlignment="1" applyProtection="1">
      <alignment horizontal="left"/>
    </xf>
    <xf numFmtId="0" fontId="14" fillId="0" borderId="25" xfId="0" applyFont="1" applyFill="1" applyBorder="1" applyProtection="1"/>
    <xf numFmtId="37" fontId="14" fillId="0" borderId="25" xfId="0" applyNumberFormat="1" applyFont="1" applyFill="1" applyBorder="1" applyProtection="1"/>
    <xf numFmtId="37" fontId="14" fillId="0" borderId="26" xfId="0" applyNumberFormat="1" applyFont="1" applyFill="1" applyBorder="1" applyProtection="1"/>
    <xf numFmtId="0" fontId="14" fillId="0" borderId="0" xfId="0" applyFont="1" applyFill="1" applyAlignment="1">
      <alignment horizontal="left" indent="1"/>
    </xf>
    <xf numFmtId="0" fontId="18" fillId="0" borderId="0" xfId="0" applyFont="1" applyFill="1" applyAlignment="1" applyProtection="1">
      <alignment horizontal="left"/>
    </xf>
    <xf numFmtId="0" fontId="14" fillId="0" borderId="0" xfId="0" applyFont="1" applyFill="1" applyAlignment="1">
      <alignment horizontal="center"/>
    </xf>
    <xf numFmtId="0" fontId="16" fillId="0" borderId="0" xfId="0" applyFont="1" applyFill="1" applyAlignment="1" applyProtection="1">
      <alignment horizontal="left"/>
    </xf>
    <xf numFmtId="0" fontId="59" fillId="0" borderId="0" xfId="0" applyFont="1" applyFill="1" applyAlignment="1" applyProtection="1">
      <alignment horizontal="center"/>
    </xf>
    <xf numFmtId="0" fontId="14" fillId="0" borderId="4" xfId="0" applyFont="1" applyFill="1" applyBorder="1" applyAlignment="1" applyProtection="1">
      <alignment horizontal="center"/>
    </xf>
    <xf numFmtId="3" fontId="14" fillId="0" borderId="0" xfId="5" applyNumberFormat="1" applyFont="1" applyFill="1" applyBorder="1"/>
    <xf numFmtId="49" fontId="14" fillId="0" borderId="0" xfId="25" applyNumberFormat="1" applyFont="1" applyFill="1"/>
    <xf numFmtId="0" fontId="14" fillId="0" borderId="4" xfId="0" applyFont="1" applyFill="1" applyBorder="1" applyAlignment="1">
      <alignment horizontal="center"/>
    </xf>
    <xf numFmtId="0" fontId="14" fillId="0" borderId="5" xfId="0" applyFont="1" applyFill="1" applyBorder="1" applyAlignment="1" applyProtection="1">
      <alignment horizontal="centerContinuous"/>
    </xf>
    <xf numFmtId="0" fontId="14" fillId="0" borderId="19" xfId="0" applyFont="1" applyFill="1" applyBorder="1" applyAlignment="1" applyProtection="1">
      <alignment horizontal="centerContinuous"/>
    </xf>
    <xf numFmtId="0" fontId="14" fillId="0" borderId="12" xfId="0" applyFont="1" applyFill="1" applyBorder="1" applyAlignment="1" applyProtection="1">
      <alignment horizontal="centerContinuous"/>
    </xf>
    <xf numFmtId="0" fontId="14" fillId="0" borderId="13" xfId="0" applyFont="1" applyFill="1" applyBorder="1" applyAlignment="1" applyProtection="1">
      <alignment horizontal="centerContinuous"/>
    </xf>
    <xf numFmtId="0" fontId="14" fillId="0" borderId="19" xfId="0" applyFont="1" applyFill="1" applyBorder="1" applyAlignment="1" applyProtection="1">
      <alignment horizontal="center"/>
    </xf>
    <xf numFmtId="0" fontId="14" fillId="0" borderId="12" xfId="0" applyFont="1" applyFill="1" applyBorder="1" applyAlignment="1" applyProtection="1">
      <alignment horizontal="center"/>
    </xf>
    <xf numFmtId="165" fontId="14" fillId="0" borderId="12" xfId="0" applyNumberFormat="1" applyFont="1" applyFill="1" applyBorder="1" applyAlignment="1" applyProtection="1">
      <alignment horizontal="center"/>
    </xf>
    <xf numFmtId="0" fontId="14" fillId="0" borderId="28" xfId="0" applyFont="1" applyFill="1" applyBorder="1" applyAlignment="1">
      <alignment horizontal="center"/>
    </xf>
    <xf numFmtId="0" fontId="14" fillId="0" borderId="28" xfId="0" applyFont="1" applyFill="1" applyBorder="1" applyAlignment="1" applyProtection="1">
      <alignment horizontal="center"/>
    </xf>
    <xf numFmtId="165" fontId="14" fillId="0" borderId="5" xfId="0" applyNumberFormat="1" applyFont="1" applyFill="1" applyBorder="1" applyAlignment="1">
      <alignment horizontal="center"/>
    </xf>
    <xf numFmtId="15" fontId="14" fillId="0" borderId="0" xfId="0" applyNumberFormat="1" applyFont="1" applyFill="1" applyBorder="1" applyAlignment="1" applyProtection="1">
      <alignment horizontal="center"/>
    </xf>
    <xf numFmtId="0" fontId="14" fillId="0" borderId="5" xfId="0" applyFont="1" applyFill="1" applyBorder="1" applyAlignment="1" applyProtection="1">
      <alignment horizontal="center"/>
    </xf>
    <xf numFmtId="0" fontId="14" fillId="0" borderId="19" xfId="0" applyFont="1" applyFill="1" applyBorder="1" applyAlignment="1">
      <alignment horizontal="center"/>
    </xf>
    <xf numFmtId="0" fontId="14" fillId="0" borderId="13" xfId="0" applyFont="1" applyFill="1" applyBorder="1" applyAlignment="1" applyProtection="1">
      <alignment horizontal="center"/>
    </xf>
    <xf numFmtId="165" fontId="14" fillId="0" borderId="4" xfId="0" applyNumberFormat="1" applyFont="1" applyFill="1" applyBorder="1" applyAlignment="1"/>
    <xf numFmtId="0" fontId="14" fillId="0" borderId="5" xfId="0" applyFont="1" applyFill="1" applyBorder="1" applyAlignment="1"/>
    <xf numFmtId="14" fontId="19" fillId="0" borderId="0" xfId="0" applyNumberFormat="1" applyFont="1" applyFill="1"/>
    <xf numFmtId="14" fontId="14" fillId="0" borderId="0" xfId="0" applyNumberFormat="1" applyFont="1" applyFill="1"/>
    <xf numFmtId="10" fontId="14" fillId="0" borderId="0" xfId="0" applyNumberFormat="1" applyFont="1" applyFill="1" applyBorder="1"/>
    <xf numFmtId="10" fontId="12" fillId="0" borderId="0" xfId="0" applyNumberFormat="1" applyFont="1" applyFill="1" applyBorder="1"/>
    <xf numFmtId="16" fontId="14" fillId="0" borderId="0" xfId="0" applyNumberFormat="1" applyFont="1" applyFill="1"/>
    <xf numFmtId="10" fontId="12" fillId="0" borderId="0" xfId="14" applyNumberFormat="1" applyFont="1" applyFill="1" applyBorder="1"/>
    <xf numFmtId="0" fontId="14" fillId="0" borderId="5" xfId="0" applyFont="1" applyFill="1" applyBorder="1"/>
    <xf numFmtId="0" fontId="12" fillId="0" borderId="4" xfId="0" applyFont="1" applyFill="1" applyBorder="1"/>
    <xf numFmtId="166" fontId="14" fillId="0" borderId="0" xfId="14" applyNumberFormat="1" applyFont="1" applyFill="1" applyBorder="1"/>
    <xf numFmtId="10" fontId="14" fillId="0" borderId="5" xfId="0" applyNumberFormat="1" applyFont="1" applyFill="1" applyBorder="1" applyProtection="1">
      <protection hidden="1"/>
    </xf>
    <xf numFmtId="10" fontId="13" fillId="0" borderId="0" xfId="0" applyNumberFormat="1" applyFont="1" applyFill="1" applyBorder="1"/>
    <xf numFmtId="0" fontId="12" fillId="0" borderId="5" xfId="0" applyFont="1" applyFill="1" applyBorder="1"/>
    <xf numFmtId="168" fontId="14" fillId="0" borderId="0" xfId="0" quotePrefix="1" applyNumberFormat="1" applyFont="1" applyFill="1"/>
    <xf numFmtId="165" fontId="14" fillId="0" borderId="37" xfId="0" applyNumberFormat="1" applyFont="1" applyFill="1" applyBorder="1"/>
    <xf numFmtId="168" fontId="14" fillId="0" borderId="69" xfId="0" applyNumberFormat="1" applyFont="1" applyFill="1" applyBorder="1"/>
    <xf numFmtId="165" fontId="14" fillId="0" borderId="18" xfId="0" applyNumberFormat="1" applyFont="1" applyFill="1" applyBorder="1"/>
    <xf numFmtId="0" fontId="14" fillId="0" borderId="0" xfId="0" applyFont="1" applyFill="1" applyAlignment="1">
      <alignment horizontal="left" wrapText="1"/>
    </xf>
    <xf numFmtId="168" fontId="14" fillId="0" borderId="0" xfId="14" applyNumberFormat="1" applyFont="1" applyFill="1" applyAlignment="1"/>
    <xf numFmtId="44" fontId="14" fillId="0" borderId="0" xfId="2" applyFont="1" applyFill="1" applyAlignment="1" applyProtection="1">
      <alignment horizontal="left"/>
    </xf>
    <xf numFmtId="166" fontId="14" fillId="0" borderId="0" xfId="0" applyNumberFormat="1" applyFont="1" applyFill="1"/>
    <xf numFmtId="0" fontId="27" fillId="0" borderId="36" xfId="0" applyFont="1" applyFill="1" applyBorder="1" applyAlignment="1">
      <alignment horizontal="left"/>
    </xf>
    <xf numFmtId="1" fontId="14" fillId="0" borderId="0" xfId="0" applyNumberFormat="1" applyFont="1" applyFill="1" applyBorder="1" applyAlignment="1">
      <alignment horizontal="right"/>
    </xf>
    <xf numFmtId="0" fontId="76" fillId="0" borderId="0" xfId="0" applyFont="1" applyFill="1" applyBorder="1" applyAlignment="1" applyProtection="1">
      <alignment horizontal="left" vertical="top"/>
      <protection locked="0"/>
    </xf>
    <xf numFmtId="195" fontId="76" fillId="0" borderId="0" xfId="0" applyNumberFormat="1" applyFont="1" applyFill="1" applyBorder="1" applyAlignment="1" applyProtection="1">
      <alignment horizontal="right" vertical="top"/>
      <protection locked="0"/>
    </xf>
    <xf numFmtId="211" fontId="76" fillId="0" borderId="0" xfId="0" applyNumberFormat="1" applyFont="1" applyFill="1" applyBorder="1" applyAlignment="1" applyProtection="1">
      <alignment horizontal="right" vertical="top"/>
      <protection locked="0"/>
    </xf>
    <xf numFmtId="1" fontId="14" fillId="0" borderId="0" xfId="1" applyNumberFormat="1" applyFont="1" applyFill="1" applyBorder="1" applyAlignment="1">
      <alignment horizontal="right"/>
    </xf>
    <xf numFmtId="195" fontId="16" fillId="0" borderId="0" xfId="0" applyNumberFormat="1" applyFont="1" applyFill="1"/>
    <xf numFmtId="211" fontId="16" fillId="0" borderId="0" xfId="0" applyNumberFormat="1" applyFont="1" applyFill="1"/>
    <xf numFmtId="0" fontId="14" fillId="0" borderId="0" xfId="0" applyFont="1" applyFill="1" applyBorder="1" applyAlignment="1">
      <alignment horizontal="right"/>
    </xf>
    <xf numFmtId="211" fontId="14" fillId="0" borderId="0" xfId="0" applyNumberFormat="1" applyFont="1" applyFill="1" applyBorder="1"/>
    <xf numFmtId="6" fontId="16" fillId="0" borderId="0" xfId="0" applyNumberFormat="1" applyFont="1" applyFill="1" applyBorder="1"/>
    <xf numFmtId="8" fontId="52" fillId="0" borderId="0" xfId="0" applyNumberFormat="1" applyFont="1" applyFill="1" applyBorder="1"/>
    <xf numFmtId="0" fontId="52" fillId="0" borderId="0" xfId="0" applyFont="1" applyFill="1" applyBorder="1"/>
    <xf numFmtId="195" fontId="52" fillId="0" borderId="0" xfId="0" applyNumberFormat="1" applyFont="1" applyFill="1" applyBorder="1" applyAlignment="1" applyProtection="1">
      <alignment horizontal="right" vertical="top"/>
      <protection locked="0"/>
    </xf>
    <xf numFmtId="8" fontId="14" fillId="0" borderId="0" xfId="0" applyNumberFormat="1" applyFont="1" applyFill="1"/>
    <xf numFmtId="195" fontId="16" fillId="0" borderId="0" xfId="0" applyNumberFormat="1" applyFont="1" applyFill="1" applyBorder="1"/>
    <xf numFmtId="0" fontId="14" fillId="0" borderId="19" xfId="0" applyFont="1" applyFill="1" applyBorder="1"/>
    <xf numFmtId="6" fontId="14" fillId="0" borderId="12" xfId="0" applyNumberFormat="1" applyFont="1" applyFill="1" applyBorder="1"/>
    <xf numFmtId="165" fontId="14" fillId="0" borderId="12" xfId="0" applyNumberFormat="1" applyFont="1" applyFill="1" applyBorder="1"/>
    <xf numFmtId="165" fontId="16" fillId="0" borderId="0" xfId="0" applyNumberFormat="1" applyFont="1" applyFill="1"/>
    <xf numFmtId="6" fontId="14" fillId="0" borderId="0" xfId="0" applyNumberFormat="1" applyFont="1" applyFill="1"/>
    <xf numFmtId="167" fontId="76" fillId="0" borderId="0" xfId="2" applyNumberFormat="1" applyFont="1" applyFill="1" applyBorder="1" applyAlignment="1" applyProtection="1">
      <alignment horizontal="right" vertical="top"/>
      <protection locked="0"/>
    </xf>
    <xf numFmtId="211" fontId="77" fillId="0" borderId="0" xfId="0" applyNumberFormat="1" applyFont="1" applyFill="1" applyBorder="1" applyAlignment="1" applyProtection="1">
      <alignment horizontal="right" vertical="top"/>
      <protection locked="0"/>
    </xf>
    <xf numFmtId="172" fontId="14" fillId="0" borderId="0" xfId="0" applyNumberFormat="1" applyFont="1" applyFill="1"/>
    <xf numFmtId="0" fontId="14" fillId="0" borderId="28" xfId="0" applyFont="1" applyFill="1" applyBorder="1" applyAlignment="1">
      <alignment horizontal="right"/>
    </xf>
    <xf numFmtId="0" fontId="78" fillId="0" borderId="28" xfId="0" applyFont="1" applyFill="1" applyBorder="1" applyAlignment="1">
      <alignment horizontal="left"/>
    </xf>
    <xf numFmtId="177" fontId="19" fillId="0" borderId="0" xfId="0" applyNumberFormat="1" applyFont="1" applyFill="1"/>
    <xf numFmtId="177" fontId="14" fillId="0" borderId="0" xfId="0" applyNumberFormat="1" applyFont="1" applyFill="1"/>
    <xf numFmtId="49" fontId="14" fillId="0" borderId="0" xfId="25" applyNumberFormat="1" applyFont="1" applyFill="1" applyBorder="1"/>
    <xf numFmtId="7" fontId="14" fillId="0" borderId="0" xfId="0" applyNumberFormat="1" applyFont="1" applyFill="1"/>
    <xf numFmtId="167" fontId="14" fillId="0" borderId="0" xfId="2" applyNumberFormat="1" applyFont="1" applyFill="1"/>
    <xf numFmtId="0" fontId="78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center"/>
    </xf>
    <xf numFmtId="177" fontId="19" fillId="0" borderId="0" xfId="0" applyNumberFormat="1" applyFont="1" applyFill="1" applyBorder="1"/>
    <xf numFmtId="0" fontId="14" fillId="0" borderId="0" xfId="0" applyNumberFormat="1" applyFont="1" applyFill="1"/>
    <xf numFmtId="17" fontId="14" fillId="0" borderId="0" xfId="0" applyNumberFormat="1" applyFont="1" applyFill="1"/>
    <xf numFmtId="167" fontId="14" fillId="0" borderId="0" xfId="2" applyNumberFormat="1" applyFont="1" applyFill="1" applyBorder="1" applyProtection="1"/>
    <xf numFmtId="167" fontId="14" fillId="0" borderId="0" xfId="2" applyNumberFormat="1" applyFont="1" applyFill="1" applyProtection="1"/>
    <xf numFmtId="0" fontId="14" fillId="0" borderId="45" xfId="0" applyFont="1" applyFill="1" applyBorder="1"/>
    <xf numFmtId="167" fontId="14" fillId="0" borderId="45" xfId="2" applyNumberFormat="1" applyFont="1" applyFill="1" applyBorder="1"/>
    <xf numFmtId="0" fontId="14" fillId="0" borderId="0" xfId="1" applyNumberFormat="1" applyFont="1" applyFill="1"/>
    <xf numFmtId="2" fontId="14" fillId="0" borderId="0" xfId="0" applyNumberFormat="1" applyFont="1" applyFill="1"/>
    <xf numFmtId="5" fontId="14" fillId="0" borderId="0" xfId="1" applyNumberFormat="1" applyFont="1" applyFill="1"/>
    <xf numFmtId="178" fontId="14" fillId="0" borderId="0" xfId="0" applyNumberFormat="1" applyFont="1" applyFill="1"/>
    <xf numFmtId="9" fontId="14" fillId="0" borderId="0" xfId="0" applyNumberFormat="1" applyFont="1" applyFill="1"/>
    <xf numFmtId="0" fontId="12" fillId="0" borderId="0" xfId="0" applyFont="1" applyFill="1" applyBorder="1"/>
    <xf numFmtId="0" fontId="14" fillId="0" borderId="28" xfId="0" applyFont="1" applyFill="1" applyBorder="1" applyAlignment="1"/>
    <xf numFmtId="0" fontId="16" fillId="0" borderId="0" xfId="13" applyFont="1" applyFill="1" applyBorder="1"/>
    <xf numFmtId="168" fontId="41" fillId="0" borderId="0" xfId="1" applyNumberFormat="1" applyFont="1" applyFill="1" applyAlignment="1">
      <alignment horizontal="left"/>
    </xf>
    <xf numFmtId="0" fontId="7" fillId="0" borderId="0" xfId="6" applyFont="1" applyFill="1"/>
    <xf numFmtId="6" fontId="7" fillId="0" borderId="0" xfId="6" applyNumberFormat="1" applyFill="1"/>
    <xf numFmtId="168" fontId="7" fillId="3" borderId="0" xfId="1" applyNumberFormat="1" applyFont="1" applyFill="1"/>
    <xf numFmtId="172" fontId="7" fillId="3" borderId="0" xfId="6" applyNumberFormat="1" applyFont="1" applyFill="1"/>
    <xf numFmtId="44" fontId="7" fillId="3" borderId="0" xfId="2" applyFill="1"/>
    <xf numFmtId="43" fontId="33" fillId="0" borderId="0" xfId="0" applyNumberFormat="1" applyFont="1" applyFill="1" applyProtection="1">
      <protection locked="0"/>
    </xf>
    <xf numFmtId="0" fontId="7" fillId="3" borderId="0" xfId="6" applyFont="1" applyFill="1"/>
    <xf numFmtId="172" fontId="42" fillId="3" borderId="0" xfId="1" applyNumberFormat="1" applyFont="1" applyFill="1"/>
    <xf numFmtId="212" fontId="33" fillId="0" borderId="0" xfId="1" applyNumberFormat="1" applyFont="1" applyFill="1" applyBorder="1"/>
    <xf numFmtId="7" fontId="33" fillId="0" borderId="0" xfId="1" applyNumberFormat="1" applyFont="1" applyFill="1" applyBorder="1"/>
    <xf numFmtId="165" fontId="14" fillId="0" borderId="5" xfId="0" applyNumberFormat="1" applyFont="1" applyFill="1" applyBorder="1"/>
    <xf numFmtId="165" fontId="14" fillId="0" borderId="69" xfId="0" applyNumberFormat="1" applyFont="1" applyFill="1" applyBorder="1"/>
    <xf numFmtId="0" fontId="0" fillId="0" borderId="0" xfId="0" applyFill="1" applyBorder="1" applyProtection="1"/>
    <xf numFmtId="0" fontId="8" fillId="0" borderId="0" xfId="0" applyFont="1" applyFill="1" applyAlignment="1" applyProtection="1">
      <alignment horizontal="center"/>
    </xf>
    <xf numFmtId="0" fontId="79" fillId="4" borderId="20" xfId="23" applyFont="1" applyFill="1" applyBorder="1" applyAlignment="1" applyProtection="1">
      <alignment horizontal="left" vertical="top"/>
      <protection locked="0"/>
    </xf>
    <xf numFmtId="7" fontId="79" fillId="4" borderId="20" xfId="23" applyNumberFormat="1" applyFont="1" applyFill="1" applyBorder="1" applyAlignment="1" applyProtection="1">
      <alignment horizontal="right" vertical="top"/>
      <protection locked="0"/>
    </xf>
    <xf numFmtId="0" fontId="79" fillId="4" borderId="6" xfId="23" applyFont="1" applyFill="1" applyBorder="1" applyAlignment="1" applyProtection="1">
      <alignment horizontal="center" vertical="top"/>
      <protection locked="0"/>
    </xf>
    <xf numFmtId="37" fontId="79" fillId="4" borderId="20" xfId="23" applyNumberFormat="1" applyFont="1" applyFill="1" applyBorder="1" applyAlignment="1" applyProtection="1">
      <alignment horizontal="right" vertical="top"/>
      <protection locked="0"/>
    </xf>
    <xf numFmtId="213" fontId="79" fillId="4" borderId="20" xfId="23" applyNumberFormat="1" applyFont="1" applyFill="1" applyBorder="1" applyAlignment="1" applyProtection="1">
      <alignment horizontal="right" vertical="top"/>
      <protection locked="0"/>
    </xf>
    <xf numFmtId="212" fontId="79" fillId="4" borderId="20" xfId="23" applyNumberFormat="1" applyFont="1" applyFill="1" applyBorder="1" applyAlignment="1" applyProtection="1">
      <alignment horizontal="right" vertical="top"/>
      <protection locked="0"/>
    </xf>
    <xf numFmtId="0" fontId="51" fillId="0" borderId="0" xfId="0" applyFont="1" applyFill="1" applyBorder="1" applyProtection="1"/>
    <xf numFmtId="7" fontId="8" fillId="0" borderId="0" xfId="0" applyNumberFormat="1" applyFont="1" applyFill="1" applyBorder="1" applyProtection="1">
      <protection locked="0"/>
    </xf>
    <xf numFmtId="0" fontId="0" fillId="0" borderId="0" xfId="0" applyFont="1" applyFill="1" applyBorder="1" applyProtection="1"/>
    <xf numFmtId="186" fontId="8" fillId="0" borderId="0" xfId="0" applyNumberFormat="1" applyFont="1" applyFill="1" applyBorder="1" applyProtection="1">
      <protection locked="0"/>
    </xf>
    <xf numFmtId="191" fontId="8" fillId="0" borderId="0" xfId="0" applyNumberFormat="1" applyFont="1" applyFill="1" applyBorder="1" applyProtection="1">
      <protection locked="0"/>
    </xf>
    <xf numFmtId="7" fontId="33" fillId="0" borderId="0" xfId="0" applyNumberFormat="1" applyFont="1" applyFill="1" applyBorder="1" applyProtection="1">
      <protection locked="0"/>
    </xf>
    <xf numFmtId="39" fontId="33" fillId="0" borderId="0" xfId="0" applyNumberFormat="1" applyFont="1" applyFill="1" applyBorder="1" applyProtection="1">
      <protection locked="0"/>
    </xf>
    <xf numFmtId="191" fontId="33" fillId="0" borderId="0" xfId="0" applyNumberFormat="1" applyFont="1" applyFill="1" applyBorder="1" applyProtection="1">
      <protection locked="0"/>
    </xf>
    <xf numFmtId="0" fontId="8" fillId="0" borderId="0" xfId="0" applyFont="1" applyFill="1" applyBorder="1"/>
    <xf numFmtId="5" fontId="8" fillId="0" borderId="0" xfId="0" applyNumberFormat="1" applyFont="1" applyFill="1" applyBorder="1"/>
    <xf numFmtId="0" fontId="7" fillId="0" borderId="0" xfId="23" applyBorder="1"/>
    <xf numFmtId="166" fontId="7" fillId="3" borderId="0" xfId="14" applyNumberFormat="1" applyFill="1"/>
    <xf numFmtId="166" fontId="7" fillId="3" borderId="0" xfId="14" applyNumberFormat="1" applyFont="1" applyFill="1"/>
    <xf numFmtId="0" fontId="7" fillId="0" borderId="0" xfId="26" applyFill="1" applyBorder="1"/>
    <xf numFmtId="168" fontId="7" fillId="0" borderId="0" xfId="27" applyNumberFormat="1" applyFill="1" applyBorder="1"/>
    <xf numFmtId="168" fontId="7" fillId="0" borderId="0" xfId="27" applyNumberFormat="1" applyFill="1"/>
    <xf numFmtId="0" fontId="7" fillId="0" borderId="0" xfId="26" applyFill="1"/>
    <xf numFmtId="0" fontId="40" fillId="0" borderId="0" xfId="26" applyFont="1" applyFill="1"/>
    <xf numFmtId="0" fontId="40" fillId="0" borderId="36" xfId="26" applyFont="1" applyFill="1" applyBorder="1"/>
    <xf numFmtId="0" fontId="40" fillId="0" borderId="28" xfId="26" applyFont="1" applyFill="1" applyBorder="1"/>
    <xf numFmtId="0" fontId="40" fillId="0" borderId="38" xfId="26" applyFont="1" applyFill="1" applyBorder="1"/>
    <xf numFmtId="0" fontId="40" fillId="0" borderId="61" xfId="26" applyFont="1" applyFill="1" applyBorder="1"/>
    <xf numFmtId="0" fontId="7" fillId="0" borderId="36" xfId="26" applyFill="1" applyBorder="1"/>
    <xf numFmtId="0" fontId="7" fillId="0" borderId="28" xfId="26" applyFill="1" applyBorder="1"/>
    <xf numFmtId="0" fontId="7" fillId="0" borderId="38" xfId="26" applyFill="1" applyBorder="1"/>
    <xf numFmtId="0" fontId="40" fillId="0" borderId="19" xfId="26" applyFont="1" applyFill="1" applyBorder="1"/>
    <xf numFmtId="0" fontId="40" fillId="0" borderId="12" xfId="26" applyFont="1" applyFill="1" applyBorder="1"/>
    <xf numFmtId="0" fontId="40" fillId="0" borderId="13" xfId="26" applyFont="1" applyFill="1" applyBorder="1"/>
    <xf numFmtId="0" fontId="40" fillId="0" borderId="44" xfId="26" applyFont="1" applyFill="1" applyBorder="1"/>
    <xf numFmtId="0" fontId="7" fillId="0" borderId="36" xfId="26" applyFont="1" applyFill="1" applyBorder="1"/>
    <xf numFmtId="0" fontId="7" fillId="0" borderId="28" xfId="26" applyFont="1" applyFill="1" applyBorder="1"/>
    <xf numFmtId="168" fontId="7" fillId="0" borderId="36" xfId="27" applyNumberFormat="1" applyFill="1" applyBorder="1"/>
    <xf numFmtId="168" fontId="7" fillId="0" borderId="28" xfId="27" applyNumberFormat="1" applyFill="1" applyBorder="1"/>
    <xf numFmtId="168" fontId="7" fillId="0" borderId="38" xfId="27" applyNumberFormat="1" applyFill="1" applyBorder="1"/>
    <xf numFmtId="168" fontId="7" fillId="0" borderId="61" xfId="27" applyNumberFormat="1" applyFill="1" applyBorder="1"/>
    <xf numFmtId="0" fontId="7" fillId="0" borderId="5" xfId="26" applyFont="1" applyFill="1" applyBorder="1"/>
    <xf numFmtId="0" fontId="7" fillId="0" borderId="0" xfId="26" applyFont="1" applyFill="1" applyBorder="1"/>
    <xf numFmtId="168" fontId="7" fillId="0" borderId="5" xfId="27" applyNumberFormat="1" applyFill="1" applyBorder="1"/>
    <xf numFmtId="168" fontId="7" fillId="0" borderId="4" xfId="27" applyNumberFormat="1" applyFill="1" applyBorder="1"/>
    <xf numFmtId="168" fontId="7" fillId="0" borderId="35" xfId="27" applyNumberFormat="1" applyFill="1" applyBorder="1"/>
    <xf numFmtId="0" fontId="7" fillId="0" borderId="19" xfId="26" applyFont="1" applyFill="1" applyBorder="1"/>
    <xf numFmtId="0" fontId="7" fillId="0" borderId="12" xfId="26" applyFont="1" applyFill="1" applyBorder="1"/>
    <xf numFmtId="168" fontId="7" fillId="0" borderId="19" xfId="27" applyNumberFormat="1" applyFill="1" applyBorder="1"/>
    <xf numFmtId="168" fontId="7" fillId="0" borderId="12" xfId="27" applyNumberFormat="1" applyFill="1" applyBorder="1"/>
    <xf numFmtId="168" fontId="7" fillId="0" borderId="13" xfId="27" applyNumberFormat="1" applyFill="1" applyBorder="1"/>
    <xf numFmtId="168" fontId="7" fillId="0" borderId="44" xfId="27" applyNumberFormat="1" applyFill="1" applyBorder="1"/>
    <xf numFmtId="4" fontId="7" fillId="0" borderId="0" xfId="26" applyNumberFormat="1" applyFill="1"/>
    <xf numFmtId="168" fontId="7" fillId="0" borderId="0" xfId="26" applyNumberFormat="1" applyFill="1"/>
    <xf numFmtId="0" fontId="7" fillId="0" borderId="0" xfId="26" applyFont="1" applyFill="1"/>
    <xf numFmtId="0" fontId="59" fillId="0" borderId="0" xfId="28" applyFont="1" applyFill="1" applyAlignment="1" applyProtection="1">
      <alignment horizontal="left"/>
    </xf>
    <xf numFmtId="0" fontId="14" fillId="0" borderId="0" xfId="28" applyFont="1" applyFill="1" applyAlignment="1" applyProtection="1">
      <alignment horizontal="left"/>
    </xf>
    <xf numFmtId="0" fontId="14" fillId="0" borderId="0" xfId="28" applyFont="1" applyFill="1" applyAlignment="1">
      <alignment horizontal="left"/>
    </xf>
    <xf numFmtId="0" fontId="14" fillId="0" borderId="0" xfId="28" applyFont="1" applyFill="1"/>
    <xf numFmtId="0" fontId="14" fillId="0" borderId="0" xfId="28" applyFont="1" applyFill="1" applyAlignment="1" applyProtection="1">
      <alignment horizontal="center"/>
    </xf>
    <xf numFmtId="0" fontId="14" fillId="0" borderId="11" xfId="28" applyFont="1" applyFill="1" applyBorder="1" applyAlignment="1" applyProtection="1">
      <alignment horizontal="center"/>
    </xf>
    <xf numFmtId="0" fontId="14" fillId="0" borderId="0" xfId="28" applyFont="1" applyFill="1" applyAlignment="1" applyProtection="1">
      <alignment horizontal="centerContinuous"/>
    </xf>
    <xf numFmtId="0" fontId="14" fillId="0" borderId="0" xfId="28" applyFont="1" applyFill="1" applyProtection="1"/>
    <xf numFmtId="0" fontId="14" fillId="0" borderId="0" xfId="28" applyFont="1" applyFill="1" applyBorder="1" applyAlignment="1" applyProtection="1">
      <alignment horizontal="centerContinuous"/>
    </xf>
    <xf numFmtId="0" fontId="14" fillId="0" borderId="0" xfId="28" applyFont="1" applyFill="1" applyBorder="1" applyProtection="1"/>
    <xf numFmtId="0" fontId="14" fillId="0" borderId="0" xfId="28" applyFont="1" applyFill="1" applyBorder="1" applyAlignment="1" applyProtection="1">
      <alignment horizontal="center"/>
    </xf>
    <xf numFmtId="0" fontId="14" fillId="0" borderId="34" xfId="28" applyFont="1" applyFill="1" applyBorder="1" applyAlignment="1" applyProtection="1">
      <alignment horizontal="center"/>
    </xf>
    <xf numFmtId="0" fontId="14" fillId="0" borderId="9" xfId="28" applyFont="1" applyFill="1" applyBorder="1" applyAlignment="1" applyProtection="1">
      <alignment horizontal="center"/>
    </xf>
    <xf numFmtId="6" fontId="14" fillId="0" borderId="9" xfId="28" quotePrefix="1" applyNumberFormat="1" applyFont="1" applyFill="1" applyBorder="1" applyAlignment="1" applyProtection="1">
      <alignment horizontal="center"/>
    </xf>
    <xf numFmtId="0" fontId="14" fillId="0" borderId="12" xfId="28" applyFont="1" applyFill="1" applyBorder="1" applyAlignment="1" applyProtection="1">
      <alignment horizontal="centerContinuous"/>
    </xf>
    <xf numFmtId="17" fontId="14" fillId="0" borderId="0" xfId="28" applyNumberFormat="1" applyFont="1" applyFill="1" applyAlignment="1" applyProtection="1">
      <alignment horizontal="left"/>
    </xf>
    <xf numFmtId="37" fontId="14" fillId="0" borderId="0" xfId="28" applyNumberFormat="1" applyFont="1" applyFill="1" applyBorder="1" applyProtection="1"/>
    <xf numFmtId="37" fontId="14" fillId="0" borderId="11" xfId="28" applyNumberFormat="1" applyFont="1" applyFill="1" applyBorder="1" applyProtection="1"/>
    <xf numFmtId="173" fontId="14" fillId="0" borderId="11" xfId="28" applyNumberFormat="1" applyFont="1" applyFill="1" applyBorder="1"/>
    <xf numFmtId="173" fontId="14" fillId="0" borderId="0" xfId="28" applyNumberFormat="1" applyFont="1" applyFill="1"/>
    <xf numFmtId="42" fontId="14" fillId="0" borderId="11" xfId="28" applyNumberFormat="1" applyFont="1" applyFill="1" applyBorder="1" applyProtection="1"/>
    <xf numFmtId="17" fontId="14" fillId="0" borderId="0" xfId="28" applyNumberFormat="1" applyFont="1" applyFill="1"/>
    <xf numFmtId="17" fontId="14" fillId="0" borderId="0" xfId="28" applyNumberFormat="1" applyFont="1" applyFill="1" applyBorder="1" applyAlignment="1" applyProtection="1">
      <alignment horizontal="right"/>
    </xf>
    <xf numFmtId="37" fontId="14" fillId="0" borderId="28" xfId="28" applyNumberFormat="1" applyFont="1" applyFill="1" applyBorder="1" applyProtection="1"/>
    <xf numFmtId="37" fontId="14" fillId="0" borderId="0" xfId="28" applyNumberFormat="1" applyFont="1" applyFill="1" applyProtection="1"/>
    <xf numFmtId="17" fontId="14" fillId="0" borderId="12" xfId="28" applyNumberFormat="1" applyFont="1" applyFill="1" applyBorder="1" applyAlignment="1" applyProtection="1">
      <alignment horizontal="right"/>
    </xf>
    <xf numFmtId="37" fontId="14" fillId="0" borderId="12" xfId="28" applyNumberFormat="1" applyFont="1" applyFill="1" applyBorder="1" applyProtection="1"/>
    <xf numFmtId="17" fontId="14" fillId="0" borderId="0" xfId="28" applyNumberFormat="1" applyFont="1" applyFill="1" applyBorder="1" applyAlignment="1" applyProtection="1">
      <alignment horizontal="left"/>
    </xf>
    <xf numFmtId="17" fontId="14" fillId="0" borderId="0" xfId="28" applyNumberFormat="1" applyFont="1" applyFill="1" applyBorder="1"/>
    <xf numFmtId="37" fontId="14" fillId="0" borderId="1" xfId="28" applyNumberFormat="1" applyFont="1" applyFill="1" applyBorder="1" applyProtection="1"/>
    <xf numFmtId="42" fontId="14" fillId="0" borderId="5" xfId="28" applyNumberFormat="1" applyFont="1" applyFill="1" applyBorder="1" applyProtection="1"/>
    <xf numFmtId="37" fontId="14" fillId="0" borderId="34" xfId="28" applyNumberFormat="1" applyFont="1" applyFill="1" applyBorder="1" applyProtection="1"/>
    <xf numFmtId="37" fontId="14" fillId="0" borderId="9" xfId="28" applyNumberFormat="1" applyFont="1" applyFill="1" applyBorder="1" applyProtection="1"/>
    <xf numFmtId="173" fontId="14" fillId="0" borderId="9" xfId="28" applyNumberFormat="1" applyFont="1" applyFill="1" applyBorder="1"/>
    <xf numFmtId="173" fontId="14" fillId="0" borderId="10" xfId="28" applyNumberFormat="1" applyFont="1" applyFill="1" applyBorder="1"/>
    <xf numFmtId="42" fontId="14" fillId="0" borderId="30" xfId="28" applyNumberFormat="1" applyFont="1" applyFill="1" applyBorder="1" applyProtection="1"/>
    <xf numFmtId="0" fontId="14" fillId="0" borderId="11" xfId="28" applyFont="1" applyFill="1" applyBorder="1"/>
    <xf numFmtId="42" fontId="14" fillId="0" borderId="11" xfId="28" applyNumberFormat="1" applyFont="1" applyFill="1" applyBorder="1"/>
    <xf numFmtId="42" fontId="14" fillId="0" borderId="0" xfId="28" applyNumberFormat="1" applyFont="1" applyFill="1" applyBorder="1" applyProtection="1"/>
    <xf numFmtId="5" fontId="14" fillId="0" borderId="0" xfId="28" applyNumberFormat="1" applyFont="1" applyFill="1" applyBorder="1" applyProtection="1"/>
    <xf numFmtId="5" fontId="14" fillId="0" borderId="0" xfId="28" applyNumberFormat="1" applyFont="1" applyFill="1" applyProtection="1"/>
    <xf numFmtId="42" fontId="14" fillId="0" borderId="0" xfId="28" applyNumberFormat="1" applyFont="1" applyFill="1"/>
    <xf numFmtId="173" fontId="14" fillId="0" borderId="5" xfId="28" applyNumberFormat="1" applyFont="1" applyFill="1" applyBorder="1"/>
    <xf numFmtId="173" fontId="14" fillId="0" borderId="0" xfId="28" applyNumberFormat="1" applyFont="1" applyFill="1" applyBorder="1"/>
    <xf numFmtId="173" fontId="14" fillId="0" borderId="4" xfId="28" applyNumberFormat="1" applyFont="1" applyFill="1" applyBorder="1"/>
    <xf numFmtId="37" fontId="14" fillId="0" borderId="10" xfId="28" applyNumberFormat="1" applyFont="1" applyFill="1" applyBorder="1" applyProtection="1"/>
    <xf numFmtId="42" fontId="14" fillId="0" borderId="9" xfId="28" applyNumberFormat="1" applyFont="1" applyFill="1" applyBorder="1" applyProtection="1"/>
    <xf numFmtId="0" fontId="14" fillId="0" borderId="5" xfId="28" applyFont="1" applyFill="1" applyBorder="1" applyAlignment="1" applyProtection="1">
      <alignment horizontal="center"/>
    </xf>
    <xf numFmtId="0" fontId="14" fillId="0" borderId="12" xfId="28" applyFont="1" applyFill="1" applyBorder="1" applyAlignment="1" applyProtection="1">
      <alignment horizontal="center"/>
    </xf>
    <xf numFmtId="0" fontId="14" fillId="0" borderId="19" xfId="28" applyFont="1" applyFill="1" applyBorder="1" applyAlignment="1" applyProtection="1">
      <alignment horizontal="center"/>
    </xf>
    <xf numFmtId="37" fontId="14" fillId="0" borderId="5" xfId="28" applyNumberFormat="1" applyFont="1" applyFill="1" applyBorder="1" applyProtection="1"/>
    <xf numFmtId="0" fontId="14" fillId="0" borderId="12" xfId="28" applyFont="1" applyFill="1" applyBorder="1" applyAlignment="1">
      <alignment horizontal="right"/>
    </xf>
    <xf numFmtId="37" fontId="14" fillId="0" borderId="13" xfId="28" applyNumberFormat="1" applyFont="1" applyFill="1" applyBorder="1" applyProtection="1"/>
    <xf numFmtId="37" fontId="14" fillId="0" borderId="19" xfId="28" applyNumberFormat="1" applyFont="1" applyFill="1" applyBorder="1" applyProtection="1"/>
    <xf numFmtId="37" fontId="14" fillId="0" borderId="31" xfId="28" applyNumberFormat="1" applyFont="1" applyFill="1" applyBorder="1" applyProtection="1"/>
    <xf numFmtId="173" fontId="14" fillId="0" borderId="34" xfId="28" applyNumberFormat="1" applyFont="1" applyFill="1" applyBorder="1"/>
    <xf numFmtId="173" fontId="14" fillId="0" borderId="70" xfId="28" applyNumberFormat="1" applyFont="1" applyFill="1" applyBorder="1"/>
    <xf numFmtId="42" fontId="14" fillId="0" borderId="19" xfId="28" applyNumberFormat="1" applyFont="1" applyFill="1" applyBorder="1" applyProtection="1"/>
    <xf numFmtId="175" fontId="14" fillId="0" borderId="5" xfId="28" applyNumberFormat="1" applyFont="1" applyFill="1" applyBorder="1" applyProtection="1"/>
    <xf numFmtId="175" fontId="14" fillId="0" borderId="0" xfId="28" applyNumberFormat="1" applyFont="1" applyFill="1" applyProtection="1"/>
    <xf numFmtId="42" fontId="14" fillId="0" borderId="5" xfId="28" applyNumberFormat="1" applyFont="1" applyFill="1" applyBorder="1"/>
    <xf numFmtId="37" fontId="14" fillId="0" borderId="0" xfId="28" applyNumberFormat="1" applyFont="1" applyFill="1"/>
    <xf numFmtId="14" fontId="14" fillId="0" borderId="0" xfId="28" applyNumberFormat="1" applyFont="1" applyFill="1"/>
    <xf numFmtId="1" fontId="14" fillId="0" borderId="0" xfId="28" applyNumberFormat="1" applyFont="1" applyFill="1"/>
    <xf numFmtId="170" fontId="14" fillId="0" borderId="0" xfId="28" applyNumberFormat="1" applyFont="1" applyFill="1" applyBorder="1" applyProtection="1"/>
    <xf numFmtId="0" fontId="14" fillId="0" borderId="0" xfId="28" applyFont="1" applyFill="1" applyBorder="1"/>
    <xf numFmtId="167" fontId="14" fillId="0" borderId="0" xfId="28" applyNumberFormat="1" applyFont="1" applyFill="1" applyProtection="1"/>
    <xf numFmtId="0" fontId="70" fillId="5" borderId="59" xfId="29" applyFont="1" applyFill="1" applyBorder="1" applyAlignment="1">
      <alignment horizontal="center" vertical="top" wrapText="1"/>
    </xf>
    <xf numFmtId="0" fontId="70" fillId="5" borderId="71" xfId="29" applyFont="1" applyFill="1" applyBorder="1" applyAlignment="1">
      <alignment horizontal="center" vertical="top" wrapText="1"/>
    </xf>
    <xf numFmtId="0" fontId="7" fillId="5" borderId="0" xfId="29" applyFont="1" applyFill="1" applyAlignment="1">
      <alignment wrapText="1"/>
    </xf>
    <xf numFmtId="0" fontId="7" fillId="0" borderId="0" xfId="29" applyFont="1" applyAlignment="1">
      <alignment wrapText="1"/>
    </xf>
    <xf numFmtId="0" fontId="70" fillId="5" borderId="59" xfId="29" applyFont="1" applyFill="1" applyBorder="1" applyAlignment="1">
      <alignment horizontal="left" vertical="top"/>
    </xf>
    <xf numFmtId="0" fontId="70" fillId="5" borderId="71" xfId="29" applyFont="1" applyFill="1" applyBorder="1" applyAlignment="1">
      <alignment horizontal="left" vertical="top"/>
    </xf>
    <xf numFmtId="196" fontId="70" fillId="5" borderId="71" xfId="29" applyNumberFormat="1" applyFont="1" applyFill="1" applyBorder="1" applyAlignment="1">
      <alignment horizontal="right" vertical="top"/>
    </xf>
    <xf numFmtId="0" fontId="7" fillId="5" borderId="62" xfId="29" applyFont="1" applyFill="1" applyBorder="1" applyAlignment="1">
      <alignment wrapText="1"/>
    </xf>
    <xf numFmtId="0" fontId="7" fillId="5" borderId="72" xfId="29" applyFont="1" applyFill="1" applyBorder="1" applyAlignment="1">
      <alignment wrapText="1"/>
    </xf>
    <xf numFmtId="196" fontId="7" fillId="5" borderId="0" xfId="29" applyNumberFormat="1" applyFont="1" applyFill="1" applyAlignment="1">
      <alignment wrapText="1"/>
    </xf>
    <xf numFmtId="0" fontId="7" fillId="5" borderId="64" xfId="29" applyFont="1" applyFill="1" applyBorder="1" applyAlignment="1">
      <alignment wrapText="1"/>
    </xf>
    <xf numFmtId="0" fontId="7" fillId="5" borderId="73" xfId="29" applyFont="1" applyFill="1" applyBorder="1" applyAlignment="1">
      <alignment wrapText="1"/>
    </xf>
    <xf numFmtId="0" fontId="70" fillId="5" borderId="74" xfId="29" applyFont="1" applyFill="1" applyBorder="1" applyAlignment="1">
      <alignment horizontal="left" vertical="top"/>
    </xf>
    <xf numFmtId="196" fontId="70" fillId="5" borderId="74" xfId="29" applyNumberFormat="1" applyFont="1" applyFill="1" applyBorder="1" applyAlignment="1">
      <alignment horizontal="right" vertical="top"/>
    </xf>
    <xf numFmtId="196" fontId="7" fillId="0" borderId="0" xfId="29" applyNumberFormat="1" applyFont="1" applyAlignment="1">
      <alignment wrapText="1"/>
    </xf>
    <xf numFmtId="43" fontId="7" fillId="3" borderId="0" xfId="1" applyFont="1" applyFill="1"/>
    <xf numFmtId="172" fontId="80" fillId="0" borderId="0" xfId="1" applyNumberFormat="1" applyFont="1" applyFill="1"/>
    <xf numFmtId="3" fontId="33" fillId="0" borderId="0" xfId="1" applyNumberFormat="1" applyFont="1" applyFill="1" applyBorder="1"/>
    <xf numFmtId="0" fontId="82" fillId="2" borderId="59" xfId="30" applyFont="1" applyFill="1" applyBorder="1" applyAlignment="1">
      <alignment horizontal="center" vertical="top" wrapText="1"/>
    </xf>
    <xf numFmtId="0" fontId="81" fillId="2" borderId="0" xfId="30" applyFont="1" applyFill="1" applyAlignment="1">
      <alignment wrapText="1"/>
    </xf>
    <xf numFmtId="0" fontId="81" fillId="0" borderId="0" xfId="30" applyFont="1" applyAlignment="1">
      <alignment wrapText="1"/>
    </xf>
    <xf numFmtId="0" fontId="82" fillId="2" borderId="63" xfId="30" applyFont="1" applyFill="1" applyBorder="1" applyAlignment="1">
      <alignment horizontal="left" vertical="top"/>
    </xf>
    <xf numFmtId="196" fontId="82" fillId="2" borderId="63" xfId="30" applyNumberFormat="1" applyFont="1" applyFill="1" applyBorder="1" applyAlignment="1">
      <alignment horizontal="right" vertical="top"/>
    </xf>
    <xf numFmtId="5" fontId="7" fillId="3" borderId="0" xfId="6" applyNumberFormat="1" applyFill="1"/>
    <xf numFmtId="6" fontId="7" fillId="3" borderId="0" xfId="6" quotePrefix="1" applyNumberFormat="1" applyFill="1"/>
    <xf numFmtId="42" fontId="0" fillId="0" borderId="0" xfId="0" applyNumberFormat="1" applyBorder="1"/>
    <xf numFmtId="3" fontId="12" fillId="0" borderId="0" xfId="0" applyNumberFormat="1" applyFont="1" applyFill="1"/>
    <xf numFmtId="184" fontId="14" fillId="0" borderId="0" xfId="28" applyNumberFormat="1" applyFont="1" applyFill="1" applyProtection="1"/>
    <xf numFmtId="37" fontId="16" fillId="0" borderId="0" xfId="0" applyNumberFormat="1" applyFont="1" applyFill="1"/>
    <xf numFmtId="0" fontId="39" fillId="0" borderId="0" xfId="8" applyFont="1" applyAlignment="1">
      <alignment horizontal="center"/>
    </xf>
    <xf numFmtId="0" fontId="7" fillId="0" borderId="0" xfId="8" applyBorder="1" applyAlignment="1">
      <alignment horizontal="center"/>
    </xf>
    <xf numFmtId="0" fontId="7" fillId="6" borderId="39" xfId="26" applyFill="1" applyBorder="1"/>
    <xf numFmtId="0" fontId="7" fillId="6" borderId="75" xfId="26" applyFill="1" applyBorder="1"/>
    <xf numFmtId="0" fontId="7" fillId="6" borderId="76" xfId="26" applyFill="1" applyBorder="1"/>
    <xf numFmtId="0" fontId="7" fillId="0" borderId="0" xfId="26"/>
    <xf numFmtId="0" fontId="40" fillId="6" borderId="39" xfId="26" applyFont="1" applyFill="1" applyBorder="1"/>
    <xf numFmtId="0" fontId="40" fillId="6" borderId="40" xfId="26" applyFont="1" applyFill="1" applyBorder="1"/>
    <xf numFmtId="0" fontId="40" fillId="6" borderId="3" xfId="26" applyFont="1" applyFill="1" applyBorder="1"/>
    <xf numFmtId="0" fontId="7" fillId="0" borderId="39" xfId="26" applyBorder="1"/>
    <xf numFmtId="0" fontId="7" fillId="0" borderId="39" xfId="26" applyNumberFormat="1" applyBorder="1"/>
    <xf numFmtId="0" fontId="7" fillId="0" borderId="40" xfId="26" applyNumberFormat="1" applyBorder="1"/>
    <xf numFmtId="0" fontId="7" fillId="0" borderId="3" xfId="26" applyNumberFormat="1" applyBorder="1"/>
    <xf numFmtId="0" fontId="7" fillId="0" borderId="11" xfId="26" applyBorder="1"/>
    <xf numFmtId="0" fontId="7" fillId="0" borderId="11" xfId="26" applyNumberFormat="1" applyBorder="1"/>
    <xf numFmtId="0" fontId="7" fillId="0" borderId="0" xfId="26" applyNumberFormat="1"/>
    <xf numFmtId="0" fontId="7" fillId="0" borderId="1" xfId="26" applyNumberFormat="1" applyBorder="1"/>
    <xf numFmtId="0" fontId="40" fillId="6" borderId="7" xfId="26" applyFont="1" applyFill="1" applyBorder="1"/>
    <xf numFmtId="0" fontId="40" fillId="6" borderId="7" xfId="26" applyNumberFormat="1" applyFont="1" applyFill="1" applyBorder="1"/>
    <xf numFmtId="0" fontId="40" fillId="6" borderId="77" xfId="26" applyNumberFormat="1" applyFont="1" applyFill="1" applyBorder="1"/>
    <xf numFmtId="0" fontId="40" fillId="6" borderId="8" xfId="26" applyNumberFormat="1" applyFont="1" applyFill="1" applyBorder="1"/>
    <xf numFmtId="37" fontId="7" fillId="0" borderId="0" xfId="19" applyNumberFormat="1" applyFont="1"/>
    <xf numFmtId="0" fontId="29" fillId="0" borderId="0" xfId="11" applyFont="1" applyFill="1" applyAlignment="1">
      <alignment horizontal="centerContinuous"/>
    </xf>
    <xf numFmtId="168" fontId="8" fillId="0" borderId="0" xfId="31" applyNumberFormat="1" applyFont="1" applyProtection="1"/>
    <xf numFmtId="3" fontId="9" fillId="0" borderId="0" xfId="32" applyNumberFormat="1" applyFont="1" applyAlignment="1" applyProtection="1">
      <alignment horizontal="centerContinuous"/>
    </xf>
    <xf numFmtId="168" fontId="8" fillId="0" borderId="0" xfId="31" applyNumberFormat="1" applyFont="1" applyAlignment="1">
      <alignment horizontal="centerContinuous"/>
    </xf>
    <xf numFmtId="3" fontId="8" fillId="0" borderId="0" xfId="32" applyNumberFormat="1" applyFont="1" applyAlignment="1">
      <alignment horizontal="centerContinuous"/>
    </xf>
    <xf numFmtId="3" fontId="8" fillId="0" borderId="0" xfId="32" applyNumberFormat="1" applyFont="1" applyFill="1" applyAlignment="1">
      <alignment horizontal="centerContinuous"/>
    </xf>
    <xf numFmtId="3" fontId="8" fillId="0" borderId="0" xfId="32" applyNumberFormat="1" applyFont="1"/>
    <xf numFmtId="0" fontId="6" fillId="0" borderId="0" xfId="32"/>
    <xf numFmtId="168" fontId="8" fillId="0" borderId="0" xfId="31" applyNumberFormat="1" applyFont="1"/>
    <xf numFmtId="168" fontId="9" fillId="0" borderId="0" xfId="32" applyNumberFormat="1" applyFont="1" applyFill="1" applyAlignment="1" applyProtection="1">
      <alignment horizontal="centerContinuous"/>
    </xf>
    <xf numFmtId="3" fontId="9" fillId="0" borderId="0" xfId="32" applyNumberFormat="1" applyFont="1"/>
    <xf numFmtId="168" fontId="9" fillId="0" borderId="0" xfId="31" applyNumberFormat="1" applyFont="1"/>
    <xf numFmtId="3" fontId="8" fillId="0" borderId="0" xfId="32" applyNumberFormat="1" applyFont="1" applyFill="1"/>
    <xf numFmtId="168" fontId="8" fillId="0" borderId="0" xfId="31" applyNumberFormat="1" applyFont="1" applyAlignment="1" applyProtection="1">
      <alignment horizontal="centerContinuous"/>
    </xf>
    <xf numFmtId="2" fontId="83" fillId="0" borderId="0" xfId="32" applyNumberFormat="1" applyFont="1" applyFill="1" applyBorder="1" applyAlignment="1">
      <alignment horizontal="center"/>
    </xf>
    <xf numFmtId="3" fontId="9" fillId="0" borderId="0" xfId="32" applyNumberFormat="1" applyFont="1" applyFill="1"/>
    <xf numFmtId="3" fontId="9" fillId="0" borderId="0" xfId="32" applyNumberFormat="1" applyFont="1" applyBorder="1"/>
    <xf numFmtId="0" fontId="9" fillId="0" borderId="0" xfId="32" applyFont="1" applyBorder="1" applyAlignment="1">
      <alignment horizontal="center"/>
    </xf>
    <xf numFmtId="0" fontId="9" fillId="0" borderId="0" xfId="32" applyFont="1" applyFill="1" applyBorder="1" applyAlignment="1">
      <alignment horizontal="center"/>
    </xf>
    <xf numFmtId="3" fontId="9" fillId="0" borderId="34" xfId="32" applyNumberFormat="1" applyFont="1" applyBorder="1" applyAlignment="1">
      <alignment horizontal="center"/>
    </xf>
    <xf numFmtId="168" fontId="9" fillId="0" borderId="34" xfId="31" applyNumberFormat="1" applyFont="1" applyBorder="1"/>
    <xf numFmtId="0" fontId="9" fillId="0" borderId="12" xfId="32" applyFont="1" applyBorder="1" applyAlignment="1">
      <alignment horizontal="center"/>
    </xf>
    <xf numFmtId="0" fontId="9" fillId="0" borderId="12" xfId="32" applyFont="1" applyFill="1" applyBorder="1" applyAlignment="1">
      <alignment horizontal="center"/>
    </xf>
    <xf numFmtId="3" fontId="8" fillId="0" borderId="0" xfId="32" applyNumberFormat="1" applyFont="1" applyFill="1" applyProtection="1"/>
    <xf numFmtId="168" fontId="8" fillId="0" borderId="0" xfId="31" applyNumberFormat="1" applyFont="1" applyFill="1"/>
    <xf numFmtId="168" fontId="8" fillId="0" borderId="0" xfId="31" applyNumberFormat="1" applyFont="1" applyBorder="1"/>
    <xf numFmtId="3" fontId="8" fillId="0" borderId="0" xfId="32" applyNumberFormat="1" applyFont="1" applyFill="1" applyBorder="1"/>
    <xf numFmtId="168" fontId="8" fillId="0" borderId="0" xfId="31" applyNumberFormat="1" applyFont="1" applyFill="1" applyBorder="1"/>
    <xf numFmtId="3" fontId="8" fillId="0" borderId="34" xfId="32" applyNumberFormat="1" applyFont="1" applyFill="1" applyBorder="1" applyProtection="1"/>
    <xf numFmtId="3" fontId="8" fillId="0" borderId="0" xfId="32" applyNumberFormat="1" applyFont="1" applyBorder="1"/>
    <xf numFmtId="166" fontId="8" fillId="0" borderId="0" xfId="32" applyNumberFormat="1" applyFont="1" applyFill="1" applyBorder="1" applyProtection="1"/>
    <xf numFmtId="166" fontId="8" fillId="0" borderId="12" xfId="32" applyNumberFormat="1" applyFont="1" applyFill="1" applyBorder="1" applyProtection="1"/>
    <xf numFmtId="166" fontId="8" fillId="0" borderId="0" xfId="32" applyNumberFormat="1" applyFont="1"/>
    <xf numFmtId="168" fontId="8" fillId="3" borderId="0" xfId="31" applyNumberFormat="1" applyFont="1" applyFill="1"/>
    <xf numFmtId="0" fontId="8" fillId="3" borderId="0" xfId="32" applyFont="1" applyFill="1" applyAlignment="1">
      <alignment horizontal="left"/>
    </xf>
    <xf numFmtId="166" fontId="8" fillId="3" borderId="12" xfId="33" applyNumberFormat="1" applyFont="1" applyFill="1" applyBorder="1" applyProtection="1"/>
    <xf numFmtId="168" fontId="8" fillId="0" borderId="0" xfId="31" applyNumberFormat="1" applyFont="1" applyBorder="1" applyAlignment="1">
      <alignment horizontal="center"/>
    </xf>
    <xf numFmtId="166" fontId="8" fillId="0" borderId="0" xfId="33" applyNumberFormat="1" applyFont="1" applyFill="1"/>
    <xf numFmtId="166" fontId="8" fillId="0" borderId="0" xfId="33" applyNumberFormat="1" applyFont="1"/>
    <xf numFmtId="5" fontId="8" fillId="0" borderId="0" xfId="32" applyNumberFormat="1" applyFont="1" applyFill="1" applyProtection="1"/>
    <xf numFmtId="5" fontId="6" fillId="0" borderId="0" xfId="32" applyNumberFormat="1"/>
    <xf numFmtId="37" fontId="6" fillId="0" borderId="0" xfId="32" applyNumberFormat="1"/>
    <xf numFmtId="0" fontId="14" fillId="0" borderId="0" xfId="12" applyFont="1" applyFill="1"/>
    <xf numFmtId="3" fontId="8" fillId="0" borderId="0" xfId="0" applyNumberFormat="1" applyFont="1" applyFill="1" applyProtection="1"/>
    <xf numFmtId="3" fontId="8" fillId="0" borderId="0" xfId="0" applyNumberFormat="1" applyFont="1" applyFill="1"/>
    <xf numFmtId="3" fontId="8" fillId="0" borderId="0" xfId="0" applyNumberFormat="1" applyFont="1"/>
    <xf numFmtId="168" fontId="8" fillId="0" borderId="34" xfId="0" applyNumberFormat="1" applyFont="1" applyFill="1" applyBorder="1" applyProtection="1"/>
    <xf numFmtId="3" fontId="8" fillId="0" borderId="0" xfId="0" applyNumberFormat="1" applyFont="1" applyProtection="1">
      <protection locked="0"/>
    </xf>
    <xf numFmtId="3" fontId="8" fillId="0" borderId="0" xfId="0" applyNumberFormat="1" applyFont="1" applyFill="1" applyProtection="1">
      <protection locked="0"/>
    </xf>
    <xf numFmtId="166" fontId="8" fillId="0" borderId="0" xfId="0" applyNumberFormat="1" applyFont="1" applyFill="1" applyBorder="1" applyProtection="1"/>
    <xf numFmtId="166" fontId="8" fillId="0" borderId="12" xfId="0" applyNumberFormat="1" applyFont="1" applyFill="1" applyBorder="1" applyProtection="1"/>
    <xf numFmtId="166" fontId="8" fillId="0" borderId="0" xfId="0" applyNumberFormat="1" applyFont="1" applyFill="1" applyProtection="1">
      <protection locked="0"/>
    </xf>
    <xf numFmtId="166" fontId="8" fillId="0" borderId="0" xfId="0" applyNumberFormat="1" applyFont="1" applyProtection="1">
      <protection locked="0"/>
    </xf>
    <xf numFmtId="166" fontId="8" fillId="3" borderId="12" xfId="14" applyNumberFormat="1" applyFont="1" applyFill="1" applyBorder="1" applyProtection="1"/>
    <xf numFmtId="168" fontId="14" fillId="0" borderId="0" xfId="1" quotePrefix="1" applyNumberFormat="1" applyFont="1" applyFill="1"/>
    <xf numFmtId="10" fontId="8" fillId="0" borderId="37" xfId="14" applyNumberFormat="1" applyFont="1" applyFill="1" applyBorder="1" applyProtection="1">
      <protection locked="0"/>
    </xf>
    <xf numFmtId="0" fontId="14" fillId="0" borderId="0" xfId="12" applyFont="1" applyFill="1" applyBorder="1" applyAlignment="1">
      <alignment horizontal="center"/>
    </xf>
    <xf numFmtId="5" fontId="14" fillId="0" borderId="0" xfId="24" applyNumberFormat="1" applyFont="1" applyBorder="1" applyAlignment="1">
      <alignment horizontal="center"/>
    </xf>
    <xf numFmtId="5" fontId="15" fillId="0" borderId="12" xfId="12" applyNumberFormat="1" applyFill="1" applyBorder="1" applyProtection="1"/>
    <xf numFmtId="5" fontId="8" fillId="0" borderId="0" xfId="14" quotePrefix="1" applyNumberFormat="1" applyFont="1" applyFill="1" applyBorder="1" applyProtection="1">
      <protection locked="0"/>
    </xf>
    <xf numFmtId="0" fontId="14" fillId="0" borderId="0" xfId="12" quotePrefix="1" applyFont="1" applyFill="1" applyAlignment="1">
      <alignment horizontal="center"/>
    </xf>
    <xf numFmtId="171" fontId="58" fillId="0" borderId="0" xfId="14" applyNumberFormat="1" applyFont="1" applyFill="1"/>
    <xf numFmtId="0" fontId="15" fillId="0" borderId="0" xfId="12" applyFont="1" applyFill="1" applyBorder="1" applyAlignment="1">
      <alignment horizontal="center"/>
    </xf>
    <xf numFmtId="0" fontId="15" fillId="0" borderId="12" xfId="12" applyFont="1" applyFill="1" applyBorder="1" applyAlignment="1">
      <alignment horizontal="center"/>
    </xf>
    <xf numFmtId="0" fontId="45" fillId="0" borderId="0" xfId="12" quotePrefix="1" applyFont="1" applyFill="1" applyAlignment="1">
      <alignment horizontal="center"/>
    </xf>
    <xf numFmtId="0" fontId="45" fillId="0" borderId="0" xfId="12" applyFont="1" applyFill="1" applyAlignment="1">
      <alignment horizontal="center"/>
    </xf>
    <xf numFmtId="5" fontId="5" fillId="0" borderId="0" xfId="32" applyNumberFormat="1" applyFont="1"/>
    <xf numFmtId="0" fontId="29" fillId="0" borderId="12" xfId="11" applyFont="1" applyFill="1" applyBorder="1" applyAlignment="1">
      <alignment horizontal="center"/>
    </xf>
    <xf numFmtId="0" fontId="58" fillId="0" borderId="12" xfId="11" applyFont="1" applyFill="1" applyBorder="1" applyAlignment="1">
      <alignment horizontal="center"/>
    </xf>
    <xf numFmtId="0" fontId="29" fillId="0" borderId="12" xfId="11" applyFont="1" applyFill="1" applyBorder="1" applyAlignment="1">
      <alignment horizontal="center"/>
    </xf>
    <xf numFmtId="0" fontId="29" fillId="0" borderId="0" xfId="11" applyFont="1" applyFill="1" applyBorder="1" applyAlignment="1">
      <alignment horizontal="center"/>
    </xf>
    <xf numFmtId="0" fontId="29" fillId="0" borderId="0" xfId="11" applyFont="1" applyFill="1" applyBorder="1" applyAlignment="1">
      <alignment horizontal="centerContinuous"/>
    </xf>
    <xf numFmtId="0" fontId="85" fillId="0" borderId="0" xfId="36"/>
    <xf numFmtId="5" fontId="85" fillId="0" borderId="0" xfId="36" applyNumberFormat="1"/>
    <xf numFmtId="37" fontId="85" fillId="0" borderId="0" xfId="36" applyNumberFormat="1"/>
    <xf numFmtId="0" fontId="85" fillId="0" borderId="12" xfId="36" applyBorder="1" applyAlignment="1">
      <alignment horizontal="centerContinuous"/>
    </xf>
    <xf numFmtId="7" fontId="85" fillId="0" borderId="0" xfId="36" applyNumberFormat="1"/>
    <xf numFmtId="166" fontId="0" fillId="0" borderId="0" xfId="37" applyNumberFormat="1" applyFont="1"/>
    <xf numFmtId="7" fontId="79" fillId="4" borderId="20" xfId="36" applyNumberFormat="1" applyFont="1" applyFill="1" applyBorder="1" applyAlignment="1" applyProtection="1">
      <alignment horizontal="right" vertical="top"/>
      <protection locked="0"/>
    </xf>
    <xf numFmtId="37" fontId="79" fillId="4" borderId="20" xfId="36" applyNumberFormat="1" applyFont="1" applyFill="1" applyBorder="1" applyAlignment="1" applyProtection="1">
      <alignment horizontal="right" vertical="top"/>
      <protection locked="0"/>
    </xf>
    <xf numFmtId="0" fontId="79" fillId="4" borderId="20" xfId="36" applyFont="1" applyFill="1" applyBorder="1" applyAlignment="1" applyProtection="1">
      <alignment horizontal="left" vertical="top"/>
      <protection locked="0"/>
    </xf>
    <xf numFmtId="0" fontId="85" fillId="4" borderId="27" xfId="36" applyFill="1" applyBorder="1" applyAlignment="1" applyProtection="1">
      <alignment vertical="top"/>
      <protection locked="0"/>
    </xf>
    <xf numFmtId="7" fontId="79" fillId="4" borderId="6" xfId="36" applyNumberFormat="1" applyFont="1" applyFill="1" applyBorder="1" applyAlignment="1" applyProtection="1">
      <alignment horizontal="right" vertical="top"/>
      <protection locked="0"/>
    </xf>
    <xf numFmtId="37" fontId="79" fillId="4" borderId="6" xfId="36" applyNumberFormat="1" applyFont="1" applyFill="1" applyBorder="1" applyAlignment="1" applyProtection="1">
      <alignment horizontal="right" vertical="top"/>
      <protection locked="0"/>
    </xf>
    <xf numFmtId="0" fontId="79" fillId="4" borderId="6" xfId="36" applyFont="1" applyFill="1" applyBorder="1" applyAlignment="1" applyProtection="1">
      <alignment horizontal="left" vertical="top"/>
      <protection locked="0"/>
    </xf>
    <xf numFmtId="0" fontId="85" fillId="4" borderId="2" xfId="36" applyFill="1" applyBorder="1" applyAlignment="1" applyProtection="1">
      <alignment vertical="top"/>
      <protection locked="0"/>
    </xf>
    <xf numFmtId="0" fontId="79" fillId="4" borderId="6" xfId="36" applyFont="1" applyFill="1" applyBorder="1" applyAlignment="1" applyProtection="1">
      <alignment horizontal="center" vertical="top"/>
      <protection locked="0"/>
    </xf>
    <xf numFmtId="0" fontId="29" fillId="0" borderId="12" xfId="11" applyFont="1" applyFill="1" applyBorder="1" applyAlignment="1">
      <alignment horizontal="center"/>
    </xf>
    <xf numFmtId="0" fontId="59" fillId="0" borderId="0" xfId="11" applyFont="1" applyFill="1" applyAlignment="1">
      <alignment horizontal="center"/>
    </xf>
    <xf numFmtId="0" fontId="29" fillId="0" borderId="34" xfId="11" applyFont="1" applyFill="1" applyBorder="1" applyAlignment="1">
      <alignment horizontal="center"/>
    </xf>
    <xf numFmtId="37" fontId="86" fillId="0" borderId="0" xfId="11" applyNumberFormat="1" applyFont="1" applyFill="1" applyProtection="1"/>
    <xf numFmtId="0" fontId="86" fillId="0" borderId="0" xfId="11" applyFont="1" applyFill="1"/>
    <xf numFmtId="7" fontId="86" fillId="0" borderId="0" xfId="11" applyNumberFormat="1" applyFont="1" applyFill="1"/>
    <xf numFmtId="10" fontId="86" fillId="0" borderId="0" xfId="11" applyNumberFormat="1" applyFont="1" applyFill="1" applyProtection="1"/>
    <xf numFmtId="196" fontId="7" fillId="0" borderId="0" xfId="16" applyNumberFormat="1" applyFont="1" applyAlignment="1">
      <alignment wrapText="1"/>
    </xf>
    <xf numFmtId="10" fontId="35" fillId="0" borderId="0" xfId="14" applyNumberFormat="1" applyFont="1" applyFill="1" applyBorder="1" applyProtection="1">
      <protection locked="0"/>
    </xf>
    <xf numFmtId="37" fontId="7" fillId="0" borderId="0" xfId="26" applyNumberFormat="1"/>
    <xf numFmtId="0" fontId="19" fillId="0" borderId="0" xfId="38" applyNumberFormat="1" applyFont="1" applyAlignment="1" applyProtection="1">
      <alignment horizontal="center" wrapText="1"/>
    </xf>
    <xf numFmtId="0" fontId="29" fillId="0" borderId="0" xfId="38" applyNumberFormat="1" applyFont="1" applyAlignment="1" applyProtection="1">
      <alignment horizontal="center" vertical="center"/>
    </xf>
    <xf numFmtId="172" fontId="19" fillId="0" borderId="0" xfId="38" applyNumberFormat="1" applyFont="1" applyAlignment="1" applyProtection="1">
      <alignment horizontal="center" vertical="center"/>
    </xf>
    <xf numFmtId="171" fontId="19" fillId="0" borderId="0" xfId="38" applyNumberFormat="1" applyFont="1" applyAlignment="1" applyProtection="1">
      <alignment horizontal="center" vertical="center"/>
    </xf>
    <xf numFmtId="0" fontId="19" fillId="0" borderId="0" xfId="38" applyNumberFormat="1" applyFont="1" applyAlignment="1" applyProtection="1">
      <alignment horizontal="center"/>
    </xf>
    <xf numFmtId="168" fontId="19" fillId="0" borderId="0" xfId="1" applyNumberFormat="1" applyFont="1" applyAlignment="1" applyProtection="1">
      <alignment horizontal="center"/>
    </xf>
    <xf numFmtId="0" fontId="19" fillId="0" borderId="0" xfId="38" applyNumberFormat="1" applyFont="1" applyBorder="1" applyAlignment="1" applyProtection="1">
      <alignment horizontal="center"/>
    </xf>
    <xf numFmtId="0" fontId="89" fillId="0" borderId="0" xfId="38" applyNumberFormat="1" applyFont="1" applyBorder="1" applyAlignment="1" applyProtection="1">
      <alignment horizontal="center"/>
    </xf>
    <xf numFmtId="37" fontId="19" fillId="0" borderId="12" xfId="38" applyNumberFormat="1" applyFont="1" applyBorder="1" applyAlignment="1" applyProtection="1">
      <alignment horizontal="center"/>
    </xf>
    <xf numFmtId="0" fontId="89" fillId="0" borderId="0" xfId="39" applyNumberFormat="1" applyFont="1" applyFill="1" applyBorder="1" applyAlignment="1" applyProtection="1">
      <alignment horizontal="center"/>
    </xf>
    <xf numFmtId="43" fontId="89" fillId="0" borderId="0" xfId="21" applyFont="1" applyFill="1" applyBorder="1" applyAlignment="1" applyProtection="1">
      <alignment horizontal="center"/>
    </xf>
    <xf numFmtId="37" fontId="90" fillId="0" borderId="61" xfId="38" applyNumberFormat="1" applyFont="1" applyBorder="1" applyAlignment="1" applyProtection="1">
      <alignment horizontal="right" wrapText="1"/>
    </xf>
    <xf numFmtId="37" fontId="90" fillId="0" borderId="35" xfId="38" applyNumberFormat="1" applyFont="1" applyBorder="1" applyAlignment="1" applyProtection="1">
      <alignment horizontal="right" wrapText="1"/>
    </xf>
    <xf numFmtId="44" fontId="19" fillId="0" borderId="35" xfId="40" applyFont="1" applyFill="1" applyBorder="1" applyAlignment="1" applyProtection="1">
      <alignment horizontal="right" wrapText="1"/>
    </xf>
    <xf numFmtId="39" fontId="19" fillId="0" borderId="0" xfId="39" applyNumberFormat="1" applyFont="1" applyBorder="1" applyAlignment="1" applyProtection="1">
      <alignment horizontal="right"/>
    </xf>
    <xf numFmtId="37" fontId="19" fillId="0" borderId="0" xfId="39" applyNumberFormat="1" applyFont="1" applyAlignment="1" applyProtection="1"/>
    <xf numFmtId="39" fontId="19" fillId="0" borderId="0" xfId="38" applyNumberFormat="1" applyFont="1" applyAlignment="1" applyProtection="1">
      <alignment horizontal="center"/>
    </xf>
    <xf numFmtId="37" fontId="90" fillId="0" borderId="44" xfId="38" applyNumberFormat="1" applyFont="1" applyBorder="1" applyAlignment="1" applyProtection="1">
      <alignment horizontal="right" wrapText="1"/>
    </xf>
    <xf numFmtId="37" fontId="19" fillId="0" borderId="12" xfId="38" applyNumberFormat="1" applyFont="1" applyBorder="1" applyAlignment="1" applyProtection="1">
      <alignment horizontal="center" wrapText="1"/>
    </xf>
    <xf numFmtId="171" fontId="19" fillId="9" borderId="45" xfId="38" applyNumberFormat="1" applyFont="1" applyFill="1" applyBorder="1" applyAlignment="1" applyProtection="1">
      <alignment horizontal="center" wrapText="1"/>
    </xf>
    <xf numFmtId="171" fontId="19" fillId="10" borderId="45" xfId="38" applyNumberFormat="1" applyFont="1" applyFill="1" applyBorder="1" applyAlignment="1" applyProtection="1">
      <alignment horizontal="center" wrapText="1"/>
    </xf>
    <xf numFmtId="171" fontId="19" fillId="11" borderId="45" xfId="38" applyNumberFormat="1" applyFont="1" applyFill="1" applyBorder="1" applyAlignment="1" applyProtection="1">
      <alignment horizontal="center" wrapText="1"/>
    </xf>
    <xf numFmtId="37" fontId="19" fillId="0" borderId="61" xfId="39" applyNumberFormat="1" applyFont="1" applyBorder="1" applyAlignment="1" applyProtection="1">
      <alignment horizontal="center"/>
    </xf>
    <xf numFmtId="172" fontId="92" fillId="0" borderId="36" xfId="38" applyNumberFormat="1" applyFont="1" applyFill="1" applyBorder="1" applyAlignment="1" applyProtection="1">
      <alignment horizontal="center"/>
    </xf>
    <xf numFmtId="37" fontId="19" fillId="0" borderId="35" xfId="38" applyNumberFormat="1" applyFont="1" applyFill="1" applyBorder="1" applyAlignment="1" applyProtection="1">
      <alignment horizontal="center"/>
    </xf>
    <xf numFmtId="172" fontId="92" fillId="0" borderId="5" xfId="38" applyNumberFormat="1" applyFont="1" applyFill="1" applyBorder="1" applyAlignment="1" applyProtection="1">
      <alignment horizontal="center"/>
    </xf>
    <xf numFmtId="44" fontId="19" fillId="0" borderId="0" xfId="40" applyFont="1" applyBorder="1" applyAlignment="1" applyProtection="1">
      <alignment horizontal="right"/>
    </xf>
    <xf numFmtId="0" fontId="19" fillId="0" borderId="0" xfId="38" applyNumberFormat="1" applyFont="1" applyFill="1" applyAlignment="1" applyProtection="1">
      <alignment horizontal="center"/>
    </xf>
    <xf numFmtId="0" fontId="93" fillId="0" borderId="0" xfId="38" applyNumberFormat="1" applyFont="1" applyFill="1" applyAlignment="1" applyProtection="1">
      <alignment horizontal="center"/>
    </xf>
    <xf numFmtId="37" fontId="19" fillId="12" borderId="35" xfId="38" applyNumberFormat="1" applyFont="1" applyFill="1" applyBorder="1" applyAlignment="1" applyProtection="1">
      <alignment horizontal="center"/>
    </xf>
    <xf numFmtId="172" fontId="92" fillId="12" borderId="5" xfId="38" applyNumberFormat="1" applyFont="1" applyFill="1" applyBorder="1" applyAlignment="1" applyProtection="1">
      <alignment horizontal="center"/>
    </xf>
    <xf numFmtId="37" fontId="19" fillId="13" borderId="35" xfId="38" applyNumberFormat="1" applyFont="1" applyFill="1" applyBorder="1" applyAlignment="1" applyProtection="1">
      <alignment horizontal="center"/>
    </xf>
    <xf numFmtId="172" fontId="92" fillId="13" borderId="5" xfId="38" applyNumberFormat="1" applyFont="1" applyFill="1" applyBorder="1" applyAlignment="1" applyProtection="1">
      <alignment horizontal="center"/>
    </xf>
    <xf numFmtId="10" fontId="19" fillId="0" borderId="0" xfId="14" applyNumberFormat="1" applyFont="1" applyAlignment="1" applyProtection="1">
      <alignment horizontal="center"/>
    </xf>
    <xf numFmtId="172" fontId="19" fillId="0" borderId="0" xfId="38" applyNumberFormat="1" applyFont="1" applyAlignment="1" applyProtection="1">
      <alignment horizontal="center"/>
    </xf>
    <xf numFmtId="37" fontId="19" fillId="14" borderId="35" xfId="38" applyNumberFormat="1" applyFont="1" applyFill="1" applyBorder="1" applyAlignment="1" applyProtection="1">
      <alignment horizontal="center"/>
    </xf>
    <xf numFmtId="172" fontId="92" fillId="14" borderId="5" xfId="38" applyNumberFormat="1" applyFont="1" applyFill="1" applyBorder="1" applyAlignment="1" applyProtection="1">
      <alignment horizontal="center"/>
    </xf>
    <xf numFmtId="37" fontId="19" fillId="0" borderId="44" xfId="38" applyNumberFormat="1" applyFont="1" applyFill="1" applyBorder="1" applyAlignment="1" applyProtection="1">
      <alignment horizontal="center"/>
    </xf>
    <xf numFmtId="172" fontId="92" fillId="0" borderId="19" xfId="38" applyNumberFormat="1" applyFont="1" applyFill="1" applyBorder="1" applyAlignment="1" applyProtection="1">
      <alignment horizontal="center"/>
    </xf>
    <xf numFmtId="37" fontId="19" fillId="0" borderId="0" xfId="38" applyNumberFormat="1" applyFont="1" applyAlignment="1" applyProtection="1">
      <alignment horizontal="center"/>
    </xf>
    <xf numFmtId="172" fontId="92" fillId="0" borderId="0" xfId="38" applyNumberFormat="1" applyFont="1" applyAlignment="1" applyProtection="1">
      <alignment horizontal="center"/>
    </xf>
    <xf numFmtId="171" fontId="19" fillId="0" borderId="0" xfId="38" applyNumberFormat="1" applyFont="1" applyAlignment="1" applyProtection="1">
      <alignment horizontal="center"/>
    </xf>
    <xf numFmtId="10" fontId="8" fillId="0" borderId="12" xfId="14" applyNumberFormat="1" applyFont="1" applyFill="1" applyBorder="1" applyProtection="1">
      <protection locked="0"/>
    </xf>
    <xf numFmtId="0" fontId="30" fillId="0" borderId="0" xfId="67" quotePrefix="1" applyFont="1" applyFill="1" applyAlignment="1" applyProtection="1">
      <alignment horizontal="centerContinuous"/>
    </xf>
    <xf numFmtId="0" fontId="8" fillId="0" borderId="12" xfId="12" applyFont="1" applyFill="1" applyBorder="1"/>
    <xf numFmtId="0" fontId="8" fillId="0" borderId="12" xfId="12" quotePrefix="1" applyFont="1" applyFill="1" applyBorder="1" applyAlignment="1">
      <alignment horizontal="center"/>
    </xf>
    <xf numFmtId="37" fontId="15" fillId="0" borderId="12" xfId="12" applyNumberFormat="1" applyFont="1" applyFill="1" applyBorder="1" applyProtection="1"/>
    <xf numFmtId="0" fontId="15" fillId="0" borderId="12" xfId="12" applyFont="1" applyFill="1" applyBorder="1"/>
    <xf numFmtId="5" fontId="8" fillId="0" borderId="12" xfId="12" applyNumberFormat="1" applyFont="1" applyFill="1" applyBorder="1" applyProtection="1">
      <protection locked="0"/>
    </xf>
    <xf numFmtId="5" fontId="8" fillId="0" borderId="12" xfId="14" applyNumberFormat="1" applyFont="1" applyFill="1" applyBorder="1" applyProtection="1">
      <protection locked="0"/>
    </xf>
    <xf numFmtId="0" fontId="47" fillId="0" borderId="0" xfId="12" applyFont="1" applyFill="1" applyAlignment="1">
      <alignment horizontal="center"/>
    </xf>
    <xf numFmtId="0" fontId="8" fillId="0" borderId="12" xfId="12" applyFont="1" applyFill="1" applyBorder="1" applyAlignment="1">
      <alignment horizontal="center"/>
    </xf>
    <xf numFmtId="0" fontId="15" fillId="0" borderId="34" xfId="12" applyFill="1" applyBorder="1" applyAlignment="1">
      <alignment horizontal="center" wrapText="1"/>
    </xf>
    <xf numFmtId="0" fontId="15" fillId="0" borderId="12" xfId="12" applyFont="1" applyFill="1" applyBorder="1" applyAlignment="1">
      <alignment horizontal="center" wrapText="1"/>
    </xf>
    <xf numFmtId="0" fontId="15" fillId="0" borderId="0" xfId="12" applyFill="1" applyAlignment="1">
      <alignment wrapText="1"/>
    </xf>
    <xf numFmtId="6" fontId="15" fillId="0" borderId="34" xfId="12" quotePrefix="1" applyNumberFormat="1" applyFont="1" applyFill="1" applyBorder="1" applyAlignment="1">
      <alignment horizontal="center" wrapText="1"/>
    </xf>
    <xf numFmtId="0" fontId="15" fillId="0" borderId="0" xfId="12" applyFont="1" applyFill="1" applyBorder="1" applyAlignment="1">
      <alignment horizontal="center" wrapText="1"/>
    </xf>
    <xf numFmtId="5" fontId="14" fillId="0" borderId="12" xfId="24" quotePrefix="1" applyNumberFormat="1" applyFont="1" applyBorder="1" applyAlignment="1">
      <alignment horizontal="center" wrapText="1"/>
    </xf>
    <xf numFmtId="5" fontId="14" fillId="0" borderId="12" xfId="24" quotePrefix="1" applyNumberFormat="1" applyBorder="1" applyAlignment="1">
      <alignment horizontal="center" wrapText="1"/>
    </xf>
    <xf numFmtId="0" fontId="15" fillId="0" borderId="12" xfId="12" quotePrefix="1" applyFont="1" applyFill="1" applyBorder="1" applyAlignment="1">
      <alignment horizontal="center" wrapText="1"/>
    </xf>
    <xf numFmtId="0" fontId="15" fillId="0" borderId="0" xfId="12" applyFill="1" applyBorder="1" applyAlignment="1">
      <alignment horizontal="center" wrapText="1"/>
    </xf>
    <xf numFmtId="6" fontId="15" fillId="0" borderId="12" xfId="12" quotePrefix="1" applyNumberFormat="1" applyFont="1" applyFill="1" applyBorder="1" applyAlignment="1">
      <alignment horizontal="center" wrapText="1"/>
    </xf>
    <xf numFmtId="0" fontId="15" fillId="0" borderId="0" xfId="12" applyFill="1" applyBorder="1" applyAlignment="1">
      <alignment wrapText="1"/>
    </xf>
    <xf numFmtId="0" fontId="8" fillId="0" borderId="12" xfId="12" applyFont="1" applyFill="1" applyBorder="1" applyAlignment="1">
      <alignment horizontal="center" wrapText="1"/>
    </xf>
    <xf numFmtId="0" fontId="15" fillId="0" borderId="12" xfId="12" applyFill="1" applyBorder="1" applyAlignment="1">
      <alignment wrapText="1"/>
    </xf>
    <xf numFmtId="171" fontId="8" fillId="0" borderId="0" xfId="14" applyNumberFormat="1" applyFont="1" applyFill="1" applyBorder="1" applyProtection="1">
      <protection locked="0"/>
    </xf>
    <xf numFmtId="185" fontId="8" fillId="0" borderId="0" xfId="1" applyNumberFormat="1" applyFont="1" applyFill="1" applyBorder="1" applyProtection="1">
      <protection locked="0"/>
    </xf>
    <xf numFmtId="0" fontId="15" fillId="0" borderId="12" xfId="12" applyFont="1" applyFill="1" applyBorder="1" applyAlignment="1">
      <alignment horizontal="center"/>
    </xf>
    <xf numFmtId="0" fontId="45" fillId="0" borderId="0" xfId="12" applyFont="1" applyFill="1" applyAlignment="1">
      <alignment horizontal="center"/>
    </xf>
    <xf numFmtId="0" fontId="45" fillId="0" borderId="0" xfId="12" quotePrefix="1" applyFont="1" applyFill="1" applyAlignment="1">
      <alignment horizontal="center"/>
    </xf>
    <xf numFmtId="0" fontId="15" fillId="0" borderId="0" xfId="12" applyFont="1" applyFill="1" applyBorder="1" applyAlignment="1">
      <alignment horizontal="center"/>
    </xf>
    <xf numFmtId="41" fontId="100" fillId="0" borderId="0" xfId="34" applyFont="1" applyFill="1" applyAlignment="1">
      <alignment horizontal="centerContinuous"/>
    </xf>
    <xf numFmtId="41" fontId="60" fillId="0" borderId="0" xfId="34" applyFont="1" applyFill="1"/>
    <xf numFmtId="41" fontId="100" fillId="0" borderId="0" xfId="34" applyFont="1" applyFill="1" applyAlignment="1" applyProtection="1">
      <alignment horizontal="centerContinuous"/>
      <protection locked="0"/>
    </xf>
    <xf numFmtId="1" fontId="100" fillId="0" borderId="0" xfId="34" applyNumberFormat="1" applyFont="1" applyFill="1" applyAlignment="1">
      <alignment horizontal="centerContinuous"/>
    </xf>
    <xf numFmtId="168" fontId="100" fillId="0" borderId="0" xfId="34" applyNumberFormat="1" applyFont="1" applyFill="1" applyAlignment="1" applyProtection="1">
      <alignment horizontal="centerContinuous"/>
    </xf>
    <xf numFmtId="41" fontId="60" fillId="0" borderId="12" xfId="71" applyFont="1" applyFill="1" applyBorder="1" applyAlignment="1" applyProtection="1">
      <alignment horizontal="center" wrapText="1"/>
      <protection locked="0"/>
    </xf>
    <xf numFmtId="41" fontId="60" fillId="0" borderId="15" xfId="71" applyFont="1" applyFill="1" applyBorder="1" applyAlignment="1" applyProtection="1">
      <alignment horizontal="center" wrapText="1"/>
      <protection locked="0"/>
    </xf>
    <xf numFmtId="41" fontId="60" fillId="0" borderId="15" xfId="34" applyFont="1" applyFill="1" applyBorder="1" applyAlignment="1" applyProtection="1">
      <alignment horizontal="center"/>
      <protection locked="0"/>
    </xf>
    <xf numFmtId="215" fontId="60" fillId="0" borderId="0" xfId="71" applyNumberFormat="1" applyFont="1" applyFill="1" applyBorder="1" applyAlignment="1" applyProtection="1">
      <alignment horizontal="center"/>
      <protection locked="0"/>
    </xf>
    <xf numFmtId="41" fontId="60" fillId="0" borderId="0" xfId="71" quotePrefix="1" applyFont="1" applyFill="1" applyBorder="1" applyAlignment="1" applyProtection="1">
      <alignment horizontal="center"/>
      <protection locked="0"/>
    </xf>
    <xf numFmtId="41" fontId="60" fillId="0" borderId="0" xfId="71" applyFont="1" applyFill="1" applyBorder="1" applyProtection="1">
      <protection locked="0"/>
    </xf>
    <xf numFmtId="167" fontId="60" fillId="0" borderId="0" xfId="72" applyNumberFormat="1" applyFont="1" applyFill="1" applyBorder="1" applyProtection="1">
      <protection locked="0"/>
    </xf>
    <xf numFmtId="167" fontId="60" fillId="19" borderId="0" xfId="72" applyNumberFormat="1" applyFont="1" applyFill="1" applyBorder="1" applyProtection="1">
      <protection locked="0"/>
    </xf>
    <xf numFmtId="10" fontId="60" fillId="19" borderId="0" xfId="71" applyNumberFormat="1" applyFont="1" applyFill="1" applyBorder="1" applyProtection="1">
      <protection locked="0"/>
    </xf>
    <xf numFmtId="41" fontId="60" fillId="0" borderId="0" xfId="71" applyFont="1" applyFill="1"/>
    <xf numFmtId="10" fontId="60" fillId="0" borderId="0" xfId="71" applyNumberFormat="1" applyFont="1" applyFill="1" applyBorder="1" applyProtection="1">
      <protection locked="0"/>
    </xf>
    <xf numFmtId="10" fontId="60" fillId="0" borderId="0" xfId="34" applyNumberFormat="1" applyFont="1" applyFill="1"/>
    <xf numFmtId="166" fontId="60" fillId="0" borderId="0" xfId="34" applyNumberFormat="1" applyFont="1" applyFill="1"/>
    <xf numFmtId="37" fontId="60" fillId="0" borderId="0" xfId="71" applyNumberFormat="1" applyFont="1" applyFill="1" applyBorder="1" applyAlignment="1" applyProtection="1">
      <alignment horizontal="center"/>
      <protection locked="0"/>
    </xf>
    <xf numFmtId="41" fontId="60" fillId="0" borderId="0" xfId="71" applyFont="1" applyFill="1" applyBorder="1" applyAlignment="1" applyProtection="1">
      <alignment horizontal="center"/>
      <protection locked="0"/>
    </xf>
    <xf numFmtId="37" fontId="60" fillId="0" borderId="12" xfId="71" applyNumberFormat="1" applyFont="1" applyFill="1" applyBorder="1" applyAlignment="1" applyProtection="1">
      <alignment horizontal="center"/>
      <protection locked="0"/>
    </xf>
    <xf numFmtId="41" fontId="60" fillId="0" borderId="12" xfId="71" quotePrefix="1" applyFont="1" applyFill="1" applyBorder="1" applyAlignment="1" applyProtection="1">
      <alignment horizontal="center"/>
      <protection locked="0"/>
    </xf>
    <xf numFmtId="41" fontId="60" fillId="0" borderId="12" xfId="71" applyFont="1" applyFill="1" applyBorder="1" applyProtection="1">
      <protection locked="0"/>
    </xf>
    <xf numFmtId="167" fontId="60" fillId="0" borderId="12" xfId="72" applyNumberFormat="1" applyFont="1" applyFill="1" applyBorder="1" applyProtection="1">
      <protection locked="0"/>
    </xf>
    <xf numFmtId="167" fontId="60" fillId="19" borderId="12" xfId="72" applyNumberFormat="1" applyFont="1" applyFill="1" applyBorder="1" applyProtection="1">
      <protection locked="0"/>
    </xf>
    <xf numFmtId="10" fontId="60" fillId="19" borderId="12" xfId="71" applyNumberFormat="1" applyFont="1" applyFill="1" applyBorder="1" applyProtection="1">
      <protection locked="0"/>
    </xf>
    <xf numFmtId="10" fontId="60" fillId="0" borderId="12" xfId="71" applyNumberFormat="1" applyFont="1" applyFill="1" applyBorder="1" applyProtection="1">
      <protection locked="0"/>
    </xf>
    <xf numFmtId="5" fontId="60" fillId="0" borderId="0" xfId="71" applyNumberFormat="1" applyFont="1" applyFill="1" applyBorder="1" applyProtection="1">
      <protection locked="0"/>
    </xf>
    <xf numFmtId="167" fontId="60" fillId="0" borderId="0" xfId="71" applyNumberFormat="1" applyFont="1" applyFill="1" applyBorder="1" applyProtection="1">
      <protection locked="0"/>
    </xf>
    <xf numFmtId="37" fontId="60" fillId="0" borderId="0" xfId="71" applyNumberFormat="1" applyFont="1" applyFill="1" applyBorder="1" applyProtection="1">
      <protection locked="0"/>
    </xf>
    <xf numFmtId="10" fontId="60" fillId="0" borderId="0" xfId="22" applyNumberFormat="1" applyFont="1" applyFill="1" applyBorder="1" applyProtection="1">
      <protection locked="0"/>
    </xf>
    <xf numFmtId="167" fontId="102" fillId="0" borderId="0" xfId="72" applyNumberFormat="1" applyFont="1" applyFill="1" applyBorder="1" applyProtection="1">
      <protection locked="0"/>
    </xf>
    <xf numFmtId="216" fontId="60" fillId="0" borderId="0" xfId="71" applyNumberFormat="1" applyFont="1" applyFill="1" applyBorder="1"/>
    <xf numFmtId="9" fontId="2" fillId="0" borderId="0" xfId="73" applyNumberFormat="1"/>
    <xf numFmtId="0" fontId="2" fillId="0" borderId="0" xfId="73"/>
    <xf numFmtId="10" fontId="15" fillId="0" borderId="12" xfId="14" applyNumberFormat="1" applyFont="1" applyFill="1" applyBorder="1"/>
    <xf numFmtId="10" fontId="15" fillId="0" borderId="0" xfId="12" applyNumberFormat="1" applyFill="1"/>
    <xf numFmtId="10" fontId="15" fillId="0" borderId="12" xfId="12" applyNumberFormat="1" applyFill="1" applyBorder="1"/>
    <xf numFmtId="9" fontId="14" fillId="0" borderId="0" xfId="14" quotePrefix="1" applyFont="1" applyFill="1"/>
    <xf numFmtId="9" fontId="35" fillId="0" borderId="0" xfId="14" applyFont="1" applyFill="1"/>
    <xf numFmtId="37" fontId="30" fillId="0" borderId="34" xfId="67" applyNumberFormat="1" applyFont="1" applyFill="1" applyBorder="1" applyAlignment="1" applyProtection="1">
      <alignment horizontal="center" wrapText="1"/>
    </xf>
    <xf numFmtId="0" fontId="30" fillId="0" borderId="34" xfId="67" applyFont="1" applyFill="1" applyBorder="1" applyAlignment="1" applyProtection="1">
      <alignment horizontal="center" wrapText="1"/>
    </xf>
    <xf numFmtId="0" fontId="30" fillId="0" borderId="34" xfId="67" applyFont="1" applyFill="1" applyBorder="1" applyAlignment="1" applyProtection="1">
      <alignment wrapText="1"/>
    </xf>
    <xf numFmtId="0" fontId="30" fillId="0" borderId="0" xfId="67" applyFont="1" applyFill="1" applyBorder="1" applyAlignment="1" applyProtection="1">
      <alignment horizontal="center" wrapText="1"/>
    </xf>
    <xf numFmtId="0" fontId="30" fillId="0" borderId="0" xfId="67" applyFont="1" applyFill="1" applyAlignment="1" applyProtection="1">
      <alignment horizontal="center" wrapText="1"/>
    </xf>
    <xf numFmtId="0" fontId="30" fillId="0" borderId="0" xfId="67" applyFont="1" applyFill="1" applyAlignment="1" applyProtection="1">
      <alignment horizontal="centerContinuous"/>
    </xf>
    <xf numFmtId="37" fontId="30" fillId="0" borderId="0" xfId="67" applyNumberFormat="1" applyFont="1" applyFill="1" applyAlignment="1" applyProtection="1">
      <alignment horizontal="centerContinuous"/>
    </xf>
    <xf numFmtId="0" fontId="29" fillId="0" borderId="0" xfId="67" applyFont="1" applyFill="1"/>
    <xf numFmtId="0" fontId="29" fillId="0" borderId="0" xfId="67" applyFont="1" applyFill="1" applyBorder="1"/>
    <xf numFmtId="3" fontId="29" fillId="0" borderId="0" xfId="67" applyNumberFormat="1" applyFont="1" applyFill="1" applyBorder="1"/>
    <xf numFmtId="0" fontId="29" fillId="0" borderId="0" xfId="67" applyFont="1" applyFill="1" applyBorder="1" applyAlignment="1">
      <alignment horizontal="center"/>
    </xf>
    <xf numFmtId="0" fontId="29" fillId="0" borderId="0" xfId="67" applyFont="1" applyFill="1" applyAlignment="1">
      <alignment wrapText="1"/>
    </xf>
    <xf numFmtId="0" fontId="29" fillId="0" borderId="0" xfId="67" applyFont="1" applyFill="1" applyBorder="1" applyAlignment="1">
      <alignment wrapText="1"/>
    </xf>
    <xf numFmtId="3" fontId="29" fillId="0" borderId="0" xfId="67" applyNumberFormat="1" applyFont="1" applyFill="1" applyBorder="1" applyAlignment="1">
      <alignment wrapText="1"/>
    </xf>
    <xf numFmtId="0" fontId="29" fillId="0" borderId="0" xfId="67" applyFont="1" applyFill="1" applyBorder="1" applyAlignment="1">
      <alignment horizontal="center" wrapText="1"/>
    </xf>
    <xf numFmtId="0" fontId="103" fillId="0" borderId="0" xfId="67" applyFont="1" applyFill="1" applyProtection="1"/>
    <xf numFmtId="0" fontId="60" fillId="0" borderId="0" xfId="67" applyFont="1" applyFill="1" applyProtection="1"/>
    <xf numFmtId="37" fontId="60" fillId="0" borderId="0" xfId="67" applyNumberFormat="1" applyFont="1" applyFill="1" applyProtection="1"/>
    <xf numFmtId="5" fontId="29" fillId="0" borderId="0" xfId="67" applyNumberFormat="1" applyFont="1" applyFill="1"/>
    <xf numFmtId="0" fontId="29" fillId="0" borderId="0" xfId="67" applyFont="1" applyFill="1" applyBorder="1" applyAlignment="1">
      <alignment horizontal="right"/>
    </xf>
    <xf numFmtId="171" fontId="29" fillId="0" borderId="0" xfId="67" applyNumberFormat="1" applyFont="1" applyFill="1" applyBorder="1" applyAlignment="1">
      <alignment horizontal="center"/>
    </xf>
    <xf numFmtId="0" fontId="60" fillId="0" borderId="0" xfId="67" applyFont="1" applyFill="1" applyProtection="1">
      <protection locked="0"/>
    </xf>
    <xf numFmtId="171" fontId="29" fillId="0" borderId="0" xfId="67" applyNumberFormat="1" applyFont="1" applyFill="1" applyBorder="1"/>
    <xf numFmtId="3" fontId="29" fillId="0" borderId="0" xfId="67" applyNumberFormat="1" applyFont="1" applyFill="1" applyBorder="1" applyAlignment="1">
      <alignment horizontal="center"/>
    </xf>
    <xf numFmtId="7" fontId="61" fillId="0" borderId="0" xfId="67" applyNumberFormat="1" applyFont="1" applyFill="1" applyProtection="1">
      <protection locked="0"/>
    </xf>
    <xf numFmtId="5" fontId="60" fillId="0" borderId="0" xfId="67" applyNumberFormat="1" applyFont="1" applyFill="1" applyProtection="1"/>
    <xf numFmtId="3" fontId="29" fillId="0" borderId="0" xfId="67" applyNumberFormat="1" applyFont="1" applyFill="1"/>
    <xf numFmtId="171" fontId="29" fillId="0" borderId="0" xfId="22" applyNumberFormat="1" applyFont="1" applyFill="1"/>
    <xf numFmtId="10" fontId="29" fillId="0" borderId="0" xfId="22" applyNumberFormat="1" applyFont="1" applyFill="1"/>
    <xf numFmtId="9" fontId="29" fillId="0" borderId="0" xfId="22" applyFont="1" applyFill="1"/>
    <xf numFmtId="171" fontId="29" fillId="0" borderId="0" xfId="70" applyNumberFormat="1" applyFont="1" applyFill="1" applyAlignment="1">
      <alignment horizontal="center"/>
    </xf>
    <xf numFmtId="0" fontId="60" fillId="18" borderId="0" xfId="67" applyFont="1" applyFill="1" applyProtection="1"/>
    <xf numFmtId="37" fontId="60" fillId="18" borderId="0" xfId="67" applyNumberFormat="1" applyFont="1" applyFill="1" applyProtection="1"/>
    <xf numFmtId="186" fontId="61" fillId="0" borderId="0" xfId="67" applyNumberFormat="1" applyFont="1" applyFill="1" applyProtection="1">
      <protection locked="0"/>
    </xf>
    <xf numFmtId="186" fontId="61" fillId="0" borderId="0" xfId="0" applyNumberFormat="1" applyFont="1" applyFill="1" applyProtection="1">
      <protection locked="0"/>
    </xf>
    <xf numFmtId="171" fontId="29" fillId="0" borderId="0" xfId="70" applyNumberFormat="1" applyFont="1" applyFill="1"/>
    <xf numFmtId="0" fontId="29" fillId="0" borderId="0" xfId="67" quotePrefix="1" applyFont="1" applyFill="1"/>
    <xf numFmtId="10" fontId="29" fillId="0" borderId="0" xfId="70" applyNumberFormat="1" applyFont="1" applyFill="1" applyAlignment="1">
      <alignment horizontal="center"/>
    </xf>
    <xf numFmtId="0" fontId="29" fillId="0" borderId="0" xfId="67" applyFont="1" applyFill="1" applyAlignment="1">
      <alignment horizontal="center"/>
    </xf>
    <xf numFmtId="5" fontId="29" fillId="0" borderId="0" xfId="67" applyNumberFormat="1" applyFont="1" applyFill="1" applyAlignment="1">
      <alignment horizontal="center"/>
    </xf>
    <xf numFmtId="0" fontId="60" fillId="0" borderId="0" xfId="67" applyFont="1" applyFill="1"/>
    <xf numFmtId="7" fontId="60" fillId="0" borderId="0" xfId="67" applyNumberFormat="1" applyFont="1" applyFill="1" applyProtection="1">
      <protection locked="0"/>
    </xf>
    <xf numFmtId="0" fontId="29" fillId="18" borderId="0" xfId="67" applyFont="1" applyFill="1"/>
    <xf numFmtId="7" fontId="61" fillId="0" borderId="0" xfId="35" applyNumberFormat="1" applyFont="1" applyFill="1" applyBorder="1"/>
    <xf numFmtId="168" fontId="29" fillId="0" borderId="0" xfId="21" applyNumberFormat="1" applyFont="1" applyFill="1"/>
    <xf numFmtId="43" fontId="29" fillId="0" borderId="0" xfId="67" applyNumberFormat="1" applyFont="1" applyFill="1"/>
    <xf numFmtId="182" fontId="29" fillId="0" borderId="0" xfId="67" applyNumberFormat="1" applyFont="1" applyFill="1"/>
    <xf numFmtId="186" fontId="60" fillId="0" borderId="0" xfId="67" applyNumberFormat="1" applyFont="1" applyFill="1" applyProtection="1">
      <protection locked="0"/>
    </xf>
    <xf numFmtId="5" fontId="60" fillId="0" borderId="0" xfId="67" applyNumberFormat="1" applyFont="1" applyFill="1" applyProtection="1">
      <protection locked="0"/>
    </xf>
    <xf numFmtId="37" fontId="60" fillId="0" borderId="12" xfId="67" applyNumberFormat="1" applyFont="1" applyFill="1" applyBorder="1" applyProtection="1"/>
    <xf numFmtId="0" fontId="29" fillId="0" borderId="0" xfId="67" applyFont="1" applyFill="1" applyProtection="1"/>
    <xf numFmtId="5" fontId="60" fillId="0" borderId="34" xfId="67" applyNumberFormat="1" applyFont="1" applyFill="1" applyBorder="1" applyProtection="1"/>
    <xf numFmtId="37" fontId="29" fillId="0" borderId="48" xfId="67" applyNumberFormat="1" applyFont="1" applyFill="1" applyBorder="1" applyProtection="1"/>
    <xf numFmtId="5" fontId="60" fillId="0" borderId="48" xfId="67" applyNumberFormat="1" applyFont="1" applyFill="1" applyBorder="1" applyProtection="1"/>
    <xf numFmtId="0" fontId="29" fillId="0" borderId="36" xfId="67" applyFont="1" applyFill="1" applyBorder="1"/>
    <xf numFmtId="37" fontId="29" fillId="0" borderId="28" xfId="67" applyNumberFormat="1" applyFont="1" applyFill="1" applyBorder="1"/>
    <xf numFmtId="171" fontId="29" fillId="0" borderId="38" xfId="22" applyNumberFormat="1" applyFont="1" applyFill="1" applyBorder="1"/>
    <xf numFmtId="10" fontId="29" fillId="0" borderId="0" xfId="22" applyNumberFormat="1" applyFont="1" applyFill="1" applyBorder="1"/>
    <xf numFmtId="0" fontId="29" fillId="0" borderId="19" xfId="67" applyFont="1" applyFill="1" applyBorder="1"/>
    <xf numFmtId="5" fontId="29" fillId="0" borderId="12" xfId="7" applyNumberFormat="1" applyFont="1" applyFill="1" applyBorder="1"/>
    <xf numFmtId="0" fontId="29" fillId="0" borderId="13" xfId="67" applyFont="1" applyFill="1" applyBorder="1"/>
    <xf numFmtId="166" fontId="29" fillId="0" borderId="0" xfId="22" applyNumberFormat="1" applyFont="1" applyFill="1" applyBorder="1"/>
    <xf numFmtId="171" fontId="29" fillId="0" borderId="0" xfId="22" applyNumberFormat="1" applyFont="1" applyFill="1" applyBorder="1"/>
    <xf numFmtId="0" fontId="104" fillId="0" borderId="0" xfId="67" applyFont="1" applyFill="1" applyProtection="1"/>
    <xf numFmtId="37" fontId="29" fillId="18" borderId="0" xfId="67" applyNumberFormat="1" applyFont="1" applyFill="1"/>
    <xf numFmtId="5" fontId="60" fillId="0" borderId="0" xfId="67" applyNumberFormat="1" applyFont="1" applyFill="1" applyBorder="1" applyProtection="1"/>
    <xf numFmtId="37" fontId="60" fillId="0" borderId="34" xfId="67" applyNumberFormat="1" applyFont="1" applyFill="1" applyBorder="1" applyProtection="1"/>
    <xf numFmtId="10" fontId="105" fillId="0" borderId="0" xfId="7" applyNumberFormat="1" applyFont="1" applyFill="1" applyBorder="1"/>
    <xf numFmtId="7" fontId="29" fillId="0" borderId="0" xfId="7" applyNumberFormat="1" applyFont="1" applyFill="1" applyBorder="1"/>
    <xf numFmtId="5" fontId="29" fillId="0" borderId="0" xfId="7" applyNumberFormat="1" applyFont="1" applyFill="1" applyBorder="1"/>
    <xf numFmtId="0" fontId="103" fillId="0" borderId="0" xfId="67" applyFont="1" applyFill="1" applyBorder="1" applyProtection="1"/>
    <xf numFmtId="0" fontId="60" fillId="0" borderId="0" xfId="67" applyFont="1" applyFill="1" applyBorder="1" applyProtection="1"/>
    <xf numFmtId="5" fontId="29" fillId="0" borderId="0" xfId="67" applyNumberFormat="1" applyFont="1" applyFill="1" applyBorder="1"/>
    <xf numFmtId="37" fontId="60" fillId="0" borderId="0" xfId="67" applyNumberFormat="1" applyFont="1" applyFill="1" applyBorder="1" applyProtection="1"/>
    <xf numFmtId="7" fontId="61" fillId="0" borderId="0" xfId="67" applyNumberFormat="1" applyFont="1" applyFill="1" applyBorder="1" applyProtection="1">
      <protection locked="0"/>
    </xf>
    <xf numFmtId="9" fontId="29" fillId="0" borderId="0" xfId="22" applyNumberFormat="1" applyFont="1" applyFill="1" applyBorder="1" applyAlignment="1">
      <alignment horizontal="center"/>
    </xf>
    <xf numFmtId="5" fontId="29" fillId="0" borderId="0" xfId="67" applyNumberFormat="1" applyFont="1" applyFill="1" applyBorder="1" applyAlignment="1">
      <alignment horizontal="center"/>
    </xf>
    <xf numFmtId="9" fontId="29" fillId="0" borderId="0" xfId="22" applyNumberFormat="1" applyFont="1" applyFill="1" applyBorder="1"/>
    <xf numFmtId="37" fontId="29" fillId="0" borderId="0" xfId="67" applyNumberFormat="1" applyFont="1" applyFill="1" applyBorder="1" applyProtection="1"/>
    <xf numFmtId="10" fontId="29" fillId="0" borderId="0" xfId="67" applyNumberFormat="1" applyFont="1" applyFill="1" applyBorder="1"/>
    <xf numFmtId="5" fontId="29" fillId="0" borderId="0" xfId="67" applyNumberFormat="1" applyFont="1" applyFill="1" applyBorder="1" applyProtection="1"/>
    <xf numFmtId="0" fontId="29" fillId="0" borderId="0" xfId="67" applyFont="1" applyFill="1" applyBorder="1" applyProtection="1"/>
    <xf numFmtId="5" fontId="61" fillId="0" borderId="0" xfId="67" applyNumberFormat="1" applyFont="1" applyFill="1" applyBorder="1" applyProtection="1">
      <protection locked="0"/>
    </xf>
    <xf numFmtId="0" fontId="61" fillId="0" borderId="0" xfId="67" applyFont="1" applyFill="1" applyBorder="1" applyProtection="1">
      <protection locked="0"/>
    </xf>
    <xf numFmtId="9" fontId="29" fillId="0" borderId="0" xfId="67" applyNumberFormat="1" applyFont="1" applyFill="1" applyBorder="1" applyAlignment="1">
      <alignment horizontal="center"/>
    </xf>
    <xf numFmtId="9" fontId="29" fillId="0" borderId="0" xfId="67" applyNumberFormat="1" applyFont="1" applyFill="1" applyBorder="1"/>
    <xf numFmtId="168" fontId="29" fillId="0" borderId="0" xfId="67" applyNumberFormat="1" applyFont="1" applyFill="1" applyBorder="1" applyAlignment="1">
      <alignment horizontal="center"/>
    </xf>
    <xf numFmtId="168" fontId="29" fillId="0" borderId="0" xfId="67" applyNumberFormat="1" applyFont="1" applyFill="1" applyBorder="1"/>
    <xf numFmtId="186" fontId="61" fillId="0" borderId="0" xfId="67" applyNumberFormat="1" applyFont="1" applyFill="1" applyBorder="1" applyProtection="1">
      <protection locked="0"/>
    </xf>
    <xf numFmtId="43" fontId="29" fillId="0" borderId="0" xfId="21" applyFont="1" applyFill="1" applyBorder="1"/>
    <xf numFmtId="43" fontId="29" fillId="0" borderId="0" xfId="21" applyFont="1" applyFill="1" applyBorder="1" applyAlignment="1">
      <alignment horizontal="center"/>
    </xf>
    <xf numFmtId="7" fontId="29" fillId="0" borderId="0" xfId="67" applyNumberFormat="1" applyFont="1" applyFill="1" applyBorder="1"/>
    <xf numFmtId="182" fontId="29" fillId="0" borderId="0" xfId="67" applyNumberFormat="1" applyFont="1" applyFill="1" applyBorder="1"/>
    <xf numFmtId="191" fontId="61" fillId="0" borderId="0" xfId="67" applyNumberFormat="1" applyFont="1" applyFill="1" applyBorder="1" applyProtection="1">
      <protection locked="0"/>
    </xf>
    <xf numFmtId="168" fontId="29" fillId="0" borderId="0" xfId="21" applyNumberFormat="1" applyFont="1" applyFill="1" applyBorder="1"/>
    <xf numFmtId="43" fontId="29" fillId="0" borderId="0" xfId="67" applyNumberFormat="1" applyFont="1" applyFill="1" applyBorder="1"/>
    <xf numFmtId="0" fontId="29" fillId="3" borderId="0" xfId="67" applyFont="1" applyFill="1" applyBorder="1"/>
    <xf numFmtId="37" fontId="29" fillId="3" borderId="0" xfId="67" applyNumberFormat="1" applyFont="1" applyFill="1" applyBorder="1" applyProtection="1"/>
    <xf numFmtId="7" fontId="61" fillId="3" borderId="0" xfId="35" applyNumberFormat="1" applyFont="1" applyFill="1" applyBorder="1"/>
    <xf numFmtId="5" fontId="60" fillId="3" borderId="0" xfId="67" applyNumberFormat="1" applyFont="1" applyFill="1" applyBorder="1" applyProtection="1"/>
    <xf numFmtId="186" fontId="61" fillId="3" borderId="0" xfId="67" applyNumberFormat="1" applyFont="1" applyFill="1" applyBorder="1" applyProtection="1">
      <protection locked="0"/>
    </xf>
    <xf numFmtId="0" fontId="29" fillId="3" borderId="0" xfId="67" applyFont="1" applyFill="1" applyBorder="1" applyProtection="1"/>
    <xf numFmtId="5" fontId="29" fillId="3" borderId="0" xfId="67" applyNumberFormat="1" applyFont="1" applyFill="1" applyBorder="1" applyProtection="1"/>
    <xf numFmtId="0" fontId="100" fillId="0" borderId="0" xfId="67" applyFont="1" applyFill="1" applyBorder="1" applyProtection="1"/>
    <xf numFmtId="171" fontId="61" fillId="0" borderId="0" xfId="67" applyNumberFormat="1" applyFont="1" applyFill="1" applyBorder="1" applyProtection="1"/>
    <xf numFmtId="185" fontId="29" fillId="0" borderId="0" xfId="21" applyNumberFormat="1" applyFont="1" applyFill="1" applyBorder="1"/>
    <xf numFmtId="7" fontId="29" fillId="0" borderId="0" xfId="67" applyNumberFormat="1" applyFont="1" applyFill="1" applyBorder="1" applyProtection="1"/>
    <xf numFmtId="184" fontId="29" fillId="0" borderId="0" xfId="67" applyNumberFormat="1" applyFont="1" applyFill="1" applyBorder="1" applyProtection="1"/>
    <xf numFmtId="39" fontId="29" fillId="0" borderId="0" xfId="67" applyNumberFormat="1" applyFont="1" applyFill="1" applyBorder="1" applyProtection="1"/>
    <xf numFmtId="7" fontId="61" fillId="0" borderId="0" xfId="67" applyNumberFormat="1" applyFont="1" applyFill="1" applyBorder="1" applyProtection="1"/>
    <xf numFmtId="39" fontId="61" fillId="0" borderId="0" xfId="67" applyNumberFormat="1" applyFont="1" applyFill="1" applyBorder="1" applyProtection="1">
      <protection locked="0"/>
    </xf>
    <xf numFmtId="199" fontId="29" fillId="0" borderId="0" xfId="22" applyNumberFormat="1" applyFont="1" applyFill="1" applyBorder="1"/>
    <xf numFmtId="171" fontId="29" fillId="0" borderId="0" xfId="67" applyNumberFormat="1" applyFont="1" applyFill="1" applyBorder="1" applyProtection="1"/>
    <xf numFmtId="10" fontId="103" fillId="0" borderId="0" xfId="67" applyNumberFormat="1" applyFont="1" applyFill="1" applyBorder="1" applyProtection="1"/>
    <xf numFmtId="168" fontId="29" fillId="0" borderId="0" xfId="67" applyNumberFormat="1" applyFont="1" applyFill="1" applyBorder="1" applyProtection="1"/>
    <xf numFmtId="168" fontId="29" fillId="0" borderId="0" xfId="21" applyNumberFormat="1" applyFont="1" applyFill="1" applyBorder="1" applyProtection="1"/>
    <xf numFmtId="201" fontId="29" fillId="0" borderId="0" xfId="22" applyNumberFormat="1" applyFont="1" applyFill="1" applyBorder="1"/>
    <xf numFmtId="204" fontId="29" fillId="0" borderId="0" xfId="22" applyNumberFormat="1" applyFont="1" applyFill="1" applyBorder="1"/>
    <xf numFmtId="0" fontId="104" fillId="0" borderId="0" xfId="67" applyFont="1" applyFill="1" applyBorder="1" applyProtection="1"/>
    <xf numFmtId="37" fontId="29" fillId="0" borderId="0" xfId="67" applyNumberFormat="1" applyFont="1" applyFill="1" applyBorder="1"/>
    <xf numFmtId="37" fontId="61" fillId="0" borderId="0" xfId="67" applyNumberFormat="1" applyFont="1" applyFill="1" applyBorder="1" applyProtection="1"/>
    <xf numFmtId="7" fontId="60" fillId="0" borderId="0" xfId="67" applyNumberFormat="1" applyFont="1" applyFill="1" applyBorder="1" applyProtection="1">
      <protection locked="0"/>
    </xf>
    <xf numFmtId="7" fontId="103" fillId="0" borderId="0" xfId="67" applyNumberFormat="1" applyFont="1" applyFill="1" applyBorder="1" applyProtection="1"/>
    <xf numFmtId="193" fontId="29" fillId="0" borderId="0" xfId="67" applyNumberFormat="1" applyFont="1" applyFill="1" applyBorder="1" applyProtection="1"/>
    <xf numFmtId="174" fontId="61" fillId="0" borderId="0" xfId="67" applyNumberFormat="1" applyFont="1" applyFill="1" applyBorder="1" applyProtection="1"/>
    <xf numFmtId="0" fontId="30" fillId="0" borderId="0" xfId="67" applyFont="1" applyFill="1" applyBorder="1" applyProtection="1"/>
    <xf numFmtId="5" fontId="61" fillId="0" borderId="0" xfId="67" applyNumberFormat="1" applyFont="1" applyFill="1" applyBorder="1" applyProtection="1"/>
    <xf numFmtId="186" fontId="29" fillId="0" borderId="0" xfId="67" applyNumberFormat="1" applyFont="1" applyFill="1" applyBorder="1" applyProtection="1"/>
    <xf numFmtId="186" fontId="60" fillId="0" borderId="0" xfId="67" applyNumberFormat="1" applyFont="1" applyFill="1" applyBorder="1" applyProtection="1">
      <protection locked="0"/>
    </xf>
    <xf numFmtId="174" fontId="29" fillId="0" borderId="0" xfId="67" applyNumberFormat="1" applyFont="1" applyFill="1" applyBorder="1" applyProtection="1"/>
    <xf numFmtId="5" fontId="103" fillId="0" borderId="0" xfId="67" applyNumberFormat="1" applyFont="1" applyFill="1" applyBorder="1" applyProtection="1"/>
    <xf numFmtId="9" fontId="29" fillId="0" borderId="0" xfId="22" applyFont="1" applyFill="1" applyBorder="1" applyAlignment="1">
      <alignment horizontal="center"/>
    </xf>
    <xf numFmtId="9" fontId="29" fillId="0" borderId="0" xfId="22" applyFont="1" applyFill="1" applyBorder="1"/>
    <xf numFmtId="7" fontId="29" fillId="0" borderId="0" xfId="67" applyNumberFormat="1" applyFont="1" applyFill="1" applyBorder="1" applyProtection="1">
      <protection locked="0"/>
    </xf>
    <xf numFmtId="185" fontId="61" fillId="0" borderId="0" xfId="21" applyNumberFormat="1" applyFont="1" applyFill="1" applyBorder="1" applyProtection="1">
      <protection locked="0"/>
    </xf>
    <xf numFmtId="43" fontId="61" fillId="0" borderId="0" xfId="21" applyFont="1" applyFill="1" applyBorder="1" applyProtection="1">
      <protection locked="0"/>
    </xf>
    <xf numFmtId="185" fontId="61" fillId="3" borderId="0" xfId="21" applyNumberFormat="1" applyFont="1" applyFill="1" applyBorder="1" applyProtection="1">
      <protection locked="0"/>
    </xf>
    <xf numFmtId="176" fontId="29" fillId="0" borderId="0" xfId="67" applyNumberFormat="1" applyFont="1" applyFill="1" applyBorder="1"/>
    <xf numFmtId="5" fontId="103" fillId="0" borderId="0" xfId="67" applyNumberFormat="1" applyFont="1" applyFill="1" applyBorder="1" applyProtection="1">
      <protection locked="0"/>
    </xf>
    <xf numFmtId="0" fontId="103" fillId="0" borderId="0" xfId="67" applyFont="1" applyFill="1" applyBorder="1" applyProtection="1">
      <protection locked="0"/>
    </xf>
    <xf numFmtId="191" fontId="60" fillId="0" borderId="0" xfId="67" applyNumberFormat="1" applyFont="1" applyFill="1" applyBorder="1" applyProtection="1">
      <protection locked="0"/>
    </xf>
    <xf numFmtId="203" fontId="29" fillId="0" borderId="0" xfId="21" applyNumberFormat="1" applyFont="1" applyFill="1" applyBorder="1"/>
    <xf numFmtId="184" fontId="61" fillId="0" borderId="0" xfId="67" applyNumberFormat="1" applyFont="1" applyFill="1" applyBorder="1" applyProtection="1">
      <protection locked="0"/>
    </xf>
    <xf numFmtId="185" fontId="61" fillId="0" borderId="0" xfId="67" applyNumberFormat="1" applyFont="1" applyFill="1" applyBorder="1" applyProtection="1">
      <protection locked="0"/>
    </xf>
    <xf numFmtId="43" fontId="61" fillId="0" borderId="0" xfId="67" applyNumberFormat="1" applyFont="1" applyFill="1" applyBorder="1" applyProtection="1">
      <protection locked="0"/>
    </xf>
    <xf numFmtId="43" fontId="61" fillId="0" borderId="0" xfId="21" applyNumberFormat="1" applyFont="1" applyFill="1" applyBorder="1" applyProtection="1">
      <protection locked="0"/>
    </xf>
    <xf numFmtId="0" fontId="60" fillId="0" borderId="0" xfId="67" applyFont="1" applyFill="1" applyBorder="1"/>
    <xf numFmtId="5" fontId="60" fillId="0" borderId="0" xfId="67" applyNumberFormat="1" applyFont="1" applyFill="1" applyBorder="1"/>
    <xf numFmtId="7" fontId="60" fillId="0" borderId="0" xfId="67" applyNumberFormat="1" applyFont="1" applyFill="1" applyBorder="1" applyProtection="1"/>
    <xf numFmtId="189" fontId="60" fillId="0" borderId="0" xfId="67" applyNumberFormat="1" applyFont="1" applyFill="1" applyBorder="1" applyProtection="1"/>
    <xf numFmtId="10" fontId="29" fillId="0" borderId="0" xfId="22" applyNumberFormat="1" applyFont="1" applyFill="1" applyBorder="1" applyAlignment="1">
      <alignment horizontal="center"/>
    </xf>
    <xf numFmtId="10" fontId="29" fillId="0" borderId="0" xfId="67" applyNumberFormat="1" applyFont="1" applyFill="1" applyBorder="1" applyAlignment="1">
      <alignment horizontal="center"/>
    </xf>
    <xf numFmtId="4" fontId="29" fillId="0" borderId="0" xfId="67" applyNumberFormat="1" applyFont="1" applyFill="1" applyBorder="1"/>
    <xf numFmtId="185" fontId="61" fillId="0" borderId="0" xfId="21" applyNumberFormat="1" applyFont="1" applyFill="1" applyBorder="1" applyProtection="1"/>
    <xf numFmtId="194" fontId="29" fillId="0" borderId="0" xfId="67" applyNumberFormat="1" applyFont="1" applyFill="1" applyBorder="1"/>
    <xf numFmtId="43" fontId="61" fillId="0" borderId="0" xfId="21" applyFont="1" applyFill="1" applyBorder="1" applyProtection="1"/>
    <xf numFmtId="185" fontId="61" fillId="3" borderId="0" xfId="21" applyNumberFormat="1" applyFont="1" applyFill="1" applyBorder="1" applyProtection="1"/>
    <xf numFmtId="182" fontId="60" fillId="0" borderId="0" xfId="67" applyNumberFormat="1" applyFont="1" applyFill="1" applyBorder="1" applyProtection="1"/>
    <xf numFmtId="43" fontId="61" fillId="0" borderId="0" xfId="21" applyNumberFormat="1" applyFont="1" applyFill="1" applyBorder="1" applyProtection="1"/>
    <xf numFmtId="182" fontId="61" fillId="0" borderId="0" xfId="67" applyNumberFormat="1" applyFont="1" applyFill="1" applyBorder="1" applyProtection="1"/>
    <xf numFmtId="186" fontId="60" fillId="0" borderId="0" xfId="67" applyNumberFormat="1" applyFont="1" applyFill="1" applyBorder="1" applyProtection="1"/>
    <xf numFmtId="174" fontId="60" fillId="0" borderId="0" xfId="67" applyNumberFormat="1" applyFont="1" applyFill="1" applyBorder="1" applyProtection="1"/>
    <xf numFmtId="189" fontId="29" fillId="0" borderId="0" xfId="67" applyNumberFormat="1" applyFont="1" applyFill="1" applyBorder="1" applyProtection="1"/>
    <xf numFmtId="167" fontId="29" fillId="0" borderId="0" xfId="35" applyNumberFormat="1" applyFont="1" applyFill="1" applyBorder="1"/>
    <xf numFmtId="167" fontId="29" fillId="0" borderId="0" xfId="35" applyNumberFormat="1" applyFont="1" applyFill="1" applyBorder="1" applyAlignment="1">
      <alignment horizontal="center"/>
    </xf>
    <xf numFmtId="186" fontId="61" fillId="0" borderId="0" xfId="21" applyNumberFormat="1" applyFont="1" applyFill="1" applyBorder="1" applyProtection="1"/>
    <xf numFmtId="186" fontId="61" fillId="0" borderId="0" xfId="67" applyNumberFormat="1" applyFont="1" applyFill="1" applyBorder="1" applyProtection="1"/>
    <xf numFmtId="0" fontId="61" fillId="0" borderId="0" xfId="67" applyFont="1" applyFill="1" applyBorder="1" applyProtection="1"/>
    <xf numFmtId="167" fontId="29" fillId="0" borderId="0" xfId="67" applyNumberFormat="1" applyFont="1" applyFill="1" applyBorder="1" applyAlignment="1">
      <alignment horizontal="center"/>
    </xf>
    <xf numFmtId="167" fontId="29" fillId="0" borderId="0" xfId="67" applyNumberFormat="1" applyFont="1" applyFill="1" applyBorder="1"/>
    <xf numFmtId="186" fontId="61" fillId="3" borderId="0" xfId="67" applyNumberFormat="1" applyFont="1" applyFill="1" applyBorder="1" applyProtection="1"/>
    <xf numFmtId="37" fontId="29" fillId="3" borderId="0" xfId="67" applyNumberFormat="1" applyFont="1" applyFill="1" applyBorder="1"/>
    <xf numFmtId="0" fontId="29" fillId="0" borderId="0" xfId="22" applyNumberFormat="1" applyFont="1" applyFill="1" applyBorder="1"/>
    <xf numFmtId="0" fontId="61" fillId="3" borderId="0" xfId="67" applyFont="1" applyFill="1" applyBorder="1" applyProtection="1"/>
    <xf numFmtId="182" fontId="61" fillId="3" borderId="0" xfId="67" applyNumberFormat="1" applyFont="1" applyFill="1" applyBorder="1" applyProtection="1"/>
    <xf numFmtId="0" fontId="29" fillId="0" borderId="0" xfId="7" applyFont="1" applyFill="1" applyBorder="1"/>
    <xf numFmtId="0" fontId="29" fillId="0" borderId="0" xfId="7" applyFont="1" applyFill="1" applyBorder="1" applyAlignment="1">
      <alignment horizontal="center"/>
    </xf>
    <xf numFmtId="197" fontId="29" fillId="0" borderId="0" xfId="7" applyNumberFormat="1" applyFont="1" applyFill="1" applyBorder="1"/>
    <xf numFmtId="0" fontId="29" fillId="0" borderId="0" xfId="7" applyFont="1" applyFill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44" fontId="29" fillId="0" borderId="0" xfId="7" applyNumberFormat="1" applyFont="1" applyFill="1" applyBorder="1"/>
    <xf numFmtId="44" fontId="29" fillId="0" borderId="0" xfId="7" applyNumberFormat="1" applyFont="1" applyFill="1" applyBorder="1" applyAlignment="1">
      <alignment horizontal="center"/>
    </xf>
    <xf numFmtId="7" fontId="29" fillId="0" borderId="0" xfId="7" applyNumberFormat="1" applyFont="1" applyFill="1" applyBorder="1" applyAlignment="1">
      <alignment horizontal="center"/>
    </xf>
    <xf numFmtId="7" fontId="29" fillId="0" borderId="0" xfId="7" applyNumberFormat="1" applyFont="1" applyFill="1" applyBorder="1" applyAlignment="1">
      <alignment horizontal="right"/>
    </xf>
    <xf numFmtId="181" fontId="29" fillId="0" borderId="0" xfId="21" applyNumberFormat="1" applyFont="1" applyFill="1" applyBorder="1"/>
    <xf numFmtId="168" fontId="61" fillId="0" borderId="0" xfId="21" applyNumberFormat="1" applyFont="1" applyFill="1" applyBorder="1"/>
    <xf numFmtId="5" fontId="29" fillId="0" borderId="0" xfId="35" applyNumberFormat="1" applyFont="1" applyFill="1" applyBorder="1"/>
    <xf numFmtId="5" fontId="29" fillId="0" borderId="0" xfId="7" applyNumberFormat="1" applyFont="1" applyFill="1" applyBorder="1" applyAlignment="1">
      <alignment horizontal="right"/>
    </xf>
    <xf numFmtId="5" fontId="60" fillId="0" borderId="0" xfId="67" applyNumberFormat="1" applyFont="1" applyFill="1" applyBorder="1" applyAlignment="1" applyProtection="1">
      <alignment horizontal="right"/>
    </xf>
    <xf numFmtId="190" fontId="60" fillId="0" borderId="0" xfId="67" applyNumberFormat="1" applyFont="1" applyFill="1" applyBorder="1" applyProtection="1"/>
    <xf numFmtId="0" fontId="60" fillId="3" borderId="0" xfId="67" applyFont="1" applyFill="1" applyBorder="1" applyProtection="1"/>
    <xf numFmtId="182" fontId="29" fillId="0" borderId="0" xfId="67" applyNumberFormat="1" applyFont="1" applyFill="1" applyBorder="1" applyProtection="1"/>
    <xf numFmtId="5" fontId="60" fillId="0" borderId="0" xfId="67" applyNumberFormat="1" applyFont="1" applyFill="1" applyBorder="1" applyAlignment="1" applyProtection="1">
      <alignment horizontal="center"/>
    </xf>
    <xf numFmtId="0" fontId="103" fillId="0" borderId="0" xfId="67" applyFont="1" applyFill="1" applyBorder="1"/>
    <xf numFmtId="0" fontId="100" fillId="0" borderId="0" xfId="67" applyFont="1" applyFill="1" applyBorder="1"/>
    <xf numFmtId="43" fontId="29" fillId="0" borderId="0" xfId="21" applyNumberFormat="1" applyFont="1" applyFill="1" applyBorder="1"/>
    <xf numFmtId="0" fontId="105" fillId="0" borderId="0" xfId="67" applyFont="1" applyFill="1" applyBorder="1"/>
    <xf numFmtId="0" fontId="61" fillId="0" borderId="0" xfId="67" applyFont="1" applyFill="1" applyBorder="1"/>
    <xf numFmtId="7" fontId="61" fillId="0" borderId="0" xfId="67" applyNumberFormat="1" applyFont="1" applyFill="1" applyBorder="1" applyAlignment="1">
      <alignment horizontal="center"/>
    </xf>
    <xf numFmtId="7" fontId="61" fillId="0" borderId="0" xfId="67" applyNumberFormat="1" applyFont="1" applyFill="1" applyBorder="1"/>
    <xf numFmtId="0" fontId="30" fillId="0" borderId="0" xfId="67" applyFont="1" applyFill="1" applyBorder="1"/>
    <xf numFmtId="5" fontId="61" fillId="0" borderId="0" xfId="67" applyNumberFormat="1" applyFont="1" applyFill="1" applyBorder="1" applyAlignment="1">
      <alignment horizontal="center"/>
    </xf>
    <xf numFmtId="5" fontId="61" fillId="0" borderId="0" xfId="67" applyNumberFormat="1" applyFont="1" applyFill="1" applyBorder="1"/>
    <xf numFmtId="7" fontId="29" fillId="0" borderId="0" xfId="35" applyNumberFormat="1" applyFont="1" applyFill="1" applyBorder="1"/>
    <xf numFmtId="44" fontId="29" fillId="0" borderId="0" xfId="35" applyFont="1" applyFill="1" applyBorder="1"/>
    <xf numFmtId="206" fontId="29" fillId="0" borderId="0" xfId="35" applyNumberFormat="1" applyFont="1" applyFill="1" applyBorder="1"/>
    <xf numFmtId="7" fontId="104" fillId="0" borderId="0" xfId="67" applyNumberFormat="1" applyFont="1" applyFill="1" applyBorder="1" applyProtection="1"/>
    <xf numFmtId="37" fontId="100" fillId="0" borderId="0" xfId="67" applyNumberFormat="1" applyFont="1" applyFill="1" applyBorder="1" applyProtection="1"/>
    <xf numFmtId="168" fontId="106" fillId="0" borderId="0" xfId="21" applyNumberFormat="1" applyFont="1" applyFill="1" applyBorder="1" applyProtection="1"/>
    <xf numFmtId="5" fontId="100" fillId="0" borderId="0" xfId="67" applyNumberFormat="1" applyFont="1" applyFill="1" applyBorder="1" applyProtection="1"/>
    <xf numFmtId="167" fontId="100" fillId="0" borderId="0" xfId="35" applyNumberFormat="1" applyFont="1" applyFill="1" applyBorder="1" applyProtection="1"/>
    <xf numFmtId="7" fontId="106" fillId="0" borderId="0" xfId="67" applyNumberFormat="1" applyFont="1" applyFill="1" applyBorder="1" applyProtection="1"/>
    <xf numFmtId="167" fontId="61" fillId="0" borderId="0" xfId="67" applyNumberFormat="1" applyFont="1" applyFill="1" applyBorder="1" applyProtection="1"/>
    <xf numFmtId="198" fontId="29" fillId="0" borderId="0" xfId="35" applyNumberFormat="1" applyFont="1" applyFill="1" applyBorder="1"/>
    <xf numFmtId="0" fontId="29" fillId="0" borderId="0" xfId="0" applyFont="1" applyFill="1"/>
    <xf numFmtId="0" fontId="29" fillId="0" borderId="0" xfId="0" applyFont="1" applyFill="1" applyBorder="1"/>
    <xf numFmtId="3" fontId="29" fillId="0" borderId="0" xfId="0" applyNumberFormat="1" applyFont="1" applyFill="1" applyBorder="1"/>
    <xf numFmtId="0" fontId="100" fillId="0" borderId="0" xfId="0" applyFont="1" applyFill="1" applyAlignment="1" applyProtection="1">
      <alignment horizontal="center"/>
    </xf>
    <xf numFmtId="0" fontId="103" fillId="0" borderId="0" xfId="0" applyFont="1" applyFill="1"/>
    <xf numFmtId="5" fontId="29" fillId="0" borderId="0" xfId="0" applyNumberFormat="1" applyFont="1" applyFill="1" applyProtection="1"/>
    <xf numFmtId="37" fontId="29" fillId="0" borderId="0" xfId="0" applyNumberFormat="1" applyFont="1" applyFill="1"/>
    <xf numFmtId="7" fontId="61" fillId="0" borderId="0" xfId="2" applyNumberFormat="1" applyFont="1" applyFill="1"/>
    <xf numFmtId="5" fontId="60" fillId="0" borderId="0" xfId="0" applyNumberFormat="1" applyFont="1" applyFill="1" applyProtection="1"/>
    <xf numFmtId="5" fontId="29" fillId="0" borderId="0" xfId="0" applyNumberFormat="1" applyFont="1" applyFill="1"/>
    <xf numFmtId="168" fontId="29" fillId="0" borderId="0" xfId="1" applyNumberFormat="1" applyFont="1" applyFill="1"/>
    <xf numFmtId="43" fontId="29" fillId="0" borderId="0" xfId="0" applyNumberFormat="1" applyFont="1" applyFill="1"/>
    <xf numFmtId="7" fontId="61" fillId="0" borderId="0" xfId="0" applyNumberFormat="1" applyFont="1" applyFill="1"/>
    <xf numFmtId="0" fontId="61" fillId="0" borderId="0" xfId="2" applyNumberFormat="1" applyFont="1" applyFill="1"/>
    <xf numFmtId="0" fontId="61" fillId="0" borderId="0" xfId="0" applyFont="1" applyFill="1"/>
    <xf numFmtId="7" fontId="61" fillId="0" borderId="0" xfId="2" applyNumberFormat="1" applyFont="1" applyFill="1" applyBorder="1"/>
    <xf numFmtId="0" fontId="60" fillId="0" borderId="0" xfId="0" applyFont="1" applyFill="1" applyProtection="1"/>
    <xf numFmtId="37" fontId="29" fillId="0" borderId="0" xfId="0" applyNumberFormat="1" applyFont="1" applyFill="1" applyBorder="1"/>
    <xf numFmtId="181" fontId="29" fillId="0" borderId="0" xfId="1" applyNumberFormat="1" applyFont="1" applyFill="1"/>
    <xf numFmtId="5" fontId="29" fillId="0" borderId="0" xfId="0" applyNumberFormat="1" applyFont="1" applyFill="1" applyBorder="1" applyProtection="1"/>
    <xf numFmtId="3" fontId="29" fillId="0" borderId="0" xfId="0" applyNumberFormat="1" applyFont="1" applyFill="1"/>
    <xf numFmtId="3" fontId="29" fillId="0" borderId="0" xfId="0" applyNumberFormat="1" applyFont="1" applyFill="1" applyAlignment="1">
      <alignment horizontal="center"/>
    </xf>
    <xf numFmtId="37" fontId="29" fillId="0" borderId="47" xfId="0" applyNumberFormat="1" applyFont="1" applyFill="1" applyBorder="1" applyProtection="1"/>
    <xf numFmtId="5" fontId="60" fillId="0" borderId="47" xfId="0" applyNumberFormat="1" applyFont="1" applyFill="1" applyBorder="1" applyProtection="1"/>
    <xf numFmtId="5" fontId="60" fillId="0" borderId="48" xfId="0" applyNumberFormat="1" applyFont="1" applyFill="1" applyBorder="1" applyProtection="1"/>
    <xf numFmtId="0" fontId="29" fillId="0" borderId="36" xfId="0" applyFont="1" applyFill="1" applyBorder="1"/>
    <xf numFmtId="7" fontId="29" fillId="0" borderId="28" xfId="0" applyNumberFormat="1" applyFont="1" applyFill="1" applyBorder="1"/>
    <xf numFmtId="171" fontId="29" fillId="0" borderId="38" xfId="14" applyNumberFormat="1" applyFont="1" applyFill="1" applyBorder="1"/>
    <xf numFmtId="10" fontId="29" fillId="0" borderId="0" xfId="14" applyNumberFormat="1" applyFont="1" applyFill="1" applyBorder="1"/>
    <xf numFmtId="171" fontId="29" fillId="0" borderId="0" xfId="14" applyNumberFormat="1" applyFont="1" applyFill="1"/>
    <xf numFmtId="37" fontId="29" fillId="0" borderId="0" xfId="0" applyNumberFormat="1" applyFont="1" applyFill="1" applyProtection="1"/>
    <xf numFmtId="0" fontId="29" fillId="0" borderId="0" xfId="0" applyFont="1" applyFill="1" applyProtection="1"/>
    <xf numFmtId="0" fontId="29" fillId="0" borderId="19" xfId="0" applyFont="1" applyFill="1" applyBorder="1"/>
    <xf numFmtId="5" fontId="29" fillId="0" borderId="12" xfId="0" applyNumberFormat="1" applyFont="1" applyFill="1" applyBorder="1"/>
    <xf numFmtId="0" fontId="29" fillId="0" borderId="13" xfId="0" applyFont="1" applyFill="1" applyBorder="1"/>
    <xf numFmtId="171" fontId="29" fillId="0" borderId="0" xfId="14" applyNumberFormat="1" applyFont="1" applyFill="1" applyBorder="1"/>
    <xf numFmtId="201" fontId="29" fillId="0" borderId="0" xfId="14" applyNumberFormat="1" applyFont="1" applyFill="1"/>
    <xf numFmtId="168" fontId="29" fillId="0" borderId="0" xfId="1" applyNumberFormat="1" applyFont="1" applyFill="1" applyBorder="1"/>
    <xf numFmtId="181" fontId="29" fillId="0" borderId="0" xfId="1" applyNumberFormat="1" applyFont="1" applyFill="1" applyBorder="1"/>
    <xf numFmtId="168" fontId="61" fillId="0" borderId="0" xfId="1" applyNumberFormat="1" applyFont="1" applyFill="1" applyBorder="1"/>
    <xf numFmtId="0" fontId="103" fillId="0" borderId="0" xfId="0" applyFont="1" applyFill="1" applyProtection="1"/>
    <xf numFmtId="37" fontId="60" fillId="0" borderId="0" xfId="0" applyNumberFormat="1" applyFont="1" applyFill="1" applyProtection="1"/>
    <xf numFmtId="0" fontId="29" fillId="0" borderId="0" xfId="0" applyFont="1" applyFill="1" applyBorder="1" applyAlignment="1">
      <alignment horizontal="right"/>
    </xf>
    <xf numFmtId="0" fontId="60" fillId="0" borderId="0" xfId="0" applyFont="1" applyFill="1" applyProtection="1">
      <protection locked="0"/>
    </xf>
    <xf numFmtId="3" fontId="29" fillId="0" borderId="0" xfId="0" applyNumberFormat="1" applyFont="1" applyFill="1" applyBorder="1" applyAlignment="1">
      <alignment horizontal="center"/>
    </xf>
    <xf numFmtId="7" fontId="61" fillId="0" borderId="0" xfId="0" applyNumberFormat="1" applyFont="1" applyFill="1" applyProtection="1">
      <protection locked="0"/>
    </xf>
    <xf numFmtId="10" fontId="29" fillId="0" borderId="0" xfId="14" applyNumberFormat="1" applyFont="1" applyFill="1"/>
    <xf numFmtId="9" fontId="29" fillId="0" borderId="0" xfId="14" applyFont="1" applyFill="1"/>
    <xf numFmtId="182" fontId="29" fillId="0" borderId="0" xfId="0" applyNumberFormat="1" applyFont="1" applyFill="1"/>
    <xf numFmtId="167" fontId="29" fillId="0" borderId="0" xfId="2" applyNumberFormat="1" applyFont="1" applyFill="1"/>
    <xf numFmtId="0" fontId="60" fillId="0" borderId="0" xfId="0" applyFont="1" applyFill="1"/>
    <xf numFmtId="7" fontId="60" fillId="0" borderId="0" xfId="0" applyNumberFormat="1" applyFont="1" applyFill="1" applyProtection="1">
      <protection locked="0"/>
    </xf>
    <xf numFmtId="0" fontId="29" fillId="3" borderId="0" xfId="0" applyFont="1" applyFill="1"/>
    <xf numFmtId="37" fontId="60" fillId="3" borderId="0" xfId="0" applyNumberFormat="1" applyFont="1" applyFill="1" applyProtection="1"/>
    <xf numFmtId="7" fontId="61" fillId="3" borderId="0" xfId="2" applyNumberFormat="1" applyFont="1" applyFill="1" applyBorder="1"/>
    <xf numFmtId="0" fontId="29" fillId="3" borderId="0" xfId="0" applyFont="1" applyFill="1" applyBorder="1"/>
    <xf numFmtId="5" fontId="60" fillId="3" borderId="0" xfId="0" applyNumberFormat="1" applyFont="1" applyFill="1" applyProtection="1"/>
    <xf numFmtId="186" fontId="61" fillId="3" borderId="0" xfId="0" applyNumberFormat="1" applyFont="1" applyFill="1" applyProtection="1">
      <protection locked="0"/>
    </xf>
    <xf numFmtId="0" fontId="60" fillId="3" borderId="0" xfId="0" applyFont="1" applyFill="1" applyProtection="1"/>
    <xf numFmtId="186" fontId="60" fillId="0" borderId="0" xfId="0" applyNumberFormat="1" applyFont="1" applyFill="1" applyProtection="1">
      <protection locked="0"/>
    </xf>
    <xf numFmtId="5" fontId="60" fillId="0" borderId="0" xfId="0" applyNumberFormat="1" applyFont="1" applyFill="1" applyProtection="1">
      <protection locked="0"/>
    </xf>
    <xf numFmtId="37" fontId="60" fillId="0" borderId="12" xfId="0" applyNumberFormat="1" applyFont="1" applyFill="1" applyBorder="1" applyProtection="1"/>
    <xf numFmtId="5" fontId="60" fillId="0" borderId="34" xfId="0" applyNumberFormat="1" applyFont="1" applyFill="1" applyBorder="1" applyProtection="1"/>
    <xf numFmtId="37" fontId="29" fillId="0" borderId="48" xfId="0" applyNumberFormat="1" applyFont="1" applyFill="1" applyBorder="1" applyProtection="1"/>
    <xf numFmtId="37" fontId="29" fillId="0" borderId="28" xfId="0" applyNumberFormat="1" applyFont="1" applyFill="1" applyBorder="1"/>
    <xf numFmtId="166" fontId="29" fillId="0" borderId="0" xfId="14" applyNumberFormat="1" applyFont="1" applyFill="1" applyBorder="1"/>
    <xf numFmtId="0" fontId="104" fillId="0" borderId="0" xfId="0" applyFont="1" applyFill="1" applyProtection="1"/>
    <xf numFmtId="5" fontId="60" fillId="0" borderId="0" xfId="0" applyNumberFormat="1" applyFont="1" applyFill="1" applyBorder="1" applyProtection="1"/>
    <xf numFmtId="37" fontId="60" fillId="0" borderId="34" xfId="0" applyNumberFormat="1" applyFont="1" applyFill="1" applyBorder="1" applyProtection="1"/>
    <xf numFmtId="0" fontId="29" fillId="0" borderId="0" xfId="0" applyFont="1" applyFill="1" applyAlignment="1">
      <alignment horizontal="right"/>
    </xf>
    <xf numFmtId="9" fontId="29" fillId="0" borderId="0" xfId="14" applyNumberFormat="1" applyFont="1" applyFill="1"/>
    <xf numFmtId="10" fontId="29" fillId="0" borderId="0" xfId="0" applyNumberFormat="1" applyFont="1" applyFill="1"/>
    <xf numFmtId="5" fontId="61" fillId="0" borderId="0" xfId="0" applyNumberFormat="1" applyFont="1" applyFill="1" applyProtection="1">
      <protection locked="0"/>
    </xf>
    <xf numFmtId="0" fontId="61" fillId="0" borderId="0" xfId="0" applyFont="1" applyFill="1" applyProtection="1">
      <protection locked="0"/>
    </xf>
    <xf numFmtId="9" fontId="29" fillId="0" borderId="0" xfId="0" applyNumberFormat="1" applyFont="1" applyFill="1"/>
    <xf numFmtId="168" fontId="29" fillId="0" borderId="0" xfId="0" applyNumberFormat="1" applyFont="1" applyFill="1"/>
    <xf numFmtId="43" fontId="29" fillId="0" borderId="0" xfId="1" applyFont="1" applyFill="1"/>
    <xf numFmtId="7" fontId="29" fillId="0" borderId="0" xfId="0" applyNumberFormat="1" applyFont="1" applyFill="1"/>
    <xf numFmtId="191" fontId="61" fillId="0" borderId="0" xfId="0" applyNumberFormat="1" applyFont="1" applyFill="1" applyProtection="1">
      <protection locked="0"/>
    </xf>
    <xf numFmtId="37" fontId="29" fillId="3" borderId="0" xfId="0" applyNumberFormat="1" applyFont="1" applyFill="1" applyProtection="1"/>
    <xf numFmtId="0" fontId="29" fillId="3" borderId="0" xfId="0" applyFont="1" applyFill="1" applyProtection="1"/>
    <xf numFmtId="5" fontId="29" fillId="3" borderId="0" xfId="0" applyNumberFormat="1" applyFont="1" applyFill="1" applyBorder="1" applyProtection="1"/>
    <xf numFmtId="5" fontId="29" fillId="3" borderId="0" xfId="0" applyNumberFormat="1" applyFont="1" applyFill="1"/>
    <xf numFmtId="168" fontId="29" fillId="3" borderId="0" xfId="1" applyNumberFormat="1" applyFont="1" applyFill="1"/>
    <xf numFmtId="43" fontId="29" fillId="3" borderId="0" xfId="0" applyNumberFormat="1" applyFont="1" applyFill="1"/>
    <xf numFmtId="0" fontId="100" fillId="0" borderId="0" xfId="0" applyFont="1" applyFill="1" applyProtection="1"/>
    <xf numFmtId="171" fontId="61" fillId="0" borderId="0" xfId="0" applyNumberFormat="1" applyFont="1" applyFill="1" applyProtection="1"/>
    <xf numFmtId="185" fontId="29" fillId="0" borderId="0" xfId="1" applyNumberFormat="1" applyFont="1" applyFill="1"/>
    <xf numFmtId="7" fontId="29" fillId="0" borderId="0" xfId="0" applyNumberFormat="1" applyFont="1" applyFill="1" applyProtection="1"/>
    <xf numFmtId="184" fontId="29" fillId="0" borderId="0" xfId="0" applyNumberFormat="1" applyFont="1" applyFill="1" applyProtection="1"/>
    <xf numFmtId="39" fontId="29" fillId="0" borderId="0" xfId="0" applyNumberFormat="1" applyFont="1" applyFill="1" applyProtection="1"/>
    <xf numFmtId="7" fontId="61" fillId="0" borderId="0" xfId="0" applyNumberFormat="1" applyFont="1" applyFill="1" applyProtection="1"/>
    <xf numFmtId="39" fontId="61" fillId="0" borderId="0" xfId="0" applyNumberFormat="1" applyFont="1" applyFill="1" applyProtection="1">
      <protection locked="0"/>
    </xf>
    <xf numFmtId="199" fontId="29" fillId="0" borderId="0" xfId="14" applyNumberFormat="1" applyFont="1" applyFill="1"/>
    <xf numFmtId="37" fontId="29" fillId="0" borderId="12" xfId="0" applyNumberFormat="1" applyFont="1" applyFill="1" applyBorder="1" applyProtection="1"/>
    <xf numFmtId="5" fontId="29" fillId="0" borderId="34" xfId="0" applyNumberFormat="1" applyFont="1" applyFill="1" applyBorder="1" applyProtection="1"/>
    <xf numFmtId="10" fontId="105" fillId="0" borderId="0" xfId="7" applyNumberFormat="1" applyFont="1" applyFill="1"/>
    <xf numFmtId="171" fontId="29" fillId="0" borderId="48" xfId="0" applyNumberFormat="1" applyFont="1" applyFill="1" applyBorder="1" applyProtection="1"/>
    <xf numFmtId="10" fontId="103" fillId="0" borderId="48" xfId="0" applyNumberFormat="1" applyFont="1" applyFill="1" applyBorder="1" applyProtection="1"/>
    <xf numFmtId="5" fontId="29" fillId="0" borderId="48" xfId="0" applyNumberFormat="1" applyFont="1" applyFill="1" applyBorder="1" applyProtection="1"/>
    <xf numFmtId="168" fontId="29" fillId="0" borderId="48" xfId="0" applyNumberFormat="1" applyFont="1" applyFill="1" applyBorder="1" applyProtection="1"/>
    <xf numFmtId="0" fontId="60" fillId="0" borderId="48" xfId="0" applyFont="1" applyFill="1" applyBorder="1" applyProtection="1"/>
    <xf numFmtId="168" fontId="29" fillId="0" borderId="48" xfId="1" applyNumberFormat="1" applyFont="1" applyFill="1" applyBorder="1" applyProtection="1"/>
    <xf numFmtId="5" fontId="29" fillId="0" borderId="0" xfId="7" applyNumberFormat="1" applyFont="1" applyFill="1"/>
    <xf numFmtId="5" fontId="29" fillId="0" borderId="28" xfId="0" applyNumberFormat="1" applyFont="1" applyFill="1" applyBorder="1"/>
    <xf numFmtId="10" fontId="29" fillId="0" borderId="38" xfId="14" applyNumberFormat="1" applyFont="1" applyFill="1" applyBorder="1"/>
    <xf numFmtId="201" fontId="29" fillId="0" borderId="13" xfId="14" applyNumberFormat="1" applyFont="1" applyFill="1" applyBorder="1"/>
    <xf numFmtId="201" fontId="29" fillId="0" borderId="0" xfId="14" applyNumberFormat="1" applyFont="1" applyFill="1" applyBorder="1"/>
    <xf numFmtId="204" fontId="29" fillId="0" borderId="0" xfId="14" applyNumberFormat="1" applyFont="1" applyFill="1"/>
    <xf numFmtId="5" fontId="29" fillId="0" borderId="0" xfId="0" applyNumberFormat="1" applyFont="1" applyFill="1" applyBorder="1"/>
    <xf numFmtId="37" fontId="29" fillId="0" borderId="34" xfId="0" applyNumberFormat="1" applyFont="1" applyFill="1" applyBorder="1" applyProtection="1"/>
    <xf numFmtId="37" fontId="29" fillId="0" borderId="0" xfId="0" applyNumberFormat="1" applyFont="1" applyFill="1" applyBorder="1" applyProtection="1"/>
    <xf numFmtId="171" fontId="29" fillId="0" borderId="0" xfId="0" applyNumberFormat="1" applyFont="1" applyFill="1" applyBorder="1" applyProtection="1"/>
    <xf numFmtId="10" fontId="103" fillId="0" borderId="0" xfId="0" applyNumberFormat="1" applyFont="1" applyFill="1" applyBorder="1" applyProtection="1"/>
    <xf numFmtId="0" fontId="60" fillId="0" borderId="0" xfId="0" applyFont="1" applyFill="1" applyBorder="1" applyProtection="1"/>
    <xf numFmtId="37" fontId="61" fillId="0" borderId="0" xfId="0" applyNumberFormat="1" applyFont="1" applyFill="1" applyProtection="1"/>
    <xf numFmtId="7" fontId="103" fillId="0" borderId="0" xfId="0" applyNumberFormat="1" applyFont="1" applyFill="1" applyProtection="1"/>
    <xf numFmtId="193" fontId="29" fillId="0" borderId="0" xfId="0" applyNumberFormat="1" applyFont="1" applyFill="1" applyProtection="1"/>
    <xf numFmtId="174" fontId="61" fillId="0" borderId="0" xfId="0" applyNumberFormat="1" applyFont="1" applyFill="1" applyProtection="1"/>
    <xf numFmtId="37" fontId="29" fillId="3" borderId="0" xfId="0" applyNumberFormat="1" applyFont="1" applyFill="1"/>
    <xf numFmtId="5" fontId="29" fillId="3" borderId="0" xfId="0" applyNumberFormat="1" applyFont="1" applyFill="1" applyProtection="1"/>
    <xf numFmtId="5" fontId="61" fillId="0" borderId="0" xfId="0" applyNumberFormat="1" applyFont="1" applyFill="1" applyProtection="1"/>
    <xf numFmtId="186" fontId="29" fillId="0" borderId="0" xfId="0" applyNumberFormat="1" applyFont="1" applyFill="1" applyProtection="1"/>
    <xf numFmtId="174" fontId="29" fillId="0" borderId="0" xfId="0" applyNumberFormat="1" applyFont="1" applyFill="1" applyProtection="1"/>
    <xf numFmtId="5" fontId="103" fillId="0" borderId="0" xfId="0" applyNumberFormat="1" applyFont="1" applyFill="1" applyProtection="1"/>
    <xf numFmtId="37" fontId="60" fillId="0" borderId="48" xfId="0" applyNumberFormat="1" applyFont="1" applyFill="1" applyBorder="1" applyProtection="1"/>
    <xf numFmtId="0" fontId="29" fillId="0" borderId="0" xfId="0" applyFont="1" applyFill="1" applyBorder="1" applyAlignment="1">
      <alignment horizontal="center"/>
    </xf>
    <xf numFmtId="7" fontId="29" fillId="0" borderId="0" xfId="0" applyNumberFormat="1" applyFont="1" applyFill="1" applyProtection="1">
      <protection locked="0"/>
    </xf>
    <xf numFmtId="185" fontId="61" fillId="0" borderId="0" xfId="1" applyNumberFormat="1" applyFont="1" applyFill="1" applyProtection="1">
      <protection locked="0"/>
    </xf>
    <xf numFmtId="43" fontId="61" fillId="0" borderId="0" xfId="1" applyFont="1" applyFill="1" applyProtection="1">
      <protection locked="0"/>
    </xf>
    <xf numFmtId="176" fontId="29" fillId="0" borderId="0" xfId="0" applyNumberFormat="1" applyFont="1" applyFill="1"/>
    <xf numFmtId="5" fontId="103" fillId="0" borderId="0" xfId="0" applyNumberFormat="1" applyFont="1" applyFill="1" applyProtection="1">
      <protection locked="0"/>
    </xf>
    <xf numFmtId="0" fontId="103" fillId="0" borderId="0" xfId="0" applyFont="1" applyFill="1" applyProtection="1">
      <protection locked="0"/>
    </xf>
    <xf numFmtId="191" fontId="60" fillId="0" borderId="0" xfId="0" applyNumberFormat="1" applyFont="1" applyFill="1" applyProtection="1">
      <protection locked="0"/>
    </xf>
    <xf numFmtId="203" fontId="29" fillId="0" borderId="0" xfId="1" applyNumberFormat="1" applyFont="1" applyFill="1"/>
    <xf numFmtId="7" fontId="29" fillId="0" borderId="0" xfId="7" applyNumberFormat="1" applyFont="1" applyFill="1"/>
    <xf numFmtId="184" fontId="61" fillId="0" borderId="0" xfId="0" applyNumberFormat="1" applyFont="1" applyFill="1" applyProtection="1">
      <protection locked="0"/>
    </xf>
    <xf numFmtId="185" fontId="61" fillId="0" borderId="0" xfId="0" applyNumberFormat="1" applyFont="1" applyFill="1" applyProtection="1">
      <protection locked="0"/>
    </xf>
    <xf numFmtId="43" fontId="61" fillId="0" borderId="0" xfId="0" applyNumberFormat="1" applyFont="1" applyFill="1" applyProtection="1">
      <protection locked="0"/>
    </xf>
    <xf numFmtId="43" fontId="61" fillId="0" borderId="0" xfId="1" applyNumberFormat="1" applyFont="1" applyFill="1" applyProtection="1">
      <protection locked="0"/>
    </xf>
    <xf numFmtId="5" fontId="60" fillId="0" borderId="0" xfId="0" applyNumberFormat="1" applyFont="1" applyFill="1"/>
    <xf numFmtId="7" fontId="60" fillId="0" borderId="0" xfId="0" applyNumberFormat="1" applyFont="1" applyFill="1" applyProtection="1"/>
    <xf numFmtId="189" fontId="60" fillId="0" borderId="0" xfId="0" applyNumberFormat="1" applyFont="1" applyFill="1" applyProtection="1"/>
    <xf numFmtId="10" fontId="29" fillId="0" borderId="0" xfId="0" applyNumberFormat="1" applyFont="1" applyFill="1" applyBorder="1"/>
    <xf numFmtId="4" fontId="29" fillId="0" borderId="0" xfId="0" applyNumberFormat="1" applyFont="1" applyFill="1"/>
    <xf numFmtId="185" fontId="61" fillId="0" borderId="0" xfId="1" applyNumberFormat="1" applyFont="1" applyFill="1" applyProtection="1"/>
    <xf numFmtId="194" fontId="29" fillId="0" borderId="0" xfId="0" applyNumberFormat="1" applyFont="1" applyFill="1"/>
    <xf numFmtId="43" fontId="61" fillId="0" borderId="0" xfId="1" applyFont="1" applyFill="1" applyProtection="1"/>
    <xf numFmtId="10" fontId="29" fillId="3" borderId="0" xfId="0" applyNumberFormat="1" applyFont="1" applyFill="1"/>
    <xf numFmtId="182" fontId="60" fillId="0" borderId="0" xfId="0" applyNumberFormat="1" applyFont="1" applyFill="1" applyProtection="1"/>
    <xf numFmtId="43" fontId="61" fillId="0" borderId="0" xfId="1" applyNumberFormat="1" applyFont="1" applyFill="1" applyProtection="1"/>
    <xf numFmtId="37" fontId="60" fillId="0" borderId="0" xfId="0" applyNumberFormat="1" applyFont="1" applyFill="1" applyBorder="1" applyProtection="1"/>
    <xf numFmtId="200" fontId="29" fillId="0" borderId="13" xfId="14" applyNumberFormat="1" applyFont="1" applyFill="1" applyBorder="1"/>
    <xf numFmtId="182" fontId="61" fillId="0" borderId="0" xfId="0" applyNumberFormat="1" applyFont="1" applyFill="1" applyProtection="1"/>
    <xf numFmtId="186" fontId="60" fillId="0" borderId="0" xfId="0" applyNumberFormat="1" applyFont="1" applyFill="1" applyProtection="1"/>
    <xf numFmtId="174" fontId="60" fillId="0" borderId="0" xfId="0" applyNumberFormat="1" applyFont="1" applyFill="1" applyProtection="1"/>
    <xf numFmtId="189" fontId="29" fillId="0" borderId="0" xfId="0" applyNumberFormat="1" applyFont="1" applyFill="1" applyProtection="1"/>
    <xf numFmtId="186" fontId="60" fillId="3" borderId="0" xfId="0" applyNumberFormat="1" applyFont="1" applyFill="1" applyProtection="1"/>
    <xf numFmtId="37" fontId="60" fillId="0" borderId="47" xfId="0" applyNumberFormat="1" applyFont="1" applyFill="1" applyBorder="1" applyProtection="1"/>
    <xf numFmtId="171" fontId="29" fillId="0" borderId="13" xfId="14" applyNumberFormat="1" applyFont="1" applyFill="1" applyBorder="1"/>
    <xf numFmtId="186" fontId="61" fillId="0" borderId="0" xfId="1" applyNumberFormat="1" applyFont="1" applyFill="1" applyProtection="1"/>
    <xf numFmtId="186" fontId="61" fillId="0" borderId="0" xfId="0" applyNumberFormat="1" applyFont="1" applyFill="1" applyProtection="1"/>
    <xf numFmtId="7" fontId="61" fillId="3" borderId="0" xfId="2" applyNumberFormat="1" applyFont="1" applyFill="1"/>
    <xf numFmtId="5" fontId="60" fillId="0" borderId="12" xfId="0" applyNumberFormat="1" applyFont="1" applyFill="1" applyBorder="1" applyProtection="1"/>
    <xf numFmtId="37" fontId="29" fillId="0" borderId="60" xfId="0" applyNumberFormat="1" applyFont="1" applyFill="1" applyBorder="1" applyProtection="1"/>
    <xf numFmtId="5" fontId="60" fillId="0" borderId="60" xfId="0" applyNumberFormat="1" applyFont="1" applyFill="1" applyBorder="1" applyProtection="1"/>
    <xf numFmtId="0" fontId="29" fillId="0" borderId="0" xfId="0" applyFont="1" applyFill="1" applyAlignment="1">
      <alignment horizontal="center"/>
    </xf>
    <xf numFmtId="0" fontId="61" fillId="0" borderId="0" xfId="0" applyFont="1" applyFill="1" applyProtection="1"/>
    <xf numFmtId="167" fontId="29" fillId="0" borderId="0" xfId="0" applyNumberFormat="1" applyFont="1" applyFill="1" applyBorder="1"/>
    <xf numFmtId="37" fontId="29" fillId="0" borderId="37" xfId="0" applyNumberFormat="1" applyFont="1" applyFill="1" applyBorder="1" applyProtection="1"/>
    <xf numFmtId="5" fontId="60" fillId="0" borderId="37" xfId="0" applyNumberFormat="1" applyFont="1" applyFill="1" applyBorder="1" applyProtection="1"/>
    <xf numFmtId="10" fontId="29" fillId="0" borderId="19" xfId="14" applyNumberFormat="1" applyFont="1" applyFill="1" applyBorder="1"/>
    <xf numFmtId="3" fontId="29" fillId="0" borderId="13" xfId="0" applyNumberFormat="1" applyFont="1" applyFill="1" applyBorder="1"/>
    <xf numFmtId="171" fontId="29" fillId="0" borderId="0" xfId="0" applyNumberFormat="1" applyFont="1" applyFill="1" applyBorder="1"/>
    <xf numFmtId="0" fontId="29" fillId="0" borderId="0" xfId="14" applyNumberFormat="1" applyFont="1" applyFill="1"/>
    <xf numFmtId="171" fontId="29" fillId="0" borderId="0" xfId="0" applyNumberFormat="1" applyFont="1" applyFill="1"/>
    <xf numFmtId="5" fontId="29" fillId="0" borderId="0" xfId="2" applyNumberFormat="1" applyFont="1" applyFill="1" applyBorder="1"/>
    <xf numFmtId="0" fontId="29" fillId="0" borderId="36" xfId="7" applyFont="1" applyFill="1" applyBorder="1"/>
    <xf numFmtId="5" fontId="29" fillId="0" borderId="28" xfId="7" applyNumberFormat="1" applyFont="1" applyFill="1" applyBorder="1" applyAlignment="1">
      <alignment horizontal="right"/>
    </xf>
    <xf numFmtId="0" fontId="29" fillId="0" borderId="0" xfId="7" applyFont="1" applyFill="1"/>
    <xf numFmtId="0" fontId="29" fillId="0" borderId="19" xfId="7" applyFont="1" applyFill="1" applyBorder="1"/>
    <xf numFmtId="5" fontId="60" fillId="0" borderId="0" xfId="0" applyNumberFormat="1" applyFont="1" applyFill="1" applyAlignment="1" applyProtection="1">
      <alignment horizontal="right"/>
    </xf>
    <xf numFmtId="190" fontId="60" fillId="0" borderId="0" xfId="0" applyNumberFormat="1" applyFont="1" applyFill="1" applyProtection="1"/>
    <xf numFmtId="186" fontId="60" fillId="0" borderId="47" xfId="0" applyNumberFormat="1" applyFont="1" applyFill="1" applyBorder="1" applyProtection="1"/>
    <xf numFmtId="0" fontId="60" fillId="0" borderId="47" xfId="0" applyFont="1" applyFill="1" applyBorder="1" applyProtection="1"/>
    <xf numFmtId="186" fontId="60" fillId="0" borderId="48" xfId="0" applyNumberFormat="1" applyFont="1" applyFill="1" applyBorder="1" applyProtection="1"/>
    <xf numFmtId="182" fontId="29" fillId="0" borderId="0" xfId="0" applyNumberFormat="1" applyFont="1" applyFill="1" applyProtection="1"/>
    <xf numFmtId="5" fontId="29" fillId="3" borderId="0" xfId="0" applyNumberFormat="1" applyFont="1" applyFill="1" applyBorder="1"/>
    <xf numFmtId="3" fontId="29" fillId="3" borderId="0" xfId="0" applyNumberFormat="1" applyFont="1" applyFill="1" applyBorder="1"/>
    <xf numFmtId="186" fontId="60" fillId="0" borderId="0" xfId="0" applyNumberFormat="1" applyFont="1" applyFill="1" applyBorder="1" applyProtection="1"/>
    <xf numFmtId="176" fontId="29" fillId="0" borderId="0" xfId="0" applyNumberFormat="1" applyFont="1" applyFill="1" applyBorder="1"/>
    <xf numFmtId="9" fontId="29" fillId="0" borderId="0" xfId="14" applyFont="1" applyFill="1" applyBorder="1"/>
    <xf numFmtId="0" fontId="29" fillId="0" borderId="34" xfId="0" applyFont="1" applyFill="1" applyBorder="1" applyProtection="1"/>
    <xf numFmtId="5" fontId="60" fillId="0" borderId="34" xfId="0" applyNumberFormat="1" applyFont="1" applyFill="1" applyBorder="1" applyAlignment="1" applyProtection="1">
      <alignment horizontal="right"/>
    </xf>
    <xf numFmtId="0" fontId="29" fillId="0" borderId="0" xfId="0" applyFont="1" applyFill="1" applyBorder="1" applyProtection="1"/>
    <xf numFmtId="0" fontId="100" fillId="0" borderId="0" xfId="0" applyFont="1" applyFill="1"/>
    <xf numFmtId="43" fontId="29" fillId="0" borderId="0" xfId="1" applyNumberFormat="1" applyFont="1" applyFill="1" applyBorder="1"/>
    <xf numFmtId="0" fontId="105" fillId="0" borderId="0" xfId="0" applyFont="1" applyFill="1" applyBorder="1"/>
    <xf numFmtId="7" fontId="29" fillId="0" borderId="0" xfId="0" applyNumberFormat="1" applyFont="1" applyFill="1" applyBorder="1"/>
    <xf numFmtId="43" fontId="29" fillId="0" borderId="0" xfId="0" applyNumberFormat="1" applyFont="1" applyFill="1" applyBorder="1"/>
    <xf numFmtId="7" fontId="61" fillId="0" borderId="0" xfId="0" applyNumberFormat="1" applyFont="1" applyFill="1" applyBorder="1"/>
    <xf numFmtId="0" fontId="30" fillId="0" borderId="0" xfId="0" applyFont="1" applyFill="1"/>
    <xf numFmtId="5" fontId="61" fillId="0" borderId="0" xfId="0" applyNumberFormat="1" applyFont="1" applyFill="1" applyBorder="1"/>
    <xf numFmtId="7" fontId="29" fillId="0" borderId="0" xfId="2" applyNumberFormat="1" applyFont="1" applyFill="1"/>
    <xf numFmtId="44" fontId="29" fillId="0" borderId="0" xfId="2" applyFont="1" applyFill="1" applyBorder="1"/>
    <xf numFmtId="206" fontId="29" fillId="0" borderId="0" xfId="2" applyNumberFormat="1" applyFont="1" applyFill="1" applyBorder="1"/>
    <xf numFmtId="37" fontId="60" fillId="0" borderId="43" xfId="0" applyNumberFormat="1" applyFont="1" applyFill="1" applyBorder="1" applyProtection="1"/>
    <xf numFmtId="37" fontId="60" fillId="0" borderId="49" xfId="0" applyNumberFormat="1" applyFont="1" applyFill="1" applyBorder="1" applyProtection="1"/>
    <xf numFmtId="5" fontId="61" fillId="0" borderId="49" xfId="0" applyNumberFormat="1" applyFont="1" applyFill="1" applyBorder="1" applyProtection="1"/>
    <xf numFmtId="5" fontId="60" fillId="0" borderId="49" xfId="0" applyNumberFormat="1" applyFont="1" applyFill="1" applyBorder="1" applyProtection="1"/>
    <xf numFmtId="166" fontId="29" fillId="0" borderId="0" xfId="14" applyNumberFormat="1" applyFont="1" applyFill="1"/>
    <xf numFmtId="37" fontId="60" fillId="0" borderId="28" xfId="0" applyNumberFormat="1" applyFont="1" applyFill="1" applyBorder="1" applyProtection="1"/>
    <xf numFmtId="7" fontId="61" fillId="0" borderId="28" xfId="0" applyNumberFormat="1" applyFont="1" applyFill="1" applyBorder="1" applyProtection="1"/>
    <xf numFmtId="5" fontId="60" fillId="0" borderId="28" xfId="0" applyNumberFormat="1" applyFont="1" applyFill="1" applyBorder="1" applyProtection="1"/>
    <xf numFmtId="0" fontId="60" fillId="0" borderId="28" xfId="0" applyFont="1" applyFill="1" applyBorder="1" applyProtection="1"/>
    <xf numFmtId="7" fontId="29" fillId="0" borderId="28" xfId="0" applyNumberFormat="1" applyFont="1" applyFill="1" applyBorder="1" applyProtection="1"/>
    <xf numFmtId="5" fontId="60" fillId="0" borderId="15" xfId="0" applyNumberFormat="1" applyFont="1" applyFill="1" applyBorder="1" applyProtection="1"/>
    <xf numFmtId="5" fontId="29" fillId="0" borderId="38" xfId="0" applyNumberFormat="1" applyFont="1" applyFill="1" applyBorder="1"/>
    <xf numFmtId="0" fontId="100" fillId="0" borderId="0" xfId="0" applyFont="1" applyFill="1" applyBorder="1" applyProtection="1"/>
    <xf numFmtId="37" fontId="100" fillId="0" borderId="49" xfId="0" applyNumberFormat="1" applyFont="1" applyFill="1" applyBorder="1" applyProtection="1"/>
    <xf numFmtId="168" fontId="106" fillId="0" borderId="49" xfId="1" applyNumberFormat="1" applyFont="1" applyFill="1" applyBorder="1" applyProtection="1"/>
    <xf numFmtId="5" fontId="100" fillId="0" borderId="49" xfId="0" applyNumberFormat="1" applyFont="1" applyFill="1" applyBorder="1" applyProtection="1"/>
    <xf numFmtId="167" fontId="100" fillId="0" borderId="49" xfId="2" applyNumberFormat="1" applyFont="1" applyFill="1" applyBorder="1" applyProtection="1"/>
    <xf numFmtId="7" fontId="106" fillId="0" borderId="49" xfId="0" applyNumberFormat="1" applyFont="1" applyFill="1" applyBorder="1" applyProtection="1"/>
    <xf numFmtId="5" fontId="29" fillId="0" borderId="13" xfId="0" applyNumberFormat="1" applyFont="1" applyFill="1" applyBorder="1"/>
    <xf numFmtId="198" fontId="29" fillId="0" borderId="0" xfId="2" applyNumberFormat="1" applyFont="1" applyFill="1"/>
    <xf numFmtId="171" fontId="29" fillId="0" borderId="0" xfId="70" quotePrefix="1" applyNumberFormat="1" applyFont="1" applyFill="1" applyAlignment="1">
      <alignment horizontal="center"/>
    </xf>
    <xf numFmtId="5" fontId="93" fillId="0" borderId="0" xfId="76" applyNumberFormat="1" applyFont="1" applyAlignment="1"/>
    <xf numFmtId="0" fontId="19" fillId="0" borderId="0" xfId="76" applyFont="1"/>
    <xf numFmtId="0" fontId="19" fillId="0" borderId="0" xfId="76" applyFont="1" applyAlignment="1">
      <alignment horizontal="center"/>
    </xf>
    <xf numFmtId="0" fontId="19" fillId="0" borderId="0" xfId="76" applyFont="1" applyAlignment="1">
      <alignment horizontal="center" wrapText="1"/>
    </xf>
    <xf numFmtId="0" fontId="19" fillId="0" borderId="36" xfId="76" applyFont="1" applyBorder="1"/>
    <xf numFmtId="0" fontId="19" fillId="0" borderId="5" xfId="76" applyFont="1" applyBorder="1"/>
    <xf numFmtId="0" fontId="19" fillId="0" borderId="0" xfId="76" applyFont="1" applyBorder="1" applyAlignment="1">
      <alignment horizontal="center"/>
    </xf>
    <xf numFmtId="0" fontId="19" fillId="0" borderId="4" xfId="76" applyFont="1" applyBorder="1" applyAlignment="1">
      <alignment horizontal="center"/>
    </xf>
    <xf numFmtId="0" fontId="19" fillId="0" borderId="19" xfId="76" applyFont="1" applyBorder="1"/>
    <xf numFmtId="171" fontId="93" fillId="0" borderId="0" xfId="14" applyNumberFormat="1" applyFont="1" applyBorder="1" applyAlignment="1">
      <alignment horizontal="center"/>
    </xf>
    <xf numFmtId="171" fontId="93" fillId="0" borderId="4" xfId="14" applyNumberFormat="1" applyFont="1" applyBorder="1" applyAlignment="1">
      <alignment horizontal="center"/>
    </xf>
    <xf numFmtId="171" fontId="93" fillId="0" borderId="13" xfId="14" applyNumberFormat="1" applyFont="1" applyBorder="1" applyAlignment="1">
      <alignment horizontal="center"/>
    </xf>
    <xf numFmtId="0" fontId="19" fillId="0" borderId="0" xfId="76" applyFont="1" applyBorder="1"/>
    <xf numFmtId="0" fontId="93" fillId="0" borderId="0" xfId="67" applyFont="1" applyFill="1" applyAlignment="1"/>
    <xf numFmtId="0" fontId="93" fillId="0" borderId="0" xfId="67" quotePrefix="1" applyNumberFormat="1" applyFont="1" applyFill="1" applyAlignment="1"/>
    <xf numFmtId="44" fontId="19" fillId="0" borderId="0" xfId="2" applyFont="1" applyBorder="1"/>
    <xf numFmtId="44" fontId="19" fillId="0" borderId="4" xfId="2" applyFont="1" applyBorder="1"/>
    <xf numFmtId="171" fontId="19" fillId="0" borderId="0" xfId="14" applyNumberFormat="1" applyFont="1" applyBorder="1" applyAlignment="1">
      <alignment horizontal="center"/>
    </xf>
    <xf numFmtId="171" fontId="19" fillId="0" borderId="4" xfId="14" applyNumberFormat="1" applyFont="1" applyBorder="1" applyAlignment="1">
      <alignment horizontal="center"/>
    </xf>
    <xf numFmtId="198" fontId="19" fillId="0" borderId="0" xfId="2" applyNumberFormat="1" applyFont="1" applyBorder="1"/>
    <xf numFmtId="198" fontId="19" fillId="0" borderId="4" xfId="2" applyNumberFormat="1" applyFont="1" applyBorder="1"/>
    <xf numFmtId="171" fontId="19" fillId="0" borderId="12" xfId="14" applyNumberFormat="1" applyFont="1" applyBorder="1" applyAlignment="1">
      <alignment horizontal="center"/>
    </xf>
    <xf numFmtId="171" fontId="19" fillId="0" borderId="13" xfId="14" applyNumberFormat="1" applyFont="1" applyBorder="1" applyAlignment="1">
      <alignment horizontal="center"/>
    </xf>
    <xf numFmtId="198" fontId="19" fillId="0" borderId="12" xfId="2" applyNumberFormat="1" applyFont="1" applyBorder="1"/>
    <xf numFmtId="198" fontId="19" fillId="0" borderId="13" xfId="2" applyNumberFormat="1" applyFont="1" applyBorder="1"/>
    <xf numFmtId="7" fontId="15" fillId="0" borderId="0" xfId="12" applyNumberFormat="1" applyFill="1"/>
    <xf numFmtId="0" fontId="1" fillId="0" borderId="0" xfId="77" applyAlignment="1">
      <alignment horizontal="center" wrapText="1"/>
    </xf>
    <xf numFmtId="0" fontId="1" fillId="0" borderId="0" xfId="77" applyAlignment="1">
      <alignment horizontal="center"/>
    </xf>
    <xf numFmtId="0" fontId="1" fillId="0" borderId="36" xfId="77" applyBorder="1" applyAlignment="1">
      <alignment horizontal="center"/>
    </xf>
    <xf numFmtId="0" fontId="1" fillId="0" borderId="38" xfId="77" applyBorder="1" applyAlignment="1">
      <alignment horizontal="center"/>
    </xf>
    <xf numFmtId="0" fontId="108" fillId="0" borderId="19" xfId="77" applyFont="1" applyBorder="1"/>
    <xf numFmtId="0" fontId="108" fillId="0" borderId="13" xfId="77" applyFont="1" applyBorder="1"/>
    <xf numFmtId="0" fontId="108" fillId="0" borderId="19" xfId="77" applyFont="1" applyBorder="1" applyAlignment="1">
      <alignment horizontal="center"/>
    </xf>
    <xf numFmtId="0" fontId="108" fillId="0" borderId="13" xfId="77" applyFont="1" applyBorder="1" applyAlignment="1">
      <alignment horizontal="center"/>
    </xf>
    <xf numFmtId="0" fontId="1" fillId="0" borderId="0" xfId="77"/>
    <xf numFmtId="0" fontId="1" fillId="0" borderId="5" xfId="77" applyBorder="1"/>
    <xf numFmtId="0" fontId="1" fillId="0" borderId="4" xfId="77" applyBorder="1"/>
    <xf numFmtId="168" fontId="0" fillId="0" borderId="5" xfId="78" applyNumberFormat="1" applyFont="1" applyBorder="1"/>
    <xf numFmtId="168" fontId="0" fillId="0" borderId="4" xfId="78" applyNumberFormat="1" applyFont="1" applyBorder="1"/>
    <xf numFmtId="0" fontId="1" fillId="0" borderId="19" xfId="77" applyBorder="1"/>
    <xf numFmtId="0" fontId="1" fillId="0" borderId="13" xfId="77" applyBorder="1"/>
    <xf numFmtId="168" fontId="0" fillId="0" borderId="19" xfId="78" applyNumberFormat="1" applyFont="1" applyBorder="1"/>
    <xf numFmtId="168" fontId="0" fillId="0" borderId="13" xfId="78" applyNumberFormat="1" applyFont="1" applyBorder="1"/>
    <xf numFmtId="168" fontId="1" fillId="0" borderId="5" xfId="77" applyNumberFormat="1" applyBorder="1"/>
    <xf numFmtId="168" fontId="1" fillId="0" borderId="4" xfId="77" applyNumberFormat="1" applyBorder="1"/>
    <xf numFmtId="0" fontId="108" fillId="0" borderId="14" xfId="77" applyFont="1" applyBorder="1"/>
    <xf numFmtId="0" fontId="108" fillId="0" borderId="42" xfId="77" applyFont="1" applyBorder="1"/>
    <xf numFmtId="0" fontId="108" fillId="0" borderId="14" xfId="77" applyFont="1" applyBorder="1" applyAlignment="1">
      <alignment horizontal="center"/>
    </xf>
    <xf numFmtId="0" fontId="108" fillId="0" borderId="42" xfId="77" applyFont="1" applyBorder="1" applyAlignment="1">
      <alignment horizontal="center"/>
    </xf>
    <xf numFmtId="168" fontId="0" fillId="0" borderId="0" xfId="78" applyNumberFormat="1" applyFont="1"/>
    <xf numFmtId="0" fontId="108" fillId="0" borderId="12" xfId="77" applyFont="1" applyBorder="1"/>
    <xf numFmtId="0" fontId="109" fillId="0" borderId="0" xfId="79"/>
    <xf numFmtId="0" fontId="1" fillId="0" borderId="5" xfId="77" applyBorder="1" applyAlignment="1">
      <alignment horizontal="center"/>
    </xf>
    <xf numFmtId="0" fontId="1" fillId="0" borderId="19" xfId="77" applyBorder="1" applyAlignment="1">
      <alignment wrapText="1"/>
    </xf>
    <xf numFmtId="0" fontId="1" fillId="0" borderId="19" xfId="77" applyBorder="1" applyAlignment="1">
      <alignment horizontal="center" wrapText="1"/>
    </xf>
    <xf numFmtId="0" fontId="1" fillId="0" borderId="13" xfId="77" applyBorder="1" applyAlignment="1">
      <alignment horizontal="center" wrapText="1"/>
    </xf>
    <xf numFmtId="0" fontId="1" fillId="0" borderId="12" xfId="77" applyBorder="1" applyAlignment="1">
      <alignment horizontal="center" wrapText="1"/>
    </xf>
    <xf numFmtId="0" fontId="1" fillId="0" borderId="0" xfId="77" applyAlignment="1">
      <alignment wrapText="1"/>
    </xf>
    <xf numFmtId="168" fontId="0" fillId="0" borderId="0" xfId="78" applyNumberFormat="1" applyFont="1" applyBorder="1"/>
    <xf numFmtId="168" fontId="0" fillId="0" borderId="12" xfId="78" applyNumberFormat="1" applyFont="1" applyBorder="1"/>
    <xf numFmtId="0" fontId="1" fillId="0" borderId="5" xfId="77" applyFill="1" applyBorder="1"/>
    <xf numFmtId="0" fontId="1" fillId="0" borderId="12" xfId="77" applyBorder="1"/>
    <xf numFmtId="0" fontId="1" fillId="0" borderId="19" xfId="77" applyFill="1" applyBorder="1"/>
    <xf numFmtId="168" fontId="1" fillId="0" borderId="0" xfId="77" applyNumberFormat="1"/>
    <xf numFmtId="171" fontId="19" fillId="0" borderId="0" xfId="76" applyNumberFormat="1" applyFont="1"/>
    <xf numFmtId="10" fontId="93" fillId="0" borderId="12" xfId="14" applyNumberFormat="1" applyFont="1" applyBorder="1" applyAlignment="1">
      <alignment horizontal="center"/>
    </xf>
    <xf numFmtId="9" fontId="19" fillId="0" borderId="0" xfId="14" applyNumberFormat="1" applyFont="1" applyAlignment="1" applyProtection="1">
      <alignment horizontal="center"/>
    </xf>
    <xf numFmtId="0" fontId="15" fillId="0" borderId="12" xfId="12" applyFont="1" applyFill="1" applyBorder="1" applyAlignment="1">
      <alignment horizontal="center"/>
    </xf>
    <xf numFmtId="0" fontId="14" fillId="0" borderId="12" xfId="12" applyFont="1" applyFill="1" applyBorder="1" applyAlignment="1">
      <alignment horizontal="center"/>
    </xf>
    <xf numFmtId="0" fontId="45" fillId="0" borderId="0" xfId="12" applyFont="1" applyFill="1" applyAlignment="1">
      <alignment horizontal="center"/>
    </xf>
    <xf numFmtId="0" fontId="45" fillId="0" borderId="0" xfId="12" quotePrefix="1" applyFont="1" applyFill="1" applyAlignment="1">
      <alignment horizontal="center"/>
    </xf>
    <xf numFmtId="0" fontId="30" fillId="0" borderId="0" xfId="67" applyFont="1" applyFill="1" applyAlignment="1">
      <alignment horizontal="center"/>
    </xf>
    <xf numFmtId="0" fontId="30" fillId="0" borderId="0" xfId="67" quotePrefix="1" applyNumberFormat="1" applyFont="1" applyFill="1" applyAlignment="1">
      <alignment horizontal="center"/>
    </xf>
    <xf numFmtId="0" fontId="29" fillId="0" borderId="12" xfId="67" applyFont="1" applyFill="1" applyBorder="1" applyAlignment="1">
      <alignment horizontal="center"/>
    </xf>
    <xf numFmtId="0" fontId="59" fillId="0" borderId="0" xfId="11" applyFont="1" applyFill="1" applyAlignment="1">
      <alignment horizontal="center"/>
    </xf>
    <xf numFmtId="0" fontId="29" fillId="0" borderId="12" xfId="11" applyFont="1" applyFill="1" applyBorder="1" applyAlignment="1">
      <alignment horizontal="center"/>
    </xf>
    <xf numFmtId="0" fontId="29" fillId="0" borderId="15" xfId="11" applyFont="1" applyFill="1" applyBorder="1" applyAlignment="1">
      <alignment horizontal="center"/>
    </xf>
    <xf numFmtId="171" fontId="19" fillId="0" borderId="12" xfId="41" applyNumberFormat="1" applyFont="1" applyFill="1" applyBorder="1" applyAlignment="1" applyProtection="1">
      <alignment horizontal="center"/>
    </xf>
    <xf numFmtId="171" fontId="19" fillId="0" borderId="13" xfId="41" applyNumberFormat="1" applyFont="1" applyFill="1" applyBorder="1" applyAlignment="1" applyProtection="1">
      <alignment horizontal="center"/>
    </xf>
    <xf numFmtId="171" fontId="19" fillId="0" borderId="0" xfId="41" applyNumberFormat="1" applyFont="1" applyFill="1" applyBorder="1" applyAlignment="1" applyProtection="1">
      <alignment horizontal="center"/>
    </xf>
    <xf numFmtId="171" fontId="19" fillId="0" borderId="4" xfId="41" applyNumberFormat="1" applyFont="1" applyFill="1" applyBorder="1" applyAlignment="1" applyProtection="1">
      <alignment horizontal="center"/>
    </xf>
    <xf numFmtId="171" fontId="19" fillId="14" borderId="0" xfId="41" applyNumberFormat="1" applyFont="1" applyFill="1" applyBorder="1" applyAlignment="1" applyProtection="1">
      <alignment horizontal="center"/>
    </xf>
    <xf numFmtId="171" fontId="19" fillId="14" borderId="4" xfId="41" applyNumberFormat="1" applyFont="1" applyFill="1" applyBorder="1" applyAlignment="1" applyProtection="1">
      <alignment horizontal="center"/>
    </xf>
    <xf numFmtId="171" fontId="19" fillId="13" borderId="0" xfId="41" applyNumberFormat="1" applyFont="1" applyFill="1" applyBorder="1" applyAlignment="1" applyProtection="1">
      <alignment horizontal="center"/>
    </xf>
    <xf numFmtId="171" fontId="19" fillId="13" borderId="4" xfId="41" applyNumberFormat="1" applyFont="1" applyFill="1" applyBorder="1" applyAlignment="1" applyProtection="1">
      <alignment horizontal="center"/>
    </xf>
    <xf numFmtId="171" fontId="19" fillId="12" borderId="0" xfId="41" applyNumberFormat="1" applyFont="1" applyFill="1" applyBorder="1" applyAlignment="1" applyProtection="1">
      <alignment horizontal="center"/>
    </xf>
    <xf numFmtId="171" fontId="19" fillId="12" borderId="4" xfId="41" applyNumberFormat="1" applyFont="1" applyFill="1" applyBorder="1" applyAlignment="1" applyProtection="1">
      <alignment horizontal="center"/>
    </xf>
    <xf numFmtId="37" fontId="90" fillId="0" borderId="0" xfId="38" applyNumberFormat="1" applyFont="1" applyAlignment="1" applyProtection="1">
      <alignment horizontal="center"/>
    </xf>
    <xf numFmtId="171" fontId="19" fillId="9" borderId="45" xfId="38" applyNumberFormat="1" applyFont="1" applyFill="1" applyBorder="1" applyAlignment="1" applyProtection="1">
      <alignment horizontal="center" wrapText="1"/>
    </xf>
    <xf numFmtId="171" fontId="19" fillId="10" borderId="45" xfId="38" applyNumberFormat="1" applyFont="1" applyFill="1" applyBorder="1" applyAlignment="1" applyProtection="1">
      <alignment horizontal="center" wrapText="1"/>
    </xf>
    <xf numFmtId="171" fontId="19" fillId="11" borderId="45" xfId="38" applyNumberFormat="1" applyFont="1" applyFill="1" applyBorder="1" applyAlignment="1" applyProtection="1">
      <alignment horizontal="center" wrapText="1"/>
    </xf>
    <xf numFmtId="171" fontId="19" fillId="0" borderId="28" xfId="41" applyNumberFormat="1" applyFont="1" applyFill="1" applyBorder="1" applyAlignment="1" applyProtection="1">
      <alignment horizontal="center"/>
    </xf>
    <xf numFmtId="171" fontId="19" fillId="0" borderId="38" xfId="41" applyNumberFormat="1" applyFont="1" applyFill="1" applyBorder="1" applyAlignment="1" applyProtection="1">
      <alignment horizontal="center"/>
    </xf>
    <xf numFmtId="37" fontId="91" fillId="8" borderId="19" xfId="39" applyNumberFormat="1" applyFont="1" applyFill="1" applyBorder="1" applyAlignment="1" applyProtection="1">
      <alignment horizontal="center"/>
      <protection locked="0"/>
    </xf>
    <xf numFmtId="37" fontId="91" fillId="8" borderId="12" xfId="39" applyNumberFormat="1" applyFont="1" applyFill="1" applyBorder="1" applyAlignment="1" applyProtection="1">
      <alignment horizontal="center"/>
      <protection locked="0"/>
    </xf>
    <xf numFmtId="37" fontId="91" fillId="8" borderId="13" xfId="39" applyNumberFormat="1" applyFont="1" applyFill="1" applyBorder="1" applyAlignment="1" applyProtection="1">
      <alignment horizontal="center"/>
      <protection locked="0"/>
    </xf>
    <xf numFmtId="37" fontId="91" fillId="8" borderId="14" xfId="39" applyNumberFormat="1" applyFont="1" applyFill="1" applyBorder="1" applyAlignment="1" applyProtection="1">
      <alignment horizontal="center"/>
      <protection locked="0"/>
    </xf>
    <xf numFmtId="37" fontId="91" fillId="8" borderId="15" xfId="39" applyNumberFormat="1" applyFont="1" applyFill="1" applyBorder="1" applyAlignment="1" applyProtection="1">
      <alignment horizontal="center"/>
      <protection locked="0"/>
    </xf>
    <xf numFmtId="37" fontId="91" fillId="8" borderId="42" xfId="39" applyNumberFormat="1" applyFont="1" applyFill="1" applyBorder="1" applyAlignment="1" applyProtection="1">
      <alignment horizontal="center"/>
      <protection locked="0"/>
    </xf>
    <xf numFmtId="37" fontId="91" fillId="8" borderId="36" xfId="39" applyNumberFormat="1" applyFont="1" applyFill="1" applyBorder="1" applyAlignment="1" applyProtection="1">
      <alignment horizontal="center"/>
      <protection locked="0"/>
    </xf>
    <xf numFmtId="37" fontId="91" fillId="8" borderId="28" xfId="39" applyNumberFormat="1" applyFont="1" applyFill="1" applyBorder="1" applyAlignment="1" applyProtection="1">
      <alignment horizontal="center"/>
      <protection locked="0"/>
    </xf>
    <xf numFmtId="37" fontId="91" fillId="8" borderId="38" xfId="39" applyNumberFormat="1" applyFont="1" applyFill="1" applyBorder="1" applyAlignment="1" applyProtection="1">
      <alignment horizontal="center"/>
      <protection locked="0"/>
    </xf>
    <xf numFmtId="37" fontId="91" fillId="8" borderId="5" xfId="39" applyNumberFormat="1" applyFont="1" applyFill="1" applyBorder="1" applyAlignment="1" applyProtection="1">
      <alignment horizontal="center"/>
      <protection locked="0"/>
    </xf>
    <xf numFmtId="37" fontId="91" fillId="8" borderId="0" xfId="39" applyNumberFormat="1" applyFont="1" applyFill="1" applyBorder="1" applyAlignment="1" applyProtection="1">
      <alignment horizontal="center"/>
      <protection locked="0"/>
    </xf>
    <xf numFmtId="37" fontId="91" fillId="8" borderId="4" xfId="39" applyNumberFormat="1" applyFont="1" applyFill="1" applyBorder="1" applyAlignment="1" applyProtection="1">
      <alignment horizontal="center"/>
      <protection locked="0"/>
    </xf>
    <xf numFmtId="214" fontId="91" fillId="8" borderId="5" xfId="40" applyNumberFormat="1" applyFont="1" applyFill="1" applyBorder="1" applyAlignment="1" applyProtection="1">
      <alignment horizontal="center"/>
      <protection locked="0"/>
    </xf>
    <xf numFmtId="214" fontId="91" fillId="8" borderId="0" xfId="40" applyNumberFormat="1" applyFont="1" applyFill="1" applyBorder="1" applyAlignment="1" applyProtection="1">
      <alignment horizontal="center"/>
      <protection locked="0"/>
    </xf>
    <xf numFmtId="214" fontId="91" fillId="8" borderId="4" xfId="40" applyNumberFormat="1" applyFont="1" applyFill="1" applyBorder="1" applyAlignment="1" applyProtection="1">
      <alignment horizontal="center"/>
      <protection locked="0"/>
    </xf>
    <xf numFmtId="214" fontId="91" fillId="8" borderId="19" xfId="40" applyNumberFormat="1" applyFont="1" applyFill="1" applyBorder="1" applyAlignment="1" applyProtection="1">
      <alignment horizontal="center"/>
      <protection locked="0"/>
    </xf>
    <xf numFmtId="214" fontId="91" fillId="8" borderId="12" xfId="40" applyNumberFormat="1" applyFont="1" applyFill="1" applyBorder="1" applyAlignment="1" applyProtection="1">
      <alignment horizontal="center"/>
      <protection locked="0"/>
    </xf>
    <xf numFmtId="214" fontId="91" fillId="8" borderId="13" xfId="40" applyNumberFormat="1" applyFont="1" applyFill="1" applyBorder="1" applyAlignment="1" applyProtection="1">
      <alignment horizontal="center"/>
      <protection locked="0"/>
    </xf>
    <xf numFmtId="214" fontId="91" fillId="8" borderId="36" xfId="40" applyNumberFormat="1" applyFont="1" applyFill="1" applyBorder="1" applyAlignment="1" applyProtection="1">
      <alignment horizontal="center"/>
      <protection locked="0"/>
    </xf>
    <xf numFmtId="214" fontId="91" fillId="8" borderId="28" xfId="40" applyNumberFormat="1" applyFont="1" applyFill="1" applyBorder="1" applyAlignment="1" applyProtection="1">
      <alignment horizontal="center"/>
      <protection locked="0"/>
    </xf>
    <xf numFmtId="214" fontId="91" fillId="8" borderId="38" xfId="40" applyNumberFormat="1" applyFont="1" applyFill="1" applyBorder="1" applyAlignment="1" applyProtection="1">
      <alignment horizontal="center"/>
      <protection locked="0"/>
    </xf>
    <xf numFmtId="37" fontId="19" fillId="7" borderId="19" xfId="39" applyNumberFormat="1" applyFont="1" applyFill="1" applyBorder="1" applyAlignment="1" applyProtection="1">
      <alignment horizontal="center"/>
    </xf>
    <xf numFmtId="37" fontId="19" fillId="7" borderId="12" xfId="39" applyNumberFormat="1" applyFont="1" applyFill="1" applyBorder="1" applyAlignment="1" applyProtection="1">
      <alignment horizontal="center"/>
    </xf>
    <xf numFmtId="37" fontId="19" fillId="7" borderId="13" xfId="39" applyNumberFormat="1" applyFont="1" applyFill="1" applyBorder="1" applyAlignment="1" applyProtection="1">
      <alignment horizontal="center"/>
    </xf>
    <xf numFmtId="37" fontId="19" fillId="7" borderId="14" xfId="39" applyNumberFormat="1" applyFont="1" applyFill="1" applyBorder="1" applyAlignment="1" applyProtection="1">
      <alignment horizontal="center"/>
    </xf>
    <xf numFmtId="37" fontId="19" fillId="7" borderId="15" xfId="39" applyNumberFormat="1" applyFont="1" applyFill="1" applyBorder="1" applyAlignment="1" applyProtection="1">
      <alignment horizontal="center"/>
    </xf>
    <xf numFmtId="37" fontId="19" fillId="7" borderId="42" xfId="39" applyNumberFormat="1" applyFont="1" applyFill="1" applyBorder="1" applyAlignment="1" applyProtection="1">
      <alignment horizontal="center"/>
    </xf>
    <xf numFmtId="172" fontId="91" fillId="8" borderId="14" xfId="40" applyNumberFormat="1" applyFont="1" applyFill="1" applyBorder="1" applyAlignment="1" applyProtection="1">
      <alignment horizontal="center"/>
      <protection locked="0"/>
    </xf>
    <xf numFmtId="172" fontId="91" fillId="8" borderId="15" xfId="40" applyNumberFormat="1" applyFont="1" applyFill="1" applyBorder="1" applyAlignment="1" applyProtection="1">
      <alignment horizontal="center"/>
      <protection locked="0"/>
    </xf>
    <xf numFmtId="172" fontId="91" fillId="8" borderId="42" xfId="40" applyNumberFormat="1" applyFont="1" applyFill="1" applyBorder="1" applyAlignment="1" applyProtection="1">
      <alignment horizontal="center"/>
      <protection locked="0"/>
    </xf>
    <xf numFmtId="171" fontId="19" fillId="0" borderId="0" xfId="38" applyNumberFormat="1" applyFont="1" applyAlignment="1" applyProtection="1">
      <alignment horizontal="center" vertical="center"/>
    </xf>
    <xf numFmtId="172" fontId="19" fillId="0" borderId="0" xfId="38" applyNumberFormat="1" applyFont="1" applyAlignment="1" applyProtection="1">
      <alignment horizontal="center" vertical="center"/>
    </xf>
    <xf numFmtId="39" fontId="30" fillId="0" borderId="0" xfId="38" applyNumberFormat="1" applyFont="1" applyAlignment="1" applyProtection="1">
      <alignment horizontal="center"/>
    </xf>
    <xf numFmtId="39" fontId="30" fillId="0" borderId="57" xfId="38" applyNumberFormat="1" applyFont="1" applyBorder="1" applyAlignment="1" applyProtection="1">
      <alignment horizontal="center"/>
    </xf>
    <xf numFmtId="0" fontId="90" fillId="0" borderId="12" xfId="38" applyNumberFormat="1" applyFont="1" applyBorder="1" applyAlignment="1" applyProtection="1">
      <alignment horizontal="center"/>
    </xf>
    <xf numFmtId="39" fontId="90" fillId="0" borderId="12" xfId="38" applyNumberFormat="1" applyFont="1" applyBorder="1" applyAlignment="1" applyProtection="1">
      <alignment horizontal="center"/>
    </xf>
    <xf numFmtId="39" fontId="90" fillId="0" borderId="78" xfId="38" applyNumberFormat="1" applyFont="1" applyBorder="1" applyAlignment="1" applyProtection="1">
      <alignment horizontal="center"/>
    </xf>
    <xf numFmtId="0" fontId="107" fillId="0" borderId="0" xfId="76" applyFont="1" applyAlignment="1">
      <alignment horizontal="left" wrapText="1"/>
    </xf>
    <xf numFmtId="0" fontId="19" fillId="0" borderId="15" xfId="76" applyFont="1" applyBorder="1" applyAlignment="1">
      <alignment horizontal="center"/>
    </xf>
    <xf numFmtId="0" fontId="19" fillId="0" borderId="42" xfId="76" applyFont="1" applyBorder="1" applyAlignment="1">
      <alignment horizontal="center"/>
    </xf>
    <xf numFmtId="0" fontId="19" fillId="0" borderId="14" xfId="76" applyFont="1" applyBorder="1" applyAlignment="1">
      <alignment horizontal="center"/>
    </xf>
    <xf numFmtId="0" fontId="93" fillId="0" borderId="0" xfId="67" applyFont="1" applyFill="1" applyAlignment="1">
      <alignment horizontal="center"/>
    </xf>
    <xf numFmtId="0" fontId="1" fillId="0" borderId="36" xfId="77" applyBorder="1" applyAlignment="1">
      <alignment horizontal="center"/>
    </xf>
    <xf numFmtId="0" fontId="1" fillId="0" borderId="38" xfId="77" applyBorder="1" applyAlignment="1">
      <alignment horizontal="center"/>
    </xf>
    <xf numFmtId="41" fontId="60" fillId="0" borderId="12" xfId="34" applyFont="1" applyFill="1" applyBorder="1" applyAlignment="1">
      <alignment horizontal="center"/>
    </xf>
    <xf numFmtId="0" fontId="58" fillId="0" borderId="12" xfId="11" applyFont="1" applyFill="1" applyBorder="1" applyAlignment="1">
      <alignment horizontal="center"/>
    </xf>
    <xf numFmtId="0" fontId="39" fillId="0" borderId="0" xfId="8" applyFont="1" applyAlignment="1">
      <alignment horizontal="center"/>
    </xf>
    <xf numFmtId="0" fontId="7" fillId="0" borderId="12" xfId="8" applyBorder="1" applyAlignment="1">
      <alignment horizontal="center"/>
    </xf>
    <xf numFmtId="0" fontId="7" fillId="0" borderId="13" xfId="8" applyBorder="1" applyAlignment="1">
      <alignment horizontal="center"/>
    </xf>
    <xf numFmtId="209" fontId="39" fillId="0" borderId="0" xfId="8" applyNumberFormat="1" applyFont="1" applyBorder="1" applyAlignment="1">
      <alignment horizontal="center"/>
    </xf>
    <xf numFmtId="0" fontId="7" fillId="0" borderId="0" xfId="8" applyBorder="1" applyAlignment="1">
      <alignment horizontal="center"/>
    </xf>
    <xf numFmtId="0" fontId="15" fillId="0" borderId="0" xfId="12" applyFont="1" applyFill="1" applyBorder="1" applyAlignment="1">
      <alignment horizontal="center"/>
    </xf>
    <xf numFmtId="0" fontId="15" fillId="0" borderId="0" xfId="12" applyFont="1" applyFill="1" applyAlignment="1">
      <alignment horizontal="left"/>
    </xf>
    <xf numFmtId="0" fontId="15" fillId="0" borderId="0" xfId="12" quotePrefix="1" applyFont="1" applyFill="1" applyAlignment="1">
      <alignment horizontal="left"/>
    </xf>
    <xf numFmtId="0" fontId="14" fillId="0" borderId="0" xfId="0" applyFont="1" applyFill="1" applyAlignment="1">
      <alignment horizontal="left" wrapText="1"/>
    </xf>
    <xf numFmtId="0" fontId="1" fillId="0" borderId="14" xfId="77" applyBorder="1" applyAlignment="1">
      <alignment horizontal="center"/>
    </xf>
    <xf numFmtId="0" fontId="1" fillId="0" borderId="15" xfId="77" applyBorder="1" applyAlignment="1">
      <alignment horizontal="center"/>
    </xf>
    <xf numFmtId="0" fontId="1" fillId="0" borderId="42" xfId="77" applyBorder="1" applyAlignment="1">
      <alignment horizontal="center"/>
    </xf>
    <xf numFmtId="0" fontId="1" fillId="0" borderId="12" xfId="77" applyBorder="1" applyAlignment="1">
      <alignment horizontal="center"/>
    </xf>
    <xf numFmtId="0" fontId="1" fillId="0" borderId="13" xfId="77" applyBorder="1" applyAlignment="1">
      <alignment horizontal="center"/>
    </xf>
    <xf numFmtId="0" fontId="14" fillId="0" borderId="12" xfId="0" applyFont="1" applyFill="1" applyBorder="1" applyAlignment="1" applyProtection="1">
      <alignment horizontal="center"/>
    </xf>
    <xf numFmtId="0" fontId="14" fillId="0" borderId="13" xfId="0" applyFont="1" applyFill="1" applyBorder="1" applyAlignment="1" applyProtection="1">
      <alignment horizontal="center"/>
    </xf>
    <xf numFmtId="0" fontId="16" fillId="0" borderId="14" xfId="0" applyFont="1" applyFill="1" applyBorder="1" applyAlignment="1">
      <alignment horizontal="center"/>
    </xf>
    <xf numFmtId="0" fontId="16" fillId="0" borderId="42" xfId="0" applyFont="1" applyFill="1" applyBorder="1" applyAlignment="1">
      <alignment horizontal="center"/>
    </xf>
    <xf numFmtId="0" fontId="48" fillId="0" borderId="0" xfId="0" applyFont="1" applyFill="1" applyAlignment="1">
      <alignment horizontal="center"/>
    </xf>
    <xf numFmtId="0" fontId="49" fillId="0" borderId="0" xfId="0" quotePrefix="1" applyNumberFormat="1" applyFont="1" applyFill="1" applyAlignment="1">
      <alignment horizontal="center"/>
    </xf>
    <xf numFmtId="0" fontId="30" fillId="0" borderId="0" xfId="0" quotePrefix="1" applyFont="1" applyFill="1" applyAlignment="1" applyProtection="1">
      <alignment horizontal="center"/>
    </xf>
  </cellXfs>
  <cellStyles count="80">
    <cellStyle name="Comma" xfId="1" builtinId="3"/>
    <cellStyle name="Comma [0] 2" xfId="42"/>
    <cellStyle name="Comma 2" xfId="18"/>
    <cellStyle name="Comma 2 2" xfId="21"/>
    <cellStyle name="Comma 3" xfId="27"/>
    <cellStyle name="Comma 4" xfId="31"/>
    <cellStyle name="Comma 5" xfId="62"/>
    <cellStyle name="Comma 6" xfId="78"/>
    <cellStyle name="Currency" xfId="2" builtinId="4"/>
    <cellStyle name="Currency 2" xfId="35"/>
    <cellStyle name="Currency 2 2" xfId="40"/>
    <cellStyle name="Currency 2 3" xfId="43"/>
    <cellStyle name="Currency 3" xfId="44"/>
    <cellStyle name="Currency 4" xfId="45"/>
    <cellStyle name="Currency 5" xfId="46"/>
    <cellStyle name="Currency 6" xfId="63"/>
    <cellStyle name="Currency 7" xfId="72"/>
    <cellStyle name="General" xfId="3"/>
    <cellStyle name="Hyperlink" xfId="79" builtinId="8"/>
    <cellStyle name="Marathon" xfId="4"/>
    <cellStyle name="nONE" xfId="5"/>
    <cellStyle name="Normal" xfId="0" builtinId="0"/>
    <cellStyle name="Normal 10" xfId="36"/>
    <cellStyle name="Normal 11" xfId="61"/>
    <cellStyle name="Normal 12" xfId="68"/>
    <cellStyle name="Normal 13" xfId="73"/>
    <cellStyle name="Normal 14" xfId="76"/>
    <cellStyle name="Normal 15" xfId="77"/>
    <cellStyle name="Normal 2" xfId="16"/>
    <cellStyle name="Normal 2 2" xfId="34"/>
    <cellStyle name="Normal 2 3" xfId="74"/>
    <cellStyle name="Normal 3" xfId="17"/>
    <cellStyle name="Normal 3 2" xfId="26"/>
    <cellStyle name="Normal 3 2 2" xfId="38"/>
    <cellStyle name="Normal 3_GRCW" xfId="47"/>
    <cellStyle name="Normal 34" xfId="75"/>
    <cellStyle name="Normal 4" xfId="19"/>
    <cellStyle name="Normal 4 2" xfId="29"/>
    <cellStyle name="Normal 4 3" xfId="67"/>
    <cellStyle name="Normal 5" xfId="20"/>
    <cellStyle name="Normal 5 2" xfId="48"/>
    <cellStyle name="Normal 5_GRCW" xfId="49"/>
    <cellStyle name="Normal 6" xfId="23"/>
    <cellStyle name="Normal 7" xfId="28"/>
    <cellStyle name="Normal 8" xfId="30"/>
    <cellStyle name="Normal 9" xfId="32"/>
    <cellStyle name="Normal 9 2" xfId="65"/>
    <cellStyle name="Normal_305 versus Cognos" xfId="6"/>
    <cellStyle name="Normal_EAST Blocking 901 2" xfId="24"/>
    <cellStyle name="Normal_East for 38.6M" xfId="7"/>
    <cellStyle name="Normal_Low Income Proposal" xfId="8"/>
    <cellStyle name="Normal_OR 1999 SAS VS 305" xfId="9"/>
    <cellStyle name="Normal_OR 1999 SAS VS 305 2" xfId="25"/>
    <cellStyle name="Normal_OR Blocking 04" xfId="10"/>
    <cellStyle name="Normal_OR Blocking 98 No Forecast" xfId="11"/>
    <cellStyle name="Normal_Rosario Meters 2006" xfId="39"/>
    <cellStyle name="Normal_Ut98 COS Study 5 Function" xfId="71"/>
    <cellStyle name="Normal_WA98" xfId="12"/>
    <cellStyle name="Normal_WAMar06 Blocking" xfId="13"/>
    <cellStyle name="Percent" xfId="14" builtinId="5"/>
    <cellStyle name="Percent 2" xfId="22"/>
    <cellStyle name="Percent 2 2" xfId="41"/>
    <cellStyle name="Percent 3" xfId="33"/>
    <cellStyle name="Percent 3 2" xfId="50"/>
    <cellStyle name="Percent 3 3" xfId="66"/>
    <cellStyle name="Percent 4" xfId="37"/>
    <cellStyle name="Percent 5" xfId="51"/>
    <cellStyle name="Percent 6" xfId="64"/>
    <cellStyle name="Percent 7" xfId="69"/>
    <cellStyle name="Percent 8" xfId="70"/>
    <cellStyle name="PS_Comma" xfId="52"/>
    <cellStyle name="PSChar" xfId="53"/>
    <cellStyle name="PSDate" xfId="54"/>
    <cellStyle name="PSDec" xfId="55"/>
    <cellStyle name="PSHeading" xfId="56"/>
    <cellStyle name="PSInt" xfId="57"/>
    <cellStyle name="PSSpacer" xfId="58"/>
    <cellStyle name="TRANSMISSION RELIABILITY PORTION OF PROJECT" xfId="15"/>
    <cellStyle name="WM_STANDARD" xfId="59"/>
    <cellStyle name="WMI_Standard" xfId="60"/>
  </cellStyles>
  <dxfs count="22"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63" Type="http://schemas.openxmlformats.org/officeDocument/2006/relationships/externalLink" Target="externalLinks/externalLink18.xml"/><Relationship Id="rId68" Type="http://schemas.openxmlformats.org/officeDocument/2006/relationships/externalLink" Target="externalLinks/externalLink23.xml"/><Relationship Id="rId84" Type="http://schemas.openxmlformats.org/officeDocument/2006/relationships/theme" Target="theme/theme1.xml"/><Relationship Id="rId89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8.xml"/><Relationship Id="rId58" Type="http://schemas.openxmlformats.org/officeDocument/2006/relationships/externalLink" Target="externalLinks/externalLink13.xml"/><Relationship Id="rId74" Type="http://schemas.openxmlformats.org/officeDocument/2006/relationships/externalLink" Target="externalLinks/externalLink29.xml"/><Relationship Id="rId79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3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externalLink" Target="externalLinks/externalLink11.xml"/><Relationship Id="rId64" Type="http://schemas.openxmlformats.org/officeDocument/2006/relationships/externalLink" Target="externalLinks/externalLink19.xml"/><Relationship Id="rId69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3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72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5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2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9.xml"/><Relationship Id="rId62" Type="http://schemas.openxmlformats.org/officeDocument/2006/relationships/externalLink" Target="externalLinks/externalLink17.xml"/><Relationship Id="rId70" Type="http://schemas.openxmlformats.org/officeDocument/2006/relationships/externalLink" Target="externalLinks/externalLink25.xml"/><Relationship Id="rId75" Type="http://schemas.openxmlformats.org/officeDocument/2006/relationships/externalLink" Target="externalLinks/externalLink30.xml"/><Relationship Id="rId83" Type="http://schemas.openxmlformats.org/officeDocument/2006/relationships/pivotCacheDefinition" Target="pivotCache/pivotCacheDefinition1.xml"/><Relationship Id="rId88" Type="http://schemas.openxmlformats.org/officeDocument/2006/relationships/customXml" Target="../customXml/item1.xml"/><Relationship Id="rId9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60" Type="http://schemas.openxmlformats.org/officeDocument/2006/relationships/externalLink" Target="externalLinks/externalLink15.xml"/><Relationship Id="rId65" Type="http://schemas.openxmlformats.org/officeDocument/2006/relationships/externalLink" Target="externalLinks/externalLink20.xml"/><Relationship Id="rId73" Type="http://schemas.openxmlformats.org/officeDocument/2006/relationships/externalLink" Target="externalLinks/externalLink28.xml"/><Relationship Id="rId78" Type="http://schemas.openxmlformats.org/officeDocument/2006/relationships/externalLink" Target="externalLinks/externalLink33.xml"/><Relationship Id="rId81" Type="http://schemas.openxmlformats.org/officeDocument/2006/relationships/externalLink" Target="externalLinks/externalLink36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5.xml"/><Relationship Id="rId55" Type="http://schemas.openxmlformats.org/officeDocument/2006/relationships/externalLink" Target="externalLinks/externalLink10.xml"/><Relationship Id="rId76" Type="http://schemas.openxmlformats.org/officeDocument/2006/relationships/externalLink" Target="externalLinks/externalLink3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21.xml"/><Relationship Id="rId87" Type="http://schemas.openxmlformats.org/officeDocument/2006/relationships/calcChain" Target="calcChain.xml"/><Relationship Id="rId61" Type="http://schemas.openxmlformats.org/officeDocument/2006/relationships/externalLink" Target="externalLinks/externalLink16.xml"/><Relationship Id="rId82" Type="http://schemas.openxmlformats.org/officeDocument/2006/relationships/externalLink" Target="externalLinks/externalLink37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Large%20Qf's/Qf03/FALLS/Falls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OPEN%20RATECASES\Avista%20GRC%202012%20UE-120436%20&amp;%20UG-120437\Staff%20Workpapers\Chris%20Mickelson\Electric\Exhibit-Electric\Ehrbar%20Electric%20Workpapers%20-%20Block%20Changes%20(company%20compare)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stimony%20&amp;%20DRs\Avista\Exhibit%20No.%20___%20(CTM-3)%20-%20Electric%20Revenue%20Allocation%20and%20Rate%20Design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OPEN%20RATECASES\Avista%20GRC%202012%20UE-120436%20&amp;%20UG-120437\Staff%20Workpapers\Chris%20Mickelson\Electric\Exhibit-Electric\Exhibit%20No.%20___%20(CTM-3)%20-%20Electric%20Revenue%20Allocation%20and%20Rate%20Design%20-%20parity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CA/PwrStat/Penny/LARGEQUALIFIED/Qf99/Hdiv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1999%20ciac%20depr%20Staf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98\Stipulation\WA98%20with%20deferral%20separa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_COMP\Rosario\2007%20rate%20case\Worksheets\070944%20Loan%20Recalculat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signments\Water\W_COMP\Rosario\2007%20rate%20case\Worksheets\070944%20Loan%20Recalcul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01\Year%202%20of%20stipulation%201-1-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%2002\Year%203%20of%20stipulation%201-1-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OPEN%20RATECASES\Avista%20GRC%202012%20UE-120436%20&amp;%20UG-120437\Staff%20Workpapers\Chris%20Mickelson\Electric\Exhibit-Electric\Exhibit%20No.%20___%20(CTM-2)%20-%20Electric%20Cost%20of%20Service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&amp; Prop Rev"/>
      <sheetName val="Rate Design"/>
      <sheetName val="Exh 1"/>
      <sheetName val="Exh 2"/>
      <sheetName val="Exh 3"/>
      <sheetName val="ERM"/>
      <sheetName val="ROR"/>
      <sheetName val="Bill Determ"/>
      <sheetName val="WA Sch 25"/>
      <sheetName val="Lighting summary"/>
      <sheetName val="St Lts"/>
      <sheetName val="Area Lts"/>
      <sheetName val="Rev Runs CY"/>
      <sheetName val="Rev Runs LY"/>
      <sheetName val="Crossover"/>
    </sheetNames>
    <sheetDataSet>
      <sheetData sheetId="0">
        <row r="8">
          <cell r="N8">
            <v>1</v>
          </cell>
        </row>
      </sheetData>
      <sheetData sheetId="1">
        <row r="4">
          <cell r="D4">
            <v>6</v>
          </cell>
        </row>
        <row r="45">
          <cell r="D4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&amp; Prop Rev"/>
      <sheetName val="Page 1, Exh 1"/>
      <sheetName val="Page 2, Exh 2"/>
      <sheetName val="Page 3, Revenue Stability"/>
      <sheetName val="Page 4-6, Crossover"/>
      <sheetName val="Rate Design"/>
      <sheetName val="ROR"/>
      <sheetName val="Exh 3"/>
      <sheetName val="ERM"/>
      <sheetName val="Bill Determ"/>
      <sheetName val="WA Sch 25"/>
      <sheetName val="Lighting summary"/>
      <sheetName val="St Lts"/>
      <sheetName val="Area Lts"/>
      <sheetName val="Rev Runs CY"/>
      <sheetName val="Rev Runs LY"/>
    </sheetNames>
    <sheetDataSet>
      <sheetData sheetId="0">
        <row r="8">
          <cell r="N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45">
          <cell r="D4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&amp; Prop Rev"/>
      <sheetName val="Page 1, Exh 1"/>
      <sheetName val="Page 2, Exh 2"/>
      <sheetName val="Page 3, Revenue Stability"/>
      <sheetName val="Page 4-6, Crossover"/>
      <sheetName val="Rate Design"/>
      <sheetName val="ROR"/>
      <sheetName val="Exh 3"/>
      <sheetName val="ERM"/>
      <sheetName val="Bill Determ"/>
      <sheetName val="WA Sch 25"/>
      <sheetName val="Lighting summary"/>
      <sheetName val="St Lts"/>
      <sheetName val="Area Lts"/>
      <sheetName val="Rev Runs CY"/>
      <sheetName val="Rev Runs LY"/>
    </sheetNames>
    <sheetDataSet>
      <sheetData sheetId="0">
        <row r="8">
          <cell r="N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45">
          <cell r="D4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6">
          <cell r="C6" t="str">
            <v>WCA Method</v>
          </cell>
        </row>
        <row r="8">
          <cell r="D8">
            <v>0.37687849503411508</v>
          </cell>
        </row>
        <row r="9">
          <cell r="D9">
            <v>0.62312150496588492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0</v>
          </cell>
        </row>
      </sheetData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AC 99"/>
      <sheetName val="Plant 99"/>
      <sheetName val="CIAC"/>
      <sheetName val="Plant"/>
      <sheetName val="CIAC 99 HWC Staff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-4, Sumcost Exhibits"/>
      <sheetName val="ASSIGN"/>
      <sheetName val="SUMCOST"/>
      <sheetName val="MACROS"/>
      <sheetName val="Customer Cost Analysis"/>
    </sheetNames>
    <sheetDataSet>
      <sheetData sheetId="0"/>
      <sheetData sheetId="1">
        <row r="1">
          <cell r="A1">
            <v>1</v>
          </cell>
          <cell r="F1" t="str">
            <v>AVISTA UTILITIES</v>
          </cell>
          <cell r="H1" t="str">
            <v>Washington Jurisdiction</v>
          </cell>
        </row>
        <row r="5">
          <cell r="J5">
            <v>5</v>
          </cell>
          <cell r="K5" t="str">
            <v>(k)</v>
          </cell>
          <cell r="L5" t="str">
            <v>(l)</v>
          </cell>
          <cell r="M5" t="str">
            <v>(m)</v>
          </cell>
          <cell r="N5" t="str">
            <v>(n)</v>
          </cell>
          <cell r="O5" t="str">
            <v>(o)</v>
          </cell>
          <cell r="P5" t="str">
            <v>(p)</v>
          </cell>
          <cell r="Q5" t="str">
            <v>(q)</v>
          </cell>
          <cell r="R5" t="str">
            <v>(r)</v>
          </cell>
          <cell r="S5" t="str">
            <v>(s)</v>
          </cell>
          <cell r="T5" t="str">
            <v>(t)</v>
          </cell>
          <cell r="U5" t="str">
            <v>(u)</v>
          </cell>
          <cell r="V5" t="str">
            <v>(v)</v>
          </cell>
          <cell r="W5" t="str">
            <v>(w)</v>
          </cell>
          <cell r="X5" t="str">
            <v>(x)</v>
          </cell>
          <cell r="Y5" t="str">
            <v>(y)</v>
          </cell>
          <cell r="Z5" t="str">
            <v>(z)</v>
          </cell>
          <cell r="AA5" t="str">
            <v>(aa)</v>
          </cell>
          <cell r="AB5" t="str">
            <v>(ab)</v>
          </cell>
          <cell r="AC5" t="str">
            <v>(ac)</v>
          </cell>
        </row>
        <row r="6">
          <cell r="J6">
            <v>6</v>
          </cell>
          <cell r="N6" t="str">
            <v>Notes</v>
          </cell>
          <cell r="O6" t="str">
            <v>Functional</v>
          </cell>
          <cell r="P6" t="str">
            <v>Class</v>
          </cell>
          <cell r="Q6" t="str">
            <v>Proforma</v>
          </cell>
          <cell r="R6" t="str">
            <v>Functional</v>
          </cell>
          <cell r="S6" t="str">
            <v>Residential</v>
          </cell>
          <cell r="T6" t="str">
            <v>General</v>
          </cell>
          <cell r="U6" t="str">
            <v>Large Gen</v>
          </cell>
          <cell r="V6" t="str">
            <v>Extra Large</v>
          </cell>
          <cell r="W6" t="str">
            <v>Pumping</v>
          </cell>
          <cell r="X6" t="str">
            <v>Street &amp;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 t="str">
            <v xml:space="preserve"> </v>
          </cell>
          <cell r="AC6" t="str">
            <v xml:space="preserve"> </v>
          </cell>
        </row>
        <row r="7">
          <cell r="J7">
            <v>7</v>
          </cell>
          <cell r="K7" t="str">
            <v>Account Description</v>
          </cell>
          <cell r="O7" t="str">
            <v>Allocation</v>
          </cell>
          <cell r="P7" t="str">
            <v>Allocator</v>
          </cell>
          <cell r="Q7" t="str">
            <v>Totals</v>
          </cell>
          <cell r="R7" t="str">
            <v>Totals</v>
          </cell>
          <cell r="S7" t="str">
            <v>Service</v>
          </cell>
          <cell r="T7" t="str">
            <v>Service</v>
          </cell>
          <cell r="U7" t="str">
            <v>Service</v>
          </cell>
          <cell r="V7" t="str">
            <v>Gen Service</v>
          </cell>
          <cell r="W7" t="str">
            <v>Service</v>
          </cell>
          <cell r="X7" t="str">
            <v>Area Lights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 t="str">
            <v xml:space="preserve"> </v>
          </cell>
          <cell r="AC7" t="str">
            <v xml:space="preserve"> </v>
          </cell>
        </row>
        <row r="8">
          <cell r="J8">
            <v>8</v>
          </cell>
          <cell r="S8" t="str">
            <v>Sch 1</v>
          </cell>
          <cell r="T8" t="str">
            <v>Sch 11-12</v>
          </cell>
          <cell r="U8" t="str">
            <v>Sch 21-22</v>
          </cell>
          <cell r="V8" t="str">
            <v>Sch 25</v>
          </cell>
          <cell r="W8" t="str">
            <v>Sch 31-32</v>
          </cell>
          <cell r="X8" t="str">
            <v>Sch 41-49</v>
          </cell>
          <cell r="Y8" t="str">
            <v>Open 1</v>
          </cell>
          <cell r="Z8" t="str">
            <v>Open 2</v>
          </cell>
          <cell r="AA8" t="str">
            <v>Open 3</v>
          </cell>
          <cell r="AB8" t="str">
            <v>Open 4</v>
          </cell>
          <cell r="AC8" t="str">
            <v>Open 5</v>
          </cell>
        </row>
        <row r="9">
          <cell r="J9">
            <v>9</v>
          </cell>
          <cell r="K9" t="str">
            <v>Operation &amp; Maintenance Expenses</v>
          </cell>
        </row>
        <row r="10">
          <cell r="J10">
            <v>10</v>
          </cell>
          <cell r="L10" t="str">
            <v>Production Expenses</v>
          </cell>
          <cell r="AI10" t="str">
            <v>Class</v>
          </cell>
          <cell r="AJ10" t="str">
            <v>Factor Name</v>
          </cell>
          <cell r="AK10" t="str">
            <v>P01</v>
          </cell>
          <cell r="AL10" t="str">
            <v>P02</v>
          </cell>
          <cell r="AM10" t="str">
            <v>P03</v>
          </cell>
          <cell r="AN10" t="str">
            <v>P04</v>
          </cell>
          <cell r="AO10" t="str">
            <v>P05</v>
          </cell>
          <cell r="AP10" t="str">
            <v>P06</v>
          </cell>
          <cell r="AQ10" t="str">
            <v>P07</v>
          </cell>
          <cell r="AR10" t="str">
            <v>P08</v>
          </cell>
          <cell r="AS10" t="str">
            <v>P09</v>
          </cell>
        </row>
        <row r="11">
          <cell r="J11">
            <v>11</v>
          </cell>
          <cell r="K11" t="str">
            <v>500-OP</v>
          </cell>
          <cell r="L11" t="str">
            <v xml:space="preserve">Steam </v>
          </cell>
          <cell r="M11" t="str">
            <v>Supervision &amp; Engineering</v>
          </cell>
          <cell r="O11" t="str">
            <v>P01</v>
          </cell>
          <cell r="P11" t="str">
            <v/>
          </cell>
          <cell r="Q11">
            <v>349000</v>
          </cell>
          <cell r="AJ11" t="str">
            <v>Total Factor</v>
          </cell>
          <cell r="AK11">
            <v>100</v>
          </cell>
          <cell r="AL11">
            <v>100</v>
          </cell>
          <cell r="AM11">
            <v>100</v>
          </cell>
          <cell r="AN11">
            <v>100</v>
          </cell>
          <cell r="AO11">
            <v>200</v>
          </cell>
          <cell r="AP11">
            <v>187644</v>
          </cell>
          <cell r="AQ11">
            <v>55075</v>
          </cell>
          <cell r="AR11">
            <v>5595</v>
          </cell>
          <cell r="AS11">
            <v>2596</v>
          </cell>
          <cell r="BC11" t="str">
            <v>E01</v>
          </cell>
          <cell r="BD11" t="str">
            <v>Customer Level Consumption</v>
          </cell>
          <cell r="BG11">
            <v>2390086.21</v>
          </cell>
          <cell r="BH11">
            <v>489572.18300000002</v>
          </cell>
          <cell r="BI11">
            <v>1481850.5589999999</v>
          </cell>
          <cell r="BJ11">
            <v>1063262.3589999999</v>
          </cell>
          <cell r="BK11">
            <v>124198.378</v>
          </cell>
          <cell r="BL11">
            <v>25886.565999999999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 t="str">
            <v>Energy Sales-MWH</v>
          </cell>
        </row>
        <row r="12">
          <cell r="J12">
            <v>12</v>
          </cell>
          <cell r="L12" t="str">
            <v>P</v>
          </cell>
          <cell r="M12" t="str">
            <v>Coincident Peak</v>
          </cell>
          <cell r="N12" t="str">
            <v/>
          </cell>
          <cell r="O12">
            <v>34.200000000000003</v>
          </cell>
          <cell r="P12" t="str">
            <v>D01</v>
          </cell>
          <cell r="R12">
            <v>119358.00000000001</v>
          </cell>
          <cell r="S12">
            <v>59480.79990523967</v>
          </cell>
          <cell r="T12">
            <v>9290.8807097594181</v>
          </cell>
          <cell r="U12">
            <v>29196.388265885831</v>
          </cell>
          <cell r="V12">
            <v>18978.027599509584</v>
          </cell>
          <cell r="W12">
            <v>2121.7728873160372</v>
          </cell>
          <cell r="X12">
            <v>290.13063228947266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I12" t="str">
            <v>D01</v>
          </cell>
          <cell r="AJ12" t="str">
            <v>Coincident Peak</v>
          </cell>
          <cell r="AK12">
            <v>34.200000000000003</v>
          </cell>
          <cell r="AL12">
            <v>42</v>
          </cell>
          <cell r="AM12">
            <v>41.83</v>
          </cell>
          <cell r="AN12">
            <v>100</v>
          </cell>
          <cell r="AO12">
            <v>68.400000000000006</v>
          </cell>
          <cell r="AP12">
            <v>126316</v>
          </cell>
          <cell r="AQ12">
            <v>44099</v>
          </cell>
          <cell r="AR12">
            <v>3810</v>
          </cell>
          <cell r="AS12">
            <v>1229</v>
          </cell>
          <cell r="BG12">
            <v>0.4287260694580905</v>
          </cell>
          <cell r="BH12">
            <v>8.7817902490474192E-2</v>
          </cell>
          <cell r="BI12">
            <v>0.26580964444974736</v>
          </cell>
          <cell r="BJ12">
            <v>0.19072462326654199</v>
          </cell>
          <cell r="BK12">
            <v>2.2278310384883641E-2</v>
          </cell>
          <cell r="BL12">
            <v>4.6434499502624399E-3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</row>
        <row r="13">
          <cell r="J13">
            <v>13</v>
          </cell>
          <cell r="L13" t="str">
            <v>P</v>
          </cell>
          <cell r="M13" t="str">
            <v>Generation Level Consumption</v>
          </cell>
          <cell r="N13" t="str">
            <v/>
          </cell>
          <cell r="O13">
            <v>65.8</v>
          </cell>
          <cell r="P13" t="str">
            <v>E02</v>
          </cell>
          <cell r="R13">
            <v>229642</v>
          </cell>
          <cell r="S13">
            <v>98994.094267087159</v>
          </cell>
          <cell r="T13">
            <v>20277.408669056189</v>
          </cell>
          <cell r="U13">
            <v>61275.944153680175</v>
          </cell>
          <cell r="V13">
            <v>42878.24028001137</v>
          </cell>
          <cell r="W13">
            <v>5144.1265541427165</v>
          </cell>
          <cell r="X13">
            <v>1072.1860760224099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I13" t="str">
            <v>E02</v>
          </cell>
          <cell r="AJ13" t="str">
            <v>Generation Level Consumption</v>
          </cell>
          <cell r="AK13">
            <v>65.8</v>
          </cell>
          <cell r="AL13">
            <v>58</v>
          </cell>
          <cell r="AM13">
            <v>58.17</v>
          </cell>
          <cell r="AN13">
            <v>0</v>
          </cell>
          <cell r="AO13">
            <v>131.6</v>
          </cell>
          <cell r="AP13">
            <v>61328</v>
          </cell>
          <cell r="AQ13">
            <v>10976</v>
          </cell>
          <cell r="AR13">
            <v>1785</v>
          </cell>
          <cell r="AS13">
            <v>1367</v>
          </cell>
          <cell r="BC13" t="str">
            <v>E02</v>
          </cell>
          <cell r="BD13" t="str">
            <v>Generation Level Consumption</v>
          </cell>
          <cell r="BG13">
            <v>2562172.4171199999</v>
          </cell>
          <cell r="BH13">
            <v>524821.38017600006</v>
          </cell>
          <cell r="BI13">
            <v>1585948.4861789674</v>
          </cell>
          <cell r="BJ13">
            <v>1109777.763547</v>
          </cell>
          <cell r="BK13">
            <v>133140.66121600001</v>
          </cell>
          <cell r="BL13">
            <v>27750.398752000001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>Energy Sales with Losses - MWH</v>
          </cell>
        </row>
        <row r="14">
          <cell r="J14">
            <v>14</v>
          </cell>
          <cell r="L14" t="str">
            <v>P</v>
          </cell>
          <cell r="M14" t="str">
            <v>Open</v>
          </cell>
          <cell r="N14" t="str">
            <v/>
          </cell>
          <cell r="O14">
            <v>0</v>
          </cell>
          <cell r="P14" t="str">
            <v>xxx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I14" t="str">
            <v>xxx</v>
          </cell>
          <cell r="AJ14" t="str">
            <v>Open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BG14">
            <v>0.43108009104208794</v>
          </cell>
          <cell r="BH14">
            <v>8.8300087392794824E-2</v>
          </cell>
          <cell r="BI14">
            <v>0.26683247904860685</v>
          </cell>
          <cell r="BJ14">
            <v>0.1867177619077145</v>
          </cell>
          <cell r="BK14">
            <v>2.2400634701590809E-2</v>
          </cell>
          <cell r="BL14">
            <v>4.6689459072051711E-3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</row>
        <row r="15">
          <cell r="J15">
            <v>15</v>
          </cell>
          <cell r="L15" t="str">
            <v>P</v>
          </cell>
          <cell r="M15" t="str">
            <v>Open</v>
          </cell>
          <cell r="N15" t="str">
            <v/>
          </cell>
          <cell r="O15">
            <v>0</v>
          </cell>
          <cell r="P15" t="str">
            <v>xxx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I15" t="str">
            <v>xxx</v>
          </cell>
          <cell r="AJ15" t="str">
            <v>Open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BC15" t="str">
            <v>E03</v>
          </cell>
          <cell r="BD15" t="str">
            <v>Open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>Open</v>
          </cell>
        </row>
        <row r="16">
          <cell r="J16">
            <v>16</v>
          </cell>
          <cell r="K16" t="str">
            <v>501-OP</v>
          </cell>
          <cell r="L16" t="str">
            <v xml:space="preserve">Steam </v>
          </cell>
          <cell r="M16" t="str">
            <v>Fuel</v>
          </cell>
          <cell r="O16" t="str">
            <v>P01</v>
          </cell>
          <cell r="P16" t="str">
            <v/>
          </cell>
          <cell r="Q16">
            <v>20467000</v>
          </cell>
        </row>
        <row r="17">
          <cell r="J17">
            <v>17</v>
          </cell>
          <cell r="L17" t="str">
            <v>P</v>
          </cell>
          <cell r="M17" t="str">
            <v>Coincident Peak</v>
          </cell>
          <cell r="N17" t="str">
            <v/>
          </cell>
          <cell r="O17">
            <v>34.200000000000003</v>
          </cell>
          <cell r="P17" t="str">
            <v>D01</v>
          </cell>
          <cell r="R17">
            <v>6999714</v>
          </cell>
          <cell r="S17">
            <v>3488233.6150731808</v>
          </cell>
          <cell r="T17">
            <v>544860.90397319768</v>
          </cell>
          <cell r="U17">
            <v>1712213.4058392127</v>
          </cell>
          <cell r="V17">
            <v>1112960.7188514688</v>
          </cell>
          <cell r="W17">
            <v>124430.73262090924</v>
          </cell>
          <cell r="X17">
            <v>17014.623642030478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J18">
            <v>18</v>
          </cell>
          <cell r="L18" t="str">
            <v>P</v>
          </cell>
          <cell r="M18" t="str">
            <v>Generation Level Consumption</v>
          </cell>
          <cell r="N18" t="str">
            <v/>
          </cell>
          <cell r="O18">
            <v>65.8</v>
          </cell>
          <cell r="P18" t="str">
            <v>E02</v>
          </cell>
          <cell r="R18">
            <v>13467286</v>
          </cell>
          <cell r="S18">
            <v>5805478.8749698363</v>
          </cell>
          <cell r="T18">
            <v>1189162.5307437622</v>
          </cell>
          <cell r="U18">
            <v>3593509.3094365965</v>
          </cell>
          <cell r="V18">
            <v>2514581.5008910969</v>
          </cell>
          <cell r="W18">
            <v>301675.7541078481</v>
          </cell>
          <cell r="X18">
            <v>62878.029850861501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I18" t="str">
            <v>Class</v>
          </cell>
          <cell r="AJ18" t="str">
            <v>Factor Name</v>
          </cell>
          <cell r="AK18" t="str">
            <v>T01</v>
          </cell>
          <cell r="AL18" t="str">
            <v>T02</v>
          </cell>
          <cell r="AM18" t="str">
            <v>T03</v>
          </cell>
          <cell r="AN18" t="str">
            <v>T04</v>
          </cell>
          <cell r="BC18" t="str">
            <v>D01</v>
          </cell>
          <cell r="BD18" t="str">
            <v>Coincident Peak</v>
          </cell>
          <cell r="BG18">
            <v>443855</v>
          </cell>
          <cell r="BH18">
            <v>69330</v>
          </cell>
          <cell r="BI18">
            <v>217868</v>
          </cell>
          <cell r="BJ18">
            <v>141617</v>
          </cell>
          <cell r="BK18">
            <v>15833</v>
          </cell>
          <cell r="BL18">
            <v>2165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>Coincident Peak 12 Month Average</v>
          </cell>
        </row>
        <row r="19">
          <cell r="J19">
            <v>19</v>
          </cell>
          <cell r="L19" t="str">
            <v>P</v>
          </cell>
          <cell r="M19" t="str">
            <v>Open</v>
          </cell>
          <cell r="N19" t="str">
            <v/>
          </cell>
          <cell r="O19">
            <v>0</v>
          </cell>
          <cell r="P19" t="str">
            <v>xxx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J19" t="str">
            <v>Total Factor</v>
          </cell>
          <cell r="AK19">
            <v>100</v>
          </cell>
          <cell r="AL19">
            <v>100</v>
          </cell>
          <cell r="AM19">
            <v>0</v>
          </cell>
          <cell r="AN19">
            <v>0</v>
          </cell>
          <cell r="BG19">
            <v>0.49833944859363982</v>
          </cell>
          <cell r="BH19">
            <v>7.7840452334652199E-2</v>
          </cell>
          <cell r="BI19">
            <v>0.24461190926360887</v>
          </cell>
          <cell r="BJ19">
            <v>0.15900088472921448</v>
          </cell>
          <cell r="BK19">
            <v>1.7776545244692746E-2</v>
          </cell>
          <cell r="BL19">
            <v>2.4307598341918651E-3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</row>
        <row r="20">
          <cell r="J20">
            <v>20</v>
          </cell>
          <cell r="L20" t="str">
            <v>P</v>
          </cell>
          <cell r="M20" t="str">
            <v>Open</v>
          </cell>
          <cell r="N20" t="str">
            <v/>
          </cell>
          <cell r="O20">
            <v>0</v>
          </cell>
          <cell r="P20" t="str">
            <v>xxx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I20" t="str">
            <v>D01</v>
          </cell>
          <cell r="AJ20" t="str">
            <v>Coincident Peak</v>
          </cell>
          <cell r="AK20">
            <v>34.200000000000003</v>
          </cell>
          <cell r="AL20">
            <v>41.92</v>
          </cell>
          <cell r="BC20" t="str">
            <v>D02</v>
          </cell>
          <cell r="BD20" t="str">
            <v>NCP-All</v>
          </cell>
          <cell r="BG20">
            <v>502374</v>
          </cell>
          <cell r="BH20">
            <v>103881</v>
          </cell>
          <cell r="BI20">
            <v>277639</v>
          </cell>
          <cell r="BJ20">
            <v>151519</v>
          </cell>
          <cell r="BK20">
            <v>25372</v>
          </cell>
          <cell r="BL20">
            <v>6468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>Non-Coincident Peak All Sched.12 Mo Avg</v>
          </cell>
        </row>
        <row r="21">
          <cell r="J21">
            <v>21</v>
          </cell>
          <cell r="K21" t="str">
            <v>502-OP</v>
          </cell>
          <cell r="L21" t="str">
            <v>Steam</v>
          </cell>
          <cell r="M21" t="str">
            <v>Steam Expenses</v>
          </cell>
          <cell r="O21" t="str">
            <v>P01</v>
          </cell>
          <cell r="P21" t="str">
            <v/>
          </cell>
          <cell r="Q21">
            <v>2849000</v>
          </cell>
          <cell r="AI21" t="str">
            <v>E02</v>
          </cell>
          <cell r="AJ21" t="str">
            <v>Generation Level Consumption</v>
          </cell>
          <cell r="AK21">
            <v>65.8</v>
          </cell>
          <cell r="AL21">
            <v>58.08</v>
          </cell>
          <cell r="BG21">
            <v>0.4707168778162254</v>
          </cell>
          <cell r="BH21">
            <v>9.7334933703629792E-2</v>
          </cell>
          <cell r="BI21">
            <v>0.2601435648342052</v>
          </cell>
          <cell r="BJ21">
            <v>0.14197102280340276</v>
          </cell>
          <cell r="BK21">
            <v>2.3773182178921024E-2</v>
          </cell>
          <cell r="BL21">
            <v>6.0604186636158434E-3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</row>
        <row r="22">
          <cell r="J22">
            <v>22</v>
          </cell>
          <cell r="L22" t="str">
            <v>P</v>
          </cell>
          <cell r="M22" t="str">
            <v>Coincident Peak</v>
          </cell>
          <cell r="N22" t="str">
            <v/>
          </cell>
          <cell r="O22">
            <v>34.200000000000003</v>
          </cell>
          <cell r="P22" t="str">
            <v>D01</v>
          </cell>
          <cell r="R22">
            <v>974358.00000000012</v>
          </cell>
          <cell r="S22">
            <v>485561.02845280175</v>
          </cell>
          <cell r="T22">
            <v>75844.467455887061</v>
          </cell>
          <cell r="U22">
            <v>238339.57068627144</v>
          </cell>
          <cell r="V22">
            <v>154923.78404298797</v>
          </cell>
          <cell r="W22">
            <v>17320.719071528336</v>
          </cell>
          <cell r="X22">
            <v>2368.4302905235177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I22" t="str">
            <v>xxx</v>
          </cell>
          <cell r="AJ22" t="str">
            <v>Open</v>
          </cell>
          <cell r="AK22">
            <v>0</v>
          </cell>
          <cell r="AL22">
            <v>0</v>
          </cell>
          <cell r="BC22" t="str">
            <v>D03</v>
          </cell>
          <cell r="BD22" t="str">
            <v>NCP-w/o DA</v>
          </cell>
          <cell r="BG22">
            <v>502374</v>
          </cell>
          <cell r="BH22">
            <v>103881</v>
          </cell>
          <cell r="BI22">
            <v>277639</v>
          </cell>
          <cell r="BJ22">
            <v>0</v>
          </cell>
          <cell r="BK22">
            <v>25372</v>
          </cell>
          <cell r="BL22">
            <v>6468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>NCP w/o Sch 25/28 12 Mo Avg</v>
          </cell>
        </row>
        <row r="23">
          <cell r="J23">
            <v>23</v>
          </cell>
          <cell r="L23" t="str">
            <v>P</v>
          </cell>
          <cell r="M23" t="str">
            <v>Generation Level Consumption</v>
          </cell>
          <cell r="N23" t="str">
            <v/>
          </cell>
          <cell r="O23">
            <v>65.8</v>
          </cell>
          <cell r="P23" t="str">
            <v>E02</v>
          </cell>
          <cell r="R23">
            <v>1874642</v>
          </cell>
          <cell r="S23">
            <v>808120.84403132182</v>
          </cell>
          <cell r="T23">
            <v>165531.05243020368</v>
          </cell>
          <cell r="U23">
            <v>500215.37218863843</v>
          </cell>
          <cell r="V23">
            <v>350028.95861820172</v>
          </cell>
          <cell r="W23">
            <v>41993.170638259595</v>
          </cell>
          <cell r="X23">
            <v>8752.6020933749169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BG23">
            <v>0.54860254178615186</v>
          </cell>
          <cell r="BH23">
            <v>0.113440147466404</v>
          </cell>
          <cell r="BI23">
            <v>0.30318738847743998</v>
          </cell>
          <cell r="BJ23">
            <v>0</v>
          </cell>
          <cell r="BK23">
            <v>2.7706735798823677E-2</v>
          </cell>
          <cell r="BL23">
            <v>7.0631864711804956E-3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</row>
        <row r="24">
          <cell r="J24">
            <v>24</v>
          </cell>
          <cell r="L24" t="str">
            <v>P</v>
          </cell>
          <cell r="M24" t="str">
            <v>Open</v>
          </cell>
          <cell r="N24" t="str">
            <v/>
          </cell>
          <cell r="O24">
            <v>0</v>
          </cell>
          <cell r="P24" t="str">
            <v>xxx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BC24" t="str">
            <v>D04</v>
          </cell>
          <cell r="BD24" t="str">
            <v xml:space="preserve">DA Sch 25 </v>
          </cell>
          <cell r="BJ24">
            <v>100</v>
          </cell>
          <cell r="BR24" t="str">
            <v>Direct Assigned to Schedule 25 Customers</v>
          </cell>
        </row>
        <row r="25">
          <cell r="J25">
            <v>25</v>
          </cell>
          <cell r="L25" t="str">
            <v>P</v>
          </cell>
          <cell r="M25" t="str">
            <v>Open</v>
          </cell>
          <cell r="N25" t="str">
            <v/>
          </cell>
          <cell r="O25">
            <v>0</v>
          </cell>
          <cell r="P25" t="str">
            <v>xxx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I25" t="str">
            <v>Class</v>
          </cell>
          <cell r="AJ25" t="str">
            <v>Factor Name</v>
          </cell>
          <cell r="AK25" t="str">
            <v>X01</v>
          </cell>
          <cell r="AL25" t="str">
            <v>X02</v>
          </cell>
          <cell r="AM25" t="str">
            <v>X03</v>
          </cell>
          <cell r="AN25" t="str">
            <v>X04</v>
          </cell>
          <cell r="AO25" t="str">
            <v>X05</v>
          </cell>
          <cell r="AP25" t="str">
            <v>X06</v>
          </cell>
          <cell r="AQ25" t="str">
            <v>X07</v>
          </cell>
          <cell r="AR25" t="str">
            <v>X08</v>
          </cell>
          <cell r="AS25" t="str">
            <v>X09</v>
          </cell>
          <cell r="AT25" t="str">
            <v>X10</v>
          </cell>
          <cell r="AU25" t="str">
            <v>X11</v>
          </cell>
          <cell r="AV25" t="str">
            <v>X12</v>
          </cell>
          <cell r="AW25" t="str">
            <v>X13</v>
          </cell>
          <cell r="AX25" t="str">
            <v>X14</v>
          </cell>
          <cell r="AY25" t="str">
            <v>X15</v>
          </cell>
          <cell r="BG25">
            <v>0</v>
          </cell>
          <cell r="BH25">
            <v>0</v>
          </cell>
          <cell r="BI25">
            <v>0</v>
          </cell>
          <cell r="BJ25">
            <v>1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</row>
        <row r="26">
          <cell r="J26">
            <v>26</v>
          </cell>
          <cell r="K26" t="str">
            <v>503-OP</v>
          </cell>
          <cell r="L26" t="str">
            <v>Steam</v>
          </cell>
          <cell r="M26" t="str">
            <v>From Other Sources</v>
          </cell>
          <cell r="O26" t="str">
            <v>P01</v>
          </cell>
          <cell r="P26" t="str">
            <v/>
          </cell>
          <cell r="Q26">
            <v>0</v>
          </cell>
          <cell r="AJ26" t="str">
            <v>Total Factor</v>
          </cell>
          <cell r="AK26">
            <v>100</v>
          </cell>
          <cell r="AL26">
            <v>12440.694</v>
          </cell>
          <cell r="AM26">
            <v>68733.354999999996</v>
          </cell>
          <cell r="AN26">
            <v>0</v>
          </cell>
          <cell r="AO26">
            <v>100.00000000000001</v>
          </cell>
          <cell r="AP26">
            <v>100</v>
          </cell>
          <cell r="AQ26">
            <v>100</v>
          </cell>
          <cell r="AR26">
            <v>100</v>
          </cell>
          <cell r="AS26">
            <v>100</v>
          </cell>
          <cell r="AT26">
            <v>100</v>
          </cell>
          <cell r="AU26">
            <v>100</v>
          </cell>
          <cell r="AV26">
            <v>100</v>
          </cell>
          <cell r="AW26">
            <v>0</v>
          </cell>
          <cell r="AX26">
            <v>0</v>
          </cell>
          <cell r="AY26">
            <v>0</v>
          </cell>
          <cell r="BC26" t="str">
            <v>D05</v>
          </cell>
          <cell r="BD26" t="str">
            <v>DA Sch 25I</v>
          </cell>
          <cell r="BM26">
            <v>100</v>
          </cell>
          <cell r="BR26" t="str">
            <v>Direct Assigned to Schedule 25I Customers (not used)</v>
          </cell>
        </row>
        <row r="27">
          <cell r="J27">
            <v>27</v>
          </cell>
          <cell r="L27" t="str">
            <v>P</v>
          </cell>
          <cell r="M27" t="str">
            <v>Coincident Peak</v>
          </cell>
          <cell r="N27" t="str">
            <v/>
          </cell>
          <cell r="O27">
            <v>34.200000000000003</v>
          </cell>
          <cell r="P27" t="str">
            <v>D01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I27" t="str">
            <v>D02</v>
          </cell>
          <cell r="AJ27" t="str">
            <v>NCP-All</v>
          </cell>
          <cell r="AK27">
            <v>0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1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</row>
        <row r="28">
          <cell r="J28">
            <v>28</v>
          </cell>
          <cell r="L28" t="str">
            <v>P</v>
          </cell>
          <cell r="M28" t="str">
            <v>Generation Level Consumption</v>
          </cell>
          <cell r="N28" t="str">
            <v/>
          </cell>
          <cell r="O28">
            <v>65.8</v>
          </cell>
          <cell r="P28" t="str">
            <v>E02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I28" t="str">
            <v>D03</v>
          </cell>
          <cell r="AJ28" t="str">
            <v>NCP-w/o DA</v>
          </cell>
          <cell r="AK28">
            <v>0</v>
          </cell>
          <cell r="AL28">
            <v>10956.161</v>
          </cell>
          <cell r="AM28">
            <v>63092.08</v>
          </cell>
          <cell r="AO28">
            <v>87.16</v>
          </cell>
          <cell r="AP28">
            <v>94.63</v>
          </cell>
          <cell r="AQ28">
            <v>73.58</v>
          </cell>
          <cell r="AR28">
            <v>75.790000000000006</v>
          </cell>
          <cell r="AS28">
            <v>0</v>
          </cell>
          <cell r="BC28" t="str">
            <v>D06</v>
          </cell>
          <cell r="BD28" t="str">
            <v>NCP-Secondary</v>
          </cell>
          <cell r="BG28">
            <v>502374</v>
          </cell>
          <cell r="BH28">
            <v>103881</v>
          </cell>
          <cell r="BI28">
            <v>257301</v>
          </cell>
          <cell r="BJ28">
            <v>0</v>
          </cell>
          <cell r="BK28">
            <v>25372</v>
          </cell>
          <cell r="BL28">
            <v>6468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>Non-Coincident Peak Secondary12 Mo Avg</v>
          </cell>
        </row>
        <row r="29">
          <cell r="J29">
            <v>29</v>
          </cell>
          <cell r="L29" t="str">
            <v>P</v>
          </cell>
          <cell r="M29" t="str">
            <v>Open</v>
          </cell>
          <cell r="N29" t="str">
            <v/>
          </cell>
          <cell r="O29">
            <v>0</v>
          </cell>
          <cell r="P29" t="str">
            <v>xxx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I29" t="str">
            <v>D04</v>
          </cell>
          <cell r="AJ29" t="str">
            <v xml:space="preserve">DA Sch 25 </v>
          </cell>
          <cell r="AK29">
            <v>0</v>
          </cell>
          <cell r="AL29">
            <v>1484.5329999999999</v>
          </cell>
          <cell r="AM29">
            <v>5641.2749999999996</v>
          </cell>
          <cell r="AO29">
            <v>4.6500000000000004</v>
          </cell>
          <cell r="AP29">
            <v>5.0599999999999996</v>
          </cell>
          <cell r="AQ29">
            <v>5.0599999999999996</v>
          </cell>
          <cell r="AR29">
            <v>5.46</v>
          </cell>
          <cell r="AS29">
            <v>0</v>
          </cell>
        </row>
        <row r="30">
          <cell r="J30">
            <v>30</v>
          </cell>
          <cell r="L30" t="str">
            <v>P</v>
          </cell>
          <cell r="M30" t="str">
            <v>Open</v>
          </cell>
          <cell r="N30" t="str">
            <v/>
          </cell>
          <cell r="O30">
            <v>0</v>
          </cell>
          <cell r="P30" t="str">
            <v>xxx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I30" t="str">
            <v>D07</v>
          </cell>
          <cell r="AJ30" t="str">
            <v>DA Street and Area Lights</v>
          </cell>
          <cell r="AK30">
            <v>0</v>
          </cell>
          <cell r="AL30">
            <v>0</v>
          </cell>
          <cell r="AM30">
            <v>0</v>
          </cell>
          <cell r="AO30">
            <v>7.68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J31">
            <v>31</v>
          </cell>
          <cell r="K31" t="str">
            <v>504-OP</v>
          </cell>
          <cell r="L31" t="str">
            <v>Steam</v>
          </cell>
          <cell r="M31" t="str">
            <v>Steam Transferred-CR</v>
          </cell>
          <cell r="O31" t="str">
            <v>P01</v>
          </cell>
          <cell r="P31" t="str">
            <v/>
          </cell>
          <cell r="Q31">
            <v>0</v>
          </cell>
          <cell r="AI31" t="str">
            <v>C02</v>
          </cell>
          <cell r="AJ31" t="str">
            <v>Avg Customers-Secondary</v>
          </cell>
          <cell r="AK31">
            <v>0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100</v>
          </cell>
        </row>
        <row r="32">
          <cell r="J32">
            <v>32</v>
          </cell>
          <cell r="L32" t="str">
            <v>P</v>
          </cell>
          <cell r="M32" t="str">
            <v>Coincident Peak</v>
          </cell>
          <cell r="N32" t="str">
            <v/>
          </cell>
          <cell r="O32">
            <v>34.200000000000003</v>
          </cell>
          <cell r="P32" t="str">
            <v>D01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I32" t="str">
            <v>C04</v>
          </cell>
          <cell r="AJ32" t="str">
            <v>Wt Customers-Meters</v>
          </cell>
          <cell r="AK32">
            <v>0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U32">
            <v>100</v>
          </cell>
        </row>
        <row r="33">
          <cell r="J33">
            <v>33</v>
          </cell>
          <cell r="L33" t="str">
            <v>P</v>
          </cell>
          <cell r="M33" t="str">
            <v>Generation Level Consumption</v>
          </cell>
          <cell r="N33" t="str">
            <v/>
          </cell>
          <cell r="O33">
            <v>65.8</v>
          </cell>
          <cell r="P33" t="str">
            <v>E02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I33" t="str">
            <v>C05</v>
          </cell>
          <cell r="AJ33" t="str">
            <v>DA Street &amp; Area Lights</v>
          </cell>
          <cell r="AK33">
            <v>0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100</v>
          </cell>
        </row>
        <row r="34">
          <cell r="J34">
            <v>34</v>
          </cell>
          <cell r="L34" t="str">
            <v>P</v>
          </cell>
          <cell r="M34" t="str">
            <v>Open</v>
          </cell>
          <cell r="N34" t="str">
            <v/>
          </cell>
          <cell r="O34">
            <v>0</v>
          </cell>
          <cell r="P34" t="str">
            <v>xxx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I34" t="str">
            <v>D05</v>
          </cell>
          <cell r="AJ34" t="str">
            <v>DA Sch 25I</v>
          </cell>
          <cell r="AK34">
            <v>0</v>
          </cell>
          <cell r="AL34">
            <v>0</v>
          </cell>
          <cell r="AM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J35">
            <v>35</v>
          </cell>
          <cell r="L35" t="str">
            <v>P</v>
          </cell>
          <cell r="M35" t="str">
            <v>Open</v>
          </cell>
          <cell r="N35" t="str">
            <v/>
          </cell>
          <cell r="O35">
            <v>0</v>
          </cell>
          <cell r="P35" t="str">
            <v>xxx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I35" t="str">
            <v>D06</v>
          </cell>
          <cell r="AJ35" t="str">
            <v>NCP-Secondary</v>
          </cell>
          <cell r="AK35">
            <v>0</v>
          </cell>
          <cell r="AL35">
            <v>0</v>
          </cell>
          <cell r="AM35">
            <v>0</v>
          </cell>
          <cell r="AO35">
            <v>0.51</v>
          </cell>
          <cell r="AP35">
            <v>0.31</v>
          </cell>
          <cell r="AQ35">
            <v>21.36</v>
          </cell>
          <cell r="AR35">
            <v>18.75</v>
          </cell>
          <cell r="AS35">
            <v>100</v>
          </cell>
        </row>
        <row r="36">
          <cell r="J36">
            <v>36</v>
          </cell>
          <cell r="K36" t="str">
            <v>505-OP</v>
          </cell>
          <cell r="L36" t="str">
            <v>Steam</v>
          </cell>
          <cell r="M36" t="str">
            <v>Electric Expenses</v>
          </cell>
          <cell r="O36" t="str">
            <v>P01</v>
          </cell>
          <cell r="P36" t="str">
            <v/>
          </cell>
          <cell r="Q36">
            <v>636000</v>
          </cell>
          <cell r="AI36" t="str">
            <v>D08</v>
          </cell>
          <cell r="AJ36" t="str">
            <v>NCP-Primary</v>
          </cell>
          <cell r="AK36">
            <v>100</v>
          </cell>
          <cell r="AL36">
            <v>0</v>
          </cell>
          <cell r="AM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BC36" t="str">
            <v>C01</v>
          </cell>
        </row>
        <row r="37">
          <cell r="J37">
            <v>37</v>
          </cell>
          <cell r="L37" t="str">
            <v>P</v>
          </cell>
          <cell r="M37" t="str">
            <v>Coincident Peak</v>
          </cell>
          <cell r="N37" t="str">
            <v/>
          </cell>
          <cell r="O37">
            <v>34.200000000000003</v>
          </cell>
          <cell r="P37" t="str">
            <v>D01</v>
          </cell>
          <cell r="R37">
            <v>217512</v>
          </cell>
          <cell r="S37">
            <v>108394.81014249979</v>
          </cell>
          <cell r="T37">
            <v>16931.232468214868</v>
          </cell>
          <cell r="U37">
            <v>53206.025607746094</v>
          </cell>
          <cell r="V37">
            <v>34584.6004392209</v>
          </cell>
          <cell r="W37">
            <v>3866.6119092636086</v>
          </cell>
          <cell r="X37">
            <v>528.71943305474099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J38">
            <v>38</v>
          </cell>
          <cell r="L38" t="str">
            <v>P</v>
          </cell>
          <cell r="M38" t="str">
            <v>Generation Level Consumption</v>
          </cell>
          <cell r="N38" t="str">
            <v/>
          </cell>
          <cell r="O38">
            <v>65.8</v>
          </cell>
          <cell r="P38" t="str">
            <v>E02</v>
          </cell>
          <cell r="R38">
            <v>418488</v>
          </cell>
          <cell r="S38">
            <v>180401.84514002129</v>
          </cell>
          <cell r="T38">
            <v>36952.52697283592</v>
          </cell>
          <cell r="U38">
            <v>111666.19049209339</v>
          </cell>
          <cell r="V38">
            <v>78139.142745235629</v>
          </cell>
          <cell r="W38">
            <v>9374.3968149993343</v>
          </cell>
          <cell r="X38">
            <v>1953.8978348144776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BC38" t="str">
            <v>C02</v>
          </cell>
        </row>
        <row r="39">
          <cell r="J39">
            <v>39</v>
          </cell>
          <cell r="L39" t="str">
            <v>P</v>
          </cell>
          <cell r="M39" t="str">
            <v>Open</v>
          </cell>
          <cell r="N39" t="str">
            <v/>
          </cell>
          <cell r="O39">
            <v>0</v>
          </cell>
          <cell r="P39" t="str">
            <v>xxx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I39" t="str">
            <v>Class</v>
          </cell>
          <cell r="AJ39" t="str">
            <v>Factor Name</v>
          </cell>
          <cell r="AK39" t="str">
            <v>K01</v>
          </cell>
          <cell r="AL39" t="str">
            <v>K02</v>
          </cell>
          <cell r="AM39" t="str">
            <v>K03</v>
          </cell>
          <cell r="AN39" t="str">
            <v>K04</v>
          </cell>
        </row>
        <row r="40">
          <cell r="J40">
            <v>40</v>
          </cell>
          <cell r="L40" t="str">
            <v>P</v>
          </cell>
          <cell r="M40" t="str">
            <v>Open</v>
          </cell>
          <cell r="N40" t="str">
            <v/>
          </cell>
          <cell r="O40">
            <v>0</v>
          </cell>
          <cell r="P40" t="str">
            <v>xxx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J40" t="str">
            <v>Total Factor</v>
          </cell>
          <cell r="AK40">
            <v>100</v>
          </cell>
          <cell r="AL40">
            <v>100</v>
          </cell>
          <cell r="AM40">
            <v>100</v>
          </cell>
          <cell r="AN40">
            <v>0</v>
          </cell>
          <cell r="BC40" t="str">
            <v>C03</v>
          </cell>
        </row>
        <row r="41">
          <cell r="J41">
            <v>41</v>
          </cell>
          <cell r="K41" t="str">
            <v>506-OP</v>
          </cell>
          <cell r="L41" t="str">
            <v>Steam</v>
          </cell>
          <cell r="M41" t="str">
            <v>Miscellaneous Power Exp.</v>
          </cell>
          <cell r="O41" t="str">
            <v>P01</v>
          </cell>
          <cell r="P41" t="str">
            <v/>
          </cell>
          <cell r="Q41">
            <v>1581000</v>
          </cell>
          <cell r="AI41" t="str">
            <v>C01</v>
          </cell>
          <cell r="AJ41" t="str">
            <v>Avg Customers-All</v>
          </cell>
          <cell r="AK41">
            <v>100</v>
          </cell>
          <cell r="AL41">
            <v>0</v>
          </cell>
          <cell r="AM41">
            <v>99.89</v>
          </cell>
        </row>
        <row r="42">
          <cell r="J42">
            <v>42</v>
          </cell>
          <cell r="L42" t="str">
            <v>P</v>
          </cell>
          <cell r="M42" t="str">
            <v>Coincident Peak</v>
          </cell>
          <cell r="N42" t="str">
            <v/>
          </cell>
          <cell r="O42">
            <v>34.200000000000003</v>
          </cell>
          <cell r="P42" t="str">
            <v>D01</v>
          </cell>
          <cell r="R42">
            <v>540702.00000000012</v>
          </cell>
          <cell r="S42">
            <v>269453.13653347827</v>
          </cell>
          <cell r="T42">
            <v>42088.48825825112</v>
          </cell>
          <cell r="U42">
            <v>132262.14856265188</v>
          </cell>
          <cell r="V42">
            <v>85972.096374855741</v>
          </cell>
          <cell r="W42">
            <v>9611.8135668958603</v>
          </cell>
          <cell r="X42">
            <v>1314.3167038672102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I42" t="str">
            <v>C03</v>
          </cell>
          <cell r="AJ42" t="str">
            <v>Wt Customers-Meter Reading</v>
          </cell>
          <cell r="AK42">
            <v>0</v>
          </cell>
          <cell r="AL42">
            <v>98.62</v>
          </cell>
          <cell r="AM42">
            <v>0</v>
          </cell>
          <cell r="BC42" t="str">
            <v>C04</v>
          </cell>
        </row>
        <row r="43">
          <cell r="J43">
            <v>43</v>
          </cell>
          <cell r="L43" t="str">
            <v>P</v>
          </cell>
          <cell r="M43" t="str">
            <v>Generation Level Consumption</v>
          </cell>
          <cell r="N43" t="str">
            <v/>
          </cell>
          <cell r="O43">
            <v>65.8</v>
          </cell>
          <cell r="P43" t="str">
            <v>E02</v>
          </cell>
          <cell r="R43">
            <v>1040298</v>
          </cell>
          <cell r="S43">
            <v>448451.75655090198</v>
          </cell>
          <cell r="T43">
            <v>91858.404314549669</v>
          </cell>
          <cell r="U43">
            <v>277585.29428930761</v>
          </cell>
          <cell r="V43">
            <v>194242.11427707158</v>
          </cell>
          <cell r="W43">
            <v>23303.335478795514</v>
          </cell>
          <cell r="X43">
            <v>4857.0950893737254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I43" t="str">
            <v>C06</v>
          </cell>
          <cell r="AJ43" t="str">
            <v>DA Handbilled</v>
          </cell>
          <cell r="AK43">
            <v>0</v>
          </cell>
          <cell r="AL43">
            <v>1.38</v>
          </cell>
          <cell r="AM43">
            <v>0.11</v>
          </cell>
        </row>
        <row r="44">
          <cell r="J44">
            <v>44</v>
          </cell>
          <cell r="L44" t="str">
            <v>P</v>
          </cell>
          <cell r="M44" t="str">
            <v>Open</v>
          </cell>
          <cell r="N44" t="str">
            <v/>
          </cell>
          <cell r="O44">
            <v>0</v>
          </cell>
          <cell r="P44" t="str">
            <v>xxx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I44" t="str">
            <v>xxx</v>
          </cell>
          <cell r="AJ44" t="str">
            <v>Open</v>
          </cell>
          <cell r="AK44">
            <v>0</v>
          </cell>
          <cell r="AL44">
            <v>0</v>
          </cell>
          <cell r="AM44">
            <v>0</v>
          </cell>
          <cell r="BC44" t="str">
            <v>C05</v>
          </cell>
        </row>
        <row r="45">
          <cell r="J45">
            <v>45</v>
          </cell>
          <cell r="L45" t="str">
            <v>P</v>
          </cell>
          <cell r="M45" t="str">
            <v>Open</v>
          </cell>
          <cell r="N45" t="str">
            <v/>
          </cell>
          <cell r="O45">
            <v>0</v>
          </cell>
          <cell r="P45" t="str">
            <v>xxx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J46">
            <v>46</v>
          </cell>
          <cell r="K46" t="str">
            <v>507-OP</v>
          </cell>
          <cell r="L46" t="str">
            <v>Steam</v>
          </cell>
          <cell r="M46" t="str">
            <v>Rents</v>
          </cell>
          <cell r="O46" t="str">
            <v>P01</v>
          </cell>
          <cell r="P46" t="str">
            <v/>
          </cell>
          <cell r="Q46">
            <v>21000</v>
          </cell>
          <cell r="BC46" t="str">
            <v>C06</v>
          </cell>
        </row>
        <row r="47">
          <cell r="J47">
            <v>47</v>
          </cell>
          <cell r="L47" t="str">
            <v>P</v>
          </cell>
          <cell r="M47" t="str">
            <v>Coincident Peak</v>
          </cell>
          <cell r="N47" t="str">
            <v/>
          </cell>
          <cell r="O47">
            <v>34.200000000000003</v>
          </cell>
          <cell r="P47" t="str">
            <v>D01</v>
          </cell>
          <cell r="R47">
            <v>7182.0000000000009</v>
          </cell>
          <cell r="S47">
            <v>3579.0739197995217</v>
          </cell>
          <cell r="T47">
            <v>559.05012866747222</v>
          </cell>
          <cell r="U47">
            <v>1756.8027323312392</v>
          </cell>
          <cell r="V47">
            <v>1141.9443541252185</v>
          </cell>
          <cell r="W47">
            <v>127.67114794738332</v>
          </cell>
          <cell r="X47">
            <v>17.457717129165978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I47" t="str">
            <v>Class</v>
          </cell>
          <cell r="AJ47" t="str">
            <v>Factor Name</v>
          </cell>
          <cell r="AK47" t="str">
            <v>I01</v>
          </cell>
          <cell r="AL47" t="str">
            <v>I02</v>
          </cell>
          <cell r="AM47" t="str">
            <v>I03</v>
          </cell>
          <cell r="AN47" t="str">
            <v>I04</v>
          </cell>
        </row>
        <row r="48">
          <cell r="J48">
            <v>48</v>
          </cell>
          <cell r="L48" t="str">
            <v>P</v>
          </cell>
          <cell r="M48" t="str">
            <v>Generation Level Consumption</v>
          </cell>
          <cell r="N48" t="str">
            <v/>
          </cell>
          <cell r="O48">
            <v>65.8</v>
          </cell>
          <cell r="P48" t="str">
            <v>E02</v>
          </cell>
          <cell r="R48">
            <v>13818</v>
          </cell>
          <cell r="S48">
            <v>5956.664698019571</v>
          </cell>
          <cell r="T48">
            <v>1220.1306075936388</v>
          </cell>
          <cell r="U48">
            <v>3687.0911954936496</v>
          </cell>
          <cell r="V48">
            <v>2580.066034040799</v>
          </cell>
          <cell r="W48">
            <v>309.5319703065818</v>
          </cell>
          <cell r="X48">
            <v>64.515494545761058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J48" t="str">
            <v>Total Factor</v>
          </cell>
          <cell r="AK48">
            <v>100</v>
          </cell>
          <cell r="AL48">
            <v>4.5049999999999999</v>
          </cell>
          <cell r="AM48">
            <v>0</v>
          </cell>
          <cell r="AN48">
            <v>0</v>
          </cell>
          <cell r="BC48" t="str">
            <v>C07</v>
          </cell>
        </row>
        <row r="49">
          <cell r="J49">
            <v>49</v>
          </cell>
          <cell r="L49" t="str">
            <v>P</v>
          </cell>
          <cell r="M49" t="str">
            <v>Open</v>
          </cell>
          <cell r="N49" t="str">
            <v/>
          </cell>
          <cell r="O49">
            <v>0</v>
          </cell>
          <cell r="P49" t="str">
            <v>xxx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I49" t="str">
            <v>C01</v>
          </cell>
          <cell r="AJ49" t="str">
            <v>Avg Customers-All</v>
          </cell>
          <cell r="AK49">
            <v>100</v>
          </cell>
          <cell r="AL49">
            <v>0.52800000000000002</v>
          </cell>
        </row>
        <row r="50">
          <cell r="J50">
            <v>50</v>
          </cell>
          <cell r="L50" t="str">
            <v>P</v>
          </cell>
          <cell r="M50" t="str">
            <v>Open</v>
          </cell>
          <cell r="N50" t="str">
            <v/>
          </cell>
          <cell r="O50">
            <v>0</v>
          </cell>
          <cell r="P50" t="str">
            <v>xxx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I50" t="str">
            <v>S01</v>
          </cell>
          <cell r="AJ50" t="str">
            <v xml:space="preserve">Production Plant </v>
          </cell>
          <cell r="AK50">
            <v>0</v>
          </cell>
          <cell r="AL50">
            <v>3.9769999999999999</v>
          </cell>
          <cell r="BD50" t="str">
            <v>No. of Customer Bills</v>
          </cell>
          <cell r="BG50">
            <v>2417371</v>
          </cell>
          <cell r="BH50">
            <v>339736</v>
          </cell>
          <cell r="BI50">
            <v>32183</v>
          </cell>
          <cell r="BJ50">
            <v>264</v>
          </cell>
          <cell r="BK50">
            <v>28803</v>
          </cell>
          <cell r="BL50">
            <v>3949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</row>
        <row r="51">
          <cell r="J51">
            <v>51</v>
          </cell>
          <cell r="L51" t="str">
            <v>Total Steam Operation</v>
          </cell>
          <cell r="N51" t="str">
            <v/>
          </cell>
          <cell r="Q51">
            <v>25903000</v>
          </cell>
          <cell r="R51">
            <v>25903000</v>
          </cell>
          <cell r="S51">
            <v>11762106.54368419</v>
          </cell>
          <cell r="T51">
            <v>2194577.0767319789</v>
          </cell>
          <cell r="U51">
            <v>6714913.5434499094</v>
          </cell>
          <cell r="V51">
            <v>4591011.1945078252</v>
          </cell>
          <cell r="W51">
            <v>539279.63676821231</v>
          </cell>
          <cell r="X51">
            <v>101112.00485788738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I51" t="str">
            <v>xxx</v>
          </cell>
          <cell r="AJ51" t="str">
            <v>Open</v>
          </cell>
          <cell r="AK51">
            <v>0</v>
          </cell>
          <cell r="AL51">
            <v>0</v>
          </cell>
          <cell r="BD51" t="str">
            <v>No. of Customers (Average)</v>
          </cell>
          <cell r="BG51">
            <v>201447.58333333334</v>
          </cell>
          <cell r="BH51">
            <v>28311.333333333332</v>
          </cell>
          <cell r="BI51">
            <v>2681.9166666666665</v>
          </cell>
          <cell r="BJ51">
            <v>22</v>
          </cell>
          <cell r="BK51">
            <v>2400.25</v>
          </cell>
          <cell r="BL51">
            <v>329.08333333333331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J52">
            <v>52</v>
          </cell>
          <cell r="K52" t="str">
            <v>510-MT</v>
          </cell>
          <cell r="L52" t="str">
            <v>Steam</v>
          </cell>
          <cell r="M52" t="str">
            <v>Supervision &amp; Engineering</v>
          </cell>
          <cell r="O52" t="str">
            <v>P01</v>
          </cell>
          <cell r="P52" t="str">
            <v/>
          </cell>
          <cell r="Q52">
            <v>394000</v>
          </cell>
        </row>
        <row r="53">
          <cell r="J53">
            <v>53</v>
          </cell>
          <cell r="L53" t="str">
            <v>P</v>
          </cell>
          <cell r="M53" t="str">
            <v>Coincident Peak</v>
          </cell>
          <cell r="N53" t="str">
            <v/>
          </cell>
          <cell r="O53">
            <v>34.200000000000003</v>
          </cell>
          <cell r="P53" t="str">
            <v>D01</v>
          </cell>
          <cell r="R53">
            <v>134748.00000000003</v>
          </cell>
          <cell r="S53">
            <v>67150.2440190958</v>
          </cell>
          <cell r="T53">
            <v>10488.845271189717</v>
          </cell>
          <cell r="U53">
            <v>32960.965549452776</v>
          </cell>
          <cell r="V53">
            <v>21425.051215492196</v>
          </cell>
          <cell r="W53">
            <v>2395.3539186318585</v>
          </cell>
          <cell r="X53">
            <v>327.54002613768552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J54">
            <v>54</v>
          </cell>
          <cell r="L54" t="str">
            <v>P</v>
          </cell>
          <cell r="M54" t="str">
            <v>Generation Level Consumption</v>
          </cell>
          <cell r="N54" t="str">
            <v/>
          </cell>
          <cell r="O54">
            <v>65.8</v>
          </cell>
          <cell r="P54" t="str">
            <v>E02</v>
          </cell>
          <cell r="R54">
            <v>259252</v>
          </cell>
          <cell r="S54">
            <v>111758.37576284338</v>
          </cell>
          <cell r="T54">
            <v>22891.974256756843</v>
          </cell>
          <cell r="U54">
            <v>69176.85385830942</v>
          </cell>
          <cell r="V54">
            <v>48406.9532100988</v>
          </cell>
          <cell r="W54">
            <v>5807.4093476568205</v>
          </cell>
          <cell r="X54">
            <v>1210.4335643347549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I54" t="str">
            <v>Class</v>
          </cell>
          <cell r="AJ54" t="str">
            <v>Factor Name</v>
          </cell>
          <cell r="AK54" t="str">
            <v>V01</v>
          </cell>
          <cell r="AL54" t="str">
            <v>V02</v>
          </cell>
          <cell r="AM54" t="str">
            <v>V03</v>
          </cell>
          <cell r="AN54" t="str">
            <v>V04</v>
          </cell>
          <cell r="BD54" t="str">
            <v>Avg Customers-All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1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 t="str">
            <v>Unweighted</v>
          </cell>
        </row>
        <row r="55">
          <cell r="J55">
            <v>55</v>
          </cell>
          <cell r="L55" t="str">
            <v>P</v>
          </cell>
          <cell r="M55" t="str">
            <v>Open</v>
          </cell>
          <cell r="N55" t="str">
            <v/>
          </cell>
          <cell r="O55">
            <v>0</v>
          </cell>
          <cell r="P55" t="str">
            <v>xxx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J55" t="str">
            <v>Total Factor</v>
          </cell>
          <cell r="AK55">
            <v>100</v>
          </cell>
          <cell r="AL55">
            <v>100</v>
          </cell>
          <cell r="AM55">
            <v>100</v>
          </cell>
          <cell r="AN55">
            <v>0</v>
          </cell>
          <cell r="BD55" t="str">
            <v>Avg Customers-Secondary</v>
          </cell>
          <cell r="BG55">
            <v>1</v>
          </cell>
          <cell r="BH55">
            <v>1</v>
          </cell>
          <cell r="BI55">
            <v>1</v>
          </cell>
          <cell r="BJ55">
            <v>0</v>
          </cell>
          <cell r="BK55">
            <v>1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 t="str">
            <v>Unweighted Secondary w/o Lighting</v>
          </cell>
        </row>
        <row r="56">
          <cell r="J56">
            <v>56</v>
          </cell>
          <cell r="L56" t="str">
            <v>P</v>
          </cell>
          <cell r="M56" t="str">
            <v>Open</v>
          </cell>
          <cell r="N56" t="str">
            <v/>
          </cell>
          <cell r="O56">
            <v>0</v>
          </cell>
          <cell r="P56" t="str">
            <v>xxx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I56" t="str">
            <v>E02</v>
          </cell>
          <cell r="AJ56" t="str">
            <v>Generation Level Consumption</v>
          </cell>
          <cell r="AK56">
            <v>100</v>
          </cell>
          <cell r="AL56">
            <v>0</v>
          </cell>
          <cell r="AM56">
            <v>50</v>
          </cell>
          <cell r="BD56" t="str">
            <v>Wt Customers-Meter Reading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 t="str">
            <v>Est. Meter Reading Time</v>
          </cell>
        </row>
        <row r="57">
          <cell r="J57">
            <v>57</v>
          </cell>
          <cell r="K57" t="str">
            <v>511-MT</v>
          </cell>
          <cell r="L57" t="str">
            <v>Steam</v>
          </cell>
          <cell r="M57" t="str">
            <v>Structures</v>
          </cell>
          <cell r="O57" t="str">
            <v>P01</v>
          </cell>
          <cell r="P57" t="str">
            <v/>
          </cell>
          <cell r="Q57">
            <v>472000</v>
          </cell>
          <cell r="AI57" t="str">
            <v>C01</v>
          </cell>
          <cell r="AJ57" t="str">
            <v>Avg Customers-All</v>
          </cell>
          <cell r="AK57">
            <v>0</v>
          </cell>
          <cell r="AL57">
            <v>100</v>
          </cell>
          <cell r="AM57">
            <v>50</v>
          </cell>
          <cell r="BD57" t="str">
            <v>Wt Customers-Meters</v>
          </cell>
          <cell r="BG57">
            <v>1</v>
          </cell>
          <cell r="BH57">
            <v>2.72</v>
          </cell>
          <cell r="BI57">
            <v>14.27</v>
          </cell>
          <cell r="BJ57">
            <v>34.799999999999997</v>
          </cell>
          <cell r="BK57">
            <v>5.13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 t="str">
            <v>Proportion Installed Meter Costs</v>
          </cell>
        </row>
        <row r="58">
          <cell r="J58">
            <v>58</v>
          </cell>
          <cell r="L58" t="str">
            <v>P</v>
          </cell>
          <cell r="M58" t="str">
            <v>Coincident Peak</v>
          </cell>
          <cell r="N58" t="str">
            <v/>
          </cell>
          <cell r="O58">
            <v>34.200000000000003</v>
          </cell>
          <cell r="P58" t="str">
            <v>D01</v>
          </cell>
          <cell r="R58">
            <v>161424.00000000003</v>
          </cell>
          <cell r="S58">
            <v>80443.947149779735</v>
          </cell>
          <cell r="T58">
            <v>12565.3171776689</v>
          </cell>
          <cell r="U58">
            <v>39486.232840968805</v>
          </cell>
          <cell r="V58">
            <v>25666.558816528723</v>
          </cell>
          <cell r="W58">
            <v>2869.5610395792824</v>
          </cell>
          <cell r="X58">
            <v>392.38297547458768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I58" t="str">
            <v>xxx</v>
          </cell>
          <cell r="AJ58" t="str">
            <v>Open</v>
          </cell>
          <cell r="AK58">
            <v>0</v>
          </cell>
          <cell r="AL58">
            <v>0</v>
          </cell>
          <cell r="BD58" t="str">
            <v>DA Street &amp; Area Lights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1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 t="str">
            <v>Direct Assigned to Street &amp; Area Lights</v>
          </cell>
        </row>
        <row r="59">
          <cell r="J59">
            <v>59</v>
          </cell>
          <cell r="L59" t="str">
            <v>P</v>
          </cell>
          <cell r="M59" t="str">
            <v>Generation Level Consumption</v>
          </cell>
          <cell r="N59" t="str">
            <v/>
          </cell>
          <cell r="O59">
            <v>65.8</v>
          </cell>
          <cell r="P59" t="str">
            <v>E02</v>
          </cell>
          <cell r="R59">
            <v>310576</v>
          </cell>
          <cell r="S59">
            <v>133883.13035548752</v>
          </cell>
          <cell r="T59">
            <v>27423.887942104644</v>
          </cell>
          <cell r="U59">
            <v>82871.764013000124</v>
          </cell>
          <cell r="V59">
            <v>57990.055622250336</v>
          </cell>
          <cell r="W59">
            <v>6957.0995230812669</v>
          </cell>
          <cell r="X59">
            <v>1450.0625440761532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BD59" t="str">
            <v>DA Handbilled</v>
          </cell>
          <cell r="BG59">
            <v>0</v>
          </cell>
          <cell r="BH59">
            <v>0</v>
          </cell>
          <cell r="BI59">
            <v>0</v>
          </cell>
          <cell r="BJ59">
            <v>1</v>
          </cell>
          <cell r="BK59">
            <v>0</v>
          </cell>
          <cell r="BL59">
            <v>0</v>
          </cell>
          <cell r="BM59">
            <v>1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 t="str">
            <v>Direct Assigned to Handbilled Customers</v>
          </cell>
        </row>
        <row r="60">
          <cell r="J60">
            <v>60</v>
          </cell>
          <cell r="L60" t="str">
            <v>P</v>
          </cell>
          <cell r="M60" t="str">
            <v>Open</v>
          </cell>
          <cell r="N60" t="str">
            <v/>
          </cell>
          <cell r="O60">
            <v>0</v>
          </cell>
          <cell r="P60" t="str">
            <v>xxx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BD60" t="str">
            <v>Open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 t="str">
            <v>Open</v>
          </cell>
        </row>
        <row r="61">
          <cell r="J61">
            <v>61</v>
          </cell>
          <cell r="L61" t="str">
            <v>P</v>
          </cell>
          <cell r="M61" t="str">
            <v>Open</v>
          </cell>
          <cell r="N61" t="str">
            <v/>
          </cell>
          <cell r="O61">
            <v>0</v>
          </cell>
          <cell r="P61" t="str">
            <v>xxx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I61" t="str">
            <v>Class</v>
          </cell>
          <cell r="AJ61" t="str">
            <v>Factor Name</v>
          </cell>
          <cell r="AK61" t="str">
            <v>M01</v>
          </cell>
          <cell r="AL61" t="str">
            <v>M02</v>
          </cell>
          <cell r="AM61" t="str">
            <v>M03</v>
          </cell>
          <cell r="AN61" t="str">
            <v>M04</v>
          </cell>
        </row>
        <row r="62">
          <cell r="J62">
            <v>62</v>
          </cell>
          <cell r="K62" t="str">
            <v>512-MT</v>
          </cell>
          <cell r="L62" t="str">
            <v>Steam</v>
          </cell>
          <cell r="M62" t="str">
            <v>Boiler Plant</v>
          </cell>
          <cell r="O62" t="str">
            <v>P01</v>
          </cell>
          <cell r="P62" t="str">
            <v/>
          </cell>
          <cell r="Q62">
            <v>3999000</v>
          </cell>
          <cell r="AJ62" t="str">
            <v>Total Factor</v>
          </cell>
          <cell r="AK62">
            <v>100</v>
          </cell>
          <cell r="AL62">
            <v>100</v>
          </cell>
          <cell r="AM62">
            <v>100</v>
          </cell>
          <cell r="AN62">
            <v>100</v>
          </cell>
        </row>
        <row r="63">
          <cell r="J63">
            <v>63</v>
          </cell>
          <cell r="L63" t="str">
            <v>P</v>
          </cell>
          <cell r="M63" t="str">
            <v>Coincident Peak</v>
          </cell>
          <cell r="N63" t="str">
            <v/>
          </cell>
          <cell r="O63">
            <v>34.200000000000003</v>
          </cell>
          <cell r="P63" t="str">
            <v>D01</v>
          </cell>
          <cell r="R63">
            <v>1367658</v>
          </cell>
          <cell r="S63">
            <v>681557.9335846802</v>
          </cell>
          <cell r="T63">
            <v>106459.11735910576</v>
          </cell>
          <cell r="U63">
            <v>334545.43459964881</v>
          </cell>
          <cell r="V63">
            <v>217458.832006988</v>
          </cell>
          <cell r="W63">
            <v>24312.234316265993</v>
          </cell>
          <cell r="X63">
            <v>3324.448133311178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I63" t="str">
            <v>S05</v>
          </cell>
          <cell r="AJ63" t="str">
            <v>P/T/D Plant</v>
          </cell>
          <cell r="AK63">
            <v>100</v>
          </cell>
          <cell r="AL63">
            <v>0</v>
          </cell>
          <cell r="AM63">
            <v>0</v>
          </cell>
          <cell r="AN63">
            <v>0</v>
          </cell>
          <cell r="BD63" t="str">
            <v>Retail Sales Revenue</v>
          </cell>
          <cell r="BG63">
            <v>198459000</v>
          </cell>
          <cell r="BH63">
            <v>55514000</v>
          </cell>
          <cell r="BI63">
            <v>126921000</v>
          </cell>
          <cell r="BJ63">
            <v>58190000</v>
          </cell>
          <cell r="BK63">
            <v>9439000</v>
          </cell>
          <cell r="BL63">
            <v>6582000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 t="str">
            <v>Input Revenue From Rates</v>
          </cell>
        </row>
        <row r="64">
          <cell r="J64">
            <v>64</v>
          </cell>
          <cell r="L64" t="str">
            <v>P</v>
          </cell>
          <cell r="M64" t="str">
            <v>Generation Level Consumption</v>
          </cell>
          <cell r="N64" t="str">
            <v/>
          </cell>
          <cell r="O64">
            <v>65.8</v>
          </cell>
          <cell r="P64" t="str">
            <v>E02</v>
          </cell>
          <cell r="R64">
            <v>2631342</v>
          </cell>
          <cell r="S64">
            <v>1134319.1489228697</v>
          </cell>
          <cell r="T64">
            <v>232347.72856033151</v>
          </cell>
          <cell r="U64">
            <v>702127.50908471923</v>
          </cell>
          <cell r="V64">
            <v>491318.28905376926</v>
          </cell>
          <cell r="W64">
            <v>58943.730916953362</v>
          </cell>
          <cell r="X64">
            <v>12285.59346135707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I64" t="str">
            <v>S21</v>
          </cell>
          <cell r="AJ64" t="str">
            <v>Labor P/T/D Total</v>
          </cell>
          <cell r="AK64">
            <v>0</v>
          </cell>
          <cell r="AL64">
            <v>0</v>
          </cell>
          <cell r="AM64">
            <v>100</v>
          </cell>
          <cell r="AN64">
            <v>0</v>
          </cell>
          <cell r="BG64">
            <v>0.43607299414420847</v>
          </cell>
          <cell r="BH64">
            <v>0.12198064182990738</v>
          </cell>
          <cell r="BI64">
            <v>0.2788828951560629</v>
          </cell>
          <cell r="BJ64">
            <v>0.12786060359697213</v>
          </cell>
          <cell r="BK64">
            <v>2.074026872919436E-2</v>
          </cell>
          <cell r="BL64">
            <v>1.4462596543654761E-2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</row>
        <row r="65">
          <cell r="J65">
            <v>65</v>
          </cell>
          <cell r="L65" t="str">
            <v>P</v>
          </cell>
          <cell r="M65" t="str">
            <v>Open</v>
          </cell>
          <cell r="N65" t="str">
            <v/>
          </cell>
          <cell r="O65">
            <v>0</v>
          </cell>
          <cell r="P65" t="str">
            <v>xxx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I65" t="str">
            <v>S22</v>
          </cell>
          <cell r="AJ65" t="str">
            <v>Labor O&amp;M excl A&amp;G</v>
          </cell>
          <cell r="AK65">
            <v>0</v>
          </cell>
          <cell r="AL65">
            <v>100</v>
          </cell>
          <cell r="AM65">
            <v>0</v>
          </cell>
          <cell r="AN65">
            <v>0</v>
          </cell>
          <cell r="BD65" t="str">
            <v>Open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 t="str">
            <v>Open</v>
          </cell>
        </row>
        <row r="66">
          <cell r="J66">
            <v>66</v>
          </cell>
          <cell r="L66" t="str">
            <v>P</v>
          </cell>
          <cell r="M66" t="str">
            <v>Open</v>
          </cell>
          <cell r="N66" t="str">
            <v/>
          </cell>
          <cell r="O66">
            <v>0</v>
          </cell>
          <cell r="P66" t="str">
            <v>xxx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I66" t="str">
            <v>S23</v>
          </cell>
          <cell r="AJ66" t="str">
            <v>Corporate Cost Allocator</v>
          </cell>
          <cell r="AK66">
            <v>0</v>
          </cell>
          <cell r="AL66">
            <v>0</v>
          </cell>
          <cell r="AM66">
            <v>0</v>
          </cell>
          <cell r="AN66">
            <v>100</v>
          </cell>
          <cell r="BD66" t="str">
            <v>Open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 t="str">
            <v>Open</v>
          </cell>
        </row>
        <row r="67">
          <cell r="J67">
            <v>67</v>
          </cell>
          <cell r="K67" t="str">
            <v>513-MT</v>
          </cell>
          <cell r="L67" t="str">
            <v>Steam</v>
          </cell>
          <cell r="M67" t="str">
            <v>Electric Plant</v>
          </cell>
          <cell r="O67" t="str">
            <v>P01</v>
          </cell>
          <cell r="P67" t="str">
            <v/>
          </cell>
          <cell r="Q67">
            <v>932000</v>
          </cell>
        </row>
        <row r="68">
          <cell r="J68">
            <v>68</v>
          </cell>
          <cell r="L68" t="str">
            <v>P</v>
          </cell>
          <cell r="M68" t="str">
            <v>Coincident Peak</v>
          </cell>
          <cell r="N68" t="str">
            <v/>
          </cell>
          <cell r="O68">
            <v>34.200000000000003</v>
          </cell>
          <cell r="P68" t="str">
            <v>D01</v>
          </cell>
          <cell r="R68">
            <v>318744.00000000006</v>
          </cell>
          <cell r="S68">
            <v>158842.70920253117</v>
          </cell>
          <cell r="T68">
            <v>24811.177138956384</v>
          </cell>
          <cell r="U68">
            <v>77968.578406319764</v>
          </cell>
          <cell r="V68">
            <v>50680.57800212875</v>
          </cell>
          <cell r="W68">
            <v>5666.1671374743455</v>
          </cell>
          <cell r="X68">
            <v>774.79011258965204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J69">
            <v>69</v>
          </cell>
          <cell r="L69" t="str">
            <v>P</v>
          </cell>
          <cell r="M69" t="str">
            <v>Generation Level Consumption</v>
          </cell>
          <cell r="N69" t="str">
            <v/>
          </cell>
          <cell r="O69">
            <v>65.8</v>
          </cell>
          <cell r="P69" t="str">
            <v>E02</v>
          </cell>
          <cell r="R69">
            <v>613256</v>
          </cell>
          <cell r="S69">
            <v>264362.45231210667</v>
          </cell>
          <cell r="T69">
            <v>54150.558394155785</v>
          </cell>
          <cell r="U69">
            <v>163636.61877143243</v>
          </cell>
          <cell r="V69">
            <v>114505.78779647737</v>
          </cell>
          <cell r="W69">
            <v>13737.323634558774</v>
          </cell>
          <cell r="X69">
            <v>2863.2590912690143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BD69" t="str">
            <v>Total Revenue</v>
          </cell>
          <cell r="BG69">
            <v>229635133.16924402</v>
          </cell>
          <cell r="BH69">
            <v>61361444.562880397</v>
          </cell>
          <cell r="BI69">
            <v>144462023.67387211</v>
          </cell>
          <cell r="BJ69">
            <v>69748990.175432593</v>
          </cell>
          <cell r="BK69">
            <v>10865408.144340156</v>
          </cell>
          <cell r="BL69">
            <v>7010000.2742307065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 t="str">
            <v>- line 844</v>
          </cell>
        </row>
        <row r="70">
          <cell r="J70">
            <v>70</v>
          </cell>
          <cell r="L70" t="str">
            <v>P</v>
          </cell>
          <cell r="M70" t="str">
            <v>Open</v>
          </cell>
          <cell r="N70" t="str">
            <v/>
          </cell>
          <cell r="O70">
            <v>0</v>
          </cell>
          <cell r="P70" t="str">
            <v>xxx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BD70" t="str">
            <v>Less: Exp Before Income Tax</v>
          </cell>
          <cell r="BG70">
            <v>191536134.06071267</v>
          </cell>
          <cell r="BH70">
            <v>37092302.053387903</v>
          </cell>
          <cell r="BI70">
            <v>98700563.613973543</v>
          </cell>
          <cell r="BJ70">
            <v>59403203.710164271</v>
          </cell>
          <cell r="BK70">
            <v>8406574.0248372816</v>
          </cell>
          <cell r="BL70">
            <v>4628222.5369243743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 t="str">
            <v>line 804</v>
          </cell>
        </row>
        <row r="71">
          <cell r="J71">
            <v>71</v>
          </cell>
          <cell r="L71" t="str">
            <v>P</v>
          </cell>
          <cell r="M71" t="str">
            <v>Open</v>
          </cell>
          <cell r="N71" t="str">
            <v/>
          </cell>
          <cell r="O71">
            <v>0</v>
          </cell>
          <cell r="P71" t="str">
            <v>xxx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BD71" t="str">
            <v>Less: Interest Expense</v>
          </cell>
          <cell r="BG71">
            <v>17181346.670125604</v>
          </cell>
          <cell r="BH71">
            <v>3343002.0819847616</v>
          </cell>
          <cell r="BI71">
            <v>8734213.0037819017</v>
          </cell>
          <cell r="BJ71">
            <v>4168634.3811496533</v>
          </cell>
          <cell r="BK71">
            <v>776754.23117437144</v>
          </cell>
          <cell r="BL71">
            <v>668049.63178370497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 t="str">
            <v>line 1479</v>
          </cell>
        </row>
        <row r="72">
          <cell r="J72">
            <v>72</v>
          </cell>
          <cell r="K72" t="str">
            <v>514-MT</v>
          </cell>
          <cell r="L72" t="str">
            <v>Steam</v>
          </cell>
          <cell r="M72" t="str">
            <v>Miscellaneous Plant</v>
          </cell>
          <cell r="O72" t="str">
            <v>P01</v>
          </cell>
          <cell r="P72" t="str">
            <v/>
          </cell>
          <cell r="Q72">
            <v>564000</v>
          </cell>
          <cell r="BD72" t="str">
            <v xml:space="preserve">Income Tax Allocator A </v>
          </cell>
          <cell r="BG72">
            <v>20917652.438405752</v>
          </cell>
          <cell r="BH72">
            <v>20926140.427507732</v>
          </cell>
          <cell r="BI72">
            <v>37027247.05611667</v>
          </cell>
          <cell r="BJ72">
            <v>6177152.084118668</v>
          </cell>
          <cell r="BK72">
            <v>1682079.8883285027</v>
          </cell>
          <cell r="BL72">
            <v>1713728.1055226272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 t="str">
            <v>Rev - Exp before Inc Tax - Interest Exp</v>
          </cell>
        </row>
        <row r="73">
          <cell r="J73">
            <v>73</v>
          </cell>
          <cell r="L73" t="str">
            <v>P</v>
          </cell>
          <cell r="M73" t="str">
            <v>Coincident Peak</v>
          </cell>
          <cell r="N73" t="str">
            <v/>
          </cell>
          <cell r="O73">
            <v>34.200000000000003</v>
          </cell>
          <cell r="P73" t="str">
            <v>D01</v>
          </cell>
          <cell r="R73">
            <v>192888</v>
          </cell>
          <cell r="S73">
            <v>96123.699560330002</v>
          </cell>
          <cell r="T73">
            <v>15014.489169926394</v>
          </cell>
          <cell r="U73">
            <v>47182.701954038988</v>
          </cell>
          <cell r="V73">
            <v>30669.362653648721</v>
          </cell>
          <cell r="W73">
            <v>3428.8822591582943</v>
          </cell>
          <cell r="X73">
            <v>468.86440289760048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BG73">
            <v>0.23650730901367828</v>
          </cell>
          <cell r="BH73">
            <v>0.23660327922196805</v>
          </cell>
          <cell r="BI73">
            <v>0.41865188205097792</v>
          </cell>
          <cell r="BJ73">
            <v>6.9842522772812984E-2</v>
          </cell>
          <cell r="BK73">
            <v>1.9018586770481925E-2</v>
          </cell>
          <cell r="BL73">
            <v>1.9376420170080819E-2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</row>
        <row r="74">
          <cell r="J74">
            <v>74</v>
          </cell>
          <cell r="L74" t="str">
            <v>P</v>
          </cell>
          <cell r="M74" t="str">
            <v>Generation Level Consumption</v>
          </cell>
          <cell r="N74" t="str">
            <v/>
          </cell>
          <cell r="O74">
            <v>65.8</v>
          </cell>
          <cell r="P74" t="str">
            <v>E02</v>
          </cell>
          <cell r="R74">
            <v>371112</v>
          </cell>
          <cell r="S74">
            <v>159978.99474681134</v>
          </cell>
          <cell r="T74">
            <v>32769.222032514874</v>
          </cell>
          <cell r="U74">
            <v>99024.734964686591</v>
          </cell>
          <cell r="V74">
            <v>69293.202057095739</v>
          </cell>
          <cell r="W74">
            <v>8313.1443453767679</v>
          </cell>
          <cell r="X74">
            <v>1732.7018535147254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J75">
            <v>75</v>
          </cell>
          <cell r="L75" t="str">
            <v>P</v>
          </cell>
          <cell r="M75" t="str">
            <v>Open</v>
          </cell>
          <cell r="N75" t="str">
            <v/>
          </cell>
          <cell r="O75">
            <v>0</v>
          </cell>
          <cell r="P75" t="str">
            <v>xxx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BD75" t="str">
            <v>Uniform Return</v>
          </cell>
          <cell r="BG75">
            <v>46263308.374382138</v>
          </cell>
          <cell r="BH75">
            <v>9001525.8515199907</v>
          </cell>
          <cell r="BI75">
            <v>23518155.902417786</v>
          </cell>
          <cell r="BJ75">
            <v>11224662.512078175</v>
          </cell>
          <cell r="BK75">
            <v>2091525.2580526248</v>
          </cell>
          <cell r="BL75">
            <v>1798822.1015492752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 t="str">
            <v>Juris Total Return * Class Rate Base line 1473</v>
          </cell>
        </row>
        <row r="76">
          <cell r="J76">
            <v>76</v>
          </cell>
          <cell r="L76" t="str">
            <v>P</v>
          </cell>
          <cell r="M76" t="str">
            <v>Open</v>
          </cell>
          <cell r="N76" t="str">
            <v/>
          </cell>
          <cell r="O76">
            <v>0</v>
          </cell>
          <cell r="P76" t="str">
            <v>xxx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BD76" t="str">
            <v>Plus: Total Operating Expenses</v>
          </cell>
          <cell r="BG76">
            <v>198493706.07727706</v>
          </cell>
          <cell r="BH76">
            <v>44052697.32153976</v>
          </cell>
          <cell r="BI76">
            <v>111016464.68014921</v>
          </cell>
          <cell r="BJ76">
            <v>61457831.045094885</v>
          </cell>
          <cell r="BK76">
            <v>8966062.8104513194</v>
          </cell>
          <cell r="BL76">
            <v>5198238.0654878113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 t="str">
            <v>line 816</v>
          </cell>
        </row>
        <row r="77">
          <cell r="J77">
            <v>77</v>
          </cell>
          <cell r="L77" t="str">
            <v>Total Steam Maintenance</v>
          </cell>
          <cell r="N77" t="str">
            <v/>
          </cell>
          <cell r="Q77">
            <v>6361000</v>
          </cell>
          <cell r="R77">
            <v>6361000</v>
          </cell>
          <cell r="S77">
            <v>2888420.6356165353</v>
          </cell>
          <cell r="T77">
            <v>538922.31730271084</v>
          </cell>
          <cell r="U77">
            <v>1648981.3940425771</v>
          </cell>
          <cell r="V77">
            <v>1127414.6704344777</v>
          </cell>
          <cell r="W77">
            <v>132430.90643873677</v>
          </cell>
          <cell r="X77">
            <v>24830.076164962426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BD77" t="str">
            <v>Less: Revenue Offsets</v>
          </cell>
          <cell r="BG77">
            <v>-31176133.169244017</v>
          </cell>
          <cell r="BH77">
            <v>-5847444.5628804034</v>
          </cell>
          <cell r="BI77">
            <v>-17541023.673872124</v>
          </cell>
          <cell r="BJ77">
            <v>-11558990.175432585</v>
          </cell>
          <cell r="BK77">
            <v>-1426408.1443401554</v>
          </cell>
          <cell r="BL77">
            <v>-428000.27423070732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 t="str">
            <v>sum lines 821 ~ 824 + line 842</v>
          </cell>
        </row>
        <row r="78">
          <cell r="J78">
            <v>78</v>
          </cell>
          <cell r="L78" t="str">
            <v>Total Steam</v>
          </cell>
          <cell r="N78" t="str">
            <v/>
          </cell>
          <cell r="Q78">
            <v>32264000</v>
          </cell>
          <cell r="R78">
            <v>32264000</v>
          </cell>
          <cell r="S78">
            <v>14650527.179300725</v>
          </cell>
          <cell r="T78">
            <v>2733499.3940346898</v>
          </cell>
          <cell r="U78">
            <v>8363894.9374924861</v>
          </cell>
          <cell r="V78">
            <v>5718425.8649423029</v>
          </cell>
          <cell r="W78">
            <v>671710.54320694902</v>
          </cell>
          <cell r="X78">
            <v>125942.0810228498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BD78" t="str">
            <v>Rate Revenue at Uniform Return</v>
          </cell>
          <cell r="BG78">
            <v>213580881.28241518</v>
          </cell>
          <cell r="BH78">
            <v>47206778.610179342</v>
          </cell>
          <cell r="BI78">
            <v>116993596.90869488</v>
          </cell>
          <cell r="BJ78">
            <v>61123503.381740473</v>
          </cell>
          <cell r="BK78">
            <v>9631179.9241637886</v>
          </cell>
          <cell r="BL78">
            <v>6569059.8928063791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 t="str">
            <v>Computed Uniform Return Revenue Requirement</v>
          </cell>
        </row>
        <row r="79">
          <cell r="J79">
            <v>79</v>
          </cell>
        </row>
        <row r="80">
          <cell r="J80">
            <v>80</v>
          </cell>
          <cell r="K80" t="str">
            <v>535-OP</v>
          </cell>
          <cell r="L80" t="str">
            <v>Hydro</v>
          </cell>
          <cell r="M80" t="str">
            <v>Supervision &amp; Engineering</v>
          </cell>
          <cell r="O80" t="str">
            <v>P01</v>
          </cell>
          <cell r="P80" t="str">
            <v/>
          </cell>
          <cell r="Q80">
            <v>1816000</v>
          </cell>
          <cell r="BD80" t="str">
            <v>Uniform Return</v>
          </cell>
          <cell r="BG80">
            <v>46263308.374382138</v>
          </cell>
          <cell r="BH80">
            <v>9001525.8515199907</v>
          </cell>
          <cell r="BI80">
            <v>23518155.902417786</v>
          </cell>
          <cell r="BJ80">
            <v>11224662.512078175</v>
          </cell>
          <cell r="BK80">
            <v>2091525.2580526248</v>
          </cell>
          <cell r="BL80">
            <v>1798822.1015492752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 t="str">
            <v>Total Return * Class Rate Base line 1473</v>
          </cell>
        </row>
        <row r="81">
          <cell r="J81">
            <v>81</v>
          </cell>
          <cell r="L81" t="str">
            <v>P</v>
          </cell>
          <cell r="M81" t="str">
            <v>Coincident Peak</v>
          </cell>
          <cell r="N81" t="str">
            <v/>
          </cell>
          <cell r="O81">
            <v>34.200000000000003</v>
          </cell>
          <cell r="P81" t="str">
            <v>D01</v>
          </cell>
          <cell r="R81">
            <v>621072.00000000012</v>
          </cell>
          <cell r="S81">
            <v>309504.67801694915</v>
          </cell>
          <cell r="T81">
            <v>48344.52541238712</v>
          </cell>
          <cell r="U81">
            <v>151921.60771016811</v>
          </cell>
          <cell r="V81">
            <v>98750.997480542705</v>
          </cell>
          <cell r="W81">
            <v>11040.514508211816</v>
          </cell>
          <cell r="X81">
            <v>1509.6768717412103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BD81" t="str">
            <v>Plus: Exp Excl Rev Conv Items</v>
          </cell>
          <cell r="BG81">
            <v>189206991.31565729</v>
          </cell>
          <cell r="BH81">
            <v>41454968.40384613</v>
          </cell>
          <cell r="BI81">
            <v>105077307.8555177</v>
          </cell>
          <cell r="BJ81">
            <v>58734881.055532031</v>
          </cell>
          <cell r="BK81">
            <v>8524373.0879649185</v>
          </cell>
          <cell r="BL81">
            <v>4890239.1510471404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 t="str">
            <v>line 816 - lines 323, 419, and 477</v>
          </cell>
        </row>
        <row r="82">
          <cell r="J82">
            <v>82</v>
          </cell>
          <cell r="L82" t="str">
            <v>P</v>
          </cell>
          <cell r="M82" t="str">
            <v>Generation Level Consumption</v>
          </cell>
          <cell r="N82" t="str">
            <v/>
          </cell>
          <cell r="O82">
            <v>65.8</v>
          </cell>
          <cell r="P82" t="str">
            <v>E02</v>
          </cell>
          <cell r="R82">
            <v>1194928</v>
          </cell>
          <cell r="S82">
            <v>515109.67102874006</v>
          </cell>
          <cell r="T82">
            <v>105512.24682809753</v>
          </cell>
          <cell r="U82">
            <v>318845.60052459367</v>
          </cell>
          <cell r="V82">
            <v>223114.28180086147</v>
          </cell>
          <cell r="W82">
            <v>26767.145622702501</v>
          </cell>
          <cell r="X82">
            <v>5579.054195004861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BD82" t="str">
            <v>Less: Revenue Offsets</v>
          </cell>
          <cell r="BG82">
            <v>-31176133.169244017</v>
          </cell>
          <cell r="BH82">
            <v>-5847444.5628804034</v>
          </cell>
          <cell r="BI82">
            <v>-17541023.673872124</v>
          </cell>
          <cell r="BJ82">
            <v>-11558990.175432585</v>
          </cell>
          <cell r="BK82">
            <v>-1426408.1443401554</v>
          </cell>
          <cell r="BL82">
            <v>-428000.27423070732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 t="str">
            <v>sum lines 821 ~ 824 + line 842</v>
          </cell>
        </row>
        <row r="83">
          <cell r="J83">
            <v>83</v>
          </cell>
          <cell r="L83" t="str">
            <v>P</v>
          </cell>
          <cell r="M83" t="str">
            <v>Open</v>
          </cell>
          <cell r="N83" t="str">
            <v/>
          </cell>
          <cell r="O83">
            <v>0</v>
          </cell>
          <cell r="P83" t="str">
            <v>xxx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BD83" t="str">
            <v>Revenue Conversion Allocator U</v>
          </cell>
          <cell r="BG83">
            <v>204294166.5207954</v>
          </cell>
          <cell r="BH83">
            <v>44609049.692485712</v>
          </cell>
          <cell r="BI83">
            <v>111054440.08406337</v>
          </cell>
          <cell r="BJ83">
            <v>58400553.392177619</v>
          </cell>
          <cell r="BK83">
            <v>9189490.2016773876</v>
          </cell>
          <cell r="BL83">
            <v>6261060.9783657081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 t="str">
            <v>Uniform Return Revenue Excl Rev Conversion Items</v>
          </cell>
        </row>
        <row r="84">
          <cell r="J84">
            <v>84</v>
          </cell>
          <cell r="L84" t="str">
            <v>P</v>
          </cell>
          <cell r="M84" t="str">
            <v>Open</v>
          </cell>
          <cell r="N84" t="str">
            <v/>
          </cell>
          <cell r="O84">
            <v>0</v>
          </cell>
          <cell r="P84" t="str">
            <v>xxx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BG84">
            <v>0.47093139869118783</v>
          </cell>
          <cell r="BH84">
            <v>0.10283114062304165</v>
          </cell>
          <cell r="BI84">
            <v>0.25599861068148067</v>
          </cell>
          <cell r="BJ84">
            <v>0.1346228076978305</v>
          </cell>
          <cell r="BK84">
            <v>2.1183274821967975E-2</v>
          </cell>
          <cell r="BL84">
            <v>1.4432767484491266E-2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</row>
        <row r="85">
          <cell r="J85">
            <v>85</v>
          </cell>
          <cell r="K85" t="str">
            <v>536-OP</v>
          </cell>
          <cell r="L85" t="str">
            <v>Hydro</v>
          </cell>
          <cell r="M85" t="str">
            <v>Water For Power</v>
          </cell>
          <cell r="O85" t="str">
            <v>P01</v>
          </cell>
          <cell r="P85" t="str">
            <v/>
          </cell>
          <cell r="Q85">
            <v>730000</v>
          </cell>
        </row>
        <row r="86">
          <cell r="J86">
            <v>86</v>
          </cell>
          <cell r="L86" t="str">
            <v>P</v>
          </cell>
          <cell r="M86" t="str">
            <v>Coincident Peak</v>
          </cell>
          <cell r="N86" t="str">
            <v/>
          </cell>
          <cell r="O86">
            <v>34.200000000000003</v>
          </cell>
          <cell r="P86" t="str">
            <v>D01</v>
          </cell>
          <cell r="R86">
            <v>249660.00000000003</v>
          </cell>
          <cell r="S86">
            <v>124415.42673588813</v>
          </cell>
          <cell r="T86">
            <v>19433.647329869269</v>
          </cell>
          <cell r="U86">
            <v>61069.8092667526</v>
          </cell>
          <cell r="V86">
            <v>39696.160881495693</v>
          </cell>
          <cell r="W86">
            <v>4438.0922857899914</v>
          </cell>
          <cell r="X86">
            <v>606.86350020434111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BD86" t="str">
            <v>Uniform Return</v>
          </cell>
          <cell r="BG86">
            <v>46263308.374382138</v>
          </cell>
          <cell r="BH86">
            <v>9001525.8515199907</v>
          </cell>
          <cell r="BI86">
            <v>23518155.902417786</v>
          </cell>
          <cell r="BJ86">
            <v>11224662.512078175</v>
          </cell>
          <cell r="BK86">
            <v>2091525.2580526248</v>
          </cell>
          <cell r="BL86">
            <v>1798822.1015492752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 t="str">
            <v>Total Return * Class Rate Base line 1473</v>
          </cell>
        </row>
        <row r="87">
          <cell r="J87">
            <v>87</v>
          </cell>
          <cell r="L87" t="str">
            <v>P</v>
          </cell>
          <cell r="M87" t="str">
            <v>Generation Level Consumption</v>
          </cell>
          <cell r="N87" t="str">
            <v/>
          </cell>
          <cell r="O87">
            <v>65.8</v>
          </cell>
          <cell r="P87" t="str">
            <v>E02</v>
          </cell>
          <cell r="R87">
            <v>480340</v>
          </cell>
          <cell r="S87">
            <v>207065.01093115652</v>
          </cell>
          <cell r="T87">
            <v>42414.063978255064</v>
          </cell>
          <cell r="U87">
            <v>128170.31298620782</v>
          </cell>
          <cell r="V87">
            <v>89688.009754751576</v>
          </cell>
          <cell r="W87">
            <v>10759.920872562128</v>
          </cell>
          <cell r="X87">
            <v>2242.6814770669321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BD87" t="str">
            <v>Less: Interest Expense</v>
          </cell>
          <cell r="BG87">
            <v>17181346.670125604</v>
          </cell>
          <cell r="BH87">
            <v>3343002.0819847616</v>
          </cell>
          <cell r="BI87">
            <v>8734213.0037819017</v>
          </cell>
          <cell r="BJ87">
            <v>4168634.3811496533</v>
          </cell>
          <cell r="BK87">
            <v>776754.23117437144</v>
          </cell>
          <cell r="BL87">
            <v>668049.63178370497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 t="str">
            <v>line 1479</v>
          </cell>
        </row>
        <row r="88">
          <cell r="J88">
            <v>88</v>
          </cell>
          <cell r="L88" t="str">
            <v>P</v>
          </cell>
          <cell r="M88" t="str">
            <v>Open</v>
          </cell>
          <cell r="N88" t="str">
            <v/>
          </cell>
          <cell r="O88">
            <v>0</v>
          </cell>
          <cell r="P88" t="str">
            <v>xxx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J89">
            <v>89</v>
          </cell>
          <cell r="L89" t="str">
            <v>P</v>
          </cell>
          <cell r="M89" t="str">
            <v>Open</v>
          </cell>
          <cell r="N89" t="str">
            <v/>
          </cell>
          <cell r="O89">
            <v>0</v>
          </cell>
          <cell r="P89" t="str">
            <v>xxx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J90">
            <v>90</v>
          </cell>
          <cell r="K90" t="str">
            <v>537-OP</v>
          </cell>
          <cell r="L90" t="str">
            <v>Hydro</v>
          </cell>
          <cell r="M90" t="str">
            <v>Hydraulic Expenses</v>
          </cell>
          <cell r="O90" t="str">
            <v>P01</v>
          </cell>
          <cell r="P90" t="str">
            <v/>
          </cell>
          <cell r="Q90">
            <v>4646000</v>
          </cell>
        </row>
        <row r="91">
          <cell r="J91">
            <v>91</v>
          </cell>
          <cell r="L91" t="str">
            <v>P</v>
          </cell>
          <cell r="M91" t="str">
            <v>Coincident Peak</v>
          </cell>
          <cell r="N91" t="str">
            <v/>
          </cell>
          <cell r="O91">
            <v>34.200000000000003</v>
          </cell>
          <cell r="P91" t="str">
            <v>D01</v>
          </cell>
          <cell r="R91">
            <v>1588932</v>
          </cell>
          <cell r="S91">
            <v>791827.49673278932</v>
          </cell>
          <cell r="T91">
            <v>123683.18560900359</v>
          </cell>
          <cell r="U91">
            <v>388671.69021004456</v>
          </cell>
          <cell r="V91">
            <v>252641.59377456023</v>
          </cell>
          <cell r="W91">
            <v>28245.721588740136</v>
          </cell>
          <cell r="X91">
            <v>3862.3120848621488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J92">
            <v>92</v>
          </cell>
          <cell r="L92" t="str">
            <v>P</v>
          </cell>
          <cell r="M92" t="str">
            <v>Generation Level Consumption</v>
          </cell>
          <cell r="N92" t="str">
            <v/>
          </cell>
          <cell r="O92">
            <v>65.8</v>
          </cell>
          <cell r="P92" t="str">
            <v>E02</v>
          </cell>
          <cell r="R92">
            <v>3057068</v>
          </cell>
          <cell r="S92">
            <v>1317841.1517618536</v>
          </cell>
          <cell r="T92">
            <v>269939.37156571646</v>
          </cell>
          <cell r="U92">
            <v>815725.0330601664</v>
          </cell>
          <cell r="V92">
            <v>570808.89495969296</v>
          </cell>
          <cell r="W92">
            <v>68480.263525922812</v>
          </cell>
          <cell r="X92">
            <v>14273.285126647897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J93">
            <v>93</v>
          </cell>
          <cell r="L93" t="str">
            <v>P</v>
          </cell>
          <cell r="M93" t="str">
            <v>Open</v>
          </cell>
          <cell r="N93" t="str">
            <v/>
          </cell>
          <cell r="O93">
            <v>0</v>
          </cell>
          <cell r="P93" t="str">
            <v>xxx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J94">
            <v>94</v>
          </cell>
          <cell r="L94" t="str">
            <v>P</v>
          </cell>
          <cell r="M94" t="str">
            <v>Open</v>
          </cell>
          <cell r="N94" t="str">
            <v/>
          </cell>
          <cell r="O94">
            <v>0</v>
          </cell>
          <cell r="P94" t="str">
            <v>xxx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J95">
            <v>95</v>
          </cell>
          <cell r="K95" t="str">
            <v>538-OP</v>
          </cell>
          <cell r="L95" t="str">
            <v>Hydro</v>
          </cell>
          <cell r="M95" t="str">
            <v>Electric Expenses</v>
          </cell>
          <cell r="O95" t="str">
            <v>P01</v>
          </cell>
          <cell r="P95" t="str">
            <v/>
          </cell>
          <cell r="Q95">
            <v>3978000</v>
          </cell>
          <cell r="BC95" t="str">
            <v>S01</v>
          </cell>
          <cell r="BD95" t="str">
            <v xml:space="preserve">Production Plant </v>
          </cell>
          <cell r="BG95">
            <v>351949127.65158904</v>
          </cell>
          <cell r="BH95">
            <v>65666765.119954914</v>
          </cell>
          <cell r="BI95">
            <v>200925570.18555865</v>
          </cell>
          <cell r="BJ95">
            <v>137373554.55374059</v>
          </cell>
          <cell r="BK95">
            <v>16136480.061282311</v>
          </cell>
          <cell r="BL95">
            <v>3025502.4278746392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 t="str">
            <v>line 893</v>
          </cell>
        </row>
        <row r="96">
          <cell r="J96">
            <v>96</v>
          </cell>
          <cell r="L96" t="str">
            <v>P</v>
          </cell>
          <cell r="M96" t="str">
            <v>Coincident Peak</v>
          </cell>
          <cell r="N96" t="str">
            <v/>
          </cell>
          <cell r="O96">
            <v>34.200000000000003</v>
          </cell>
          <cell r="P96" t="str">
            <v>D01</v>
          </cell>
          <cell r="R96">
            <v>1360476</v>
          </cell>
          <cell r="S96">
            <v>677978.85966488079</v>
          </cell>
          <cell r="T96">
            <v>105900.06723043829</v>
          </cell>
          <cell r="U96">
            <v>332788.63186731754</v>
          </cell>
          <cell r="V96">
            <v>216316.88765286279</v>
          </cell>
          <cell r="W96">
            <v>24184.563168318607</v>
          </cell>
          <cell r="X96">
            <v>3306.9904161820118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BG96">
            <v>0.45408279132471863</v>
          </cell>
          <cell r="BH96">
            <v>8.472289220291003E-2</v>
          </cell>
          <cell r="BI96">
            <v>0.2592330441821375</v>
          </cell>
          <cell r="BJ96">
            <v>0.17723858991266744</v>
          </cell>
          <cell r="BK96">
            <v>2.0819196107331666E-2</v>
          </cell>
          <cell r="BL96">
            <v>3.9034862702346197E-3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</row>
        <row r="97">
          <cell r="J97">
            <v>97</v>
          </cell>
          <cell r="L97" t="str">
            <v>P</v>
          </cell>
          <cell r="M97" t="str">
            <v>Generation Level Consumption</v>
          </cell>
          <cell r="N97" t="str">
            <v/>
          </cell>
          <cell r="O97">
            <v>65.8</v>
          </cell>
          <cell r="P97" t="str">
            <v>E02</v>
          </cell>
          <cell r="R97">
            <v>2617524</v>
          </cell>
          <cell r="S97">
            <v>1128362.4842248503</v>
          </cell>
          <cell r="T97">
            <v>231127.59795273788</v>
          </cell>
          <cell r="U97">
            <v>698440.41788922565</v>
          </cell>
          <cell r="V97">
            <v>488738.2230197285</v>
          </cell>
          <cell r="W97">
            <v>58634.198946646778</v>
          </cell>
          <cell r="X97">
            <v>12221.077966811308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BC97" t="str">
            <v>S02</v>
          </cell>
          <cell r="BD97" t="str">
            <v>Transmission Plant</v>
          </cell>
          <cell r="BG97">
            <v>151403008.78023571</v>
          </cell>
          <cell r="BH97">
            <v>28248815.055647489</v>
          </cell>
          <cell r="BI97">
            <v>86435036.989473373</v>
          </cell>
          <cell r="BJ97">
            <v>59095954.080221057</v>
          </cell>
          <cell r="BK97">
            <v>6941661.28128317</v>
          </cell>
          <cell r="BL97">
            <v>1301523.8131392484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 t="str">
            <v>line 932</v>
          </cell>
        </row>
        <row r="98">
          <cell r="J98">
            <v>98</v>
          </cell>
          <cell r="L98" t="str">
            <v>P</v>
          </cell>
          <cell r="M98" t="str">
            <v>Open</v>
          </cell>
          <cell r="N98" t="str">
            <v/>
          </cell>
          <cell r="O98">
            <v>0</v>
          </cell>
          <cell r="P98" t="str">
            <v>xxx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BG98">
            <v>0.45408279132471879</v>
          </cell>
          <cell r="BH98">
            <v>8.4722892202910044E-2</v>
          </cell>
          <cell r="BI98">
            <v>0.25923304418213744</v>
          </cell>
          <cell r="BJ98">
            <v>0.17723858991266742</v>
          </cell>
          <cell r="BK98">
            <v>2.0819196107331669E-2</v>
          </cell>
          <cell r="BL98">
            <v>3.9034862702346193E-3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</row>
        <row r="99">
          <cell r="J99">
            <v>99</v>
          </cell>
          <cell r="L99" t="str">
            <v>P</v>
          </cell>
          <cell r="M99" t="str">
            <v>Open</v>
          </cell>
          <cell r="N99" t="str">
            <v/>
          </cell>
          <cell r="O99">
            <v>0</v>
          </cell>
          <cell r="P99" t="str">
            <v>xxx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BC99" t="str">
            <v>S03</v>
          </cell>
          <cell r="BD99" t="str">
            <v>Distribution Plant</v>
          </cell>
          <cell r="BG99">
            <v>377267678.89115131</v>
          </cell>
          <cell r="BH99">
            <v>76499108.077935427</v>
          </cell>
          <cell r="BI99">
            <v>164018215.42208663</v>
          </cell>
          <cell r="BJ99">
            <v>25510159.121658944</v>
          </cell>
          <cell r="BK99">
            <v>16701655.117546072</v>
          </cell>
          <cell r="BL99">
            <v>35189183.369621739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 t="str">
            <v>line 1089</v>
          </cell>
        </row>
        <row r="100">
          <cell r="J100">
            <v>100</v>
          </cell>
          <cell r="K100" t="str">
            <v>539-OP</v>
          </cell>
          <cell r="L100" t="str">
            <v>Hydro</v>
          </cell>
          <cell r="M100" t="str">
            <v>Miscellaneous Power Exp.</v>
          </cell>
          <cell r="O100" t="str">
            <v>P01</v>
          </cell>
          <cell r="P100" t="str">
            <v/>
          </cell>
          <cell r="Q100">
            <v>470000</v>
          </cell>
          <cell r="BG100">
            <v>0.54268595583218193</v>
          </cell>
          <cell r="BH100">
            <v>0.11004120922736564</v>
          </cell>
          <cell r="BI100">
            <v>0.23593429013542649</v>
          </cell>
          <cell r="BJ100">
            <v>3.6695444271977483E-2</v>
          </cell>
          <cell r="BK100">
            <v>2.4024728802861491E-2</v>
          </cell>
          <cell r="BL100">
            <v>5.0618371730186934E-2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</row>
        <row r="101">
          <cell r="J101">
            <v>101</v>
          </cell>
          <cell r="L101" t="str">
            <v>P</v>
          </cell>
          <cell r="M101" t="str">
            <v>Coincident Peak</v>
          </cell>
          <cell r="N101" t="str">
            <v/>
          </cell>
          <cell r="O101">
            <v>34.200000000000003</v>
          </cell>
          <cell r="P101" t="str">
            <v>D01</v>
          </cell>
          <cell r="R101">
            <v>160740.00000000003</v>
          </cell>
          <cell r="S101">
            <v>80103.082966941685</v>
          </cell>
          <cell r="T101">
            <v>12512.074308271996</v>
          </cell>
          <cell r="U101">
            <v>39318.918295032498</v>
          </cell>
          <cell r="V101">
            <v>25557.802211373939</v>
          </cell>
          <cell r="W101">
            <v>2857.4018826319125</v>
          </cell>
          <cell r="X101">
            <v>390.72033574800048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BC101" t="str">
            <v>S04</v>
          </cell>
          <cell r="BD101" t="str">
            <v>General Plant</v>
          </cell>
          <cell r="BG101">
            <v>75745431.581599876</v>
          </cell>
          <cell r="BH101">
            <v>13821564.727942536</v>
          </cell>
          <cell r="BI101">
            <v>30433714.10436951</v>
          </cell>
          <cell r="BJ101">
            <v>14500415.003473252</v>
          </cell>
          <cell r="BK101">
            <v>2875836.0294669997</v>
          </cell>
          <cell r="BL101">
            <v>2842038.5531478417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 t="str">
            <v>line 1142</v>
          </cell>
        </row>
        <row r="102">
          <cell r="J102">
            <v>102</v>
          </cell>
          <cell r="L102" t="str">
            <v>P</v>
          </cell>
          <cell r="M102" t="str">
            <v>Generation Level Consumption</v>
          </cell>
          <cell r="N102" t="str">
            <v/>
          </cell>
          <cell r="O102">
            <v>65.8</v>
          </cell>
          <cell r="P102" t="str">
            <v>E02</v>
          </cell>
          <cell r="R102">
            <v>309260</v>
          </cell>
          <cell r="S102">
            <v>133315.82895567612</v>
          </cell>
          <cell r="T102">
            <v>27307.685027095726</v>
          </cell>
          <cell r="U102">
            <v>82520.61247057216</v>
          </cell>
          <cell r="V102">
            <v>57744.335047579785</v>
          </cell>
          <cell r="W102">
            <v>6927.6202878139738</v>
          </cell>
          <cell r="X102">
            <v>1443.9182112622711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BG102">
            <v>0.5401937795990549</v>
          </cell>
          <cell r="BH102">
            <v>9.8571268714956861E-2</v>
          </cell>
          <cell r="BI102">
            <v>0.21704415310599498</v>
          </cell>
          <cell r="BJ102">
            <v>0.10341262598844131</v>
          </cell>
          <cell r="BK102">
            <v>2.0509603045714201E-2</v>
          </cell>
          <cell r="BL102">
            <v>2.0268569545837879E-2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</row>
        <row r="103">
          <cell r="J103">
            <v>103</v>
          </cell>
          <cell r="L103" t="str">
            <v>P</v>
          </cell>
          <cell r="M103" t="str">
            <v>Open</v>
          </cell>
          <cell r="N103" t="str">
            <v/>
          </cell>
          <cell r="O103">
            <v>0</v>
          </cell>
          <cell r="P103" t="str">
            <v>xxx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BC103" t="str">
            <v>S05</v>
          </cell>
          <cell r="BD103" t="str">
            <v>P/T/D Plant</v>
          </cell>
          <cell r="BG103">
            <v>880619815.32297611</v>
          </cell>
          <cell r="BH103">
            <v>170414688.25353783</v>
          </cell>
          <cell r="BI103">
            <v>451378822.59711862</v>
          </cell>
          <cell r="BJ103">
            <v>221979667.7556206</v>
          </cell>
          <cell r="BK103">
            <v>39779796.460111551</v>
          </cell>
          <cell r="BL103">
            <v>39516209.610635623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 t="str">
            <v>Sum lines 893+932+1089</v>
          </cell>
        </row>
        <row r="104">
          <cell r="J104">
            <v>104</v>
          </cell>
          <cell r="L104" t="str">
            <v>P</v>
          </cell>
          <cell r="M104" t="str">
            <v>Open</v>
          </cell>
          <cell r="N104" t="str">
            <v/>
          </cell>
          <cell r="O104">
            <v>0</v>
          </cell>
          <cell r="P104" t="str">
            <v>xxx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BG104">
            <v>0.48823262509389148</v>
          </cell>
          <cell r="BH104">
            <v>9.4481192851726556E-2</v>
          </cell>
          <cell r="BI104">
            <v>0.25025313266151678</v>
          </cell>
          <cell r="BJ104">
            <v>0.12306981289768944</v>
          </cell>
          <cell r="BK104">
            <v>2.2054687066401995E-2</v>
          </cell>
          <cell r="BL104">
            <v>2.1908549428773818E-2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</row>
        <row r="105">
          <cell r="J105">
            <v>105</v>
          </cell>
          <cell r="K105" t="str">
            <v>540-OP</v>
          </cell>
          <cell r="L105" t="str">
            <v>Hydro</v>
          </cell>
          <cell r="M105" t="str">
            <v>Rents</v>
          </cell>
          <cell r="O105" t="str">
            <v>P01</v>
          </cell>
          <cell r="P105" t="str">
            <v/>
          </cell>
          <cell r="Q105">
            <v>4482000</v>
          </cell>
          <cell r="BC105" t="str">
            <v>S06</v>
          </cell>
          <cell r="BD105" t="str">
            <v>P/T/D/G Plant</v>
          </cell>
          <cell r="BG105">
            <v>956365246.90457594</v>
          </cell>
          <cell r="BH105">
            <v>184236252.98148036</v>
          </cell>
          <cell r="BI105">
            <v>481812536.70148814</v>
          </cell>
          <cell r="BJ105">
            <v>236480082.75909385</v>
          </cell>
          <cell r="BK105">
            <v>42655632.489578553</v>
          </cell>
          <cell r="BL105">
            <v>42358248.163783468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 t="str">
            <v>Sum lines 893+932+1089+1142</v>
          </cell>
        </row>
        <row r="106">
          <cell r="J106">
            <v>106</v>
          </cell>
          <cell r="L106" t="str">
            <v>P</v>
          </cell>
          <cell r="M106" t="str">
            <v>Coincident Peak</v>
          </cell>
          <cell r="N106" t="str">
            <v/>
          </cell>
          <cell r="O106">
            <v>34.200000000000003</v>
          </cell>
          <cell r="P106" t="str">
            <v>D01</v>
          </cell>
          <cell r="R106">
            <v>1532844</v>
          </cell>
          <cell r="S106">
            <v>763876.63374006923</v>
          </cell>
          <cell r="T106">
            <v>119317.27031845761</v>
          </cell>
          <cell r="U106">
            <v>374951.89744326728</v>
          </cell>
          <cell r="V106">
            <v>243723.55215186803</v>
          </cell>
          <cell r="W106">
            <v>27248.670719055808</v>
          </cell>
          <cell r="X106">
            <v>3725.9756272819955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BG106">
            <v>0.49198071457320813</v>
          </cell>
          <cell r="BH106">
            <v>9.4776220367157465E-2</v>
          </cell>
          <cell r="BI106">
            <v>0.24785768498379968</v>
          </cell>
          <cell r="BJ106">
            <v>0.12165189029475357</v>
          </cell>
          <cell r="BK106">
            <v>2.1943236248618013E-2</v>
          </cell>
          <cell r="BL106">
            <v>2.1790253532463194E-2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</row>
        <row r="107">
          <cell r="J107">
            <v>107</v>
          </cell>
          <cell r="L107" t="str">
            <v>P</v>
          </cell>
          <cell r="M107" t="str">
            <v>Generation Level Consumption</v>
          </cell>
          <cell r="N107" t="str">
            <v/>
          </cell>
          <cell r="O107">
            <v>65.8</v>
          </cell>
          <cell r="P107" t="str">
            <v>E02</v>
          </cell>
          <cell r="R107">
            <v>2949156</v>
          </cell>
          <cell r="S107">
            <v>1271322.4369773199</v>
          </cell>
          <cell r="T107">
            <v>260410.7325349852</v>
          </cell>
          <cell r="U107">
            <v>786930.60658107314</v>
          </cell>
          <cell r="V107">
            <v>550659.80783670768</v>
          </cell>
          <cell r="W107">
            <v>66062.966234004751</v>
          </cell>
          <cell r="X107">
            <v>13769.449835909574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BC107" t="str">
            <v>S07</v>
          </cell>
          <cell r="BD107" t="str">
            <v>Rate Base</v>
          </cell>
          <cell r="BG107">
            <v>554418683.47630131</v>
          </cell>
          <cell r="BH107">
            <v>107874129.35303845</v>
          </cell>
          <cell r="BI107">
            <v>281841171.57581067</v>
          </cell>
          <cell r="BJ107">
            <v>134516160.45380342</v>
          </cell>
          <cell r="BK107">
            <v>25064802.340618473</v>
          </cell>
          <cell r="BL107">
            <v>21557052.800427657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 t="str">
            <v>line 1473</v>
          </cell>
        </row>
        <row r="108">
          <cell r="J108">
            <v>108</v>
          </cell>
          <cell r="L108" t="str">
            <v>P</v>
          </cell>
          <cell r="M108" t="str">
            <v>Open</v>
          </cell>
          <cell r="N108" t="str">
            <v/>
          </cell>
          <cell r="O108">
            <v>0</v>
          </cell>
          <cell r="P108" t="str">
            <v>xxx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BG108">
            <v>0.49269748423163584</v>
          </cell>
          <cell r="BH108">
            <v>9.5864936969051434E-2</v>
          </cell>
          <cell r="BI108">
            <v>0.25046492899122225</v>
          </cell>
          <cell r="BJ108">
            <v>0.1195410180416854</v>
          </cell>
          <cell r="BK108">
            <v>2.2274438838448367E-2</v>
          </cell>
          <cell r="BL108">
            <v>1.915719292795667E-2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</row>
        <row r="109">
          <cell r="J109">
            <v>109</v>
          </cell>
          <cell r="L109" t="str">
            <v>P</v>
          </cell>
          <cell r="M109" t="str">
            <v>Open</v>
          </cell>
          <cell r="N109" t="str">
            <v/>
          </cell>
          <cell r="O109">
            <v>0</v>
          </cell>
          <cell r="P109" t="str">
            <v>xxx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BC109" t="str">
            <v>S08</v>
          </cell>
          <cell r="BD109" t="str">
            <v>Account 361</v>
          </cell>
          <cell r="BG109">
            <v>5107256.6881286791</v>
          </cell>
          <cell r="BH109">
            <v>1056079.5981071778</v>
          </cell>
          <cell r="BI109">
            <v>2822545.8316619857</v>
          </cell>
          <cell r="BJ109">
            <v>1261424.6715657501</v>
          </cell>
          <cell r="BK109">
            <v>257937.94402417491</v>
          </cell>
          <cell r="BL109">
            <v>65755.266512232512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 t="str">
            <v>Sum lines 946 ~ 956</v>
          </cell>
        </row>
        <row r="110">
          <cell r="J110">
            <v>110</v>
          </cell>
          <cell r="L110" t="str">
            <v>Total Hydraulic Operation</v>
          </cell>
          <cell r="N110" t="str">
            <v/>
          </cell>
          <cell r="Q110">
            <v>16122000</v>
          </cell>
          <cell r="R110">
            <v>16122000</v>
          </cell>
          <cell r="S110">
            <v>7320722.7617371157</v>
          </cell>
          <cell r="T110">
            <v>1365902.4680953159</v>
          </cell>
          <cell r="U110">
            <v>4179355.1383044217</v>
          </cell>
          <cell r="V110">
            <v>2857440.5465720254</v>
          </cell>
          <cell r="W110">
            <v>335647.07964240119</v>
          </cell>
          <cell r="X110">
            <v>62932.005648722552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BG110">
            <v>0.48313846259849391</v>
          </cell>
          <cell r="BH110">
            <v>9.9903471583310727E-2</v>
          </cell>
          <cell r="BI110">
            <v>0.26700840333572845</v>
          </cell>
          <cell r="BJ110">
            <v>0.11932879307215497</v>
          </cell>
          <cell r="BK110">
            <v>2.4400524455980978E-2</v>
          </cell>
          <cell r="BL110">
            <v>6.2203449543309537E-3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</row>
        <row r="111">
          <cell r="J111">
            <v>111</v>
          </cell>
          <cell r="K111" t="str">
            <v>541-MT</v>
          </cell>
          <cell r="L111" t="str">
            <v>Hydro</v>
          </cell>
          <cell r="M111" t="str">
            <v>Supervision &amp; Engineering</v>
          </cell>
          <cell r="O111" t="str">
            <v>P01</v>
          </cell>
          <cell r="P111" t="str">
            <v/>
          </cell>
          <cell r="Q111">
            <v>394000</v>
          </cell>
          <cell r="BC111" t="str">
            <v>S09</v>
          </cell>
          <cell r="BD111" t="str">
            <v>Account 362</v>
          </cell>
          <cell r="BG111">
            <v>32344693.467201877</v>
          </cell>
          <cell r="BH111">
            <v>6688242.429079527</v>
          </cell>
          <cell r="BI111">
            <v>17875424.185050309</v>
          </cell>
          <cell r="BJ111">
            <v>5271663.1284767054</v>
          </cell>
          <cell r="BK111">
            <v>1633543.0628373406</v>
          </cell>
          <cell r="BL111">
            <v>416433.72735424555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 t="str">
            <v>Sum lines 957 ~ 967</v>
          </cell>
        </row>
        <row r="112">
          <cell r="J112">
            <v>112</v>
          </cell>
          <cell r="L112" t="str">
            <v>P</v>
          </cell>
          <cell r="M112" t="str">
            <v>Coincident Peak</v>
          </cell>
          <cell r="N112" t="str">
            <v/>
          </cell>
          <cell r="O112">
            <v>34.200000000000003</v>
          </cell>
          <cell r="P112" t="str">
            <v>D01</v>
          </cell>
          <cell r="R112">
            <v>134748.00000000003</v>
          </cell>
          <cell r="S112">
            <v>67150.2440190958</v>
          </cell>
          <cell r="T112">
            <v>10488.845271189717</v>
          </cell>
          <cell r="U112">
            <v>32960.965549452776</v>
          </cell>
          <cell r="V112">
            <v>21425.051215492196</v>
          </cell>
          <cell r="W112">
            <v>2395.3539186318585</v>
          </cell>
          <cell r="X112">
            <v>327.54002613768552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BG112">
            <v>0.50357610878408643</v>
          </cell>
          <cell r="BH112">
            <v>0.10412957230390045</v>
          </cell>
          <cell r="BI112">
            <v>0.27830335022653441</v>
          </cell>
          <cell r="BJ112">
            <v>8.2074780141315654E-2</v>
          </cell>
          <cell r="BK112">
            <v>2.5432711549701705E-2</v>
          </cell>
          <cell r="BL112">
            <v>6.483476994461241E-3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</row>
        <row r="113">
          <cell r="J113">
            <v>113</v>
          </cell>
          <cell r="L113" t="str">
            <v>P</v>
          </cell>
          <cell r="M113" t="str">
            <v>Generation Level Consumption</v>
          </cell>
          <cell r="N113" t="str">
            <v/>
          </cell>
          <cell r="O113">
            <v>65.8</v>
          </cell>
          <cell r="P113" t="str">
            <v>E02</v>
          </cell>
          <cell r="R113">
            <v>259252</v>
          </cell>
          <cell r="S113">
            <v>111758.37576284338</v>
          </cell>
          <cell r="T113">
            <v>22891.974256756843</v>
          </cell>
          <cell r="U113">
            <v>69176.85385830942</v>
          </cell>
          <cell r="V113">
            <v>48406.9532100988</v>
          </cell>
          <cell r="W113">
            <v>5807.4093476568205</v>
          </cell>
          <cell r="X113">
            <v>1210.4335643347549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BC113" t="str">
            <v>S10</v>
          </cell>
          <cell r="BD113" t="str">
            <v>Account 364/365</v>
          </cell>
          <cell r="BG113">
            <v>118279199.36000225</v>
          </cell>
          <cell r="BH113">
            <v>24457797.395399429</v>
          </cell>
          <cell r="BI113">
            <v>65344173.16181881</v>
          </cell>
          <cell r="BJ113">
            <v>11457186.099999998</v>
          </cell>
          <cell r="BK113">
            <v>5973597.0535138706</v>
          </cell>
          <cell r="BL113">
            <v>12571046.929265633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 t="str">
            <v>Sum lines 979 ~ 1000</v>
          </cell>
        </row>
        <row r="114">
          <cell r="J114">
            <v>114</v>
          </cell>
          <cell r="L114" t="str">
            <v>P</v>
          </cell>
          <cell r="M114" t="str">
            <v>Open</v>
          </cell>
          <cell r="N114" t="str">
            <v/>
          </cell>
          <cell r="O114">
            <v>0</v>
          </cell>
          <cell r="P114" t="str">
            <v>xxx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BG114">
            <v>0.49679817273808818</v>
          </cell>
          <cell r="BH114">
            <v>0.10272802928138267</v>
          </cell>
          <cell r="BI114">
            <v>0.27445963450485256</v>
          </cell>
          <cell r="BJ114">
            <v>4.812265512447339E-2</v>
          </cell>
          <cell r="BK114">
            <v>2.5090397271177994E-2</v>
          </cell>
          <cell r="BL114">
            <v>5.2801111080025172E-2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</row>
        <row r="115">
          <cell r="J115">
            <v>115</v>
          </cell>
          <cell r="L115" t="str">
            <v>P</v>
          </cell>
          <cell r="M115" t="str">
            <v>Open</v>
          </cell>
          <cell r="N115" t="str">
            <v/>
          </cell>
          <cell r="O115">
            <v>0</v>
          </cell>
          <cell r="P115" t="str">
            <v>xxx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BC115" t="str">
            <v>S11</v>
          </cell>
          <cell r="BD115" t="str">
            <v>Account 366/367</v>
          </cell>
          <cell r="BG115">
            <v>70186176.274852425</v>
          </cell>
          <cell r="BH115">
            <v>14513112.098969981</v>
          </cell>
          <cell r="BI115">
            <v>38186744.615625098</v>
          </cell>
          <cell r="BJ115">
            <v>7145632</v>
          </cell>
          <cell r="BK115">
            <v>3544697.1070269481</v>
          </cell>
          <cell r="BL115">
            <v>903637.90352555178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 t="str">
            <v>Sum lines 1001 ~ 1022</v>
          </cell>
        </row>
        <row r="116">
          <cell r="J116">
            <v>116</v>
          </cell>
          <cell r="K116" t="str">
            <v>542-MT</v>
          </cell>
          <cell r="L116" t="str">
            <v>Hydro</v>
          </cell>
          <cell r="M116" t="str">
            <v>Structures</v>
          </cell>
          <cell r="O116" t="str">
            <v>P01</v>
          </cell>
          <cell r="P116" t="str">
            <v/>
          </cell>
          <cell r="Q116">
            <v>291000</v>
          </cell>
          <cell r="BG116">
            <v>0.52190791400098469</v>
          </cell>
          <cell r="BH116">
            <v>0.10792022679186482</v>
          </cell>
          <cell r="BI116">
            <v>0.28395854116318486</v>
          </cell>
          <cell r="BJ116">
            <v>5.3135276621058894E-2</v>
          </cell>
          <cell r="BK116">
            <v>2.6358544817273559E-2</v>
          </cell>
          <cell r="BL116">
            <v>6.7194966056331931E-3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</row>
        <row r="117">
          <cell r="J117">
            <v>117</v>
          </cell>
          <cell r="L117" t="str">
            <v>P</v>
          </cell>
          <cell r="M117" t="str">
            <v>Coincident Peak</v>
          </cell>
          <cell r="N117" t="str">
            <v/>
          </cell>
          <cell r="O117">
            <v>34.200000000000003</v>
          </cell>
          <cell r="P117" t="str">
            <v>D01</v>
          </cell>
          <cell r="R117">
            <v>99522</v>
          </cell>
          <cell r="S117">
            <v>49595.738602936224</v>
          </cell>
          <cell r="T117">
            <v>7746.8374972492566</v>
          </cell>
          <cell r="U117">
            <v>24344.266433732882</v>
          </cell>
          <cell r="V117">
            <v>15824.086050020884</v>
          </cell>
          <cell r="W117">
            <v>1769.1573358423116</v>
          </cell>
          <cell r="X117">
            <v>241.91408021844279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BC117" t="str">
            <v>S12</v>
          </cell>
          <cell r="BD117" t="str">
            <v>Account 368</v>
          </cell>
          <cell r="BG117">
            <v>68204560.397857487</v>
          </cell>
          <cell r="BH117">
            <v>14103353.156592168</v>
          </cell>
          <cell r="BI117">
            <v>34932344.41855894</v>
          </cell>
          <cell r="BJ117">
            <v>0</v>
          </cell>
          <cell r="BK117">
            <v>3444617.1705033304</v>
          </cell>
          <cell r="BL117">
            <v>878124.85648807907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 t="str">
            <v>Sum lines 1023 ~ 1033</v>
          </cell>
        </row>
        <row r="118">
          <cell r="J118">
            <v>118</v>
          </cell>
          <cell r="L118" t="str">
            <v>P</v>
          </cell>
          <cell r="M118" t="str">
            <v>Generation Level Consumption</v>
          </cell>
          <cell r="N118" t="str">
            <v/>
          </cell>
          <cell r="O118">
            <v>65.8</v>
          </cell>
          <cell r="P118" t="str">
            <v>E02</v>
          </cell>
          <cell r="R118">
            <v>191478</v>
          </cell>
          <cell r="S118">
            <v>82542.353672556914</v>
          </cell>
          <cell r="T118">
            <v>16907.524133797568</v>
          </cell>
          <cell r="U118">
            <v>51092.549423269142</v>
          </cell>
          <cell r="V118">
            <v>35752.343614565354</v>
          </cell>
          <cell r="W118">
            <v>4289.2287313912047</v>
          </cell>
          <cell r="X118">
            <v>894.0004244198318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BG118">
            <v>0.56106348475981582</v>
          </cell>
          <cell r="BH118">
            <v>0.11601682384107144</v>
          </cell>
          <cell r="BI118">
            <v>0.28736000607552414</v>
          </cell>
          <cell r="BJ118">
            <v>0</v>
          </cell>
          <cell r="BK118">
            <v>2.833606583009082E-2</v>
          </cell>
          <cell r="BL118">
            <v>7.2236194934978491E-3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</row>
        <row r="119">
          <cell r="J119">
            <v>119</v>
          </cell>
          <cell r="L119" t="str">
            <v>P</v>
          </cell>
          <cell r="M119" t="str">
            <v>Open</v>
          </cell>
          <cell r="N119" t="str">
            <v/>
          </cell>
          <cell r="O119">
            <v>0</v>
          </cell>
          <cell r="P119" t="str">
            <v>xxx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BC119" t="str">
            <v>S13</v>
          </cell>
          <cell r="BD119" t="str">
            <v>Account 369</v>
          </cell>
          <cell r="BG119">
            <v>65366952.894972108</v>
          </cell>
          <cell r="BH119">
            <v>9186635.8571879305</v>
          </cell>
          <cell r="BI119">
            <v>858563.34065737494</v>
          </cell>
          <cell r="BJ119">
            <v>0</v>
          </cell>
          <cell r="BK119">
            <v>778847.90718258859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 t="str">
            <v>Sum lines 1034 ~ 1044</v>
          </cell>
        </row>
        <row r="120">
          <cell r="J120">
            <v>120</v>
          </cell>
          <cell r="L120" t="str">
            <v>P</v>
          </cell>
          <cell r="M120" t="str">
            <v>Open</v>
          </cell>
          <cell r="N120" t="str">
            <v/>
          </cell>
          <cell r="O120">
            <v>0</v>
          </cell>
          <cell r="P120" t="str">
            <v>xxx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BG120">
            <v>0.85793535844091962</v>
          </cell>
          <cell r="BH120">
            <v>0.12057376668094566</v>
          </cell>
          <cell r="BI120">
            <v>1.126856637473422E-2</v>
          </cell>
          <cell r="BJ120">
            <v>0</v>
          </cell>
          <cell r="BK120">
            <v>1.0222308503400515E-2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</row>
        <row r="121">
          <cell r="J121">
            <v>121</v>
          </cell>
          <cell r="K121" t="str">
            <v>543-MT</v>
          </cell>
          <cell r="L121" t="str">
            <v>Hydro</v>
          </cell>
          <cell r="M121" t="str">
            <v>Reservoirs, Dams &amp; Waterways</v>
          </cell>
          <cell r="O121" t="str">
            <v>P01</v>
          </cell>
          <cell r="P121" t="str">
            <v/>
          </cell>
          <cell r="Q121">
            <v>1966000</v>
          </cell>
          <cell r="BC121" t="str">
            <v>S14</v>
          </cell>
          <cell r="BD121" t="str">
            <v>Account 370</v>
          </cell>
          <cell r="BG121">
            <v>16055739.980725741</v>
          </cell>
          <cell r="BH121">
            <v>6137584.6026157364</v>
          </cell>
          <cell r="BI121">
            <v>3050264.6158747119</v>
          </cell>
          <cell r="BJ121">
            <v>61019.717019408075</v>
          </cell>
          <cell r="BK121">
            <v>981391.0837644065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 t="str">
            <v>Sum lines 1045 ~ 1055</v>
          </cell>
        </row>
        <row r="122">
          <cell r="J122">
            <v>122</v>
          </cell>
          <cell r="L122" t="str">
            <v>P</v>
          </cell>
          <cell r="M122" t="str">
            <v>Coincident Peak</v>
          </cell>
          <cell r="N122" t="str">
            <v/>
          </cell>
          <cell r="O122">
            <v>34.200000000000003</v>
          </cell>
          <cell r="P122" t="str">
            <v>D01</v>
          </cell>
          <cell r="R122">
            <v>672372</v>
          </cell>
          <cell r="S122">
            <v>335069.4917298028</v>
          </cell>
          <cell r="T122">
            <v>52337.74061715477</v>
          </cell>
          <cell r="U122">
            <v>164470.19865539123</v>
          </cell>
          <cell r="V122">
            <v>106907.74286715139</v>
          </cell>
          <cell r="W122">
            <v>11952.451279264551</v>
          </cell>
          <cell r="X122">
            <v>1634.3748512352527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BG122">
            <v>0.61080955568461293</v>
          </cell>
          <cell r="BH122">
            <v>0.23349252844159379</v>
          </cell>
          <cell r="BI122">
            <v>0.11604141428420875</v>
          </cell>
          <cell r="BJ122">
            <v>2.3213770455530725E-3</v>
          </cell>
          <cell r="BK122">
            <v>3.7335124544031283E-2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</row>
        <row r="123">
          <cell r="J123">
            <v>123</v>
          </cell>
          <cell r="L123" t="str">
            <v>P</v>
          </cell>
          <cell r="M123" t="str">
            <v>Generation Level Consumption</v>
          </cell>
          <cell r="N123" t="str">
            <v/>
          </cell>
          <cell r="O123">
            <v>65.8</v>
          </cell>
          <cell r="P123" t="str">
            <v>E02</v>
          </cell>
          <cell r="R123">
            <v>1293628</v>
          </cell>
          <cell r="S123">
            <v>557657.27601459413</v>
          </cell>
          <cell r="T123">
            <v>114227.46545376639</v>
          </cell>
          <cell r="U123">
            <v>345181.96620669117</v>
          </cell>
          <cell r="V123">
            <v>241543.3249011529</v>
          </cell>
          <cell r="W123">
            <v>28978.088267749514</v>
          </cell>
          <cell r="X123">
            <v>6039.8791560460113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BC123" t="str">
            <v>S15</v>
          </cell>
          <cell r="BD123" t="str">
            <v>Account 373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20332000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 t="str">
            <v>Sum lines 1078 ~ 1088</v>
          </cell>
        </row>
        <row r="124">
          <cell r="J124">
            <v>124</v>
          </cell>
          <cell r="L124" t="str">
            <v>P</v>
          </cell>
          <cell r="M124" t="str">
            <v>Open</v>
          </cell>
          <cell r="N124" t="str">
            <v/>
          </cell>
          <cell r="O124">
            <v>0</v>
          </cell>
          <cell r="P124" t="str">
            <v>xxx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</row>
        <row r="125">
          <cell r="J125">
            <v>125</v>
          </cell>
          <cell r="L125" t="str">
            <v>P</v>
          </cell>
          <cell r="M125" t="str">
            <v>Open</v>
          </cell>
          <cell r="N125" t="str">
            <v/>
          </cell>
          <cell r="O125">
            <v>0</v>
          </cell>
          <cell r="P125" t="str">
            <v>xxx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BC125" t="str">
            <v>S16</v>
          </cell>
          <cell r="BD125" t="str">
            <v>Dist Op Exp Subtotal</v>
          </cell>
          <cell r="BG125">
            <v>2423596.9331031763</v>
          </cell>
          <cell r="BH125">
            <v>657974.02984180965</v>
          </cell>
          <cell r="BI125">
            <v>738238.55637922627</v>
          </cell>
          <cell r="BJ125">
            <v>130239.1079118667</v>
          </cell>
          <cell r="BK125">
            <v>117681.18615760101</v>
          </cell>
          <cell r="BL125">
            <v>166270.18660631942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 t="str">
            <v>Sum lines 269 ~ 282 + line 286</v>
          </cell>
        </row>
        <row r="126">
          <cell r="J126">
            <v>126</v>
          </cell>
          <cell r="K126" t="str">
            <v>544-MT</v>
          </cell>
          <cell r="L126" t="str">
            <v>Hydro</v>
          </cell>
          <cell r="M126" t="str">
            <v>Electric Plant</v>
          </cell>
          <cell r="O126" t="str">
            <v>P01</v>
          </cell>
          <cell r="P126" t="str">
            <v/>
          </cell>
          <cell r="Q126">
            <v>1597000</v>
          </cell>
          <cell r="BG126">
            <v>0.57241306875370257</v>
          </cell>
          <cell r="BH126">
            <v>0.15540246335423</v>
          </cell>
          <cell r="BI126">
            <v>0.17435960235692641</v>
          </cell>
          <cell r="BJ126">
            <v>3.0760299459581184E-2</v>
          </cell>
          <cell r="BK126">
            <v>2.7794328331979461E-2</v>
          </cell>
          <cell r="BL126">
            <v>3.9270237743580412E-2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</row>
        <row r="127">
          <cell r="J127">
            <v>127</v>
          </cell>
          <cell r="L127" t="str">
            <v>P</v>
          </cell>
          <cell r="M127" t="str">
            <v>Coincident Peak</v>
          </cell>
          <cell r="N127" t="str">
            <v/>
          </cell>
          <cell r="O127">
            <v>34.200000000000003</v>
          </cell>
          <cell r="P127" t="str">
            <v>D01</v>
          </cell>
          <cell r="R127">
            <v>546174.00000000012</v>
          </cell>
          <cell r="S127">
            <v>272180.04999618267</v>
          </cell>
          <cell r="T127">
            <v>42514.431213426338</v>
          </cell>
          <cell r="U127">
            <v>133600.66493014235</v>
          </cell>
          <cell r="V127">
            <v>86842.149216094011</v>
          </cell>
          <cell r="W127">
            <v>9709.0868224748174</v>
          </cell>
          <cell r="X127">
            <v>1327.617821679908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BC127" t="str">
            <v>S17</v>
          </cell>
          <cell r="BD127" t="str">
            <v>Dist Mt Exp Subtotal</v>
          </cell>
          <cell r="BG127">
            <v>4070938.3206562009</v>
          </cell>
          <cell r="BH127">
            <v>851329.30992186989</v>
          </cell>
          <cell r="BI127">
            <v>2204258.6171873976</v>
          </cell>
          <cell r="BJ127">
            <v>380215.83404489903</v>
          </cell>
          <cell r="BK127">
            <v>206176.82156890095</v>
          </cell>
          <cell r="BL127">
            <v>745081.09662073106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 t="str">
            <v>Sum lines 290 ~ 303</v>
          </cell>
        </row>
        <row r="128">
          <cell r="J128">
            <v>128</v>
          </cell>
          <cell r="L128" t="str">
            <v>P</v>
          </cell>
          <cell r="M128" t="str">
            <v>Generation Level Consumption</v>
          </cell>
          <cell r="N128" t="str">
            <v/>
          </cell>
          <cell r="O128">
            <v>65.8</v>
          </cell>
          <cell r="P128" t="str">
            <v>E02</v>
          </cell>
          <cell r="R128">
            <v>1050826</v>
          </cell>
          <cell r="S128">
            <v>452990.16774939309</v>
          </cell>
          <cell r="T128">
            <v>92788.027634621016</v>
          </cell>
          <cell r="U128">
            <v>280394.50662873132</v>
          </cell>
          <cell r="V128">
            <v>196207.87887443599</v>
          </cell>
          <cell r="W128">
            <v>23539.169360933862</v>
          </cell>
          <cell r="X128">
            <v>4906.2497518847813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BG128">
            <v>0.48131216843889818</v>
          </cell>
          <cell r="BH128">
            <v>0.10065373728090209</v>
          </cell>
          <cell r="BI128">
            <v>0.26061227443691148</v>
          </cell>
          <cell r="BJ128">
            <v>4.495339726234323E-2</v>
          </cell>
          <cell r="BK128">
            <v>2.4376545468065849E-2</v>
          </cell>
          <cell r="BL128">
            <v>8.8091877112879052E-2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</row>
        <row r="129">
          <cell r="J129">
            <v>129</v>
          </cell>
          <cell r="L129" t="str">
            <v>P</v>
          </cell>
          <cell r="M129" t="str">
            <v>Open</v>
          </cell>
          <cell r="N129" t="str">
            <v/>
          </cell>
          <cell r="O129">
            <v>0</v>
          </cell>
          <cell r="P129" t="str">
            <v>xxx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BC129" t="str">
            <v>S18</v>
          </cell>
          <cell r="BD129" t="str">
            <v>Cust Acctg Exp Subtotal</v>
          </cell>
          <cell r="BG129">
            <v>7128638.1350873364</v>
          </cell>
          <cell r="BH129">
            <v>1001854.9099257131</v>
          </cell>
          <cell r="BI129">
            <v>94905.151547493413</v>
          </cell>
          <cell r="BJ129">
            <v>43018.715365520249</v>
          </cell>
          <cell r="BK129">
            <v>84937.795731362916</v>
          </cell>
          <cell r="BL129">
            <v>11645.292342573764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 t="str">
            <v>Sum lines 312 ~ 321 + lines 324 ~ 328</v>
          </cell>
        </row>
        <row r="130">
          <cell r="J130">
            <v>130</v>
          </cell>
          <cell r="L130" t="str">
            <v>P</v>
          </cell>
          <cell r="M130" t="str">
            <v>Open</v>
          </cell>
          <cell r="N130" t="str">
            <v/>
          </cell>
          <cell r="O130">
            <v>0</v>
          </cell>
          <cell r="P130" t="str">
            <v>xxx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BG130">
            <v>0.85219822296322012</v>
          </cell>
          <cell r="BH130">
            <v>0.1197674727944666</v>
          </cell>
          <cell r="BI130">
            <v>1.1345505265689589E-2</v>
          </cell>
          <cell r="BJ130">
            <v>5.1427035702953077E-3</v>
          </cell>
          <cell r="BK130">
            <v>1.0153950475954921E-2</v>
          </cell>
          <cell r="BL130">
            <v>1.3921449303734327E-3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</row>
        <row r="131">
          <cell r="J131">
            <v>131</v>
          </cell>
          <cell r="K131" t="str">
            <v>545-MT</v>
          </cell>
          <cell r="L131" t="str">
            <v>Hydro</v>
          </cell>
          <cell r="M131" t="str">
            <v>Miscellaneous Plant</v>
          </cell>
          <cell r="O131" t="str">
            <v>P01</v>
          </cell>
          <cell r="P131" t="str">
            <v/>
          </cell>
          <cell r="Q131">
            <v>350000</v>
          </cell>
          <cell r="BC131" t="str">
            <v>S19</v>
          </cell>
          <cell r="BD131" t="str">
            <v>O&amp;M Exp excl PP/F/W/A&amp;G</v>
          </cell>
          <cell r="BG131">
            <v>80692969.918244675</v>
          </cell>
          <cell r="BH131">
            <v>15300114.914449608</v>
          </cell>
          <cell r="BI131">
            <v>39777903.701814741</v>
          </cell>
          <cell r="BJ131">
            <v>24938204.478608906</v>
          </cell>
          <cell r="BK131">
            <v>3462201.2407178488</v>
          </cell>
          <cell r="BL131">
            <v>1815605.7461642383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 t="str">
            <v>lines 369 - (188~192, 16~20, 144~148, 226~229, 323, 339)</v>
          </cell>
        </row>
        <row r="132">
          <cell r="J132">
            <v>132</v>
          </cell>
          <cell r="L132" t="str">
            <v>P</v>
          </cell>
          <cell r="M132" t="str">
            <v>Coincident Peak</v>
          </cell>
          <cell r="N132" t="str">
            <v/>
          </cell>
          <cell r="O132">
            <v>34.200000000000003</v>
          </cell>
          <cell r="P132" t="str">
            <v>D01</v>
          </cell>
          <cell r="R132">
            <v>119700.00000000001</v>
          </cell>
          <cell r="S132">
            <v>59651.231996658695</v>
          </cell>
          <cell r="T132">
            <v>9317.5021444578688</v>
          </cell>
          <cell r="U132">
            <v>29280.045538853985</v>
          </cell>
          <cell r="V132">
            <v>19032.405902086975</v>
          </cell>
          <cell r="W132">
            <v>2127.8524657897219</v>
          </cell>
          <cell r="X132">
            <v>290.96195215276629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BG132">
            <v>0.48614029965144667</v>
          </cell>
          <cell r="BH132">
            <v>9.2176585602785813E-2</v>
          </cell>
          <cell r="BI132">
            <v>0.23964469327004367</v>
          </cell>
          <cell r="BJ132">
            <v>0.15024191339447612</v>
          </cell>
          <cell r="BK132">
            <v>2.0858267459004914E-2</v>
          </cell>
          <cell r="BL132">
            <v>1.0938240622242936E-2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</row>
        <row r="133">
          <cell r="J133">
            <v>133</v>
          </cell>
          <cell r="L133" t="str">
            <v>P</v>
          </cell>
          <cell r="M133" t="str">
            <v>Generation Level Consumption</v>
          </cell>
          <cell r="N133" t="str">
            <v/>
          </cell>
          <cell r="O133">
            <v>65.8</v>
          </cell>
          <cell r="P133" t="str">
            <v>E02</v>
          </cell>
          <cell r="R133">
            <v>230300</v>
          </cell>
          <cell r="S133">
            <v>99277.744966992846</v>
          </cell>
          <cell r="T133">
            <v>20335.510126560646</v>
          </cell>
          <cell r="U133">
            <v>61451.519924894157</v>
          </cell>
          <cell r="V133">
            <v>43001.10056734665</v>
          </cell>
          <cell r="W133">
            <v>5158.8661717763634</v>
          </cell>
          <cell r="X133">
            <v>1075.258242429351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BC133" t="str">
            <v>S20</v>
          </cell>
          <cell r="BD133" t="str">
            <v>Prod &amp; Trans O&amp;M Exp</v>
          </cell>
          <cell r="BG133">
            <v>104534399.39086349</v>
          </cell>
          <cell r="BH133">
            <v>19504057.014031921</v>
          </cell>
          <cell r="BI133">
            <v>59678039.101169884</v>
          </cell>
          <cell r="BJ133">
            <v>40802095.783795178</v>
          </cell>
          <cell r="BK133">
            <v>4792787.1358688232</v>
          </cell>
          <cell r="BL133">
            <v>898621.57427071198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 t="str">
            <v>line 203 + line 264</v>
          </cell>
        </row>
        <row r="134">
          <cell r="J134">
            <v>134</v>
          </cell>
          <cell r="L134" t="str">
            <v>P</v>
          </cell>
          <cell r="M134" t="str">
            <v>Open</v>
          </cell>
          <cell r="N134" t="str">
            <v/>
          </cell>
          <cell r="O134">
            <v>0</v>
          </cell>
          <cell r="P134" t="str">
            <v>xxx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BG134">
            <v>0.45408279132471863</v>
          </cell>
          <cell r="BH134">
            <v>8.472289220291003E-2</v>
          </cell>
          <cell r="BI134">
            <v>0.2592330441821375</v>
          </cell>
          <cell r="BJ134">
            <v>0.17723858991266744</v>
          </cell>
          <cell r="BK134">
            <v>2.0819196107331666E-2</v>
          </cell>
          <cell r="BL134">
            <v>3.9034862702346201E-3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</row>
        <row r="135">
          <cell r="J135">
            <v>135</v>
          </cell>
          <cell r="L135" t="str">
            <v>P</v>
          </cell>
          <cell r="M135" t="str">
            <v>Open</v>
          </cell>
          <cell r="N135" t="str">
            <v/>
          </cell>
          <cell r="O135">
            <v>0</v>
          </cell>
          <cell r="P135" t="str">
            <v>xxx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BC135" t="str">
            <v>S21</v>
          </cell>
          <cell r="BD135" t="str">
            <v>Labor P/T/D Total</v>
          </cell>
          <cell r="BG135">
            <v>11223849.010284036</v>
          </cell>
          <cell r="BH135">
            <v>2177435.606460548</v>
          </cell>
          <cell r="BI135">
            <v>5707321.5348693393</v>
          </cell>
          <cell r="BJ135">
            <v>2720938.9306054637</v>
          </cell>
          <cell r="BK135">
            <v>506479.52190216351</v>
          </cell>
          <cell r="BL135">
            <v>532062.39587844815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 t="str">
            <v>line 1488</v>
          </cell>
        </row>
        <row r="136">
          <cell r="J136">
            <v>136</v>
          </cell>
          <cell r="L136" t="str">
            <v>Total Hydraulic Maintenance</v>
          </cell>
          <cell r="O136" t="str">
            <v/>
          </cell>
          <cell r="Q136">
            <v>4598000</v>
          </cell>
          <cell r="R136">
            <v>4598000</v>
          </cell>
          <cell r="S136">
            <v>2087872.6745110564</v>
          </cell>
          <cell r="T136">
            <v>389555.85834898043</v>
          </cell>
          <cell r="U136">
            <v>1191953.5371494687</v>
          </cell>
          <cell r="V136">
            <v>814943.03641844529</v>
          </cell>
          <cell r="W136">
            <v>95726.663701511017</v>
          </cell>
          <cell r="X136">
            <v>17948.229870538788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BG136">
            <v>0.49080839207424898</v>
          </cell>
          <cell r="BH136">
            <v>9.5217217183953692E-2</v>
          </cell>
          <cell r="BI136">
            <v>0.24957581868869658</v>
          </cell>
          <cell r="BJ136">
            <v>0.11898410787948567</v>
          </cell>
          <cell r="BK136">
            <v>2.2147874542464505E-2</v>
          </cell>
          <cell r="BL136">
            <v>2.3266589631150525E-2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</row>
        <row r="137">
          <cell r="J137">
            <v>137</v>
          </cell>
          <cell r="L137" t="str">
            <v>Total Hydraulic</v>
          </cell>
          <cell r="N137" t="str">
            <v/>
          </cell>
          <cell r="Q137">
            <v>20720000</v>
          </cell>
          <cell r="R137">
            <v>20720000</v>
          </cell>
          <cell r="S137">
            <v>9408595.4362481721</v>
          </cell>
          <cell r="T137">
            <v>1755458.3264442962</v>
          </cell>
          <cell r="U137">
            <v>5371308.6754538901</v>
          </cell>
          <cell r="V137">
            <v>3672383.5829904708</v>
          </cell>
          <cell r="W137">
            <v>431373.74334391218</v>
          </cell>
          <cell r="X137">
            <v>80880.235519261332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BC137" t="str">
            <v>S22</v>
          </cell>
          <cell r="BD137" t="str">
            <v>Labor O&amp;M excl A&amp;G</v>
          </cell>
          <cell r="BG137">
            <v>15388552.067605289</v>
          </cell>
          <cell r="BH137">
            <v>2762758.2992915241</v>
          </cell>
          <cell r="BI137">
            <v>5762932.951101712</v>
          </cell>
          <cell r="BJ137">
            <v>2744223.3754093265</v>
          </cell>
          <cell r="BK137">
            <v>556112.96393712703</v>
          </cell>
          <cell r="BL137">
            <v>538868.34265501914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 t="str">
            <v>Sum lines 1488 ~ 1495</v>
          </cell>
        </row>
        <row r="138">
          <cell r="J138">
            <v>138</v>
          </cell>
          <cell r="BG138">
            <v>0.55447352226668523</v>
          </cell>
          <cell r="BH138">
            <v>9.9546488756695181E-2</v>
          </cell>
          <cell r="BI138">
            <v>0.20764745883472616</v>
          </cell>
          <cell r="BJ138">
            <v>9.8878646552649135E-2</v>
          </cell>
          <cell r="BK138">
            <v>2.0037617089491984E-2</v>
          </cell>
          <cell r="BL138">
            <v>1.9416266499752362E-2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</row>
        <row r="139">
          <cell r="J139">
            <v>139</v>
          </cell>
          <cell r="K139" t="str">
            <v>546-OP</v>
          </cell>
          <cell r="L139" t="str">
            <v>Other</v>
          </cell>
          <cell r="M139" t="str">
            <v>Supervision &amp; Engineering</v>
          </cell>
          <cell r="O139" t="str">
            <v>P01</v>
          </cell>
          <cell r="P139" t="str">
            <v/>
          </cell>
          <cell r="Q139">
            <v>47000</v>
          </cell>
          <cell r="BC139" t="str">
            <v>S23</v>
          </cell>
          <cell r="BD139" t="str">
            <v>Corporate Cost Allocator</v>
          </cell>
          <cell r="BG139">
            <v>602.49858712707203</v>
          </cell>
          <cell r="BH139">
            <v>104.47936855687576</v>
          </cell>
          <cell r="BI139">
            <v>172.95958369965132</v>
          </cell>
          <cell r="BJ139">
            <v>86.525790863123831</v>
          </cell>
          <cell r="BK139">
            <v>18.508410614871607</v>
          </cell>
          <cell r="BL139">
            <v>15.028259138405526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 t="str">
            <v>25% S25, 25% S22, 25% C01, 25% S24</v>
          </cell>
        </row>
        <row r="140">
          <cell r="J140">
            <v>140</v>
          </cell>
          <cell r="L140" t="str">
            <v>P</v>
          </cell>
          <cell r="M140" t="str">
            <v>Coincident Peak</v>
          </cell>
          <cell r="N140" t="str">
            <v/>
          </cell>
          <cell r="O140">
            <v>34.200000000000003</v>
          </cell>
          <cell r="P140" t="str">
            <v>D01</v>
          </cell>
          <cell r="R140">
            <v>16074.000000000002</v>
          </cell>
          <cell r="S140">
            <v>8010.3082966941674</v>
          </cell>
          <cell r="T140">
            <v>1251.2074308271997</v>
          </cell>
          <cell r="U140">
            <v>3931.8918295032495</v>
          </cell>
          <cell r="V140">
            <v>2555.7802211373937</v>
          </cell>
          <cell r="W140">
            <v>285.74018826319121</v>
          </cell>
          <cell r="X140">
            <v>39.072033574800045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BG140">
            <v>0.60249858712707194</v>
          </cell>
          <cell r="BH140">
            <v>0.10447936855687574</v>
          </cell>
          <cell r="BI140">
            <v>0.17295958369965131</v>
          </cell>
          <cell r="BJ140">
            <v>8.6525790863123828E-2</v>
          </cell>
          <cell r="BK140">
            <v>1.8508410614871604E-2</v>
          </cell>
          <cell r="BL140">
            <v>1.5028259138405524E-2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</row>
        <row r="141">
          <cell r="J141">
            <v>141</v>
          </cell>
          <cell r="L141" t="str">
            <v>P</v>
          </cell>
          <cell r="M141" t="str">
            <v>Generation Level Consumption</v>
          </cell>
          <cell r="N141" t="str">
            <v/>
          </cell>
          <cell r="O141">
            <v>65.8</v>
          </cell>
          <cell r="P141" t="str">
            <v>E02</v>
          </cell>
          <cell r="R141">
            <v>30926</v>
          </cell>
          <cell r="S141">
            <v>13331.582895567612</v>
          </cell>
          <cell r="T141">
            <v>2730.7685027095727</v>
          </cell>
          <cell r="U141">
            <v>8252.061247057216</v>
          </cell>
          <cell r="V141">
            <v>5774.4335047579789</v>
          </cell>
          <cell r="W141">
            <v>692.76202878139736</v>
          </cell>
          <cell r="X141">
            <v>144.39182112622711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BC141" t="str">
            <v>S24</v>
          </cell>
          <cell r="BD141" t="str">
            <v>Net P/T/D Plant</v>
          </cell>
          <cell r="BG141">
            <v>562379072.54404771</v>
          </cell>
          <cell r="BH141">
            <v>109836915.04211099</v>
          </cell>
          <cell r="BI141">
            <v>286912632.28796911</v>
          </cell>
          <cell r="BJ141">
            <v>134349636.91268685</v>
          </cell>
          <cell r="BK141">
            <v>25567973.718873147</v>
          </cell>
          <cell r="BL141">
            <v>22992769.494312629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 t="str">
            <v>Sum lines 893, 932, 1089, 1168, 1207, 1364</v>
          </cell>
        </row>
        <row r="142">
          <cell r="J142">
            <v>142</v>
          </cell>
          <cell r="L142" t="str">
            <v>P</v>
          </cell>
          <cell r="M142" t="str">
            <v>Open</v>
          </cell>
          <cell r="N142" t="str">
            <v/>
          </cell>
          <cell r="O142">
            <v>0</v>
          </cell>
          <cell r="P142" t="str">
            <v>xxx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BG142">
            <v>0.49243420981599356</v>
          </cell>
          <cell r="BH142">
            <v>9.6176150763775101E-2</v>
          </cell>
          <cell r="BI142">
            <v>0.25122840138381353</v>
          </cell>
          <cell r="BJ142">
            <v>0.11764014793950714</v>
          </cell>
          <cell r="BK142">
            <v>2.2388004016389226E-2</v>
          </cell>
          <cell r="BL142">
            <v>2.0133086080521435E-2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</row>
        <row r="143">
          <cell r="J143">
            <v>143</v>
          </cell>
          <cell r="L143" t="str">
            <v>P</v>
          </cell>
          <cell r="M143" t="str">
            <v>Open</v>
          </cell>
          <cell r="N143" t="str">
            <v/>
          </cell>
          <cell r="O143">
            <v>0</v>
          </cell>
          <cell r="P143" t="str">
            <v>xxx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BC143" t="str">
            <v>S25</v>
          </cell>
          <cell r="BD143" t="str">
            <v>O&amp;M excl Resource/Labor/A&amp;G</v>
          </cell>
          <cell r="BG143">
            <v>24468298.34401612</v>
          </cell>
          <cell r="BH143">
            <v>4918142.1964581842</v>
          </cell>
          <cell r="BI143">
            <v>10701883.854369223</v>
          </cell>
          <cell r="BJ143">
            <v>6254737.4737634854</v>
          </cell>
          <cell r="BK143">
            <v>1033797.1516522774</v>
          </cell>
          <cell r="BL143">
            <v>925692.97974074981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 t="str">
            <v>lines 369 - (16~20, 144~148, 188~192, 198~202,  226~229, 323, 339)-S22</v>
          </cell>
        </row>
        <row r="144">
          <cell r="J144">
            <v>144</v>
          </cell>
          <cell r="K144" t="str">
            <v>547-OP</v>
          </cell>
          <cell r="L144" t="str">
            <v>Other</v>
          </cell>
          <cell r="M144" t="str">
            <v>Fuel</v>
          </cell>
          <cell r="O144" t="str">
            <v>P01</v>
          </cell>
          <cell r="P144" t="str">
            <v/>
          </cell>
          <cell r="Q144">
            <v>35870000</v>
          </cell>
          <cell r="BG144">
            <v>0.50656326282752306</v>
          </cell>
          <cell r="BH144">
            <v>0.10181951041547826</v>
          </cell>
          <cell r="BI144">
            <v>0.22155938788429264</v>
          </cell>
          <cell r="BJ144">
            <v>0.12949082843000678</v>
          </cell>
          <cell r="BK144">
            <v>2.1402536902238138E-2</v>
          </cell>
          <cell r="BL144">
            <v>1.9164473540461156E-2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</row>
        <row r="145">
          <cell r="J145">
            <v>145</v>
          </cell>
          <cell r="L145" t="str">
            <v>P</v>
          </cell>
          <cell r="M145" t="str">
            <v>Coincident Peak</v>
          </cell>
          <cell r="N145" t="str">
            <v/>
          </cell>
          <cell r="O145">
            <v>34.200000000000003</v>
          </cell>
          <cell r="P145" t="str">
            <v>D01</v>
          </cell>
          <cell r="R145">
            <v>12267540</v>
          </cell>
          <cell r="S145">
            <v>6113399.1192004206</v>
          </cell>
          <cell r="T145">
            <v>954910.86263343925</v>
          </cell>
          <cell r="U145">
            <v>3000786.3813676923</v>
          </cell>
          <cell r="V145">
            <v>1950549.7134510276</v>
          </cell>
          <cell r="W145">
            <v>218074.47985107807</v>
          </cell>
          <cell r="X145">
            <v>29819.443496342072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BC145" t="str">
            <v>S26</v>
          </cell>
          <cell r="BD145" t="str">
            <v>Open</v>
          </cell>
          <cell r="BR145" t="str">
            <v>Open</v>
          </cell>
        </row>
        <row r="146">
          <cell r="J146">
            <v>146</v>
          </cell>
          <cell r="L146" t="str">
            <v>P</v>
          </cell>
          <cell r="M146" t="str">
            <v>Generation Level Consumption</v>
          </cell>
          <cell r="N146" t="str">
            <v/>
          </cell>
          <cell r="O146">
            <v>65.8</v>
          </cell>
          <cell r="P146" t="str">
            <v>E02</v>
          </cell>
          <cell r="R146">
            <v>23602460</v>
          </cell>
          <cell r="S146">
            <v>10174550.605617238</v>
          </cell>
          <cell r="T146">
            <v>2084099.280684944</v>
          </cell>
          <cell r="U146">
            <v>6297902.9134455817</v>
          </cell>
          <cell r="V146">
            <v>4406998.5067163548</v>
          </cell>
          <cell r="W146">
            <v>528710.08451890899</v>
          </cell>
          <cell r="X146">
            <v>110198.60901697376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BC146" t="str">
            <v>S27</v>
          </cell>
          <cell r="BD146" t="str">
            <v>Open</v>
          </cell>
          <cell r="BR146" t="str">
            <v>Open</v>
          </cell>
        </row>
        <row r="147">
          <cell r="J147">
            <v>147</v>
          </cell>
          <cell r="L147" t="str">
            <v>P</v>
          </cell>
          <cell r="M147" t="str">
            <v>Open</v>
          </cell>
          <cell r="N147" t="str">
            <v/>
          </cell>
          <cell r="O147">
            <v>0</v>
          </cell>
          <cell r="P147" t="str">
            <v>xxx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J148">
            <v>148</v>
          </cell>
          <cell r="L148" t="str">
            <v>P</v>
          </cell>
          <cell r="M148" t="str">
            <v>Open</v>
          </cell>
          <cell r="N148" t="str">
            <v/>
          </cell>
          <cell r="O148">
            <v>0</v>
          </cell>
          <cell r="P148" t="str">
            <v>xxx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J149">
            <v>149</v>
          </cell>
          <cell r="K149" t="str">
            <v>548-OP</v>
          </cell>
          <cell r="L149" t="str">
            <v>Other</v>
          </cell>
          <cell r="M149" t="str">
            <v>Generation Expenses</v>
          </cell>
          <cell r="O149" t="str">
            <v>P01</v>
          </cell>
          <cell r="P149" t="str">
            <v/>
          </cell>
          <cell r="Q149">
            <v>2596000</v>
          </cell>
        </row>
        <row r="150">
          <cell r="J150">
            <v>150</v>
          </cell>
          <cell r="L150" t="str">
            <v>P</v>
          </cell>
          <cell r="M150" t="str">
            <v>Coincident Peak</v>
          </cell>
          <cell r="N150" t="str">
            <v/>
          </cell>
          <cell r="O150">
            <v>34.200000000000003</v>
          </cell>
          <cell r="P150" t="str">
            <v>D01</v>
          </cell>
          <cell r="R150">
            <v>887832</v>
          </cell>
          <cell r="S150">
            <v>442441.70932378841</v>
          </cell>
          <cell r="T150">
            <v>69109.244477178931</v>
          </cell>
          <cell r="U150">
            <v>217174.28062532839</v>
          </cell>
          <cell r="V150">
            <v>141166.07349090793</v>
          </cell>
          <cell r="W150">
            <v>15782.58571768605</v>
          </cell>
          <cell r="X150">
            <v>2158.1063651102318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J151">
            <v>151</v>
          </cell>
          <cell r="L151" t="str">
            <v>P</v>
          </cell>
          <cell r="M151" t="str">
            <v>Generation Level Consumption</v>
          </cell>
          <cell r="N151" t="str">
            <v/>
          </cell>
          <cell r="O151">
            <v>65.8</v>
          </cell>
          <cell r="P151" t="str">
            <v>E02</v>
          </cell>
          <cell r="R151">
            <v>1708168</v>
          </cell>
          <cell r="S151">
            <v>736357.21695518133</v>
          </cell>
          <cell r="T151">
            <v>150831.38368157553</v>
          </cell>
          <cell r="U151">
            <v>455794.70207150065</v>
          </cell>
          <cell r="V151">
            <v>318945.30592237687</v>
          </cell>
          <cell r="W151">
            <v>38264.047376946968</v>
          </cell>
          <cell r="X151">
            <v>7975.3439924188424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J152">
            <v>152</v>
          </cell>
          <cell r="L152" t="str">
            <v>P</v>
          </cell>
          <cell r="M152" t="str">
            <v>Open</v>
          </cell>
          <cell r="N152" t="str">
            <v/>
          </cell>
          <cell r="O152">
            <v>0</v>
          </cell>
          <cell r="P152" t="str">
            <v>xxx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J153">
            <v>153</v>
          </cell>
          <cell r="L153" t="str">
            <v>P</v>
          </cell>
          <cell r="M153" t="str">
            <v>Open</v>
          </cell>
          <cell r="N153" t="str">
            <v/>
          </cell>
          <cell r="O153">
            <v>0</v>
          </cell>
          <cell r="P153" t="str">
            <v>xxx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J154">
            <v>154</v>
          </cell>
          <cell r="K154" t="str">
            <v>549-OP</v>
          </cell>
          <cell r="L154" t="str">
            <v>Other</v>
          </cell>
          <cell r="M154" t="str">
            <v>Miscellaneous Power Exp.</v>
          </cell>
          <cell r="O154" t="str">
            <v>P01</v>
          </cell>
          <cell r="P154" t="str">
            <v/>
          </cell>
          <cell r="Q154">
            <v>302000</v>
          </cell>
        </row>
        <row r="155">
          <cell r="J155">
            <v>155</v>
          </cell>
          <cell r="L155" t="str">
            <v>P</v>
          </cell>
          <cell r="M155" t="str">
            <v>Coincident Peak</v>
          </cell>
          <cell r="N155" t="str">
            <v/>
          </cell>
          <cell r="O155">
            <v>34.200000000000003</v>
          </cell>
          <cell r="P155" t="str">
            <v>D01</v>
          </cell>
          <cell r="R155">
            <v>103284</v>
          </cell>
          <cell r="S155">
            <v>51470.491608545497</v>
          </cell>
          <cell r="T155">
            <v>8039.6732789322177</v>
          </cell>
          <cell r="U155">
            <v>25264.496436382578</v>
          </cell>
          <cell r="V155">
            <v>16422.247378372187</v>
          </cell>
          <cell r="W155">
            <v>1836.0326990528456</v>
          </cell>
          <cell r="X155">
            <v>251.0585987146726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J156">
            <v>156</v>
          </cell>
          <cell r="L156" t="str">
            <v>P</v>
          </cell>
          <cell r="M156" t="str">
            <v>Generation Level Consumption</v>
          </cell>
          <cell r="N156" t="str">
            <v/>
          </cell>
          <cell r="O156">
            <v>65.8</v>
          </cell>
          <cell r="P156" t="str">
            <v>E02</v>
          </cell>
          <cell r="R156">
            <v>198716</v>
          </cell>
          <cell r="S156">
            <v>85662.511371519548</v>
          </cell>
          <cell r="T156">
            <v>17546.640166346617</v>
          </cell>
          <cell r="U156">
            <v>53023.882906622959</v>
          </cell>
          <cell r="V156">
            <v>37103.806775253397</v>
          </cell>
          <cell r="W156">
            <v>4451.3645253613195</v>
          </cell>
          <cell r="X156">
            <v>927.79425489618279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J157">
            <v>157</v>
          </cell>
          <cell r="L157" t="str">
            <v>P</v>
          </cell>
          <cell r="M157" t="str">
            <v>Open</v>
          </cell>
          <cell r="N157" t="str">
            <v/>
          </cell>
          <cell r="O157">
            <v>0</v>
          </cell>
          <cell r="P157" t="str">
            <v>xxx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J158">
            <v>158</v>
          </cell>
          <cell r="L158" t="str">
            <v>P</v>
          </cell>
          <cell r="M158" t="str">
            <v>Open</v>
          </cell>
          <cell r="N158" t="str">
            <v/>
          </cell>
          <cell r="O158">
            <v>0</v>
          </cell>
          <cell r="P158" t="str">
            <v>xxx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J159">
            <v>159</v>
          </cell>
          <cell r="K159" t="str">
            <v>550-OP</v>
          </cell>
          <cell r="L159" t="str">
            <v>Other</v>
          </cell>
          <cell r="M159" t="str">
            <v>Rents</v>
          </cell>
          <cell r="O159" t="str">
            <v>P01</v>
          </cell>
          <cell r="P159" t="str">
            <v/>
          </cell>
          <cell r="Q159">
            <v>-21000</v>
          </cell>
        </row>
        <row r="160">
          <cell r="J160">
            <v>160</v>
          </cell>
          <cell r="L160" t="str">
            <v>P</v>
          </cell>
          <cell r="M160" t="str">
            <v>Coincident Peak</v>
          </cell>
          <cell r="N160" t="str">
            <v/>
          </cell>
          <cell r="O160">
            <v>34.200000000000003</v>
          </cell>
          <cell r="P160" t="str">
            <v>D01</v>
          </cell>
          <cell r="R160">
            <v>-7182.0000000000009</v>
          </cell>
          <cell r="S160">
            <v>-3579.0739197995217</v>
          </cell>
          <cell r="T160">
            <v>-559.05012866747222</v>
          </cell>
          <cell r="U160">
            <v>-1756.8027323312392</v>
          </cell>
          <cell r="V160">
            <v>-1141.9443541252185</v>
          </cell>
          <cell r="W160">
            <v>-127.67114794738332</v>
          </cell>
          <cell r="X160">
            <v>-17.457717129165978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J161">
            <v>161</v>
          </cell>
          <cell r="L161" t="str">
            <v>P</v>
          </cell>
          <cell r="M161" t="str">
            <v>Generation Level Consumption</v>
          </cell>
          <cell r="N161" t="str">
            <v/>
          </cell>
          <cell r="O161">
            <v>65.8</v>
          </cell>
          <cell r="P161" t="str">
            <v>E02</v>
          </cell>
          <cell r="R161">
            <v>-13818</v>
          </cell>
          <cell r="S161">
            <v>-5956.664698019571</v>
          </cell>
          <cell r="T161">
            <v>-1220.1306075936388</v>
          </cell>
          <cell r="U161">
            <v>-3687.0911954936496</v>
          </cell>
          <cell r="V161">
            <v>-2580.066034040799</v>
          </cell>
          <cell r="W161">
            <v>-309.5319703065818</v>
          </cell>
          <cell r="X161">
            <v>-64.515494545761058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J162">
            <v>162</v>
          </cell>
          <cell r="L162" t="str">
            <v>P</v>
          </cell>
          <cell r="M162" t="str">
            <v>Open</v>
          </cell>
          <cell r="N162" t="str">
            <v/>
          </cell>
          <cell r="O162">
            <v>0</v>
          </cell>
          <cell r="P162" t="str">
            <v>xxx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J163">
            <v>163</v>
          </cell>
          <cell r="L163" t="str">
            <v>P</v>
          </cell>
          <cell r="M163" t="str">
            <v>Open</v>
          </cell>
          <cell r="N163" t="str">
            <v/>
          </cell>
          <cell r="O163">
            <v>0</v>
          </cell>
          <cell r="P163" t="str">
            <v>xxx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J164">
            <v>164</v>
          </cell>
          <cell r="L164" t="str">
            <v>Total Other Operation</v>
          </cell>
          <cell r="N164" t="str">
            <v/>
          </cell>
          <cell r="Q164">
            <v>38794000</v>
          </cell>
          <cell r="R164">
            <v>38794000</v>
          </cell>
          <cell r="S164">
            <v>17615687.806651138</v>
          </cell>
          <cell r="T164">
            <v>3286739.8801196916</v>
          </cell>
          <cell r="U164">
            <v>10056686.716001844</v>
          </cell>
          <cell r="V164">
            <v>6875793.8570720237</v>
          </cell>
          <cell r="W164">
            <v>807659.8937878249</v>
          </cell>
          <cell r="X164">
            <v>151431.84636748186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J165">
            <v>165</v>
          </cell>
          <cell r="K165" t="str">
            <v>551-MT</v>
          </cell>
          <cell r="L165" t="str">
            <v>Other</v>
          </cell>
          <cell r="M165" t="str">
            <v>Supervision &amp; Engineering</v>
          </cell>
          <cell r="O165" t="str">
            <v>P01</v>
          </cell>
          <cell r="P165" t="str">
            <v/>
          </cell>
          <cell r="Q165">
            <v>216000</v>
          </cell>
          <cell r="BC165" t="str">
            <v>C01</v>
          </cell>
          <cell r="BD165" t="str">
            <v>Avg Customers-All</v>
          </cell>
          <cell r="BF165">
            <v>235192.16666666669</v>
          </cell>
          <cell r="BG165">
            <v>201447.58333333334</v>
          </cell>
          <cell r="BH165">
            <v>28311.333333333332</v>
          </cell>
          <cell r="BI165">
            <v>2681.9166666666665</v>
          </cell>
          <cell r="BJ165">
            <v>22</v>
          </cell>
          <cell r="BK165">
            <v>2400.25</v>
          </cell>
          <cell r="BL165">
            <v>329.08333333333331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 t="str">
            <v>Unweighted</v>
          </cell>
        </row>
        <row r="166">
          <cell r="J166">
            <v>166</v>
          </cell>
          <cell r="L166" t="str">
            <v>P</v>
          </cell>
          <cell r="M166" t="str">
            <v>Coincident Peak</v>
          </cell>
          <cell r="N166" t="str">
            <v/>
          </cell>
          <cell r="O166">
            <v>34.200000000000003</v>
          </cell>
          <cell r="P166" t="str">
            <v>D01</v>
          </cell>
          <cell r="R166">
            <v>73872.000000000015</v>
          </cell>
          <cell r="S166">
            <v>36813.331746509371</v>
          </cell>
          <cell r="T166">
            <v>5750.2298948654288</v>
          </cell>
          <cell r="U166">
            <v>18069.970961121318</v>
          </cell>
          <cell r="V166">
            <v>11745.713356716535</v>
          </cell>
          <cell r="W166">
            <v>1313.1889503159427</v>
          </cell>
          <cell r="X166">
            <v>179.56509047142148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BC166" t="str">
            <v>C02</v>
          </cell>
          <cell r="BD166" t="str">
            <v>Avg Customers-Secondary</v>
          </cell>
          <cell r="BF166">
            <v>234805.08333333334</v>
          </cell>
          <cell r="BG166">
            <v>201447.58333333334</v>
          </cell>
          <cell r="BH166">
            <v>28311.333333333332</v>
          </cell>
          <cell r="BI166">
            <v>2645.9166666666665</v>
          </cell>
          <cell r="BJ166">
            <v>0</v>
          </cell>
          <cell r="BK166">
            <v>2400.25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 t="str">
            <v>Unweighted Secondary w/o Lighting</v>
          </cell>
        </row>
        <row r="167">
          <cell r="J167">
            <v>167</v>
          </cell>
          <cell r="L167" t="str">
            <v>P</v>
          </cell>
          <cell r="M167" t="str">
            <v>Generation Level Consumption</v>
          </cell>
          <cell r="N167" t="str">
            <v/>
          </cell>
          <cell r="O167">
            <v>65.8</v>
          </cell>
          <cell r="P167" t="str">
            <v>E02</v>
          </cell>
          <cell r="R167">
            <v>142128</v>
          </cell>
          <cell r="S167">
            <v>61268.551179629874</v>
          </cell>
          <cell r="T167">
            <v>12549.914820963142</v>
          </cell>
          <cell r="U167">
            <v>37924.366582220391</v>
          </cell>
          <cell r="V167">
            <v>26537.822064419644</v>
          </cell>
          <cell r="W167">
            <v>3183.7574088676984</v>
          </cell>
          <cell r="X167">
            <v>663.58794389925652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BC167" t="str">
            <v>C03</v>
          </cell>
          <cell r="BD167" t="str">
            <v>Wt Customers-Meter Reading</v>
          </cell>
          <cell r="BF167">
            <v>235192.16666666669</v>
          </cell>
          <cell r="BG167">
            <v>201447.58333333334</v>
          </cell>
          <cell r="BH167">
            <v>28311.333333333332</v>
          </cell>
          <cell r="BI167">
            <v>2681.9166666666665</v>
          </cell>
          <cell r="BJ167">
            <v>22</v>
          </cell>
          <cell r="BK167">
            <v>2400.25</v>
          </cell>
          <cell r="BL167">
            <v>329.08333333333331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 t="str">
            <v>Est. Meter Reading Time</v>
          </cell>
        </row>
        <row r="168">
          <cell r="J168">
            <v>168</v>
          </cell>
          <cell r="L168" t="str">
            <v>P</v>
          </cell>
          <cell r="M168" t="str">
            <v>Open</v>
          </cell>
          <cell r="N168" t="str">
            <v/>
          </cell>
          <cell r="O168">
            <v>0</v>
          </cell>
          <cell r="P168" t="str">
            <v>xxx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BC168" t="str">
            <v>C04</v>
          </cell>
          <cell r="BD168" t="str">
            <v>Wt Customers-Meters</v>
          </cell>
          <cell r="BF168">
            <v>329804.24333333329</v>
          </cell>
          <cell r="BG168">
            <v>201447.58333333334</v>
          </cell>
          <cell r="BH168">
            <v>77006.826666666675</v>
          </cell>
          <cell r="BI168">
            <v>38270.950833333329</v>
          </cell>
          <cell r="BJ168">
            <v>765.59999999999991</v>
          </cell>
          <cell r="BK168">
            <v>12313.282499999999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 t="str">
            <v>Proportion Installed Meter Costs</v>
          </cell>
        </row>
        <row r="169">
          <cell r="J169">
            <v>169</v>
          </cell>
          <cell r="L169" t="str">
            <v>P</v>
          </cell>
          <cell r="M169" t="str">
            <v>Open</v>
          </cell>
          <cell r="N169" t="str">
            <v/>
          </cell>
          <cell r="O169">
            <v>0</v>
          </cell>
          <cell r="P169" t="str">
            <v>xxx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BC169" t="str">
            <v>C05</v>
          </cell>
          <cell r="BD169" t="str">
            <v>DA Street &amp; Area Lights</v>
          </cell>
          <cell r="BF169">
            <v>329.08333333333331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329.08333333333331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 t="str">
            <v>Direct Assigned to Street &amp; Area Lights</v>
          </cell>
        </row>
        <row r="170">
          <cell r="J170">
            <v>170</v>
          </cell>
          <cell r="K170" t="str">
            <v>552-MT</v>
          </cell>
          <cell r="L170" t="str">
            <v>Other</v>
          </cell>
          <cell r="M170" t="str">
            <v>Structures</v>
          </cell>
          <cell r="O170" t="str">
            <v>P01</v>
          </cell>
          <cell r="P170" t="str">
            <v/>
          </cell>
          <cell r="Q170">
            <v>8000</v>
          </cell>
          <cell r="BC170" t="str">
            <v>C06</v>
          </cell>
          <cell r="BD170" t="str">
            <v>DA Handbilled</v>
          </cell>
          <cell r="BF170">
            <v>22</v>
          </cell>
          <cell r="BG170">
            <v>0</v>
          </cell>
          <cell r="BH170">
            <v>0</v>
          </cell>
          <cell r="BI170">
            <v>0</v>
          </cell>
          <cell r="BJ170">
            <v>22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 t="str">
            <v>Direct Assigned to Handbilled Customers</v>
          </cell>
        </row>
        <row r="171">
          <cell r="J171">
            <v>171</v>
          </cell>
          <cell r="L171" t="str">
            <v>P</v>
          </cell>
          <cell r="M171" t="str">
            <v>Coincident Peak</v>
          </cell>
          <cell r="N171" t="str">
            <v/>
          </cell>
          <cell r="O171">
            <v>34.200000000000003</v>
          </cell>
          <cell r="P171" t="str">
            <v>D01</v>
          </cell>
          <cell r="R171">
            <v>2736</v>
          </cell>
          <cell r="S171">
            <v>1363.4567313521986</v>
          </cell>
          <cell r="T171">
            <v>212.9714775876084</v>
          </cell>
          <cell r="U171">
            <v>669.25818374523385</v>
          </cell>
          <cell r="V171">
            <v>435.02642061913082</v>
          </cell>
          <cell r="W171">
            <v>48.636627789479355</v>
          </cell>
          <cell r="X171">
            <v>6.6505589063489428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BC171" t="str">
            <v>C07</v>
          </cell>
          <cell r="BD171" t="str">
            <v>Open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 t="str">
            <v>Open</v>
          </cell>
        </row>
        <row r="172">
          <cell r="J172">
            <v>172</v>
          </cell>
          <cell r="L172" t="str">
            <v>P</v>
          </cell>
          <cell r="M172" t="str">
            <v>Generation Level Consumption</v>
          </cell>
          <cell r="N172" t="str">
            <v/>
          </cell>
          <cell r="O172">
            <v>65.8</v>
          </cell>
          <cell r="P172" t="str">
            <v>E02</v>
          </cell>
          <cell r="R172">
            <v>5264</v>
          </cell>
          <cell r="S172">
            <v>2269.2055992455507</v>
          </cell>
          <cell r="T172">
            <v>464.81166003567193</v>
          </cell>
          <cell r="U172">
            <v>1404.6061697118664</v>
          </cell>
          <cell r="V172">
            <v>982.88229868220913</v>
          </cell>
          <cell r="W172">
            <v>117.91694106917402</v>
          </cell>
          <cell r="X172">
            <v>24.577331255528019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BC172" t="str">
            <v>D01</v>
          </cell>
          <cell r="BD172" t="str">
            <v>Coincident Peak</v>
          </cell>
          <cell r="BF172">
            <v>890668</v>
          </cell>
          <cell r="BG172">
            <v>443855</v>
          </cell>
          <cell r="BH172">
            <v>69330</v>
          </cell>
          <cell r="BI172">
            <v>217868</v>
          </cell>
          <cell r="BJ172">
            <v>141617</v>
          </cell>
          <cell r="BK172">
            <v>15833</v>
          </cell>
          <cell r="BL172">
            <v>2165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 t="str">
            <v>Coincident Peak 12 Month Average</v>
          </cell>
        </row>
        <row r="173">
          <cell r="J173">
            <v>173</v>
          </cell>
          <cell r="L173" t="str">
            <v>P</v>
          </cell>
          <cell r="M173" t="str">
            <v>Open</v>
          </cell>
          <cell r="N173" t="str">
            <v/>
          </cell>
          <cell r="O173">
            <v>0</v>
          </cell>
          <cell r="P173" t="str">
            <v>xxx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BC173" t="str">
            <v>D02</v>
          </cell>
          <cell r="BD173" t="str">
            <v>NCP-All</v>
          </cell>
          <cell r="BF173">
            <v>1067253</v>
          </cell>
          <cell r="BG173">
            <v>502374</v>
          </cell>
          <cell r="BH173">
            <v>103881</v>
          </cell>
          <cell r="BI173">
            <v>277639</v>
          </cell>
          <cell r="BJ173">
            <v>151519</v>
          </cell>
          <cell r="BK173">
            <v>25372</v>
          </cell>
          <cell r="BL173">
            <v>6468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 t="str">
            <v>Non-Coincident Peak All Sched.12 Mo Avg</v>
          </cell>
        </row>
        <row r="174">
          <cell r="J174">
            <v>174</v>
          </cell>
          <cell r="L174" t="str">
            <v>P</v>
          </cell>
          <cell r="M174" t="str">
            <v>Open</v>
          </cell>
          <cell r="N174" t="str">
            <v/>
          </cell>
          <cell r="O174">
            <v>0</v>
          </cell>
          <cell r="P174" t="str">
            <v>xxx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BC174" t="str">
            <v>D03</v>
          </cell>
          <cell r="BD174" t="str">
            <v>NCP-w/o DA</v>
          </cell>
          <cell r="BF174">
            <v>915734</v>
          </cell>
          <cell r="BG174">
            <v>502374</v>
          </cell>
          <cell r="BH174">
            <v>103881</v>
          </cell>
          <cell r="BI174">
            <v>277639</v>
          </cell>
          <cell r="BJ174">
            <v>0</v>
          </cell>
          <cell r="BK174">
            <v>25372</v>
          </cell>
          <cell r="BL174">
            <v>6468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 t="str">
            <v>NCP w/o Sch 25/28 12 Mo Avg</v>
          </cell>
        </row>
        <row r="175">
          <cell r="J175">
            <v>175</v>
          </cell>
          <cell r="K175" t="str">
            <v>553-MT</v>
          </cell>
          <cell r="L175" t="str">
            <v>Other</v>
          </cell>
          <cell r="M175" t="str">
            <v>Generating &amp; Electric Plant</v>
          </cell>
          <cell r="O175" t="str">
            <v>P01</v>
          </cell>
          <cell r="P175" t="str">
            <v/>
          </cell>
          <cell r="Q175">
            <v>372000</v>
          </cell>
          <cell r="BC175" t="str">
            <v>D04</v>
          </cell>
          <cell r="BD175" t="str">
            <v xml:space="preserve">DA Sch 25 </v>
          </cell>
          <cell r="BF175">
            <v>100</v>
          </cell>
          <cell r="BG175">
            <v>0</v>
          </cell>
          <cell r="BH175">
            <v>0</v>
          </cell>
          <cell r="BI175">
            <v>0</v>
          </cell>
          <cell r="BJ175">
            <v>100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 t="str">
            <v>Direct Assigned to Schedule 25 Customers</v>
          </cell>
        </row>
        <row r="176">
          <cell r="J176">
            <v>176</v>
          </cell>
          <cell r="L176" t="str">
            <v>P</v>
          </cell>
          <cell r="M176" t="str">
            <v>Coincident Peak</v>
          </cell>
          <cell r="N176" t="str">
            <v/>
          </cell>
          <cell r="O176">
            <v>34.200000000000003</v>
          </cell>
          <cell r="P176" t="str">
            <v>D01</v>
          </cell>
          <cell r="R176">
            <v>127224.00000000001</v>
          </cell>
          <cell r="S176">
            <v>63400.73800787724</v>
          </cell>
          <cell r="T176">
            <v>9903.1737078237929</v>
          </cell>
          <cell r="U176">
            <v>31120.50554415338</v>
          </cell>
          <cell r="V176">
            <v>20228.728558789586</v>
          </cell>
          <cell r="W176">
            <v>2261.6031922107904</v>
          </cell>
          <cell r="X176">
            <v>309.2509891452259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BC176" t="str">
            <v>D05</v>
          </cell>
          <cell r="BD176" t="str">
            <v>DA Sch 25I</v>
          </cell>
          <cell r="BF176">
            <v>100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100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 t="str">
            <v>Direct Assigned to Schedule 25I Customers (not used)</v>
          </cell>
        </row>
        <row r="177">
          <cell r="J177">
            <v>177</v>
          </cell>
          <cell r="L177" t="str">
            <v>P</v>
          </cell>
          <cell r="M177" t="str">
            <v>Generation Level Consumption</v>
          </cell>
          <cell r="N177" t="str">
            <v/>
          </cell>
          <cell r="O177">
            <v>65.8</v>
          </cell>
          <cell r="P177" t="str">
            <v>E02</v>
          </cell>
          <cell r="R177">
            <v>244776</v>
          </cell>
          <cell r="S177">
            <v>105518.06036491811</v>
          </cell>
          <cell r="T177">
            <v>21613.742191658745</v>
          </cell>
          <cell r="U177">
            <v>65314.186891601792</v>
          </cell>
          <cell r="V177">
            <v>45704.026888722721</v>
          </cell>
          <cell r="W177">
            <v>5483.137759716592</v>
          </cell>
          <cell r="X177">
            <v>1142.8459033820529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BC177" t="str">
            <v>D06</v>
          </cell>
          <cell r="BD177" t="str">
            <v>NCP-Secondary</v>
          </cell>
          <cell r="BF177">
            <v>895396</v>
          </cell>
          <cell r="BG177">
            <v>502374</v>
          </cell>
          <cell r="BH177">
            <v>103881</v>
          </cell>
          <cell r="BI177">
            <v>257301</v>
          </cell>
          <cell r="BJ177">
            <v>0</v>
          </cell>
          <cell r="BK177">
            <v>25372</v>
          </cell>
          <cell r="BL177">
            <v>6468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 t="str">
            <v>Non-Coincident Peak Secondary12 Mo Avg</v>
          </cell>
        </row>
        <row r="178">
          <cell r="J178">
            <v>178</v>
          </cell>
          <cell r="L178" t="str">
            <v>P</v>
          </cell>
          <cell r="M178" t="str">
            <v>Open</v>
          </cell>
          <cell r="N178" t="str">
            <v/>
          </cell>
          <cell r="O178">
            <v>0</v>
          </cell>
          <cell r="P178" t="str">
            <v>xxx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BC178" t="str">
            <v>D07</v>
          </cell>
          <cell r="BD178" t="str">
            <v>DA Street and Area Lights</v>
          </cell>
          <cell r="BF178">
            <v>100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100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 t="str">
            <v>Direct Assigned to Street &amp; Area Lights</v>
          </cell>
        </row>
        <row r="179">
          <cell r="J179">
            <v>179</v>
          </cell>
          <cell r="L179" t="str">
            <v>P</v>
          </cell>
          <cell r="M179" t="str">
            <v>Open</v>
          </cell>
          <cell r="N179" t="str">
            <v/>
          </cell>
          <cell r="O179">
            <v>0</v>
          </cell>
          <cell r="P179" t="str">
            <v>xxx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BC179" t="str">
            <v>D08</v>
          </cell>
          <cell r="BD179" t="str">
            <v>NCP-Primary</v>
          </cell>
          <cell r="BF179">
            <v>1005856</v>
          </cell>
          <cell r="BG179">
            <v>502374</v>
          </cell>
          <cell r="BH179">
            <v>103881</v>
          </cell>
          <cell r="BI179">
            <v>276437</v>
          </cell>
          <cell r="BJ179">
            <v>91324</v>
          </cell>
          <cell r="BK179">
            <v>25372</v>
          </cell>
          <cell r="BL179">
            <v>6468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 t="str">
            <v>Non-Coincident Peak Primary 12 Mo Avg</v>
          </cell>
        </row>
        <row r="180">
          <cell r="J180">
            <v>180</v>
          </cell>
          <cell r="K180" t="str">
            <v>554-MT</v>
          </cell>
          <cell r="L180" t="str">
            <v>Other</v>
          </cell>
          <cell r="O180" t="str">
            <v>P01</v>
          </cell>
          <cell r="P180" t="str">
            <v/>
          </cell>
          <cell r="Q180">
            <v>97000</v>
          </cell>
          <cell r="BC180" t="str">
            <v>E01</v>
          </cell>
          <cell r="BD180" t="str">
            <v>Customer Level Consumption</v>
          </cell>
          <cell r="BF180">
            <v>5574856.254999999</v>
          </cell>
          <cell r="BG180">
            <v>2390086.21</v>
          </cell>
          <cell r="BH180">
            <v>489572.18300000002</v>
          </cell>
          <cell r="BI180">
            <v>1481850.5589999999</v>
          </cell>
          <cell r="BJ180">
            <v>1063262.3589999999</v>
          </cell>
          <cell r="BK180">
            <v>124198.378</v>
          </cell>
          <cell r="BL180">
            <v>25886.565999999999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 t="str">
            <v>Energy Sales-MWH</v>
          </cell>
        </row>
        <row r="181">
          <cell r="J181">
            <v>181</v>
          </cell>
          <cell r="L181" t="str">
            <v>P</v>
          </cell>
          <cell r="M181" t="str">
            <v>Coincident Peak</v>
          </cell>
          <cell r="N181" t="str">
            <v/>
          </cell>
          <cell r="O181">
            <v>34.200000000000003</v>
          </cell>
          <cell r="P181" t="str">
            <v>D01</v>
          </cell>
          <cell r="R181">
            <v>33174.000000000007</v>
          </cell>
          <cell r="S181">
            <v>16531.912867645409</v>
          </cell>
          <cell r="T181">
            <v>2582.2791657497528</v>
          </cell>
          <cell r="U181">
            <v>8114.7554779109623</v>
          </cell>
          <cell r="V181">
            <v>5274.6953500069621</v>
          </cell>
          <cell r="W181">
            <v>589.71911194743734</v>
          </cell>
          <cell r="X181">
            <v>80.638026739480949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BC181" t="str">
            <v>E02</v>
          </cell>
          <cell r="BD181" t="str">
            <v>Generation Level Consumption</v>
          </cell>
          <cell r="BF181">
            <v>5943611.1069899667</v>
          </cell>
          <cell r="BG181">
            <v>2562172.4171199999</v>
          </cell>
          <cell r="BH181">
            <v>524821.38017600006</v>
          </cell>
          <cell r="BI181">
            <v>1585948.4861789674</v>
          </cell>
          <cell r="BJ181">
            <v>1109777.763547</v>
          </cell>
          <cell r="BK181">
            <v>133140.66121600001</v>
          </cell>
          <cell r="BL181">
            <v>27750.398752000001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 t="str">
            <v>Energy Sales with Losses - MWH</v>
          </cell>
        </row>
        <row r="182">
          <cell r="J182">
            <v>182</v>
          </cell>
          <cell r="L182" t="str">
            <v>P</v>
          </cell>
          <cell r="M182" t="str">
            <v>Generation Level Consumption</v>
          </cell>
          <cell r="N182" t="str">
            <v/>
          </cell>
          <cell r="O182">
            <v>65.8</v>
          </cell>
          <cell r="P182" t="str">
            <v>E02</v>
          </cell>
          <cell r="R182">
            <v>63826</v>
          </cell>
          <cell r="S182">
            <v>27514.117890852303</v>
          </cell>
          <cell r="T182">
            <v>5635.8413779325228</v>
          </cell>
          <cell r="U182">
            <v>17030.849807756382</v>
          </cell>
          <cell r="V182">
            <v>11917.447871521785</v>
          </cell>
          <cell r="W182">
            <v>1429.7429104637349</v>
          </cell>
          <cell r="X182">
            <v>298.00014147327727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BC182" t="str">
            <v>E03</v>
          </cell>
          <cell r="BD182" t="str">
            <v>Open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 t="str">
            <v>Open</v>
          </cell>
        </row>
        <row r="183">
          <cell r="J183">
            <v>183</v>
          </cell>
          <cell r="L183" t="str">
            <v>P</v>
          </cell>
          <cell r="M183" t="str">
            <v>Open</v>
          </cell>
          <cell r="N183" t="str">
            <v/>
          </cell>
          <cell r="O183">
            <v>0</v>
          </cell>
          <cell r="P183" t="str">
            <v>xxx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BC183" t="str">
            <v>R01</v>
          </cell>
          <cell r="BD183" t="str">
            <v>Retail Sales Revenue</v>
          </cell>
          <cell r="BF183">
            <v>455105000</v>
          </cell>
          <cell r="BG183">
            <v>198459000</v>
          </cell>
          <cell r="BH183">
            <v>55514000</v>
          </cell>
          <cell r="BI183">
            <v>126921000</v>
          </cell>
          <cell r="BJ183">
            <v>58190000</v>
          </cell>
          <cell r="BK183">
            <v>9439000</v>
          </cell>
          <cell r="BL183">
            <v>6582000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 t="str">
            <v>Input Revenue From Rates</v>
          </cell>
        </row>
        <row r="184">
          <cell r="J184">
            <v>184</v>
          </cell>
          <cell r="L184" t="str">
            <v>P</v>
          </cell>
          <cell r="M184" t="str">
            <v>Open</v>
          </cell>
          <cell r="N184" t="str">
            <v/>
          </cell>
          <cell r="O184">
            <v>0</v>
          </cell>
          <cell r="P184" t="str">
            <v>xxx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BC184" t="str">
            <v>R02</v>
          </cell>
          <cell r="BD184" t="str">
            <v>Open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 t="str">
            <v>Open</v>
          </cell>
        </row>
        <row r="185">
          <cell r="J185">
            <v>185</v>
          </cell>
          <cell r="L185" t="str">
            <v>Total Other Maintenance</v>
          </cell>
          <cell r="N185" t="str">
            <v/>
          </cell>
          <cell r="Q185">
            <v>693000</v>
          </cell>
          <cell r="R185">
            <v>693000</v>
          </cell>
          <cell r="S185">
            <v>314679.37438803009</v>
          </cell>
          <cell r="T185">
            <v>58712.964296616665</v>
          </cell>
          <cell r="U185">
            <v>179648.49961822131</v>
          </cell>
          <cell r="V185">
            <v>122826.34280947856</v>
          </cell>
          <cell r="W185">
            <v>14427.70290238085</v>
          </cell>
          <cell r="X185">
            <v>2705.1159852725923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BC185" t="str">
            <v>R03</v>
          </cell>
          <cell r="BD185" t="str">
            <v xml:space="preserve">Income Tax Allocator A </v>
          </cell>
          <cell r="BF185">
            <v>88443999.999999955</v>
          </cell>
          <cell r="BG185">
            <v>20917652.438405752</v>
          </cell>
          <cell r="BH185">
            <v>20926140.427507732</v>
          </cell>
          <cell r="BI185">
            <v>37027247.05611667</v>
          </cell>
          <cell r="BJ185">
            <v>6177152.084118668</v>
          </cell>
          <cell r="BK185">
            <v>1682079.8883285027</v>
          </cell>
          <cell r="BL185">
            <v>1713728.1055226272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 t="str">
            <v>Rev - Exp before Inc Tax - Interest Exp</v>
          </cell>
        </row>
        <row r="186">
          <cell r="J186">
            <v>186</v>
          </cell>
          <cell r="L186" t="str">
            <v>Total Other</v>
          </cell>
          <cell r="N186" t="str">
            <v/>
          </cell>
          <cell r="Q186">
            <v>39487000</v>
          </cell>
          <cell r="R186">
            <v>39487000</v>
          </cell>
          <cell r="S186">
            <v>17930367.181039169</v>
          </cell>
          <cell r="T186">
            <v>3345452.8444163082</v>
          </cell>
          <cell r="U186">
            <v>10236335.215620065</v>
          </cell>
          <cell r="V186">
            <v>6998620.1998815024</v>
          </cell>
          <cell r="W186">
            <v>822087.59669020574</v>
          </cell>
          <cell r="X186">
            <v>154136.96235275446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BC186" t="str">
            <v>R04</v>
          </cell>
          <cell r="BD186" t="str">
            <v>Revenue Conversion Allocator U</v>
          </cell>
          <cell r="BF186">
            <v>433808760.86956525</v>
          </cell>
          <cell r="BG186">
            <v>204294166.5207954</v>
          </cell>
          <cell r="BH186">
            <v>44609049.692485712</v>
          </cell>
          <cell r="BI186">
            <v>111054440.08406337</v>
          </cell>
          <cell r="BJ186">
            <v>58400553.392177619</v>
          </cell>
          <cell r="BK186">
            <v>9189490.2016773876</v>
          </cell>
          <cell r="BL186">
            <v>6261060.9783657081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 t="str">
            <v>Uniform Return Revenue Excl Rev Conversion Items</v>
          </cell>
        </row>
        <row r="187">
          <cell r="J187">
            <v>187</v>
          </cell>
          <cell r="BC187" t="str">
            <v>R05</v>
          </cell>
          <cell r="BD187" t="str">
            <v>Income Tax Allocator U</v>
          </cell>
          <cell r="BF187">
            <v>59026000</v>
          </cell>
          <cell r="BG187">
            <v>29081961.704256535</v>
          </cell>
          <cell r="BH187">
            <v>5658523.7695352286</v>
          </cell>
          <cell r="BI187">
            <v>14783942.898635885</v>
          </cell>
          <cell r="BJ187">
            <v>7056028.130928522</v>
          </cell>
          <cell r="BK187">
            <v>1314771.0268782533</v>
          </cell>
          <cell r="BL187">
            <v>1130772.4697655702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 t="str">
            <v>Uniform Return less Interest Expense</v>
          </cell>
        </row>
        <row r="188">
          <cell r="J188">
            <v>188</v>
          </cell>
          <cell r="K188" t="str">
            <v>555-OP</v>
          </cell>
          <cell r="L188" t="str">
            <v>Total Purchased Power</v>
          </cell>
          <cell r="O188" t="str">
            <v>Manual Input</v>
          </cell>
          <cell r="Q188">
            <v>26782000</v>
          </cell>
          <cell r="BC188" t="str">
            <v>R06</v>
          </cell>
          <cell r="BD188" t="str">
            <v>Income Tax Allocator B</v>
          </cell>
          <cell r="BF188">
            <v>123315999.99999994</v>
          </cell>
          <cell r="BG188">
            <v>38098999.108531356</v>
          </cell>
          <cell r="BH188">
            <v>24269142.509492494</v>
          </cell>
          <cell r="BI188">
            <v>45761460.05989857</v>
          </cell>
          <cell r="BJ188">
            <v>10345786.465268321</v>
          </cell>
          <cell r="BK188">
            <v>2458834.1195028741</v>
          </cell>
          <cell r="BL188">
            <v>2381777.7373063322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 t="str">
            <v>Net Income Before Tax</v>
          </cell>
        </row>
        <row r="189">
          <cell r="J189">
            <v>189</v>
          </cell>
          <cell r="L189" t="str">
            <v>P</v>
          </cell>
          <cell r="M189" t="str">
            <v xml:space="preserve">Production Plant </v>
          </cell>
          <cell r="N189" t="str">
            <v/>
          </cell>
          <cell r="O189">
            <v>100</v>
          </cell>
          <cell r="P189" t="str">
            <v>S01</v>
          </cell>
          <cell r="R189">
            <v>26782000</v>
          </cell>
          <cell r="S189">
            <v>12161245.317258615</v>
          </cell>
          <cell r="T189">
            <v>2269048.4989783363</v>
          </cell>
          <cell r="U189">
            <v>6942779.3892860068</v>
          </cell>
          <cell r="V189">
            <v>4746803.9150410593</v>
          </cell>
          <cell r="W189">
            <v>557579.71014655672</v>
          </cell>
          <cell r="X189">
            <v>104543.16928942359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BC189" t="str">
            <v>S01</v>
          </cell>
          <cell r="BD189" t="str">
            <v xml:space="preserve">Production Plant </v>
          </cell>
          <cell r="BF189">
            <v>775077000.00000024</v>
          </cell>
          <cell r="BG189">
            <v>351949127.65158904</v>
          </cell>
          <cell r="BH189">
            <v>65666765.119954914</v>
          </cell>
          <cell r="BI189">
            <v>200925570.18555865</v>
          </cell>
          <cell r="BJ189">
            <v>137373554.55374059</v>
          </cell>
          <cell r="BK189">
            <v>16136480.061282311</v>
          </cell>
          <cell r="BL189">
            <v>3025502.4278746392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 t="str">
            <v>line 893</v>
          </cell>
        </row>
        <row r="190">
          <cell r="J190">
            <v>190</v>
          </cell>
          <cell r="L190" t="str">
            <v>P</v>
          </cell>
          <cell r="M190" t="str">
            <v>Open</v>
          </cell>
          <cell r="N190" t="str">
            <v/>
          </cell>
          <cell r="O190">
            <v>0</v>
          </cell>
          <cell r="P190" t="str">
            <v>xxx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BC190" t="str">
            <v>S02</v>
          </cell>
          <cell r="BD190" t="str">
            <v>Transmission Plant</v>
          </cell>
          <cell r="BF190">
            <v>333426000.00000006</v>
          </cell>
          <cell r="BG190">
            <v>151403008.78023571</v>
          </cell>
          <cell r="BH190">
            <v>28248815.055647489</v>
          </cell>
          <cell r="BI190">
            <v>86435036.989473373</v>
          </cell>
          <cell r="BJ190">
            <v>59095954.080221057</v>
          </cell>
          <cell r="BK190">
            <v>6941661.28128317</v>
          </cell>
          <cell r="BL190">
            <v>1301523.8131392484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 t="str">
            <v>line 932</v>
          </cell>
        </row>
        <row r="191">
          <cell r="J191">
            <v>191</v>
          </cell>
          <cell r="L191" t="str">
            <v>P</v>
          </cell>
          <cell r="M191" t="str">
            <v>Open</v>
          </cell>
          <cell r="N191" t="str">
            <v/>
          </cell>
          <cell r="O191">
            <v>0</v>
          </cell>
          <cell r="P191" t="str">
            <v>xxx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BC191" t="str">
            <v>S03</v>
          </cell>
          <cell r="BD191" t="str">
            <v>Distribution Plant</v>
          </cell>
          <cell r="BF191">
            <v>695186000.00000012</v>
          </cell>
          <cell r="BG191">
            <v>377267678.89115131</v>
          </cell>
          <cell r="BH191">
            <v>76499108.077935427</v>
          </cell>
          <cell r="BI191">
            <v>164018215.42208663</v>
          </cell>
          <cell r="BJ191">
            <v>25510159.121658944</v>
          </cell>
          <cell r="BK191">
            <v>16701655.117546072</v>
          </cell>
          <cell r="BL191">
            <v>35189183.369621739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 t="str">
            <v>line 1089</v>
          </cell>
        </row>
        <row r="192">
          <cell r="J192">
            <v>192</v>
          </cell>
          <cell r="L192" t="str">
            <v>P</v>
          </cell>
          <cell r="M192" t="str">
            <v>Open</v>
          </cell>
          <cell r="N192" t="str">
            <v/>
          </cell>
          <cell r="O192">
            <v>0</v>
          </cell>
          <cell r="P192" t="str">
            <v>xxx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BC192" t="str">
            <v>S04</v>
          </cell>
          <cell r="BD192" t="str">
            <v>General Plant</v>
          </cell>
          <cell r="BF192">
            <v>140219000</v>
          </cell>
          <cell r="BG192">
            <v>75745431.581599876</v>
          </cell>
          <cell r="BH192">
            <v>13821564.727942536</v>
          </cell>
          <cell r="BI192">
            <v>30433714.10436951</v>
          </cell>
          <cell r="BJ192">
            <v>14500415.003473252</v>
          </cell>
          <cell r="BK192">
            <v>2875836.0294669997</v>
          </cell>
          <cell r="BL192">
            <v>2842038.5531478417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 t="str">
            <v>line 1142</v>
          </cell>
        </row>
        <row r="193">
          <cell r="J193">
            <v>193</v>
          </cell>
          <cell r="K193" t="str">
            <v>556-OP</v>
          </cell>
          <cell r="L193" t="str">
            <v>Total System Control &amp; Load Dispatching</v>
          </cell>
          <cell r="O193" t="str">
            <v>P01</v>
          </cell>
          <cell r="P193" t="str">
            <v/>
          </cell>
          <cell r="Q193">
            <v>492000</v>
          </cell>
          <cell r="BC193" t="str">
            <v>S05</v>
          </cell>
          <cell r="BD193" t="str">
            <v>P/T/D Plant</v>
          </cell>
          <cell r="BF193">
            <v>1803689000.0000002</v>
          </cell>
          <cell r="BG193">
            <v>880619815.32297611</v>
          </cell>
          <cell r="BH193">
            <v>170414688.25353783</v>
          </cell>
          <cell r="BI193">
            <v>451378822.59711862</v>
          </cell>
          <cell r="BJ193">
            <v>221979667.7556206</v>
          </cell>
          <cell r="BK193">
            <v>39779796.460111551</v>
          </cell>
          <cell r="BL193">
            <v>39516209.610635623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 t="str">
            <v>Sum lines 893+932+1089</v>
          </cell>
        </row>
        <row r="194">
          <cell r="J194">
            <v>194</v>
          </cell>
          <cell r="L194" t="str">
            <v>P</v>
          </cell>
          <cell r="M194" t="str">
            <v>Coincident Peak</v>
          </cell>
          <cell r="N194" t="str">
            <v/>
          </cell>
          <cell r="O194">
            <v>34.200000000000003</v>
          </cell>
          <cell r="P194" t="str">
            <v>D01</v>
          </cell>
          <cell r="R194">
            <v>168264</v>
          </cell>
          <cell r="S194">
            <v>83852.588978160216</v>
          </cell>
          <cell r="T194">
            <v>13097.745871637917</v>
          </cell>
          <cell r="U194">
            <v>41159.378300331882</v>
          </cell>
          <cell r="V194">
            <v>26754.124868076546</v>
          </cell>
          <cell r="W194">
            <v>2991.1526090529801</v>
          </cell>
          <cell r="X194">
            <v>409.00937274045998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BC194" t="str">
            <v>S06</v>
          </cell>
          <cell r="BD194" t="str">
            <v>P/T/D/G Plant</v>
          </cell>
          <cell r="BF194">
            <v>1943908000.0000002</v>
          </cell>
          <cell r="BG194">
            <v>956365246.90457594</v>
          </cell>
          <cell r="BH194">
            <v>184236252.98148036</v>
          </cell>
          <cell r="BI194">
            <v>481812536.70148814</v>
          </cell>
          <cell r="BJ194">
            <v>236480082.75909385</v>
          </cell>
          <cell r="BK194">
            <v>42655632.489578553</v>
          </cell>
          <cell r="BL194">
            <v>42358248.163783468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 t="str">
            <v>Sum lines 893+932+1089+1142</v>
          </cell>
        </row>
        <row r="195">
          <cell r="J195">
            <v>195</v>
          </cell>
          <cell r="L195" t="str">
            <v>P</v>
          </cell>
          <cell r="M195" t="str">
            <v>Generation Level Consumption</v>
          </cell>
          <cell r="N195" t="str">
            <v/>
          </cell>
          <cell r="O195">
            <v>65.8</v>
          </cell>
          <cell r="P195" t="str">
            <v>E02</v>
          </cell>
          <cell r="R195">
            <v>323736</v>
          </cell>
          <cell r="S195">
            <v>139556.14435360138</v>
          </cell>
          <cell r="T195">
            <v>28585.917092193824</v>
          </cell>
          <cell r="U195">
            <v>86383.279437279794</v>
          </cell>
          <cell r="V195">
            <v>60447.261368955864</v>
          </cell>
          <cell r="W195">
            <v>7251.8918757542024</v>
          </cell>
          <cell r="X195">
            <v>1511.5058722149734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BC195" t="str">
            <v>S07</v>
          </cell>
          <cell r="BD195" t="str">
            <v>Rate Base</v>
          </cell>
          <cell r="BF195">
            <v>1125272000</v>
          </cell>
          <cell r="BG195">
            <v>554418683.47630131</v>
          </cell>
          <cell r="BH195">
            <v>107874129.35303845</v>
          </cell>
          <cell r="BI195">
            <v>281841171.57581067</v>
          </cell>
          <cell r="BJ195">
            <v>134516160.45380342</v>
          </cell>
          <cell r="BK195">
            <v>25064802.340618473</v>
          </cell>
          <cell r="BL195">
            <v>21557052.800427657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 t="str">
            <v>line 1473</v>
          </cell>
        </row>
        <row r="196">
          <cell r="J196">
            <v>196</v>
          </cell>
          <cell r="L196" t="str">
            <v>P</v>
          </cell>
          <cell r="M196" t="str">
            <v>Open</v>
          </cell>
          <cell r="N196" t="str">
            <v/>
          </cell>
          <cell r="O196">
            <v>0</v>
          </cell>
          <cell r="P196" t="str">
            <v>xxx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BC196" t="str">
            <v>S08</v>
          </cell>
          <cell r="BD196" t="str">
            <v>Account 361</v>
          </cell>
          <cell r="BF196">
            <v>10571000</v>
          </cell>
          <cell r="BG196">
            <v>5107256.6881286791</v>
          </cell>
          <cell r="BH196">
            <v>1056079.5981071778</v>
          </cell>
          <cell r="BI196">
            <v>2822545.8316619857</v>
          </cell>
          <cell r="BJ196">
            <v>1261424.6715657501</v>
          </cell>
          <cell r="BK196">
            <v>257937.94402417491</v>
          </cell>
          <cell r="BL196">
            <v>65755.266512232512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 t="str">
            <v>Sum lines 946 ~ 956</v>
          </cell>
        </row>
        <row r="197">
          <cell r="J197">
            <v>197</v>
          </cell>
          <cell r="L197" t="str">
            <v>P</v>
          </cell>
          <cell r="M197" t="str">
            <v>Open</v>
          </cell>
          <cell r="N197" t="str">
            <v/>
          </cell>
          <cell r="O197">
            <v>0</v>
          </cell>
          <cell r="P197" t="str">
            <v>xxx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BC197" t="str">
            <v>S09</v>
          </cell>
          <cell r="BD197" t="str">
            <v>Account 362</v>
          </cell>
          <cell r="BF197">
            <v>64230000.000000007</v>
          </cell>
          <cell r="BG197">
            <v>32344693.467201877</v>
          </cell>
          <cell r="BH197">
            <v>6688242.429079527</v>
          </cell>
          <cell r="BI197">
            <v>17875424.185050309</v>
          </cell>
          <cell r="BJ197">
            <v>5271663.1284767054</v>
          </cell>
          <cell r="BK197">
            <v>1633543.0628373406</v>
          </cell>
          <cell r="BL197">
            <v>416433.72735424555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 t="str">
            <v>Sum lines 957 ~ 967</v>
          </cell>
        </row>
        <row r="198">
          <cell r="J198">
            <v>198</v>
          </cell>
          <cell r="K198" t="str">
            <v>557-OP</v>
          </cell>
          <cell r="L198" t="str">
            <v>Total Other Expenses</v>
          </cell>
          <cell r="O198" t="str">
            <v>Manual Input</v>
          </cell>
          <cell r="Q198">
            <v>89931000</v>
          </cell>
          <cell r="BC198" t="str">
            <v>S10</v>
          </cell>
          <cell r="BD198" t="str">
            <v>Account 364/365</v>
          </cell>
          <cell r="BF198">
            <v>238083000</v>
          </cell>
          <cell r="BG198">
            <v>118279199.36000225</v>
          </cell>
          <cell r="BH198">
            <v>24457797.395399429</v>
          </cell>
          <cell r="BI198">
            <v>65344173.16181881</v>
          </cell>
          <cell r="BJ198">
            <v>11457186.099999998</v>
          </cell>
          <cell r="BK198">
            <v>5973597.0535138706</v>
          </cell>
          <cell r="BL198">
            <v>12571046.929265633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 t="str">
            <v>Sum lines 979 ~ 1000</v>
          </cell>
        </row>
        <row r="199">
          <cell r="J199">
            <v>199</v>
          </cell>
          <cell r="L199" t="str">
            <v>P</v>
          </cell>
          <cell r="M199" t="str">
            <v xml:space="preserve">Production Plant </v>
          </cell>
          <cell r="N199" t="str">
            <v/>
          </cell>
          <cell r="O199">
            <v>100</v>
          </cell>
          <cell r="P199" t="str">
            <v>S01</v>
          </cell>
          <cell r="R199">
            <v>89931000</v>
          </cell>
          <cell r="S199">
            <v>40836119.506623268</v>
          </cell>
          <cell r="T199">
            <v>7619214.4186999016</v>
          </cell>
          <cell r="U199">
            <v>23313086.896343809</v>
          </cell>
          <cell r="V199">
            <v>15939243.629436096</v>
          </cell>
          <cell r="W199">
            <v>1872291.1251284441</v>
          </cell>
          <cell r="X199">
            <v>351044.4237684696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BC199" t="str">
            <v>S11</v>
          </cell>
          <cell r="BD199" t="str">
            <v>Account 366/367</v>
          </cell>
          <cell r="BF199">
            <v>134480000</v>
          </cell>
          <cell r="BG199">
            <v>70186176.274852425</v>
          </cell>
          <cell r="BH199">
            <v>14513112.098969981</v>
          </cell>
          <cell r="BI199">
            <v>38186744.615625098</v>
          </cell>
          <cell r="BJ199">
            <v>7145632</v>
          </cell>
          <cell r="BK199">
            <v>3544697.1070269481</v>
          </cell>
          <cell r="BL199">
            <v>903637.90352555178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 t="str">
            <v>Sum lines 1001 ~ 1022</v>
          </cell>
        </row>
        <row r="200">
          <cell r="J200">
            <v>200</v>
          </cell>
          <cell r="L200" t="str">
            <v>P</v>
          </cell>
          <cell r="M200" t="str">
            <v>Open</v>
          </cell>
          <cell r="N200" t="str">
            <v/>
          </cell>
          <cell r="O200">
            <v>0</v>
          </cell>
          <cell r="P200" t="str">
            <v>xxx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BC200" t="str">
            <v>S12</v>
          </cell>
          <cell r="BD200" t="str">
            <v>Account 368</v>
          </cell>
          <cell r="BF200">
            <v>121563000</v>
          </cell>
          <cell r="BG200">
            <v>68204560.397857487</v>
          </cell>
          <cell r="BH200">
            <v>14103353.156592168</v>
          </cell>
          <cell r="BI200">
            <v>34932344.41855894</v>
          </cell>
          <cell r="BJ200">
            <v>0</v>
          </cell>
          <cell r="BK200">
            <v>3444617.1705033304</v>
          </cell>
          <cell r="BL200">
            <v>878124.85648807907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 t="str">
            <v>Sum lines 1023 ~ 1033</v>
          </cell>
        </row>
        <row r="201">
          <cell r="J201">
            <v>201</v>
          </cell>
          <cell r="L201" t="str">
            <v>P</v>
          </cell>
          <cell r="M201" t="str">
            <v>Open</v>
          </cell>
          <cell r="N201" t="str">
            <v/>
          </cell>
          <cell r="O201">
            <v>0</v>
          </cell>
          <cell r="P201" t="str">
            <v>xxx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BC201" t="str">
            <v>S13</v>
          </cell>
          <cell r="BD201" t="str">
            <v>Account 369</v>
          </cell>
          <cell r="BF201">
            <v>76191000</v>
          </cell>
          <cell r="BG201">
            <v>65366952.894972108</v>
          </cell>
          <cell r="BH201">
            <v>9186635.8571879305</v>
          </cell>
          <cell r="BI201">
            <v>858563.34065737494</v>
          </cell>
          <cell r="BJ201">
            <v>0</v>
          </cell>
          <cell r="BK201">
            <v>778847.90718258859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 t="str">
            <v>Sum lines 1034 ~ 1044</v>
          </cell>
        </row>
        <row r="202">
          <cell r="J202">
            <v>202</v>
          </cell>
          <cell r="L202" t="str">
            <v>P</v>
          </cell>
          <cell r="M202" t="str">
            <v>Open</v>
          </cell>
          <cell r="N202" t="str">
            <v/>
          </cell>
          <cell r="O202">
            <v>0</v>
          </cell>
          <cell r="P202" t="str">
            <v>xxx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BC202" t="str">
            <v>S14</v>
          </cell>
          <cell r="BD202" t="str">
            <v>Account 370</v>
          </cell>
          <cell r="BF202">
            <v>26286000.000000007</v>
          </cell>
          <cell r="BG202">
            <v>16055739.980725741</v>
          </cell>
          <cell r="BH202">
            <v>6137584.6026157364</v>
          </cell>
          <cell r="BI202">
            <v>3050264.6158747119</v>
          </cell>
          <cell r="BJ202">
            <v>61019.717019408075</v>
          </cell>
          <cell r="BK202">
            <v>981391.0837644065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 t="str">
            <v>Sum lines 1045 ~ 1055</v>
          </cell>
        </row>
        <row r="203">
          <cell r="J203">
            <v>203</v>
          </cell>
          <cell r="M203" t="str">
            <v>Total Production Expenses</v>
          </cell>
          <cell r="P203" t="str">
            <v/>
          </cell>
          <cell r="Q203">
            <v>209676000</v>
          </cell>
          <cell r="R203">
            <v>209676000</v>
          </cell>
          <cell r="S203">
            <v>95210263.353801712</v>
          </cell>
          <cell r="T203">
            <v>17764357.145537365</v>
          </cell>
          <cell r="U203">
            <v>54354947.771933869</v>
          </cell>
          <cell r="V203">
            <v>37162678.578528464</v>
          </cell>
          <cell r="W203">
            <v>4365285.7630008748</v>
          </cell>
          <cell r="X203">
            <v>818467.3871977143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BC203" t="str">
            <v>S15</v>
          </cell>
          <cell r="BD203" t="str">
            <v>Account 373</v>
          </cell>
          <cell r="BF203">
            <v>20332000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20332000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 t="str">
            <v>Sum lines 1078 ~ 1088</v>
          </cell>
        </row>
        <row r="204">
          <cell r="J204">
            <v>204</v>
          </cell>
          <cell r="BC204" t="str">
            <v>S16</v>
          </cell>
          <cell r="BD204" t="str">
            <v>Dist Op Exp Subtotal</v>
          </cell>
          <cell r="BF204">
            <v>4233999.9999999991</v>
          </cell>
          <cell r="BG204">
            <v>2423596.9331031763</v>
          </cell>
          <cell r="BH204">
            <v>657974.02984180965</v>
          </cell>
          <cell r="BI204">
            <v>738238.55637922627</v>
          </cell>
          <cell r="BJ204">
            <v>130239.1079118667</v>
          </cell>
          <cell r="BK204">
            <v>117681.18615760101</v>
          </cell>
          <cell r="BL204">
            <v>166270.18660631942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 t="str">
            <v>Sum lines 269 ~ 282 + line 286</v>
          </cell>
        </row>
        <row r="205">
          <cell r="J205">
            <v>205</v>
          </cell>
          <cell r="L205" t="str">
            <v>Transmission Expenses</v>
          </cell>
          <cell r="BC205" t="str">
            <v>S17</v>
          </cell>
          <cell r="BD205" t="str">
            <v>Dist Mt Exp Subtotal</v>
          </cell>
          <cell r="BF205">
            <v>8458000</v>
          </cell>
          <cell r="BG205">
            <v>4070938.3206562009</v>
          </cell>
          <cell r="BH205">
            <v>851329.30992186989</v>
          </cell>
          <cell r="BI205">
            <v>2204258.6171873976</v>
          </cell>
          <cell r="BJ205">
            <v>380215.83404489903</v>
          </cell>
          <cell r="BK205">
            <v>206176.82156890095</v>
          </cell>
          <cell r="BL205">
            <v>745081.09662073106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 t="str">
            <v>Sum lines 290 ~ 303</v>
          </cell>
        </row>
        <row r="206">
          <cell r="J206">
            <v>206</v>
          </cell>
          <cell r="K206" t="str">
            <v>560-OP</v>
          </cell>
          <cell r="L206" t="str">
            <v>Supervision &amp; Engineering</v>
          </cell>
          <cell r="O206" t="str">
            <v>T01</v>
          </cell>
          <cell r="P206" t="str">
            <v/>
          </cell>
          <cell r="Q206">
            <v>2171000</v>
          </cell>
          <cell r="BC206" t="str">
            <v>S18</v>
          </cell>
          <cell r="BD206" t="str">
            <v>Cust Acctg Exp Subtotal</v>
          </cell>
          <cell r="BF206">
            <v>8365000</v>
          </cell>
          <cell r="BG206">
            <v>7128638.1350873364</v>
          </cell>
          <cell r="BH206">
            <v>1001854.9099257131</v>
          </cell>
          <cell r="BI206">
            <v>94905.151547493413</v>
          </cell>
          <cell r="BJ206">
            <v>43018.715365520249</v>
          </cell>
          <cell r="BK206">
            <v>84937.795731362916</v>
          </cell>
          <cell r="BL206">
            <v>11645.292342573764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 t="str">
            <v>Sum lines 312 ~ 321 + lines 324 ~ 328</v>
          </cell>
        </row>
        <row r="207">
          <cell r="J207">
            <v>207</v>
          </cell>
          <cell r="L207" t="str">
            <v>T</v>
          </cell>
          <cell r="M207" t="str">
            <v>Coincident Peak</v>
          </cell>
          <cell r="N207" t="str">
            <v/>
          </cell>
          <cell r="O207">
            <v>34.200000000000003</v>
          </cell>
          <cell r="P207" t="str">
            <v>D01</v>
          </cell>
          <cell r="R207">
            <v>742482</v>
          </cell>
          <cell r="S207">
            <v>370008.07047070289</v>
          </cell>
          <cell r="T207">
            <v>57795.134730337231</v>
          </cell>
          <cell r="U207">
            <v>181619.93961386284</v>
          </cell>
          <cell r="V207">
            <v>118055.29489551662</v>
          </cell>
          <cell r="W207">
            <v>13198.76486636996</v>
          </cell>
          <cell r="X207">
            <v>1804.7954232104444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BC207" t="str">
            <v>S19</v>
          </cell>
          <cell r="BD207" t="str">
            <v>O&amp;M Exp excl PP/F/W/A&amp;G</v>
          </cell>
          <cell r="BF207">
            <v>165987000</v>
          </cell>
          <cell r="BG207">
            <v>80692969.918244675</v>
          </cell>
          <cell r="BH207">
            <v>15300114.914449608</v>
          </cell>
          <cell r="BI207">
            <v>39777903.701814741</v>
          </cell>
          <cell r="BJ207">
            <v>24938204.478608906</v>
          </cell>
          <cell r="BK207">
            <v>3462201.2407178488</v>
          </cell>
          <cell r="BL207">
            <v>1815605.7461642383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 t="str">
            <v>lines 369 - (188~192, 16~20, 144~148, 226~229, 323, 339)</v>
          </cell>
        </row>
        <row r="208">
          <cell r="J208">
            <v>208</v>
          </cell>
          <cell r="L208" t="str">
            <v>T</v>
          </cell>
          <cell r="M208" t="str">
            <v>Generation Level Consumption</v>
          </cell>
          <cell r="N208" t="str">
            <v/>
          </cell>
          <cell r="O208">
            <v>65.8</v>
          </cell>
          <cell r="P208" t="str">
            <v>E02</v>
          </cell>
          <cell r="R208">
            <v>1428518</v>
          </cell>
          <cell r="S208">
            <v>615805.66949526139</v>
          </cell>
          <cell r="T208">
            <v>126138.26424218048</v>
          </cell>
          <cell r="U208">
            <v>381174.99930555775</v>
          </cell>
          <cell r="V208">
            <v>266729.68380488449</v>
          </cell>
          <cell r="W208">
            <v>31999.709882647097</v>
          </cell>
          <cell r="X208">
            <v>6669.6732694689163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BC208" t="str">
            <v>S20</v>
          </cell>
          <cell r="BD208" t="str">
            <v>Prod &amp; Trans O&amp;M Exp</v>
          </cell>
          <cell r="BF208">
            <v>230210000.00000003</v>
          </cell>
          <cell r="BG208">
            <v>104534399.39086349</v>
          </cell>
          <cell r="BH208">
            <v>19504057.014031921</v>
          </cell>
          <cell r="BI208">
            <v>59678039.101169884</v>
          </cell>
          <cell r="BJ208">
            <v>40802095.783795178</v>
          </cell>
          <cell r="BK208">
            <v>4792787.1358688232</v>
          </cell>
          <cell r="BL208">
            <v>898621.57427071198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 t="str">
            <v>line 203 + line 264</v>
          </cell>
        </row>
        <row r="209">
          <cell r="J209">
            <v>209</v>
          </cell>
          <cell r="L209" t="str">
            <v>T</v>
          </cell>
          <cell r="M209" t="str">
            <v>Open</v>
          </cell>
          <cell r="N209" t="str">
            <v/>
          </cell>
          <cell r="O209">
            <v>0</v>
          </cell>
          <cell r="P209" t="str">
            <v>xxx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BC209" t="str">
            <v>S21</v>
          </cell>
          <cell r="BD209" t="str">
            <v>Labor P/T/D Total</v>
          </cell>
          <cell r="BF209">
            <v>22868087</v>
          </cell>
          <cell r="BG209">
            <v>11223849.010284036</v>
          </cell>
          <cell r="BH209">
            <v>2177435.606460548</v>
          </cell>
          <cell r="BI209">
            <v>5707321.5348693393</v>
          </cell>
          <cell r="BJ209">
            <v>2720938.9306054637</v>
          </cell>
          <cell r="BK209">
            <v>506479.52190216351</v>
          </cell>
          <cell r="BL209">
            <v>532062.39587844815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 t="str">
            <v>line 1488</v>
          </cell>
        </row>
        <row r="210">
          <cell r="J210">
            <v>210</v>
          </cell>
          <cell r="K210" t="str">
            <v>561-OP</v>
          </cell>
          <cell r="L210" t="str">
            <v>Load Dispatching</v>
          </cell>
          <cell r="O210" t="str">
            <v>T01</v>
          </cell>
          <cell r="P210" t="str">
            <v/>
          </cell>
          <cell r="Q210">
            <v>1581000</v>
          </cell>
          <cell r="BC210" t="str">
            <v>S22</v>
          </cell>
          <cell r="BD210" t="str">
            <v>Labor O&amp;M excl A&amp;G</v>
          </cell>
          <cell r="BF210">
            <v>27753447.999999996</v>
          </cell>
          <cell r="BG210">
            <v>15388552.067605289</v>
          </cell>
          <cell r="BH210">
            <v>2762758.2992915241</v>
          </cell>
          <cell r="BI210">
            <v>5762932.951101712</v>
          </cell>
          <cell r="BJ210">
            <v>2744223.3754093265</v>
          </cell>
          <cell r="BK210">
            <v>556112.96393712703</v>
          </cell>
          <cell r="BL210">
            <v>538868.34265501914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 t="str">
            <v>Sum lines 1488 ~ 1495</v>
          </cell>
        </row>
        <row r="211">
          <cell r="J211">
            <v>211</v>
          </cell>
          <cell r="L211" t="str">
            <v>T</v>
          </cell>
          <cell r="M211" t="str">
            <v>Coincident Peak</v>
          </cell>
          <cell r="N211" t="str">
            <v/>
          </cell>
          <cell r="O211">
            <v>34.200000000000003</v>
          </cell>
          <cell r="P211" t="str">
            <v>D01</v>
          </cell>
          <cell r="R211">
            <v>540702.00000000012</v>
          </cell>
          <cell r="S211">
            <v>269453.13653347827</v>
          </cell>
          <cell r="T211">
            <v>42088.48825825112</v>
          </cell>
          <cell r="U211">
            <v>132262.14856265188</v>
          </cell>
          <cell r="V211">
            <v>85972.096374855741</v>
          </cell>
          <cell r="W211">
            <v>9611.8135668958603</v>
          </cell>
          <cell r="X211">
            <v>1314.3167038672102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BC211" t="str">
            <v>S23</v>
          </cell>
          <cell r="BD211" t="str">
            <v>Corporate Cost Allocator</v>
          </cell>
          <cell r="BF211">
            <v>1000.0000000000001</v>
          </cell>
          <cell r="BG211">
            <v>602.49858712707203</v>
          </cell>
          <cell r="BH211">
            <v>104.47936855687576</v>
          </cell>
          <cell r="BI211">
            <v>172.95958369965132</v>
          </cell>
          <cell r="BJ211">
            <v>86.525790863123831</v>
          </cell>
          <cell r="BK211">
            <v>18.508410614871607</v>
          </cell>
          <cell r="BL211">
            <v>15.028259138405526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 t="str">
            <v>25% S25, 25% S22, 25% C01, 25% S24</v>
          </cell>
        </row>
        <row r="212">
          <cell r="J212">
            <v>212</v>
          </cell>
          <cell r="L212" t="str">
            <v>T</v>
          </cell>
          <cell r="M212" t="str">
            <v>Generation Level Consumption</v>
          </cell>
          <cell r="N212" t="str">
            <v/>
          </cell>
          <cell r="O212">
            <v>65.8</v>
          </cell>
          <cell r="P212" t="str">
            <v>E02</v>
          </cell>
          <cell r="R212">
            <v>1040298</v>
          </cell>
          <cell r="S212">
            <v>448451.75655090198</v>
          </cell>
          <cell r="T212">
            <v>91858.404314549669</v>
          </cell>
          <cell r="U212">
            <v>277585.29428930761</v>
          </cell>
          <cell r="V212">
            <v>194242.11427707158</v>
          </cell>
          <cell r="W212">
            <v>23303.335478795514</v>
          </cell>
          <cell r="X212">
            <v>4857.0950893737254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BC212" t="str">
            <v>S24</v>
          </cell>
          <cell r="BD212" t="str">
            <v>Net P/T/D Plant</v>
          </cell>
          <cell r="BF212">
            <v>1142039000.0000005</v>
          </cell>
          <cell r="BG212">
            <v>562379072.54404771</v>
          </cell>
          <cell r="BH212">
            <v>109836915.04211099</v>
          </cell>
          <cell r="BI212">
            <v>286912632.28796911</v>
          </cell>
          <cell r="BJ212">
            <v>134349636.91268685</v>
          </cell>
          <cell r="BK212">
            <v>25567973.718873147</v>
          </cell>
          <cell r="BL212">
            <v>22992769.494312629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 t="str">
            <v>Sum lines 893, 932, 1089, 1168, 1207, 1364</v>
          </cell>
        </row>
        <row r="213">
          <cell r="J213">
            <v>213</v>
          </cell>
          <cell r="L213" t="str">
            <v>T</v>
          </cell>
          <cell r="M213" t="str">
            <v>Open</v>
          </cell>
          <cell r="N213" t="str">
            <v/>
          </cell>
          <cell r="O213">
            <v>0</v>
          </cell>
          <cell r="P213" t="str">
            <v>xxx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BC213" t="str">
            <v>S25</v>
          </cell>
          <cell r="BD213" t="str">
            <v>O&amp;M excl Resource/Labor/A&amp;G</v>
          </cell>
          <cell r="BF213">
            <v>48302552.000000037</v>
          </cell>
          <cell r="BG213">
            <v>24468298.34401612</v>
          </cell>
          <cell r="BH213">
            <v>4918142.1964581842</v>
          </cell>
          <cell r="BI213">
            <v>10701883.854369223</v>
          </cell>
          <cell r="BJ213">
            <v>6254737.4737634854</v>
          </cell>
          <cell r="BK213">
            <v>1033797.1516522774</v>
          </cell>
          <cell r="BL213">
            <v>925692.97974074981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 t="str">
            <v>lines 369 - (16~20, 144~148, 188~192, 198~202,  226~229, 323, 339)-S22</v>
          </cell>
        </row>
        <row r="214">
          <cell r="J214">
            <v>214</v>
          </cell>
          <cell r="K214" t="str">
            <v>562-OP</v>
          </cell>
          <cell r="L214" t="str">
            <v>Station Expenses</v>
          </cell>
          <cell r="O214" t="str">
            <v>T01</v>
          </cell>
          <cell r="P214" t="str">
            <v/>
          </cell>
          <cell r="Q214">
            <v>220000</v>
          </cell>
          <cell r="BC214" t="str">
            <v>S26</v>
          </cell>
          <cell r="BD214" t="str">
            <v>Open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 t="str">
            <v>Open</v>
          </cell>
        </row>
        <row r="215">
          <cell r="J215">
            <v>215</v>
          </cell>
          <cell r="L215" t="str">
            <v>T</v>
          </cell>
          <cell r="M215" t="str">
            <v>Coincident Peak</v>
          </cell>
          <cell r="N215" t="str">
            <v/>
          </cell>
          <cell r="O215">
            <v>34.200000000000003</v>
          </cell>
          <cell r="P215" t="str">
            <v>D01</v>
          </cell>
          <cell r="R215">
            <v>75240.000000000015</v>
          </cell>
          <cell r="S215">
            <v>37495.060112185471</v>
          </cell>
          <cell r="T215">
            <v>5856.7156336592325</v>
          </cell>
          <cell r="U215">
            <v>18404.600052993934</v>
          </cell>
          <cell r="V215">
            <v>11963.226567026099</v>
          </cell>
          <cell r="W215">
            <v>1337.5072642106825</v>
          </cell>
          <cell r="X215">
            <v>182.89036992459597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BC215" t="str">
            <v>S27</v>
          </cell>
          <cell r="BD215" t="str">
            <v>Open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 t="str">
            <v>Open</v>
          </cell>
        </row>
        <row r="216">
          <cell r="J216">
            <v>216</v>
          </cell>
          <cell r="L216" t="str">
            <v>T</v>
          </cell>
          <cell r="M216" t="str">
            <v>Generation Level Consumption</v>
          </cell>
          <cell r="N216" t="str">
            <v/>
          </cell>
          <cell r="O216">
            <v>65.8</v>
          </cell>
          <cell r="P216" t="str">
            <v>E02</v>
          </cell>
          <cell r="R216">
            <v>144760</v>
          </cell>
          <cell r="S216">
            <v>62403.153979252653</v>
          </cell>
          <cell r="T216">
            <v>12782.320650980979</v>
          </cell>
          <cell r="U216">
            <v>38626.669667076327</v>
          </cell>
          <cell r="V216">
            <v>27029.263213760751</v>
          </cell>
          <cell r="W216">
            <v>3242.7158794022853</v>
          </cell>
          <cell r="X216">
            <v>675.87660952702061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BC216" t="str">
            <v>xxx</v>
          </cell>
          <cell r="BD216" t="str">
            <v>Open</v>
          </cell>
          <cell r="BF216">
            <v>1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 t="str">
            <v>Dummy to avoid DIV/0 message</v>
          </cell>
        </row>
        <row r="217">
          <cell r="J217">
            <v>217</v>
          </cell>
          <cell r="L217" t="str">
            <v>T</v>
          </cell>
          <cell r="M217" t="str">
            <v>Open</v>
          </cell>
          <cell r="N217" t="str">
            <v/>
          </cell>
          <cell r="O217">
            <v>0</v>
          </cell>
          <cell r="P217" t="str">
            <v>xxx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J218">
            <v>218</v>
          </cell>
          <cell r="K218" t="str">
            <v>563-OP</v>
          </cell>
          <cell r="L218" t="str">
            <v>Overhead Line Expenses</v>
          </cell>
          <cell r="O218" t="str">
            <v>T01</v>
          </cell>
          <cell r="P218" t="str">
            <v/>
          </cell>
          <cell r="Q218">
            <v>341000</v>
          </cell>
        </row>
        <row r="219">
          <cell r="J219">
            <v>219</v>
          </cell>
          <cell r="L219" t="str">
            <v>T</v>
          </cell>
          <cell r="M219" t="str">
            <v>Coincident Peak</v>
          </cell>
          <cell r="N219" t="str">
            <v/>
          </cell>
          <cell r="O219">
            <v>34.200000000000003</v>
          </cell>
          <cell r="P219" t="str">
            <v>D01</v>
          </cell>
          <cell r="R219">
            <v>116622.00000000001</v>
          </cell>
          <cell r="S219">
            <v>58117.343173887471</v>
          </cell>
          <cell r="T219">
            <v>9077.9092321718108</v>
          </cell>
          <cell r="U219">
            <v>28527.130082140597</v>
          </cell>
          <cell r="V219">
            <v>18543.001178890452</v>
          </cell>
          <cell r="W219">
            <v>2073.1362595265578</v>
          </cell>
          <cell r="X219">
            <v>283.48007338312374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J220">
            <v>220</v>
          </cell>
          <cell r="L220" t="str">
            <v>T</v>
          </cell>
          <cell r="M220" t="str">
            <v>Generation Level Consumption</v>
          </cell>
          <cell r="N220" t="str">
            <v/>
          </cell>
          <cell r="O220">
            <v>65.8</v>
          </cell>
          <cell r="P220" t="str">
            <v>E02</v>
          </cell>
          <cell r="R220">
            <v>224378</v>
          </cell>
          <cell r="S220">
            <v>96724.888667841602</v>
          </cell>
          <cell r="T220">
            <v>19812.597009020516</v>
          </cell>
          <cell r="U220">
            <v>59871.337983968311</v>
          </cell>
          <cell r="V220">
            <v>41895.357981329165</v>
          </cell>
          <cell r="W220">
            <v>5026.2096130735426</v>
          </cell>
          <cell r="X220">
            <v>1047.608744766882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J221">
            <v>221</v>
          </cell>
          <cell r="L221" t="str">
            <v>T</v>
          </cell>
          <cell r="M221" t="str">
            <v>Open</v>
          </cell>
          <cell r="N221" t="str">
            <v/>
          </cell>
          <cell r="O221">
            <v>0</v>
          </cell>
          <cell r="P221" t="str">
            <v>xxx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J222">
            <v>222</v>
          </cell>
          <cell r="K222" t="str">
            <v>564-OP</v>
          </cell>
          <cell r="L222" t="str">
            <v>Underground Line Expenses</v>
          </cell>
          <cell r="O222" t="str">
            <v>T01</v>
          </cell>
          <cell r="P222" t="str">
            <v/>
          </cell>
          <cell r="Q222">
            <v>0</v>
          </cell>
        </row>
        <row r="223">
          <cell r="J223">
            <v>223</v>
          </cell>
          <cell r="L223" t="str">
            <v>T</v>
          </cell>
          <cell r="M223" t="str">
            <v>Coincident Peak</v>
          </cell>
          <cell r="N223" t="str">
            <v/>
          </cell>
          <cell r="O223">
            <v>34.200000000000003</v>
          </cell>
          <cell r="P223" t="str">
            <v>D01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J224">
            <v>224</v>
          </cell>
          <cell r="L224" t="str">
            <v>T</v>
          </cell>
          <cell r="M224" t="str">
            <v>Generation Level Consumption</v>
          </cell>
          <cell r="N224" t="str">
            <v/>
          </cell>
          <cell r="O224">
            <v>65.8</v>
          </cell>
          <cell r="P224" t="str">
            <v>E02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J225">
            <v>225</v>
          </cell>
          <cell r="L225" t="str">
            <v>T</v>
          </cell>
          <cell r="M225" t="str">
            <v>Open</v>
          </cell>
          <cell r="N225" t="str">
            <v/>
          </cell>
          <cell r="O225">
            <v>0</v>
          </cell>
          <cell r="P225" t="str">
            <v>xxx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J226">
            <v>226</v>
          </cell>
          <cell r="K226" t="str">
            <v>565-OP</v>
          </cell>
          <cell r="L226" t="str">
            <v>Transmission of Electricity By Others</v>
          </cell>
          <cell r="O226" t="str">
            <v>T01</v>
          </cell>
          <cell r="P226" t="str">
            <v/>
          </cell>
          <cell r="Q226">
            <v>11410000</v>
          </cell>
        </row>
        <row r="227">
          <cell r="J227">
            <v>227</v>
          </cell>
          <cell r="L227" t="str">
            <v>T</v>
          </cell>
          <cell r="M227" t="str">
            <v>Coincident Peak</v>
          </cell>
          <cell r="N227" t="str">
            <v/>
          </cell>
          <cell r="O227">
            <v>34.200000000000003</v>
          </cell>
          <cell r="P227" t="str">
            <v>D01</v>
          </cell>
          <cell r="R227">
            <v>3902220.0000000005</v>
          </cell>
          <cell r="S227">
            <v>1944630.1630910735</v>
          </cell>
          <cell r="T227">
            <v>303750.56990932656</v>
          </cell>
          <cell r="U227">
            <v>954529.48456663988</v>
          </cell>
          <cell r="V227">
            <v>620456.43240803538</v>
          </cell>
          <cell r="W227">
            <v>69367.990384744931</v>
          </cell>
          <cell r="X227">
            <v>9485.3596401801806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J228">
            <v>228</v>
          </cell>
          <cell r="L228" t="str">
            <v>T</v>
          </cell>
          <cell r="M228" t="str">
            <v>Generation Level Consumption</v>
          </cell>
          <cell r="N228" t="str">
            <v/>
          </cell>
          <cell r="O228">
            <v>65.8</v>
          </cell>
          <cell r="P228" t="str">
            <v>E02</v>
          </cell>
          <cell r="R228">
            <v>7507780</v>
          </cell>
          <cell r="S228">
            <v>3236454.4859239669</v>
          </cell>
          <cell r="T228">
            <v>662937.6301258771</v>
          </cell>
          <cell r="U228">
            <v>2003319.5495515496</v>
          </cell>
          <cell r="V228">
            <v>1401835.8784955007</v>
          </cell>
          <cell r="W228">
            <v>168179.03719990945</v>
          </cell>
          <cell r="X228">
            <v>35053.418703196839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J229">
            <v>229</v>
          </cell>
          <cell r="L229" t="str">
            <v>T</v>
          </cell>
          <cell r="M229" t="str">
            <v>Open</v>
          </cell>
          <cell r="N229" t="str">
            <v/>
          </cell>
          <cell r="O229">
            <v>0</v>
          </cell>
          <cell r="P229" t="str">
            <v>xxx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J230">
            <v>230</v>
          </cell>
          <cell r="K230" t="str">
            <v>566-OP</v>
          </cell>
          <cell r="L230" t="str">
            <v>Miscellaneous Expenses</v>
          </cell>
          <cell r="O230" t="str">
            <v>T01</v>
          </cell>
          <cell r="P230" t="str">
            <v/>
          </cell>
          <cell r="Q230">
            <v>1145000</v>
          </cell>
        </row>
        <row r="231">
          <cell r="J231">
            <v>231</v>
          </cell>
          <cell r="L231" t="str">
            <v>T</v>
          </cell>
          <cell r="M231" t="str">
            <v>Coincident Peak</v>
          </cell>
          <cell r="N231" t="str">
            <v/>
          </cell>
          <cell r="O231">
            <v>34.200000000000003</v>
          </cell>
          <cell r="P231" t="str">
            <v>D01</v>
          </cell>
          <cell r="R231">
            <v>391590</v>
          </cell>
          <cell r="S231">
            <v>195144.7446747834</v>
          </cell>
          <cell r="T231">
            <v>30481.542729726454</v>
          </cell>
          <cell r="U231">
            <v>95787.577548536603</v>
          </cell>
          <cell r="V231">
            <v>62263.1564511131</v>
          </cell>
          <cell r="W231">
            <v>6961.1173523692323</v>
          </cell>
          <cell r="X231">
            <v>951.86124347119244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J232">
            <v>232</v>
          </cell>
          <cell r="L232" t="str">
            <v>T</v>
          </cell>
          <cell r="M232" t="str">
            <v>Generation Level Consumption</v>
          </cell>
          <cell r="N232" t="str">
            <v/>
          </cell>
          <cell r="O232">
            <v>65.8</v>
          </cell>
          <cell r="P232" t="str">
            <v>E02</v>
          </cell>
          <cell r="R232">
            <v>753410</v>
          </cell>
          <cell r="S232">
            <v>324780.05139201949</v>
          </cell>
          <cell r="T232">
            <v>66526.168842605548</v>
          </cell>
          <cell r="U232">
            <v>201034.2580400109</v>
          </cell>
          <cell r="V232">
            <v>140675.02899889118</v>
          </cell>
          <cell r="W232">
            <v>16876.862190525531</v>
          </cell>
          <cell r="X232">
            <v>3517.6305359474482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J233">
            <v>233</v>
          </cell>
          <cell r="L233" t="str">
            <v>T</v>
          </cell>
          <cell r="M233" t="str">
            <v>Open</v>
          </cell>
          <cell r="N233" t="str">
            <v/>
          </cell>
          <cell r="O233">
            <v>0</v>
          </cell>
          <cell r="P233" t="str">
            <v>xxx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J234">
            <v>234</v>
          </cell>
          <cell r="K234" t="str">
            <v>567-OP</v>
          </cell>
          <cell r="L234" t="str">
            <v>Rents</v>
          </cell>
          <cell r="O234" t="str">
            <v>T01</v>
          </cell>
          <cell r="P234" t="str">
            <v/>
          </cell>
          <cell r="Q234">
            <v>83000</v>
          </cell>
        </row>
        <row r="235">
          <cell r="J235">
            <v>235</v>
          </cell>
          <cell r="L235" t="str">
            <v>T</v>
          </cell>
          <cell r="M235" t="str">
            <v>Coincident Peak</v>
          </cell>
          <cell r="N235" t="str">
            <v/>
          </cell>
          <cell r="O235">
            <v>34.200000000000003</v>
          </cell>
          <cell r="P235" t="str">
            <v>D01</v>
          </cell>
          <cell r="R235">
            <v>28386.000000000004</v>
          </cell>
          <cell r="S235">
            <v>14145.863587779062</v>
          </cell>
          <cell r="T235">
            <v>2209.5790799714377</v>
          </cell>
          <cell r="U235">
            <v>6943.5536563568021</v>
          </cell>
          <cell r="V235">
            <v>4513.3991139234831</v>
          </cell>
          <cell r="W235">
            <v>504.60501331584834</v>
          </cell>
          <cell r="X235">
            <v>68.999548653370297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J236">
            <v>236</v>
          </cell>
          <cell r="L236" t="str">
            <v>T</v>
          </cell>
          <cell r="M236" t="str">
            <v>Generation Level Consumption</v>
          </cell>
          <cell r="N236" t="str">
            <v/>
          </cell>
          <cell r="O236">
            <v>65.8</v>
          </cell>
          <cell r="P236" t="str">
            <v>E02</v>
          </cell>
          <cell r="R236">
            <v>54614</v>
          </cell>
          <cell r="S236">
            <v>23543.008092172589</v>
          </cell>
          <cell r="T236">
            <v>4822.4209728700962</v>
          </cell>
          <cell r="U236">
            <v>14572.789010760614</v>
          </cell>
          <cell r="V236">
            <v>10197.40384882792</v>
          </cell>
          <cell r="W236">
            <v>1223.3882635926805</v>
          </cell>
          <cell r="X236">
            <v>254.98981177610321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J237">
            <v>237</v>
          </cell>
          <cell r="L237" t="str">
            <v>T</v>
          </cell>
          <cell r="M237" t="str">
            <v>Open</v>
          </cell>
          <cell r="N237" t="str">
            <v/>
          </cell>
          <cell r="O237">
            <v>0</v>
          </cell>
          <cell r="P237" t="str">
            <v>xxx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J238">
            <v>238</v>
          </cell>
          <cell r="L238" t="str">
            <v>Total Transmission Operation</v>
          </cell>
          <cell r="P238" t="str">
            <v/>
          </cell>
          <cell r="Q238">
            <v>16951000</v>
          </cell>
          <cell r="R238">
            <v>16951000</v>
          </cell>
          <cell r="S238">
            <v>7697157.3957453072</v>
          </cell>
          <cell r="T238">
            <v>1436137.7457315284</v>
          </cell>
          <cell r="U238">
            <v>4394259.3319314132</v>
          </cell>
          <cell r="V238">
            <v>3004371.3376096264</v>
          </cell>
          <cell r="W238">
            <v>352906.19321537914</v>
          </cell>
          <cell r="X238">
            <v>66167.995766747059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J239">
            <v>239</v>
          </cell>
          <cell r="K239" t="str">
            <v>568-MT</v>
          </cell>
          <cell r="L239" t="str">
            <v>Supervision &amp; Engineering</v>
          </cell>
          <cell r="O239" t="str">
            <v>T01</v>
          </cell>
          <cell r="P239" t="str">
            <v/>
          </cell>
          <cell r="Q239">
            <v>900000</v>
          </cell>
        </row>
        <row r="240">
          <cell r="J240">
            <v>240</v>
          </cell>
          <cell r="L240" t="str">
            <v>T</v>
          </cell>
          <cell r="M240" t="str">
            <v>Coincident Peak</v>
          </cell>
          <cell r="N240" t="str">
            <v/>
          </cell>
          <cell r="O240">
            <v>34.200000000000003</v>
          </cell>
          <cell r="P240" t="str">
            <v>D01</v>
          </cell>
          <cell r="R240">
            <v>307800.00000000006</v>
          </cell>
          <cell r="S240">
            <v>153388.88227712238</v>
          </cell>
          <cell r="T240">
            <v>23959.291228605951</v>
          </cell>
          <cell r="U240">
            <v>75291.545671338827</v>
          </cell>
          <cell r="V240">
            <v>48940.472319652225</v>
          </cell>
          <cell r="W240">
            <v>5471.6206263164286</v>
          </cell>
          <cell r="X240">
            <v>748.18787696425625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J241">
            <v>241</v>
          </cell>
          <cell r="L241" t="str">
            <v>T</v>
          </cell>
          <cell r="M241" t="str">
            <v>Generation Level Consumption</v>
          </cell>
          <cell r="N241" t="str">
            <v/>
          </cell>
          <cell r="O241">
            <v>65.8</v>
          </cell>
          <cell r="P241" t="str">
            <v>E02</v>
          </cell>
          <cell r="R241">
            <v>592200</v>
          </cell>
          <cell r="S241">
            <v>255285.62991512447</v>
          </cell>
          <cell r="T241">
            <v>52291.311754013092</v>
          </cell>
          <cell r="U241">
            <v>158018.19409258498</v>
          </cell>
          <cell r="V241">
            <v>110574.25860174853</v>
          </cell>
          <cell r="W241">
            <v>13265.655870282077</v>
          </cell>
          <cell r="X241">
            <v>2764.9497662469025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J242">
            <v>242</v>
          </cell>
          <cell r="L242" t="str">
            <v>T</v>
          </cell>
          <cell r="M242" t="str">
            <v>Open</v>
          </cell>
          <cell r="N242" t="str">
            <v/>
          </cell>
          <cell r="O242">
            <v>0</v>
          </cell>
          <cell r="P242" t="str">
            <v>xxx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J243">
            <v>243</v>
          </cell>
          <cell r="K243" t="str">
            <v>569-MT</v>
          </cell>
          <cell r="L243" t="str">
            <v>Structures</v>
          </cell>
          <cell r="O243" t="str">
            <v>T01</v>
          </cell>
          <cell r="P243" t="str">
            <v/>
          </cell>
          <cell r="Q243">
            <v>297000</v>
          </cell>
        </row>
        <row r="244">
          <cell r="J244">
            <v>244</v>
          </cell>
          <cell r="L244" t="str">
            <v>T</v>
          </cell>
          <cell r="M244" t="str">
            <v>Coincident Peak</v>
          </cell>
          <cell r="N244" t="str">
            <v/>
          </cell>
          <cell r="O244">
            <v>34.200000000000003</v>
          </cell>
          <cell r="P244" t="str">
            <v>D01</v>
          </cell>
          <cell r="R244">
            <v>101574</v>
          </cell>
          <cell r="S244">
            <v>50618.331151450373</v>
          </cell>
          <cell r="T244">
            <v>7906.5661054399625</v>
          </cell>
          <cell r="U244">
            <v>24846.210071541809</v>
          </cell>
          <cell r="V244">
            <v>16150.355865485231</v>
          </cell>
          <cell r="W244">
            <v>1805.6348066844209</v>
          </cell>
          <cell r="X244">
            <v>246.90199939820451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J245">
            <v>245</v>
          </cell>
          <cell r="L245" t="str">
            <v>T</v>
          </cell>
          <cell r="M245" t="str">
            <v>Generation Level Consumption</v>
          </cell>
          <cell r="N245" t="str">
            <v/>
          </cell>
          <cell r="O245">
            <v>65.8</v>
          </cell>
          <cell r="P245" t="str">
            <v>E02</v>
          </cell>
          <cell r="R245">
            <v>195426</v>
          </cell>
          <cell r="S245">
            <v>84244.257871991082</v>
          </cell>
          <cell r="T245">
            <v>17256.132878824323</v>
          </cell>
          <cell r="U245">
            <v>52146.004050553041</v>
          </cell>
          <cell r="V245">
            <v>36489.505338577015</v>
          </cell>
          <cell r="W245">
            <v>4377.6664371930856</v>
          </cell>
          <cell r="X245">
            <v>912.43342286147777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J246">
            <v>246</v>
          </cell>
          <cell r="L246" t="str">
            <v>T</v>
          </cell>
          <cell r="M246" t="str">
            <v>Open</v>
          </cell>
          <cell r="N246" t="str">
            <v/>
          </cell>
          <cell r="O246">
            <v>0</v>
          </cell>
          <cell r="P246" t="str">
            <v>xxx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J247">
            <v>247</v>
          </cell>
          <cell r="K247" t="str">
            <v>570-MT</v>
          </cell>
          <cell r="L247" t="str">
            <v>Station Equipment</v>
          </cell>
          <cell r="O247" t="str">
            <v>T01</v>
          </cell>
          <cell r="P247" t="str">
            <v/>
          </cell>
          <cell r="Q247">
            <v>791000</v>
          </cell>
        </row>
        <row r="248">
          <cell r="J248">
            <v>248</v>
          </cell>
          <cell r="L248" t="str">
            <v>T</v>
          </cell>
          <cell r="M248" t="str">
            <v>Coincident Peak</v>
          </cell>
          <cell r="N248" t="str">
            <v/>
          </cell>
          <cell r="O248">
            <v>34.200000000000003</v>
          </cell>
          <cell r="P248" t="str">
            <v>D01</v>
          </cell>
          <cell r="R248">
            <v>270522.00000000006</v>
          </cell>
          <cell r="S248">
            <v>134811.78431244867</v>
          </cell>
          <cell r="T248">
            <v>21057.554846474788</v>
          </cell>
          <cell r="U248">
            <v>66172.902917810017</v>
          </cell>
          <cell r="V248">
            <v>43013.237338716564</v>
          </cell>
          <cell r="W248">
            <v>4808.946572684772</v>
          </cell>
          <cell r="X248">
            <v>657.57401186525192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J249">
            <v>249</v>
          </cell>
          <cell r="L249" t="str">
            <v>T</v>
          </cell>
          <cell r="M249" t="str">
            <v>Generation Level Consumption</v>
          </cell>
          <cell r="N249" t="str">
            <v/>
          </cell>
          <cell r="O249">
            <v>65.8</v>
          </cell>
          <cell r="P249" t="str">
            <v>E02</v>
          </cell>
          <cell r="R249">
            <v>520478</v>
          </cell>
          <cell r="S249">
            <v>224367.70362540384</v>
          </cell>
          <cell r="T249">
            <v>45958.252886027061</v>
          </cell>
          <cell r="U249">
            <v>138880.43503026079</v>
          </cell>
          <cell r="V249">
            <v>97182.487282203423</v>
          </cell>
          <cell r="W249">
            <v>11659.037548214581</v>
          </cell>
          <cell r="X249">
            <v>2430.083627890333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J250">
            <v>250</v>
          </cell>
          <cell r="L250" t="str">
            <v>T</v>
          </cell>
          <cell r="M250" t="str">
            <v>Open</v>
          </cell>
          <cell r="N250" t="str">
            <v/>
          </cell>
          <cell r="O250">
            <v>0</v>
          </cell>
          <cell r="P250" t="str">
            <v>xxx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J251">
            <v>251</v>
          </cell>
          <cell r="K251" t="str">
            <v>571-MT</v>
          </cell>
          <cell r="L251" t="str">
            <v>Overhead Lines</v>
          </cell>
          <cell r="O251" t="str">
            <v>T01</v>
          </cell>
          <cell r="P251" t="str">
            <v/>
          </cell>
          <cell r="Q251">
            <v>1574000</v>
          </cell>
        </row>
        <row r="252">
          <cell r="J252">
            <v>252</v>
          </cell>
          <cell r="L252" t="str">
            <v>T</v>
          </cell>
          <cell r="M252" t="str">
            <v>Coincident Peak</v>
          </cell>
          <cell r="N252" t="str">
            <v/>
          </cell>
          <cell r="O252">
            <v>34.200000000000003</v>
          </cell>
          <cell r="P252" t="str">
            <v>D01</v>
          </cell>
          <cell r="R252">
            <v>538308.00000000012</v>
          </cell>
          <cell r="S252">
            <v>268260.11189354514</v>
          </cell>
          <cell r="T252">
            <v>41902.138215361963</v>
          </cell>
          <cell r="U252">
            <v>131676.5476518748</v>
          </cell>
          <cell r="V252">
            <v>85591.448256814008</v>
          </cell>
          <cell r="W252">
            <v>9569.2565175800646</v>
          </cell>
          <cell r="X252">
            <v>1308.4974648241548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J253">
            <v>253</v>
          </cell>
          <cell r="L253" t="str">
            <v>T</v>
          </cell>
          <cell r="M253" t="str">
            <v>Generation Level Consumption</v>
          </cell>
          <cell r="N253" t="str">
            <v/>
          </cell>
          <cell r="O253">
            <v>65.8</v>
          </cell>
          <cell r="P253" t="str">
            <v>E02</v>
          </cell>
          <cell r="R253">
            <v>1035692</v>
          </cell>
          <cell r="S253">
            <v>446466.20165156212</v>
          </cell>
          <cell r="T253">
            <v>91451.694112018464</v>
          </cell>
          <cell r="U253">
            <v>276356.26389080973</v>
          </cell>
          <cell r="V253">
            <v>193382.09226572464</v>
          </cell>
          <cell r="W253">
            <v>23200.158155359986</v>
          </cell>
          <cell r="X253">
            <v>4835.5899245251385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J254">
            <v>254</v>
          </cell>
          <cell r="L254" t="str">
            <v>T</v>
          </cell>
          <cell r="M254" t="str">
            <v>Open</v>
          </cell>
          <cell r="N254" t="str">
            <v/>
          </cell>
          <cell r="O254">
            <v>0</v>
          </cell>
          <cell r="P254" t="str">
            <v>xxx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J255">
            <v>255</v>
          </cell>
          <cell r="K255" t="str">
            <v>572-MT</v>
          </cell>
          <cell r="L255" t="str">
            <v>Underground Lines</v>
          </cell>
          <cell r="O255" t="str">
            <v>T01</v>
          </cell>
          <cell r="P255" t="str">
            <v/>
          </cell>
          <cell r="Q255">
            <v>1000</v>
          </cell>
        </row>
        <row r="256">
          <cell r="J256">
            <v>256</v>
          </cell>
          <cell r="L256" t="str">
            <v>T</v>
          </cell>
          <cell r="M256" t="str">
            <v>Coincident Peak</v>
          </cell>
          <cell r="N256" t="str">
            <v/>
          </cell>
          <cell r="O256">
            <v>34.200000000000003</v>
          </cell>
          <cell r="P256" t="str">
            <v>D01</v>
          </cell>
          <cell r="R256">
            <v>342</v>
          </cell>
          <cell r="S256">
            <v>170.43209141902483</v>
          </cell>
          <cell r="T256">
            <v>26.621434698451051</v>
          </cell>
          <cell r="U256">
            <v>83.657272968154231</v>
          </cell>
          <cell r="V256">
            <v>54.378302577391352</v>
          </cell>
          <cell r="W256">
            <v>6.0795784736849194</v>
          </cell>
          <cell r="X256">
            <v>0.83131986329361784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J257">
            <v>257</v>
          </cell>
          <cell r="L257" t="str">
            <v>T</v>
          </cell>
          <cell r="M257" t="str">
            <v>Generation Level Consumption</v>
          </cell>
          <cell r="N257" t="str">
            <v/>
          </cell>
          <cell r="O257">
            <v>65.8</v>
          </cell>
          <cell r="P257" t="str">
            <v>E02</v>
          </cell>
          <cell r="R257">
            <v>658</v>
          </cell>
          <cell r="S257">
            <v>283.65069990569384</v>
          </cell>
          <cell r="T257">
            <v>58.101457504458992</v>
          </cell>
          <cell r="U257">
            <v>175.5757712139833</v>
          </cell>
          <cell r="V257">
            <v>122.86028733527614</v>
          </cell>
          <cell r="W257">
            <v>14.739617633646752</v>
          </cell>
          <cell r="X257">
            <v>3.0721664069410024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J258">
            <v>258</v>
          </cell>
          <cell r="L258" t="str">
            <v>T</v>
          </cell>
          <cell r="M258" t="str">
            <v>Open</v>
          </cell>
          <cell r="N258" t="str">
            <v/>
          </cell>
          <cell r="O258">
            <v>0</v>
          </cell>
          <cell r="P258" t="str">
            <v>xxx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J259">
            <v>259</v>
          </cell>
          <cell r="K259" t="str">
            <v>573-MT</v>
          </cell>
          <cell r="L259" t="str">
            <v>Miscellaneous Plant</v>
          </cell>
          <cell r="O259" t="str">
            <v>T01</v>
          </cell>
          <cell r="P259" t="str">
            <v/>
          </cell>
          <cell r="Q259">
            <v>20000</v>
          </cell>
        </row>
        <row r="260">
          <cell r="J260">
            <v>260</v>
          </cell>
          <cell r="L260" t="str">
            <v>T</v>
          </cell>
          <cell r="M260" t="str">
            <v>Coincident Peak</v>
          </cell>
          <cell r="N260" t="str">
            <v/>
          </cell>
          <cell r="O260">
            <v>34.200000000000003</v>
          </cell>
          <cell r="P260" t="str">
            <v>D01</v>
          </cell>
          <cell r="R260">
            <v>6840</v>
          </cell>
          <cell r="S260">
            <v>3408.6418283804965</v>
          </cell>
          <cell r="T260">
            <v>532.42869396902108</v>
          </cell>
          <cell r="U260">
            <v>1673.1454593630847</v>
          </cell>
          <cell r="V260">
            <v>1087.5660515478271</v>
          </cell>
          <cell r="W260">
            <v>121.59156947369839</v>
          </cell>
          <cell r="X260">
            <v>16.626397265872356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J261">
            <v>261</v>
          </cell>
          <cell r="L261" t="str">
            <v>T</v>
          </cell>
          <cell r="M261" t="str">
            <v>Generation Level Consumption</v>
          </cell>
          <cell r="N261" t="str">
            <v/>
          </cell>
          <cell r="O261">
            <v>65.8</v>
          </cell>
          <cell r="P261" t="str">
            <v>E02</v>
          </cell>
          <cell r="R261">
            <v>13160</v>
          </cell>
          <cell r="S261">
            <v>5673.0139981138773</v>
          </cell>
          <cell r="T261">
            <v>1162.0291500891799</v>
          </cell>
          <cell r="U261">
            <v>3511.5154242796661</v>
          </cell>
          <cell r="V261">
            <v>2457.2057467055229</v>
          </cell>
          <cell r="W261">
            <v>294.79235267293507</v>
          </cell>
          <cell r="X261">
            <v>61.44332813882005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J262">
            <v>262</v>
          </cell>
          <cell r="L262" t="str">
            <v>T</v>
          </cell>
          <cell r="M262" t="str">
            <v>Open</v>
          </cell>
          <cell r="N262" t="str">
            <v/>
          </cell>
          <cell r="O262">
            <v>0</v>
          </cell>
          <cell r="P262" t="str">
            <v>xxx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J263">
            <v>263</v>
          </cell>
          <cell r="L263" t="str">
            <v>Total Transmission Maintenance</v>
          </cell>
          <cell r="P263" t="str">
            <v/>
          </cell>
          <cell r="Q263">
            <v>3583000</v>
          </cell>
          <cell r="R263">
            <v>3583000</v>
          </cell>
          <cell r="S263">
            <v>1626978.6413164672</v>
          </cell>
          <cell r="T263">
            <v>303562.12276302674</v>
          </cell>
          <cell r="U263">
            <v>928831.99730459892</v>
          </cell>
          <cell r="V263">
            <v>635045.86765708774</v>
          </cell>
          <cell r="W263">
            <v>74595.179652569379</v>
          </cell>
          <cell r="X263">
            <v>13986.191306250645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J264">
            <v>264</v>
          </cell>
          <cell r="L264" t="str">
            <v>Total Transmission Expenses</v>
          </cell>
          <cell r="P264" t="str">
            <v/>
          </cell>
          <cell r="Q264">
            <v>20534000</v>
          </cell>
          <cell r="R264">
            <v>20534000</v>
          </cell>
          <cell r="S264">
            <v>9324136.0370617751</v>
          </cell>
          <cell r="T264">
            <v>1739699.8684945551</v>
          </cell>
          <cell r="U264">
            <v>5323091.329236012</v>
          </cell>
          <cell r="V264">
            <v>3639417.2052667141</v>
          </cell>
          <cell r="W264">
            <v>427501.37286794849</v>
          </cell>
          <cell r="X264">
            <v>80154.187072997709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J265">
            <v>265</v>
          </cell>
        </row>
        <row r="266">
          <cell r="J266">
            <v>266</v>
          </cell>
          <cell r="L266" t="str">
            <v>Distribution Expenses</v>
          </cell>
        </row>
        <row r="267">
          <cell r="J267">
            <v>267</v>
          </cell>
          <cell r="K267" t="str">
            <v>580-OP</v>
          </cell>
          <cell r="L267" t="str">
            <v>Supervision &amp; Engineering</v>
          </cell>
          <cell r="Q267">
            <v>1353000</v>
          </cell>
        </row>
        <row r="268">
          <cell r="J268">
            <v>268</v>
          </cell>
          <cell r="L268" t="str">
            <v>D</v>
          </cell>
          <cell r="M268" t="str">
            <v>Dist Op Exp Subtotal</v>
          </cell>
          <cell r="N268" t="str">
            <v/>
          </cell>
          <cell r="O268">
            <v>100</v>
          </cell>
          <cell r="P268" t="str">
            <v>S16</v>
          </cell>
          <cell r="R268">
            <v>1353000</v>
          </cell>
          <cell r="S268">
            <v>774474.88202375954</v>
          </cell>
          <cell r="T268">
            <v>210259.53291827318</v>
          </cell>
          <cell r="U268">
            <v>235908.54198892144</v>
          </cell>
          <cell r="V268">
            <v>41618.685168813339</v>
          </cell>
          <cell r="W268">
            <v>37605.726233168214</v>
          </cell>
          <cell r="X268">
            <v>53132.631667064299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J269">
            <v>269</v>
          </cell>
          <cell r="K269" t="str">
            <v>581-OP</v>
          </cell>
          <cell r="L269" t="str">
            <v>Load Dispatching</v>
          </cell>
          <cell r="Q269">
            <v>0</v>
          </cell>
        </row>
        <row r="270">
          <cell r="J270">
            <v>270</v>
          </cell>
          <cell r="L270" t="str">
            <v>D</v>
          </cell>
          <cell r="M270" t="str">
            <v>NCP-All</v>
          </cell>
          <cell r="N270" t="str">
            <v/>
          </cell>
          <cell r="O270">
            <v>100</v>
          </cell>
          <cell r="P270" t="str">
            <v>D02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J271">
            <v>271</v>
          </cell>
          <cell r="K271" t="str">
            <v>582-OP</v>
          </cell>
          <cell r="L271" t="str">
            <v>Station Expenses</v>
          </cell>
          <cell r="Q271">
            <v>482000</v>
          </cell>
        </row>
        <row r="272">
          <cell r="J272">
            <v>272</v>
          </cell>
          <cell r="L272" t="str">
            <v>D</v>
          </cell>
          <cell r="M272" t="str">
            <v>Account 362</v>
          </cell>
          <cell r="N272" t="str">
            <v/>
          </cell>
          <cell r="O272">
            <v>100</v>
          </cell>
          <cell r="P272" t="str">
            <v>S09</v>
          </cell>
          <cell r="R272">
            <v>482000</v>
          </cell>
          <cell r="S272">
            <v>242723.68443392965</v>
          </cell>
          <cell r="T272">
            <v>50190.453850480015</v>
          </cell>
          <cell r="U272">
            <v>134142.21480918958</v>
          </cell>
          <cell r="V272">
            <v>39560.044028114142</v>
          </cell>
          <cell r="W272">
            <v>12258.566966956221</v>
          </cell>
          <cell r="X272">
            <v>3125.035911330318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J273">
            <v>273</v>
          </cell>
          <cell r="K273" t="str">
            <v>583-OP</v>
          </cell>
          <cell r="L273" t="str">
            <v>Overhead Line Expenses</v>
          </cell>
          <cell r="Q273">
            <v>1527000</v>
          </cell>
        </row>
        <row r="274">
          <cell r="J274">
            <v>274</v>
          </cell>
          <cell r="L274" t="str">
            <v>D</v>
          </cell>
          <cell r="M274" t="str">
            <v>Account 364/365</v>
          </cell>
          <cell r="N274" t="str">
            <v/>
          </cell>
          <cell r="O274">
            <v>100</v>
          </cell>
          <cell r="P274" t="str">
            <v>S10</v>
          </cell>
          <cell r="R274">
            <v>1527000</v>
          </cell>
          <cell r="S274">
            <v>758610.80977106071</v>
          </cell>
          <cell r="T274">
            <v>156865.70071267133</v>
          </cell>
          <cell r="U274">
            <v>419099.86188890983</v>
          </cell>
          <cell r="V274">
            <v>73483.294375070865</v>
          </cell>
          <cell r="W274">
            <v>38313.036633088799</v>
          </cell>
          <cell r="X274">
            <v>80627.296619198431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J275">
            <v>275</v>
          </cell>
          <cell r="K275" t="str">
            <v>584-OP</v>
          </cell>
          <cell r="L275" t="str">
            <v>Underground Line Expenses</v>
          </cell>
          <cell r="Q275">
            <v>-235000</v>
          </cell>
        </row>
        <row r="276">
          <cell r="J276">
            <v>276</v>
          </cell>
          <cell r="L276" t="str">
            <v>D</v>
          </cell>
          <cell r="M276" t="str">
            <v>Account 366/367</v>
          </cell>
          <cell r="N276" t="str">
            <v/>
          </cell>
          <cell r="O276">
            <v>100</v>
          </cell>
          <cell r="P276" t="str">
            <v>S11</v>
          </cell>
          <cell r="R276">
            <v>-235000</v>
          </cell>
          <cell r="S276">
            <v>-122648.35979023141</v>
          </cell>
          <cell r="T276">
            <v>-25361.253296088231</v>
          </cell>
          <cell r="U276">
            <v>-66730.257173348436</v>
          </cell>
          <cell r="V276">
            <v>-12486.79000594884</v>
          </cell>
          <cell r="W276">
            <v>-6194.2580320592861</v>
          </cell>
          <cell r="X276">
            <v>-1579.0817023238003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J277">
            <v>277</v>
          </cell>
          <cell r="K277" t="str">
            <v>585-OP</v>
          </cell>
          <cell r="L277" t="str">
            <v>Street Lighting &amp; Signal Systems</v>
          </cell>
          <cell r="Q277">
            <v>83000</v>
          </cell>
        </row>
        <row r="278">
          <cell r="J278">
            <v>278</v>
          </cell>
          <cell r="L278" t="str">
            <v>D</v>
          </cell>
          <cell r="M278" t="str">
            <v>Account 373</v>
          </cell>
          <cell r="N278" t="str">
            <v/>
          </cell>
          <cell r="O278">
            <v>100</v>
          </cell>
          <cell r="P278" t="str">
            <v>S15</v>
          </cell>
          <cell r="R278">
            <v>83000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83000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J279">
            <v>279</v>
          </cell>
          <cell r="K279" t="str">
            <v>586-OP</v>
          </cell>
          <cell r="L279" t="str">
            <v>Meter Expenses</v>
          </cell>
          <cell r="Q279">
            <v>1717000</v>
          </cell>
        </row>
        <row r="280">
          <cell r="J280">
            <v>280</v>
          </cell>
          <cell r="L280" t="str">
            <v>D</v>
          </cell>
          <cell r="M280" t="str">
            <v>Account 370</v>
          </cell>
          <cell r="N280" t="str">
            <v/>
          </cell>
          <cell r="O280">
            <v>100</v>
          </cell>
          <cell r="P280" t="str">
            <v>S14</v>
          </cell>
          <cell r="R280">
            <v>1717000</v>
          </cell>
          <cell r="S280">
            <v>1048760.0071104805</v>
          </cell>
          <cell r="T280">
            <v>400906.67133421655</v>
          </cell>
          <cell r="U280">
            <v>199243.10832598642</v>
          </cell>
          <cell r="V280">
            <v>3985.8043872146254</v>
          </cell>
          <cell r="W280">
            <v>64104.408842101715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J281">
            <v>281</v>
          </cell>
          <cell r="K281" t="str">
            <v>587-OP</v>
          </cell>
          <cell r="L281" t="str">
            <v>Customer Installations Expenses</v>
          </cell>
          <cell r="Q281">
            <v>479000</v>
          </cell>
        </row>
        <row r="282">
          <cell r="J282">
            <v>282</v>
          </cell>
          <cell r="L282" t="str">
            <v>D</v>
          </cell>
          <cell r="M282" t="str">
            <v>Account 369</v>
          </cell>
          <cell r="N282" t="str">
            <v/>
          </cell>
          <cell r="O282">
            <v>100</v>
          </cell>
          <cell r="P282" t="str">
            <v>S13</v>
          </cell>
          <cell r="R282">
            <v>479000</v>
          </cell>
          <cell r="S282">
            <v>410951.03669320047</v>
          </cell>
          <cell r="T282">
            <v>57754.834240172968</v>
          </cell>
          <cell r="U282">
            <v>5397.643293497691</v>
          </cell>
          <cell r="V282">
            <v>0</v>
          </cell>
          <cell r="W282">
            <v>4896.4857731288466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J283">
            <v>283</v>
          </cell>
          <cell r="K283" t="str">
            <v>588-OP</v>
          </cell>
          <cell r="L283" t="str">
            <v>Miscellaneous Expenses</v>
          </cell>
          <cell r="Q283">
            <v>4986000</v>
          </cell>
        </row>
        <row r="284">
          <cell r="J284">
            <v>284</v>
          </cell>
          <cell r="L284" t="str">
            <v>D</v>
          </cell>
          <cell r="M284" t="str">
            <v>Dist Op Exp Subtotal</v>
          </cell>
          <cell r="N284" t="str">
            <v/>
          </cell>
          <cell r="O284">
            <v>100</v>
          </cell>
          <cell r="P284" t="str">
            <v>S16</v>
          </cell>
          <cell r="R284">
            <v>4986000</v>
          </cell>
          <cell r="S284">
            <v>2854051.560805961</v>
          </cell>
          <cell r="T284">
            <v>774836.68228419079</v>
          </cell>
          <cell r="U284">
            <v>869356.97735163511</v>
          </cell>
          <cell r="V284">
            <v>153370.85310547179</v>
          </cell>
          <cell r="W284">
            <v>138582.52106324959</v>
          </cell>
          <cell r="X284">
            <v>195801.40538949193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J285">
            <v>285</v>
          </cell>
          <cell r="K285" t="str">
            <v>589-OP</v>
          </cell>
          <cell r="L285" t="str">
            <v>Rents</v>
          </cell>
          <cell r="Q285">
            <v>181000</v>
          </cell>
        </row>
        <row r="286">
          <cell r="J286">
            <v>286</v>
          </cell>
          <cell r="L286" t="str">
            <v>D</v>
          </cell>
          <cell r="M286" t="str">
            <v>NCP-All</v>
          </cell>
          <cell r="N286" t="str">
            <v/>
          </cell>
          <cell r="O286">
            <v>100</v>
          </cell>
          <cell r="P286" t="str">
            <v>D02</v>
          </cell>
          <cell r="R286">
            <v>181000</v>
          </cell>
          <cell r="S286">
            <v>85199.754884736802</v>
          </cell>
          <cell r="T286">
            <v>17617.623000356991</v>
          </cell>
          <cell r="U286">
            <v>47085.985234991138</v>
          </cell>
          <cell r="V286">
            <v>25696.755127415901</v>
          </cell>
          <cell r="W286">
            <v>4302.9459743847056</v>
          </cell>
          <cell r="X286">
            <v>1096.9357781144677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J287">
            <v>287</v>
          </cell>
          <cell r="L287" t="str">
            <v>Total Distribution Operation</v>
          </cell>
          <cell r="N287" t="str">
            <v/>
          </cell>
          <cell r="Q287">
            <v>10573000</v>
          </cell>
          <cell r="R287">
            <v>10573000</v>
          </cell>
          <cell r="S287">
            <v>6052123.3759328965</v>
          </cell>
          <cell r="T287">
            <v>1643070.2450442736</v>
          </cell>
          <cell r="U287">
            <v>1843504.0757197828</v>
          </cell>
          <cell r="V287">
            <v>325228.64618615177</v>
          </cell>
          <cell r="W287">
            <v>293869.43345401884</v>
          </cell>
          <cell r="X287">
            <v>415204.22366287565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J288">
            <v>288</v>
          </cell>
          <cell r="K288" t="str">
            <v>590-MT</v>
          </cell>
          <cell r="L288" t="str">
            <v>Supervision &amp; Engineering</v>
          </cell>
          <cell r="Q288">
            <v>786000</v>
          </cell>
        </row>
        <row r="289">
          <cell r="J289">
            <v>289</v>
          </cell>
          <cell r="L289" t="str">
            <v>D</v>
          </cell>
          <cell r="M289" t="str">
            <v>Dist Mt Exp Subtotal</v>
          </cell>
          <cell r="N289" t="str">
            <v/>
          </cell>
          <cell r="O289">
            <v>100</v>
          </cell>
          <cell r="P289" t="str">
            <v>S17</v>
          </cell>
          <cell r="R289">
            <v>786000</v>
          </cell>
          <cell r="S289">
            <v>378311.36439297395</v>
          </cell>
          <cell r="T289">
            <v>79113.837502789043</v>
          </cell>
          <cell r="U289">
            <v>204841.24770741243</v>
          </cell>
          <cell r="V289">
            <v>35333.370248201776</v>
          </cell>
          <cell r="W289">
            <v>19159.964737899758</v>
          </cell>
          <cell r="X289">
            <v>69240.215410722929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J290">
            <v>290</v>
          </cell>
          <cell r="K290" t="str">
            <v>591-MT</v>
          </cell>
          <cell r="L290" t="str">
            <v>Structures</v>
          </cell>
          <cell r="Q290">
            <v>264000</v>
          </cell>
        </row>
        <row r="291">
          <cell r="J291">
            <v>291</v>
          </cell>
          <cell r="L291" t="str">
            <v>D</v>
          </cell>
          <cell r="M291" t="str">
            <v>Account 361</v>
          </cell>
          <cell r="N291" t="str">
            <v/>
          </cell>
          <cell r="O291">
            <v>100</v>
          </cell>
          <cell r="P291" t="str">
            <v>S08</v>
          </cell>
          <cell r="R291">
            <v>264000</v>
          </cell>
          <cell r="S291">
            <v>127548.55412600239</v>
          </cell>
          <cell r="T291">
            <v>26374.516497994031</v>
          </cell>
          <cell r="U291">
            <v>70490.218480632306</v>
          </cell>
          <cell r="V291">
            <v>31502.80137104891</v>
          </cell>
          <cell r="W291">
            <v>6441.7384563789783</v>
          </cell>
          <cell r="X291">
            <v>1642.1710679433718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J292">
            <v>292</v>
          </cell>
          <cell r="K292" t="str">
            <v>592-MT</v>
          </cell>
          <cell r="L292" t="str">
            <v>Station Equipment</v>
          </cell>
          <cell r="Q292">
            <v>675000</v>
          </cell>
        </row>
        <row r="293">
          <cell r="J293">
            <v>293</v>
          </cell>
          <cell r="L293" t="str">
            <v>D</v>
          </cell>
          <cell r="M293" t="str">
            <v>Account 362</v>
          </cell>
          <cell r="N293" t="str">
            <v/>
          </cell>
          <cell r="O293">
            <v>100</v>
          </cell>
          <cell r="P293" t="str">
            <v>S09</v>
          </cell>
          <cell r="R293">
            <v>675000</v>
          </cell>
          <cell r="S293">
            <v>339913.87342925835</v>
          </cell>
          <cell r="T293">
            <v>70287.461305132805</v>
          </cell>
          <cell r="U293">
            <v>187854.76140291072</v>
          </cell>
          <cell r="V293">
            <v>55400.476595388063</v>
          </cell>
          <cell r="W293">
            <v>17167.080296048651</v>
          </cell>
          <cell r="X293">
            <v>4376.3469712613378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J294">
            <v>294</v>
          </cell>
          <cell r="K294" t="str">
            <v>593-MT</v>
          </cell>
          <cell r="L294" t="str">
            <v>Overhead Lines</v>
          </cell>
          <cell r="Q294">
            <v>5266000</v>
          </cell>
        </row>
        <row r="295">
          <cell r="J295">
            <v>295</v>
          </cell>
          <cell r="L295" t="str">
            <v>D</v>
          </cell>
          <cell r="M295" t="str">
            <v>Account 364/365</v>
          </cell>
          <cell r="N295" t="str">
            <v/>
          </cell>
          <cell r="O295">
            <v>100</v>
          </cell>
          <cell r="P295" t="str">
            <v>S10</v>
          </cell>
          <cell r="R295">
            <v>5266000</v>
          </cell>
          <cell r="S295">
            <v>2616139.1776387724</v>
          </cell>
          <cell r="T295">
            <v>540965.80219576112</v>
          </cell>
          <cell r="U295">
            <v>1445304.4353025535</v>
          </cell>
          <cell r="V295">
            <v>253413.90188547687</v>
          </cell>
          <cell r="W295">
            <v>132126.03203002331</v>
          </cell>
          <cell r="X295">
            <v>278050.65094741253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J296">
            <v>296</v>
          </cell>
          <cell r="K296" t="str">
            <v>594-MT</v>
          </cell>
          <cell r="L296" t="str">
            <v>Underground Lines</v>
          </cell>
          <cell r="Q296">
            <v>747000</v>
          </cell>
        </row>
        <row r="297">
          <cell r="J297">
            <v>297</v>
          </cell>
          <cell r="L297" t="str">
            <v>D</v>
          </cell>
          <cell r="M297" t="str">
            <v>Account 366/367</v>
          </cell>
          <cell r="N297" t="str">
            <v/>
          </cell>
          <cell r="O297">
            <v>100</v>
          </cell>
          <cell r="P297" t="str">
            <v>S11</v>
          </cell>
          <cell r="R297">
            <v>747000</v>
          </cell>
          <cell r="S297">
            <v>389865.21175873553</v>
          </cell>
          <cell r="T297">
            <v>80616.409413523026</v>
          </cell>
          <cell r="U297">
            <v>212117.0302488991</v>
          </cell>
          <cell r="V297">
            <v>39692.051635930991</v>
          </cell>
          <cell r="W297">
            <v>19689.832978503349</v>
          </cell>
          <cell r="X297">
            <v>5019.4639644079953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J298">
            <v>298</v>
          </cell>
          <cell r="K298" t="str">
            <v>595-MT</v>
          </cell>
          <cell r="L298" t="str">
            <v>Line Transformers</v>
          </cell>
          <cell r="Q298">
            <v>968000</v>
          </cell>
        </row>
        <row r="299">
          <cell r="J299">
            <v>299</v>
          </cell>
          <cell r="L299" t="str">
            <v>D</v>
          </cell>
          <cell r="M299" t="str">
            <v>Account 368</v>
          </cell>
          <cell r="N299" t="str">
            <v/>
          </cell>
          <cell r="O299">
            <v>100</v>
          </cell>
          <cell r="P299" t="str">
            <v>S12</v>
          </cell>
          <cell r="R299">
            <v>968000</v>
          </cell>
          <cell r="S299">
            <v>543109.45324750175</v>
          </cell>
          <cell r="T299">
            <v>112304.28547815715</v>
          </cell>
          <cell r="U299">
            <v>278164.48588110739</v>
          </cell>
          <cell r="V299">
            <v>0</v>
          </cell>
          <cell r="W299">
            <v>27429.311723527913</v>
          </cell>
          <cell r="X299">
            <v>6992.4636697059177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J300">
            <v>300</v>
          </cell>
          <cell r="K300" t="str">
            <v>596-MT</v>
          </cell>
          <cell r="L300" t="str">
            <v>Street Lighting &amp; Signal Systems</v>
          </cell>
          <cell r="Q300">
            <v>449000</v>
          </cell>
        </row>
        <row r="301">
          <cell r="J301">
            <v>301</v>
          </cell>
          <cell r="L301" t="str">
            <v>D</v>
          </cell>
          <cell r="M301" t="str">
            <v>Account 373</v>
          </cell>
          <cell r="N301" t="str">
            <v/>
          </cell>
          <cell r="O301">
            <v>100</v>
          </cell>
          <cell r="P301" t="str">
            <v>S15</v>
          </cell>
          <cell r="R301">
            <v>449000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449000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J302">
            <v>302</v>
          </cell>
          <cell r="K302" t="str">
            <v>597-MT</v>
          </cell>
          <cell r="L302" t="str">
            <v>Meters</v>
          </cell>
          <cell r="Q302">
            <v>89000</v>
          </cell>
        </row>
        <row r="303">
          <cell r="J303">
            <v>303</v>
          </cell>
          <cell r="L303" t="str">
            <v>D</v>
          </cell>
          <cell r="M303" t="str">
            <v>Account 370</v>
          </cell>
          <cell r="N303" t="str">
            <v/>
          </cell>
          <cell r="O303">
            <v>100</v>
          </cell>
          <cell r="P303" t="str">
            <v>S14</v>
          </cell>
          <cell r="R303">
            <v>89000</v>
          </cell>
          <cell r="S303">
            <v>54362.050455930548</v>
          </cell>
          <cell r="T303">
            <v>20780.835031301849</v>
          </cell>
          <cell r="U303">
            <v>10327.68587129458</v>
          </cell>
          <cell r="V303">
            <v>206.60255705422344</v>
          </cell>
          <cell r="W303">
            <v>3322.8260844187844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J304">
            <v>304</v>
          </cell>
          <cell r="K304" t="str">
            <v>598-MT</v>
          </cell>
          <cell r="L304" t="str">
            <v>Miscellaneous Plant</v>
          </cell>
          <cell r="Q304">
            <v>469000</v>
          </cell>
        </row>
        <row r="305">
          <cell r="J305">
            <v>305</v>
          </cell>
          <cell r="L305" t="str">
            <v>D</v>
          </cell>
          <cell r="M305" t="str">
            <v>Dist Mt Exp Subtotal</v>
          </cell>
          <cell r="N305" t="str">
            <v/>
          </cell>
          <cell r="O305">
            <v>100</v>
          </cell>
          <cell r="P305" t="str">
            <v>S17</v>
          </cell>
          <cell r="R305">
            <v>469000</v>
          </cell>
          <cell r="S305">
            <v>225735.40699784324</v>
          </cell>
          <cell r="T305">
            <v>47206.602784743081</v>
          </cell>
          <cell r="U305">
            <v>122227.15671091148</v>
          </cell>
          <cell r="V305">
            <v>21083.143316038975</v>
          </cell>
          <cell r="W305">
            <v>11432.599824522884</v>
          </cell>
          <cell r="X305">
            <v>41315.090365940276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J306">
            <v>306</v>
          </cell>
          <cell r="L306" t="str">
            <v>Total Distribution Maintenance</v>
          </cell>
          <cell r="P306" t="str">
            <v/>
          </cell>
          <cell r="Q306">
            <v>9713000</v>
          </cell>
          <cell r="R306">
            <v>9713000</v>
          </cell>
          <cell r="S306">
            <v>4674985.0920470189</v>
          </cell>
          <cell r="T306">
            <v>977649.75020940206</v>
          </cell>
          <cell r="U306">
            <v>2531327.0216057217</v>
          </cell>
          <cell r="V306">
            <v>436632.3476091398</v>
          </cell>
          <cell r="W306">
            <v>236769.38613132361</v>
          </cell>
          <cell r="X306">
            <v>855636.4023973943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J307">
            <v>307</v>
          </cell>
          <cell r="L307" t="str">
            <v>Total Distribution Expenses</v>
          </cell>
          <cell r="P307" t="str">
            <v/>
          </cell>
          <cell r="Q307">
            <v>20286000</v>
          </cell>
          <cell r="R307">
            <v>20286000</v>
          </cell>
          <cell r="S307">
            <v>10727108.467979915</v>
          </cell>
          <cell r="T307">
            <v>2620719.9952536756</v>
          </cell>
          <cell r="U307">
            <v>4374831.0973255048</v>
          </cell>
          <cell r="V307">
            <v>761860.99379529152</v>
          </cell>
          <cell r="W307">
            <v>530638.81958534243</v>
          </cell>
          <cell r="X307">
            <v>1270840.62606027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J308">
            <v>308</v>
          </cell>
        </row>
        <row r="309">
          <cell r="J309">
            <v>309</v>
          </cell>
          <cell r="L309" t="str">
            <v>Customer Accounting Expenses</v>
          </cell>
        </row>
        <row r="310">
          <cell r="J310">
            <v>310</v>
          </cell>
          <cell r="K310" t="str">
            <v>901-OP</v>
          </cell>
          <cell r="L310" t="str">
            <v>Supervision</v>
          </cell>
          <cell r="Q310">
            <v>416000</v>
          </cell>
        </row>
        <row r="311">
          <cell r="J311">
            <v>311</v>
          </cell>
          <cell r="L311" t="str">
            <v>C</v>
          </cell>
          <cell r="M311" t="str">
            <v>Cust Acctg Exp Subtotal</v>
          </cell>
          <cell r="N311" t="str">
            <v/>
          </cell>
          <cell r="O311">
            <v>100</v>
          </cell>
          <cell r="P311" t="str">
            <v>S18</v>
          </cell>
          <cell r="R311">
            <v>416000</v>
          </cell>
          <cell r="S311">
            <v>354514.46075269958</v>
          </cell>
          <cell r="T311">
            <v>49823.268682498107</v>
          </cell>
          <cell r="U311">
            <v>4719.7301905268687</v>
          </cell>
          <cell r="V311">
            <v>2139.3646852428478</v>
          </cell>
          <cell r="W311">
            <v>4224.0433979972477</v>
          </cell>
          <cell r="X311">
            <v>579.13229103534798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J312">
            <v>312</v>
          </cell>
          <cell r="K312" t="str">
            <v>902-OP</v>
          </cell>
          <cell r="L312" t="str">
            <v>Meter Reading</v>
          </cell>
          <cell r="O312" t="str">
            <v>K02</v>
          </cell>
          <cell r="P312" t="str">
            <v/>
          </cell>
          <cell r="Q312">
            <v>2611000</v>
          </cell>
        </row>
        <row r="313">
          <cell r="J313">
            <v>313</v>
          </cell>
          <cell r="L313" t="str">
            <v>C</v>
          </cell>
          <cell r="M313" t="str">
            <v>Avg Customers-All</v>
          </cell>
          <cell r="N313" t="str">
            <v/>
          </cell>
          <cell r="O313">
            <v>0</v>
          </cell>
          <cell r="P313" t="str">
            <v>C01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J314">
            <v>314</v>
          </cell>
          <cell r="L314" t="str">
            <v>C</v>
          </cell>
          <cell r="M314" t="str">
            <v>Wt Customers-Meter Reading</v>
          </cell>
          <cell r="N314" t="str">
            <v/>
          </cell>
          <cell r="O314">
            <v>98.62</v>
          </cell>
          <cell r="P314" t="str">
            <v>C03</v>
          </cell>
          <cell r="R314">
            <v>2574968.2000000002</v>
          </cell>
          <cell r="S314">
            <v>2205520.3980724271</v>
          </cell>
          <cell r="T314">
            <v>309962.63211544033</v>
          </cell>
          <cell r="U314">
            <v>29362.585623458261</v>
          </cell>
          <cell r="V314">
            <v>240.8638910167785</v>
          </cell>
          <cell r="W314">
            <v>26278.79792786466</v>
          </cell>
          <cell r="X314">
            <v>3602.9223697926441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J315">
            <v>315</v>
          </cell>
          <cell r="L315" t="str">
            <v>C</v>
          </cell>
          <cell r="M315" t="str">
            <v>DA Handbilled</v>
          </cell>
          <cell r="N315" t="str">
            <v/>
          </cell>
          <cell r="O315">
            <v>1.38</v>
          </cell>
          <cell r="P315" t="str">
            <v>C06</v>
          </cell>
          <cell r="R315">
            <v>36031.799999999996</v>
          </cell>
          <cell r="S315">
            <v>0</v>
          </cell>
          <cell r="T315">
            <v>0</v>
          </cell>
          <cell r="U315">
            <v>0</v>
          </cell>
          <cell r="V315">
            <v>36031.799999999996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J316">
            <v>316</v>
          </cell>
          <cell r="L316" t="str">
            <v>C</v>
          </cell>
          <cell r="M316" t="str">
            <v>Open</v>
          </cell>
          <cell r="N316" t="str">
            <v/>
          </cell>
          <cell r="O316">
            <v>0</v>
          </cell>
          <cell r="P316" t="str">
            <v>xxx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J317">
            <v>317</v>
          </cell>
          <cell r="K317" t="str">
            <v>903-OP</v>
          </cell>
          <cell r="L317" t="str">
            <v>Customer Records &amp; Collections</v>
          </cell>
          <cell r="O317" t="str">
            <v>K03</v>
          </cell>
          <cell r="P317" t="str">
            <v/>
          </cell>
          <cell r="Q317">
            <v>5644000</v>
          </cell>
        </row>
        <row r="318">
          <cell r="J318">
            <v>318</v>
          </cell>
          <cell r="L318" t="str">
            <v>C</v>
          </cell>
          <cell r="M318" t="str">
            <v>Avg Customers-All</v>
          </cell>
          <cell r="N318" t="str">
            <v/>
          </cell>
          <cell r="O318">
            <v>99.89</v>
          </cell>
          <cell r="P318" t="str">
            <v>C01</v>
          </cell>
          <cell r="R318">
            <v>5637791.5999999996</v>
          </cell>
          <cell r="S318">
            <v>4828900.1681191195</v>
          </cell>
          <cell r="T318">
            <v>678650.99213820172</v>
          </cell>
          <cell r="U318">
            <v>64288.226387500137</v>
          </cell>
          <cell r="V318">
            <v>527.36201616692165</v>
          </cell>
          <cell r="W318">
            <v>57536.394513847888</v>
          </cell>
          <cell r="X318">
            <v>7888.4568251635346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J319">
            <v>319</v>
          </cell>
          <cell r="L319" t="str">
            <v>C</v>
          </cell>
          <cell r="M319" t="str">
            <v>Wt Customers-Meter Reading</v>
          </cell>
          <cell r="N319" t="str">
            <v/>
          </cell>
          <cell r="O319">
            <v>0</v>
          </cell>
          <cell r="P319" t="str">
            <v>C03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J320">
            <v>320</v>
          </cell>
          <cell r="L320" t="str">
            <v>C</v>
          </cell>
          <cell r="M320" t="str">
            <v>DA Handbilled</v>
          </cell>
          <cell r="N320" t="str">
            <v/>
          </cell>
          <cell r="O320">
            <v>0.11</v>
          </cell>
          <cell r="P320" t="str">
            <v>C06</v>
          </cell>
          <cell r="R320">
            <v>6208.4</v>
          </cell>
          <cell r="S320">
            <v>0</v>
          </cell>
          <cell r="T320">
            <v>0</v>
          </cell>
          <cell r="U320">
            <v>0</v>
          </cell>
          <cell r="V320">
            <v>6208.4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J321">
            <v>321</v>
          </cell>
          <cell r="L321" t="str">
            <v>C</v>
          </cell>
          <cell r="M321" t="str">
            <v>Open</v>
          </cell>
          <cell r="N321" t="str">
            <v/>
          </cell>
          <cell r="O321">
            <v>0</v>
          </cell>
          <cell r="P321" t="str">
            <v>xxx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J322">
            <v>322</v>
          </cell>
          <cell r="K322" t="str">
            <v>904-OP</v>
          </cell>
          <cell r="L322" t="str">
            <v>Uncollectible Accounts</v>
          </cell>
          <cell r="Q322">
            <v>2044000</v>
          </cell>
        </row>
        <row r="323">
          <cell r="J323">
            <v>323</v>
          </cell>
          <cell r="L323" t="str">
            <v>R</v>
          </cell>
          <cell r="M323" t="str">
            <v>Retail Sales Revenue</v>
          </cell>
          <cell r="N323" t="str">
            <v/>
          </cell>
          <cell r="O323">
            <v>100</v>
          </cell>
          <cell r="P323" t="str">
            <v>R01</v>
          </cell>
          <cell r="R323">
            <v>2044000</v>
          </cell>
          <cell r="S323">
            <v>891333.20003076212</v>
          </cell>
          <cell r="T323">
            <v>249328.43190033067</v>
          </cell>
          <cell r="U323">
            <v>570036.63769899262</v>
          </cell>
          <cell r="V323">
            <v>261347.07375221103</v>
          </cell>
          <cell r="W323">
            <v>42393.10928247327</v>
          </cell>
          <cell r="X323">
            <v>29561.547335230331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J324">
            <v>324</v>
          </cell>
          <cell r="K324" t="str">
            <v>905-OP</v>
          </cell>
          <cell r="L324" t="str">
            <v>Misc Customer Accounts Expenses</v>
          </cell>
          <cell r="O324" t="str">
            <v>K01</v>
          </cell>
          <cell r="P324" t="str">
            <v/>
          </cell>
          <cell r="Q324">
            <v>110000</v>
          </cell>
        </row>
        <row r="325">
          <cell r="J325">
            <v>325</v>
          </cell>
          <cell r="L325" t="str">
            <v>C</v>
          </cell>
          <cell r="M325" t="str">
            <v>Avg Customers-All</v>
          </cell>
          <cell r="N325" t="str">
            <v/>
          </cell>
          <cell r="O325">
            <v>100</v>
          </cell>
          <cell r="P325" t="str">
            <v>C01</v>
          </cell>
          <cell r="R325">
            <v>110000</v>
          </cell>
          <cell r="S325">
            <v>94217.568895789474</v>
          </cell>
          <cell r="T325">
            <v>13241.285672070993</v>
          </cell>
          <cell r="U325">
            <v>1254.3395365350175</v>
          </cell>
          <cell r="V325">
            <v>10.289458336551741</v>
          </cell>
          <cell r="W325">
            <v>1122.603289650378</v>
          </cell>
          <cell r="X325">
            <v>153.91314761758645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J326">
            <v>326</v>
          </cell>
          <cell r="L326" t="str">
            <v>C</v>
          </cell>
          <cell r="M326" t="str">
            <v>Wt Customers-Meter Reading</v>
          </cell>
          <cell r="N326" t="str">
            <v/>
          </cell>
          <cell r="O326">
            <v>0</v>
          </cell>
          <cell r="P326" t="str">
            <v>C03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J327">
            <v>327</v>
          </cell>
          <cell r="L327" t="str">
            <v>C</v>
          </cell>
          <cell r="M327" t="str">
            <v>DA Handbilled</v>
          </cell>
          <cell r="N327" t="str">
            <v/>
          </cell>
          <cell r="O327">
            <v>0</v>
          </cell>
          <cell r="P327" t="str">
            <v>C06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J328">
            <v>328</v>
          </cell>
          <cell r="L328" t="str">
            <v>C</v>
          </cell>
          <cell r="M328" t="str">
            <v>Open</v>
          </cell>
          <cell r="N328" t="str">
            <v/>
          </cell>
          <cell r="O328">
            <v>0</v>
          </cell>
          <cell r="P328" t="str">
            <v>xxx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J329">
            <v>329</v>
          </cell>
          <cell r="L329" t="str">
            <v>Total Customer Accounting Expenses</v>
          </cell>
          <cell r="P329" t="str">
            <v/>
          </cell>
          <cell r="Q329">
            <v>10825000</v>
          </cell>
          <cell r="R329">
            <v>10825000</v>
          </cell>
          <cell r="S329">
            <v>8374485.7958707977</v>
          </cell>
          <cell r="T329">
            <v>1301006.6105085418</v>
          </cell>
          <cell r="U329">
            <v>669661.51943701284</v>
          </cell>
          <cell r="V329">
            <v>306505.15380297415</v>
          </cell>
          <cell r="W329">
            <v>131554.94841183344</v>
          </cell>
          <cell r="X329">
            <v>41785.971968839447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J330">
            <v>330</v>
          </cell>
        </row>
        <row r="331">
          <cell r="J331">
            <v>331</v>
          </cell>
          <cell r="L331" t="str">
            <v>Customer Information Expenses</v>
          </cell>
        </row>
        <row r="332">
          <cell r="J332">
            <v>332</v>
          </cell>
          <cell r="K332" t="str">
            <v>907-OP</v>
          </cell>
          <cell r="L332" t="str">
            <v>Supervision</v>
          </cell>
          <cell r="O332" t="str">
            <v>I01</v>
          </cell>
          <cell r="P332" t="str">
            <v/>
          </cell>
          <cell r="Q332">
            <v>0</v>
          </cell>
        </row>
        <row r="333">
          <cell r="J333">
            <v>333</v>
          </cell>
          <cell r="L333" t="str">
            <v>C</v>
          </cell>
          <cell r="M333" t="str">
            <v>Avg Customers-All</v>
          </cell>
          <cell r="N333" t="str">
            <v/>
          </cell>
          <cell r="O333">
            <v>100</v>
          </cell>
          <cell r="P333" t="str">
            <v>C01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J334">
            <v>334</v>
          </cell>
          <cell r="L334" t="str">
            <v>C</v>
          </cell>
          <cell r="M334" t="str">
            <v xml:space="preserve">Production Plant </v>
          </cell>
          <cell r="N334" t="str">
            <v/>
          </cell>
          <cell r="O334">
            <v>0</v>
          </cell>
          <cell r="P334" t="str">
            <v>S01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J335">
            <v>335</v>
          </cell>
          <cell r="L335" t="str">
            <v>C</v>
          </cell>
          <cell r="M335" t="str">
            <v>Open</v>
          </cell>
          <cell r="N335" t="str">
            <v/>
          </cell>
          <cell r="O335">
            <v>0</v>
          </cell>
          <cell r="P335" t="str">
            <v>xxx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J336">
            <v>336</v>
          </cell>
          <cell r="K336" t="str">
            <v>908-OP</v>
          </cell>
          <cell r="L336" t="str">
            <v>Customer Assistance Expenses</v>
          </cell>
          <cell r="O336" t="str">
            <v>I02</v>
          </cell>
          <cell r="P336" t="str">
            <v/>
          </cell>
          <cell r="Q336">
            <v>527000</v>
          </cell>
        </row>
        <row r="337">
          <cell r="J337">
            <v>337</v>
          </cell>
          <cell r="L337" t="str">
            <v>C</v>
          </cell>
          <cell r="M337" t="str">
            <v>Avg Customers-All</v>
          </cell>
          <cell r="N337" t="str">
            <v/>
          </cell>
          <cell r="O337">
            <v>0.52800000000000002</v>
          </cell>
          <cell r="P337" t="str">
            <v>C01</v>
          </cell>
          <cell r="R337">
            <v>61766.037735849059</v>
          </cell>
          <cell r="S337">
            <v>52904.053779975373</v>
          </cell>
          <cell r="T337">
            <v>7435.1068226572215</v>
          </cell>
          <cell r="U337">
            <v>704.32348315626655</v>
          </cell>
          <cell r="V337">
            <v>5.7776279263354686</v>
          </cell>
          <cell r="W337">
            <v>630.35233773575942</v>
          </cell>
          <cell r="X337">
            <v>86.423684398101372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J338">
            <v>338</v>
          </cell>
          <cell r="L338" t="str">
            <v>DSM</v>
          </cell>
          <cell r="M338" t="str">
            <v xml:space="preserve">Production Plant </v>
          </cell>
          <cell r="N338" t="str">
            <v/>
          </cell>
          <cell r="O338">
            <v>3.9769999999999999</v>
          </cell>
          <cell r="P338" t="str">
            <v>S01</v>
          </cell>
          <cell r="R338">
            <v>465233.96226415096</v>
          </cell>
          <cell r="S338">
            <v>211254.73620396448</v>
          </cell>
          <cell r="T338">
            <v>39415.966834038372</v>
          </cell>
          <cell r="U338">
            <v>120604.01629465354</v>
          </cell>
          <cell r="V338">
            <v>82457.411451181251</v>
          </cell>
          <cell r="W338">
            <v>9685.7970961682986</v>
          </cell>
          <cell r="X338">
            <v>1816.0343841449644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J339">
            <v>339</v>
          </cell>
          <cell r="L339" t="str">
            <v>DSM</v>
          </cell>
          <cell r="M339" t="str">
            <v>Open</v>
          </cell>
          <cell r="N339" t="str">
            <v/>
          </cell>
          <cell r="O339">
            <v>0</v>
          </cell>
          <cell r="P339" t="str">
            <v>xxx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J340">
            <v>340</v>
          </cell>
          <cell r="K340" t="str">
            <v>909-OP</v>
          </cell>
          <cell r="L340" t="str">
            <v>Advertising</v>
          </cell>
          <cell r="O340" t="str">
            <v>I01</v>
          </cell>
          <cell r="P340" t="str">
            <v/>
          </cell>
          <cell r="Q340">
            <v>618000</v>
          </cell>
        </row>
        <row r="341">
          <cell r="J341">
            <v>341</v>
          </cell>
          <cell r="L341" t="str">
            <v>C</v>
          </cell>
          <cell r="M341" t="str">
            <v>Avg Customers-All</v>
          </cell>
          <cell r="N341" t="str">
            <v/>
          </cell>
          <cell r="O341">
            <v>100</v>
          </cell>
          <cell r="P341" t="str">
            <v>C01</v>
          </cell>
          <cell r="R341">
            <v>618000</v>
          </cell>
          <cell r="S341">
            <v>529331.43252361717</v>
          </cell>
          <cell r="T341">
            <v>74391.950412180668</v>
          </cell>
          <cell r="U341">
            <v>7047.1075779876446</v>
          </cell>
          <cell r="V341">
            <v>57.80804774535433</v>
          </cell>
          <cell r="W341">
            <v>6306.989390944851</v>
          </cell>
          <cell r="X341">
            <v>864.71204752425831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J342">
            <v>342</v>
          </cell>
          <cell r="L342" t="str">
            <v>C</v>
          </cell>
          <cell r="M342" t="str">
            <v xml:space="preserve">Production Plant </v>
          </cell>
          <cell r="N342" t="str">
            <v/>
          </cell>
          <cell r="O342">
            <v>0</v>
          </cell>
          <cell r="P342" t="str">
            <v>S01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J343">
            <v>343</v>
          </cell>
          <cell r="L343" t="str">
            <v>C</v>
          </cell>
          <cell r="M343" t="str">
            <v>Open</v>
          </cell>
          <cell r="N343" t="str">
            <v/>
          </cell>
          <cell r="O343">
            <v>0</v>
          </cell>
          <cell r="P343" t="str">
            <v>xxx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J344">
            <v>344</v>
          </cell>
          <cell r="K344" t="str">
            <v>910-OP</v>
          </cell>
          <cell r="L344" t="str">
            <v>Misc Customer Service &amp; Info Exp</v>
          </cell>
          <cell r="O344" t="str">
            <v>I01</v>
          </cell>
          <cell r="P344" t="str">
            <v/>
          </cell>
          <cell r="Q344">
            <v>90000</v>
          </cell>
        </row>
        <row r="345">
          <cell r="J345">
            <v>345</v>
          </cell>
          <cell r="L345" t="str">
            <v>C</v>
          </cell>
          <cell r="M345" t="str">
            <v>Avg Customers-All</v>
          </cell>
          <cell r="N345" t="str">
            <v/>
          </cell>
          <cell r="O345">
            <v>100</v>
          </cell>
          <cell r="P345" t="str">
            <v>C01</v>
          </cell>
          <cell r="R345">
            <v>90000</v>
          </cell>
          <cell r="S345">
            <v>77087.101823827747</v>
          </cell>
          <cell r="T345">
            <v>10833.779186239903</v>
          </cell>
          <cell r="U345">
            <v>1026.2778026195599</v>
          </cell>
          <cell r="V345">
            <v>8.4186477299059703</v>
          </cell>
          <cell r="W345">
            <v>918.49360062303651</v>
          </cell>
          <cell r="X345">
            <v>125.92893895984345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J346">
            <v>346</v>
          </cell>
          <cell r="L346" t="str">
            <v>C</v>
          </cell>
          <cell r="M346" t="str">
            <v xml:space="preserve">Production Plant </v>
          </cell>
          <cell r="N346" t="str">
            <v/>
          </cell>
          <cell r="O346">
            <v>0</v>
          </cell>
          <cell r="P346" t="str">
            <v>S01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J347">
            <v>347</v>
          </cell>
          <cell r="L347" t="str">
            <v>C</v>
          </cell>
          <cell r="M347" t="str">
            <v>Open</v>
          </cell>
          <cell r="N347" t="str">
            <v/>
          </cell>
          <cell r="O347">
            <v>0</v>
          </cell>
          <cell r="P347" t="str">
            <v>xxx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J348">
            <v>348</v>
          </cell>
          <cell r="L348" t="str">
            <v>Total Customer Information Expenses</v>
          </cell>
          <cell r="P348" t="str">
            <v/>
          </cell>
          <cell r="Q348">
            <v>1235000</v>
          </cell>
          <cell r="R348">
            <v>1235000</v>
          </cell>
          <cell r="S348">
            <v>870577.32433138473</v>
          </cell>
          <cell r="T348">
            <v>132076.80325511616</v>
          </cell>
          <cell r="U348">
            <v>129381.72515841702</v>
          </cell>
          <cell r="V348">
            <v>82529.415774582842</v>
          </cell>
          <cell r="W348">
            <v>17541.632425471947</v>
          </cell>
          <cell r="X348">
            <v>2893.0990550271677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J349">
            <v>349</v>
          </cell>
        </row>
        <row r="350">
          <cell r="J350">
            <v>350</v>
          </cell>
          <cell r="L350" t="str">
            <v>Sales Expenses</v>
          </cell>
        </row>
        <row r="351">
          <cell r="J351">
            <v>351</v>
          </cell>
          <cell r="K351" t="str">
            <v>911-OP</v>
          </cell>
          <cell r="L351" t="str">
            <v>Supervision</v>
          </cell>
          <cell r="O351" t="str">
            <v>V01</v>
          </cell>
          <cell r="P351" t="str">
            <v/>
          </cell>
          <cell r="Q351">
            <v>0</v>
          </cell>
        </row>
        <row r="352">
          <cell r="J352">
            <v>352</v>
          </cell>
          <cell r="L352" t="str">
            <v>C</v>
          </cell>
          <cell r="M352" t="str">
            <v>Generation Level Consumption</v>
          </cell>
          <cell r="N352" t="str">
            <v/>
          </cell>
          <cell r="O352">
            <v>100</v>
          </cell>
          <cell r="P352" t="str">
            <v>E02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J353">
            <v>353</v>
          </cell>
          <cell r="L353" t="str">
            <v>C</v>
          </cell>
          <cell r="M353" t="str">
            <v>Avg Customers-All</v>
          </cell>
          <cell r="N353" t="str">
            <v/>
          </cell>
          <cell r="O353">
            <v>0</v>
          </cell>
          <cell r="P353" t="str">
            <v>C01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J354">
            <v>354</v>
          </cell>
          <cell r="L354" t="str">
            <v>C</v>
          </cell>
          <cell r="M354" t="str">
            <v>Open</v>
          </cell>
          <cell r="N354" t="str">
            <v/>
          </cell>
          <cell r="O354">
            <v>0</v>
          </cell>
          <cell r="P354" t="str">
            <v>xxx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J355">
            <v>355</v>
          </cell>
          <cell r="K355" t="str">
            <v>912-OP</v>
          </cell>
          <cell r="L355" t="str">
            <v>Demonstrating &amp; Selling Expenses</v>
          </cell>
          <cell r="O355" t="str">
            <v>V01</v>
          </cell>
          <cell r="P355" t="str">
            <v/>
          </cell>
          <cell r="Q355">
            <v>8000</v>
          </cell>
        </row>
        <row r="356">
          <cell r="J356">
            <v>356</v>
          </cell>
          <cell r="L356" t="str">
            <v>C</v>
          </cell>
          <cell r="M356" t="str">
            <v>Generation Level Consumption</v>
          </cell>
          <cell r="N356" t="str">
            <v/>
          </cell>
          <cell r="O356">
            <v>100</v>
          </cell>
          <cell r="P356" t="str">
            <v>E02</v>
          </cell>
          <cell r="R356">
            <v>8000</v>
          </cell>
          <cell r="S356">
            <v>3448.6407283367034</v>
          </cell>
          <cell r="T356">
            <v>706.40069914235858</v>
          </cell>
          <cell r="U356">
            <v>2134.6598323888547</v>
          </cell>
          <cell r="V356">
            <v>1493.742095261716</v>
          </cell>
          <cell r="W356">
            <v>179.20507761272648</v>
          </cell>
          <cell r="X356">
            <v>37.351567257641371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J357">
            <v>357</v>
          </cell>
          <cell r="L357" t="str">
            <v>C</v>
          </cell>
          <cell r="M357" t="str">
            <v>Avg Customers-All</v>
          </cell>
          <cell r="N357" t="str">
            <v/>
          </cell>
          <cell r="O357">
            <v>0</v>
          </cell>
          <cell r="P357" t="str">
            <v>C01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J358">
            <v>358</v>
          </cell>
          <cell r="L358" t="str">
            <v>C</v>
          </cell>
          <cell r="M358" t="str">
            <v>Open</v>
          </cell>
          <cell r="N358" t="str">
            <v/>
          </cell>
          <cell r="O358">
            <v>0</v>
          </cell>
          <cell r="P358" t="str">
            <v>xxx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J359">
            <v>359</v>
          </cell>
          <cell r="K359" t="str">
            <v>913-OP</v>
          </cell>
          <cell r="L359" t="str">
            <v>Advertising Expenses</v>
          </cell>
          <cell r="O359" t="str">
            <v>V01</v>
          </cell>
          <cell r="P359" t="str">
            <v/>
          </cell>
          <cell r="Q359">
            <v>0</v>
          </cell>
        </row>
        <row r="360">
          <cell r="J360">
            <v>360</v>
          </cell>
          <cell r="L360" t="str">
            <v>C</v>
          </cell>
          <cell r="M360" t="str">
            <v>Generation Level Consumption</v>
          </cell>
          <cell r="N360" t="str">
            <v/>
          </cell>
          <cell r="O360">
            <v>100</v>
          </cell>
          <cell r="P360" t="str">
            <v>E02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J361">
            <v>361</v>
          </cell>
          <cell r="L361" t="str">
            <v>C</v>
          </cell>
          <cell r="M361" t="str">
            <v>Avg Customers-All</v>
          </cell>
          <cell r="N361" t="str">
            <v/>
          </cell>
          <cell r="O361">
            <v>0</v>
          </cell>
          <cell r="P361" t="str">
            <v>C01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J362">
            <v>362</v>
          </cell>
          <cell r="L362" t="str">
            <v>C</v>
          </cell>
          <cell r="M362" t="str">
            <v>Open</v>
          </cell>
          <cell r="N362" t="str">
            <v/>
          </cell>
          <cell r="O362">
            <v>0</v>
          </cell>
          <cell r="P362" t="str">
            <v>xxx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J363">
            <v>363</v>
          </cell>
          <cell r="K363" t="str">
            <v>916-OP</v>
          </cell>
          <cell r="L363" t="str">
            <v>Misc Sales Expenses</v>
          </cell>
          <cell r="O363" t="str">
            <v>V01</v>
          </cell>
          <cell r="P363" t="str">
            <v/>
          </cell>
          <cell r="Q363">
            <v>-4000</v>
          </cell>
        </row>
        <row r="364">
          <cell r="J364">
            <v>364</v>
          </cell>
          <cell r="L364" t="str">
            <v>C</v>
          </cell>
          <cell r="M364" t="str">
            <v>Generation Level Consumption</v>
          </cell>
          <cell r="N364" t="str">
            <v/>
          </cell>
          <cell r="O364">
            <v>100</v>
          </cell>
          <cell r="P364" t="str">
            <v>E02</v>
          </cell>
          <cell r="R364">
            <v>-4000</v>
          </cell>
          <cell r="S364">
            <v>-1724.3203641683517</v>
          </cell>
          <cell r="T364">
            <v>-353.20034957117929</v>
          </cell>
          <cell r="U364">
            <v>-1067.3299161944274</v>
          </cell>
          <cell r="V364">
            <v>-746.87104763085802</v>
          </cell>
          <cell r="W364">
            <v>-89.602538806363242</v>
          </cell>
          <cell r="X364">
            <v>-18.675783628820685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J365">
            <v>365</v>
          </cell>
          <cell r="L365" t="str">
            <v>C</v>
          </cell>
          <cell r="M365" t="str">
            <v>Avg Customers-All</v>
          </cell>
          <cell r="N365" t="str">
            <v/>
          </cell>
          <cell r="O365">
            <v>0</v>
          </cell>
          <cell r="P365" t="str">
            <v>C01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J366">
            <v>366</v>
          </cell>
          <cell r="L366" t="str">
            <v>C</v>
          </cell>
          <cell r="M366" t="str">
            <v>Open</v>
          </cell>
          <cell r="N366" t="str">
            <v/>
          </cell>
          <cell r="O366">
            <v>0</v>
          </cell>
          <cell r="P366" t="str">
            <v>xxx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J367">
            <v>367</v>
          </cell>
          <cell r="L367" t="str">
            <v>Total Sales Expenses</v>
          </cell>
          <cell r="N367" t="str">
            <v/>
          </cell>
          <cell r="Q367">
            <v>4000</v>
          </cell>
          <cell r="R367">
            <v>4000</v>
          </cell>
          <cell r="S367">
            <v>1724.3203641683517</v>
          </cell>
          <cell r="T367">
            <v>353.20034957117929</v>
          </cell>
          <cell r="U367">
            <v>1067.3299161944274</v>
          </cell>
          <cell r="V367">
            <v>746.87104763085802</v>
          </cell>
          <cell r="W367">
            <v>89.602538806363242</v>
          </cell>
          <cell r="X367">
            <v>18.675783628820685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J368">
            <v>368</v>
          </cell>
        </row>
        <row r="369">
          <cell r="J369">
            <v>369</v>
          </cell>
          <cell r="L369" t="str">
            <v>Subtotal Expenses</v>
          </cell>
          <cell r="N369" t="str">
            <v/>
          </cell>
          <cell r="Q369">
            <v>262560000</v>
          </cell>
          <cell r="R369">
            <v>262560000</v>
          </cell>
          <cell r="S369">
            <v>124508295.29940976</v>
          </cell>
          <cell r="T369">
            <v>23558213.623398822</v>
          </cell>
          <cell r="U369">
            <v>64852980.773007013</v>
          </cell>
          <cell r="V369">
            <v>41953738.218215659</v>
          </cell>
          <cell r="W369">
            <v>5472612.1388302771</v>
          </cell>
          <cell r="X369">
            <v>2214159.9471384771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J370">
            <v>370</v>
          </cell>
        </row>
        <row r="371">
          <cell r="J371">
            <v>371</v>
          </cell>
          <cell r="L371" t="str">
            <v>Administrative &amp; General Expenses</v>
          </cell>
        </row>
        <row r="372">
          <cell r="J372">
            <v>372</v>
          </cell>
          <cell r="K372" t="str">
            <v>920-OP</v>
          </cell>
          <cell r="L372" t="str">
            <v>Admin &amp; General Salaries</v>
          </cell>
          <cell r="O372" t="str">
            <v>Manual Input</v>
          </cell>
          <cell r="Q372">
            <v>17504000</v>
          </cell>
        </row>
        <row r="373">
          <cell r="J373">
            <v>373</v>
          </cell>
          <cell r="L373" t="str">
            <v>P</v>
          </cell>
          <cell r="M373" t="str">
            <v xml:space="preserve">Production Plant </v>
          </cell>
          <cell r="O373">
            <v>875.41300000000001</v>
          </cell>
          <cell r="P373" t="str">
            <v>S01</v>
          </cell>
          <cell r="R373">
            <v>614446.80052154418</v>
          </cell>
          <cell r="S373">
            <v>279009.71830136538</v>
          </cell>
          <cell r="T373">
            <v>52057.71004500975</v>
          </cell>
          <cell r="U373">
            <v>159284.91458717448</v>
          </cell>
          <cell r="V373">
            <v>108903.68450078854</v>
          </cell>
          <cell r="W373">
            <v>12792.28843758053</v>
          </cell>
          <cell r="X373">
            <v>2398.4846496254377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J374">
            <v>374</v>
          </cell>
          <cell r="L374" t="str">
            <v>T</v>
          </cell>
          <cell r="M374" t="str">
            <v>Transmission Plant</v>
          </cell>
          <cell r="N374" t="str">
            <v/>
          </cell>
          <cell r="O374">
            <v>99.567999999999998</v>
          </cell>
          <cell r="P374" t="str">
            <v>S02</v>
          </cell>
          <cell r="R374">
            <v>69886.144064948894</v>
          </cell>
          <cell r="S374">
            <v>31734.095371933425</v>
          </cell>
          <cell r="T374">
            <v>5920.9562500917064</v>
          </cell>
          <cell r="U374">
            <v>18116.79787210812</v>
          </cell>
          <cell r="V374">
            <v>12386.521628505074</v>
          </cell>
          <cell r="W374">
            <v>1454.9733384734043</v>
          </cell>
          <cell r="X374">
            <v>272.79960383716661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J375">
            <v>375</v>
          </cell>
          <cell r="L375" t="str">
            <v>D</v>
          </cell>
          <cell r="M375" t="str">
            <v>Distribution Plant</v>
          </cell>
          <cell r="O375">
            <v>1667.684</v>
          </cell>
          <cell r="P375" t="str">
            <v>S03</v>
          </cell>
          <cell r="R375">
            <v>1170536.7615982066</v>
          </cell>
          <cell r="S375">
            <v>635233.86130462959</v>
          </cell>
          <cell r="T375">
            <v>128807.28069135126</v>
          </cell>
          <cell r="U375">
            <v>276169.75992509385</v>
          </cell>
          <cell r="V375">
            <v>42953.366503527985</v>
          </cell>
          <cell r="W375">
            <v>28121.828251176648</v>
          </cell>
          <cell r="X375">
            <v>59250.664922427226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J376">
            <v>376</v>
          </cell>
          <cell r="L376" t="str">
            <v>C</v>
          </cell>
          <cell r="M376" t="str">
            <v>Avg Customers-All</v>
          </cell>
          <cell r="O376">
            <v>406.09300000000002</v>
          </cell>
          <cell r="P376" t="str">
            <v>C01</v>
          </cell>
          <cell r="R376">
            <v>285034.08627036086</v>
          </cell>
          <cell r="S376">
            <v>244138.35146205567</v>
          </cell>
          <cell r="T376">
            <v>34311.070568941606</v>
          </cell>
          <cell r="U376">
            <v>3250.2683969913332</v>
          </cell>
          <cell r="V376">
            <v>26.662239592508843</v>
          </cell>
          <cell r="W376">
            <v>2908.9109355417886</v>
          </cell>
          <cell r="X376">
            <v>398.8226672379447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J377">
            <v>377</v>
          </cell>
          <cell r="L377" t="str">
            <v>O</v>
          </cell>
          <cell r="M377" t="str">
            <v>O&amp;M Exp excl PP/F/W/A&amp;G</v>
          </cell>
          <cell r="N377" t="str">
            <v/>
          </cell>
          <cell r="O377">
            <v>21889.493999999999</v>
          </cell>
          <cell r="P377" t="str">
            <v>S19</v>
          </cell>
          <cell r="R377">
            <v>15364096.20754494</v>
          </cell>
          <cell r="S377">
            <v>7469106.334209552</v>
          </cell>
          <cell r="T377">
            <v>1416209.9292842031</v>
          </cell>
          <cell r="U377">
            <v>3681924.1230285484</v>
          </cell>
          <cell r="V377">
            <v>2308331.2117983657</v>
          </cell>
          <cell r="W377">
            <v>320468.42796285544</v>
          </cell>
          <cell r="X377">
            <v>168056.1812614167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J378">
            <v>378</v>
          </cell>
          <cell r="K378" t="str">
            <v>921-OP</v>
          </cell>
          <cell r="L378" t="str">
            <v>Office Supplies &amp; Expenses</v>
          </cell>
          <cell r="O378" t="str">
            <v>Manual Input</v>
          </cell>
          <cell r="Q378">
            <v>2748000</v>
          </cell>
        </row>
        <row r="379">
          <cell r="J379">
            <v>379</v>
          </cell>
          <cell r="L379" t="str">
            <v>P</v>
          </cell>
          <cell r="M379" t="str">
            <v xml:space="preserve">Production Plant </v>
          </cell>
          <cell r="O379">
            <v>90.409000000000006</v>
          </cell>
          <cell r="P379" t="str">
            <v>S01</v>
          </cell>
          <cell r="R379">
            <v>61198.0609261344</v>
          </cell>
          <cell r="S379">
            <v>27788.986328999305</v>
          </cell>
          <cell r="T379">
            <v>5184.8767188720049</v>
          </cell>
          <cell r="U379">
            <v>15864.559631925742</v>
          </cell>
          <cell r="V379">
            <v>10846.658023937573</v>
          </cell>
          <cell r="W379">
            <v>1274.0944318096235</v>
          </cell>
          <cell r="X379">
            <v>238.88579059014739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J380">
            <v>380</v>
          </cell>
          <cell r="L380" t="str">
            <v>T</v>
          </cell>
          <cell r="M380" t="str">
            <v>Transmission Plant</v>
          </cell>
          <cell r="N380" t="str">
            <v/>
          </cell>
          <cell r="O380">
            <v>13.141999999999999</v>
          </cell>
          <cell r="P380" t="str">
            <v>S02</v>
          </cell>
          <cell r="R380">
            <v>8895.8501553081896</v>
          </cell>
          <cell r="S380">
            <v>4039.4524697287761</v>
          </cell>
          <cell r="T380">
            <v>753.68215376141632</v>
          </cell>
          <cell r="U380">
            <v>2306.0983163486821</v>
          </cell>
          <cell r="V380">
            <v>1576.6879376012071</v>
          </cell>
          <cell r="W380">
            <v>185.2044489247981</v>
          </cell>
          <cell r="X380">
            <v>34.724828943310023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J381">
            <v>381</v>
          </cell>
          <cell r="L381" t="str">
            <v>D</v>
          </cell>
          <cell r="M381" t="str">
            <v>Distribution Plant</v>
          </cell>
          <cell r="O381">
            <v>324.95800000000003</v>
          </cell>
          <cell r="P381" t="str">
            <v>S03</v>
          </cell>
          <cell r="R381">
            <v>219964.82078592599</v>
          </cell>
          <cell r="S381">
            <v>119371.81901766485</v>
          </cell>
          <cell r="T381">
            <v>24205.194866764068</v>
          </cell>
          <cell r="U381">
            <v>51897.243846893754</v>
          </cell>
          <cell r="V381">
            <v>8071.7068229454617</v>
          </cell>
          <cell r="W381">
            <v>5284.595165551902</v>
          </cell>
          <cell r="X381">
            <v>11134.261066105952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J382">
            <v>382</v>
          </cell>
          <cell r="L382" t="str">
            <v>C</v>
          </cell>
          <cell r="M382" t="str">
            <v>Avg Customers-All</v>
          </cell>
          <cell r="O382">
            <v>105.04300000000001</v>
          </cell>
          <cell r="P382" t="str">
            <v>C01</v>
          </cell>
          <cell r="R382">
            <v>71103.849327654709</v>
          </cell>
          <cell r="S382">
            <v>60902.107479855826</v>
          </cell>
          <cell r="T382">
            <v>8559.1489211942644</v>
          </cell>
          <cell r="U382">
            <v>810.80335828641932</v>
          </cell>
          <cell r="V382">
            <v>6.6510917747759608</v>
          </cell>
          <cell r="W382">
            <v>725.64922874572721</v>
          </cell>
          <cell r="X382">
            <v>99.489247797690396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J383">
            <v>383</v>
          </cell>
          <cell r="L383" t="str">
            <v>O</v>
          </cell>
          <cell r="M383" t="str">
            <v>O&amp;M Exp excl PP/F/W/A&amp;G</v>
          </cell>
          <cell r="N383" t="str">
            <v/>
          </cell>
          <cell r="O383">
            <v>3526.1179999999999</v>
          </cell>
          <cell r="P383" t="str">
            <v>S19</v>
          </cell>
          <cell r="R383">
            <v>2386837.4188049766</v>
          </cell>
          <cell r="S383">
            <v>1160337.8579971369</v>
          </cell>
          <cell r="T383">
            <v>220010.52365440925</v>
          </cell>
          <cell r="U383">
            <v>571992.92111498141</v>
          </cell>
          <cell r="V383">
            <v>358603.02076279221</v>
          </cell>
          <cell r="W383">
            <v>49785.293262595129</v>
          </cell>
          <cell r="X383">
            <v>26107.802013062072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J384">
            <v>384</v>
          </cell>
          <cell r="K384" t="str">
            <v>922-OP</v>
          </cell>
          <cell r="L384" t="str">
            <v>Admin Expenses Transferred - CR</v>
          </cell>
          <cell r="Q384">
            <v>-46000</v>
          </cell>
        </row>
        <row r="385">
          <cell r="J385">
            <v>385</v>
          </cell>
          <cell r="L385" t="str">
            <v>O</v>
          </cell>
          <cell r="M385" t="str">
            <v>O&amp;M Exp excl PP/F/W/A&amp;G</v>
          </cell>
          <cell r="N385" t="str">
            <v/>
          </cell>
          <cell r="O385">
            <v>100</v>
          </cell>
          <cell r="P385" t="str">
            <v>S19</v>
          </cell>
          <cell r="R385">
            <v>-46000</v>
          </cell>
          <cell r="S385">
            <v>-22362.453783966546</v>
          </cell>
          <cell r="T385">
            <v>-4240.122937728147</v>
          </cell>
          <cell r="U385">
            <v>-11023.655890422009</v>
          </cell>
          <cell r="V385">
            <v>-6911.1280161459017</v>
          </cell>
          <cell r="W385">
            <v>-959.48030311422599</v>
          </cell>
          <cell r="X385">
            <v>-503.15906862317507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J386">
            <v>386</v>
          </cell>
          <cell r="K386" t="str">
            <v>923-OP</v>
          </cell>
          <cell r="L386" t="str">
            <v>Outside Services Employed</v>
          </cell>
          <cell r="O386" t="str">
            <v>Manual Input</v>
          </cell>
          <cell r="Q386">
            <v>9717000</v>
          </cell>
        </row>
        <row r="387">
          <cell r="J387">
            <v>387</v>
          </cell>
          <cell r="L387" t="str">
            <v>P</v>
          </cell>
          <cell r="M387" t="str">
            <v xml:space="preserve">Production Plant </v>
          </cell>
          <cell r="O387">
            <v>59.165999999999997</v>
          </cell>
          <cell r="P387" t="str">
            <v>S01</v>
          </cell>
          <cell r="R387">
            <v>39740.394553263774</v>
          </cell>
          <cell r="S387">
            <v>18045.429287091658</v>
          </cell>
          <cell r="T387">
            <v>3366.9211638372794</v>
          </cell>
          <cell r="U387">
            <v>10302.023457041803</v>
          </cell>
          <cell r="V387">
            <v>7043.5314931935209</v>
          </cell>
          <cell r="W387">
            <v>827.36306758713374</v>
          </cell>
          <cell r="X387">
            <v>155.12608451237179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J388">
            <v>388</v>
          </cell>
          <cell r="L388" t="str">
            <v>T</v>
          </cell>
          <cell r="M388" t="str">
            <v>Transmission Plant</v>
          </cell>
          <cell r="N388" t="str">
            <v/>
          </cell>
          <cell r="O388">
            <v>60.639000000000003</v>
          </cell>
          <cell r="P388" t="str">
            <v>S02</v>
          </cell>
          <cell r="R388">
            <v>40729.773608412972</v>
          </cell>
          <cell r="S388">
            <v>18494.689290132028</v>
          </cell>
          <cell r="T388">
            <v>3450.7442188745026</v>
          </cell>
          <cell r="U388">
            <v>10558.503201358175</v>
          </cell>
          <cell r="V388">
            <v>7218.8876418172913</v>
          </cell>
          <cell r="W388">
            <v>847.96114416077148</v>
          </cell>
          <cell r="X388">
            <v>158.98811207020438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J389">
            <v>389</v>
          </cell>
          <cell r="L389" t="str">
            <v>D</v>
          </cell>
          <cell r="M389" t="str">
            <v>Distribution Plant</v>
          </cell>
          <cell r="O389">
            <v>146.12299999999999</v>
          </cell>
          <cell r="P389" t="str">
            <v>S03</v>
          </cell>
          <cell r="R389">
            <v>98147.342617492526</v>
          </cell>
          <cell r="S389">
            <v>53263.184440762576</v>
          </cell>
          <cell r="T389">
            <v>10800.252264081435</v>
          </cell>
          <cell r="U389">
            <v>23156.323609136591</v>
          </cell>
          <cell r="V389">
            <v>3601.5603414628777</v>
          </cell>
          <cell r="W389">
            <v>2357.9632891067877</v>
          </cell>
          <cell r="X389">
            <v>4968.0586729422548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J390">
            <v>390</v>
          </cell>
          <cell r="L390" t="str">
            <v>C</v>
          </cell>
          <cell r="M390" t="str">
            <v>Avg Customers-All</v>
          </cell>
          <cell r="O390">
            <v>148.59200000000001</v>
          </cell>
          <cell r="P390" t="str">
            <v>C01</v>
          </cell>
          <cell r="R390">
            <v>99805.711176327139</v>
          </cell>
          <cell r="S390">
            <v>85485.922444989701</v>
          </cell>
          <cell r="T390">
            <v>12014.144848999602</v>
          </cell>
          <cell r="U390">
            <v>1138.0931772769272</v>
          </cell>
          <cell r="V390">
            <v>9.3358791536248606</v>
          </cell>
          <cell r="W390">
            <v>1018.5656335676396</v>
          </cell>
          <cell r="X390">
            <v>139.64919233963852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J391">
            <v>391</v>
          </cell>
          <cell r="L391" t="str">
            <v>O</v>
          </cell>
          <cell r="M391" t="str">
            <v>O&amp;M Exp excl PP/F/W/A&amp;G</v>
          </cell>
          <cell r="N391" t="str">
            <v/>
          </cell>
          <cell r="O391">
            <v>14052.272000000001</v>
          </cell>
          <cell r="P391" t="str">
            <v>S19</v>
          </cell>
          <cell r="R391">
            <v>9438576.7780445032</v>
          </cell>
          <cell r="S391">
            <v>4588472.5431617405</v>
          </cell>
          <cell r="T391">
            <v>870015.78034988546</v>
          </cell>
          <cell r="U391">
            <v>2261904.8368802322</v>
          </cell>
          <cell r="V391">
            <v>1418069.8348540757</v>
          </cell>
          <cell r="W391">
            <v>196872.35886880511</v>
          </cell>
          <cell r="X391">
            <v>103241.42392976524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J392">
            <v>392</v>
          </cell>
          <cell r="K392" t="str">
            <v>924-OP</v>
          </cell>
          <cell r="L392" t="str">
            <v>Property Insurance Premium</v>
          </cell>
          <cell r="O392" t="str">
            <v>Manual Input</v>
          </cell>
          <cell r="Q392">
            <v>867000</v>
          </cell>
        </row>
        <row r="393">
          <cell r="J393">
            <v>393</v>
          </cell>
          <cell r="L393" t="str">
            <v>P</v>
          </cell>
          <cell r="M393" t="str">
            <v xml:space="preserve">Production Plant </v>
          </cell>
          <cell r="O393">
            <v>813.95100000000002</v>
          </cell>
          <cell r="P393" t="str">
            <v>S01</v>
          </cell>
          <cell r="R393">
            <v>331198.47348306893</v>
          </cell>
          <cell r="S393">
            <v>150391.52732167774</v>
          </cell>
          <cell r="T393">
            <v>28060.092566674404</v>
          </cell>
          <cell r="U393">
            <v>85857.588509492896</v>
          </cell>
          <cell r="V393">
            <v>58701.150421367114</v>
          </cell>
          <cell r="W393">
            <v>6895.2859698928987</v>
          </cell>
          <cell r="X393">
            <v>1292.8286939638242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J394">
            <v>394</v>
          </cell>
          <cell r="L394" t="str">
            <v>T</v>
          </cell>
          <cell r="M394" t="str">
            <v>Transmission Plant</v>
          </cell>
          <cell r="N394" t="str">
            <v/>
          </cell>
          <cell r="O394">
            <v>361.82600000000002</v>
          </cell>
          <cell r="P394" t="str">
            <v>S02</v>
          </cell>
          <cell r="R394">
            <v>147227.80470382725</v>
          </cell>
          <cell r="S394">
            <v>66853.612520524446</v>
          </cell>
          <cell r="T394">
            <v>12473.565427193449</v>
          </cell>
          <cell r="U394">
            <v>38166.312001626349</v>
          </cell>
          <cell r="V394">
            <v>26094.448501643925</v>
          </cell>
          <cell r="W394">
            <v>3065.1645385809074</v>
          </cell>
          <cell r="X394">
            <v>574.70171425817352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J395">
            <v>395</v>
          </cell>
          <cell r="L395" t="str">
            <v>D</v>
          </cell>
          <cell r="M395" t="str">
            <v>Distribution Plant</v>
          </cell>
          <cell r="O395">
            <v>785.76700000000005</v>
          </cell>
          <cell r="P395" t="str">
            <v>S03</v>
          </cell>
          <cell r="R395">
            <v>319730.34115489828</v>
          </cell>
          <cell r="S395">
            <v>173513.16579819558</v>
          </cell>
          <cell r="T395">
            <v>35183.513367363157</v>
          </cell>
          <cell r="U395">
            <v>75435.351075138664</v>
          </cell>
          <cell r="V395">
            <v>11732.646915909918</v>
          </cell>
          <cell r="W395">
            <v>7681.4347362928156</v>
          </cell>
          <cell r="X395">
            <v>16184.229261998127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J396">
            <v>396</v>
          </cell>
          <cell r="L396" t="str">
            <v>C</v>
          </cell>
          <cell r="M396" t="str">
            <v>Open</v>
          </cell>
          <cell r="O396">
            <v>0</v>
          </cell>
          <cell r="P396" t="str">
            <v>xxx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J397">
            <v>397</v>
          </cell>
          <cell r="L397" t="str">
            <v>O</v>
          </cell>
          <cell r="M397" t="str">
            <v>P/T/D/G Plant</v>
          </cell>
          <cell r="N397" t="str">
            <v/>
          </cell>
          <cell r="O397">
            <v>169.18899999999999</v>
          </cell>
          <cell r="P397" t="str">
            <v>S06</v>
          </cell>
          <cell r="R397">
            <v>68843.380658205409</v>
          </cell>
          <cell r="S397">
            <v>33869.615609859276</v>
          </cell>
          <cell r="T397">
            <v>6524.7154160821819</v>
          </cell>
          <cell r="U397">
            <v>17063.360956401284</v>
          </cell>
          <cell r="V397">
            <v>8374.9273913519646</v>
          </cell>
          <cell r="W397">
            <v>1510.646565936541</v>
          </cell>
          <cell r="X397">
            <v>1500.1147185741688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J398">
            <v>398</v>
          </cell>
          <cell r="K398" t="str">
            <v>925-OP</v>
          </cell>
          <cell r="L398" t="str">
            <v>Injuries &amp; Damages</v>
          </cell>
          <cell r="O398" t="str">
            <v>Manual Input</v>
          </cell>
          <cell r="Q398">
            <v>2601000</v>
          </cell>
        </row>
        <row r="399">
          <cell r="J399">
            <v>399</v>
          </cell>
          <cell r="L399" t="str">
            <v>P</v>
          </cell>
          <cell r="M399" t="str">
            <v xml:space="preserve">Production Plant </v>
          </cell>
          <cell r="O399">
            <v>0</v>
          </cell>
          <cell r="P399" t="str">
            <v>S01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J400">
            <v>400</v>
          </cell>
          <cell r="L400" t="str">
            <v>T</v>
          </cell>
          <cell r="M400" t="str">
            <v>Transmission Plant</v>
          </cell>
          <cell r="N400" t="str">
            <v/>
          </cell>
          <cell r="O400">
            <v>0</v>
          </cell>
          <cell r="P400" t="str">
            <v>S02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J401">
            <v>401</v>
          </cell>
          <cell r="L401" t="str">
            <v>D</v>
          </cell>
          <cell r="M401" t="str">
            <v>Distribution Plant</v>
          </cell>
          <cell r="O401">
            <v>5.2320000000000002</v>
          </cell>
          <cell r="P401" t="str">
            <v>S03</v>
          </cell>
          <cell r="R401">
            <v>3092.7896063022904</v>
          </cell>
          <cell r="S401">
            <v>1678.4134836839962</v>
          </cell>
          <cell r="T401">
            <v>340.33430816333214</v>
          </cell>
          <cell r="U401">
            <v>729.69512030115607</v>
          </cell>
          <cell r="V401">
            <v>113.49128864301687</v>
          </cell>
          <cell r="W401">
            <v>74.303431535721288</v>
          </cell>
          <cell r="X401">
            <v>156.55197397506782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J402">
            <v>402</v>
          </cell>
          <cell r="L402" t="str">
            <v>C</v>
          </cell>
          <cell r="M402" t="str">
            <v>Avg Customers-All</v>
          </cell>
          <cell r="O402">
            <v>0</v>
          </cell>
          <cell r="P402" t="str">
            <v>C01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J403">
            <v>403</v>
          </cell>
          <cell r="L403" t="str">
            <v>O</v>
          </cell>
          <cell r="M403" t="str">
            <v>Labor O&amp;M excl A&amp;G</v>
          </cell>
          <cell r="N403" t="str">
            <v/>
          </cell>
          <cell r="O403">
            <v>4394.8190000000004</v>
          </cell>
          <cell r="P403" t="str">
            <v>S22</v>
          </cell>
          <cell r="R403">
            <v>2597907.210393698</v>
          </cell>
          <cell r="S403">
            <v>1440470.7614690121</v>
          </cell>
          <cell r="T403">
            <v>258612.54091039358</v>
          </cell>
          <cell r="U403">
            <v>539448.83052666369</v>
          </cell>
          <cell r="V403">
            <v>256877.54883309716</v>
          </cell>
          <cell r="W403">
            <v>52055.869915899209</v>
          </cell>
          <cell r="X403">
            <v>50441.658738632272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J404">
            <v>404</v>
          </cell>
          <cell r="K404" t="str">
            <v>926-OP</v>
          </cell>
          <cell r="L404" t="str">
            <v>Employee Pension &amp; Benefits</v>
          </cell>
          <cell r="O404" t="str">
            <v>Manual Input</v>
          </cell>
          <cell r="Q404">
            <v>867000</v>
          </cell>
        </row>
        <row r="405">
          <cell r="J405">
            <v>405</v>
          </cell>
          <cell r="L405" t="str">
            <v>P</v>
          </cell>
          <cell r="M405" t="str">
            <v xml:space="preserve">Production Plant </v>
          </cell>
          <cell r="O405">
            <v>33.058</v>
          </cell>
          <cell r="P405" t="str">
            <v>S01</v>
          </cell>
          <cell r="R405">
            <v>22766.62083362128</v>
          </cell>
          <cell r="S405">
            <v>10337.930737162244</v>
          </cell>
          <cell r="T405">
            <v>1928.8539627114214</v>
          </cell>
          <cell r="U405">
            <v>5901.8604244401176</v>
          </cell>
          <cell r="V405">
            <v>4035.1237736273929</v>
          </cell>
          <cell r="W405">
            <v>473.98274383642416</v>
          </cell>
          <cell r="X405">
            <v>88.869191843678124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J406">
            <v>406</v>
          </cell>
          <cell r="L406" t="str">
            <v>T</v>
          </cell>
          <cell r="M406" t="str">
            <v>Transmission Plant</v>
          </cell>
          <cell r="N406" t="str">
            <v/>
          </cell>
          <cell r="O406">
            <v>1.085</v>
          </cell>
          <cell r="P406" t="str">
            <v>S02</v>
          </cell>
          <cell r="R406">
            <v>747.22559152033057</v>
          </cell>
          <cell r="S406">
            <v>339.30228234681584</v>
          </cell>
          <cell r="T406">
            <v>63.307113241632663</v>
          </cell>
          <cell r="U406">
            <v>193.70556478061363</v>
          </cell>
          <cell r="V406">
            <v>132.4372101877222</v>
          </cell>
          <cell r="W406">
            <v>15.55663612627867</v>
          </cell>
          <cell r="X406">
            <v>2.9167848372675524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J407">
            <v>407</v>
          </cell>
          <cell r="L407" t="str">
            <v>D</v>
          </cell>
          <cell r="M407" t="str">
            <v>Distribution Plant</v>
          </cell>
          <cell r="O407">
            <v>277.767</v>
          </cell>
          <cell r="P407" t="str">
            <v>S03</v>
          </cell>
          <cell r="R407">
            <v>191294.5722394725</v>
          </cell>
          <cell r="S407">
            <v>103812.87778128652</v>
          </cell>
          <cell r="T407">
            <v>21050.286047863206</v>
          </cell>
          <cell r="U407">
            <v>45132.949108080007</v>
          </cell>
          <cell r="V407">
            <v>7019.639315145334</v>
          </cell>
          <cell r="W407">
            <v>4595.8002195127228</v>
          </cell>
          <cell r="X407">
            <v>9683.0197675847176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J408">
            <v>408</v>
          </cell>
          <cell r="L408" t="str">
            <v>C</v>
          </cell>
          <cell r="M408" t="str">
            <v>Avg Customers-All</v>
          </cell>
          <cell r="O408">
            <v>5.2999999999999999E-2</v>
          </cell>
          <cell r="P408" t="str">
            <v>C01</v>
          </cell>
          <cell r="R408">
            <v>36.500420599610621</v>
          </cell>
          <cell r="S408">
            <v>31.263462659719153</v>
          </cell>
          <cell r="T408">
            <v>4.393749966456264</v>
          </cell>
          <cell r="U408">
            <v>0.41621746052953451</v>
          </cell>
          <cell r="V408">
            <v>3.4142687002391672E-3</v>
          </cell>
          <cell r="W408">
            <v>0.37250447489768462</v>
          </cell>
          <cell r="X408">
            <v>5.1071769307744201E-2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J409">
            <v>409</v>
          </cell>
          <cell r="L409" t="str">
            <v>O</v>
          </cell>
          <cell r="M409" t="str">
            <v>Labor O&amp;M excl A&amp;G</v>
          </cell>
          <cell r="N409" t="str">
            <v/>
          </cell>
          <cell r="O409">
            <v>946.95399999999995</v>
          </cell>
          <cell r="P409" t="str">
            <v>S22</v>
          </cell>
          <cell r="R409">
            <v>652155.08091478632</v>
          </cell>
          <cell r="S409">
            <v>361602.72477893665</v>
          </cell>
          <cell r="T409">
            <v>64919.748429905412</v>
          </cell>
          <cell r="U409">
            <v>135418.3453181106</v>
          </cell>
          <cell r="V409">
            <v>64484.211743287451</v>
          </cell>
          <cell r="W409">
            <v>13067.633794337149</v>
          </cell>
          <cell r="X409">
            <v>12662.416850209056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J410">
            <v>410</v>
          </cell>
          <cell r="K410" t="str">
            <v>927-OP</v>
          </cell>
          <cell r="L410" t="str">
            <v>Franchise Requirements</v>
          </cell>
          <cell r="O410" t="str">
            <v>Manual Input</v>
          </cell>
          <cell r="Q410">
            <v>0</v>
          </cell>
        </row>
        <row r="411">
          <cell r="J411">
            <v>411</v>
          </cell>
          <cell r="L411" t="str">
            <v>P</v>
          </cell>
          <cell r="M411" t="str">
            <v xml:space="preserve">Production Plant </v>
          </cell>
          <cell r="O411">
            <v>0</v>
          </cell>
          <cell r="P411" t="str">
            <v>S01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J412">
            <v>412</v>
          </cell>
          <cell r="L412" t="str">
            <v>T</v>
          </cell>
          <cell r="M412" t="str">
            <v>Transmission Plant</v>
          </cell>
          <cell r="N412" t="str">
            <v/>
          </cell>
          <cell r="O412">
            <v>0</v>
          </cell>
          <cell r="P412" t="str">
            <v>S02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</row>
        <row r="413">
          <cell r="J413">
            <v>413</v>
          </cell>
          <cell r="L413" t="str">
            <v>D</v>
          </cell>
          <cell r="M413" t="str">
            <v>Distribution Plant</v>
          </cell>
          <cell r="O413">
            <v>100</v>
          </cell>
          <cell r="P413" t="str">
            <v>S03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J414">
            <v>414</v>
          </cell>
          <cell r="L414" t="str">
            <v>C</v>
          </cell>
          <cell r="M414" t="str">
            <v>Avg Customers-All</v>
          </cell>
          <cell r="O414">
            <v>0</v>
          </cell>
          <cell r="P414" t="str">
            <v>C01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J415">
            <v>415</v>
          </cell>
          <cell r="L415" t="str">
            <v>R</v>
          </cell>
          <cell r="M415" t="str">
            <v>Retail Sales Revenue</v>
          </cell>
          <cell r="N415" t="str">
            <v/>
          </cell>
          <cell r="O415">
            <v>0</v>
          </cell>
          <cell r="P415" t="str">
            <v>R01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J416">
            <v>416</v>
          </cell>
          <cell r="K416" t="str">
            <v>928-OP</v>
          </cell>
          <cell r="L416" t="str">
            <v>Regulatory Commission Expenses</v>
          </cell>
          <cell r="O416" t="str">
            <v>Manual Input</v>
          </cell>
          <cell r="P416">
            <v>5</v>
          </cell>
          <cell r="Q416">
            <v>3759000</v>
          </cell>
        </row>
        <row r="417">
          <cell r="J417">
            <v>417</v>
          </cell>
          <cell r="L417" t="str">
            <v>P</v>
          </cell>
          <cell r="M417" t="str">
            <v xml:space="preserve">Production Plant </v>
          </cell>
          <cell r="O417">
            <v>1518</v>
          </cell>
          <cell r="P417" t="str">
            <v>S01</v>
          </cell>
          <cell r="R417">
            <v>1476750</v>
          </cell>
          <cell r="S417">
            <v>670566.7620887782</v>
          </cell>
          <cell r="T417">
            <v>125114.53106064739</v>
          </cell>
          <cell r="U417">
            <v>382822.39799597155</v>
          </cell>
          <cell r="V417">
            <v>261737.08765353163</v>
          </cell>
          <cell r="W417">
            <v>30744.747851502038</v>
          </cell>
          <cell r="X417">
            <v>5764.4733495689743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J418">
            <v>418</v>
          </cell>
          <cell r="L418" t="str">
            <v>O</v>
          </cell>
          <cell r="M418" t="str">
            <v>O&amp;M Exp excl PP/F/W/A&amp;G</v>
          </cell>
          <cell r="N418" t="str">
            <v/>
          </cell>
          <cell r="O418">
            <v>1398</v>
          </cell>
          <cell r="P418" t="str">
            <v>S19</v>
          </cell>
          <cell r="R418">
            <v>1360010.8695652173</v>
          </cell>
          <cell r="S418">
            <v>661156.09165965929</v>
          </cell>
          <cell r="T418">
            <v>125361.15833919743</v>
          </cell>
          <cell r="U418">
            <v>325919.38768088189</v>
          </cell>
          <cell r="V418">
            <v>204330.63528076353</v>
          </cell>
          <cell r="W418">
            <v>28367.470464545149</v>
          </cell>
          <cell r="X418">
            <v>14876.1261401702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J419">
            <v>419</v>
          </cell>
          <cell r="L419" t="str">
            <v>R</v>
          </cell>
          <cell r="M419" t="str">
            <v>Retail Sales Revenue</v>
          </cell>
          <cell r="O419">
            <v>948</v>
          </cell>
          <cell r="P419" t="str">
            <v>R01</v>
          </cell>
          <cell r="R419">
            <v>922239.13043478259</v>
          </cell>
          <cell r="S419">
            <v>402163.57892564684</v>
          </cell>
          <cell r="T419">
            <v>112495.32105109045</v>
          </cell>
          <cell r="U419">
            <v>257196.7187218621</v>
          </cell>
          <cell r="V419">
            <v>117918.05187813801</v>
          </cell>
          <cell r="W419">
            <v>19127.487397795921</v>
          </cell>
          <cell r="X419">
            <v>13337.972460249259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J420">
            <v>420</v>
          </cell>
          <cell r="L420" t="str">
            <v>x</v>
          </cell>
          <cell r="M420" t="str">
            <v>Open</v>
          </cell>
          <cell r="O420">
            <v>0</v>
          </cell>
          <cell r="P420" t="str">
            <v>xxx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J421">
            <v>421</v>
          </cell>
          <cell r="L421" t="str">
            <v>x</v>
          </cell>
          <cell r="M421" t="str">
            <v>Open</v>
          </cell>
          <cell r="N421" t="str">
            <v/>
          </cell>
          <cell r="O421">
            <v>0</v>
          </cell>
          <cell r="P421" t="str">
            <v>xxx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J422">
            <v>422</v>
          </cell>
          <cell r="K422" t="str">
            <v>930-OP</v>
          </cell>
          <cell r="L422" t="str">
            <v>Miscellaneous &amp; General Expense</v>
          </cell>
          <cell r="O422" t="str">
            <v>Manual Input</v>
          </cell>
          <cell r="Q422">
            <v>443000</v>
          </cell>
        </row>
        <row r="423">
          <cell r="J423">
            <v>423</v>
          </cell>
          <cell r="L423" t="str">
            <v>P</v>
          </cell>
          <cell r="M423" t="str">
            <v xml:space="preserve">Production Plant </v>
          </cell>
          <cell r="O423">
            <v>57.584000000000003</v>
          </cell>
          <cell r="P423" t="str">
            <v>S01</v>
          </cell>
          <cell r="R423">
            <v>9279.7008344913393</v>
          </cell>
          <cell r="S423">
            <v>4213.752457584148</v>
          </cell>
          <cell r="T423">
            <v>786.20309347586397</v>
          </cell>
          <cell r="U423">
            <v>2405.6050964247115</v>
          </cell>
          <cell r="V423">
            <v>1644.7210907166484</v>
          </cell>
          <cell r="W423">
            <v>193.19591149064451</v>
          </cell>
          <cell r="X423">
            <v>36.223184799321686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J424">
            <v>424</v>
          </cell>
          <cell r="L424" t="str">
            <v>T</v>
          </cell>
          <cell r="M424" t="str">
            <v>Transmission Plant</v>
          </cell>
          <cell r="N424" t="str">
            <v/>
          </cell>
          <cell r="O424">
            <v>1.448</v>
          </cell>
          <cell r="P424" t="str">
            <v>S02</v>
          </cell>
          <cell r="R424">
            <v>233.34618658556991</v>
          </cell>
          <cell r="S424">
            <v>105.95848774975424</v>
          </cell>
          <cell r="T424">
            <v>19.769763812049373</v>
          </cell>
          <cell r="U424">
            <v>60.491042296870333</v>
          </cell>
          <cell r="V424">
            <v>41.357949071924601</v>
          </cell>
          <cell r="W424">
            <v>4.8580800194229861</v>
          </cell>
          <cell r="X424">
            <v>0.91086363554837779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J425">
            <v>425</v>
          </cell>
          <cell r="L425" t="str">
            <v>D</v>
          </cell>
          <cell r="M425" t="str">
            <v>Distribution Plant</v>
          </cell>
          <cell r="O425">
            <v>380.92</v>
          </cell>
          <cell r="P425" t="str">
            <v>S03</v>
          </cell>
          <cell r="R425">
            <v>61385.517537413878</v>
          </cell>
          <cell r="S425">
            <v>33313.058259044614</v>
          </cell>
          <cell r="T425">
            <v>6754.9365788646837</v>
          </cell>
          <cell r="U425">
            <v>14482.948504785518</v>
          </cell>
          <cell r="V425">
            <v>2252.5688379006674</v>
          </cell>
          <cell r="W425">
            <v>1474.7704112596664</v>
          </cell>
          <cell r="X425">
            <v>3107.234945558725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J426">
            <v>426</v>
          </cell>
          <cell r="L426" t="str">
            <v>C</v>
          </cell>
          <cell r="M426" t="str">
            <v>Avg Customers-All</v>
          </cell>
          <cell r="O426">
            <v>119.23399999999999</v>
          </cell>
          <cell r="P426" t="str">
            <v>C01</v>
          </cell>
          <cell r="R426">
            <v>19214.640339325859</v>
          </cell>
          <cell r="S426">
            <v>16457.78818162045</v>
          </cell>
          <cell r="T426">
            <v>2312.9685619919346</v>
          </cell>
          <cell r="U426">
            <v>219.10620961742774</v>
          </cell>
          <cell r="V426">
            <v>1.7973476474847259</v>
          </cell>
          <cell r="W426">
            <v>196.09471322160059</v>
          </cell>
          <cell r="X426">
            <v>26.885325226959019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J427">
            <v>427</v>
          </cell>
          <cell r="L427" t="str">
            <v>O</v>
          </cell>
          <cell r="M427" t="str">
            <v>O&amp;M Exp excl PP/F/W/A&amp;G</v>
          </cell>
          <cell r="N427" t="str">
            <v/>
          </cell>
          <cell r="O427">
            <v>2189.7939999999999</v>
          </cell>
          <cell r="P427" t="str">
            <v>S19</v>
          </cell>
          <cell r="R427">
            <v>352886.79510218336</v>
          </cell>
          <cell r="S427">
            <v>171552.49231401409</v>
          </cell>
          <cell r="T427">
            <v>32527.899876829142</v>
          </cell>
          <cell r="U427">
            <v>84567.447771311476</v>
          </cell>
          <cell r="V427">
            <v>53018.387307796474</v>
          </cell>
          <cell r="W427">
            <v>7360.6071549924054</v>
          </cell>
          <cell r="X427">
            <v>3859.9606772398215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J428">
            <v>428</v>
          </cell>
          <cell r="K428" t="str">
            <v>931-OP</v>
          </cell>
          <cell r="L428" t="str">
            <v>Rents</v>
          </cell>
          <cell r="O428" t="str">
            <v>Manual Input</v>
          </cell>
          <cell r="Q428">
            <v>727000</v>
          </cell>
        </row>
        <row r="429">
          <cell r="J429">
            <v>429</v>
          </cell>
          <cell r="L429" t="str">
            <v>P</v>
          </cell>
          <cell r="M429" t="str">
            <v xml:space="preserve">Production Plant </v>
          </cell>
          <cell r="O429">
            <v>0</v>
          </cell>
          <cell r="P429" t="str">
            <v>S01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J430">
            <v>430</v>
          </cell>
          <cell r="L430" t="str">
            <v>T</v>
          </cell>
          <cell r="M430" t="str">
            <v>Transmission Plant</v>
          </cell>
          <cell r="N430" t="str">
            <v/>
          </cell>
          <cell r="O430">
            <v>0</v>
          </cell>
          <cell r="P430" t="str">
            <v>S02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J431">
            <v>431</v>
          </cell>
          <cell r="L431" t="str">
            <v>D</v>
          </cell>
          <cell r="M431" t="str">
            <v>Distribution Plant</v>
          </cell>
          <cell r="O431">
            <v>0.379</v>
          </cell>
          <cell r="P431" t="str">
            <v>S03</v>
          </cell>
          <cell r="R431">
            <v>311.98960989551017</v>
          </cell>
          <cell r="S431">
            <v>169.3123796558545</v>
          </cell>
          <cell r="T431">
            <v>34.331713939276021</v>
          </cell>
          <cell r="U431">
            <v>73.609047140325828</v>
          </cell>
          <cell r="V431">
            <v>11.448597343356688</v>
          </cell>
          <cell r="W431">
            <v>7.4954657670501836</v>
          </cell>
          <cell r="X431">
            <v>15.792406049646942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J432">
            <v>432</v>
          </cell>
          <cell r="L432" t="str">
            <v>C</v>
          </cell>
          <cell r="M432" t="str">
            <v>Avg Customers-All</v>
          </cell>
          <cell r="O432">
            <v>8.3000000000000004E-2</v>
          </cell>
          <cell r="P432" t="str">
            <v>C01</v>
          </cell>
          <cell r="R432">
            <v>68.324901375533884</v>
          </cell>
          <cell r="S432">
            <v>58.521873660430764</v>
          </cell>
          <cell r="T432">
            <v>8.2246321602683672</v>
          </cell>
          <cell r="U432">
            <v>0.779114773865345</v>
          </cell>
          <cell r="V432">
            <v>6.3911475095687516E-3</v>
          </cell>
          <cell r="W432">
            <v>0.69728871862919983</v>
          </cell>
          <cell r="X432">
            <v>9.5600914830632558E-2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J433">
            <v>433</v>
          </cell>
          <cell r="L433" t="str">
            <v>O</v>
          </cell>
          <cell r="M433" t="str">
            <v>O&amp;M Exp excl PP/F/W/A&amp;G</v>
          </cell>
          <cell r="N433" t="str">
            <v/>
          </cell>
          <cell r="O433">
            <v>882.68600000000004</v>
          </cell>
          <cell r="P433" t="str">
            <v>S19</v>
          </cell>
          <cell r="R433">
            <v>726619.68548872892</v>
          </cell>
          <cell r="S433">
            <v>353239.1116361306</v>
          </cell>
          <cell r="T433">
            <v>66977.321640121125</v>
          </cell>
          <cell r="U433">
            <v>174130.55165292203</v>
          </cell>
          <cell r="V433">
            <v>109168.73185791909</v>
          </cell>
          <cell r="W433">
            <v>15156.02774090194</v>
          </cell>
          <cell r="X433">
            <v>7947.9409607342004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J434">
            <v>434</v>
          </cell>
          <cell r="K434" t="str">
            <v>935-MT</v>
          </cell>
          <cell r="L434" t="str">
            <v>Maintenance of General Plant</v>
          </cell>
          <cell r="O434" t="str">
            <v>Manual Input</v>
          </cell>
          <cell r="Q434">
            <v>5293000</v>
          </cell>
        </row>
        <row r="435">
          <cell r="J435">
            <v>435</v>
          </cell>
          <cell r="L435" t="str">
            <v>P</v>
          </cell>
          <cell r="M435" t="str">
            <v xml:space="preserve">Production Plant </v>
          </cell>
          <cell r="O435">
            <v>28.175000000000001</v>
          </cell>
          <cell r="P435" t="str">
            <v>S01</v>
          </cell>
          <cell r="R435">
            <v>18604.345447114752</v>
          </cell>
          <cell r="S435">
            <v>8447.913111395188</v>
          </cell>
          <cell r="T435">
            <v>1576.2139538216031</v>
          </cell>
          <cell r="U435">
            <v>4822.8611052716469</v>
          </cell>
          <cell r="V435">
            <v>3297.4079532947731</v>
          </cell>
          <cell r="W435">
            <v>387.32751631202507</v>
          </cell>
          <cell r="X435">
            <v>72.621807019514392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J436">
            <v>436</v>
          </cell>
          <cell r="L436" t="str">
            <v>T</v>
          </cell>
          <cell r="M436" t="str">
            <v>Transmission Plant</v>
          </cell>
          <cell r="N436" t="str">
            <v/>
          </cell>
          <cell r="O436">
            <v>425.34199999999998</v>
          </cell>
          <cell r="P436" t="str">
            <v>S02</v>
          </cell>
          <cell r="R436">
            <v>280859.25469979359</v>
          </cell>
          <cell r="S436">
            <v>127533.35434346242</v>
          </cell>
          <cell r="T436">
            <v>23795.208360120268</v>
          </cell>
          <cell r="U436">
            <v>72807.999582553777</v>
          </cell>
          <cell r="V436">
            <v>49779.098266914123</v>
          </cell>
          <cell r="W436">
            <v>5847.2639021540163</v>
          </cell>
          <cell r="X436">
            <v>1096.3302445889722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J437">
            <v>437</v>
          </cell>
          <cell r="L437" t="str">
            <v>D</v>
          </cell>
          <cell r="M437" t="str">
            <v>Distribution Plant</v>
          </cell>
          <cell r="O437">
            <v>210.69</v>
          </cell>
          <cell r="P437" t="str">
            <v>S03</v>
          </cell>
          <cell r="R437">
            <v>139121.54542156548</v>
          </cell>
          <cell r="S437">
            <v>75499.308853952578</v>
          </cell>
          <cell r="T437">
            <v>15309.103087768939</v>
          </cell>
          <cell r="U437">
            <v>32823.543061580545</v>
          </cell>
          <cell r="V437">
            <v>5105.1269170484402</v>
          </cell>
          <cell r="W437">
            <v>3342.3573993880873</v>
          </cell>
          <cell r="X437">
            <v>7042.1061018268874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J438">
            <v>438</v>
          </cell>
          <cell r="L438" t="str">
            <v>C</v>
          </cell>
          <cell r="M438" t="str">
            <v>Avg Customers-All</v>
          </cell>
          <cell r="O438">
            <v>6.2060000000000004</v>
          </cell>
          <cell r="P438" t="str">
            <v>C01</v>
          </cell>
          <cell r="R438">
            <v>4097.908352965188</v>
          </cell>
          <cell r="S438">
            <v>3509.9542052193524</v>
          </cell>
          <cell r="T438">
            <v>493.28704690525439</v>
          </cell>
          <cell r="U438">
            <v>46.728804220193922</v>
          </cell>
          <cell r="V438">
            <v>0.3833205205894788</v>
          </cell>
          <cell r="W438">
            <v>41.821139979313479</v>
          </cell>
          <cell r="X438">
            <v>5.7338361204842858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J439">
            <v>439</v>
          </cell>
          <cell r="L439" t="str">
            <v>O</v>
          </cell>
          <cell r="M439" t="str">
            <v>General Plant</v>
          </cell>
          <cell r="N439" t="str">
            <v/>
          </cell>
          <cell r="O439">
            <v>7345.4709999999995</v>
          </cell>
          <cell r="P439" t="str">
            <v>S04</v>
          </cell>
          <cell r="R439">
            <v>4850316.9460785612</v>
          </cell>
          <cell r="S439">
            <v>2620111.0433555231</v>
          </cell>
          <cell r="T439">
            <v>478101.89504461881</v>
          </cell>
          <cell r="U439">
            <v>1052732.9338572773</v>
          </cell>
          <cell r="V439">
            <v>501584.01227022108</v>
          </cell>
          <cell r="W439">
            <v>99478.075209972056</v>
          </cell>
          <cell r="X439">
            <v>98308.986340949312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J440">
            <v>440</v>
          </cell>
          <cell r="L440" t="str">
            <v>Total Administrative &amp; General Expenses</v>
          </cell>
          <cell r="P440" t="str">
            <v/>
          </cell>
          <cell r="Q440">
            <v>44480000</v>
          </cell>
          <cell r="R440">
            <v>44480000.000000007</v>
          </cell>
          <cell r="S440">
            <v>22264061.096162114</v>
          </cell>
          <cell r="T440">
            <v>4212257.8181674704</v>
          </cell>
          <cell r="U440">
            <v>10426115.13858436</v>
          </cell>
          <cell r="V440">
            <v>6028194.6452318933</v>
          </cell>
          <cell r="W440">
            <v>925132.34586781391</v>
          </cell>
          <cell r="X440">
            <v>624238.95598634856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J441">
            <v>441</v>
          </cell>
        </row>
        <row r="442">
          <cell r="J442">
            <v>442</v>
          </cell>
          <cell r="L442" t="str">
            <v>Total Operating &amp; Maintenance Expenses</v>
          </cell>
          <cell r="P442" t="str">
            <v/>
          </cell>
          <cell r="Q442">
            <v>307040000</v>
          </cell>
          <cell r="R442">
            <v>307040000</v>
          </cell>
          <cell r="S442">
            <v>146772356.39557189</v>
          </cell>
          <cell r="T442">
            <v>27770471.441566292</v>
          </cell>
          <cell r="U442">
            <v>75279095.911591381</v>
          </cell>
          <cell r="V442">
            <v>47981932.863447554</v>
          </cell>
          <cell r="W442">
            <v>6397744.4846980907</v>
          </cell>
          <cell r="X442">
            <v>2838398.9031248256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J443">
            <v>443</v>
          </cell>
        </row>
        <row r="444">
          <cell r="J444">
            <v>444</v>
          </cell>
          <cell r="K444" t="str">
            <v>Taxes Other Than Income Taxes</v>
          </cell>
        </row>
        <row r="445">
          <cell r="J445">
            <v>445</v>
          </cell>
          <cell r="K445" t="str">
            <v>Property</v>
          </cell>
          <cell r="L445" t="str">
            <v xml:space="preserve"> -Production</v>
          </cell>
          <cell r="O445" t="str">
            <v>Sum</v>
          </cell>
          <cell r="Q445">
            <v>7229000</v>
          </cell>
        </row>
        <row r="446">
          <cell r="J446">
            <v>446</v>
          </cell>
          <cell r="L446" t="str">
            <v>P</v>
          </cell>
          <cell r="M446" t="str">
            <v xml:space="preserve">Production Plant </v>
          </cell>
          <cell r="N446" t="str">
            <v/>
          </cell>
          <cell r="O446">
            <v>100</v>
          </cell>
          <cell r="P446" t="str">
            <v>S01</v>
          </cell>
          <cell r="R446">
            <v>7229000</v>
          </cell>
          <cell r="S446">
            <v>3282564.4984863908</v>
          </cell>
          <cell r="T446">
            <v>612461.78773483657</v>
          </cell>
          <cell r="U446">
            <v>1873995.6763926719</v>
          </cell>
          <cell r="V446">
            <v>1281257.7664786729</v>
          </cell>
          <cell r="W446">
            <v>150501.96865990062</v>
          </cell>
          <cell r="X446">
            <v>28218.302247526066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J447">
            <v>447</v>
          </cell>
          <cell r="L447" t="str">
            <v xml:space="preserve"> -Transmission</v>
          </cell>
          <cell r="O447" t="str">
            <v>Sum</v>
          </cell>
          <cell r="Q447">
            <v>2464000</v>
          </cell>
        </row>
        <row r="448">
          <cell r="J448">
            <v>448</v>
          </cell>
          <cell r="L448" t="str">
            <v>T</v>
          </cell>
          <cell r="M448" t="str">
            <v>Transmission Plant</v>
          </cell>
          <cell r="N448" t="str">
            <v/>
          </cell>
          <cell r="O448">
            <v>100</v>
          </cell>
          <cell r="P448" t="str">
            <v>S02</v>
          </cell>
          <cell r="R448">
            <v>2464000</v>
          </cell>
          <cell r="S448">
            <v>1118859.9978241071</v>
          </cell>
          <cell r="T448">
            <v>208757.20638797033</v>
          </cell>
          <cell r="U448">
            <v>638750.22086478665</v>
          </cell>
          <cell r="V448">
            <v>436715.88554481254</v>
          </cell>
          <cell r="W448">
            <v>51298.499208465233</v>
          </cell>
          <cell r="X448">
            <v>9618.1901698581023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J449">
            <v>449</v>
          </cell>
          <cell r="L449" t="str">
            <v xml:space="preserve"> -Distribution</v>
          </cell>
          <cell r="O449" t="str">
            <v>Sum</v>
          </cell>
          <cell r="Q449">
            <v>3866000</v>
          </cell>
        </row>
        <row r="450">
          <cell r="J450">
            <v>450</v>
          </cell>
          <cell r="L450" t="str">
            <v>D</v>
          </cell>
          <cell r="M450" t="str">
            <v>Distribution Plant</v>
          </cell>
          <cell r="N450" t="str">
            <v/>
          </cell>
          <cell r="O450">
            <v>100</v>
          </cell>
          <cell r="P450" t="str">
            <v>S03</v>
          </cell>
          <cell r="R450">
            <v>3866000</v>
          </cell>
          <cell r="S450">
            <v>2098023.9052472152</v>
          </cell>
          <cell r="T450">
            <v>425419.31487299554</v>
          </cell>
          <cell r="U450">
            <v>912121.9656635588</v>
          </cell>
          <cell r="V450">
            <v>141864.58755546494</v>
          </cell>
          <cell r="W450">
            <v>92879.601551862521</v>
          </cell>
          <cell r="X450">
            <v>195690.62510890269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J451">
            <v>451</v>
          </cell>
          <cell r="L451" t="str">
            <v xml:space="preserve"> -Administrative &amp; General</v>
          </cell>
          <cell r="O451" t="str">
            <v>Sum</v>
          </cell>
          <cell r="Q451">
            <v>0</v>
          </cell>
        </row>
        <row r="452">
          <cell r="J452">
            <v>452</v>
          </cell>
          <cell r="L452" t="str">
            <v>O</v>
          </cell>
          <cell r="M452" t="str">
            <v>General Plant</v>
          </cell>
          <cell r="N452" t="str">
            <v/>
          </cell>
          <cell r="O452">
            <v>100</v>
          </cell>
          <cell r="P452" t="str">
            <v>S04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</row>
        <row r="453">
          <cell r="J453">
            <v>453</v>
          </cell>
          <cell r="K453" t="str">
            <v>Open</v>
          </cell>
          <cell r="O453" t="str">
            <v>Sum</v>
          </cell>
          <cell r="Q453">
            <v>0</v>
          </cell>
        </row>
        <row r="454">
          <cell r="J454">
            <v>454</v>
          </cell>
          <cell r="K454" t="str">
            <v>Open</v>
          </cell>
          <cell r="O454" t="str">
            <v>Sum</v>
          </cell>
          <cell r="Q454">
            <v>0</v>
          </cell>
        </row>
        <row r="455">
          <cell r="J455">
            <v>455</v>
          </cell>
          <cell r="K455" t="str">
            <v>Open</v>
          </cell>
          <cell r="O455" t="str">
            <v>Sum</v>
          </cell>
          <cell r="Q455">
            <v>0</v>
          </cell>
        </row>
        <row r="456">
          <cell r="J456">
            <v>456</v>
          </cell>
          <cell r="K456" t="str">
            <v>Open</v>
          </cell>
          <cell r="O456" t="str">
            <v>Sum</v>
          </cell>
          <cell r="Q456">
            <v>0</v>
          </cell>
        </row>
        <row r="457">
          <cell r="J457">
            <v>457</v>
          </cell>
          <cell r="K457" t="str">
            <v>State Kwh Generation-Production</v>
          </cell>
          <cell r="O457" t="str">
            <v>P01</v>
          </cell>
          <cell r="P457" t="str">
            <v/>
          </cell>
          <cell r="Q457">
            <v>1061000</v>
          </cell>
        </row>
        <row r="458">
          <cell r="J458">
            <v>458</v>
          </cell>
          <cell r="L458" t="str">
            <v>P</v>
          </cell>
          <cell r="M458" t="str">
            <v>Coincident Peak</v>
          </cell>
          <cell r="N458" t="str">
            <v/>
          </cell>
          <cell r="O458">
            <v>34.200000000000003</v>
          </cell>
          <cell r="P458" t="str">
            <v>D01</v>
          </cell>
          <cell r="R458">
            <v>362862</v>
          </cell>
          <cell r="S458">
            <v>180828.44899558532</v>
          </cell>
          <cell r="T458">
            <v>28245.342215056568</v>
          </cell>
          <cell r="U458">
            <v>88760.366619211636</v>
          </cell>
          <cell r="V458">
            <v>57695.379034612226</v>
          </cell>
          <cell r="W458">
            <v>6450.4327605796998</v>
          </cell>
          <cell r="X458">
            <v>882.03037495452861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J459">
            <v>459</v>
          </cell>
          <cell r="L459" t="str">
            <v>P</v>
          </cell>
          <cell r="M459" t="str">
            <v>Generation Level Consumption</v>
          </cell>
          <cell r="N459" t="str">
            <v/>
          </cell>
          <cell r="O459">
            <v>65.8</v>
          </cell>
          <cell r="P459" t="str">
            <v>E02</v>
          </cell>
          <cell r="R459">
            <v>698138</v>
          </cell>
          <cell r="S459">
            <v>300953.39259994117</v>
          </cell>
          <cell r="T459">
            <v>61645.646412230992</v>
          </cell>
          <cell r="U459">
            <v>186285.89325803629</v>
          </cell>
          <cell r="V459">
            <v>130354.76486272799</v>
          </cell>
          <cell r="W459">
            <v>15638.734309299203</v>
          </cell>
          <cell r="X459">
            <v>3259.5685577644035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J460">
            <v>460</v>
          </cell>
          <cell r="L460" t="str">
            <v>P</v>
          </cell>
          <cell r="M460" t="str">
            <v>Open</v>
          </cell>
          <cell r="N460" t="str">
            <v/>
          </cell>
          <cell r="O460">
            <v>0</v>
          </cell>
          <cell r="P460" t="str">
            <v>xxx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</row>
        <row r="461">
          <cell r="J461">
            <v>461</v>
          </cell>
          <cell r="L461" t="str">
            <v>P</v>
          </cell>
          <cell r="M461" t="str">
            <v>Open</v>
          </cell>
          <cell r="N461" t="str">
            <v/>
          </cell>
          <cell r="O461">
            <v>0</v>
          </cell>
          <cell r="P461" t="str">
            <v>xxx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</row>
        <row r="462">
          <cell r="J462">
            <v>462</v>
          </cell>
          <cell r="K462" t="str">
            <v>Montana/Oregon SIT-Production</v>
          </cell>
          <cell r="O462" t="str">
            <v>P01</v>
          </cell>
          <cell r="P462" t="str">
            <v/>
          </cell>
          <cell r="Q462">
            <v>292000</v>
          </cell>
        </row>
        <row r="463">
          <cell r="J463">
            <v>463</v>
          </cell>
          <cell r="L463" t="str">
            <v>P</v>
          </cell>
          <cell r="M463" t="str">
            <v>Coincident Peak</v>
          </cell>
          <cell r="N463" t="str">
            <v/>
          </cell>
          <cell r="O463">
            <v>34.200000000000003</v>
          </cell>
          <cell r="P463" t="str">
            <v>D01</v>
          </cell>
          <cell r="R463">
            <v>99864</v>
          </cell>
          <cell r="S463">
            <v>49766.170694355249</v>
          </cell>
          <cell r="T463">
            <v>7773.4589319477072</v>
          </cell>
          <cell r="U463">
            <v>24427.923706701036</v>
          </cell>
          <cell r="V463">
            <v>15878.464352598274</v>
          </cell>
          <cell r="W463">
            <v>1775.2369143159965</v>
          </cell>
          <cell r="X463">
            <v>242.74540008173642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</row>
        <row r="464">
          <cell r="J464">
            <v>464</v>
          </cell>
          <cell r="L464" t="str">
            <v>P</v>
          </cell>
          <cell r="M464" t="str">
            <v>Generation Level Consumption</v>
          </cell>
          <cell r="N464" t="str">
            <v/>
          </cell>
          <cell r="O464">
            <v>65.8</v>
          </cell>
          <cell r="P464" t="str">
            <v>E02</v>
          </cell>
          <cell r="R464">
            <v>192136</v>
          </cell>
          <cell r="S464">
            <v>82826.004372462616</v>
          </cell>
          <cell r="T464">
            <v>16965.625591302025</v>
          </cell>
          <cell r="U464">
            <v>51268.125194483124</v>
          </cell>
          <cell r="V464">
            <v>35875.203901900633</v>
          </cell>
          <cell r="W464">
            <v>4303.9683490248517</v>
          </cell>
          <cell r="X464">
            <v>897.07259082677274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J465">
            <v>465</v>
          </cell>
          <cell r="L465" t="str">
            <v>P</v>
          </cell>
          <cell r="M465" t="str">
            <v>Open</v>
          </cell>
          <cell r="N465" t="str">
            <v/>
          </cell>
          <cell r="O465">
            <v>0</v>
          </cell>
          <cell r="P465" t="str">
            <v>xxx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J466">
            <v>466</v>
          </cell>
          <cell r="L466" t="str">
            <v>P</v>
          </cell>
          <cell r="M466" t="str">
            <v>Open</v>
          </cell>
          <cell r="N466" t="str">
            <v/>
          </cell>
          <cell r="O466">
            <v>0</v>
          </cell>
          <cell r="P466" t="str">
            <v>xxx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</row>
        <row r="467">
          <cell r="J467">
            <v>467</v>
          </cell>
          <cell r="K467" t="str">
            <v>Misc</v>
          </cell>
          <cell r="L467" t="str">
            <v xml:space="preserve"> -Production</v>
          </cell>
          <cell r="O467" t="str">
            <v>P01</v>
          </cell>
          <cell r="P467" t="str">
            <v/>
          </cell>
          <cell r="Q467">
            <v>26000</v>
          </cell>
        </row>
        <row r="468">
          <cell r="J468">
            <v>468</v>
          </cell>
          <cell r="L468" t="str">
            <v>P</v>
          </cell>
          <cell r="M468" t="str">
            <v>Coincident Peak</v>
          </cell>
          <cell r="N468" t="str">
            <v/>
          </cell>
          <cell r="O468">
            <v>34.200000000000003</v>
          </cell>
          <cell r="P468" t="str">
            <v>D01</v>
          </cell>
          <cell r="R468">
            <v>8892.0000000000018</v>
          </cell>
          <cell r="S468">
            <v>4431.2343768946466</v>
          </cell>
          <cell r="T468">
            <v>692.15730215972746</v>
          </cell>
          <cell r="U468">
            <v>2175.0890971720105</v>
          </cell>
          <cell r="V468">
            <v>1413.8358670121754</v>
          </cell>
          <cell r="W468">
            <v>158.06904031580794</v>
          </cell>
          <cell r="X468">
            <v>21.614316445634071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J469">
            <v>469</v>
          </cell>
          <cell r="L469" t="str">
            <v>P</v>
          </cell>
          <cell r="M469" t="str">
            <v>Generation Level Consumption</v>
          </cell>
          <cell r="N469" t="str">
            <v/>
          </cell>
          <cell r="O469">
            <v>65.8</v>
          </cell>
          <cell r="P469" t="str">
            <v>E02</v>
          </cell>
          <cell r="R469">
            <v>17108</v>
          </cell>
          <cell r="S469">
            <v>7374.9181975480406</v>
          </cell>
          <cell r="T469">
            <v>1510.6378951159338</v>
          </cell>
          <cell r="U469">
            <v>4564.9700515635659</v>
          </cell>
          <cell r="V469">
            <v>3194.3674707171795</v>
          </cell>
          <cell r="W469">
            <v>383.23005847481556</v>
          </cell>
          <cell r="X469">
            <v>79.87632658046607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J470">
            <v>470</v>
          </cell>
          <cell r="L470" t="str">
            <v>P</v>
          </cell>
          <cell r="M470" t="str">
            <v>Open</v>
          </cell>
          <cell r="N470" t="str">
            <v/>
          </cell>
          <cell r="O470">
            <v>0</v>
          </cell>
          <cell r="P470" t="str">
            <v>xxx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J471">
            <v>471</v>
          </cell>
          <cell r="L471" t="str">
            <v>P</v>
          </cell>
          <cell r="M471" t="str">
            <v>Open</v>
          </cell>
          <cell r="N471" t="str">
            <v/>
          </cell>
          <cell r="O471">
            <v>0</v>
          </cell>
          <cell r="P471" t="str">
            <v>xxx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J472">
            <v>472</v>
          </cell>
          <cell r="L472" t="str">
            <v xml:space="preserve"> -Distribution</v>
          </cell>
          <cell r="O472" t="str">
            <v>Sum</v>
          </cell>
          <cell r="Q472">
            <v>0</v>
          </cell>
        </row>
        <row r="473">
          <cell r="J473">
            <v>473</v>
          </cell>
          <cell r="L473" t="str">
            <v>D</v>
          </cell>
          <cell r="M473" t="str">
            <v>Distribution Plant</v>
          </cell>
          <cell r="N473" t="str">
            <v/>
          </cell>
          <cell r="O473">
            <v>100</v>
          </cell>
          <cell r="P473" t="str">
            <v>S03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J474">
            <v>474</v>
          </cell>
          <cell r="K474" t="str">
            <v>B&amp;O</v>
          </cell>
          <cell r="L474" t="str">
            <v xml:space="preserve"> -Distribution</v>
          </cell>
          <cell r="O474" t="str">
            <v>Sum</v>
          </cell>
          <cell r="Q474">
            <v>0</v>
          </cell>
        </row>
        <row r="475">
          <cell r="J475">
            <v>475</v>
          </cell>
          <cell r="L475" t="str">
            <v>x</v>
          </cell>
          <cell r="M475" t="str">
            <v>Open</v>
          </cell>
          <cell r="N475" t="str">
            <v/>
          </cell>
          <cell r="O475">
            <v>100</v>
          </cell>
          <cell r="P475" t="str">
            <v>xxx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J476">
            <v>476</v>
          </cell>
          <cell r="K476" t="str">
            <v>Excise</v>
          </cell>
          <cell r="L476" t="str">
            <v xml:space="preserve"> -Distribution</v>
          </cell>
          <cell r="O476" t="str">
            <v>Sum</v>
          </cell>
          <cell r="Q476">
            <v>18330000</v>
          </cell>
        </row>
        <row r="477">
          <cell r="J477">
            <v>477</v>
          </cell>
          <cell r="L477" t="str">
            <v>R</v>
          </cell>
          <cell r="M477" t="str">
            <v>Retail Sales Revenue</v>
          </cell>
          <cell r="N477" t="str">
            <v/>
          </cell>
          <cell r="O477">
            <v>100</v>
          </cell>
          <cell r="P477" t="str">
            <v>R01</v>
          </cell>
          <cell r="R477">
            <v>18330000</v>
          </cell>
          <cell r="S477">
            <v>7993217.9826633409</v>
          </cell>
          <cell r="T477">
            <v>2235905.1647422025</v>
          </cell>
          <cell r="U477">
            <v>5111923.4682106329</v>
          </cell>
          <cell r="V477">
            <v>2343684.8639324992</v>
          </cell>
          <cell r="W477">
            <v>380169.12580613262</v>
          </cell>
          <cell r="X477">
            <v>265099.39464519179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J478">
            <v>478</v>
          </cell>
          <cell r="L478" t="str">
            <v>Total Taxes Other Than Income Taxes</v>
          </cell>
          <cell r="P478" t="str">
            <v/>
          </cell>
          <cell r="Q478">
            <v>33268000</v>
          </cell>
          <cell r="R478">
            <v>33268000</v>
          </cell>
          <cell r="S478">
            <v>15118846.553457841</v>
          </cell>
          <cell r="T478">
            <v>3599376.3420858178</v>
          </cell>
          <cell r="U478">
            <v>8894273.6990588177</v>
          </cell>
          <cell r="V478">
            <v>4447935.1190010179</v>
          </cell>
          <cell r="W478">
            <v>703558.86665837141</v>
          </cell>
          <cell r="X478">
            <v>504009.41973813222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J479">
            <v>479</v>
          </cell>
        </row>
        <row r="480">
          <cell r="J480">
            <v>480</v>
          </cell>
          <cell r="K480" t="str">
            <v>Depreciation Expense</v>
          </cell>
        </row>
        <row r="481">
          <cell r="J481">
            <v>481</v>
          </cell>
          <cell r="L481" t="str">
            <v>Production Plant Depreciation Expense</v>
          </cell>
        </row>
        <row r="482">
          <cell r="J482">
            <v>482</v>
          </cell>
          <cell r="K482" t="str">
            <v>31X</v>
          </cell>
          <cell r="L482" t="str">
            <v>Steam Production Depr Exp</v>
          </cell>
          <cell r="O482" t="str">
            <v>P01</v>
          </cell>
          <cell r="P482" t="str">
            <v/>
          </cell>
          <cell r="Q482">
            <v>4635000</v>
          </cell>
        </row>
        <row r="483">
          <cell r="J483">
            <v>483</v>
          </cell>
          <cell r="L483" t="str">
            <v>P</v>
          </cell>
          <cell r="M483" t="str">
            <v>Coincident Peak</v>
          </cell>
          <cell r="N483" t="str">
            <v/>
          </cell>
          <cell r="O483">
            <v>34.200000000000003</v>
          </cell>
          <cell r="P483" t="str">
            <v>D01</v>
          </cell>
          <cell r="R483">
            <v>1585170</v>
          </cell>
          <cell r="S483">
            <v>789952.74372718006</v>
          </cell>
          <cell r="T483">
            <v>123390.34982732062</v>
          </cell>
          <cell r="U483">
            <v>387751.46020739491</v>
          </cell>
          <cell r="V483">
            <v>252043.4324462089</v>
          </cell>
          <cell r="W483">
            <v>28178.8462255296</v>
          </cell>
          <cell r="X483">
            <v>3853.1675663659189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J484">
            <v>484</v>
          </cell>
          <cell r="L484" t="str">
            <v>P</v>
          </cell>
          <cell r="M484" t="str">
            <v>Generation Level Consumption</v>
          </cell>
          <cell r="N484" t="str">
            <v/>
          </cell>
          <cell r="O484">
            <v>65.8</v>
          </cell>
          <cell r="P484" t="str">
            <v>E02</v>
          </cell>
          <cell r="R484">
            <v>3049830</v>
          </cell>
          <cell r="S484">
            <v>1314720.994062891</v>
          </cell>
          <cell r="T484">
            <v>269300.25553316745</v>
          </cell>
          <cell r="U484">
            <v>813793.69957681268</v>
          </cell>
          <cell r="V484">
            <v>569457.4317990049</v>
          </cell>
          <cell r="W484">
            <v>68318.1277319527</v>
          </cell>
          <cell r="X484">
            <v>14239.491296171547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J485">
            <v>485</v>
          </cell>
          <cell r="L485" t="str">
            <v>P</v>
          </cell>
          <cell r="M485" t="str">
            <v>Open</v>
          </cell>
          <cell r="N485" t="str">
            <v/>
          </cell>
          <cell r="O485">
            <v>0</v>
          </cell>
          <cell r="P485" t="str">
            <v>xxx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J486">
            <v>486</v>
          </cell>
          <cell r="L486" t="str">
            <v>P</v>
          </cell>
          <cell r="M486" t="str">
            <v>Open</v>
          </cell>
          <cell r="N486" t="str">
            <v/>
          </cell>
          <cell r="O486">
            <v>0</v>
          </cell>
          <cell r="P486" t="str">
            <v>xxx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</row>
        <row r="487">
          <cell r="J487">
            <v>487</v>
          </cell>
          <cell r="K487" t="str">
            <v>32X</v>
          </cell>
          <cell r="L487" t="str">
            <v>Nuclear Production Depr Exp</v>
          </cell>
          <cell r="O487" t="str">
            <v>P01</v>
          </cell>
          <cell r="P487" t="str">
            <v/>
          </cell>
          <cell r="Q487">
            <v>2450000</v>
          </cell>
        </row>
        <row r="488">
          <cell r="J488">
            <v>488</v>
          </cell>
          <cell r="L488" t="str">
            <v>P</v>
          </cell>
          <cell r="M488" t="str">
            <v>Coincident Peak</v>
          </cell>
          <cell r="N488" t="str">
            <v/>
          </cell>
          <cell r="O488">
            <v>34.200000000000003</v>
          </cell>
          <cell r="P488" t="str">
            <v>D01</v>
          </cell>
          <cell r="R488">
            <v>837900</v>
          </cell>
          <cell r="S488">
            <v>417558.62397661083</v>
          </cell>
          <cell r="T488">
            <v>65222.515011205076</v>
          </cell>
          <cell r="U488">
            <v>204960.31877197788</v>
          </cell>
          <cell r="V488">
            <v>133226.84131460881</v>
          </cell>
          <cell r="W488">
            <v>14894.967260528052</v>
          </cell>
          <cell r="X488">
            <v>2036.7336650693637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J489">
            <v>489</v>
          </cell>
          <cell r="L489" t="str">
            <v>P</v>
          </cell>
          <cell r="M489" t="str">
            <v>Generation Level Consumption</v>
          </cell>
          <cell r="N489" t="str">
            <v/>
          </cell>
          <cell r="O489">
            <v>65.8</v>
          </cell>
          <cell r="P489" t="str">
            <v>E02</v>
          </cell>
          <cell r="R489">
            <v>1612100</v>
          </cell>
          <cell r="S489">
            <v>694944.21476895001</v>
          </cell>
          <cell r="T489">
            <v>142348.57088592454</v>
          </cell>
          <cell r="U489">
            <v>430160.63947425911</v>
          </cell>
          <cell r="V489">
            <v>301007.70397142653</v>
          </cell>
          <cell r="W489">
            <v>36112.06320243454</v>
          </cell>
          <cell r="X489">
            <v>7526.8076970054562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J490">
            <v>490</v>
          </cell>
          <cell r="L490" t="str">
            <v>P</v>
          </cell>
          <cell r="M490" t="str">
            <v>Open</v>
          </cell>
          <cell r="N490" t="str">
            <v/>
          </cell>
          <cell r="O490">
            <v>0</v>
          </cell>
          <cell r="P490" t="str">
            <v>xxx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J491">
            <v>491</v>
          </cell>
          <cell r="L491" t="str">
            <v>P</v>
          </cell>
          <cell r="M491" t="str">
            <v>Open</v>
          </cell>
          <cell r="N491" t="str">
            <v/>
          </cell>
          <cell r="O491">
            <v>0</v>
          </cell>
          <cell r="P491" t="str">
            <v>xxx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J492">
            <v>492</v>
          </cell>
          <cell r="K492" t="str">
            <v>33X</v>
          </cell>
          <cell r="L492" t="str">
            <v>Hydraulic Production Depr Exp</v>
          </cell>
          <cell r="O492" t="str">
            <v>P01</v>
          </cell>
          <cell r="P492" t="str">
            <v/>
          </cell>
          <cell r="Q492">
            <v>4861000</v>
          </cell>
        </row>
        <row r="493">
          <cell r="J493">
            <v>493</v>
          </cell>
          <cell r="L493" t="str">
            <v>P</v>
          </cell>
          <cell r="M493" t="str">
            <v>Coincident Peak</v>
          </cell>
          <cell r="N493" t="str">
            <v/>
          </cell>
          <cell r="O493">
            <v>34.200000000000003</v>
          </cell>
          <cell r="P493" t="str">
            <v>D01</v>
          </cell>
          <cell r="R493">
            <v>1662462</v>
          </cell>
          <cell r="S493">
            <v>828470.39638787962</v>
          </cell>
          <cell r="T493">
            <v>129406.79406917056</v>
          </cell>
          <cell r="U493">
            <v>406658.00389819773</v>
          </cell>
          <cell r="V493">
            <v>264332.92882869934</v>
          </cell>
          <cell r="W493">
            <v>29552.830960582392</v>
          </cell>
          <cell r="X493">
            <v>4041.0458554702764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J494">
            <v>494</v>
          </cell>
          <cell r="L494" t="str">
            <v>P</v>
          </cell>
          <cell r="M494" t="str">
            <v>Generation Level Consumption</v>
          </cell>
          <cell r="N494" t="str">
            <v/>
          </cell>
          <cell r="O494">
            <v>65.8</v>
          </cell>
          <cell r="P494" t="str">
            <v>E02</v>
          </cell>
          <cell r="R494">
            <v>3198538</v>
          </cell>
          <cell r="S494">
            <v>1378826.052241578</v>
          </cell>
          <cell r="T494">
            <v>282431.18492917519</v>
          </cell>
          <cell r="U494">
            <v>853473.82387117285</v>
          </cell>
          <cell r="V494">
            <v>597223.85673677735</v>
          </cell>
          <cell r="W494">
            <v>71649.281317156856</v>
          </cell>
          <cell r="X494">
            <v>14933.800904140213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</row>
        <row r="495">
          <cell r="J495">
            <v>495</v>
          </cell>
          <cell r="L495" t="str">
            <v>P</v>
          </cell>
          <cell r="M495" t="str">
            <v>Open</v>
          </cell>
          <cell r="N495" t="str">
            <v/>
          </cell>
          <cell r="O495">
            <v>0</v>
          </cell>
          <cell r="P495" t="str">
            <v>xxx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J496">
            <v>496</v>
          </cell>
          <cell r="L496" t="str">
            <v>P</v>
          </cell>
          <cell r="M496" t="str">
            <v>Open</v>
          </cell>
          <cell r="N496" t="str">
            <v/>
          </cell>
          <cell r="O496">
            <v>0</v>
          </cell>
          <cell r="P496" t="str">
            <v>xxx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J497">
            <v>497</v>
          </cell>
          <cell r="K497" t="str">
            <v>34X</v>
          </cell>
          <cell r="L497" t="str">
            <v>Other Production Depr Exp</v>
          </cell>
          <cell r="O497" t="str">
            <v>P01</v>
          </cell>
          <cell r="P497" t="str">
            <v/>
          </cell>
          <cell r="Q497">
            <v>5446000</v>
          </cell>
        </row>
        <row r="498">
          <cell r="J498">
            <v>498</v>
          </cell>
          <cell r="L498" t="str">
            <v>P</v>
          </cell>
          <cell r="M498" t="str">
            <v>Coincident Peak</v>
          </cell>
          <cell r="N498" t="str">
            <v/>
          </cell>
          <cell r="O498">
            <v>34.200000000000003</v>
          </cell>
          <cell r="P498" t="str">
            <v>D01</v>
          </cell>
          <cell r="R498">
            <v>1862532.0000000002</v>
          </cell>
          <cell r="S498">
            <v>928173.16986800928</v>
          </cell>
          <cell r="T498">
            <v>144980.33336776446</v>
          </cell>
          <cell r="U498">
            <v>455597.50858456804</v>
          </cell>
          <cell r="V498">
            <v>296144.23583647335</v>
          </cell>
          <cell r="W498">
            <v>33109.384367688072</v>
          </cell>
          <cell r="X498">
            <v>4527.3679754970435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J499">
            <v>499</v>
          </cell>
          <cell r="L499" t="str">
            <v>P</v>
          </cell>
          <cell r="M499" t="str">
            <v>Generation Level Consumption</v>
          </cell>
          <cell r="N499" t="str">
            <v/>
          </cell>
          <cell r="O499">
            <v>65.8</v>
          </cell>
          <cell r="P499" t="str">
            <v>E02</v>
          </cell>
          <cell r="R499">
            <v>3583468</v>
          </cell>
          <cell r="S499">
            <v>1544761.7116864088</v>
          </cell>
          <cell r="T499">
            <v>316420.53756928368</v>
          </cell>
          <cell r="U499">
            <v>956185.65003135311</v>
          </cell>
          <cell r="V499">
            <v>669097.12482791382</v>
          </cell>
          <cell r="W499">
            <v>80271.957632840218</v>
          </cell>
          <cell r="X499">
            <v>16731.018252200702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J500">
            <v>500</v>
          </cell>
          <cell r="L500" t="str">
            <v>P</v>
          </cell>
          <cell r="M500" t="str">
            <v>Open</v>
          </cell>
          <cell r="N500" t="str">
            <v/>
          </cell>
          <cell r="O500">
            <v>0</v>
          </cell>
          <cell r="P500" t="str">
            <v>xxx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J501">
            <v>501</v>
          </cell>
          <cell r="L501" t="str">
            <v>P</v>
          </cell>
          <cell r="M501" t="str">
            <v>Open</v>
          </cell>
          <cell r="N501" t="str">
            <v/>
          </cell>
          <cell r="O501">
            <v>0</v>
          </cell>
          <cell r="P501" t="str">
            <v>xxx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J502">
            <v>502</v>
          </cell>
          <cell r="L502" t="str">
            <v>Total Production Plant Depreciation Expense</v>
          </cell>
          <cell r="P502" t="str">
            <v/>
          </cell>
          <cell r="Q502">
            <v>17392000</v>
          </cell>
          <cell r="R502">
            <v>17392000</v>
          </cell>
          <cell r="S502">
            <v>7897407.9067195076</v>
          </cell>
          <cell r="T502">
            <v>1473500.5411930117</v>
          </cell>
          <cell r="U502">
            <v>4508581.1044157371</v>
          </cell>
          <cell r="V502">
            <v>3082533.5557611128</v>
          </cell>
          <cell r="W502">
            <v>362087.45869871241</v>
          </cell>
          <cell r="X502">
            <v>67889.433211920521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J503">
            <v>503</v>
          </cell>
        </row>
        <row r="504">
          <cell r="J504">
            <v>504</v>
          </cell>
          <cell r="L504" t="str">
            <v>Transmission Plant Depreciation Expense</v>
          </cell>
        </row>
        <row r="505">
          <cell r="J505">
            <v>505</v>
          </cell>
          <cell r="K505">
            <v>350</v>
          </cell>
          <cell r="L505" t="str">
            <v>Land &amp; Land Rights Depr Exp</v>
          </cell>
          <cell r="O505" t="str">
            <v>T01</v>
          </cell>
          <cell r="P505" t="str">
            <v/>
          </cell>
          <cell r="Q505">
            <v>136000</v>
          </cell>
        </row>
        <row r="506">
          <cell r="J506">
            <v>506</v>
          </cell>
          <cell r="L506" t="str">
            <v>T</v>
          </cell>
          <cell r="M506" t="str">
            <v>Coincident Peak</v>
          </cell>
          <cell r="N506" t="str">
            <v/>
          </cell>
          <cell r="O506">
            <v>34.200000000000003</v>
          </cell>
          <cell r="P506" t="str">
            <v>D01</v>
          </cell>
          <cell r="R506">
            <v>46512</v>
          </cell>
          <cell r="S506">
            <v>23178.764432987376</v>
          </cell>
          <cell r="T506">
            <v>3620.5151189893431</v>
          </cell>
          <cell r="U506">
            <v>11377.389123668976</v>
          </cell>
          <cell r="V506">
            <v>7395.4491505252236</v>
          </cell>
          <cell r="W506">
            <v>826.82267242114904</v>
          </cell>
          <cell r="X506">
            <v>113.05950140793203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J507">
            <v>507</v>
          </cell>
          <cell r="L507" t="str">
            <v>T</v>
          </cell>
          <cell r="M507" t="str">
            <v>Generation Level Consumption</v>
          </cell>
          <cell r="N507" t="str">
            <v/>
          </cell>
          <cell r="O507">
            <v>65.8</v>
          </cell>
          <cell r="P507" t="str">
            <v>E02</v>
          </cell>
          <cell r="R507">
            <v>89488</v>
          </cell>
          <cell r="S507">
            <v>38576.495187174369</v>
          </cell>
          <cell r="T507">
            <v>7901.7982206064235</v>
          </cell>
          <cell r="U507">
            <v>23878.30488510173</v>
          </cell>
          <cell r="V507">
            <v>16708.999077597557</v>
          </cell>
          <cell r="W507">
            <v>2004.5879981759583</v>
          </cell>
          <cell r="X507">
            <v>417.81463134397637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J508">
            <v>508</v>
          </cell>
          <cell r="L508" t="str">
            <v>T</v>
          </cell>
          <cell r="M508" t="str">
            <v>Open</v>
          </cell>
          <cell r="N508" t="str">
            <v/>
          </cell>
          <cell r="O508">
            <v>0</v>
          </cell>
          <cell r="P508" t="str">
            <v>xxx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J509">
            <v>509</v>
          </cell>
          <cell r="K509">
            <v>352</v>
          </cell>
          <cell r="L509" t="str">
            <v>Structures &amp; Improvements Depr Exp</v>
          </cell>
          <cell r="O509" t="str">
            <v>T01</v>
          </cell>
          <cell r="P509" t="str">
            <v/>
          </cell>
          <cell r="Q509">
            <v>175000</v>
          </cell>
        </row>
        <row r="510">
          <cell r="J510">
            <v>510</v>
          </cell>
          <cell r="L510" t="str">
            <v>T</v>
          </cell>
          <cell r="M510" t="str">
            <v>Coincident Peak</v>
          </cell>
          <cell r="N510" t="str">
            <v/>
          </cell>
          <cell r="O510">
            <v>34.200000000000003</v>
          </cell>
          <cell r="P510" t="str">
            <v>D01</v>
          </cell>
          <cell r="R510">
            <v>59850.000000000007</v>
          </cell>
          <cell r="S510">
            <v>29825.615998329347</v>
          </cell>
          <cell r="T510">
            <v>4658.7510722289344</v>
          </cell>
          <cell r="U510">
            <v>14640.022769426992</v>
          </cell>
          <cell r="V510">
            <v>9516.2029510434877</v>
          </cell>
          <cell r="W510">
            <v>1063.926232894861</v>
          </cell>
          <cell r="X510">
            <v>145.48097607638314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J511">
            <v>511</v>
          </cell>
          <cell r="L511" t="str">
            <v>T</v>
          </cell>
          <cell r="M511" t="str">
            <v>Generation Level Consumption</v>
          </cell>
          <cell r="N511" t="str">
            <v/>
          </cell>
          <cell r="O511">
            <v>65.8</v>
          </cell>
          <cell r="P511" t="str">
            <v>E02</v>
          </cell>
          <cell r="R511">
            <v>115150</v>
          </cell>
          <cell r="S511">
            <v>49638.872483496423</v>
          </cell>
          <cell r="T511">
            <v>10167.755063280323</v>
          </cell>
          <cell r="U511">
            <v>30725.759962447079</v>
          </cell>
          <cell r="V511">
            <v>21500.550283673325</v>
          </cell>
          <cell r="W511">
            <v>2579.4330858881817</v>
          </cell>
          <cell r="X511">
            <v>537.62912121467548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J512">
            <v>512</v>
          </cell>
          <cell r="L512" t="str">
            <v>T</v>
          </cell>
          <cell r="M512" t="str">
            <v>Open</v>
          </cell>
          <cell r="N512" t="str">
            <v/>
          </cell>
          <cell r="O512">
            <v>0</v>
          </cell>
          <cell r="P512" t="str">
            <v>xxx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J513">
            <v>513</v>
          </cell>
          <cell r="K513">
            <v>353</v>
          </cell>
          <cell r="L513" t="str">
            <v>Station Equipment Depr Exp</v>
          </cell>
          <cell r="O513" t="str">
            <v>T01</v>
          </cell>
          <cell r="P513" t="str">
            <v/>
          </cell>
          <cell r="Q513">
            <v>3114000</v>
          </cell>
        </row>
        <row r="514">
          <cell r="J514">
            <v>514</v>
          </cell>
          <cell r="L514" t="str">
            <v>T</v>
          </cell>
          <cell r="M514" t="str">
            <v>Coincident Peak</v>
          </cell>
          <cell r="N514" t="str">
            <v/>
          </cell>
          <cell r="O514">
            <v>34.200000000000003</v>
          </cell>
          <cell r="P514" t="str">
            <v>D01</v>
          </cell>
          <cell r="R514">
            <v>1064988.0000000002</v>
          </cell>
          <cell r="S514">
            <v>530725.53267884336</v>
          </cell>
          <cell r="T514">
            <v>82899.147650976593</v>
          </cell>
          <cell r="U514">
            <v>260508.74802283235</v>
          </cell>
          <cell r="V514">
            <v>169334.0342259967</v>
          </cell>
          <cell r="W514">
            <v>18931.807367054844</v>
          </cell>
          <cell r="X514">
            <v>2588.7300542963267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J515">
            <v>515</v>
          </cell>
          <cell r="L515" t="str">
            <v>T</v>
          </cell>
          <cell r="M515" t="str">
            <v>Generation Level Consumption</v>
          </cell>
          <cell r="N515" t="str">
            <v/>
          </cell>
          <cell r="O515">
            <v>65.8</v>
          </cell>
          <cell r="P515" t="str">
            <v>E02</v>
          </cell>
          <cell r="R515">
            <v>2049012</v>
          </cell>
          <cell r="S515">
            <v>883288.27950633073</v>
          </cell>
          <cell r="T515">
            <v>180927.9386688853</v>
          </cell>
          <cell r="U515">
            <v>546742.95156034408</v>
          </cell>
          <cell r="V515">
            <v>382586.93476204987</v>
          </cell>
          <cell r="W515">
            <v>45899.169311175989</v>
          </cell>
          <cell r="X515">
            <v>9566.7261912142822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J516">
            <v>516</v>
          </cell>
          <cell r="L516" t="str">
            <v>T</v>
          </cell>
          <cell r="M516" t="str">
            <v>Open</v>
          </cell>
          <cell r="N516" t="str">
            <v/>
          </cell>
          <cell r="O516">
            <v>0</v>
          </cell>
          <cell r="P516" t="str">
            <v>xxx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J517">
            <v>517</v>
          </cell>
          <cell r="K517">
            <v>354</v>
          </cell>
          <cell r="L517" t="str">
            <v>Towers &amp; Fixtures Depr Exp</v>
          </cell>
          <cell r="O517" t="str">
            <v>T01</v>
          </cell>
          <cell r="P517" t="str">
            <v/>
          </cell>
          <cell r="Q517">
            <v>209000</v>
          </cell>
        </row>
        <row r="518">
          <cell r="J518">
            <v>518</v>
          </cell>
          <cell r="L518" t="str">
            <v>T</v>
          </cell>
          <cell r="M518" t="str">
            <v>Coincident Peak</v>
          </cell>
          <cell r="N518" t="str">
            <v/>
          </cell>
          <cell r="O518">
            <v>34.200000000000003</v>
          </cell>
          <cell r="P518" t="str">
            <v>D01</v>
          </cell>
          <cell r="R518">
            <v>71478.000000000015</v>
          </cell>
          <cell r="S518">
            <v>35620.307106576198</v>
          </cell>
          <cell r="T518">
            <v>5563.8798519762713</v>
          </cell>
          <cell r="U518">
            <v>17484.370050344238</v>
          </cell>
          <cell r="V518">
            <v>11365.065238674795</v>
          </cell>
          <cell r="W518">
            <v>1270.6319010001484</v>
          </cell>
          <cell r="X518">
            <v>173.74585142836617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J519">
            <v>519</v>
          </cell>
          <cell r="L519" t="str">
            <v>T</v>
          </cell>
          <cell r="M519" t="str">
            <v>Generation Level Consumption</v>
          </cell>
          <cell r="N519" t="str">
            <v/>
          </cell>
          <cell r="O519">
            <v>65.8</v>
          </cell>
          <cell r="P519" t="str">
            <v>E02</v>
          </cell>
          <cell r="R519">
            <v>137522</v>
          </cell>
          <cell r="S519">
            <v>59282.996280290019</v>
          </cell>
          <cell r="T519">
            <v>12143.20461843193</v>
          </cell>
          <cell r="U519">
            <v>36695.336183722509</v>
          </cell>
          <cell r="V519">
            <v>25677.800053072711</v>
          </cell>
          <cell r="W519">
            <v>3080.580085432171</v>
          </cell>
          <cell r="X519">
            <v>642.0827790506695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J520">
            <v>520</v>
          </cell>
          <cell r="L520" t="str">
            <v>T</v>
          </cell>
          <cell r="M520" t="str">
            <v>Open</v>
          </cell>
          <cell r="N520" t="str">
            <v/>
          </cell>
          <cell r="O520">
            <v>0</v>
          </cell>
          <cell r="P520" t="str">
            <v>xxx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J521">
            <v>521</v>
          </cell>
          <cell r="K521">
            <v>355</v>
          </cell>
          <cell r="L521" t="str">
            <v>Poles &amp; Fixtures Depr Exp</v>
          </cell>
          <cell r="O521" t="str">
            <v>T01</v>
          </cell>
          <cell r="P521" t="str">
            <v/>
          </cell>
          <cell r="Q521">
            <v>1346000</v>
          </cell>
        </row>
        <row r="522">
          <cell r="J522">
            <v>522</v>
          </cell>
          <cell r="L522" t="str">
            <v>T</v>
          </cell>
          <cell r="M522" t="str">
            <v>Coincident Peak</v>
          </cell>
          <cell r="N522" t="str">
            <v/>
          </cell>
          <cell r="O522">
            <v>34.200000000000003</v>
          </cell>
          <cell r="P522" t="str">
            <v>D01</v>
          </cell>
          <cell r="R522">
            <v>460332.00000000006</v>
          </cell>
          <cell r="S522">
            <v>229401.59505000743</v>
          </cell>
          <cell r="T522">
            <v>35832.45110411512</v>
          </cell>
          <cell r="U522">
            <v>112602.68941513561</v>
          </cell>
          <cell r="V522">
            <v>73193.195269168762</v>
          </cell>
          <cell r="W522">
            <v>8183.1126255799027</v>
          </cell>
          <cell r="X522">
            <v>1118.9565359932099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J523">
            <v>523</v>
          </cell>
          <cell r="L523" t="str">
            <v>T</v>
          </cell>
          <cell r="M523" t="str">
            <v>Generation Level Consumption</v>
          </cell>
          <cell r="N523" t="str">
            <v/>
          </cell>
          <cell r="O523">
            <v>65.8</v>
          </cell>
          <cell r="P523" t="str">
            <v>E02</v>
          </cell>
          <cell r="R523">
            <v>885668</v>
          </cell>
          <cell r="S523">
            <v>381793.84207306395</v>
          </cell>
          <cell r="T523">
            <v>78204.561801001808</v>
          </cell>
          <cell r="U523">
            <v>236324.98805402152</v>
          </cell>
          <cell r="V523">
            <v>165369.94675328169</v>
          </cell>
          <cell r="W523">
            <v>19839.525334888527</v>
          </cell>
          <cell r="X523">
            <v>4135.1359837425898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J524">
            <v>524</v>
          </cell>
          <cell r="L524" t="str">
            <v>T</v>
          </cell>
          <cell r="M524" t="str">
            <v>Open</v>
          </cell>
          <cell r="N524" t="str">
            <v/>
          </cell>
          <cell r="O524">
            <v>0</v>
          </cell>
          <cell r="P524" t="str">
            <v>xxx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J525">
            <v>525</v>
          </cell>
          <cell r="K525">
            <v>356</v>
          </cell>
          <cell r="L525" t="str">
            <v>Overhead Conductors &amp; Devices Depr Exp</v>
          </cell>
          <cell r="O525" t="str">
            <v>T01</v>
          </cell>
          <cell r="P525" t="str">
            <v/>
          </cell>
          <cell r="Q525">
            <v>1375000</v>
          </cell>
        </row>
        <row r="526">
          <cell r="J526">
            <v>526</v>
          </cell>
          <cell r="L526" t="str">
            <v>T</v>
          </cell>
          <cell r="M526" t="str">
            <v>Coincident Peak</v>
          </cell>
          <cell r="N526" t="str">
            <v/>
          </cell>
          <cell r="O526">
            <v>34.200000000000003</v>
          </cell>
          <cell r="P526" t="str">
            <v>D01</v>
          </cell>
          <cell r="R526">
            <v>470250.00000000006</v>
          </cell>
          <cell r="S526">
            <v>234344.12570115915</v>
          </cell>
          <cell r="T526">
            <v>36604.472710370203</v>
          </cell>
          <cell r="U526">
            <v>115028.75033121208</v>
          </cell>
          <cell r="V526">
            <v>74770.166043913123</v>
          </cell>
          <cell r="W526">
            <v>8359.4204013167655</v>
          </cell>
          <cell r="X526">
            <v>1143.0648120287246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J527">
            <v>527</v>
          </cell>
          <cell r="L527" t="str">
            <v>T</v>
          </cell>
          <cell r="M527" t="str">
            <v>Generation Level Consumption</v>
          </cell>
          <cell r="N527" t="str">
            <v/>
          </cell>
          <cell r="O527">
            <v>65.8</v>
          </cell>
          <cell r="P527" t="str">
            <v>E02</v>
          </cell>
          <cell r="R527">
            <v>904750</v>
          </cell>
          <cell r="S527">
            <v>390019.71237032907</v>
          </cell>
          <cell r="T527">
            <v>79889.504068631111</v>
          </cell>
          <cell r="U527">
            <v>241416.68541922705</v>
          </cell>
          <cell r="V527">
            <v>168932.89508600469</v>
          </cell>
          <cell r="W527">
            <v>20266.974246264283</v>
          </cell>
          <cell r="X527">
            <v>4224.2288095438789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J528">
            <v>528</v>
          </cell>
          <cell r="L528" t="str">
            <v>T</v>
          </cell>
          <cell r="M528" t="str">
            <v>Open</v>
          </cell>
          <cell r="N528" t="str">
            <v/>
          </cell>
          <cell r="O528">
            <v>0</v>
          </cell>
          <cell r="P528" t="str">
            <v>xxx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</row>
        <row r="529">
          <cell r="J529">
            <v>529</v>
          </cell>
          <cell r="K529">
            <v>357</v>
          </cell>
          <cell r="L529" t="str">
            <v>Underground Conduit Depr Exp</v>
          </cell>
          <cell r="O529" t="str">
            <v>T01</v>
          </cell>
          <cell r="P529" t="str">
            <v/>
          </cell>
          <cell r="Q529">
            <v>27000</v>
          </cell>
        </row>
        <row r="530">
          <cell r="J530">
            <v>530</v>
          </cell>
          <cell r="L530" t="str">
            <v>T</v>
          </cell>
          <cell r="M530" t="str">
            <v>Coincident Peak</v>
          </cell>
          <cell r="N530" t="str">
            <v/>
          </cell>
          <cell r="O530">
            <v>34.200000000000003</v>
          </cell>
          <cell r="P530" t="str">
            <v>D01</v>
          </cell>
          <cell r="R530">
            <v>9234.0000000000018</v>
          </cell>
          <cell r="S530">
            <v>4601.6664683136714</v>
          </cell>
          <cell r="T530">
            <v>718.7787368581786</v>
          </cell>
          <cell r="U530">
            <v>2258.7463701401648</v>
          </cell>
          <cell r="V530">
            <v>1468.2141695895668</v>
          </cell>
          <cell r="W530">
            <v>164.14861878949284</v>
          </cell>
          <cell r="X530">
            <v>22.445636308927686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J531">
            <v>531</v>
          </cell>
          <cell r="L531" t="str">
            <v>T</v>
          </cell>
          <cell r="M531" t="str">
            <v>Generation Level Consumption</v>
          </cell>
          <cell r="N531" t="str">
            <v/>
          </cell>
          <cell r="O531">
            <v>65.8</v>
          </cell>
          <cell r="P531" t="str">
            <v>E02</v>
          </cell>
          <cell r="R531">
            <v>17766</v>
          </cell>
          <cell r="S531">
            <v>7658.5688974537343</v>
          </cell>
          <cell r="T531">
            <v>1568.7393526203928</v>
          </cell>
          <cell r="U531">
            <v>4740.5458227775489</v>
          </cell>
          <cell r="V531">
            <v>3317.2277580524556</v>
          </cell>
          <cell r="W531">
            <v>397.96967610846229</v>
          </cell>
          <cell r="X531">
            <v>82.948492987407064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J532">
            <v>532</v>
          </cell>
          <cell r="L532" t="str">
            <v>T</v>
          </cell>
          <cell r="M532" t="str">
            <v>Open</v>
          </cell>
          <cell r="N532" t="str">
            <v/>
          </cell>
          <cell r="O532">
            <v>0</v>
          </cell>
          <cell r="P532" t="str">
            <v>xxx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J533">
            <v>533</v>
          </cell>
          <cell r="K533">
            <v>358</v>
          </cell>
          <cell r="L533" t="str">
            <v>Underground Conductors &amp; Devices Depr Exp</v>
          </cell>
          <cell r="O533" t="str">
            <v>T01</v>
          </cell>
          <cell r="P533" t="str">
            <v/>
          </cell>
          <cell r="Q533">
            <v>26000</v>
          </cell>
        </row>
        <row r="534">
          <cell r="J534">
            <v>534</v>
          </cell>
          <cell r="L534" t="str">
            <v>T</v>
          </cell>
          <cell r="M534" t="str">
            <v>Coincident Peak</v>
          </cell>
          <cell r="N534" t="str">
            <v/>
          </cell>
          <cell r="O534">
            <v>34.200000000000003</v>
          </cell>
          <cell r="P534" t="str">
            <v>D01</v>
          </cell>
          <cell r="R534">
            <v>8892.0000000000018</v>
          </cell>
          <cell r="S534">
            <v>4431.2343768946466</v>
          </cell>
          <cell r="T534">
            <v>692.15730215972746</v>
          </cell>
          <cell r="U534">
            <v>2175.0890971720105</v>
          </cell>
          <cell r="V534">
            <v>1413.8358670121754</v>
          </cell>
          <cell r="W534">
            <v>158.06904031580794</v>
          </cell>
          <cell r="X534">
            <v>21.614316445634071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J535">
            <v>535</v>
          </cell>
          <cell r="L535" t="str">
            <v>T</v>
          </cell>
          <cell r="M535" t="str">
            <v>Generation Level Consumption</v>
          </cell>
          <cell r="N535" t="str">
            <v/>
          </cell>
          <cell r="O535">
            <v>65.8</v>
          </cell>
          <cell r="P535" t="str">
            <v>E02</v>
          </cell>
          <cell r="R535">
            <v>17108</v>
          </cell>
          <cell r="S535">
            <v>7374.9181975480406</v>
          </cell>
          <cell r="T535">
            <v>1510.6378951159338</v>
          </cell>
          <cell r="U535">
            <v>4564.9700515635659</v>
          </cell>
          <cell r="V535">
            <v>3194.3674707171795</v>
          </cell>
          <cell r="W535">
            <v>383.23005847481556</v>
          </cell>
          <cell r="X535">
            <v>79.87632658046607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J536">
            <v>536</v>
          </cell>
          <cell r="L536" t="str">
            <v>T</v>
          </cell>
          <cell r="M536" t="str">
            <v>Open</v>
          </cell>
          <cell r="N536" t="str">
            <v/>
          </cell>
          <cell r="O536">
            <v>0</v>
          </cell>
          <cell r="P536" t="str">
            <v>xxx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J537">
            <v>537</v>
          </cell>
          <cell r="K537">
            <v>359</v>
          </cell>
          <cell r="L537" t="str">
            <v>Roads &amp; Trails Depr Exp</v>
          </cell>
          <cell r="O537" t="str">
            <v>T01</v>
          </cell>
          <cell r="P537" t="str">
            <v/>
          </cell>
          <cell r="Q537">
            <v>20000</v>
          </cell>
        </row>
        <row r="538">
          <cell r="J538">
            <v>538</v>
          </cell>
          <cell r="L538" t="str">
            <v>T</v>
          </cell>
          <cell r="M538" t="str">
            <v>Coincident Peak</v>
          </cell>
          <cell r="N538" t="str">
            <v/>
          </cell>
          <cell r="O538">
            <v>34.200000000000003</v>
          </cell>
          <cell r="P538" t="str">
            <v>D01</v>
          </cell>
          <cell r="R538">
            <v>6840</v>
          </cell>
          <cell r="S538">
            <v>3408.6418283804965</v>
          </cell>
          <cell r="T538">
            <v>532.42869396902108</v>
          </cell>
          <cell r="U538">
            <v>1673.1454593630847</v>
          </cell>
          <cell r="V538">
            <v>1087.5660515478271</v>
          </cell>
          <cell r="W538">
            <v>121.59156947369839</v>
          </cell>
          <cell r="X538">
            <v>16.626397265872356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J539">
            <v>539</v>
          </cell>
          <cell r="L539" t="str">
            <v>T</v>
          </cell>
          <cell r="M539" t="str">
            <v>Generation Level Consumption</v>
          </cell>
          <cell r="N539" t="str">
            <v/>
          </cell>
          <cell r="O539">
            <v>65.8</v>
          </cell>
          <cell r="P539" t="str">
            <v>E02</v>
          </cell>
          <cell r="R539">
            <v>13160</v>
          </cell>
          <cell r="S539">
            <v>5673.0139981138773</v>
          </cell>
          <cell r="T539">
            <v>1162.0291500891799</v>
          </cell>
          <cell r="U539">
            <v>3511.5154242796661</v>
          </cell>
          <cell r="V539">
            <v>2457.2057467055229</v>
          </cell>
          <cell r="W539">
            <v>294.79235267293507</v>
          </cell>
          <cell r="X539">
            <v>61.44332813882005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J540">
            <v>540</v>
          </cell>
          <cell r="L540" t="str">
            <v>T</v>
          </cell>
          <cell r="M540" t="str">
            <v>Open</v>
          </cell>
          <cell r="N540" t="str">
            <v/>
          </cell>
          <cell r="O540">
            <v>0</v>
          </cell>
          <cell r="P540" t="str">
            <v>xxx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J541">
            <v>541</v>
          </cell>
          <cell r="L541" t="str">
            <v>Total Transmission Plant Depreciation Expense</v>
          </cell>
          <cell r="P541" t="str">
            <v/>
          </cell>
          <cell r="Q541">
            <v>6428000</v>
          </cell>
          <cell r="R541">
            <v>6428000</v>
          </cell>
          <cell r="S541">
            <v>2918844.1826352924</v>
          </cell>
          <cell r="T541">
            <v>544598.75108030566</v>
          </cell>
          <cell r="U541">
            <v>1666350.0080027801</v>
          </cell>
          <cell r="V541">
            <v>1139289.6559586267</v>
          </cell>
          <cell r="W541">
            <v>133825.79257792799</v>
          </cell>
          <cell r="X541">
            <v>25091.609745068141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J542">
            <v>542</v>
          </cell>
        </row>
        <row r="543">
          <cell r="J543">
            <v>543</v>
          </cell>
          <cell r="L543" t="str">
            <v>Distribution Plant Depreciation Expense</v>
          </cell>
        </row>
        <row r="544">
          <cell r="J544">
            <v>544</v>
          </cell>
          <cell r="K544">
            <v>360</v>
          </cell>
          <cell r="L544" t="str">
            <v>Land &amp; Land Rights Depr Exp</v>
          </cell>
          <cell r="O544" t="str">
            <v>X01</v>
          </cell>
          <cell r="P544" t="str">
            <v/>
          </cell>
          <cell r="Q544">
            <v>1000</v>
          </cell>
        </row>
        <row r="545">
          <cell r="J545">
            <v>545</v>
          </cell>
          <cell r="L545" t="str">
            <v>D</v>
          </cell>
          <cell r="M545" t="str">
            <v>NCP-All</v>
          </cell>
          <cell r="N545" t="str">
            <v/>
          </cell>
          <cell r="O545">
            <v>0</v>
          </cell>
          <cell r="P545" t="str">
            <v>D02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J546">
            <v>546</v>
          </cell>
          <cell r="L546" t="str">
            <v>D</v>
          </cell>
          <cell r="M546" t="str">
            <v>NCP-w/o DA</v>
          </cell>
          <cell r="N546" t="str">
            <v/>
          </cell>
          <cell r="O546">
            <v>0</v>
          </cell>
          <cell r="P546" t="str">
            <v>D03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J547">
            <v>547</v>
          </cell>
          <cell r="L547" t="str">
            <v>D</v>
          </cell>
          <cell r="M547" t="str">
            <v xml:space="preserve">DA Sch 25 </v>
          </cell>
          <cell r="N547" t="str">
            <v/>
          </cell>
          <cell r="O547">
            <v>0</v>
          </cell>
          <cell r="P547" t="str">
            <v>D04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J548">
            <v>548</v>
          </cell>
          <cell r="L548" t="str">
            <v>D</v>
          </cell>
          <cell r="M548" t="str">
            <v>DA Street and Area Lights</v>
          </cell>
          <cell r="N548" t="str">
            <v/>
          </cell>
          <cell r="O548">
            <v>0</v>
          </cell>
          <cell r="P548" t="str">
            <v>D07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J549">
            <v>549</v>
          </cell>
          <cell r="L549" t="str">
            <v>D</v>
          </cell>
          <cell r="M549" t="str">
            <v>Avg Customers-Secondary</v>
          </cell>
          <cell r="N549" t="str">
            <v/>
          </cell>
          <cell r="O549">
            <v>0</v>
          </cell>
          <cell r="P549" t="str">
            <v>C02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J550">
            <v>550</v>
          </cell>
          <cell r="L550" t="str">
            <v>D</v>
          </cell>
          <cell r="M550" t="str">
            <v>Wt Customers-Meters</v>
          </cell>
          <cell r="N550" t="str">
            <v/>
          </cell>
          <cell r="O550">
            <v>0</v>
          </cell>
          <cell r="P550" t="str">
            <v>C04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J551">
            <v>551</v>
          </cell>
          <cell r="L551" t="str">
            <v>D</v>
          </cell>
          <cell r="M551" t="str">
            <v>DA Street &amp; Area Lights</v>
          </cell>
          <cell r="N551" t="str">
            <v/>
          </cell>
          <cell r="O551">
            <v>0</v>
          </cell>
          <cell r="P551" t="str">
            <v>C05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J552">
            <v>552</v>
          </cell>
          <cell r="L552" t="str">
            <v>D</v>
          </cell>
          <cell r="M552" t="str">
            <v>DA Sch 25I</v>
          </cell>
          <cell r="N552" t="str">
            <v/>
          </cell>
          <cell r="O552">
            <v>0</v>
          </cell>
          <cell r="P552" t="str">
            <v>D05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J553">
            <v>553</v>
          </cell>
          <cell r="L553" t="str">
            <v>D</v>
          </cell>
          <cell r="M553" t="str">
            <v>NCP-Secondary</v>
          </cell>
          <cell r="N553" t="str">
            <v/>
          </cell>
          <cell r="O553">
            <v>0</v>
          </cell>
          <cell r="P553" t="str">
            <v>D06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J554">
            <v>554</v>
          </cell>
          <cell r="L554" t="str">
            <v>D</v>
          </cell>
          <cell r="M554" t="str">
            <v>NCP-Primary</v>
          </cell>
          <cell r="N554" t="str">
            <v/>
          </cell>
          <cell r="O554">
            <v>100</v>
          </cell>
          <cell r="P554" t="str">
            <v>D08</v>
          </cell>
          <cell r="R554">
            <v>1000</v>
          </cell>
          <cell r="S554">
            <v>499.44922533642989</v>
          </cell>
          <cell r="T554">
            <v>103.27621448795851</v>
          </cell>
          <cell r="U554">
            <v>274.82760951865873</v>
          </cell>
          <cell r="V554">
            <v>90.792320173066528</v>
          </cell>
          <cell r="W554">
            <v>25.224286577800399</v>
          </cell>
          <cell r="X554">
            <v>6.4303439060859606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J555">
            <v>555</v>
          </cell>
          <cell r="K555">
            <v>361</v>
          </cell>
          <cell r="L555" t="str">
            <v>Structures &amp; Improvements Depr Exp</v>
          </cell>
          <cell r="O555" t="str">
            <v>X02</v>
          </cell>
          <cell r="P555" t="str">
            <v/>
          </cell>
          <cell r="Q555">
            <v>168000</v>
          </cell>
        </row>
        <row r="556">
          <cell r="J556">
            <v>556</v>
          </cell>
          <cell r="L556" t="str">
            <v>D</v>
          </cell>
          <cell r="M556" t="str">
            <v>NCP-All</v>
          </cell>
          <cell r="N556" t="str">
            <v/>
          </cell>
          <cell r="O556">
            <v>0</v>
          </cell>
          <cell r="P556" t="str">
            <v>D02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J557">
            <v>557</v>
          </cell>
          <cell r="L557" t="str">
            <v>D</v>
          </cell>
          <cell r="M557" t="str">
            <v>NCP-w/o DA</v>
          </cell>
          <cell r="N557" t="str">
            <v/>
          </cell>
          <cell r="O557">
            <v>10956.161</v>
          </cell>
          <cell r="P557" t="str">
            <v>D03</v>
          </cell>
          <cell r="R557">
            <v>147952.76276387798</v>
          </cell>
          <cell r="S557">
            <v>81167.261716546986</v>
          </cell>
          <cell r="T557">
            <v>16783.783225996205</v>
          </cell>
          <cell r="U557">
            <v>44857.411760402392</v>
          </cell>
          <cell r="V557">
            <v>0</v>
          </cell>
          <cell r="W557">
            <v>4099.2881086048046</v>
          </cell>
          <cell r="X557">
            <v>1045.0179523276004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J558">
            <v>558</v>
          </cell>
          <cell r="L558" t="str">
            <v>D</v>
          </cell>
          <cell r="M558" t="str">
            <v xml:space="preserve">DA Sch 25 </v>
          </cell>
          <cell r="N558" t="str">
            <v/>
          </cell>
          <cell r="O558">
            <v>1484.5329999999999</v>
          </cell>
          <cell r="P558" t="str">
            <v>D04</v>
          </cell>
          <cell r="R558">
            <v>20047.237236122033</v>
          </cell>
          <cell r="S558">
            <v>0</v>
          </cell>
          <cell r="T558">
            <v>0</v>
          </cell>
          <cell r="U558">
            <v>0</v>
          </cell>
          <cell r="V558">
            <v>20047.237236122033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J559">
            <v>559</v>
          </cell>
          <cell r="L559" t="str">
            <v>D</v>
          </cell>
          <cell r="M559" t="str">
            <v>DA Street and Area Lights</v>
          </cell>
          <cell r="N559" t="str">
            <v/>
          </cell>
          <cell r="O559">
            <v>0</v>
          </cell>
          <cell r="P559" t="str">
            <v>D07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J560">
            <v>560</v>
          </cell>
          <cell r="L560" t="str">
            <v>D</v>
          </cell>
          <cell r="M560" t="str">
            <v>Avg Customers-Secondary</v>
          </cell>
          <cell r="N560" t="str">
            <v/>
          </cell>
          <cell r="O560">
            <v>0</v>
          </cell>
          <cell r="P560" t="str">
            <v>C02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J561">
            <v>561</v>
          </cell>
          <cell r="L561" t="str">
            <v>D</v>
          </cell>
          <cell r="M561" t="str">
            <v>Wt Customers-Meters</v>
          </cell>
          <cell r="N561" t="str">
            <v/>
          </cell>
          <cell r="O561">
            <v>0</v>
          </cell>
          <cell r="P561" t="str">
            <v>C04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J562">
            <v>562</v>
          </cell>
          <cell r="L562" t="str">
            <v>D</v>
          </cell>
          <cell r="M562" t="str">
            <v>DA Street &amp; Area Lights</v>
          </cell>
          <cell r="N562" t="str">
            <v/>
          </cell>
          <cell r="O562">
            <v>0</v>
          </cell>
          <cell r="P562" t="str">
            <v>C05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J563">
            <v>563</v>
          </cell>
          <cell r="L563" t="str">
            <v>D</v>
          </cell>
          <cell r="M563" t="str">
            <v>DA Sch 25I</v>
          </cell>
          <cell r="N563" t="str">
            <v/>
          </cell>
          <cell r="O563">
            <v>0</v>
          </cell>
          <cell r="P563" t="str">
            <v>D05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J564">
            <v>564</v>
          </cell>
          <cell r="L564" t="str">
            <v>D</v>
          </cell>
          <cell r="M564" t="str">
            <v>NCP-Secondary</v>
          </cell>
          <cell r="N564" t="str">
            <v/>
          </cell>
          <cell r="O564">
            <v>0</v>
          </cell>
          <cell r="P564" t="str">
            <v>D06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J565">
            <v>565</v>
          </cell>
          <cell r="L565" t="str">
            <v>D</v>
          </cell>
          <cell r="M565" t="str">
            <v>NCP-Primary</v>
          </cell>
          <cell r="N565" t="str">
            <v/>
          </cell>
          <cell r="O565">
            <v>0</v>
          </cell>
          <cell r="P565" t="str">
            <v>D08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J566">
            <v>566</v>
          </cell>
          <cell r="K566">
            <v>362</v>
          </cell>
          <cell r="L566" t="str">
            <v>Station Equipment Depr Exp</v>
          </cell>
          <cell r="O566" t="str">
            <v>X03</v>
          </cell>
          <cell r="P566" t="str">
            <v/>
          </cell>
          <cell r="Q566">
            <v>1260000</v>
          </cell>
        </row>
        <row r="567">
          <cell r="J567">
            <v>567</v>
          </cell>
          <cell r="L567" t="str">
            <v>D</v>
          </cell>
          <cell r="M567" t="str">
            <v>NCP-All</v>
          </cell>
          <cell r="N567" t="str">
            <v/>
          </cell>
          <cell r="O567">
            <v>0</v>
          </cell>
          <cell r="P567" t="str">
            <v>D02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J568">
            <v>568</v>
          </cell>
          <cell r="L568" t="str">
            <v>D</v>
          </cell>
          <cell r="M568" t="str">
            <v>NCP-w/o DA</v>
          </cell>
          <cell r="N568" t="str">
            <v/>
          </cell>
          <cell r="O568">
            <v>63092.08</v>
          </cell>
          <cell r="P568" t="str">
            <v>D03</v>
          </cell>
          <cell r="R568">
            <v>1156585.7770219424</v>
          </cell>
          <cell r="S568">
            <v>634505.89706794906</v>
          </cell>
          <cell r="T568">
            <v>131203.26110291461</v>
          </cell>
          <cell r="U568">
            <v>350662.22128543345</v>
          </cell>
          <cell r="V568">
            <v>0</v>
          </cell>
          <cell r="W568">
            <v>32045.216552624152</v>
          </cell>
          <cell r="X568">
            <v>8169.1810130211652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J569">
            <v>569</v>
          </cell>
          <cell r="L569" t="str">
            <v>D</v>
          </cell>
          <cell r="M569" t="str">
            <v xml:space="preserve">DA Sch 25 </v>
          </cell>
          <cell r="N569" t="str">
            <v/>
          </cell>
          <cell r="O569">
            <v>5641.2749999999996</v>
          </cell>
          <cell r="P569" t="str">
            <v>D04</v>
          </cell>
          <cell r="R569">
            <v>103414.22297805775</v>
          </cell>
          <cell r="S569">
            <v>0</v>
          </cell>
          <cell r="T569">
            <v>0</v>
          </cell>
          <cell r="U569">
            <v>0</v>
          </cell>
          <cell r="V569">
            <v>103414.22297805775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J570">
            <v>570</v>
          </cell>
          <cell r="L570" t="str">
            <v>D</v>
          </cell>
          <cell r="M570" t="str">
            <v>DA Street and Area Lights</v>
          </cell>
          <cell r="N570" t="str">
            <v/>
          </cell>
          <cell r="O570">
            <v>0</v>
          </cell>
          <cell r="P570" t="str">
            <v>D07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J571">
            <v>571</v>
          </cell>
          <cell r="L571" t="str">
            <v>D</v>
          </cell>
          <cell r="M571" t="str">
            <v>Avg Customers-Secondary</v>
          </cell>
          <cell r="N571" t="str">
            <v/>
          </cell>
          <cell r="O571">
            <v>0</v>
          </cell>
          <cell r="P571" t="str">
            <v>C02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J572">
            <v>572</v>
          </cell>
          <cell r="L572" t="str">
            <v>D</v>
          </cell>
          <cell r="M572" t="str">
            <v>Wt Customers-Meters</v>
          </cell>
          <cell r="N572" t="str">
            <v/>
          </cell>
          <cell r="O572">
            <v>0</v>
          </cell>
          <cell r="P572" t="str">
            <v>C04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J573">
            <v>573</v>
          </cell>
          <cell r="L573" t="str">
            <v>D</v>
          </cell>
          <cell r="M573" t="str">
            <v>DA Street &amp; Area Lights</v>
          </cell>
          <cell r="N573" t="str">
            <v/>
          </cell>
          <cell r="O573">
            <v>0</v>
          </cell>
          <cell r="P573" t="str">
            <v>C05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J574">
            <v>574</v>
          </cell>
          <cell r="L574" t="str">
            <v>D</v>
          </cell>
          <cell r="M574" t="str">
            <v>DA Sch 25I</v>
          </cell>
          <cell r="N574" t="str">
            <v/>
          </cell>
          <cell r="O574">
            <v>0</v>
          </cell>
          <cell r="P574" t="str">
            <v>D05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J575">
            <v>575</v>
          </cell>
          <cell r="L575" t="str">
            <v>D</v>
          </cell>
          <cell r="M575" t="str">
            <v>NCP-Secondary</v>
          </cell>
          <cell r="N575" t="str">
            <v/>
          </cell>
          <cell r="O575">
            <v>0</v>
          </cell>
          <cell r="P575" t="str">
            <v>D06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J576">
            <v>576</v>
          </cell>
          <cell r="L576" t="str">
            <v>D</v>
          </cell>
          <cell r="M576" t="str">
            <v>NCP-Primary</v>
          </cell>
          <cell r="N576" t="str">
            <v/>
          </cell>
          <cell r="O576">
            <v>0</v>
          </cell>
          <cell r="P576" t="str">
            <v>D08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J577">
            <v>577</v>
          </cell>
          <cell r="K577">
            <v>363</v>
          </cell>
          <cell r="L577" t="str">
            <v>Storage Battery Equipment Depr Exp</v>
          </cell>
          <cell r="O577" t="str">
            <v>X01</v>
          </cell>
          <cell r="P577" t="str">
            <v/>
          </cell>
          <cell r="Q577">
            <v>0</v>
          </cell>
        </row>
        <row r="578">
          <cell r="J578">
            <v>578</v>
          </cell>
          <cell r="L578" t="str">
            <v>D</v>
          </cell>
          <cell r="M578" t="str">
            <v>NCP-All</v>
          </cell>
          <cell r="N578" t="str">
            <v/>
          </cell>
          <cell r="O578">
            <v>0</v>
          </cell>
          <cell r="P578" t="str">
            <v>D02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J579">
            <v>579</v>
          </cell>
          <cell r="L579" t="str">
            <v>D</v>
          </cell>
          <cell r="M579" t="str">
            <v>NCP-w/o DA</v>
          </cell>
          <cell r="N579" t="str">
            <v/>
          </cell>
          <cell r="O579">
            <v>0</v>
          </cell>
          <cell r="P579" t="str">
            <v>D03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J580">
            <v>580</v>
          </cell>
          <cell r="L580" t="str">
            <v>D</v>
          </cell>
          <cell r="M580" t="str">
            <v xml:space="preserve">DA Sch 25 </v>
          </cell>
          <cell r="N580" t="str">
            <v/>
          </cell>
          <cell r="O580">
            <v>0</v>
          </cell>
          <cell r="P580" t="str">
            <v>D04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J581">
            <v>581</v>
          </cell>
          <cell r="L581" t="str">
            <v>D</v>
          </cell>
          <cell r="M581" t="str">
            <v>DA Street and Area Lights</v>
          </cell>
          <cell r="N581" t="str">
            <v/>
          </cell>
          <cell r="O581">
            <v>0</v>
          </cell>
          <cell r="P581" t="str">
            <v>D07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J582">
            <v>582</v>
          </cell>
          <cell r="L582" t="str">
            <v>D</v>
          </cell>
          <cell r="M582" t="str">
            <v>Avg Customers-Secondary</v>
          </cell>
          <cell r="N582" t="str">
            <v/>
          </cell>
          <cell r="O582">
            <v>0</v>
          </cell>
          <cell r="P582" t="str">
            <v>C02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J583">
            <v>583</v>
          </cell>
          <cell r="L583" t="str">
            <v>D</v>
          </cell>
          <cell r="M583" t="str">
            <v>Wt Customers-Meters</v>
          </cell>
          <cell r="N583" t="str">
            <v/>
          </cell>
          <cell r="O583">
            <v>0</v>
          </cell>
          <cell r="P583" t="str">
            <v>C04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J584">
            <v>584</v>
          </cell>
          <cell r="L584" t="str">
            <v>D</v>
          </cell>
          <cell r="M584" t="str">
            <v>DA Street &amp; Area Lights</v>
          </cell>
          <cell r="N584" t="str">
            <v/>
          </cell>
          <cell r="O584">
            <v>0</v>
          </cell>
          <cell r="P584" t="str">
            <v>C05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J585">
            <v>585</v>
          </cell>
          <cell r="L585" t="str">
            <v>D</v>
          </cell>
          <cell r="M585" t="str">
            <v>DA Sch 25I</v>
          </cell>
          <cell r="N585" t="str">
            <v/>
          </cell>
          <cell r="O585">
            <v>0</v>
          </cell>
          <cell r="P585" t="str">
            <v>D05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J586">
            <v>586</v>
          </cell>
          <cell r="L586" t="str">
            <v>D</v>
          </cell>
          <cell r="M586" t="str">
            <v>NCP-Secondary</v>
          </cell>
          <cell r="N586" t="str">
            <v/>
          </cell>
          <cell r="O586">
            <v>0</v>
          </cell>
          <cell r="P586" t="str">
            <v>D06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J587">
            <v>587</v>
          </cell>
          <cell r="L587" t="str">
            <v>D</v>
          </cell>
          <cell r="M587" t="str">
            <v>NCP-Primary</v>
          </cell>
          <cell r="N587" t="str">
            <v/>
          </cell>
          <cell r="O587">
            <v>100</v>
          </cell>
          <cell r="P587" t="str">
            <v>D08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J588">
            <v>588</v>
          </cell>
          <cell r="K588">
            <v>364</v>
          </cell>
          <cell r="L588" t="str">
            <v>Poles, Towers &amp; Fixtures Depr Exp</v>
          </cell>
          <cell r="O588" t="str">
            <v>X05</v>
          </cell>
          <cell r="P588" t="str">
            <v/>
          </cell>
          <cell r="Q588">
            <v>3304000</v>
          </cell>
        </row>
        <row r="589">
          <cell r="J589">
            <v>589</v>
          </cell>
          <cell r="L589" t="str">
            <v>D</v>
          </cell>
          <cell r="M589" t="str">
            <v>NCP-All</v>
          </cell>
          <cell r="N589" t="str">
            <v/>
          </cell>
          <cell r="O589">
            <v>0</v>
          </cell>
          <cell r="P589" t="str">
            <v>D02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J590">
            <v>590</v>
          </cell>
          <cell r="L590" t="str">
            <v>D</v>
          </cell>
          <cell r="M590" t="str">
            <v>NCP-w/o DA</v>
          </cell>
          <cell r="N590" t="str">
            <v/>
          </cell>
          <cell r="O590">
            <v>87.16</v>
          </cell>
          <cell r="P590" t="str">
            <v>D03</v>
          </cell>
          <cell r="R590">
            <v>2879766.3999999994</v>
          </cell>
          <cell r="S590">
            <v>1579847.1667903559</v>
          </cell>
          <cell r="T590">
            <v>326681.12508479529</v>
          </cell>
          <cell r="U590">
            <v>873108.8542410786</v>
          </cell>
          <cell r="V590">
            <v>0</v>
          </cell>
          <cell r="W590">
            <v>79788.926807129566</v>
          </cell>
          <cell r="X590">
            <v>20340.327076640155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J591">
            <v>591</v>
          </cell>
          <cell r="L591" t="str">
            <v>D</v>
          </cell>
          <cell r="M591" t="str">
            <v xml:space="preserve">DA Sch 25 </v>
          </cell>
          <cell r="N591" t="str">
            <v/>
          </cell>
          <cell r="O591">
            <v>4.6500000000000004</v>
          </cell>
          <cell r="P591" t="str">
            <v>D04</v>
          </cell>
          <cell r="R591">
            <v>153636</v>
          </cell>
          <cell r="S591">
            <v>0</v>
          </cell>
          <cell r="T591">
            <v>0</v>
          </cell>
          <cell r="U591">
            <v>0</v>
          </cell>
          <cell r="V591">
            <v>153636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J592">
            <v>592</v>
          </cell>
          <cell r="L592" t="str">
            <v>D</v>
          </cell>
          <cell r="M592" t="str">
            <v>DA Street and Area Lights</v>
          </cell>
          <cell r="N592" t="str">
            <v/>
          </cell>
          <cell r="O592">
            <v>7.68</v>
          </cell>
          <cell r="P592" t="str">
            <v>D07</v>
          </cell>
          <cell r="R592">
            <v>253747.19999999995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253747.19999999995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J593">
            <v>593</v>
          </cell>
          <cell r="L593" t="str">
            <v>D</v>
          </cell>
          <cell r="M593" t="str">
            <v>Avg Customers-Secondary</v>
          </cell>
          <cell r="N593" t="str">
            <v/>
          </cell>
          <cell r="O593">
            <v>0</v>
          </cell>
          <cell r="P593" t="str">
            <v>C02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J594">
            <v>594</v>
          </cell>
          <cell r="L594" t="str">
            <v>D</v>
          </cell>
          <cell r="M594" t="str">
            <v>Wt Customers-Meters</v>
          </cell>
          <cell r="N594" t="str">
            <v/>
          </cell>
          <cell r="O594">
            <v>0</v>
          </cell>
          <cell r="P594" t="str">
            <v>C04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J595">
            <v>595</v>
          </cell>
          <cell r="L595" t="str">
            <v>D</v>
          </cell>
          <cell r="M595" t="str">
            <v>DA Street &amp; Area Lights</v>
          </cell>
          <cell r="N595" t="str">
            <v/>
          </cell>
          <cell r="O595">
            <v>0</v>
          </cell>
          <cell r="P595" t="str">
            <v>C05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J596">
            <v>596</v>
          </cell>
          <cell r="L596" t="str">
            <v>D</v>
          </cell>
          <cell r="M596" t="str">
            <v>DA Sch 25I</v>
          </cell>
          <cell r="N596" t="str">
            <v/>
          </cell>
          <cell r="O596">
            <v>0</v>
          </cell>
          <cell r="P596" t="str">
            <v>D05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J597">
            <v>597</v>
          </cell>
          <cell r="L597" t="str">
            <v>D</v>
          </cell>
          <cell r="M597" t="str">
            <v>NCP-Secondary</v>
          </cell>
          <cell r="N597" t="str">
            <v/>
          </cell>
          <cell r="O597">
            <v>0.51</v>
          </cell>
          <cell r="P597" t="str">
            <v>D06</v>
          </cell>
          <cell r="R597">
            <v>16850.399999999998</v>
          </cell>
          <cell r="S597">
            <v>9454.144143596799</v>
          </cell>
          <cell r="T597">
            <v>1954.9298884515899</v>
          </cell>
          <cell r="U597">
            <v>4842.1310463750115</v>
          </cell>
          <cell r="V597">
            <v>0</v>
          </cell>
          <cell r="W597">
            <v>477.47404366336229</v>
          </cell>
          <cell r="X597">
            <v>121.72087791323614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J598">
            <v>598</v>
          </cell>
          <cell r="L598" t="str">
            <v>D</v>
          </cell>
          <cell r="M598" t="str">
            <v>NCP-Primary</v>
          </cell>
          <cell r="N598" t="str">
            <v/>
          </cell>
          <cell r="O598">
            <v>0</v>
          </cell>
          <cell r="P598" t="str">
            <v>D08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J599">
            <v>599</v>
          </cell>
          <cell r="K599">
            <v>365</v>
          </cell>
          <cell r="L599" t="str">
            <v>Overhead Conductors &amp; Devices Depr Exp</v>
          </cell>
          <cell r="O599" t="str">
            <v>X06</v>
          </cell>
          <cell r="P599" t="str">
            <v/>
          </cell>
          <cell r="Q599">
            <v>2681000</v>
          </cell>
        </row>
        <row r="600">
          <cell r="J600">
            <v>600</v>
          </cell>
          <cell r="L600" t="str">
            <v>D</v>
          </cell>
          <cell r="M600" t="str">
            <v>NCP-All</v>
          </cell>
          <cell r="N600" t="str">
            <v/>
          </cell>
          <cell r="O600">
            <v>0</v>
          </cell>
          <cell r="P600" t="str">
            <v>D02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J601">
            <v>601</v>
          </cell>
          <cell r="L601" t="str">
            <v>D</v>
          </cell>
          <cell r="M601" t="str">
            <v>NCP-w/o DA</v>
          </cell>
          <cell r="N601" t="str">
            <v/>
          </cell>
          <cell r="O601">
            <v>94.63</v>
          </cell>
          <cell r="P601" t="str">
            <v>D03</v>
          </cell>
          <cell r="R601">
            <v>2537030.2999999998</v>
          </cell>
          <cell r="S601">
            <v>1391821.2711684832</v>
          </cell>
          <cell r="T601">
            <v>287801.09135873517</v>
          </cell>
          <cell r="U601">
            <v>769195.59114513604</v>
          </cell>
          <cell r="V601">
            <v>0</v>
          </cell>
          <cell r="W601">
            <v>70292.828235710374</v>
          </cell>
          <cell r="X601">
            <v>17919.518091934991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J602">
            <v>602</v>
          </cell>
          <cell r="L602" t="str">
            <v>D</v>
          </cell>
          <cell r="M602" t="str">
            <v xml:space="preserve">DA Sch 25 </v>
          </cell>
          <cell r="N602" t="str">
            <v/>
          </cell>
          <cell r="O602">
            <v>5.0599999999999996</v>
          </cell>
          <cell r="P602" t="str">
            <v>D04</v>
          </cell>
          <cell r="R602">
            <v>135658.59999999998</v>
          </cell>
          <cell r="S602">
            <v>0</v>
          </cell>
          <cell r="T602">
            <v>0</v>
          </cell>
          <cell r="U602">
            <v>0</v>
          </cell>
          <cell r="V602">
            <v>135658.59999999998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J603">
            <v>603</v>
          </cell>
          <cell r="L603" t="str">
            <v>D</v>
          </cell>
          <cell r="M603" t="str">
            <v>DA Street and Area Lights</v>
          </cell>
          <cell r="N603" t="str">
            <v/>
          </cell>
          <cell r="O603">
            <v>0</v>
          </cell>
          <cell r="P603" t="str">
            <v>D07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J604">
            <v>604</v>
          </cell>
          <cell r="L604" t="str">
            <v>D</v>
          </cell>
          <cell r="M604" t="str">
            <v>Avg Customers-Secondary</v>
          </cell>
          <cell r="N604" t="str">
            <v/>
          </cell>
          <cell r="O604">
            <v>0</v>
          </cell>
          <cell r="P604" t="str">
            <v>C02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J605">
            <v>605</v>
          </cell>
          <cell r="L605" t="str">
            <v>D</v>
          </cell>
          <cell r="M605" t="str">
            <v>Wt Customers-Meters</v>
          </cell>
          <cell r="N605" t="str">
            <v/>
          </cell>
          <cell r="O605">
            <v>0</v>
          </cell>
          <cell r="P605" t="str">
            <v>C04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J606">
            <v>606</v>
          </cell>
          <cell r="L606" t="str">
            <v>D</v>
          </cell>
          <cell r="M606" t="str">
            <v>DA Street &amp; Area Lights</v>
          </cell>
          <cell r="N606" t="str">
            <v/>
          </cell>
          <cell r="O606">
            <v>0</v>
          </cell>
          <cell r="P606" t="str">
            <v>C05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J607">
            <v>607</v>
          </cell>
          <cell r="L607" t="str">
            <v>D</v>
          </cell>
          <cell r="M607" t="str">
            <v>DA Sch 25I</v>
          </cell>
          <cell r="N607" t="str">
            <v/>
          </cell>
          <cell r="O607">
            <v>0</v>
          </cell>
          <cell r="P607" t="str">
            <v>D05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J608">
            <v>608</v>
          </cell>
          <cell r="L608" t="str">
            <v>D</v>
          </cell>
          <cell r="M608" t="str">
            <v>NCP-Secondary</v>
          </cell>
          <cell r="N608" t="str">
            <v/>
          </cell>
          <cell r="O608">
            <v>0.31</v>
          </cell>
          <cell r="P608" t="str">
            <v>D06</v>
          </cell>
          <cell r="R608">
            <v>8311.1</v>
          </cell>
          <cell r="S608">
            <v>4663.054728187305</v>
          </cell>
          <cell r="T608">
            <v>964.2274246255289</v>
          </cell>
          <cell r="U608">
            <v>2388.2777464942887</v>
          </cell>
          <cell r="V608">
            <v>0</v>
          </cell>
          <cell r="W608">
            <v>235.50387672046782</v>
          </cell>
          <cell r="X608">
            <v>60.036223972409978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J609">
            <v>609</v>
          </cell>
          <cell r="L609" t="str">
            <v>D</v>
          </cell>
          <cell r="M609" t="str">
            <v>NCP-Primary</v>
          </cell>
          <cell r="N609" t="str">
            <v/>
          </cell>
          <cell r="O609">
            <v>0</v>
          </cell>
          <cell r="P609" t="str">
            <v>D08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J610">
            <v>610</v>
          </cell>
          <cell r="K610">
            <v>366</v>
          </cell>
          <cell r="L610" t="str">
            <v>Underground Conduit Depr Exp</v>
          </cell>
          <cell r="O610" t="str">
            <v>X07</v>
          </cell>
          <cell r="P610" t="str">
            <v/>
          </cell>
          <cell r="Q610">
            <v>1335000</v>
          </cell>
        </row>
        <row r="611">
          <cell r="J611">
            <v>611</v>
          </cell>
          <cell r="L611" t="str">
            <v>D</v>
          </cell>
          <cell r="M611" t="str">
            <v>NCP-All</v>
          </cell>
          <cell r="N611" t="str">
            <v/>
          </cell>
          <cell r="O611">
            <v>0</v>
          </cell>
          <cell r="P611" t="str">
            <v>D02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J612">
            <v>612</v>
          </cell>
          <cell r="L612" t="str">
            <v>D</v>
          </cell>
          <cell r="M612" t="str">
            <v>NCP-w/o DA</v>
          </cell>
          <cell r="N612" t="str">
            <v/>
          </cell>
          <cell r="O612">
            <v>73.58</v>
          </cell>
          <cell r="P612" t="str">
            <v>D03</v>
          </cell>
          <cell r="R612">
            <v>982293</v>
          </cell>
          <cell r="S612">
            <v>538888.43657874444</v>
          </cell>
          <cell r="T612">
            <v>111431.46277521639</v>
          </cell>
          <cell r="U612">
            <v>297818.84938966995</v>
          </cell>
          <cell r="V612">
            <v>0</v>
          </cell>
          <cell r="W612">
            <v>27216.132628033905</v>
          </cell>
          <cell r="X612">
            <v>6938.1186283353027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J613">
            <v>613</v>
          </cell>
          <cell r="L613" t="str">
            <v>D</v>
          </cell>
          <cell r="M613" t="str">
            <v xml:space="preserve">DA Sch 25 </v>
          </cell>
          <cell r="N613" t="str">
            <v/>
          </cell>
          <cell r="O613">
            <v>5.0599999999999996</v>
          </cell>
          <cell r="P613" t="str">
            <v>D04</v>
          </cell>
          <cell r="R613">
            <v>67550.999999999985</v>
          </cell>
          <cell r="S613">
            <v>0</v>
          </cell>
          <cell r="T613">
            <v>0</v>
          </cell>
          <cell r="U613">
            <v>0</v>
          </cell>
          <cell r="V613">
            <v>67550.999999999985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J614">
            <v>614</v>
          </cell>
          <cell r="L614" t="str">
            <v>D</v>
          </cell>
          <cell r="M614" t="str">
            <v>DA Street and Area Lights</v>
          </cell>
          <cell r="N614" t="str">
            <v/>
          </cell>
          <cell r="O614">
            <v>0</v>
          </cell>
          <cell r="P614" t="str">
            <v>D07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J615">
            <v>615</v>
          </cell>
          <cell r="L615" t="str">
            <v>D</v>
          </cell>
          <cell r="M615" t="str">
            <v>Avg Customers-Secondary</v>
          </cell>
          <cell r="N615" t="str">
            <v/>
          </cell>
          <cell r="O615">
            <v>0</v>
          </cell>
          <cell r="P615" t="str">
            <v>C02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J616">
            <v>616</v>
          </cell>
          <cell r="L616" t="str">
            <v>D</v>
          </cell>
          <cell r="M616" t="str">
            <v>Wt Customers-Meters</v>
          </cell>
          <cell r="N616" t="str">
            <v/>
          </cell>
          <cell r="O616">
            <v>0</v>
          </cell>
          <cell r="P616" t="str">
            <v>C04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J617">
            <v>617</v>
          </cell>
          <cell r="L617" t="str">
            <v>D</v>
          </cell>
          <cell r="M617" t="str">
            <v>DA Street &amp; Area Lights</v>
          </cell>
          <cell r="N617" t="str">
            <v/>
          </cell>
          <cell r="O617">
            <v>0</v>
          </cell>
          <cell r="P617" t="str">
            <v>C05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J618">
            <v>618</v>
          </cell>
          <cell r="L618" t="str">
            <v>D</v>
          </cell>
          <cell r="M618" t="str">
            <v>DA Sch 25I</v>
          </cell>
          <cell r="N618" t="str">
            <v/>
          </cell>
          <cell r="O618">
            <v>0</v>
          </cell>
          <cell r="P618" t="str">
            <v>D05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J619">
            <v>619</v>
          </cell>
          <cell r="L619" t="str">
            <v>D</v>
          </cell>
          <cell r="M619" t="str">
            <v>NCP-Secondary</v>
          </cell>
          <cell r="N619" t="str">
            <v/>
          </cell>
          <cell r="O619">
            <v>21.36</v>
          </cell>
          <cell r="P619" t="str">
            <v>D06</v>
          </cell>
          <cell r="R619">
            <v>285156</v>
          </cell>
          <cell r="S619">
            <v>159990.61906017005</v>
          </cell>
          <cell r="T619">
            <v>33082.893419224565</v>
          </cell>
          <cell r="U619">
            <v>81942.429892472166</v>
          </cell>
          <cell r="V619">
            <v>0</v>
          </cell>
          <cell r="W619">
            <v>8080.1991878453773</v>
          </cell>
          <cell r="X619">
            <v>2059.8584402878728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J620">
            <v>620</v>
          </cell>
          <cell r="L620" t="str">
            <v>D</v>
          </cell>
          <cell r="M620" t="str">
            <v>NCP-Primary</v>
          </cell>
          <cell r="N620" t="str">
            <v/>
          </cell>
          <cell r="O620">
            <v>0</v>
          </cell>
          <cell r="P620" t="str">
            <v>D08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J621">
            <v>621</v>
          </cell>
          <cell r="K621">
            <v>367</v>
          </cell>
          <cell r="L621" t="str">
            <v>Underground Conductors &amp; Devices Depr Exp</v>
          </cell>
          <cell r="O621" t="str">
            <v>X08</v>
          </cell>
          <cell r="P621" t="str">
            <v/>
          </cell>
          <cell r="Q621">
            <v>4778000</v>
          </cell>
        </row>
        <row r="622">
          <cell r="J622">
            <v>622</v>
          </cell>
          <cell r="L622" t="str">
            <v>D</v>
          </cell>
          <cell r="M622" t="str">
            <v>NCP-All</v>
          </cell>
          <cell r="N622" t="str">
            <v/>
          </cell>
          <cell r="O622">
            <v>0</v>
          </cell>
          <cell r="P622" t="str">
            <v>D02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J623">
            <v>623</v>
          </cell>
          <cell r="L623" t="str">
            <v>D</v>
          </cell>
          <cell r="M623" t="str">
            <v>NCP-w/o DA</v>
          </cell>
          <cell r="N623" t="str">
            <v/>
          </cell>
          <cell r="O623">
            <v>75.790000000000006</v>
          </cell>
          <cell r="P623" t="str">
            <v>D03</v>
          </cell>
          <cell r="R623">
            <v>3621246.2000000007</v>
          </cell>
          <cell r="S623">
            <v>1986624.8697534441</v>
          </cell>
          <cell r="T623">
            <v>410794.70294015523</v>
          </cell>
          <cell r="U623">
            <v>1097916.1784118535</v>
          </cell>
          <cell r="V623">
            <v>0</v>
          </cell>
          <cell r="W623">
            <v>100332.91172589423</v>
          </cell>
          <cell r="X623">
            <v>25577.537168653784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J624">
            <v>624</v>
          </cell>
          <cell r="L624" t="str">
            <v>D</v>
          </cell>
          <cell r="M624" t="str">
            <v xml:space="preserve">DA Sch 25 </v>
          </cell>
          <cell r="N624" t="str">
            <v/>
          </cell>
          <cell r="O624">
            <v>5.46</v>
          </cell>
          <cell r="P624" t="str">
            <v>D04</v>
          </cell>
          <cell r="R624">
            <v>260878.8</v>
          </cell>
          <cell r="S624">
            <v>0</v>
          </cell>
          <cell r="T624">
            <v>0</v>
          </cell>
          <cell r="U624">
            <v>0</v>
          </cell>
          <cell r="V624">
            <v>260878.8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</row>
        <row r="625">
          <cell r="J625">
            <v>625</v>
          </cell>
          <cell r="L625" t="str">
            <v>D</v>
          </cell>
          <cell r="M625" t="str">
            <v>DA Street and Area Lights</v>
          </cell>
          <cell r="N625" t="str">
            <v/>
          </cell>
          <cell r="O625">
            <v>0</v>
          </cell>
          <cell r="P625" t="str">
            <v>D07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J626">
            <v>626</v>
          </cell>
          <cell r="L626" t="str">
            <v>D</v>
          </cell>
          <cell r="M626" t="str">
            <v>Avg Customers-Secondary</v>
          </cell>
          <cell r="N626" t="str">
            <v/>
          </cell>
          <cell r="O626">
            <v>0</v>
          </cell>
          <cell r="P626" t="str">
            <v>C02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J627">
            <v>627</v>
          </cell>
          <cell r="L627" t="str">
            <v>D</v>
          </cell>
          <cell r="M627" t="str">
            <v>Wt Customers-Meters</v>
          </cell>
          <cell r="N627" t="str">
            <v/>
          </cell>
          <cell r="O627">
            <v>0</v>
          </cell>
          <cell r="P627" t="str">
            <v>C04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J628">
            <v>628</v>
          </cell>
          <cell r="L628" t="str">
            <v>D</v>
          </cell>
          <cell r="M628" t="str">
            <v>DA Street &amp; Area Lights</v>
          </cell>
          <cell r="N628" t="str">
            <v/>
          </cell>
          <cell r="O628">
            <v>0</v>
          </cell>
          <cell r="P628" t="str">
            <v>C05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</row>
        <row r="629">
          <cell r="J629">
            <v>629</v>
          </cell>
          <cell r="L629" t="str">
            <v>D</v>
          </cell>
          <cell r="M629" t="str">
            <v>DA Sch 25I</v>
          </cell>
          <cell r="N629" t="str">
            <v/>
          </cell>
          <cell r="O629">
            <v>0</v>
          </cell>
          <cell r="P629" t="str">
            <v>D05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J630">
            <v>630</v>
          </cell>
          <cell r="L630" t="str">
            <v>D</v>
          </cell>
          <cell r="M630" t="str">
            <v>NCP-Secondary</v>
          </cell>
          <cell r="N630" t="str">
            <v/>
          </cell>
          <cell r="O630">
            <v>18.75</v>
          </cell>
          <cell r="P630" t="str">
            <v>D06</v>
          </cell>
          <cell r="R630">
            <v>895875</v>
          </cell>
          <cell r="S630">
            <v>502642.74940919998</v>
          </cell>
          <cell r="T630">
            <v>103936.57205861987</v>
          </cell>
          <cell r="U630">
            <v>257438.6454429102</v>
          </cell>
          <cell r="V630">
            <v>0</v>
          </cell>
          <cell r="W630">
            <v>25385.572975532614</v>
          </cell>
          <cell r="X630">
            <v>6471.4601137373857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J631">
            <v>631</v>
          </cell>
          <cell r="L631" t="str">
            <v>D</v>
          </cell>
          <cell r="M631" t="str">
            <v>NCP-Primary</v>
          </cell>
          <cell r="N631" t="str">
            <v/>
          </cell>
          <cell r="O631">
            <v>0</v>
          </cell>
          <cell r="P631" t="str">
            <v>D08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J632">
            <v>632</v>
          </cell>
          <cell r="K632">
            <v>368</v>
          </cell>
          <cell r="L632" t="str">
            <v>Line Transformers Depr Exp</v>
          </cell>
          <cell r="O632" t="str">
            <v>X09</v>
          </cell>
          <cell r="P632" t="str">
            <v/>
          </cell>
          <cell r="Q632">
            <v>2572000</v>
          </cell>
        </row>
        <row r="633">
          <cell r="J633">
            <v>633</v>
          </cell>
          <cell r="L633" t="str">
            <v>D</v>
          </cell>
          <cell r="M633" t="str">
            <v>NCP-All</v>
          </cell>
          <cell r="N633" t="str">
            <v/>
          </cell>
          <cell r="O633">
            <v>0</v>
          </cell>
          <cell r="P633" t="str">
            <v>D02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J634">
            <v>634</v>
          </cell>
          <cell r="L634" t="str">
            <v>D</v>
          </cell>
          <cell r="M634" t="str">
            <v>NCP-w/o DA</v>
          </cell>
          <cell r="N634" t="str">
            <v/>
          </cell>
          <cell r="O634">
            <v>0</v>
          </cell>
          <cell r="P634" t="str">
            <v>D03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J635">
            <v>635</v>
          </cell>
          <cell r="L635" t="str">
            <v>D</v>
          </cell>
          <cell r="M635" t="str">
            <v xml:space="preserve">DA Sch 25 </v>
          </cell>
          <cell r="N635" t="str">
            <v/>
          </cell>
          <cell r="O635">
            <v>0</v>
          </cell>
          <cell r="P635" t="str">
            <v>D04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J636">
            <v>636</v>
          </cell>
          <cell r="L636" t="str">
            <v>D</v>
          </cell>
          <cell r="M636" t="str">
            <v>DA Street and Area Lights</v>
          </cell>
          <cell r="N636" t="str">
            <v/>
          </cell>
          <cell r="O636">
            <v>0</v>
          </cell>
          <cell r="P636" t="str">
            <v>D07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J637">
            <v>637</v>
          </cell>
          <cell r="L637" t="str">
            <v>D</v>
          </cell>
          <cell r="M637" t="str">
            <v>Avg Customers-Secondary</v>
          </cell>
          <cell r="N637" t="str">
            <v/>
          </cell>
          <cell r="O637">
            <v>0</v>
          </cell>
          <cell r="P637" t="str">
            <v>C02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J638">
            <v>638</v>
          </cell>
          <cell r="L638" t="str">
            <v>D</v>
          </cell>
          <cell r="M638" t="str">
            <v>Wt Customers-Meters</v>
          </cell>
          <cell r="N638" t="str">
            <v/>
          </cell>
          <cell r="O638">
            <v>0</v>
          </cell>
          <cell r="P638" t="str">
            <v>C04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J639">
            <v>639</v>
          </cell>
          <cell r="L639" t="str">
            <v>D</v>
          </cell>
          <cell r="M639" t="str">
            <v>DA Street &amp; Area Lights</v>
          </cell>
          <cell r="N639" t="str">
            <v/>
          </cell>
          <cell r="O639">
            <v>0</v>
          </cell>
          <cell r="P639" t="str">
            <v>C05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J640">
            <v>640</v>
          </cell>
          <cell r="L640" t="str">
            <v>D</v>
          </cell>
          <cell r="M640" t="str">
            <v>DA Sch 25I</v>
          </cell>
          <cell r="N640" t="str">
            <v/>
          </cell>
          <cell r="O640">
            <v>0</v>
          </cell>
          <cell r="P640" t="str">
            <v>D05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J641">
            <v>641</v>
          </cell>
          <cell r="L641" t="str">
            <v>D</v>
          </cell>
          <cell r="M641" t="str">
            <v>NCP-Secondary</v>
          </cell>
          <cell r="N641" t="str">
            <v/>
          </cell>
          <cell r="O641">
            <v>100</v>
          </cell>
          <cell r="P641" t="str">
            <v>D06</v>
          </cell>
          <cell r="R641">
            <v>2572000</v>
          </cell>
          <cell r="S641">
            <v>1443055.2828022463</v>
          </cell>
          <cell r="T641">
            <v>298395.27091923571</v>
          </cell>
          <cell r="U641">
            <v>739089.93562624813</v>
          </cell>
          <cell r="V641">
            <v>0</v>
          </cell>
          <cell r="W641">
            <v>72880.361314993585</v>
          </cell>
          <cell r="X641">
            <v>18579.149337276467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J642">
            <v>642</v>
          </cell>
          <cell r="L642" t="str">
            <v>D</v>
          </cell>
          <cell r="M642" t="str">
            <v>NCP-Primary</v>
          </cell>
          <cell r="N642" t="str">
            <v/>
          </cell>
          <cell r="O642">
            <v>0</v>
          </cell>
          <cell r="P642" t="str">
            <v>D08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</row>
        <row r="643">
          <cell r="J643">
            <v>643</v>
          </cell>
          <cell r="K643">
            <v>369</v>
          </cell>
          <cell r="L643" t="str">
            <v>Services Depr Exp</v>
          </cell>
          <cell r="O643" t="str">
            <v>X10</v>
          </cell>
          <cell r="P643" t="str">
            <v/>
          </cell>
          <cell r="Q643">
            <v>2073000</v>
          </cell>
        </row>
        <row r="644">
          <cell r="J644">
            <v>644</v>
          </cell>
          <cell r="L644" t="str">
            <v>D</v>
          </cell>
          <cell r="M644" t="str">
            <v>NCP-All</v>
          </cell>
          <cell r="N644" t="str">
            <v/>
          </cell>
          <cell r="O644">
            <v>0</v>
          </cell>
          <cell r="P644" t="str">
            <v>D02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J645">
            <v>645</v>
          </cell>
          <cell r="L645" t="str">
            <v>D</v>
          </cell>
          <cell r="M645" t="str">
            <v>NCP-w/o DA</v>
          </cell>
          <cell r="N645" t="str">
            <v/>
          </cell>
          <cell r="O645">
            <v>0</v>
          </cell>
          <cell r="P645" t="str">
            <v>D03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J646">
            <v>646</v>
          </cell>
          <cell r="L646" t="str">
            <v>D</v>
          </cell>
          <cell r="M646" t="str">
            <v xml:space="preserve">DA Sch 25 </v>
          </cell>
          <cell r="N646" t="str">
            <v/>
          </cell>
          <cell r="O646">
            <v>0</v>
          </cell>
          <cell r="P646" t="str">
            <v>D04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J647">
            <v>647</v>
          </cell>
          <cell r="L647" t="str">
            <v>D</v>
          </cell>
          <cell r="M647" t="str">
            <v>DA Street and Area Lights</v>
          </cell>
          <cell r="N647" t="str">
            <v/>
          </cell>
          <cell r="O647">
            <v>0</v>
          </cell>
          <cell r="P647" t="str">
            <v>D07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J648">
            <v>648</v>
          </cell>
          <cell r="L648" t="str">
            <v>D</v>
          </cell>
          <cell r="M648" t="str">
            <v>Avg Customers-Secondary</v>
          </cell>
          <cell r="N648" t="str">
            <v/>
          </cell>
          <cell r="O648">
            <v>100</v>
          </cell>
          <cell r="P648" t="str">
            <v>C02</v>
          </cell>
          <cell r="R648">
            <v>2073000</v>
          </cell>
          <cell r="S648">
            <v>1778499.9980480263</v>
          </cell>
          <cell r="T648">
            <v>249949.41832960033</v>
          </cell>
          <cell r="U648">
            <v>23359.738094824039</v>
          </cell>
          <cell r="V648">
            <v>0</v>
          </cell>
          <cell r="W648">
            <v>21190.845527549267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J649">
            <v>649</v>
          </cell>
          <cell r="L649" t="str">
            <v>D</v>
          </cell>
          <cell r="M649" t="str">
            <v>Wt Customers-Meters</v>
          </cell>
          <cell r="N649" t="str">
            <v/>
          </cell>
          <cell r="O649">
            <v>0</v>
          </cell>
          <cell r="P649" t="str">
            <v>C04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J650">
            <v>650</v>
          </cell>
          <cell r="L650" t="str">
            <v>D</v>
          </cell>
          <cell r="M650" t="str">
            <v>DA Street &amp; Area Lights</v>
          </cell>
          <cell r="N650" t="str">
            <v/>
          </cell>
          <cell r="O650">
            <v>0</v>
          </cell>
          <cell r="P650" t="str">
            <v>C05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J651">
            <v>651</v>
          </cell>
          <cell r="L651" t="str">
            <v>D</v>
          </cell>
          <cell r="M651" t="str">
            <v>DA Sch 25I</v>
          </cell>
          <cell r="N651" t="str">
            <v/>
          </cell>
          <cell r="O651">
            <v>0</v>
          </cell>
          <cell r="P651" t="str">
            <v>D05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J652">
            <v>652</v>
          </cell>
          <cell r="L652" t="str">
            <v>D</v>
          </cell>
          <cell r="M652" t="str">
            <v>NCP-Secondary</v>
          </cell>
          <cell r="N652" t="str">
            <v/>
          </cell>
          <cell r="O652">
            <v>0</v>
          </cell>
          <cell r="P652" t="str">
            <v>D06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J653">
            <v>653</v>
          </cell>
          <cell r="L653" t="str">
            <v>D</v>
          </cell>
          <cell r="M653" t="str">
            <v>NCP-Primary</v>
          </cell>
          <cell r="N653" t="str">
            <v/>
          </cell>
          <cell r="O653">
            <v>0</v>
          </cell>
          <cell r="P653" t="str">
            <v>D08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J654">
            <v>654</v>
          </cell>
          <cell r="K654">
            <v>370</v>
          </cell>
          <cell r="L654" t="str">
            <v>Meters Depr Exp</v>
          </cell>
          <cell r="O654" t="str">
            <v>X11</v>
          </cell>
          <cell r="P654" t="str">
            <v/>
          </cell>
          <cell r="Q654">
            <v>1009000</v>
          </cell>
        </row>
        <row r="655">
          <cell r="J655">
            <v>655</v>
          </cell>
          <cell r="L655" t="str">
            <v>D</v>
          </cell>
          <cell r="M655" t="str">
            <v>NCP-All</v>
          </cell>
          <cell r="N655" t="str">
            <v/>
          </cell>
          <cell r="O655">
            <v>0</v>
          </cell>
          <cell r="P655" t="str">
            <v>D02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J656">
            <v>656</v>
          </cell>
          <cell r="L656" t="str">
            <v>D</v>
          </cell>
          <cell r="M656" t="str">
            <v>NCP-w/o DA</v>
          </cell>
          <cell r="N656" t="str">
            <v/>
          </cell>
          <cell r="O656">
            <v>0</v>
          </cell>
          <cell r="P656" t="str">
            <v>D03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</row>
        <row r="657">
          <cell r="J657">
            <v>657</v>
          </cell>
          <cell r="L657" t="str">
            <v>D</v>
          </cell>
          <cell r="M657" t="str">
            <v xml:space="preserve">DA Sch 25 </v>
          </cell>
          <cell r="N657" t="str">
            <v/>
          </cell>
          <cell r="O657">
            <v>0</v>
          </cell>
          <cell r="P657" t="str">
            <v>D04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J658">
            <v>658</v>
          </cell>
          <cell r="L658" t="str">
            <v>D</v>
          </cell>
          <cell r="M658" t="str">
            <v>DA Street and Area Lights</v>
          </cell>
          <cell r="N658" t="str">
            <v/>
          </cell>
          <cell r="O658">
            <v>0</v>
          </cell>
          <cell r="P658" t="str">
            <v>D07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J659">
            <v>659</v>
          </cell>
          <cell r="L659" t="str">
            <v>D</v>
          </cell>
          <cell r="M659" t="str">
            <v>Avg Customers-Secondary</v>
          </cell>
          <cell r="N659" t="str">
            <v/>
          </cell>
          <cell r="O659">
            <v>0</v>
          </cell>
          <cell r="P659" t="str">
            <v>C02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J660">
            <v>660</v>
          </cell>
          <cell r="L660" t="str">
            <v>D</v>
          </cell>
          <cell r="M660" t="str">
            <v>Wt Customers-Meters</v>
          </cell>
          <cell r="N660" t="str">
            <v/>
          </cell>
          <cell r="O660">
            <v>100</v>
          </cell>
          <cell r="P660" t="str">
            <v>C04</v>
          </cell>
          <cell r="R660">
            <v>1009000</v>
          </cell>
          <cell r="S660">
            <v>616306.84168577462</v>
          </cell>
          <cell r="T660">
            <v>235593.96119756822</v>
          </cell>
          <cell r="U660">
            <v>117085.78701276665</v>
          </cell>
          <cell r="V660">
            <v>2342.2694389630506</v>
          </cell>
          <cell r="W660">
            <v>37671.140664927574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J661">
            <v>661</v>
          </cell>
          <cell r="L661" t="str">
            <v>D</v>
          </cell>
          <cell r="M661" t="str">
            <v>DA Street &amp; Area Lights</v>
          </cell>
          <cell r="N661" t="str">
            <v/>
          </cell>
          <cell r="O661">
            <v>0</v>
          </cell>
          <cell r="P661" t="str">
            <v>C05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J662">
            <v>662</v>
          </cell>
          <cell r="L662" t="str">
            <v>D</v>
          </cell>
          <cell r="M662" t="str">
            <v>DA Sch 25I</v>
          </cell>
          <cell r="N662" t="str">
            <v/>
          </cell>
          <cell r="O662">
            <v>0</v>
          </cell>
          <cell r="P662" t="str">
            <v>D05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J663">
            <v>663</v>
          </cell>
          <cell r="L663" t="str">
            <v>D</v>
          </cell>
          <cell r="M663" t="str">
            <v>NCP-Secondary</v>
          </cell>
          <cell r="N663" t="str">
            <v/>
          </cell>
          <cell r="O663">
            <v>0</v>
          </cell>
          <cell r="P663" t="str">
            <v>D06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J664">
            <v>664</v>
          </cell>
          <cell r="L664" t="str">
            <v>D</v>
          </cell>
          <cell r="M664" t="str">
            <v>NCP-Primary</v>
          </cell>
          <cell r="N664" t="str">
            <v/>
          </cell>
          <cell r="O664">
            <v>0</v>
          </cell>
          <cell r="P664" t="str">
            <v>D08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J665">
            <v>665</v>
          </cell>
          <cell r="K665">
            <v>371</v>
          </cell>
          <cell r="L665" t="str">
            <v>Installations on Customer Premises Depr Exp</v>
          </cell>
          <cell r="O665" t="str">
            <v>X10</v>
          </cell>
          <cell r="P665" t="str">
            <v/>
          </cell>
          <cell r="Q665">
            <v>0</v>
          </cell>
        </row>
        <row r="666">
          <cell r="J666">
            <v>666</v>
          </cell>
          <cell r="L666" t="str">
            <v>D</v>
          </cell>
          <cell r="M666" t="str">
            <v>NCP-All</v>
          </cell>
          <cell r="N666" t="str">
            <v/>
          </cell>
          <cell r="O666">
            <v>0</v>
          </cell>
          <cell r="P666" t="str">
            <v>D02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J667">
            <v>667</v>
          </cell>
          <cell r="L667" t="str">
            <v>D</v>
          </cell>
          <cell r="M667" t="str">
            <v>NCP-w/o DA</v>
          </cell>
          <cell r="N667" t="str">
            <v/>
          </cell>
          <cell r="O667">
            <v>0</v>
          </cell>
          <cell r="P667" t="str">
            <v>D03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J668">
            <v>668</v>
          </cell>
          <cell r="L668" t="str">
            <v>D</v>
          </cell>
          <cell r="M668" t="str">
            <v xml:space="preserve">DA Sch 25 </v>
          </cell>
          <cell r="N668" t="str">
            <v/>
          </cell>
          <cell r="O668">
            <v>0</v>
          </cell>
          <cell r="P668" t="str">
            <v>D04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J669">
            <v>669</v>
          </cell>
          <cell r="L669" t="str">
            <v>D</v>
          </cell>
          <cell r="M669" t="str">
            <v>DA Street and Area Lights</v>
          </cell>
          <cell r="N669" t="str">
            <v/>
          </cell>
          <cell r="O669">
            <v>0</v>
          </cell>
          <cell r="P669" t="str">
            <v>D07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</row>
        <row r="670">
          <cell r="J670">
            <v>670</v>
          </cell>
          <cell r="L670" t="str">
            <v>D</v>
          </cell>
          <cell r="M670" t="str">
            <v>Avg Customers-Secondary</v>
          </cell>
          <cell r="N670" t="str">
            <v/>
          </cell>
          <cell r="O670">
            <v>100</v>
          </cell>
          <cell r="P670" t="str">
            <v>C02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</row>
        <row r="671">
          <cell r="J671">
            <v>671</v>
          </cell>
          <cell r="L671" t="str">
            <v>D</v>
          </cell>
          <cell r="M671" t="str">
            <v>Wt Customers-Meters</v>
          </cell>
          <cell r="N671" t="str">
            <v/>
          </cell>
          <cell r="O671">
            <v>0</v>
          </cell>
          <cell r="P671" t="str">
            <v>C04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J672">
            <v>672</v>
          </cell>
          <cell r="L672" t="str">
            <v>D</v>
          </cell>
          <cell r="M672" t="str">
            <v>DA Street &amp; Area Lights</v>
          </cell>
          <cell r="N672" t="str">
            <v/>
          </cell>
          <cell r="O672">
            <v>0</v>
          </cell>
          <cell r="P672" t="str">
            <v>C05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J673">
            <v>673</v>
          </cell>
          <cell r="L673" t="str">
            <v>D</v>
          </cell>
          <cell r="M673" t="str">
            <v>DA Sch 25I</v>
          </cell>
          <cell r="N673" t="str">
            <v/>
          </cell>
          <cell r="O673">
            <v>0</v>
          </cell>
          <cell r="P673" t="str">
            <v>D05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J674">
            <v>674</v>
          </cell>
          <cell r="L674" t="str">
            <v>D</v>
          </cell>
          <cell r="M674" t="str">
            <v>NCP-Secondary</v>
          </cell>
          <cell r="N674" t="str">
            <v/>
          </cell>
          <cell r="O674">
            <v>0</v>
          </cell>
          <cell r="P674" t="str">
            <v>D06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J675">
            <v>675</v>
          </cell>
          <cell r="L675" t="str">
            <v>D</v>
          </cell>
          <cell r="M675" t="str">
            <v>NCP-Primary</v>
          </cell>
          <cell r="N675" t="str">
            <v/>
          </cell>
          <cell r="O675">
            <v>0</v>
          </cell>
          <cell r="P675" t="str">
            <v>D08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</row>
        <row r="676">
          <cell r="J676">
            <v>676</v>
          </cell>
          <cell r="K676">
            <v>372</v>
          </cell>
          <cell r="L676" t="str">
            <v>Leased Property on Customer Premises Depr Exp</v>
          </cell>
          <cell r="O676" t="str">
            <v>X10</v>
          </cell>
          <cell r="P676" t="str">
            <v/>
          </cell>
          <cell r="Q676">
            <v>0</v>
          </cell>
        </row>
        <row r="677">
          <cell r="J677">
            <v>677</v>
          </cell>
          <cell r="L677" t="str">
            <v>D</v>
          </cell>
          <cell r="M677" t="str">
            <v>NCP-All</v>
          </cell>
          <cell r="N677" t="str">
            <v/>
          </cell>
          <cell r="O677">
            <v>0</v>
          </cell>
          <cell r="P677" t="str">
            <v>D02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J678">
            <v>678</v>
          </cell>
          <cell r="L678" t="str">
            <v>D</v>
          </cell>
          <cell r="M678" t="str">
            <v>NCP-w/o DA</v>
          </cell>
          <cell r="N678" t="str">
            <v/>
          </cell>
          <cell r="O678">
            <v>0</v>
          </cell>
          <cell r="P678" t="str">
            <v>D03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J679">
            <v>679</v>
          </cell>
          <cell r="L679" t="str">
            <v>D</v>
          </cell>
          <cell r="M679" t="str">
            <v xml:space="preserve">DA Sch 25 </v>
          </cell>
          <cell r="N679" t="str">
            <v/>
          </cell>
          <cell r="O679">
            <v>0</v>
          </cell>
          <cell r="P679" t="str">
            <v>D04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J680">
            <v>680</v>
          </cell>
          <cell r="L680" t="str">
            <v>D</v>
          </cell>
          <cell r="M680" t="str">
            <v>DA Street and Area Lights</v>
          </cell>
          <cell r="N680" t="str">
            <v/>
          </cell>
          <cell r="O680">
            <v>0</v>
          </cell>
          <cell r="P680" t="str">
            <v>D07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</row>
        <row r="681">
          <cell r="J681">
            <v>681</v>
          </cell>
          <cell r="L681" t="str">
            <v>D</v>
          </cell>
          <cell r="M681" t="str">
            <v>Avg Customers-Secondary</v>
          </cell>
          <cell r="N681" t="str">
            <v/>
          </cell>
          <cell r="O681">
            <v>100</v>
          </cell>
          <cell r="P681" t="str">
            <v>C02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J682">
            <v>682</v>
          </cell>
          <cell r="L682" t="str">
            <v>D</v>
          </cell>
          <cell r="M682" t="str">
            <v>Wt Customers-Meters</v>
          </cell>
          <cell r="N682" t="str">
            <v/>
          </cell>
          <cell r="O682">
            <v>0</v>
          </cell>
          <cell r="P682" t="str">
            <v>C04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J683">
            <v>683</v>
          </cell>
          <cell r="L683" t="str">
            <v>D</v>
          </cell>
          <cell r="M683" t="str">
            <v>DA Street &amp; Area Lights</v>
          </cell>
          <cell r="N683" t="str">
            <v/>
          </cell>
          <cell r="O683">
            <v>0</v>
          </cell>
          <cell r="P683" t="str">
            <v>C05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J684">
            <v>684</v>
          </cell>
          <cell r="L684" t="str">
            <v>D</v>
          </cell>
          <cell r="M684" t="str">
            <v>DA Sch 25I</v>
          </cell>
          <cell r="N684" t="str">
            <v/>
          </cell>
          <cell r="O684">
            <v>0</v>
          </cell>
          <cell r="P684" t="str">
            <v>D05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J685">
            <v>685</v>
          </cell>
          <cell r="L685" t="str">
            <v>D</v>
          </cell>
          <cell r="M685" t="str">
            <v>NCP-Secondary</v>
          </cell>
          <cell r="N685" t="str">
            <v/>
          </cell>
          <cell r="O685">
            <v>0</v>
          </cell>
          <cell r="P685" t="str">
            <v>D06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J686">
            <v>686</v>
          </cell>
          <cell r="L686" t="str">
            <v>D</v>
          </cell>
          <cell r="M686" t="str">
            <v>NCP-Primary</v>
          </cell>
          <cell r="N686" t="str">
            <v/>
          </cell>
          <cell r="O686">
            <v>0</v>
          </cell>
          <cell r="P686" t="str">
            <v>D08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J687">
            <v>687</v>
          </cell>
          <cell r="K687">
            <v>373</v>
          </cell>
          <cell r="L687" t="str">
            <v>Street Lights &amp; Signal Systems Depr Exp</v>
          </cell>
          <cell r="O687" t="str">
            <v>X12</v>
          </cell>
          <cell r="P687" t="str">
            <v/>
          </cell>
          <cell r="Q687">
            <v>581000</v>
          </cell>
        </row>
        <row r="688">
          <cell r="J688">
            <v>688</v>
          </cell>
          <cell r="L688" t="str">
            <v>D</v>
          </cell>
          <cell r="M688" t="str">
            <v>NCP-All</v>
          </cell>
          <cell r="N688" t="str">
            <v/>
          </cell>
          <cell r="O688">
            <v>0</v>
          </cell>
          <cell r="P688" t="str">
            <v>D02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J689">
            <v>689</v>
          </cell>
          <cell r="L689" t="str">
            <v>D</v>
          </cell>
          <cell r="M689" t="str">
            <v>NCP-w/o DA</v>
          </cell>
          <cell r="N689" t="str">
            <v/>
          </cell>
          <cell r="O689">
            <v>0</v>
          </cell>
          <cell r="P689" t="str">
            <v>D03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</row>
        <row r="690">
          <cell r="J690">
            <v>690</v>
          </cell>
          <cell r="L690" t="str">
            <v>D</v>
          </cell>
          <cell r="M690" t="str">
            <v xml:space="preserve">DA Sch 25 </v>
          </cell>
          <cell r="N690" t="str">
            <v/>
          </cell>
          <cell r="O690">
            <v>0</v>
          </cell>
          <cell r="P690" t="str">
            <v>D04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</row>
        <row r="691">
          <cell r="J691">
            <v>691</v>
          </cell>
          <cell r="L691" t="str">
            <v>D</v>
          </cell>
          <cell r="M691" t="str">
            <v>DA Street and Area Lights</v>
          </cell>
          <cell r="N691" t="str">
            <v/>
          </cell>
          <cell r="O691">
            <v>0</v>
          </cell>
          <cell r="P691" t="str">
            <v>D07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J692">
            <v>692</v>
          </cell>
          <cell r="L692" t="str">
            <v>D</v>
          </cell>
          <cell r="M692" t="str">
            <v>Avg Customers-Secondary</v>
          </cell>
          <cell r="N692" t="str">
            <v/>
          </cell>
          <cell r="O692">
            <v>0</v>
          </cell>
          <cell r="P692" t="str">
            <v>C02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J693">
            <v>693</v>
          </cell>
          <cell r="L693" t="str">
            <v>D</v>
          </cell>
          <cell r="M693" t="str">
            <v>Wt Customers-Meters</v>
          </cell>
          <cell r="N693" t="str">
            <v/>
          </cell>
          <cell r="O693">
            <v>0</v>
          </cell>
          <cell r="P693" t="str">
            <v>C04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J694">
            <v>694</v>
          </cell>
          <cell r="L694" t="str">
            <v>D</v>
          </cell>
          <cell r="M694" t="str">
            <v>DA Street &amp; Area Lights</v>
          </cell>
          <cell r="N694" t="str">
            <v/>
          </cell>
          <cell r="O694">
            <v>100</v>
          </cell>
          <cell r="P694" t="str">
            <v>C05</v>
          </cell>
          <cell r="R694">
            <v>581000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581000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J695">
            <v>695</v>
          </cell>
          <cell r="L695" t="str">
            <v>D</v>
          </cell>
          <cell r="M695" t="str">
            <v>DA Sch 25I</v>
          </cell>
          <cell r="N695" t="str">
            <v/>
          </cell>
          <cell r="O695">
            <v>0</v>
          </cell>
          <cell r="P695" t="str">
            <v>D05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J696">
            <v>696</v>
          </cell>
          <cell r="L696" t="str">
            <v>D</v>
          </cell>
          <cell r="M696" t="str">
            <v>NCP-Secondary</v>
          </cell>
          <cell r="N696" t="str">
            <v/>
          </cell>
          <cell r="O696">
            <v>0</v>
          </cell>
          <cell r="P696" t="str">
            <v>D06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J697">
            <v>697</v>
          </cell>
          <cell r="L697" t="str">
            <v>D</v>
          </cell>
          <cell r="M697" t="str">
            <v>NCP-Primary</v>
          </cell>
          <cell r="N697" t="str">
            <v/>
          </cell>
          <cell r="O697">
            <v>0</v>
          </cell>
          <cell r="P697" t="str">
            <v>D08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J698">
            <v>698</v>
          </cell>
          <cell r="L698" t="str">
            <v>Total Distribution Plant Depreciation Expense</v>
          </cell>
          <cell r="P698" t="str">
            <v/>
          </cell>
          <cell r="Q698">
            <v>19762000</v>
          </cell>
          <cell r="R698">
            <v>19762000</v>
          </cell>
          <cell r="S698">
            <v>10727967.042178061</v>
          </cell>
          <cell r="T698">
            <v>2208675.9759396268</v>
          </cell>
          <cell r="U698">
            <v>4659980.878705184</v>
          </cell>
          <cell r="V698">
            <v>743618.92197331588</v>
          </cell>
          <cell r="W698">
            <v>479721.62593580701</v>
          </cell>
          <cell r="X698">
            <v>942035.5552680064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</row>
        <row r="699">
          <cell r="J699">
            <v>699</v>
          </cell>
        </row>
        <row r="700">
          <cell r="J700">
            <v>700</v>
          </cell>
          <cell r="L700" t="str">
            <v>General Plant Depreciation Expense</v>
          </cell>
        </row>
        <row r="701">
          <cell r="J701">
            <v>701</v>
          </cell>
          <cell r="K701" t="str">
            <v>303.1X</v>
          </cell>
          <cell r="L701" t="str">
            <v>Computer Software Amort Exp</v>
          </cell>
          <cell r="O701" t="str">
            <v>M04</v>
          </cell>
          <cell r="Q701">
            <v>3745000</v>
          </cell>
        </row>
        <row r="702">
          <cell r="J702">
            <v>702</v>
          </cell>
          <cell r="L702" t="str">
            <v>O</v>
          </cell>
          <cell r="M702" t="str">
            <v>P/T/D Plant</v>
          </cell>
          <cell r="O702">
            <v>0</v>
          </cell>
          <cell r="P702" t="str">
            <v>S05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</row>
        <row r="703">
          <cell r="J703">
            <v>703</v>
          </cell>
          <cell r="L703" t="str">
            <v>O</v>
          </cell>
          <cell r="M703" t="str">
            <v>Labor P/T/D Total</v>
          </cell>
          <cell r="N703" t="str">
            <v/>
          </cell>
          <cell r="O703">
            <v>0</v>
          </cell>
          <cell r="P703" t="str">
            <v>S21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</row>
        <row r="704">
          <cell r="J704">
            <v>704</v>
          </cell>
          <cell r="L704" t="str">
            <v>O</v>
          </cell>
          <cell r="M704" t="str">
            <v>Labor O&amp;M excl A&amp;G</v>
          </cell>
          <cell r="O704">
            <v>0</v>
          </cell>
          <cell r="P704" t="str">
            <v>S22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</row>
        <row r="705">
          <cell r="J705">
            <v>705</v>
          </cell>
          <cell r="L705" t="str">
            <v>O</v>
          </cell>
          <cell r="M705" t="str">
            <v>P/T/D/G Plant</v>
          </cell>
          <cell r="O705">
            <v>100</v>
          </cell>
          <cell r="P705" t="str">
            <v>S06</v>
          </cell>
          <cell r="R705">
            <v>3745000</v>
          </cell>
          <cell r="S705">
            <v>1842467.7760766644</v>
          </cell>
          <cell r="T705">
            <v>354936.94527500472</v>
          </cell>
          <cell r="U705">
            <v>928227.03026432975</v>
          </cell>
          <cell r="V705">
            <v>455586.32915385213</v>
          </cell>
          <cell r="W705">
            <v>82177.419751074456</v>
          </cell>
          <cell r="X705">
            <v>81604.499479074657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J706">
            <v>706</v>
          </cell>
          <cell r="K706">
            <v>389</v>
          </cell>
          <cell r="L706" t="str">
            <v>Land &amp; Land Rights Depr Exp</v>
          </cell>
          <cell r="O706" t="str">
            <v>M02</v>
          </cell>
          <cell r="Q706">
            <v>11000</v>
          </cell>
        </row>
        <row r="707">
          <cell r="J707">
            <v>707</v>
          </cell>
          <cell r="L707" t="str">
            <v>O</v>
          </cell>
          <cell r="M707" t="str">
            <v>P/T/D Plant</v>
          </cell>
          <cell r="O707">
            <v>0</v>
          </cell>
          <cell r="P707" t="str">
            <v>S05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J708">
            <v>708</v>
          </cell>
          <cell r="L708" t="str">
            <v>O</v>
          </cell>
          <cell r="M708" t="str">
            <v>Labor P/T/D Total</v>
          </cell>
          <cell r="N708" t="str">
            <v/>
          </cell>
          <cell r="O708">
            <v>0</v>
          </cell>
          <cell r="P708" t="str">
            <v>S21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</row>
        <row r="709">
          <cell r="J709">
            <v>709</v>
          </cell>
          <cell r="L709" t="str">
            <v>O</v>
          </cell>
          <cell r="M709" t="str">
            <v>Labor O&amp;M excl A&amp;G</v>
          </cell>
          <cell r="O709">
            <v>100</v>
          </cell>
          <cell r="P709" t="str">
            <v>S22</v>
          </cell>
          <cell r="R709">
            <v>11000</v>
          </cell>
          <cell r="S709">
            <v>6099.2087449335377</v>
          </cell>
          <cell r="T709">
            <v>1095.011376323647</v>
          </cell>
          <cell r="U709">
            <v>2284.1220471819879</v>
          </cell>
          <cell r="V709">
            <v>1087.6651120791405</v>
          </cell>
          <cell r="W709">
            <v>220.41378798441181</v>
          </cell>
          <cell r="X709">
            <v>213.57893149727599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J710">
            <v>710</v>
          </cell>
          <cell r="L710" t="str">
            <v>O</v>
          </cell>
          <cell r="M710" t="str">
            <v>Corporate Cost Allocator</v>
          </cell>
          <cell r="O710">
            <v>0</v>
          </cell>
          <cell r="P710" t="str">
            <v>S23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</row>
        <row r="711">
          <cell r="J711">
            <v>711</v>
          </cell>
          <cell r="K711">
            <v>390</v>
          </cell>
          <cell r="L711" t="str">
            <v>Structures &amp; Improvements Depr Exp</v>
          </cell>
          <cell r="O711" t="str">
            <v>M02</v>
          </cell>
          <cell r="Q711">
            <v>686000</v>
          </cell>
        </row>
        <row r="712">
          <cell r="J712">
            <v>712</v>
          </cell>
          <cell r="L712" t="str">
            <v>O</v>
          </cell>
          <cell r="M712" t="str">
            <v>P/T/D Plant</v>
          </cell>
          <cell r="O712">
            <v>0</v>
          </cell>
          <cell r="P712" t="str">
            <v>S05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J713">
            <v>713</v>
          </cell>
          <cell r="L713" t="str">
            <v>O</v>
          </cell>
          <cell r="M713" t="str">
            <v>Labor P/T/D Total</v>
          </cell>
          <cell r="N713" t="str">
            <v/>
          </cell>
          <cell r="O713">
            <v>0</v>
          </cell>
          <cell r="P713" t="str">
            <v>S21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</row>
        <row r="714">
          <cell r="J714">
            <v>714</v>
          </cell>
          <cell r="L714" t="str">
            <v>O</v>
          </cell>
          <cell r="M714" t="str">
            <v>Labor O&amp;M excl A&amp;G</v>
          </cell>
          <cell r="O714">
            <v>100</v>
          </cell>
          <cell r="P714" t="str">
            <v>S22</v>
          </cell>
          <cell r="R714">
            <v>686000</v>
          </cell>
          <cell r="S714">
            <v>380368.83627494605</v>
          </cell>
          <cell r="T714">
            <v>68288.891287092891</v>
          </cell>
          <cell r="U714">
            <v>142446.15676062214</v>
          </cell>
          <cell r="V714">
            <v>67830.751535117306</v>
          </cell>
          <cell r="W714">
            <v>13745.805323391502</v>
          </cell>
          <cell r="X714">
            <v>13319.558818830121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J715">
            <v>715</v>
          </cell>
          <cell r="L715" t="str">
            <v>O</v>
          </cell>
          <cell r="M715" t="str">
            <v>Corporate Cost Allocator</v>
          </cell>
          <cell r="O715">
            <v>0</v>
          </cell>
          <cell r="P715" t="str">
            <v>S23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</row>
        <row r="716">
          <cell r="J716">
            <v>716</v>
          </cell>
          <cell r="K716">
            <v>391</v>
          </cell>
          <cell r="L716" t="str">
            <v>Office Furniture &amp; Equipment Depr Exp</v>
          </cell>
          <cell r="O716" t="str">
            <v>M02</v>
          </cell>
          <cell r="Q716">
            <v>4437000</v>
          </cell>
        </row>
        <row r="717">
          <cell r="J717">
            <v>717</v>
          </cell>
          <cell r="L717" t="str">
            <v>O</v>
          </cell>
          <cell r="M717" t="str">
            <v>P/T/D Plant</v>
          </cell>
          <cell r="O717">
            <v>0</v>
          </cell>
          <cell r="P717" t="str">
            <v>S05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J718">
            <v>718</v>
          </cell>
          <cell r="L718" t="str">
            <v>O</v>
          </cell>
          <cell r="M718" t="str">
            <v>Labor P/T/D Total</v>
          </cell>
          <cell r="N718" t="str">
            <v/>
          </cell>
          <cell r="O718">
            <v>0</v>
          </cell>
          <cell r="P718" t="str">
            <v>S21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J719">
            <v>719</v>
          </cell>
          <cell r="L719" t="str">
            <v>O</v>
          </cell>
          <cell r="M719" t="str">
            <v>Labor O&amp;M excl A&amp;G</v>
          </cell>
          <cell r="O719">
            <v>100</v>
          </cell>
          <cell r="P719" t="str">
            <v>S22</v>
          </cell>
          <cell r="R719">
            <v>4437000</v>
          </cell>
          <cell r="S719">
            <v>2460199.0182972825</v>
          </cell>
          <cell r="T719">
            <v>441687.77061345649</v>
          </cell>
          <cell r="U719">
            <v>921331.7748496799</v>
          </cell>
          <cell r="V719">
            <v>438724.55475410423</v>
          </cell>
          <cell r="W719">
            <v>88906.907026075933</v>
          </cell>
          <cell r="X719">
            <v>86149.97445940123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J720">
            <v>720</v>
          </cell>
          <cell r="L720" t="str">
            <v>O</v>
          </cell>
          <cell r="M720" t="str">
            <v>Corporate Cost Allocator</v>
          </cell>
          <cell r="O720">
            <v>0</v>
          </cell>
          <cell r="P720" t="str">
            <v>S23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J721">
            <v>721</v>
          </cell>
          <cell r="K721">
            <v>392</v>
          </cell>
          <cell r="L721" t="str">
            <v>Transportation Equipment Depr Exp</v>
          </cell>
          <cell r="O721" t="str">
            <v>M02</v>
          </cell>
          <cell r="Q721">
            <v>59000</v>
          </cell>
        </row>
        <row r="722">
          <cell r="J722">
            <v>722</v>
          </cell>
          <cell r="L722" t="str">
            <v>O</v>
          </cell>
          <cell r="M722" t="str">
            <v>P/T/D Plant</v>
          </cell>
          <cell r="O722">
            <v>0</v>
          </cell>
          <cell r="P722" t="str">
            <v>S05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</row>
        <row r="723">
          <cell r="J723">
            <v>723</v>
          </cell>
          <cell r="L723" t="str">
            <v>O</v>
          </cell>
          <cell r="M723" t="str">
            <v>Labor P/T/D Total</v>
          </cell>
          <cell r="N723" t="str">
            <v/>
          </cell>
          <cell r="O723">
            <v>0</v>
          </cell>
          <cell r="P723" t="str">
            <v>S21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J724">
            <v>724</v>
          </cell>
          <cell r="L724" t="str">
            <v>O</v>
          </cell>
          <cell r="M724" t="str">
            <v>Labor O&amp;M excl A&amp;G</v>
          </cell>
          <cell r="O724">
            <v>100</v>
          </cell>
          <cell r="P724" t="str">
            <v>S22</v>
          </cell>
          <cell r="R724">
            <v>59000</v>
          </cell>
          <cell r="S724">
            <v>32713.937813734428</v>
          </cell>
          <cell r="T724">
            <v>5873.2428366450158</v>
          </cell>
          <cell r="U724">
            <v>12251.200071248843</v>
          </cell>
          <cell r="V724">
            <v>5833.8401466062987</v>
          </cell>
          <cell r="W724">
            <v>1182.219408280027</v>
          </cell>
          <cell r="X724">
            <v>1145.5597234853894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J725">
            <v>725</v>
          </cell>
          <cell r="L725" t="str">
            <v>O</v>
          </cell>
          <cell r="M725" t="str">
            <v>Corporate Cost Allocator</v>
          </cell>
          <cell r="O725">
            <v>0</v>
          </cell>
          <cell r="P725" t="str">
            <v>S23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J726">
            <v>726</v>
          </cell>
          <cell r="K726">
            <v>393</v>
          </cell>
          <cell r="L726" t="str">
            <v>Stores Equipment Depr Exp</v>
          </cell>
          <cell r="O726" t="str">
            <v>M01</v>
          </cell>
          <cell r="Q726">
            <v>31000</v>
          </cell>
        </row>
        <row r="727">
          <cell r="J727">
            <v>727</v>
          </cell>
          <cell r="L727" t="str">
            <v>O</v>
          </cell>
          <cell r="M727" t="str">
            <v>P/T/D Plant</v>
          </cell>
          <cell r="O727">
            <v>100</v>
          </cell>
          <cell r="P727" t="str">
            <v>S05</v>
          </cell>
          <cell r="R727">
            <v>31000</v>
          </cell>
          <cell r="S727">
            <v>15135.211377910637</v>
          </cell>
          <cell r="T727">
            <v>2928.9169784035234</v>
          </cell>
          <cell r="U727">
            <v>7757.84711250702</v>
          </cell>
          <cell r="V727">
            <v>3815.1641998283726</v>
          </cell>
          <cell r="W727">
            <v>683.69529905846184</v>
          </cell>
          <cell r="X727">
            <v>679.16503229198838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</row>
        <row r="728">
          <cell r="J728">
            <v>728</v>
          </cell>
          <cell r="L728" t="str">
            <v>O</v>
          </cell>
          <cell r="M728" t="str">
            <v>Labor P/T/D Total</v>
          </cell>
          <cell r="N728" t="str">
            <v/>
          </cell>
          <cell r="O728">
            <v>0</v>
          </cell>
          <cell r="P728" t="str">
            <v>S21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J729">
            <v>729</v>
          </cell>
          <cell r="L729" t="str">
            <v>O</v>
          </cell>
          <cell r="M729" t="str">
            <v>Labor O&amp;M excl A&amp;G</v>
          </cell>
          <cell r="O729">
            <v>0</v>
          </cell>
          <cell r="P729" t="str">
            <v>S22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</row>
        <row r="730">
          <cell r="J730">
            <v>730</v>
          </cell>
          <cell r="L730" t="str">
            <v>O</v>
          </cell>
          <cell r="M730" t="str">
            <v>Corporate Cost Allocator</v>
          </cell>
          <cell r="O730">
            <v>0</v>
          </cell>
          <cell r="P730" t="str">
            <v>S23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</row>
        <row r="731">
          <cell r="J731">
            <v>731</v>
          </cell>
          <cell r="K731">
            <v>394</v>
          </cell>
          <cell r="L731" t="str">
            <v>Tools, Shop &amp; Garage Equipment Depr Exp</v>
          </cell>
          <cell r="O731" t="str">
            <v>M03</v>
          </cell>
          <cell r="Q731">
            <v>241000</v>
          </cell>
        </row>
        <row r="732">
          <cell r="J732">
            <v>732</v>
          </cell>
          <cell r="L732" t="str">
            <v>O</v>
          </cell>
          <cell r="M732" t="str">
            <v>P/T/D Plant</v>
          </cell>
          <cell r="O732">
            <v>0</v>
          </cell>
          <cell r="P732" t="str">
            <v>S05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</row>
        <row r="733">
          <cell r="J733">
            <v>733</v>
          </cell>
          <cell r="L733" t="str">
            <v>O</v>
          </cell>
          <cell r="M733" t="str">
            <v>Labor P/T/D Total</v>
          </cell>
          <cell r="N733" t="str">
            <v/>
          </cell>
          <cell r="O733">
            <v>100</v>
          </cell>
          <cell r="P733" t="str">
            <v>S21</v>
          </cell>
          <cell r="R733">
            <v>241000</v>
          </cell>
          <cell r="S733">
            <v>118284.82248989401</v>
          </cell>
          <cell r="T733">
            <v>22947.34934133284</v>
          </cell>
          <cell r="U733">
            <v>60147.772303975878</v>
          </cell>
          <cell r="V733">
            <v>28675.169998956047</v>
          </cell>
          <cell r="W733">
            <v>5337.6377647339459</v>
          </cell>
          <cell r="X733">
            <v>5607.2481011072769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</row>
        <row r="734">
          <cell r="J734">
            <v>734</v>
          </cell>
          <cell r="L734" t="str">
            <v>O</v>
          </cell>
          <cell r="M734" t="str">
            <v>Labor O&amp;M excl A&amp;G</v>
          </cell>
          <cell r="O734">
            <v>0</v>
          </cell>
          <cell r="P734" t="str">
            <v>S22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</row>
        <row r="735">
          <cell r="J735">
            <v>735</v>
          </cell>
          <cell r="L735" t="str">
            <v>O</v>
          </cell>
          <cell r="M735" t="str">
            <v>Corporate Cost Allocator</v>
          </cell>
          <cell r="O735">
            <v>0</v>
          </cell>
          <cell r="P735" t="str">
            <v>S23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</row>
        <row r="736">
          <cell r="J736">
            <v>736</v>
          </cell>
          <cell r="K736">
            <v>395</v>
          </cell>
          <cell r="L736" t="str">
            <v>Laboratory Equipment Depr Exp</v>
          </cell>
          <cell r="O736" t="str">
            <v>M03</v>
          </cell>
          <cell r="Q736">
            <v>139000</v>
          </cell>
        </row>
        <row r="737">
          <cell r="J737">
            <v>737</v>
          </cell>
          <cell r="L737" t="str">
            <v>O</v>
          </cell>
          <cell r="M737" t="str">
            <v>P/T/D Plant</v>
          </cell>
          <cell r="O737">
            <v>0</v>
          </cell>
          <cell r="P737" t="str">
            <v>S05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J738">
            <v>738</v>
          </cell>
          <cell r="L738" t="str">
            <v>O</v>
          </cell>
          <cell r="M738" t="str">
            <v>Labor P/T/D Total</v>
          </cell>
          <cell r="N738" t="str">
            <v/>
          </cell>
          <cell r="O738">
            <v>100</v>
          </cell>
          <cell r="P738" t="str">
            <v>S21</v>
          </cell>
          <cell r="R738">
            <v>139000</v>
          </cell>
          <cell r="S738">
            <v>68222.366498320611</v>
          </cell>
          <cell r="T738">
            <v>13235.193188569563</v>
          </cell>
          <cell r="U738">
            <v>34691.038797728826</v>
          </cell>
          <cell r="V738">
            <v>16538.79099524851</v>
          </cell>
          <cell r="W738">
            <v>3078.5545614025664</v>
          </cell>
          <cell r="X738">
            <v>3234.0559587299231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J739">
            <v>739</v>
          </cell>
          <cell r="L739" t="str">
            <v>O</v>
          </cell>
          <cell r="M739" t="str">
            <v>Labor O&amp;M excl A&amp;G</v>
          </cell>
          <cell r="O739">
            <v>0</v>
          </cell>
          <cell r="P739" t="str">
            <v>S22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J740">
            <v>740</v>
          </cell>
          <cell r="L740" t="str">
            <v>O</v>
          </cell>
          <cell r="M740" t="str">
            <v>Corporate Cost Allocator</v>
          </cell>
          <cell r="O740">
            <v>0</v>
          </cell>
          <cell r="P740" t="str">
            <v>S23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</row>
        <row r="741">
          <cell r="J741">
            <v>741</v>
          </cell>
          <cell r="K741">
            <v>396</v>
          </cell>
          <cell r="L741" t="str">
            <v>Power Operated Equipment Depr Exp</v>
          </cell>
          <cell r="O741" t="str">
            <v>M03</v>
          </cell>
          <cell r="Q741">
            <v>159000</v>
          </cell>
        </row>
        <row r="742">
          <cell r="J742">
            <v>742</v>
          </cell>
          <cell r="L742" t="str">
            <v>O</v>
          </cell>
          <cell r="M742" t="str">
            <v>P/T/D Plant</v>
          </cell>
          <cell r="O742">
            <v>0</v>
          </cell>
          <cell r="P742" t="str">
            <v>S05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</row>
        <row r="743">
          <cell r="J743">
            <v>743</v>
          </cell>
          <cell r="L743" t="str">
            <v>O</v>
          </cell>
          <cell r="M743" t="str">
            <v>Labor P/T/D Total</v>
          </cell>
          <cell r="N743" t="str">
            <v/>
          </cell>
          <cell r="O743">
            <v>100</v>
          </cell>
          <cell r="P743" t="str">
            <v>S21</v>
          </cell>
          <cell r="R743">
            <v>159000</v>
          </cell>
          <cell r="S743">
            <v>78038.534339805585</v>
          </cell>
          <cell r="T743">
            <v>15139.537532248638</v>
          </cell>
          <cell r="U743">
            <v>39682.555171502754</v>
          </cell>
          <cell r="V743">
            <v>18918.473152838222</v>
          </cell>
          <cell r="W743">
            <v>3521.5120522518564</v>
          </cell>
          <cell r="X743">
            <v>3699.3877513529333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</row>
        <row r="744">
          <cell r="J744">
            <v>744</v>
          </cell>
          <cell r="L744" t="str">
            <v>O</v>
          </cell>
          <cell r="M744" t="str">
            <v>Labor O&amp;M excl A&amp;G</v>
          </cell>
          <cell r="O744">
            <v>0</v>
          </cell>
          <cell r="P744" t="str">
            <v>S22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</row>
        <row r="745">
          <cell r="J745">
            <v>745</v>
          </cell>
          <cell r="L745" t="str">
            <v>O</v>
          </cell>
          <cell r="M745" t="str">
            <v>Corporate Cost Allocator</v>
          </cell>
          <cell r="O745">
            <v>0</v>
          </cell>
          <cell r="P745" t="str">
            <v>S23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</row>
        <row r="746">
          <cell r="J746">
            <v>746</v>
          </cell>
          <cell r="K746">
            <v>397</v>
          </cell>
          <cell r="L746" t="str">
            <v>Communication Equipment Depr Exp</v>
          </cell>
          <cell r="O746" t="str">
            <v>M02</v>
          </cell>
          <cell r="Q746">
            <v>2030000</v>
          </cell>
        </row>
        <row r="747">
          <cell r="J747">
            <v>747</v>
          </cell>
          <cell r="L747" t="str">
            <v>O</v>
          </cell>
          <cell r="M747" t="str">
            <v>P/T/D Plant</v>
          </cell>
          <cell r="O747">
            <v>0</v>
          </cell>
          <cell r="P747" t="str">
            <v>S05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J748">
            <v>748</v>
          </cell>
          <cell r="L748" t="str">
            <v>O</v>
          </cell>
          <cell r="M748" t="str">
            <v>Labor P/T/D Total</v>
          </cell>
          <cell r="N748" t="str">
            <v/>
          </cell>
          <cell r="O748">
            <v>0</v>
          </cell>
          <cell r="P748" t="str">
            <v>S21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</row>
        <row r="749">
          <cell r="J749">
            <v>749</v>
          </cell>
          <cell r="L749" t="str">
            <v>O</v>
          </cell>
          <cell r="M749" t="str">
            <v>Labor O&amp;M excl A&amp;G</v>
          </cell>
          <cell r="O749">
            <v>100</v>
          </cell>
          <cell r="P749" t="str">
            <v>S22</v>
          </cell>
          <cell r="R749">
            <v>2030000</v>
          </cell>
          <cell r="S749">
            <v>1125581.250201371</v>
          </cell>
          <cell r="T749">
            <v>202079.37217609122</v>
          </cell>
          <cell r="U749">
            <v>421524.34143449407</v>
          </cell>
          <cell r="V749">
            <v>200723.65250187775</v>
          </cell>
          <cell r="W749">
            <v>40676.362691668728</v>
          </cell>
          <cell r="X749">
            <v>39415.020994497296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</row>
        <row r="750">
          <cell r="J750">
            <v>750</v>
          </cell>
          <cell r="L750" t="str">
            <v>O</v>
          </cell>
          <cell r="M750" t="str">
            <v>Corporate Cost Allocator</v>
          </cell>
          <cell r="O750">
            <v>0</v>
          </cell>
          <cell r="P750" t="str">
            <v>S23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J751">
            <v>751</v>
          </cell>
          <cell r="K751">
            <v>398</v>
          </cell>
          <cell r="L751" t="str">
            <v>Miscellaneous Equipment Depr Exp</v>
          </cell>
          <cell r="O751" t="str">
            <v>M02</v>
          </cell>
          <cell r="Q751">
            <v>79000</v>
          </cell>
        </row>
        <row r="752">
          <cell r="J752">
            <v>752</v>
          </cell>
          <cell r="L752" t="str">
            <v>O</v>
          </cell>
          <cell r="M752" t="str">
            <v>P/T/D Plant</v>
          </cell>
          <cell r="O752">
            <v>0</v>
          </cell>
          <cell r="P752" t="str">
            <v>S05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J753">
            <v>753</v>
          </cell>
          <cell r="L753" t="str">
            <v>O</v>
          </cell>
          <cell r="M753" t="str">
            <v>Labor P/T/D Total</v>
          </cell>
          <cell r="N753" t="str">
            <v/>
          </cell>
          <cell r="O753">
            <v>0</v>
          </cell>
          <cell r="P753" t="str">
            <v>S21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J754">
            <v>754</v>
          </cell>
          <cell r="L754" t="str">
            <v>O</v>
          </cell>
          <cell r="M754" t="str">
            <v>Labor O&amp;M excl A&amp;G</v>
          </cell>
          <cell r="O754">
            <v>100</v>
          </cell>
          <cell r="P754" t="str">
            <v>S22</v>
          </cell>
          <cell r="R754">
            <v>79000</v>
          </cell>
          <cell r="S754">
            <v>43803.408259068136</v>
          </cell>
          <cell r="T754">
            <v>7864.1726117789194</v>
          </cell>
          <cell r="U754">
            <v>16404.149247943365</v>
          </cell>
          <cell r="V754">
            <v>7811.413077659282</v>
          </cell>
          <cell r="W754">
            <v>1582.9717500698666</v>
          </cell>
          <cell r="X754">
            <v>1533.8850534804367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</row>
        <row r="755">
          <cell r="J755">
            <v>755</v>
          </cell>
          <cell r="L755" t="str">
            <v>O</v>
          </cell>
          <cell r="M755" t="str">
            <v>Corporate Cost Allocator</v>
          </cell>
          <cell r="O755">
            <v>0</v>
          </cell>
          <cell r="P755" t="str">
            <v>S23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J756">
            <v>756</v>
          </cell>
          <cell r="L756" t="str">
            <v>Total General Plant Depreciation Expense</v>
          </cell>
          <cell r="N756" t="str">
            <v/>
          </cell>
          <cell r="Q756">
            <v>11617000</v>
          </cell>
          <cell r="R756">
            <v>11617000</v>
          </cell>
          <cell r="S756">
            <v>6170914.3703739289</v>
          </cell>
          <cell r="T756">
            <v>1136076.4032169473</v>
          </cell>
          <cell r="U756">
            <v>2586747.9880612148</v>
          </cell>
          <cell r="V756">
            <v>1245545.8046281671</v>
          </cell>
          <cell r="W756">
            <v>241113.4994159918</v>
          </cell>
          <cell r="X756">
            <v>236601.93430374854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</row>
        <row r="757">
          <cell r="J757">
            <v>757</v>
          </cell>
          <cell r="L757" t="str">
            <v>Total Depreciation Expense</v>
          </cell>
          <cell r="N757" t="str">
            <v/>
          </cell>
          <cell r="Q757">
            <v>55199000</v>
          </cell>
          <cell r="R757">
            <v>55199000</v>
          </cell>
          <cell r="S757">
            <v>27715133.50190679</v>
          </cell>
          <cell r="T757">
            <v>5362851.6714298911</v>
          </cell>
          <cell r="U757">
            <v>13421659.979184918</v>
          </cell>
          <cell r="V757">
            <v>6210987.9383212226</v>
          </cell>
          <cell r="W757">
            <v>1216748.3766284392</v>
          </cell>
          <cell r="X757">
            <v>1271618.5325287436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J758">
            <v>758</v>
          </cell>
        </row>
        <row r="759">
          <cell r="J759">
            <v>759</v>
          </cell>
          <cell r="K759" t="str">
            <v>Amortization</v>
          </cell>
        </row>
        <row r="760">
          <cell r="J760">
            <v>760</v>
          </cell>
          <cell r="K760" t="str">
            <v xml:space="preserve">  Amortization of Misc Intangible Plant 303000</v>
          </cell>
          <cell r="O760" t="str">
            <v>Manual Input</v>
          </cell>
          <cell r="Q760">
            <v>98000</v>
          </cell>
        </row>
        <row r="761">
          <cell r="J761">
            <v>761</v>
          </cell>
          <cell r="L761" t="str">
            <v>P</v>
          </cell>
          <cell r="M761" t="str">
            <v xml:space="preserve">Production Plant </v>
          </cell>
          <cell r="O761">
            <v>0</v>
          </cell>
          <cell r="P761" t="str">
            <v>S01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J762">
            <v>762</v>
          </cell>
          <cell r="L762" t="str">
            <v>T</v>
          </cell>
          <cell r="M762" t="str">
            <v>Transmission Plant</v>
          </cell>
          <cell r="N762" t="str">
            <v/>
          </cell>
          <cell r="O762">
            <v>67</v>
          </cell>
          <cell r="P762" t="str">
            <v>S02</v>
          </cell>
          <cell r="R762">
            <v>67000</v>
          </cell>
          <cell r="S762">
            <v>30423.547018756159</v>
          </cell>
          <cell r="T762">
            <v>5676.4337775949725</v>
          </cell>
          <cell r="U762">
            <v>17368.613960203209</v>
          </cell>
          <cell r="V762">
            <v>11874.985524148717</v>
          </cell>
          <cell r="W762">
            <v>1394.8861391912219</v>
          </cell>
          <cell r="X762">
            <v>261.53358010571947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J763">
            <v>763</v>
          </cell>
          <cell r="L763" t="str">
            <v>D</v>
          </cell>
          <cell r="M763" t="str">
            <v>Distribution Plant</v>
          </cell>
          <cell r="O763">
            <v>26</v>
          </cell>
          <cell r="P763" t="str">
            <v>S03</v>
          </cell>
          <cell r="R763">
            <v>26000</v>
          </cell>
          <cell r="S763">
            <v>14109.83485163673</v>
          </cell>
          <cell r="T763">
            <v>2861.0714399115068</v>
          </cell>
          <cell r="U763">
            <v>6134.2915435210889</v>
          </cell>
          <cell r="V763">
            <v>954.08155107141454</v>
          </cell>
          <cell r="W763">
            <v>624.64294887439883</v>
          </cell>
          <cell r="X763">
            <v>1316.0776649848603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J764">
            <v>764</v>
          </cell>
          <cell r="L764" t="str">
            <v>O</v>
          </cell>
          <cell r="M764" t="str">
            <v>P/T/D/G Plant</v>
          </cell>
          <cell r="O764">
            <v>5</v>
          </cell>
          <cell r="P764" t="str">
            <v>S06</v>
          </cell>
          <cell r="R764">
            <v>5000</v>
          </cell>
          <cell r="S764">
            <v>2459.9035728660406</v>
          </cell>
          <cell r="T764">
            <v>473.88110183578732</v>
          </cell>
          <cell r="U764">
            <v>1239.2884249189983</v>
          </cell>
          <cell r="V764">
            <v>608.25945147376785</v>
          </cell>
          <cell r="W764">
            <v>109.71618124309006</v>
          </cell>
          <cell r="X764">
            <v>108.95126766231597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</row>
        <row r="765">
          <cell r="J765">
            <v>765</v>
          </cell>
          <cell r="K765" t="str">
            <v xml:space="preserve">  Amortization of Hydro Relicensing Costs 302000 &amp; 182xxx</v>
          </cell>
          <cell r="O765" t="str">
            <v>P01</v>
          </cell>
          <cell r="P765" t="str">
            <v/>
          </cell>
          <cell r="Q765">
            <v>1563000</v>
          </cell>
        </row>
        <row r="766">
          <cell r="J766">
            <v>766</v>
          </cell>
          <cell r="L766" t="str">
            <v>P</v>
          </cell>
          <cell r="M766" t="str">
            <v>Coincident Peak</v>
          </cell>
          <cell r="N766" t="str">
            <v/>
          </cell>
          <cell r="O766">
            <v>34.200000000000003</v>
          </cell>
          <cell r="P766" t="str">
            <v>D01</v>
          </cell>
          <cell r="R766">
            <v>534546.00000000012</v>
          </cell>
          <cell r="S766">
            <v>266385.35888793587</v>
          </cell>
          <cell r="T766">
            <v>41609.302433679004</v>
          </cell>
          <cell r="U766">
            <v>130756.31764922509</v>
          </cell>
          <cell r="V766">
            <v>84993.286928462694</v>
          </cell>
          <cell r="W766">
            <v>9502.3811543695301</v>
          </cell>
          <cell r="X766">
            <v>1299.3529463279251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J767">
            <v>767</v>
          </cell>
          <cell r="L767" t="str">
            <v>P</v>
          </cell>
          <cell r="M767" t="str">
            <v>Generation Level Consumption</v>
          </cell>
          <cell r="N767" t="str">
            <v/>
          </cell>
          <cell r="O767">
            <v>65.8</v>
          </cell>
          <cell r="P767" t="str">
            <v>E02</v>
          </cell>
          <cell r="R767">
            <v>1028454</v>
          </cell>
          <cell r="S767">
            <v>443346.04395259952</v>
          </cell>
          <cell r="T767">
            <v>90812.578079469415</v>
          </cell>
          <cell r="U767">
            <v>274424.93040745589</v>
          </cell>
          <cell r="V767">
            <v>192030.62910503661</v>
          </cell>
          <cell r="W767">
            <v>23038.022361389874</v>
          </cell>
          <cell r="X767">
            <v>4801.7960940487874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J768">
            <v>768</v>
          </cell>
          <cell r="L768" t="str">
            <v>P</v>
          </cell>
          <cell r="M768" t="str">
            <v>Open</v>
          </cell>
          <cell r="N768" t="str">
            <v/>
          </cell>
          <cell r="O768">
            <v>0</v>
          </cell>
          <cell r="P768" t="str">
            <v>xxx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</row>
        <row r="769">
          <cell r="J769">
            <v>769</v>
          </cell>
          <cell r="L769" t="str">
            <v>P</v>
          </cell>
          <cell r="M769" t="str">
            <v>Open</v>
          </cell>
          <cell r="N769" t="str">
            <v/>
          </cell>
          <cell r="O769">
            <v>0</v>
          </cell>
          <cell r="P769" t="str">
            <v>xxx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</row>
        <row r="770">
          <cell r="J770">
            <v>770</v>
          </cell>
          <cell r="K770" t="str">
            <v xml:space="preserve">  Amortization of Cancelled Small Gen</v>
          </cell>
          <cell r="O770" t="str">
            <v>P01</v>
          </cell>
          <cell r="P770" t="str">
            <v/>
          </cell>
          <cell r="Q770">
            <v>153000</v>
          </cell>
        </row>
        <row r="771">
          <cell r="J771">
            <v>771</v>
          </cell>
          <cell r="L771" t="str">
            <v>P</v>
          </cell>
          <cell r="M771" t="str">
            <v>Coincident Peak</v>
          </cell>
          <cell r="N771" t="str">
            <v/>
          </cell>
          <cell r="O771">
            <v>34.200000000000003</v>
          </cell>
          <cell r="P771" t="str">
            <v>D01</v>
          </cell>
          <cell r="R771">
            <v>52326</v>
          </cell>
          <cell r="S771">
            <v>26076.109987110798</v>
          </cell>
          <cell r="T771">
            <v>4073.0795088630111</v>
          </cell>
          <cell r="U771">
            <v>12799.562764127599</v>
          </cell>
          <cell r="V771">
            <v>8319.8802943408773</v>
          </cell>
          <cell r="W771">
            <v>930.17550647379267</v>
          </cell>
          <cell r="X771">
            <v>127.19193908392353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</row>
        <row r="772">
          <cell r="J772">
            <v>772</v>
          </cell>
          <cell r="L772" t="str">
            <v>P</v>
          </cell>
          <cell r="M772" t="str">
            <v>Generation Level Consumption</v>
          </cell>
          <cell r="N772" t="str">
            <v/>
          </cell>
          <cell r="O772">
            <v>65.8</v>
          </cell>
          <cell r="P772" t="str">
            <v>E02</v>
          </cell>
          <cell r="R772">
            <v>100674</v>
          </cell>
          <cell r="S772">
            <v>43398.557085571163</v>
          </cell>
          <cell r="T772">
            <v>8889.5229981822267</v>
          </cell>
          <cell r="U772">
            <v>26863.092995739447</v>
          </cell>
          <cell r="V772">
            <v>18797.62396229725</v>
          </cell>
          <cell r="W772">
            <v>2255.1614979479532</v>
          </cell>
          <cell r="X772">
            <v>470.04146026197338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</row>
        <row r="773">
          <cell r="J773">
            <v>773</v>
          </cell>
          <cell r="L773" t="str">
            <v>P</v>
          </cell>
          <cell r="M773" t="str">
            <v>Open</v>
          </cell>
          <cell r="N773" t="str">
            <v/>
          </cell>
          <cell r="O773">
            <v>0</v>
          </cell>
          <cell r="P773" t="str">
            <v>xxx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</row>
        <row r="774">
          <cell r="J774">
            <v>774</v>
          </cell>
          <cell r="L774" t="str">
            <v>P</v>
          </cell>
          <cell r="M774" t="str">
            <v>Open</v>
          </cell>
          <cell r="N774" t="str">
            <v/>
          </cell>
          <cell r="O774">
            <v>0</v>
          </cell>
          <cell r="P774" t="str">
            <v>xxx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</row>
        <row r="775">
          <cell r="J775">
            <v>775</v>
          </cell>
          <cell r="K775" t="str">
            <v xml:space="preserve">  Amortization Colstrip Common AFUDC / Lancaster Gen / Deferred CS2&amp;Colstrip O&amp;M</v>
          </cell>
          <cell r="O775" t="str">
            <v>P01</v>
          </cell>
          <cell r="P775" t="str">
            <v/>
          </cell>
          <cell r="Q775">
            <v>2999000</v>
          </cell>
        </row>
        <row r="776">
          <cell r="J776">
            <v>776</v>
          </cell>
          <cell r="L776" t="str">
            <v>P</v>
          </cell>
          <cell r="M776" t="str">
            <v>Coincident Peak</v>
          </cell>
          <cell r="N776" t="str">
            <v/>
          </cell>
          <cell r="O776">
            <v>34.200000000000003</v>
          </cell>
          <cell r="P776" t="str">
            <v>D01</v>
          </cell>
          <cell r="R776">
            <v>1025658.0000000001</v>
          </cell>
          <cell r="S776">
            <v>511125.84216565551</v>
          </cell>
          <cell r="T776">
            <v>79837.682660654711</v>
          </cell>
          <cell r="U776">
            <v>250888.16163149459</v>
          </cell>
          <cell r="V776">
            <v>163080.52942959667</v>
          </cell>
          <cell r="W776">
            <v>18232.655842581076</v>
          </cell>
          <cell r="X776">
            <v>2493.1282700175602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</row>
        <row r="777">
          <cell r="J777">
            <v>777</v>
          </cell>
          <cell r="L777" t="str">
            <v>P</v>
          </cell>
          <cell r="M777" t="str">
            <v>Generation Level Consumption</v>
          </cell>
          <cell r="N777" t="str">
            <v/>
          </cell>
          <cell r="O777">
            <v>65.8</v>
          </cell>
          <cell r="P777" t="str">
            <v>E02</v>
          </cell>
          <cell r="R777">
            <v>1973342</v>
          </cell>
          <cell r="S777">
            <v>850668.44901717594</v>
          </cell>
          <cell r="T777">
            <v>174246.27105587252</v>
          </cell>
          <cell r="U777">
            <v>526551.73787073593</v>
          </cell>
          <cell r="V777">
            <v>368458.00171849312</v>
          </cell>
          <cell r="W777">
            <v>44204.113283306608</v>
          </cell>
          <cell r="X777">
            <v>9213.4270544160663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</row>
        <row r="778">
          <cell r="J778">
            <v>778</v>
          </cell>
          <cell r="L778" t="str">
            <v>P</v>
          </cell>
          <cell r="M778" t="str">
            <v>Open</v>
          </cell>
          <cell r="N778" t="str">
            <v/>
          </cell>
          <cell r="O778">
            <v>0</v>
          </cell>
          <cell r="P778" t="str">
            <v>xxx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</row>
        <row r="779">
          <cell r="J779">
            <v>779</v>
          </cell>
          <cell r="L779" t="str">
            <v>P</v>
          </cell>
          <cell r="M779" t="str">
            <v>Open</v>
          </cell>
          <cell r="N779" t="str">
            <v/>
          </cell>
          <cell r="O779">
            <v>0</v>
          </cell>
          <cell r="P779" t="str">
            <v>xxx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</row>
        <row r="780">
          <cell r="J780">
            <v>780</v>
          </cell>
          <cell r="K780" t="str">
            <v xml:space="preserve">  Amortization of Kettle Falls Disallowance</v>
          </cell>
          <cell r="Q780">
            <v>-135000</v>
          </cell>
        </row>
        <row r="781">
          <cell r="J781">
            <v>781</v>
          </cell>
          <cell r="L781" t="str">
            <v>P</v>
          </cell>
          <cell r="M781" t="str">
            <v xml:space="preserve">Production Plant </v>
          </cell>
          <cell r="N781" t="str">
            <v/>
          </cell>
          <cell r="O781">
            <v>100</v>
          </cell>
          <cell r="P781" t="str">
            <v>S01</v>
          </cell>
          <cell r="R781">
            <v>-135000</v>
          </cell>
          <cell r="S781">
            <v>-61301.176828837015</v>
          </cell>
          <cell r="T781">
            <v>-11437.590447392855</v>
          </cell>
          <cell r="U781">
            <v>-34996.460964588565</v>
          </cell>
          <cell r="V781">
            <v>-23927.209638210104</v>
          </cell>
          <cell r="W781">
            <v>-2810.591474489775</v>
          </cell>
          <cell r="X781">
            <v>-526.97064648167361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</row>
        <row r="782">
          <cell r="J782">
            <v>782</v>
          </cell>
          <cell r="L782" t="str">
            <v>Total Amortization Expense</v>
          </cell>
          <cell r="P782" t="str">
            <v/>
          </cell>
          <cell r="Q782">
            <v>4678000</v>
          </cell>
          <cell r="R782">
            <v>4678000</v>
          </cell>
          <cell r="S782">
            <v>2126692.4697104706</v>
          </cell>
          <cell r="T782">
            <v>397042.23260867031</v>
          </cell>
          <cell r="U782">
            <v>1212029.5362828332</v>
          </cell>
          <cell r="V782">
            <v>825190.06832671096</v>
          </cell>
          <cell r="W782">
            <v>97481.163440887773</v>
          </cell>
          <cell r="X782">
            <v>19564.529630427456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</row>
        <row r="783">
          <cell r="J783">
            <v>783</v>
          </cell>
          <cell r="L783" t="str">
            <v>Total Depreciation &amp; Amortization Expense</v>
          </cell>
          <cell r="P783" t="str">
            <v/>
          </cell>
          <cell r="Q783">
            <v>59877000</v>
          </cell>
          <cell r="R783">
            <v>59877000</v>
          </cell>
          <cell r="S783">
            <v>29841825.971617259</v>
          </cell>
          <cell r="T783">
            <v>5759893.9040385615</v>
          </cell>
          <cell r="U783">
            <v>14633689.515467752</v>
          </cell>
          <cell r="V783">
            <v>7036178.0066479333</v>
          </cell>
          <cell r="W783">
            <v>1314229.540069327</v>
          </cell>
          <cell r="X783">
            <v>1291183.0621591711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</row>
        <row r="784">
          <cell r="J784">
            <v>784</v>
          </cell>
        </row>
        <row r="785">
          <cell r="J785">
            <v>785</v>
          </cell>
          <cell r="K785" t="str">
            <v>Other Income Related Items</v>
          </cell>
        </row>
        <row r="786">
          <cell r="J786">
            <v>786</v>
          </cell>
          <cell r="K786" t="str">
            <v xml:space="preserve">  Deferred Transmission O&amp;M</v>
          </cell>
          <cell r="O786" t="str">
            <v>Manual Input</v>
          </cell>
          <cell r="Q786">
            <v>-338000</v>
          </cell>
        </row>
        <row r="787">
          <cell r="J787">
            <v>787</v>
          </cell>
          <cell r="L787" t="str">
            <v>P</v>
          </cell>
          <cell r="M787" t="str">
            <v xml:space="preserve">Production Plant </v>
          </cell>
          <cell r="O787">
            <v>0</v>
          </cell>
          <cell r="P787" t="str">
            <v>S01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</row>
        <row r="788">
          <cell r="J788">
            <v>788</v>
          </cell>
          <cell r="L788" t="str">
            <v>T</v>
          </cell>
          <cell r="M788" t="str">
            <v>Transmission Plant</v>
          </cell>
          <cell r="N788" t="str">
            <v/>
          </cell>
          <cell r="O788">
            <v>100</v>
          </cell>
          <cell r="P788" t="str">
            <v>S02</v>
          </cell>
          <cell r="R788">
            <v>-338000</v>
          </cell>
          <cell r="S788">
            <v>-153479.98346775497</v>
          </cell>
          <cell r="T788">
            <v>-28636.337564583595</v>
          </cell>
          <cell r="U788">
            <v>-87620.76893356246</v>
          </cell>
          <cell r="V788">
            <v>-59906.643390481586</v>
          </cell>
          <cell r="W788">
            <v>-7036.888284278104</v>
          </cell>
          <cell r="X788">
            <v>-1319.3783593393014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</row>
        <row r="789">
          <cell r="J789">
            <v>789</v>
          </cell>
          <cell r="L789" t="str">
            <v>D</v>
          </cell>
          <cell r="M789" t="str">
            <v>Distribution Plant</v>
          </cell>
          <cell r="O789">
            <v>0</v>
          </cell>
          <cell r="P789" t="str">
            <v>S03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</row>
        <row r="790">
          <cell r="J790">
            <v>790</v>
          </cell>
          <cell r="L790" t="str">
            <v>O</v>
          </cell>
          <cell r="M790" t="str">
            <v>P/T/D/G Plant</v>
          </cell>
          <cell r="O790">
            <v>0</v>
          </cell>
          <cell r="P790" t="str">
            <v>S06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</row>
        <row r="791">
          <cell r="J791">
            <v>791</v>
          </cell>
          <cell r="K791" t="str">
            <v xml:space="preserve">  Amortization of Gain on Sale of Misc Property</v>
          </cell>
          <cell r="O791" t="str">
            <v>Manual Input</v>
          </cell>
          <cell r="Q791">
            <v>-80000</v>
          </cell>
        </row>
        <row r="792">
          <cell r="J792">
            <v>792</v>
          </cell>
          <cell r="L792" t="str">
            <v>D</v>
          </cell>
          <cell r="M792" t="str">
            <v>Distribution Plant</v>
          </cell>
          <cell r="N792" t="str">
            <v/>
          </cell>
          <cell r="O792">
            <v>100</v>
          </cell>
          <cell r="P792" t="str">
            <v>S03</v>
          </cell>
          <cell r="R792">
            <v>-80000</v>
          </cell>
          <cell r="S792">
            <v>-43414.876466574555</v>
          </cell>
          <cell r="T792">
            <v>-8803.2967381892504</v>
          </cell>
          <cell r="U792">
            <v>-18874.74321083412</v>
          </cell>
          <cell r="V792">
            <v>-2935.6355417581985</v>
          </cell>
          <cell r="W792">
            <v>-1921.9783042289193</v>
          </cell>
          <cell r="X792">
            <v>-4049.4697384149549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</row>
        <row r="793">
          <cell r="J793">
            <v>793</v>
          </cell>
          <cell r="L793" t="str">
            <v>D</v>
          </cell>
          <cell r="M793" t="str">
            <v>Open</v>
          </cell>
          <cell r="N793" t="str">
            <v/>
          </cell>
          <cell r="O793">
            <v>0</v>
          </cell>
          <cell r="P793" t="str">
            <v>xxx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</row>
        <row r="794">
          <cell r="J794">
            <v>794</v>
          </cell>
          <cell r="L794" t="str">
            <v>D</v>
          </cell>
          <cell r="M794" t="str">
            <v>Open</v>
          </cell>
          <cell r="N794" t="str">
            <v/>
          </cell>
          <cell r="O794">
            <v>0</v>
          </cell>
          <cell r="P794" t="str">
            <v>xxx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</row>
        <row r="795">
          <cell r="J795">
            <v>795</v>
          </cell>
          <cell r="L795" t="str">
            <v>D</v>
          </cell>
          <cell r="M795" t="str">
            <v>Open</v>
          </cell>
          <cell r="N795" t="str">
            <v/>
          </cell>
          <cell r="O795">
            <v>0</v>
          </cell>
          <cell r="P795" t="str">
            <v>xxx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</row>
        <row r="796">
          <cell r="J796">
            <v>796</v>
          </cell>
          <cell r="K796" t="str">
            <v xml:space="preserve">  Optional Renewable Power Offset</v>
          </cell>
          <cell r="Q796">
            <v>0</v>
          </cell>
        </row>
        <row r="797">
          <cell r="J797">
            <v>797</v>
          </cell>
          <cell r="K797" t="str">
            <v xml:space="preserve">  BPA Residential Exchange Amortization</v>
          </cell>
          <cell r="Q797">
            <v>0</v>
          </cell>
        </row>
        <row r="798">
          <cell r="J798">
            <v>798</v>
          </cell>
          <cell r="K798" t="str">
            <v xml:space="preserve">  Open</v>
          </cell>
          <cell r="Q798">
            <v>0</v>
          </cell>
        </row>
        <row r="799">
          <cell r="J799">
            <v>799</v>
          </cell>
          <cell r="K799" t="str">
            <v xml:space="preserve">  Open</v>
          </cell>
          <cell r="Q799">
            <v>0</v>
          </cell>
        </row>
        <row r="800">
          <cell r="J800">
            <v>800</v>
          </cell>
          <cell r="K800" t="str">
            <v xml:space="preserve">  Open</v>
          </cell>
          <cell r="Q800">
            <v>0</v>
          </cell>
        </row>
        <row r="801">
          <cell r="J801">
            <v>801</v>
          </cell>
          <cell r="K801" t="str">
            <v xml:space="preserve">  Open</v>
          </cell>
          <cell r="Q801">
            <v>0</v>
          </cell>
        </row>
        <row r="802">
          <cell r="J802">
            <v>802</v>
          </cell>
          <cell r="K802" t="str">
            <v xml:space="preserve">  Open</v>
          </cell>
          <cell r="Q802">
            <v>0</v>
          </cell>
        </row>
        <row r="803">
          <cell r="J803">
            <v>803</v>
          </cell>
          <cell r="L803" t="str">
            <v>Total Other Income Items</v>
          </cell>
          <cell r="N803" t="str">
            <v/>
          </cell>
          <cell r="Q803">
            <v>-418000</v>
          </cell>
          <cell r="R803">
            <v>-418000</v>
          </cell>
          <cell r="S803">
            <v>-196894.85993432952</v>
          </cell>
          <cell r="T803">
            <v>-37439.634302772844</v>
          </cell>
          <cell r="U803">
            <v>-106495.51214439658</v>
          </cell>
          <cell r="V803">
            <v>-62842.278932239788</v>
          </cell>
          <cell r="W803">
            <v>-8958.8665885070241</v>
          </cell>
          <cell r="X803">
            <v>-5368.8480977542567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</row>
        <row r="804">
          <cell r="J804">
            <v>804</v>
          </cell>
          <cell r="K804" t="str">
            <v>Operating Expenses Before Income Tax Items</v>
          </cell>
          <cell r="P804" t="str">
            <v/>
          </cell>
          <cell r="Q804">
            <v>399767000</v>
          </cell>
          <cell r="R804">
            <v>399767000</v>
          </cell>
          <cell r="S804">
            <v>191536134.06071267</v>
          </cell>
          <cell r="T804">
            <v>37092302.053387903</v>
          </cell>
          <cell r="U804">
            <v>98700563.613973543</v>
          </cell>
          <cell r="V804">
            <v>59403203.710164271</v>
          </cell>
          <cell r="W804">
            <v>8406574.0248372816</v>
          </cell>
          <cell r="X804">
            <v>4628222.5369243743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</row>
        <row r="805">
          <cell r="J805">
            <v>805</v>
          </cell>
          <cell r="L805" t="str">
            <v>Income Tax Items</v>
          </cell>
        </row>
        <row r="806">
          <cell r="J806">
            <v>806</v>
          </cell>
          <cell r="K806" t="str">
            <v>Total Income Tax- State</v>
          </cell>
          <cell r="O806" t="str">
            <v>Sum</v>
          </cell>
          <cell r="Q806">
            <v>0</v>
          </cell>
        </row>
        <row r="807">
          <cell r="J807">
            <v>807</v>
          </cell>
          <cell r="L807" t="str">
            <v>R</v>
          </cell>
          <cell r="M807" t="str">
            <v xml:space="preserve">Income Tax Allocator A </v>
          </cell>
          <cell r="N807" t="str">
            <v/>
          </cell>
          <cell r="O807">
            <v>100</v>
          </cell>
          <cell r="P807" t="str">
            <v>R03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</row>
        <row r="808">
          <cell r="J808">
            <v>808</v>
          </cell>
          <cell r="K808" t="str">
            <v>Total Income Tax- Federal</v>
          </cell>
          <cell r="O808" t="str">
            <v>Sum</v>
          </cell>
          <cell r="Q808">
            <v>14643000</v>
          </cell>
        </row>
        <row r="809">
          <cell r="J809">
            <v>809</v>
          </cell>
          <cell r="L809" t="str">
            <v>R</v>
          </cell>
          <cell r="M809" t="str">
            <v xml:space="preserve">Income Tax Allocator A </v>
          </cell>
          <cell r="N809" t="str">
            <v/>
          </cell>
          <cell r="O809">
            <v>100</v>
          </cell>
          <cell r="P809" t="str">
            <v>R03</v>
          </cell>
          <cell r="R809">
            <v>14643000</v>
          </cell>
          <cell r="S809">
            <v>3463176.5258872909</v>
          </cell>
          <cell r="T809">
            <v>3464581.8176472783</v>
          </cell>
          <cell r="U809">
            <v>6130319.5088724699</v>
          </cell>
          <cell r="V809">
            <v>1022704.0609623005</v>
          </cell>
          <cell r="W809">
            <v>278489.16608016682</v>
          </cell>
          <cell r="X809">
            <v>283728.92055049347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J810">
            <v>810</v>
          </cell>
          <cell r="K810" t="str">
            <v>Total Investment Tax Credit Amortization</v>
          </cell>
          <cell r="O810" t="str">
            <v>Sum</v>
          </cell>
          <cell r="Q810">
            <v>-114000</v>
          </cell>
        </row>
        <row r="811">
          <cell r="J811">
            <v>811</v>
          </cell>
          <cell r="L811" t="str">
            <v>R</v>
          </cell>
          <cell r="M811" t="str">
            <v xml:space="preserve">Income Tax Allocator A </v>
          </cell>
          <cell r="N811" t="str">
            <v/>
          </cell>
          <cell r="O811">
            <v>100</v>
          </cell>
          <cell r="P811" t="str">
            <v>R03</v>
          </cell>
          <cell r="R811">
            <v>-114000</v>
          </cell>
          <cell r="S811">
            <v>-26961.833227559324</v>
          </cell>
          <cell r="T811">
            <v>-26972.773831304359</v>
          </cell>
          <cell r="U811">
            <v>-47726.314553811484</v>
          </cell>
          <cell r="V811">
            <v>-7962.0475961006805</v>
          </cell>
          <cell r="W811">
            <v>-2168.1188918349394</v>
          </cell>
          <cell r="X811">
            <v>-2208.9118993892134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J812">
            <v>812</v>
          </cell>
          <cell r="K812" t="str">
            <v>Total Deferred Income Tax Expense</v>
          </cell>
          <cell r="O812" t="str">
            <v>Sum</v>
          </cell>
          <cell r="Q812">
            <v>14889000</v>
          </cell>
        </row>
        <row r="813">
          <cell r="J813">
            <v>813</v>
          </cell>
          <cell r="L813" t="str">
            <v>R</v>
          </cell>
          <cell r="M813" t="str">
            <v xml:space="preserve">Income Tax Allocator A </v>
          </cell>
          <cell r="N813" t="str">
            <v/>
          </cell>
          <cell r="O813">
            <v>100</v>
          </cell>
          <cell r="P813" t="str">
            <v>R03</v>
          </cell>
          <cell r="R813">
            <v>14889000</v>
          </cell>
          <cell r="S813">
            <v>3521357.3239046559</v>
          </cell>
          <cell r="T813">
            <v>3522786.2243358823</v>
          </cell>
          <cell r="U813">
            <v>6233307.8718570098</v>
          </cell>
          <cell r="V813">
            <v>1039885.3215644126</v>
          </cell>
          <cell r="W813">
            <v>283167.73842570541</v>
          </cell>
          <cell r="X813">
            <v>288495.51991233334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J814">
            <v>814</v>
          </cell>
          <cell r="L814" t="str">
            <v>Total Income Tax Items</v>
          </cell>
          <cell r="N814" t="str">
            <v/>
          </cell>
          <cell r="Q814">
            <v>29418000</v>
          </cell>
          <cell r="R814">
            <v>29418000</v>
          </cell>
          <cell r="S814">
            <v>6957572.0165643878</v>
          </cell>
          <cell r="T814">
            <v>6960395.268151857</v>
          </cell>
          <cell r="U814">
            <v>12315901.066175669</v>
          </cell>
          <cell r="V814">
            <v>2054627.3349306122</v>
          </cell>
          <cell r="W814">
            <v>559488.7856140373</v>
          </cell>
          <cell r="X814">
            <v>570015.52856343752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</row>
        <row r="815">
          <cell r="J815">
            <v>815</v>
          </cell>
        </row>
        <row r="816">
          <cell r="J816">
            <v>816</v>
          </cell>
          <cell r="K816" t="str">
            <v>Total Operating Expenses</v>
          </cell>
          <cell r="N816" t="str">
            <v/>
          </cell>
          <cell r="Q816">
            <v>429185000</v>
          </cell>
          <cell r="R816">
            <v>429185000</v>
          </cell>
          <cell r="S816">
            <v>198493706.07727706</v>
          </cell>
          <cell r="T816">
            <v>44052697.32153976</v>
          </cell>
          <cell r="U816">
            <v>111016464.68014921</v>
          </cell>
          <cell r="V816">
            <v>61457831.045094885</v>
          </cell>
          <cell r="W816">
            <v>8966062.8104513194</v>
          </cell>
          <cell r="X816">
            <v>5198238.0654878113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J817">
            <v>817</v>
          </cell>
        </row>
        <row r="818">
          <cell r="J818">
            <v>818</v>
          </cell>
          <cell r="K818" t="str">
            <v>Operating Revenues</v>
          </cell>
        </row>
        <row r="819">
          <cell r="J819">
            <v>819</v>
          </cell>
          <cell r="K819" t="str">
            <v>44X</v>
          </cell>
          <cell r="L819" t="str">
            <v>From Sale of Electricity (Retail)</v>
          </cell>
          <cell r="Q819">
            <v>-455105000</v>
          </cell>
        </row>
        <row r="820">
          <cell r="J820">
            <v>820</v>
          </cell>
          <cell r="L820" t="str">
            <v>R</v>
          </cell>
          <cell r="M820" t="str">
            <v>Direct Input</v>
          </cell>
          <cell r="N820" t="str">
            <v>Alloc Wks Line 61</v>
          </cell>
          <cell r="R820">
            <v>-455105000</v>
          </cell>
          <cell r="S820">
            <v>-198459000</v>
          </cell>
          <cell r="T820">
            <v>-55514000</v>
          </cell>
          <cell r="U820">
            <v>-126921000</v>
          </cell>
          <cell r="V820">
            <v>-58190000</v>
          </cell>
          <cell r="W820">
            <v>-9439000</v>
          </cell>
          <cell r="X820">
            <v>-6582000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J821">
            <v>821</v>
          </cell>
          <cell r="K821" t="str">
            <v>Open</v>
          </cell>
          <cell r="L821" t="str">
            <v>Open</v>
          </cell>
          <cell r="O821" t="str">
            <v>Sum</v>
          </cell>
          <cell r="Q821">
            <v>0</v>
          </cell>
        </row>
        <row r="822">
          <cell r="J822">
            <v>822</v>
          </cell>
          <cell r="K822">
            <v>447</v>
          </cell>
          <cell r="L822" t="str">
            <v>From Sale of Electricity (Wholesale)</v>
          </cell>
          <cell r="O822" t="str">
            <v>Sum</v>
          </cell>
          <cell r="Q822">
            <v>-55442000</v>
          </cell>
        </row>
        <row r="823">
          <cell r="J823">
            <v>823</v>
          </cell>
          <cell r="L823" t="str">
            <v>P</v>
          </cell>
          <cell r="M823" t="str">
            <v xml:space="preserve">Production Plant </v>
          </cell>
          <cell r="N823" t="str">
            <v/>
          </cell>
          <cell r="O823">
            <v>100</v>
          </cell>
          <cell r="P823" t="str">
            <v>S01</v>
          </cell>
          <cell r="R823">
            <v>-55442000</v>
          </cell>
          <cell r="S823">
            <v>-25175258.116625052</v>
          </cell>
          <cell r="T823">
            <v>-4697206.5895137377</v>
          </cell>
          <cell r="U823">
            <v>-14372398.435546067</v>
          </cell>
          <cell r="V823">
            <v>-9826461.9019381087</v>
          </cell>
          <cell r="W823">
            <v>-1154257.8705826823</v>
          </cell>
          <cell r="X823">
            <v>-216417.08579434777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</row>
        <row r="824">
          <cell r="J824">
            <v>824</v>
          </cell>
          <cell r="K824" t="str">
            <v>Open</v>
          </cell>
          <cell r="L824">
            <v>0</v>
          </cell>
          <cell r="Q824">
            <v>0</v>
          </cell>
        </row>
        <row r="825">
          <cell r="J825">
            <v>825</v>
          </cell>
          <cell r="L825" t="str">
            <v>Total Revenues From Sale or Distribution of Electricity</v>
          </cell>
          <cell r="P825" t="str">
            <v/>
          </cell>
          <cell r="Q825">
            <v>-510547000</v>
          </cell>
          <cell r="R825">
            <v>-510547000</v>
          </cell>
          <cell r="S825">
            <v>-223634258.11662504</v>
          </cell>
          <cell r="T825">
            <v>-60211206.589513734</v>
          </cell>
          <cell r="U825">
            <v>-141293398.43554607</v>
          </cell>
          <cell r="V825">
            <v>-68016461.901938111</v>
          </cell>
          <cell r="W825">
            <v>-10593257.870582683</v>
          </cell>
          <cell r="X825">
            <v>-6798417.0857943473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</row>
        <row r="826">
          <cell r="J826">
            <v>826</v>
          </cell>
        </row>
        <row r="827">
          <cell r="J827">
            <v>827</v>
          </cell>
          <cell r="L827" t="str">
            <v>Other Operating Revenues</v>
          </cell>
        </row>
        <row r="828">
          <cell r="J828">
            <v>828</v>
          </cell>
          <cell r="K828">
            <v>451</v>
          </cell>
          <cell r="L828" t="str">
            <v>Miscellaneous Service Revenues</v>
          </cell>
          <cell r="O828" t="str">
            <v>Sum</v>
          </cell>
          <cell r="Q828">
            <v>-356000</v>
          </cell>
        </row>
        <row r="829">
          <cell r="J829">
            <v>829</v>
          </cell>
          <cell r="L829" t="str">
            <v>D</v>
          </cell>
          <cell r="M829" t="str">
            <v>Distribution Plant</v>
          </cell>
          <cell r="N829" t="str">
            <v/>
          </cell>
          <cell r="O829">
            <v>100</v>
          </cell>
          <cell r="P829" t="str">
            <v>S03</v>
          </cell>
          <cell r="R829">
            <v>-356000</v>
          </cell>
          <cell r="S829">
            <v>-193196.20027625677</v>
          </cell>
          <cell r="T829">
            <v>-39174.670484942166</v>
          </cell>
          <cell r="U829">
            <v>-83992.607288211831</v>
          </cell>
          <cell r="V829">
            <v>-13063.578160823983</v>
          </cell>
          <cell r="W829">
            <v>-8552.8034538186912</v>
          </cell>
          <cell r="X829">
            <v>-18020.140335946548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</row>
        <row r="830">
          <cell r="J830">
            <v>830</v>
          </cell>
          <cell r="K830">
            <v>453</v>
          </cell>
          <cell r="L830" t="str">
            <v>Sales of Water and Water Power</v>
          </cell>
          <cell r="O830" t="str">
            <v>Sum</v>
          </cell>
          <cell r="Q830">
            <v>-330000</v>
          </cell>
        </row>
        <row r="831">
          <cell r="J831">
            <v>831</v>
          </cell>
          <cell r="L831" t="str">
            <v>P</v>
          </cell>
          <cell r="M831" t="str">
            <v xml:space="preserve">Production Plant </v>
          </cell>
          <cell r="N831" t="str">
            <v/>
          </cell>
          <cell r="O831">
            <v>100</v>
          </cell>
          <cell r="P831" t="str">
            <v>S01</v>
          </cell>
          <cell r="R831">
            <v>-330000</v>
          </cell>
          <cell r="S831">
            <v>-149847.32113715715</v>
          </cell>
          <cell r="T831">
            <v>-27958.554426960309</v>
          </cell>
          <cell r="U831">
            <v>-85546.904580105373</v>
          </cell>
          <cell r="V831">
            <v>-58488.734671180253</v>
          </cell>
          <cell r="W831">
            <v>-6870.3347154194498</v>
          </cell>
          <cell r="X831">
            <v>-1288.1504691774244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</row>
        <row r="832">
          <cell r="J832">
            <v>832</v>
          </cell>
          <cell r="K832">
            <v>454</v>
          </cell>
          <cell r="L832" t="str">
            <v>Rent From Electric Property</v>
          </cell>
          <cell r="O832" t="str">
            <v>Manual Input</v>
          </cell>
          <cell r="Q832">
            <v>-1916000</v>
          </cell>
        </row>
        <row r="833">
          <cell r="J833">
            <v>833</v>
          </cell>
          <cell r="L833" t="str">
            <v>P</v>
          </cell>
          <cell r="M833" t="str">
            <v xml:space="preserve">Production Plant </v>
          </cell>
          <cell r="O833">
            <v>18</v>
          </cell>
          <cell r="P833" t="str">
            <v>S01</v>
          </cell>
          <cell r="R833">
            <v>-18000</v>
          </cell>
          <cell r="S833">
            <v>-8173.4902438449353</v>
          </cell>
          <cell r="T833">
            <v>-1525.0120596523805</v>
          </cell>
          <cell r="U833">
            <v>-4666.1947952784749</v>
          </cell>
          <cell r="V833">
            <v>-3190.294618428014</v>
          </cell>
          <cell r="W833">
            <v>-374.74552993197</v>
          </cell>
          <cell r="X833">
            <v>-70.26275286422316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</row>
        <row r="834">
          <cell r="J834">
            <v>834</v>
          </cell>
          <cell r="L834" t="str">
            <v>T</v>
          </cell>
          <cell r="M834" t="str">
            <v>Transmission Plant</v>
          </cell>
          <cell r="O834">
            <v>16</v>
          </cell>
          <cell r="P834" t="str">
            <v>S02</v>
          </cell>
          <cell r="R834">
            <v>-16000</v>
          </cell>
          <cell r="S834">
            <v>-7265.324661195501</v>
          </cell>
          <cell r="T834">
            <v>-1355.5662752465607</v>
          </cell>
          <cell r="U834">
            <v>-4147.7287069141994</v>
          </cell>
          <cell r="V834">
            <v>-2835.8174386026785</v>
          </cell>
          <cell r="W834">
            <v>-333.10713771730673</v>
          </cell>
          <cell r="X834">
            <v>-62.455780323753906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</row>
        <row r="835">
          <cell r="J835">
            <v>835</v>
          </cell>
          <cell r="L835" t="str">
            <v>D</v>
          </cell>
          <cell r="M835" t="str">
            <v>Distribution Plant</v>
          </cell>
          <cell r="N835" t="str">
            <v/>
          </cell>
          <cell r="O835">
            <v>1882</v>
          </cell>
          <cell r="P835" t="str">
            <v>S03</v>
          </cell>
          <cell r="R835">
            <v>-1882000</v>
          </cell>
          <cell r="S835">
            <v>-1021334.9688761664</v>
          </cell>
          <cell r="T835">
            <v>-207097.55576590213</v>
          </cell>
          <cell r="U835">
            <v>-444028.33403487265</v>
          </cell>
          <cell r="V835">
            <v>-69060.826119861624</v>
          </cell>
          <cell r="W835">
            <v>-45214.539606985323</v>
          </cell>
          <cell r="X835">
            <v>-95263.77559621181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J836">
            <v>836</v>
          </cell>
          <cell r="K836">
            <v>456</v>
          </cell>
          <cell r="L836" t="str">
            <v>Other Electric Revenues</v>
          </cell>
          <cell r="O836" t="str">
            <v>Manual Input</v>
          </cell>
          <cell r="Q836">
            <v>-9934000</v>
          </cell>
        </row>
        <row r="837">
          <cell r="J837">
            <v>837</v>
          </cell>
          <cell r="L837" t="str">
            <v>P</v>
          </cell>
          <cell r="M837" t="str">
            <v xml:space="preserve">Production Plant </v>
          </cell>
          <cell r="O837">
            <v>466</v>
          </cell>
          <cell r="P837" t="str">
            <v>S01</v>
          </cell>
          <cell r="R837">
            <v>-463666.266025641</v>
          </cell>
          <cell r="S837">
            <v>-210542.87232003262</v>
          </cell>
          <cell r="T837">
            <v>-39283.147074616187</v>
          </cell>
          <cell r="U837">
            <v>-120197.61762639172</v>
          </cell>
          <cell r="V837">
            <v>-82179.555180456358</v>
          </cell>
          <cell r="W837">
            <v>-9653.1589207420348</v>
          </cell>
          <cell r="X837">
            <v>-1809.9149034020425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</row>
        <row r="838">
          <cell r="J838">
            <v>838</v>
          </cell>
          <cell r="L838" t="str">
            <v>T</v>
          </cell>
          <cell r="M838" t="str">
            <v>Transmission Plant</v>
          </cell>
          <cell r="N838" t="str">
            <v/>
          </cell>
          <cell r="O838">
            <v>8268</v>
          </cell>
          <cell r="P838" t="str">
            <v>S02</v>
          </cell>
          <cell r="R838">
            <v>-8226593.75</v>
          </cell>
          <cell r="S838">
            <v>-3735554.6530944859</v>
          </cell>
          <cell r="T838">
            <v>-696980.81547838345</v>
          </cell>
          <cell r="U838">
            <v>-2132604.9410622455</v>
          </cell>
          <cell r="V838">
            <v>-1458069.8760343627</v>
          </cell>
          <cell r="W838">
            <v>-171271.06857659903</v>
          </cell>
          <cell r="X838">
            <v>-32112.39575392293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</row>
        <row r="839">
          <cell r="J839">
            <v>839</v>
          </cell>
          <cell r="L839" t="str">
            <v>D</v>
          </cell>
          <cell r="M839" t="str">
            <v>Distribution Plant</v>
          </cell>
          <cell r="N839" t="str">
            <v/>
          </cell>
          <cell r="O839">
            <v>1250</v>
          </cell>
          <cell r="P839" t="str">
            <v>S03</v>
          </cell>
          <cell r="R839">
            <v>-1243739.983974359</v>
          </cell>
          <cell r="S839">
            <v>-674960.22200982762</v>
          </cell>
          <cell r="T839">
            <v>-136862.65180096283</v>
          </cell>
          <cell r="U839">
            <v>-293440.91023203713</v>
          </cell>
          <cell r="V839">
            <v>-45639.591270761259</v>
          </cell>
          <cell r="W839">
            <v>-29880.515816259271</v>
          </cell>
          <cell r="X839">
            <v>-62956.092844510844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</row>
        <row r="840">
          <cell r="J840">
            <v>840</v>
          </cell>
          <cell r="K840" t="str">
            <v>44X</v>
          </cell>
          <cell r="L840" t="str">
            <v xml:space="preserve">Special Contract </v>
          </cell>
          <cell r="O840" t="str">
            <v>Manual Input</v>
          </cell>
          <cell r="Q840">
            <v>0</v>
          </cell>
        </row>
        <row r="841">
          <cell r="J841">
            <v>841</v>
          </cell>
          <cell r="L841" t="str">
            <v>P</v>
          </cell>
          <cell r="M841" t="str">
            <v xml:space="preserve">Production Plant </v>
          </cell>
          <cell r="N841" t="str">
            <v/>
          </cell>
          <cell r="O841">
            <v>100</v>
          </cell>
          <cell r="P841" t="str">
            <v>S01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</row>
        <row r="842">
          <cell r="J842">
            <v>842</v>
          </cell>
          <cell r="L842" t="str">
            <v>Total Other Operating Revenues</v>
          </cell>
          <cell r="P842" t="str">
            <v/>
          </cell>
          <cell r="Q842">
            <v>-12536000</v>
          </cell>
          <cell r="R842">
            <v>-12536000</v>
          </cell>
          <cell r="S842">
            <v>-6000875.0526189664</v>
          </cell>
          <cell r="T842">
            <v>-1150237.9733666659</v>
          </cell>
          <cell r="U842">
            <v>-3168625.2383260569</v>
          </cell>
          <cell r="V842">
            <v>-1732528.2734944769</v>
          </cell>
          <cell r="W842">
            <v>-272150.2737574731</v>
          </cell>
          <cell r="X842">
            <v>-211583.18843635957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</row>
        <row r="843">
          <cell r="J843">
            <v>843</v>
          </cell>
        </row>
        <row r="844">
          <cell r="J844">
            <v>844</v>
          </cell>
          <cell r="K844" t="str">
            <v>Total Operating Revenues</v>
          </cell>
          <cell r="N844" t="str">
            <v/>
          </cell>
          <cell r="Q844">
            <v>-523083000</v>
          </cell>
          <cell r="R844">
            <v>-523083000</v>
          </cell>
          <cell r="S844">
            <v>-229635133.16924402</v>
          </cell>
          <cell r="T844">
            <v>-61361444.562880397</v>
          </cell>
          <cell r="U844">
            <v>-144462023.67387211</v>
          </cell>
          <cell r="V844">
            <v>-69748990.175432593</v>
          </cell>
          <cell r="W844">
            <v>-10865408.144340156</v>
          </cell>
          <cell r="X844">
            <v>-7010000.2742307065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</row>
        <row r="845">
          <cell r="J845">
            <v>845</v>
          </cell>
        </row>
        <row r="846">
          <cell r="J846">
            <v>846</v>
          </cell>
          <cell r="K846" t="str">
            <v>Net Operating Expense (Income)</v>
          </cell>
          <cell r="N846" t="str">
            <v/>
          </cell>
          <cell r="Q846">
            <v>-93898000</v>
          </cell>
          <cell r="R846">
            <v>-93898000</v>
          </cell>
          <cell r="S846">
            <v>-31141427.091966957</v>
          </cell>
          <cell r="T846">
            <v>-17308747.241340637</v>
          </cell>
          <cell r="U846">
            <v>-33445558.993722901</v>
          </cell>
          <cell r="V846">
            <v>-8291159.1303377077</v>
          </cell>
          <cell r="W846">
            <v>-1899345.3338888362</v>
          </cell>
          <cell r="X846">
            <v>-1811762.2087428952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</row>
        <row r="847">
          <cell r="J847">
            <v>847</v>
          </cell>
        </row>
        <row r="848">
          <cell r="J848">
            <v>848</v>
          </cell>
          <cell r="K848" t="str">
            <v>Rate Base</v>
          </cell>
        </row>
        <row r="849">
          <cell r="J849">
            <v>849</v>
          </cell>
          <cell r="K849" t="str">
            <v>Plant In Service</v>
          </cell>
        </row>
        <row r="850">
          <cell r="J850">
            <v>850</v>
          </cell>
          <cell r="L850" t="str">
            <v>Intangible Plant</v>
          </cell>
        </row>
        <row r="851">
          <cell r="J851">
            <v>851</v>
          </cell>
          <cell r="K851">
            <v>303</v>
          </cell>
          <cell r="L851" t="str">
            <v xml:space="preserve">Miscellaneous </v>
          </cell>
          <cell r="O851" t="str">
            <v>Manual Input</v>
          </cell>
          <cell r="Q851">
            <v>2376000</v>
          </cell>
        </row>
        <row r="852">
          <cell r="J852">
            <v>852</v>
          </cell>
          <cell r="L852" t="str">
            <v>P</v>
          </cell>
          <cell r="M852" t="str">
            <v xml:space="preserve">Production Plant </v>
          </cell>
          <cell r="O852">
            <v>0</v>
          </cell>
          <cell r="P852" t="str">
            <v>S01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</row>
        <row r="853">
          <cell r="J853">
            <v>853</v>
          </cell>
          <cell r="L853" t="str">
            <v>T</v>
          </cell>
          <cell r="M853" t="str">
            <v>Transmission Plant</v>
          </cell>
          <cell r="N853" t="str">
            <v/>
          </cell>
          <cell r="O853">
            <v>1447</v>
          </cell>
          <cell r="P853" t="str">
            <v>S02</v>
          </cell>
          <cell r="R853">
            <v>1506604.7326906223</v>
          </cell>
          <cell r="S853">
            <v>684123.28244318964</v>
          </cell>
          <cell r="T853">
            <v>127643.9103601417</v>
          </cell>
          <cell r="U853">
            <v>390561.73123460548</v>
          </cell>
          <cell r="V853">
            <v>267028.49837783712</v>
          </cell>
          <cell r="W853">
            <v>31366.299386120074</v>
          </cell>
          <cell r="X853">
            <v>5881.0108887283432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</row>
        <row r="854">
          <cell r="J854">
            <v>854</v>
          </cell>
          <cell r="L854" t="str">
            <v>D</v>
          </cell>
          <cell r="M854" t="str">
            <v>Distribution Plant</v>
          </cell>
          <cell r="O854">
            <v>735</v>
          </cell>
          <cell r="P854" t="str">
            <v>S03</v>
          </cell>
          <cell r="R854">
            <v>765276.07361963193</v>
          </cell>
          <cell r="S854">
            <v>415304.57748776919</v>
          </cell>
          <cell r="T854">
            <v>84211.904533874796</v>
          </cell>
          <cell r="U854">
            <v>180554.86718707424</v>
          </cell>
          <cell r="V854">
            <v>28082.14551218694</v>
          </cell>
          <cell r="W854">
            <v>18385.550128030322</v>
          </cell>
          <cell r="X854">
            <v>38737.02877069643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</row>
        <row r="855">
          <cell r="J855">
            <v>855</v>
          </cell>
          <cell r="L855" t="str">
            <v>O</v>
          </cell>
          <cell r="M855" t="str">
            <v>P/T/D/G Plant</v>
          </cell>
          <cell r="O855">
            <v>100</v>
          </cell>
          <cell r="P855" t="str">
            <v>S06</v>
          </cell>
          <cell r="R855">
            <v>104119.19368974584</v>
          </cell>
          <cell r="S855">
            <v>51224.635312267419</v>
          </cell>
          <cell r="T855">
            <v>9868.0236455901031</v>
          </cell>
          <cell r="U855">
            <v>25806.742310320245</v>
          </cell>
          <cell r="V855">
            <v>12666.296728323159</v>
          </cell>
          <cell r="W855">
            <v>2284.7120651497107</v>
          </cell>
          <cell r="X855">
            <v>2268.7836280952038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</row>
        <row r="856">
          <cell r="J856">
            <v>856</v>
          </cell>
          <cell r="K856" t="str">
            <v>302.XX</v>
          </cell>
          <cell r="L856" t="str">
            <v>Franchises &amp; Consents - Hydro Relicensing Costs</v>
          </cell>
          <cell r="O856" t="str">
            <v>P01</v>
          </cell>
          <cell r="P856" t="str">
            <v/>
          </cell>
          <cell r="Q856">
            <v>64877000</v>
          </cell>
        </row>
        <row r="857">
          <cell r="J857">
            <v>857</v>
          </cell>
          <cell r="L857" t="str">
            <v>P</v>
          </cell>
          <cell r="M857" t="str">
            <v>Coincident Peak</v>
          </cell>
          <cell r="N857" t="str">
            <v/>
          </cell>
          <cell r="O857">
            <v>34.200000000000003</v>
          </cell>
          <cell r="P857" t="str">
            <v>D01</v>
          </cell>
          <cell r="R857">
            <v>22187934</v>
          </cell>
          <cell r="S857">
            <v>11057122.794992073</v>
          </cell>
          <cell r="T857">
            <v>1727118.8189314089</v>
          </cell>
          <cell r="U857">
            <v>5427432.898354942</v>
          </cell>
          <cell r="V857">
            <v>3527901.1363134189</v>
          </cell>
          <cell r="W857">
            <v>394424.81263725652</v>
          </cell>
          <cell r="X857">
            <v>53933.53877090005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</row>
        <row r="858">
          <cell r="J858">
            <v>858</v>
          </cell>
          <cell r="L858" t="str">
            <v>P</v>
          </cell>
          <cell r="M858" t="str">
            <v>Generation Level Consumption</v>
          </cell>
          <cell r="N858" t="str">
            <v/>
          </cell>
          <cell r="O858">
            <v>65.8</v>
          </cell>
          <cell r="P858" t="str">
            <v>E02</v>
          </cell>
          <cell r="R858">
            <v>42689066</v>
          </cell>
          <cell r="S858">
            <v>18402406.457781702</v>
          </cell>
          <cell r="T858">
            <v>3769448.2585167862</v>
          </cell>
          <cell r="U858">
            <v>11390829.309049595</v>
          </cell>
          <cell r="V858">
            <v>7970806.8614507103</v>
          </cell>
          <cell r="W858">
            <v>956262.17321810033</v>
          </cell>
          <cell r="X858">
            <v>199312.93998311143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</row>
        <row r="859">
          <cell r="J859">
            <v>859</v>
          </cell>
          <cell r="L859" t="str">
            <v>P</v>
          </cell>
          <cell r="M859" t="str">
            <v>Open</v>
          </cell>
          <cell r="N859" t="str">
            <v/>
          </cell>
          <cell r="O859">
            <v>0</v>
          </cell>
          <cell r="P859" t="str">
            <v>xxx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</row>
        <row r="860">
          <cell r="J860">
            <v>860</v>
          </cell>
          <cell r="L860" t="str">
            <v>P</v>
          </cell>
          <cell r="M860" t="str">
            <v>Open</v>
          </cell>
          <cell r="N860" t="str">
            <v/>
          </cell>
          <cell r="O860">
            <v>0</v>
          </cell>
          <cell r="P860" t="str">
            <v>xxx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</row>
        <row r="861">
          <cell r="J861">
            <v>861</v>
          </cell>
          <cell r="K861" t="str">
            <v xml:space="preserve"> Open</v>
          </cell>
          <cell r="L861" t="str">
            <v>Open</v>
          </cell>
          <cell r="O861" t="str">
            <v>T01</v>
          </cell>
          <cell r="P861" t="str">
            <v/>
          </cell>
          <cell r="Q861">
            <v>0</v>
          </cell>
        </row>
        <row r="862">
          <cell r="J862">
            <v>862</v>
          </cell>
          <cell r="L862" t="str">
            <v>T</v>
          </cell>
          <cell r="M862" t="str">
            <v>Coincident Peak</v>
          </cell>
          <cell r="N862" t="str">
            <v/>
          </cell>
          <cell r="O862">
            <v>34.200000000000003</v>
          </cell>
          <cell r="P862" t="str">
            <v>D01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</row>
        <row r="863">
          <cell r="J863">
            <v>863</v>
          </cell>
          <cell r="L863" t="str">
            <v>T</v>
          </cell>
          <cell r="M863" t="str">
            <v>Generation Level Consumption</v>
          </cell>
          <cell r="N863" t="str">
            <v/>
          </cell>
          <cell r="O863">
            <v>65.8</v>
          </cell>
          <cell r="P863" t="str">
            <v>E02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</row>
        <row r="864">
          <cell r="J864">
            <v>864</v>
          </cell>
          <cell r="L864" t="str">
            <v>T</v>
          </cell>
          <cell r="M864" t="str">
            <v>Open</v>
          </cell>
          <cell r="N864" t="str">
            <v/>
          </cell>
          <cell r="O864">
            <v>0</v>
          </cell>
          <cell r="P864" t="str">
            <v>xxx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</row>
        <row r="865">
          <cell r="J865">
            <v>865</v>
          </cell>
          <cell r="K865" t="str">
            <v>303.1X</v>
          </cell>
          <cell r="L865" t="str">
            <v>Miscellaneous - Computer Software</v>
          </cell>
          <cell r="O865" t="str">
            <v>M04</v>
          </cell>
          <cell r="P865" t="str">
            <v/>
          </cell>
          <cell r="Q865">
            <v>19709000</v>
          </cell>
        </row>
        <row r="866">
          <cell r="J866">
            <v>866</v>
          </cell>
          <cell r="L866" t="str">
            <v>O</v>
          </cell>
          <cell r="M866" t="str">
            <v>P/T/D Plant</v>
          </cell>
          <cell r="O866">
            <v>0</v>
          </cell>
          <cell r="P866" t="str">
            <v>S05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</row>
        <row r="867">
          <cell r="J867">
            <v>867</v>
          </cell>
          <cell r="L867" t="str">
            <v>O</v>
          </cell>
          <cell r="M867" t="str">
            <v>Labor P/T/D Total</v>
          </cell>
          <cell r="N867" t="str">
            <v/>
          </cell>
          <cell r="O867">
            <v>0</v>
          </cell>
          <cell r="P867" t="str">
            <v>S21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</row>
        <row r="868">
          <cell r="J868">
            <v>868</v>
          </cell>
          <cell r="L868" t="str">
            <v>O</v>
          </cell>
          <cell r="M868" t="str">
            <v>Labor O&amp;M excl A&amp;G</v>
          </cell>
          <cell r="O868">
            <v>0</v>
          </cell>
          <cell r="P868" t="str">
            <v>S22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</row>
        <row r="869">
          <cell r="J869">
            <v>869</v>
          </cell>
          <cell r="L869" t="str">
            <v>O</v>
          </cell>
          <cell r="M869" t="str">
            <v>P/T/D/G Plant</v>
          </cell>
          <cell r="O869">
            <v>100</v>
          </cell>
          <cell r="P869" t="str">
            <v>S06</v>
          </cell>
          <cell r="R869">
            <v>19709000</v>
          </cell>
          <cell r="S869">
            <v>9696447.9035233594</v>
          </cell>
          <cell r="T869">
            <v>1867944.5272163064</v>
          </cell>
          <cell r="U869">
            <v>4885027.1133457078</v>
          </cell>
          <cell r="V869">
            <v>2397637.105819298</v>
          </cell>
          <cell r="W869">
            <v>432479.24322401243</v>
          </cell>
          <cell r="X869">
            <v>429464.10687131708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</row>
        <row r="870">
          <cell r="J870">
            <v>870</v>
          </cell>
          <cell r="L870" t="str">
            <v>Total Intangible Plant</v>
          </cell>
          <cell r="N870" t="str">
            <v/>
          </cell>
          <cell r="Q870">
            <v>86962000</v>
          </cell>
          <cell r="R870">
            <v>86962000</v>
          </cell>
          <cell r="S870">
            <v>40306629.651540361</v>
          </cell>
          <cell r="T870">
            <v>7586235.4432041086</v>
          </cell>
          <cell r="U870">
            <v>22300212.661482245</v>
          </cell>
          <cell r="V870">
            <v>14204122.044201775</v>
          </cell>
          <cell r="W870">
            <v>1835202.7906586693</v>
          </cell>
          <cell r="X870">
            <v>729597.40891284845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</row>
        <row r="871">
          <cell r="J871">
            <v>871</v>
          </cell>
        </row>
        <row r="872">
          <cell r="J872">
            <v>872</v>
          </cell>
          <cell r="L872" t="str">
            <v>Production Plant</v>
          </cell>
        </row>
        <row r="873">
          <cell r="J873">
            <v>873</v>
          </cell>
          <cell r="K873" t="str">
            <v>31X</v>
          </cell>
          <cell r="L873" t="str">
            <v>Steam Production</v>
          </cell>
          <cell r="O873" t="str">
            <v>P01</v>
          </cell>
          <cell r="P873" t="str">
            <v/>
          </cell>
          <cell r="Q873">
            <v>242035000</v>
          </cell>
        </row>
        <row r="874">
          <cell r="J874">
            <v>874</v>
          </cell>
          <cell r="L874" t="str">
            <v>P</v>
          </cell>
          <cell r="M874" t="str">
            <v>Coincident Peak</v>
          </cell>
          <cell r="N874" t="str">
            <v/>
          </cell>
          <cell r="O874">
            <v>34.200000000000003</v>
          </cell>
          <cell r="P874" t="str">
            <v>D01</v>
          </cell>
          <cell r="R874">
            <v>82775970.000000015</v>
          </cell>
          <cell r="S874">
            <v>41250531.246603683</v>
          </cell>
          <cell r="T874">
            <v>6443318.947239602</v>
          </cell>
          <cell r="U874">
            <v>20247988.062847216</v>
          </cell>
          <cell r="V874">
            <v>13161452.464318918</v>
          </cell>
          <cell r="W874">
            <v>1471470.7758783298</v>
          </cell>
          <cell r="X874">
            <v>201208.50311227085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</row>
        <row r="875">
          <cell r="J875">
            <v>875</v>
          </cell>
          <cell r="L875" t="str">
            <v>P</v>
          </cell>
          <cell r="M875" t="str">
            <v>Generation Level Consumption</v>
          </cell>
          <cell r="N875" t="str">
            <v/>
          </cell>
          <cell r="O875">
            <v>65.8</v>
          </cell>
          <cell r="P875" t="str">
            <v>E02</v>
          </cell>
          <cell r="R875">
            <v>159259030</v>
          </cell>
          <cell r="S875">
            <v>68653397.151674613</v>
          </cell>
          <cell r="T875">
            <v>14062586.267091732</v>
          </cell>
          <cell r="U875">
            <v>42495481.785776451</v>
          </cell>
          <cell r="V875">
            <v>29736489.645193562</v>
          </cell>
          <cell r="W875">
            <v>3567503.3539596917</v>
          </cell>
          <cell r="X875">
            <v>743571.79630396562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</row>
        <row r="876">
          <cell r="J876">
            <v>876</v>
          </cell>
          <cell r="L876" t="str">
            <v>P</v>
          </cell>
          <cell r="M876" t="str">
            <v>Open</v>
          </cell>
          <cell r="N876" t="str">
            <v/>
          </cell>
          <cell r="O876">
            <v>0</v>
          </cell>
          <cell r="P876" t="str">
            <v>xxx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</row>
        <row r="877">
          <cell r="J877">
            <v>877</v>
          </cell>
          <cell r="L877" t="str">
            <v>P</v>
          </cell>
          <cell r="M877" t="str">
            <v>Open</v>
          </cell>
          <cell r="N877" t="str">
            <v/>
          </cell>
          <cell r="O877">
            <v>0</v>
          </cell>
          <cell r="P877" t="str">
            <v>xxx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</row>
        <row r="878">
          <cell r="J878">
            <v>878</v>
          </cell>
          <cell r="K878" t="str">
            <v>32X</v>
          </cell>
          <cell r="L878" t="str">
            <v>Nuclear Production</v>
          </cell>
          <cell r="O878" t="str">
            <v>P01</v>
          </cell>
          <cell r="P878" t="str">
            <v/>
          </cell>
          <cell r="Q878">
            <v>79626000</v>
          </cell>
        </row>
        <row r="879">
          <cell r="J879">
            <v>879</v>
          </cell>
          <cell r="L879" t="str">
            <v>P</v>
          </cell>
          <cell r="M879" t="str">
            <v>Coincident Peak</v>
          </cell>
          <cell r="N879" t="str">
            <v/>
          </cell>
          <cell r="O879">
            <v>34.200000000000003</v>
          </cell>
          <cell r="P879" t="str">
            <v>D01</v>
          </cell>
          <cell r="R879">
            <v>27232092</v>
          </cell>
          <cell r="S879">
            <v>13570825.711331271</v>
          </cell>
          <cell r="T879">
            <v>2119758.3592988634</v>
          </cell>
          <cell r="U879">
            <v>6661294.0173622491</v>
          </cell>
          <cell r="V879">
            <v>4329926.721027364</v>
          </cell>
          <cell r="W879">
            <v>484092.51554563537</v>
          </cell>
          <cell r="X879">
            <v>66194.675434617617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</row>
        <row r="880">
          <cell r="J880">
            <v>880</v>
          </cell>
          <cell r="L880" t="str">
            <v>P</v>
          </cell>
          <cell r="M880" t="str">
            <v>Generation Level Consumption</v>
          </cell>
          <cell r="N880" t="str">
            <v/>
          </cell>
          <cell r="O880">
            <v>65.8</v>
          </cell>
          <cell r="P880" t="str">
            <v>E02</v>
          </cell>
          <cell r="R880">
            <v>52393908</v>
          </cell>
          <cell r="S880">
            <v>22585970.63069078</v>
          </cell>
          <cell r="T880">
            <v>4626386.655250052</v>
          </cell>
          <cell r="U880">
            <v>13980396.358684635</v>
          </cell>
          <cell r="V880">
            <v>9782873.2393586971</v>
          </cell>
          <cell r="W880">
            <v>1173656.7936967562</v>
          </cell>
          <cell r="X880">
            <v>244624.32231908428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J881">
            <v>881</v>
          </cell>
          <cell r="L881" t="str">
            <v>P</v>
          </cell>
          <cell r="M881" t="str">
            <v>Open</v>
          </cell>
          <cell r="N881" t="str">
            <v/>
          </cell>
          <cell r="O881">
            <v>0</v>
          </cell>
          <cell r="P881" t="str">
            <v>xxx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</row>
        <row r="882">
          <cell r="J882">
            <v>882</v>
          </cell>
          <cell r="L882" t="str">
            <v>P</v>
          </cell>
          <cell r="M882" t="str">
            <v>Open</v>
          </cell>
          <cell r="N882" t="str">
            <v/>
          </cell>
          <cell r="O882">
            <v>0</v>
          </cell>
          <cell r="P882" t="str">
            <v>xxx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</row>
        <row r="883">
          <cell r="J883">
            <v>883</v>
          </cell>
          <cell r="K883" t="str">
            <v>33X</v>
          </cell>
          <cell r="L883" t="str">
            <v>Hydraulic Production</v>
          </cell>
          <cell r="O883" t="str">
            <v>P01</v>
          </cell>
          <cell r="P883" t="str">
            <v/>
          </cell>
          <cell r="Q883">
            <v>271911000</v>
          </cell>
        </row>
        <row r="884">
          <cell r="J884">
            <v>884</v>
          </cell>
          <cell r="L884" t="str">
            <v>P</v>
          </cell>
          <cell r="M884" t="str">
            <v>Coincident Peak</v>
          </cell>
          <cell r="N884" t="str">
            <v/>
          </cell>
          <cell r="O884">
            <v>34.200000000000003</v>
          </cell>
          <cell r="P884" t="str">
            <v>D01</v>
          </cell>
          <cell r="R884">
            <v>92993562</v>
          </cell>
          <cell r="S884">
            <v>46342360.40983846</v>
          </cell>
          <cell r="T884">
            <v>7238660.9302905239</v>
          </cell>
          <cell r="U884">
            <v>22747332.750043787</v>
          </cell>
          <cell r="V884">
            <v>14786058.63212106</v>
          </cell>
          <cell r="W884">
            <v>1653104.2623581402</v>
          </cell>
          <cell r="X884">
            <v>226045.01534803092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J885">
            <v>885</v>
          </cell>
          <cell r="L885" t="str">
            <v>P</v>
          </cell>
          <cell r="M885" t="str">
            <v>Generation Level Consumption</v>
          </cell>
          <cell r="N885" t="str">
            <v/>
          </cell>
          <cell r="O885">
            <v>65.8</v>
          </cell>
          <cell r="P885" t="str">
            <v>E02</v>
          </cell>
          <cell r="R885">
            <v>178917438</v>
          </cell>
          <cell r="S885">
            <v>77127745.462057129</v>
          </cell>
          <cell r="T885">
            <v>15798425.41149495</v>
          </cell>
          <cell r="U885">
            <v>47740983.526565418</v>
          </cell>
          <cell r="V885">
            <v>33407063.58962227</v>
          </cell>
          <cell r="W885">
            <v>4007864.170382522</v>
          </cell>
          <cell r="X885">
            <v>835355.83987773501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J886">
            <v>886</v>
          </cell>
          <cell r="L886" t="str">
            <v>P</v>
          </cell>
          <cell r="M886" t="str">
            <v>Open</v>
          </cell>
          <cell r="N886" t="str">
            <v/>
          </cell>
          <cell r="O886">
            <v>0</v>
          </cell>
          <cell r="P886" t="str">
            <v>xxx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</row>
        <row r="887">
          <cell r="J887">
            <v>887</v>
          </cell>
          <cell r="L887" t="str">
            <v>P</v>
          </cell>
          <cell r="M887" t="str">
            <v>Open</v>
          </cell>
          <cell r="N887" t="str">
            <v/>
          </cell>
          <cell r="O887">
            <v>0</v>
          </cell>
          <cell r="P887" t="str">
            <v>xxx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</row>
        <row r="888">
          <cell r="J888">
            <v>888</v>
          </cell>
          <cell r="K888" t="str">
            <v>34X</v>
          </cell>
          <cell r="L888" t="str">
            <v>Other Production</v>
          </cell>
          <cell r="O888" t="str">
            <v>P01</v>
          </cell>
          <cell r="P888" t="str">
            <v/>
          </cell>
          <cell r="Q888">
            <v>181505000</v>
          </cell>
        </row>
        <row r="889">
          <cell r="J889">
            <v>889</v>
          </cell>
          <cell r="L889" t="str">
            <v>P</v>
          </cell>
          <cell r="M889" t="str">
            <v>Coincident Peak</v>
          </cell>
          <cell r="N889" t="str">
            <v/>
          </cell>
          <cell r="O889">
            <v>34.200000000000003</v>
          </cell>
          <cell r="P889" t="str">
            <v>D01</v>
          </cell>
          <cell r="R889">
            <v>62074710.000000007</v>
          </cell>
          <cell r="S889">
            <v>30934276.753010105</v>
          </cell>
          <cell r="T889">
            <v>4831923.5049423585</v>
          </cell>
          <cell r="U889">
            <v>15184213.330084836</v>
          </cell>
          <cell r="V889">
            <v>9869933.8093094174</v>
          </cell>
          <cell r="W889">
            <v>1103473.8908661813</v>
          </cell>
          <cell r="X889">
            <v>150888.71178710813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J890">
            <v>890</v>
          </cell>
          <cell r="L890" t="str">
            <v>P</v>
          </cell>
          <cell r="M890" t="str">
            <v>Generation Level Consumption</v>
          </cell>
          <cell r="N890" t="str">
            <v/>
          </cell>
          <cell r="O890">
            <v>65.8</v>
          </cell>
          <cell r="P890" t="str">
            <v>E02</v>
          </cell>
          <cell r="R890">
            <v>119430290</v>
          </cell>
          <cell r="S890">
            <v>51484020.286382966</v>
          </cell>
          <cell r="T890">
            <v>10545705.04434683</v>
          </cell>
          <cell r="U890">
            <v>31867880.354194041</v>
          </cell>
          <cell r="V890">
            <v>22299756.452789295</v>
          </cell>
          <cell r="W890">
            <v>2675314.2985950536</v>
          </cell>
          <cell r="X890">
            <v>557613.56369182665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J891">
            <v>891</v>
          </cell>
          <cell r="L891" t="str">
            <v>P</v>
          </cell>
          <cell r="M891" t="str">
            <v>Open</v>
          </cell>
          <cell r="N891" t="str">
            <v/>
          </cell>
          <cell r="O891">
            <v>0</v>
          </cell>
          <cell r="P891" t="str">
            <v>xxx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J892">
            <v>892</v>
          </cell>
          <cell r="L892" t="str">
            <v>P</v>
          </cell>
          <cell r="M892" t="str">
            <v>Open</v>
          </cell>
          <cell r="N892" t="str">
            <v/>
          </cell>
          <cell r="O892">
            <v>0</v>
          </cell>
          <cell r="P892" t="str">
            <v>xxx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J893">
            <v>893</v>
          </cell>
          <cell r="L893" t="str">
            <v>Total Production Plant</v>
          </cell>
          <cell r="N893" t="str">
            <v/>
          </cell>
          <cell r="Q893">
            <v>775077000</v>
          </cell>
          <cell r="R893">
            <v>775077000</v>
          </cell>
          <cell r="S893">
            <v>351949127.65158904</v>
          </cell>
          <cell r="T893">
            <v>65666765.119954914</v>
          </cell>
          <cell r="U893">
            <v>200925570.18555865</v>
          </cell>
          <cell r="V893">
            <v>137373554.55374059</v>
          </cell>
          <cell r="W893">
            <v>16136480.061282311</v>
          </cell>
          <cell r="X893">
            <v>3025502.4278746392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J894">
            <v>894</v>
          </cell>
        </row>
        <row r="895">
          <cell r="J895">
            <v>895</v>
          </cell>
          <cell r="L895" t="str">
            <v>Transmission Plant</v>
          </cell>
        </row>
        <row r="896">
          <cell r="J896">
            <v>896</v>
          </cell>
          <cell r="K896">
            <v>350</v>
          </cell>
          <cell r="L896" t="str">
            <v>Land &amp; Land Rights</v>
          </cell>
          <cell r="O896" t="str">
            <v>T01</v>
          </cell>
          <cell r="P896" t="str">
            <v/>
          </cell>
          <cell r="Q896">
            <v>12498000</v>
          </cell>
        </row>
        <row r="897">
          <cell r="J897">
            <v>897</v>
          </cell>
          <cell r="L897" t="str">
            <v>T</v>
          </cell>
          <cell r="M897" t="str">
            <v>Coincident Peak</v>
          </cell>
          <cell r="N897" t="str">
            <v/>
          </cell>
          <cell r="O897">
            <v>34.200000000000003</v>
          </cell>
          <cell r="P897" t="str">
            <v>D01</v>
          </cell>
          <cell r="R897">
            <v>4274316.0000000009</v>
          </cell>
          <cell r="S897">
            <v>2130060.2785549727</v>
          </cell>
          <cell r="T897">
            <v>332714.69086124131</v>
          </cell>
          <cell r="U897">
            <v>1045548.5975559918</v>
          </cell>
          <cell r="V897">
            <v>679620.02561223728</v>
          </cell>
          <cell r="W897">
            <v>75982.571764114138</v>
          </cell>
          <cell r="X897">
            <v>10389.835651443638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</row>
        <row r="898">
          <cell r="J898">
            <v>898</v>
          </cell>
          <cell r="L898" t="str">
            <v>T</v>
          </cell>
          <cell r="M898" t="str">
            <v>Generation Level Consumption</v>
          </cell>
          <cell r="N898" t="str">
            <v/>
          </cell>
          <cell r="O898">
            <v>65.8</v>
          </cell>
          <cell r="P898" t="str">
            <v>E02</v>
          </cell>
          <cell r="R898">
            <v>8223684</v>
          </cell>
          <cell r="S898">
            <v>3545066.4474213622</v>
          </cell>
          <cell r="T898">
            <v>726152.01589072845</v>
          </cell>
          <cell r="U898">
            <v>2194345.9886323633</v>
          </cell>
          <cell r="V898">
            <v>1535507.8711162813</v>
          </cell>
          <cell r="W898">
            <v>184215.74118531711</v>
          </cell>
          <cell r="X898">
            <v>38395.935753948652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</row>
        <row r="899">
          <cell r="J899">
            <v>899</v>
          </cell>
          <cell r="L899" t="str">
            <v>T</v>
          </cell>
          <cell r="M899" t="str">
            <v>Open</v>
          </cell>
          <cell r="N899" t="str">
            <v/>
          </cell>
          <cell r="O899">
            <v>0</v>
          </cell>
          <cell r="P899" t="str">
            <v>xxx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</row>
        <row r="900">
          <cell r="J900">
            <v>900</v>
          </cell>
          <cell r="K900">
            <v>352</v>
          </cell>
          <cell r="L900" t="str">
            <v>Structures &amp; Improvements</v>
          </cell>
          <cell r="O900" t="str">
            <v>T01</v>
          </cell>
          <cell r="P900" t="str">
            <v/>
          </cell>
          <cell r="Q900">
            <v>10852000</v>
          </cell>
        </row>
        <row r="901">
          <cell r="J901">
            <v>901</v>
          </cell>
          <cell r="L901" t="str">
            <v>T</v>
          </cell>
          <cell r="M901" t="str">
            <v>Coincident Peak</v>
          </cell>
          <cell r="N901" t="str">
            <v/>
          </cell>
          <cell r="O901">
            <v>34.200000000000003</v>
          </cell>
          <cell r="P901" t="str">
            <v>D01</v>
          </cell>
          <cell r="R901">
            <v>3711384.0000000005</v>
          </cell>
          <cell r="S901">
            <v>1849529.0560792575</v>
          </cell>
          <cell r="T901">
            <v>288895.80934759084</v>
          </cell>
          <cell r="U901">
            <v>907848.72625040985</v>
          </cell>
          <cell r="V901">
            <v>590113.33956985106</v>
          </cell>
          <cell r="W901">
            <v>65975.585596428748</v>
          </cell>
          <cell r="X901">
            <v>9021.4831564623419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</row>
        <row r="902">
          <cell r="J902">
            <v>902</v>
          </cell>
          <cell r="L902" t="str">
            <v>T</v>
          </cell>
          <cell r="M902" t="str">
            <v>Generation Level Consumption</v>
          </cell>
          <cell r="N902" t="str">
            <v/>
          </cell>
          <cell r="O902">
            <v>65.8</v>
          </cell>
          <cell r="P902" t="str">
            <v>E02</v>
          </cell>
          <cell r="R902">
            <v>7140616</v>
          </cell>
          <cell r="S902">
            <v>3078177.3953765896</v>
          </cell>
          <cell r="T902">
            <v>630517.01683838898</v>
          </cell>
          <cell r="U902">
            <v>1905348.2692141468</v>
          </cell>
          <cell r="V902">
            <v>1333279.8381624166</v>
          </cell>
          <cell r="W902">
            <v>159954.33056033455</v>
          </cell>
          <cell r="X902">
            <v>33339.149848123758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</row>
        <row r="903">
          <cell r="J903">
            <v>903</v>
          </cell>
          <cell r="L903" t="str">
            <v>T</v>
          </cell>
          <cell r="M903" t="str">
            <v>Open</v>
          </cell>
          <cell r="N903" t="str">
            <v/>
          </cell>
          <cell r="O903">
            <v>0</v>
          </cell>
          <cell r="P903" t="str">
            <v>xxx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J904">
            <v>904</v>
          </cell>
          <cell r="K904">
            <v>353</v>
          </cell>
          <cell r="L904" t="str">
            <v>Station Equipment</v>
          </cell>
          <cell r="O904" t="str">
            <v>T01</v>
          </cell>
          <cell r="P904" t="str">
            <v/>
          </cell>
          <cell r="Q904">
            <v>128201000</v>
          </cell>
        </row>
        <row r="905">
          <cell r="J905">
            <v>905</v>
          </cell>
          <cell r="L905" t="str">
            <v>T</v>
          </cell>
          <cell r="M905" t="str">
            <v>Coincident Peak</v>
          </cell>
          <cell r="N905" t="str">
            <v/>
          </cell>
          <cell r="O905">
            <v>34.200000000000003</v>
          </cell>
          <cell r="P905" t="str">
            <v>D01</v>
          </cell>
          <cell r="R905">
            <v>43844742</v>
          </cell>
          <cell r="S905">
            <v>21849564.552010402</v>
          </cell>
          <cell r="T905">
            <v>3412894.5497761234</v>
          </cell>
          <cell r="U905">
            <v>10724946.051790342</v>
          </cell>
          <cell r="V905">
            <v>6971352.7687241482</v>
          </cell>
          <cell r="W905">
            <v>779408.03990488034</v>
          </cell>
          <cell r="X905">
            <v>106576.0377941051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</row>
        <row r="906">
          <cell r="J906">
            <v>906</v>
          </cell>
          <cell r="L906" t="str">
            <v>T</v>
          </cell>
          <cell r="M906" t="str">
            <v>Generation Level Consumption</v>
          </cell>
          <cell r="N906" t="str">
            <v/>
          </cell>
          <cell r="O906">
            <v>65.8</v>
          </cell>
          <cell r="P906" t="str">
            <v>E02</v>
          </cell>
          <cell r="R906">
            <v>84356258</v>
          </cell>
          <cell r="S906">
            <v>36364303.378609858</v>
          </cell>
          <cell r="T906">
            <v>7448664.9535291474</v>
          </cell>
          <cell r="U906">
            <v>22508989.445403874</v>
          </cell>
          <cell r="V906">
            <v>15750811.696669737</v>
          </cell>
          <cell r="W906">
            <v>1889633.7202511472</v>
          </cell>
          <cell r="X906">
            <v>393854.80553624348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</row>
        <row r="907">
          <cell r="J907">
            <v>907</v>
          </cell>
          <cell r="L907" t="str">
            <v>T</v>
          </cell>
          <cell r="M907" t="str">
            <v>Open</v>
          </cell>
          <cell r="N907" t="str">
            <v/>
          </cell>
          <cell r="O907">
            <v>0</v>
          </cell>
          <cell r="P907" t="str">
            <v>xxx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J908">
            <v>908</v>
          </cell>
          <cell r="K908">
            <v>354</v>
          </cell>
          <cell r="L908" t="str">
            <v>Towers &amp; Fixtures</v>
          </cell>
          <cell r="O908" t="str">
            <v>T01</v>
          </cell>
          <cell r="P908" t="str">
            <v/>
          </cell>
          <cell r="Q908">
            <v>11170000</v>
          </cell>
        </row>
        <row r="909">
          <cell r="J909">
            <v>909</v>
          </cell>
          <cell r="L909" t="str">
            <v>T</v>
          </cell>
          <cell r="M909" t="str">
            <v>Coincident Peak</v>
          </cell>
          <cell r="N909" t="str">
            <v/>
          </cell>
          <cell r="O909">
            <v>34.200000000000003</v>
          </cell>
          <cell r="P909" t="str">
            <v>D01</v>
          </cell>
          <cell r="R909">
            <v>3820140.0000000005</v>
          </cell>
          <cell r="S909">
            <v>1903726.4611505074</v>
          </cell>
          <cell r="T909">
            <v>297361.42558169831</v>
          </cell>
          <cell r="U909">
            <v>934451.73905428289</v>
          </cell>
          <cell r="V909">
            <v>607405.63978946151</v>
          </cell>
          <cell r="W909">
            <v>67908.891551060558</v>
          </cell>
          <cell r="X909">
            <v>9285.8428729897132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</row>
        <row r="910">
          <cell r="J910">
            <v>910</v>
          </cell>
          <cell r="L910" t="str">
            <v>T</v>
          </cell>
          <cell r="M910" t="str">
            <v>Generation Level Consumption</v>
          </cell>
          <cell r="N910" t="str">
            <v/>
          </cell>
          <cell r="O910">
            <v>65.8</v>
          </cell>
          <cell r="P910" t="str">
            <v>E02</v>
          </cell>
          <cell r="R910">
            <v>7349860</v>
          </cell>
          <cell r="S910">
            <v>3168378.3179466003</v>
          </cell>
          <cell r="T910">
            <v>648993.28032480692</v>
          </cell>
          <cell r="U910">
            <v>1961181.3644601936</v>
          </cell>
          <cell r="V910">
            <v>1372349.4095350346</v>
          </cell>
          <cell r="W910">
            <v>164641.52896783422</v>
          </cell>
          <cell r="X910">
            <v>34316.098765531002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</row>
        <row r="911">
          <cell r="J911">
            <v>911</v>
          </cell>
          <cell r="L911" t="str">
            <v>T</v>
          </cell>
          <cell r="M911" t="str">
            <v>Open</v>
          </cell>
          <cell r="N911" t="str">
            <v/>
          </cell>
          <cell r="O911">
            <v>0</v>
          </cell>
          <cell r="P911" t="str">
            <v>xxx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</row>
        <row r="912">
          <cell r="J912">
            <v>912</v>
          </cell>
          <cell r="K912">
            <v>355</v>
          </cell>
          <cell r="L912" t="str">
            <v>Poles &amp; Fixtures</v>
          </cell>
          <cell r="O912" t="str">
            <v>T01</v>
          </cell>
          <cell r="P912" t="str">
            <v/>
          </cell>
          <cell r="Q912">
            <v>94963000</v>
          </cell>
        </row>
        <row r="913">
          <cell r="J913">
            <v>913</v>
          </cell>
          <cell r="L913" t="str">
            <v>T</v>
          </cell>
          <cell r="M913" t="str">
            <v>Coincident Peak</v>
          </cell>
          <cell r="N913" t="str">
            <v/>
          </cell>
          <cell r="O913">
            <v>34.200000000000003</v>
          </cell>
          <cell r="P913" t="str">
            <v>D01</v>
          </cell>
          <cell r="R913">
            <v>32477346.000000004</v>
          </cell>
          <cell r="S913">
            <v>16184742.697424855</v>
          </cell>
          <cell r="T913">
            <v>2528051.3032690077</v>
          </cell>
          <cell r="U913">
            <v>7944345.6128748311</v>
          </cell>
          <cell r="V913">
            <v>5163926.7476568157</v>
          </cell>
          <cell r="W913">
            <v>577335.01059654111</v>
          </cell>
          <cell r="X913">
            <v>78944.628177951847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J914">
            <v>914</v>
          </cell>
          <cell r="L914" t="str">
            <v>T</v>
          </cell>
          <cell r="M914" t="str">
            <v>Generation Level Consumption</v>
          </cell>
          <cell r="N914" t="str">
            <v/>
          </cell>
          <cell r="O914">
            <v>65.8</v>
          </cell>
          <cell r="P914" t="str">
            <v>E02</v>
          </cell>
          <cell r="R914">
            <v>62485654</v>
          </cell>
          <cell r="S914">
            <v>26936321.415144406</v>
          </cell>
          <cell r="T914">
            <v>5517488.7089959392</v>
          </cell>
          <cell r="U914">
            <v>16673201.961793497</v>
          </cell>
          <cell r="V914">
            <v>11667181.466219828</v>
          </cell>
          <cell r="W914">
            <v>1399718.3093439965</v>
          </cell>
          <cell r="X914">
            <v>291742.13850233844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</row>
        <row r="915">
          <cell r="J915">
            <v>915</v>
          </cell>
          <cell r="L915" t="str">
            <v>T</v>
          </cell>
          <cell r="M915" t="str">
            <v>Open</v>
          </cell>
          <cell r="N915" t="str">
            <v/>
          </cell>
          <cell r="O915">
            <v>0</v>
          </cell>
          <cell r="P915" t="str">
            <v>xxx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J916">
            <v>916</v>
          </cell>
          <cell r="K916">
            <v>356</v>
          </cell>
          <cell r="L916" t="str">
            <v>Overhead Conductors &amp; Devices</v>
          </cell>
          <cell r="O916" t="str">
            <v>T01</v>
          </cell>
          <cell r="P916" t="str">
            <v/>
          </cell>
          <cell r="Q916">
            <v>71301000</v>
          </cell>
        </row>
        <row r="917">
          <cell r="J917">
            <v>917</v>
          </cell>
          <cell r="L917" t="str">
            <v>T</v>
          </cell>
          <cell r="M917" t="str">
            <v>Coincident Peak</v>
          </cell>
          <cell r="N917" t="str">
            <v/>
          </cell>
          <cell r="O917">
            <v>34.200000000000003</v>
          </cell>
          <cell r="P917" t="str">
            <v>D01</v>
          </cell>
          <cell r="R917">
            <v>24384942</v>
          </cell>
          <cell r="S917">
            <v>12151978.550267888</v>
          </cell>
          <cell r="T917">
            <v>1898134.9154342585</v>
          </cell>
          <cell r="U917">
            <v>5964847.2199023655</v>
          </cell>
          <cell r="V917">
            <v>3877227.3520705807</v>
          </cell>
          <cell r="W917">
            <v>433480.02475220844</v>
          </cell>
          <cell r="X917">
            <v>59273.937572698247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J918">
            <v>918</v>
          </cell>
          <cell r="L918" t="str">
            <v>T</v>
          </cell>
          <cell r="M918" t="str">
            <v>Generation Level Consumption</v>
          </cell>
          <cell r="N918" t="str">
            <v/>
          </cell>
          <cell r="O918">
            <v>65.8</v>
          </cell>
          <cell r="P918" t="str">
            <v>E02</v>
          </cell>
          <cell r="R918">
            <v>46916058</v>
          </cell>
          <cell r="S918">
            <v>20224578.55397588</v>
          </cell>
          <cell r="T918">
            <v>4142692.021525431</v>
          </cell>
          <cell r="U918">
            <v>12518728.063328223</v>
          </cell>
          <cell r="V918">
            <v>8760061.3472925238</v>
          </cell>
          <cell r="W918">
            <v>1050949.4768966471</v>
          </cell>
          <cell r="X918">
            <v>219048.53698130042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</row>
        <row r="919">
          <cell r="J919">
            <v>919</v>
          </cell>
          <cell r="L919" t="str">
            <v>T</v>
          </cell>
          <cell r="M919" t="str">
            <v>Open</v>
          </cell>
          <cell r="N919" t="str">
            <v/>
          </cell>
          <cell r="O919">
            <v>0</v>
          </cell>
          <cell r="P919" t="str">
            <v>xxx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J920">
            <v>920</v>
          </cell>
          <cell r="K920">
            <v>357</v>
          </cell>
          <cell r="L920" t="str">
            <v>Underground Conduit</v>
          </cell>
          <cell r="O920" t="str">
            <v>T01</v>
          </cell>
          <cell r="P920" t="str">
            <v/>
          </cell>
          <cell r="Q920">
            <v>1700000</v>
          </cell>
        </row>
        <row r="921">
          <cell r="J921">
            <v>921</v>
          </cell>
          <cell r="L921" t="str">
            <v>T</v>
          </cell>
          <cell r="M921" t="str">
            <v>Coincident Peak</v>
          </cell>
          <cell r="N921" t="str">
            <v/>
          </cell>
          <cell r="O921">
            <v>34.200000000000003</v>
          </cell>
          <cell r="P921" t="str">
            <v>D01</v>
          </cell>
          <cell r="R921">
            <v>581400.00000000012</v>
          </cell>
          <cell r="S921">
            <v>289734.55541234225</v>
          </cell>
          <cell r="T921">
            <v>45256.438987366797</v>
          </cell>
          <cell r="U921">
            <v>142217.36404586222</v>
          </cell>
          <cell r="V921">
            <v>92443.114381565319</v>
          </cell>
          <cell r="W921">
            <v>10335.283405264365</v>
          </cell>
          <cell r="X921">
            <v>1413.2437675991507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</row>
        <row r="922">
          <cell r="J922">
            <v>922</v>
          </cell>
          <cell r="L922" t="str">
            <v>T</v>
          </cell>
          <cell r="M922" t="str">
            <v>Generation Level Consumption</v>
          </cell>
          <cell r="N922" t="str">
            <v/>
          </cell>
          <cell r="O922">
            <v>65.8</v>
          </cell>
          <cell r="P922" t="str">
            <v>E02</v>
          </cell>
          <cell r="R922">
            <v>1118600</v>
          </cell>
          <cell r="S922">
            <v>482206.18983967957</v>
          </cell>
          <cell r="T922">
            <v>98772.477757580287</v>
          </cell>
          <cell r="U922">
            <v>298478.8110637716</v>
          </cell>
          <cell r="V922">
            <v>208862.48846996942</v>
          </cell>
          <cell r="W922">
            <v>25057.349977199479</v>
          </cell>
          <cell r="X922">
            <v>5222.6828917997045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J923">
            <v>923</v>
          </cell>
          <cell r="L923" t="str">
            <v>T</v>
          </cell>
          <cell r="M923" t="str">
            <v>Open</v>
          </cell>
          <cell r="N923" t="str">
            <v/>
          </cell>
          <cell r="O923">
            <v>0</v>
          </cell>
          <cell r="P923" t="str">
            <v>xxx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J924">
            <v>924</v>
          </cell>
          <cell r="K924">
            <v>358</v>
          </cell>
          <cell r="L924" t="str">
            <v>Underground Conductors &amp; Devices</v>
          </cell>
          <cell r="O924" t="str">
            <v>T01</v>
          </cell>
          <cell r="P924" t="str">
            <v/>
          </cell>
          <cell r="Q924">
            <v>1520000</v>
          </cell>
        </row>
        <row r="925">
          <cell r="J925">
            <v>925</v>
          </cell>
          <cell r="L925" t="str">
            <v>T</v>
          </cell>
          <cell r="M925" t="str">
            <v>Coincident Peak</v>
          </cell>
          <cell r="N925" t="str">
            <v/>
          </cell>
          <cell r="O925">
            <v>34.200000000000003</v>
          </cell>
          <cell r="P925" t="str">
            <v>D01</v>
          </cell>
          <cell r="R925">
            <v>519840.00000000006</v>
          </cell>
          <cell r="S925">
            <v>259056.77895691775</v>
          </cell>
          <cell r="T925">
            <v>40464.580741645601</v>
          </cell>
          <cell r="U925">
            <v>127159.05491159445</v>
          </cell>
          <cell r="V925">
            <v>82655.019917634869</v>
          </cell>
          <cell r="W925">
            <v>9240.9592800010778</v>
          </cell>
          <cell r="X925">
            <v>1263.6061922062993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J926">
            <v>926</v>
          </cell>
          <cell r="L926" t="str">
            <v>T</v>
          </cell>
          <cell r="M926" t="str">
            <v>Generation Level Consumption</v>
          </cell>
          <cell r="N926" t="str">
            <v/>
          </cell>
          <cell r="O926">
            <v>65.8</v>
          </cell>
          <cell r="P926" t="str">
            <v>E02</v>
          </cell>
          <cell r="R926">
            <v>1000160</v>
          </cell>
          <cell r="S926">
            <v>431149.06385665468</v>
          </cell>
          <cell r="T926">
            <v>88314.215406777672</v>
          </cell>
          <cell r="U926">
            <v>266875.17224525462</v>
          </cell>
          <cell r="V926">
            <v>186747.63674961973</v>
          </cell>
          <cell r="W926">
            <v>22404.218803143063</v>
          </cell>
          <cell r="X926">
            <v>4669.6929385503236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J927">
            <v>927</v>
          </cell>
          <cell r="L927" t="str">
            <v>T</v>
          </cell>
          <cell r="M927" t="str">
            <v>Open</v>
          </cell>
          <cell r="N927" t="str">
            <v/>
          </cell>
          <cell r="O927">
            <v>0</v>
          </cell>
          <cell r="P927" t="str">
            <v>xxx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J928">
            <v>928</v>
          </cell>
          <cell r="K928">
            <v>359</v>
          </cell>
          <cell r="L928" t="str">
            <v>Roads &amp; Trails</v>
          </cell>
          <cell r="O928" t="str">
            <v>T01</v>
          </cell>
          <cell r="P928" t="str">
            <v/>
          </cell>
          <cell r="Q928">
            <v>1221000</v>
          </cell>
        </row>
        <row r="929">
          <cell r="J929">
            <v>929</v>
          </cell>
          <cell r="L929" t="str">
            <v>T</v>
          </cell>
          <cell r="M929" t="str">
            <v>Coincident Peak</v>
          </cell>
          <cell r="N929" t="str">
            <v/>
          </cell>
          <cell r="O929">
            <v>34.200000000000003</v>
          </cell>
          <cell r="P929" t="str">
            <v>D01</v>
          </cell>
          <cell r="R929">
            <v>417582</v>
          </cell>
          <cell r="S929">
            <v>208097.58362262932</v>
          </cell>
          <cell r="T929">
            <v>32504.771766808735</v>
          </cell>
          <cell r="U929">
            <v>102145.53029411632</v>
          </cell>
          <cell r="V929">
            <v>66395.907446994839</v>
          </cell>
          <cell r="W929">
            <v>7423.1653163692863</v>
          </cell>
          <cell r="X929">
            <v>1015.0415530815075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J930">
            <v>930</v>
          </cell>
          <cell r="L930" t="str">
            <v>T</v>
          </cell>
          <cell r="M930" t="str">
            <v>Generation Level Consumption</v>
          </cell>
          <cell r="N930" t="str">
            <v/>
          </cell>
          <cell r="O930">
            <v>65.8</v>
          </cell>
          <cell r="P930" t="str">
            <v>E02</v>
          </cell>
          <cell r="R930">
            <v>803418</v>
          </cell>
          <cell r="S930">
            <v>346337.5045848522</v>
          </cell>
          <cell r="T930">
            <v>70941.879612944438</v>
          </cell>
          <cell r="U930">
            <v>214378.01665227363</v>
          </cell>
          <cell r="V930">
            <v>150012.41083637218</v>
          </cell>
          <cell r="W930">
            <v>17997.073130682686</v>
          </cell>
          <cell r="X930">
            <v>3751.1151828749644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J931">
            <v>931</v>
          </cell>
          <cell r="L931" t="str">
            <v>T</v>
          </cell>
          <cell r="M931" t="str">
            <v>Open</v>
          </cell>
          <cell r="N931" t="str">
            <v/>
          </cell>
          <cell r="O931">
            <v>0</v>
          </cell>
          <cell r="P931" t="str">
            <v>xxx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J932">
            <v>932</v>
          </cell>
          <cell r="L932" t="str">
            <v>Total Transmission Plant</v>
          </cell>
          <cell r="N932" t="str">
            <v/>
          </cell>
          <cell r="Q932">
            <v>333426000</v>
          </cell>
          <cell r="R932">
            <v>333426000</v>
          </cell>
          <cell r="S932">
            <v>151403008.78023571</v>
          </cell>
          <cell r="T932">
            <v>28248815.055647489</v>
          </cell>
          <cell r="U932">
            <v>86435036.989473373</v>
          </cell>
          <cell r="V932">
            <v>59095954.080221057</v>
          </cell>
          <cell r="W932">
            <v>6941661.28128317</v>
          </cell>
          <cell r="X932">
            <v>1301523.8131392484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J933">
            <v>933</v>
          </cell>
        </row>
        <row r="934">
          <cell r="J934">
            <v>934</v>
          </cell>
          <cell r="L934" t="str">
            <v>Distribution Plant</v>
          </cell>
        </row>
        <row r="935">
          <cell r="J935">
            <v>935</v>
          </cell>
          <cell r="K935">
            <v>360</v>
          </cell>
          <cell r="L935" t="str">
            <v>Land &amp; Land Rights</v>
          </cell>
          <cell r="O935" t="str">
            <v>X01</v>
          </cell>
          <cell r="P935" t="str">
            <v/>
          </cell>
          <cell r="Q935">
            <v>3450000</v>
          </cell>
        </row>
        <row r="936">
          <cell r="J936">
            <v>936</v>
          </cell>
          <cell r="L936" t="str">
            <v>D</v>
          </cell>
          <cell r="M936" t="str">
            <v>NCP-All</v>
          </cell>
          <cell r="N936" t="str">
            <v/>
          </cell>
          <cell r="O936">
            <v>0</v>
          </cell>
          <cell r="P936" t="str">
            <v>D02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J937">
            <v>937</v>
          </cell>
          <cell r="L937" t="str">
            <v>D</v>
          </cell>
          <cell r="M937" t="str">
            <v>NCP-w/o DA</v>
          </cell>
          <cell r="N937" t="str">
            <v/>
          </cell>
          <cell r="O937">
            <v>0</v>
          </cell>
          <cell r="P937" t="str">
            <v>D03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J938">
            <v>938</v>
          </cell>
          <cell r="L938" t="str">
            <v>D</v>
          </cell>
          <cell r="M938" t="str">
            <v xml:space="preserve">DA Sch 25 </v>
          </cell>
          <cell r="N938" t="str">
            <v/>
          </cell>
          <cell r="O938">
            <v>0</v>
          </cell>
          <cell r="P938" t="str">
            <v>D04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J939">
            <v>939</v>
          </cell>
          <cell r="L939" t="str">
            <v>D</v>
          </cell>
          <cell r="M939" t="str">
            <v>DA Street and Area Lights</v>
          </cell>
          <cell r="N939" t="str">
            <v/>
          </cell>
          <cell r="O939">
            <v>0</v>
          </cell>
          <cell r="P939" t="str">
            <v>D07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</row>
        <row r="940">
          <cell r="J940">
            <v>940</v>
          </cell>
          <cell r="L940" t="str">
            <v>D</v>
          </cell>
          <cell r="M940" t="str">
            <v>Avg Customers-Secondary</v>
          </cell>
          <cell r="N940" t="str">
            <v/>
          </cell>
          <cell r="O940">
            <v>0</v>
          </cell>
          <cell r="P940" t="str">
            <v>C02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J941">
            <v>941</v>
          </cell>
          <cell r="L941" t="str">
            <v>D</v>
          </cell>
          <cell r="M941" t="str">
            <v>Wt Customers-Meters</v>
          </cell>
          <cell r="N941" t="str">
            <v/>
          </cell>
          <cell r="O941">
            <v>0</v>
          </cell>
          <cell r="P941" t="str">
            <v>C04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J942">
            <v>942</v>
          </cell>
          <cell r="L942" t="str">
            <v>D</v>
          </cell>
          <cell r="M942" t="str">
            <v>DA Street &amp; Area Lights</v>
          </cell>
          <cell r="N942" t="str">
            <v/>
          </cell>
          <cell r="O942">
            <v>0</v>
          </cell>
          <cell r="P942" t="str">
            <v>C05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J943">
            <v>943</v>
          </cell>
          <cell r="L943" t="str">
            <v>D</v>
          </cell>
          <cell r="M943" t="str">
            <v>DA Sch 25I</v>
          </cell>
          <cell r="N943" t="str">
            <v/>
          </cell>
          <cell r="O943">
            <v>0</v>
          </cell>
          <cell r="P943" t="str">
            <v>D05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J944">
            <v>944</v>
          </cell>
          <cell r="L944" t="str">
            <v>D</v>
          </cell>
          <cell r="M944" t="str">
            <v>NCP-Secondary</v>
          </cell>
          <cell r="N944" t="str">
            <v/>
          </cell>
          <cell r="O944">
            <v>0</v>
          </cell>
          <cell r="P944" t="str">
            <v>D06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J945">
            <v>945</v>
          </cell>
          <cell r="L945" t="str">
            <v>D</v>
          </cell>
          <cell r="M945" t="str">
            <v>NCP-Primary</v>
          </cell>
          <cell r="N945" t="str">
            <v/>
          </cell>
          <cell r="O945">
            <v>100</v>
          </cell>
          <cell r="P945" t="str">
            <v>D08</v>
          </cell>
          <cell r="R945">
            <v>3450000</v>
          </cell>
          <cell r="S945">
            <v>1723099.827410683</v>
          </cell>
          <cell r="T945">
            <v>356302.93998345686</v>
          </cell>
          <cell r="U945">
            <v>948155.25283937273</v>
          </cell>
          <cell r="V945">
            <v>313233.50459707953</v>
          </cell>
          <cell r="W945">
            <v>87023.788693411378</v>
          </cell>
          <cell r="X945">
            <v>22184.686475996565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J946">
            <v>946</v>
          </cell>
          <cell r="K946">
            <v>361</v>
          </cell>
          <cell r="L946" t="str">
            <v>Structures &amp; Improvements</v>
          </cell>
          <cell r="O946" t="str">
            <v>X02</v>
          </cell>
          <cell r="P946" t="str">
            <v/>
          </cell>
          <cell r="Q946">
            <v>10571000</v>
          </cell>
        </row>
        <row r="947">
          <cell r="J947">
            <v>947</v>
          </cell>
          <cell r="L947" t="str">
            <v>D</v>
          </cell>
          <cell r="M947" t="str">
            <v>NCP-All</v>
          </cell>
          <cell r="N947" t="str">
            <v/>
          </cell>
          <cell r="O947">
            <v>0</v>
          </cell>
          <cell r="P947" t="str">
            <v>D02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J948">
            <v>948</v>
          </cell>
          <cell r="L948" t="str">
            <v>D</v>
          </cell>
          <cell r="M948" t="str">
            <v>NCP-w/o DA</v>
          </cell>
          <cell r="N948" t="str">
            <v/>
          </cell>
          <cell r="O948">
            <v>10956.161</v>
          </cell>
          <cell r="P948" t="str">
            <v>D03</v>
          </cell>
          <cell r="R948">
            <v>9309575.3284342494</v>
          </cell>
          <cell r="S948">
            <v>5107256.6881286791</v>
          </cell>
          <cell r="T948">
            <v>1056079.5981071778</v>
          </cell>
          <cell r="U948">
            <v>2822545.8316619857</v>
          </cell>
          <cell r="V948">
            <v>0</v>
          </cell>
          <cell r="W948">
            <v>257937.94402417491</v>
          </cell>
          <cell r="X948">
            <v>65755.266512232512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J949">
            <v>949</v>
          </cell>
          <cell r="L949" t="str">
            <v>D</v>
          </cell>
          <cell r="M949" t="str">
            <v xml:space="preserve">DA Sch 25 </v>
          </cell>
          <cell r="N949" t="str">
            <v/>
          </cell>
          <cell r="O949">
            <v>1484.5329999999999</v>
          </cell>
          <cell r="P949" t="str">
            <v>D04</v>
          </cell>
          <cell r="R949">
            <v>1261424.6715657501</v>
          </cell>
          <cell r="S949">
            <v>0</v>
          </cell>
          <cell r="T949">
            <v>0</v>
          </cell>
          <cell r="U949">
            <v>0</v>
          </cell>
          <cell r="V949">
            <v>1261424.6715657501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J950">
            <v>950</v>
          </cell>
          <cell r="L950" t="str">
            <v>D</v>
          </cell>
          <cell r="M950" t="str">
            <v>DA Street and Area Lights</v>
          </cell>
          <cell r="N950" t="str">
            <v/>
          </cell>
          <cell r="O950">
            <v>0</v>
          </cell>
          <cell r="P950" t="str">
            <v>D07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J951">
            <v>951</v>
          </cell>
          <cell r="L951" t="str">
            <v>D</v>
          </cell>
          <cell r="M951" t="str">
            <v>Avg Customers-Secondary</v>
          </cell>
          <cell r="N951" t="str">
            <v/>
          </cell>
          <cell r="O951">
            <v>0</v>
          </cell>
          <cell r="P951" t="str">
            <v>C02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</row>
        <row r="952">
          <cell r="J952">
            <v>952</v>
          </cell>
          <cell r="L952" t="str">
            <v>D</v>
          </cell>
          <cell r="M952" t="str">
            <v>Wt Customers-Meters</v>
          </cell>
          <cell r="N952" t="str">
            <v/>
          </cell>
          <cell r="O952">
            <v>0</v>
          </cell>
          <cell r="P952" t="str">
            <v>C04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</row>
        <row r="953">
          <cell r="J953">
            <v>953</v>
          </cell>
          <cell r="L953" t="str">
            <v>D</v>
          </cell>
          <cell r="M953" t="str">
            <v>DA Street &amp; Area Lights</v>
          </cell>
          <cell r="N953" t="str">
            <v/>
          </cell>
          <cell r="O953">
            <v>0</v>
          </cell>
          <cell r="P953" t="str">
            <v>C05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J954">
            <v>954</v>
          </cell>
          <cell r="L954" t="str">
            <v>D</v>
          </cell>
          <cell r="M954" t="str">
            <v>DA Sch 25I</v>
          </cell>
          <cell r="N954" t="str">
            <v/>
          </cell>
          <cell r="O954">
            <v>0</v>
          </cell>
          <cell r="P954" t="str">
            <v>D05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J955">
            <v>955</v>
          </cell>
          <cell r="L955" t="str">
            <v>D</v>
          </cell>
          <cell r="M955" t="str">
            <v>NCP-Secondary</v>
          </cell>
          <cell r="N955" t="str">
            <v/>
          </cell>
          <cell r="O955">
            <v>0</v>
          </cell>
          <cell r="P955" t="str">
            <v>D06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</row>
        <row r="956">
          <cell r="J956">
            <v>956</v>
          </cell>
          <cell r="L956" t="str">
            <v>D</v>
          </cell>
          <cell r="M956" t="str">
            <v>NCP-Primary</v>
          </cell>
          <cell r="N956" t="str">
            <v/>
          </cell>
          <cell r="O956">
            <v>0</v>
          </cell>
          <cell r="P956" t="str">
            <v>D08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</row>
        <row r="957">
          <cell r="J957">
            <v>957</v>
          </cell>
          <cell r="K957">
            <v>362</v>
          </cell>
          <cell r="L957" t="str">
            <v>Station Equipment</v>
          </cell>
          <cell r="O957" t="str">
            <v>X03</v>
          </cell>
          <cell r="P957" t="str">
            <v/>
          </cell>
          <cell r="Q957">
            <v>64230000</v>
          </cell>
        </row>
        <row r="958">
          <cell r="J958">
            <v>958</v>
          </cell>
          <cell r="L958" t="str">
            <v>D</v>
          </cell>
          <cell r="M958" t="str">
            <v>NCP-All</v>
          </cell>
          <cell r="N958" t="str">
            <v/>
          </cell>
          <cell r="O958">
            <v>0</v>
          </cell>
          <cell r="P958" t="str">
            <v>D02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J959">
            <v>959</v>
          </cell>
          <cell r="L959" t="str">
            <v>D</v>
          </cell>
          <cell r="M959" t="str">
            <v>NCP-w/o DA</v>
          </cell>
          <cell r="N959" t="str">
            <v/>
          </cell>
          <cell r="O959">
            <v>63092.08</v>
          </cell>
          <cell r="P959" t="str">
            <v>D03</v>
          </cell>
          <cell r="R959">
            <v>58958336.871523298</v>
          </cell>
          <cell r="S959">
            <v>32344693.467201877</v>
          </cell>
          <cell r="T959">
            <v>6688242.429079527</v>
          </cell>
          <cell r="U959">
            <v>17875424.185050309</v>
          </cell>
          <cell r="V959">
            <v>0</v>
          </cell>
          <cell r="W959">
            <v>1633543.0628373406</v>
          </cell>
          <cell r="X959">
            <v>416433.72735424555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</row>
        <row r="960">
          <cell r="J960">
            <v>960</v>
          </cell>
          <cell r="L960" t="str">
            <v>D</v>
          </cell>
          <cell r="M960" t="str">
            <v xml:space="preserve">DA Sch 25 </v>
          </cell>
          <cell r="N960" t="str">
            <v/>
          </cell>
          <cell r="O960">
            <v>5641.2749999999996</v>
          </cell>
          <cell r="P960" t="str">
            <v>D04</v>
          </cell>
          <cell r="R960">
            <v>5271663.1284767054</v>
          </cell>
          <cell r="S960">
            <v>0</v>
          </cell>
          <cell r="T960">
            <v>0</v>
          </cell>
          <cell r="U960">
            <v>0</v>
          </cell>
          <cell r="V960">
            <v>5271663.1284767054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J961">
            <v>961</v>
          </cell>
          <cell r="L961" t="str">
            <v>D</v>
          </cell>
          <cell r="M961" t="str">
            <v>DA Street and Area Lights</v>
          </cell>
          <cell r="N961" t="str">
            <v/>
          </cell>
          <cell r="O961">
            <v>0</v>
          </cell>
          <cell r="P961" t="str">
            <v>D07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</row>
        <row r="962">
          <cell r="J962">
            <v>962</v>
          </cell>
          <cell r="L962" t="str">
            <v>D</v>
          </cell>
          <cell r="M962" t="str">
            <v>Avg Customers-Secondary</v>
          </cell>
          <cell r="N962" t="str">
            <v/>
          </cell>
          <cell r="O962">
            <v>0</v>
          </cell>
          <cell r="P962" t="str">
            <v>C02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J963">
            <v>963</v>
          </cell>
          <cell r="L963" t="str">
            <v>D</v>
          </cell>
          <cell r="M963" t="str">
            <v>Wt Customers-Meters</v>
          </cell>
          <cell r="N963" t="str">
            <v/>
          </cell>
          <cell r="O963">
            <v>0</v>
          </cell>
          <cell r="P963" t="str">
            <v>C04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</row>
        <row r="964">
          <cell r="J964">
            <v>964</v>
          </cell>
          <cell r="L964" t="str">
            <v>D</v>
          </cell>
          <cell r="M964" t="str">
            <v>DA Street &amp; Area Lights</v>
          </cell>
          <cell r="N964" t="str">
            <v/>
          </cell>
          <cell r="O964">
            <v>0</v>
          </cell>
          <cell r="P964" t="str">
            <v>C05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J965">
            <v>965</v>
          </cell>
          <cell r="L965" t="str">
            <v>D</v>
          </cell>
          <cell r="M965" t="str">
            <v>DA Sch 25I</v>
          </cell>
          <cell r="N965" t="str">
            <v/>
          </cell>
          <cell r="O965">
            <v>0</v>
          </cell>
          <cell r="P965" t="str">
            <v>D05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</row>
        <row r="966">
          <cell r="J966">
            <v>966</v>
          </cell>
          <cell r="L966" t="str">
            <v>D</v>
          </cell>
          <cell r="M966" t="str">
            <v>NCP-Secondary</v>
          </cell>
          <cell r="N966" t="str">
            <v/>
          </cell>
          <cell r="O966">
            <v>0</v>
          </cell>
          <cell r="P966" t="str">
            <v>D06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</row>
        <row r="967">
          <cell r="J967">
            <v>967</v>
          </cell>
          <cell r="L967" t="str">
            <v>D</v>
          </cell>
          <cell r="M967" t="str">
            <v>NCP-Primary</v>
          </cell>
          <cell r="N967" t="str">
            <v/>
          </cell>
          <cell r="O967">
            <v>0</v>
          </cell>
          <cell r="P967" t="str">
            <v>D08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</row>
        <row r="968">
          <cell r="J968">
            <v>968</v>
          </cell>
          <cell r="K968">
            <v>363</v>
          </cell>
          <cell r="L968" t="str">
            <v>Storage Battery Equipment</v>
          </cell>
          <cell r="O968" t="str">
            <v>X01</v>
          </cell>
          <cell r="P968" t="str">
            <v/>
          </cell>
          <cell r="Q968">
            <v>0</v>
          </cell>
        </row>
        <row r="969">
          <cell r="J969">
            <v>969</v>
          </cell>
          <cell r="L969" t="str">
            <v>D</v>
          </cell>
          <cell r="M969" t="str">
            <v>NCP-All</v>
          </cell>
          <cell r="N969" t="str">
            <v/>
          </cell>
          <cell r="O969">
            <v>0</v>
          </cell>
          <cell r="P969" t="str">
            <v>D02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</row>
        <row r="970">
          <cell r="J970">
            <v>970</v>
          </cell>
          <cell r="L970" t="str">
            <v>D</v>
          </cell>
          <cell r="M970" t="str">
            <v>NCP-w/o DA</v>
          </cell>
          <cell r="N970" t="str">
            <v/>
          </cell>
          <cell r="O970">
            <v>0</v>
          </cell>
          <cell r="P970" t="str">
            <v>D03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</row>
        <row r="971">
          <cell r="J971">
            <v>971</v>
          </cell>
          <cell r="L971" t="str">
            <v>D</v>
          </cell>
          <cell r="M971" t="str">
            <v xml:space="preserve">DA Sch 25 </v>
          </cell>
          <cell r="N971" t="str">
            <v/>
          </cell>
          <cell r="O971">
            <v>0</v>
          </cell>
          <cell r="P971" t="str">
            <v>D04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</row>
        <row r="972">
          <cell r="J972">
            <v>972</v>
          </cell>
          <cell r="L972" t="str">
            <v>D</v>
          </cell>
          <cell r="M972" t="str">
            <v>DA Street and Area Lights</v>
          </cell>
          <cell r="N972" t="str">
            <v/>
          </cell>
          <cell r="O972">
            <v>0</v>
          </cell>
          <cell r="P972" t="str">
            <v>D07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</row>
        <row r="973">
          <cell r="J973">
            <v>973</v>
          </cell>
          <cell r="L973" t="str">
            <v>D</v>
          </cell>
          <cell r="M973" t="str">
            <v>Avg Customers-Secondary</v>
          </cell>
          <cell r="N973" t="str">
            <v/>
          </cell>
          <cell r="O973">
            <v>0</v>
          </cell>
          <cell r="P973" t="str">
            <v>C02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</row>
        <row r="974">
          <cell r="J974">
            <v>974</v>
          </cell>
          <cell r="L974" t="str">
            <v>D</v>
          </cell>
          <cell r="M974" t="str">
            <v>Wt Customers-Meters</v>
          </cell>
          <cell r="N974" t="str">
            <v/>
          </cell>
          <cell r="O974">
            <v>0</v>
          </cell>
          <cell r="P974" t="str">
            <v>C04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</row>
        <row r="975">
          <cell r="J975">
            <v>975</v>
          </cell>
          <cell r="L975" t="str">
            <v>D</v>
          </cell>
          <cell r="M975" t="str">
            <v>DA Street &amp; Area Lights</v>
          </cell>
          <cell r="N975" t="str">
            <v/>
          </cell>
          <cell r="O975">
            <v>0</v>
          </cell>
          <cell r="P975" t="str">
            <v>C05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</row>
        <row r="976">
          <cell r="J976">
            <v>976</v>
          </cell>
          <cell r="L976" t="str">
            <v>D</v>
          </cell>
          <cell r="M976" t="str">
            <v>DA Sch 25I</v>
          </cell>
          <cell r="N976" t="str">
            <v/>
          </cell>
          <cell r="O976">
            <v>0</v>
          </cell>
          <cell r="P976" t="str">
            <v>D05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</row>
        <row r="977">
          <cell r="J977">
            <v>977</v>
          </cell>
          <cell r="L977" t="str">
            <v>D</v>
          </cell>
          <cell r="M977" t="str">
            <v>NCP-Secondary</v>
          </cell>
          <cell r="N977" t="str">
            <v/>
          </cell>
          <cell r="O977">
            <v>0</v>
          </cell>
          <cell r="P977" t="str">
            <v>D06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J978">
            <v>978</v>
          </cell>
          <cell r="L978" t="str">
            <v>D</v>
          </cell>
          <cell r="M978" t="str">
            <v>NCP-Primary</v>
          </cell>
          <cell r="N978" t="str">
            <v/>
          </cell>
          <cell r="O978">
            <v>100</v>
          </cell>
          <cell r="P978" t="str">
            <v>D08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</row>
        <row r="979">
          <cell r="J979">
            <v>979</v>
          </cell>
          <cell r="K979">
            <v>364</v>
          </cell>
          <cell r="L979" t="str">
            <v>Poles, Towers &amp; Fixtures</v>
          </cell>
          <cell r="O979" t="str">
            <v>X05</v>
          </cell>
          <cell r="P979" t="str">
            <v/>
          </cell>
          <cell r="Q979">
            <v>143857000</v>
          </cell>
        </row>
        <row r="980">
          <cell r="J980">
            <v>980</v>
          </cell>
          <cell r="L980" t="str">
            <v>D</v>
          </cell>
          <cell r="M980" t="str">
            <v>NCP-All</v>
          </cell>
          <cell r="N980" t="str">
            <v/>
          </cell>
          <cell r="O980">
            <v>0</v>
          </cell>
          <cell r="P980" t="str">
            <v>D02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</row>
        <row r="981">
          <cell r="J981">
            <v>981</v>
          </cell>
          <cell r="L981" t="str">
            <v>D</v>
          </cell>
          <cell r="M981" t="str">
            <v>NCP-w/o DA</v>
          </cell>
          <cell r="N981" t="str">
            <v/>
          </cell>
          <cell r="O981">
            <v>87.16</v>
          </cell>
          <cell r="P981" t="str">
            <v>D03</v>
          </cell>
          <cell r="R981">
            <v>125385761.19999999</v>
          </cell>
          <cell r="S981">
            <v>68786947.298111454</v>
          </cell>
          <cell r="T981">
            <v>14223779.240715316</v>
          </cell>
          <cell r="U981">
            <v>38015381.490483917</v>
          </cell>
          <cell r="V981">
            <v>0</v>
          </cell>
          <cell r="W981">
            <v>3474030.1585027967</v>
          </cell>
          <cell r="X981">
            <v>885623.01218650828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</row>
        <row r="982">
          <cell r="J982">
            <v>982</v>
          </cell>
          <cell r="L982" t="str">
            <v>D</v>
          </cell>
          <cell r="M982" t="str">
            <v xml:space="preserve">DA Sch 25 </v>
          </cell>
          <cell r="N982" t="str">
            <v/>
          </cell>
          <cell r="O982">
            <v>4.6500000000000004</v>
          </cell>
          <cell r="P982" t="str">
            <v>D04</v>
          </cell>
          <cell r="R982">
            <v>6689350.4999999991</v>
          </cell>
          <cell r="S982">
            <v>0</v>
          </cell>
          <cell r="T982">
            <v>0</v>
          </cell>
          <cell r="U982">
            <v>0</v>
          </cell>
          <cell r="V982">
            <v>6689350.4999999991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</row>
        <row r="983">
          <cell r="J983">
            <v>983</v>
          </cell>
          <cell r="L983" t="str">
            <v>D</v>
          </cell>
          <cell r="M983" t="str">
            <v>DA Street and Area Lights</v>
          </cell>
          <cell r="N983" t="str">
            <v/>
          </cell>
          <cell r="O983">
            <v>7.68</v>
          </cell>
          <cell r="P983" t="str">
            <v>D07</v>
          </cell>
          <cell r="R983">
            <v>11048217.599999998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11048217.599999998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</row>
        <row r="984">
          <cell r="J984">
            <v>984</v>
          </cell>
          <cell r="L984" t="str">
            <v>D</v>
          </cell>
          <cell r="M984" t="str">
            <v>Avg Customers-Secondary</v>
          </cell>
          <cell r="N984" t="str">
            <v/>
          </cell>
          <cell r="O984">
            <v>0</v>
          </cell>
          <cell r="P984" t="str">
            <v>C02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</row>
        <row r="985">
          <cell r="J985">
            <v>985</v>
          </cell>
          <cell r="L985" t="str">
            <v>D</v>
          </cell>
          <cell r="M985" t="str">
            <v>Wt Customers-Meters</v>
          </cell>
          <cell r="N985" t="str">
            <v/>
          </cell>
          <cell r="O985">
            <v>0</v>
          </cell>
          <cell r="P985" t="str">
            <v>C04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</row>
        <row r="986">
          <cell r="J986">
            <v>986</v>
          </cell>
          <cell r="L986" t="str">
            <v>D</v>
          </cell>
          <cell r="M986" t="str">
            <v>DA Street &amp; Area Lights</v>
          </cell>
          <cell r="N986" t="str">
            <v/>
          </cell>
          <cell r="O986">
            <v>0</v>
          </cell>
          <cell r="P986" t="str">
            <v>C05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J987">
            <v>987</v>
          </cell>
          <cell r="L987" t="str">
            <v>D</v>
          </cell>
          <cell r="M987" t="str">
            <v>DA Sch 25I</v>
          </cell>
          <cell r="N987" t="str">
            <v/>
          </cell>
          <cell r="O987">
            <v>0</v>
          </cell>
          <cell r="P987" t="str">
            <v>D05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</row>
        <row r="988">
          <cell r="J988">
            <v>988</v>
          </cell>
          <cell r="L988" t="str">
            <v>D</v>
          </cell>
          <cell r="M988" t="str">
            <v>NCP-Secondary</v>
          </cell>
          <cell r="N988" t="str">
            <v/>
          </cell>
          <cell r="O988">
            <v>0.51</v>
          </cell>
          <cell r="P988" t="str">
            <v>D06</v>
          </cell>
          <cell r="R988">
            <v>733670.7</v>
          </cell>
          <cell r="S988">
            <v>411635.83960817335</v>
          </cell>
          <cell r="T988">
            <v>85118.144359255573</v>
          </cell>
          <cell r="U988">
            <v>210827.61680943402</v>
          </cell>
          <cell r="V988">
            <v>0</v>
          </cell>
          <cell r="W988">
            <v>20789.341252808812</v>
          </cell>
          <cell r="X988">
            <v>5299.7579703282117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J989">
            <v>989</v>
          </cell>
          <cell r="L989" t="str">
            <v>D</v>
          </cell>
          <cell r="M989" t="str">
            <v>NCP-Primary</v>
          </cell>
          <cell r="N989" t="str">
            <v/>
          </cell>
          <cell r="O989">
            <v>0</v>
          </cell>
          <cell r="P989" t="str">
            <v>D08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</row>
        <row r="990">
          <cell r="J990">
            <v>990</v>
          </cell>
          <cell r="K990">
            <v>365</v>
          </cell>
          <cell r="L990" t="str">
            <v>Overhead Conductors &amp; Devices</v>
          </cell>
          <cell r="O990" t="str">
            <v>X06</v>
          </cell>
          <cell r="P990" t="str">
            <v/>
          </cell>
          <cell r="Q990">
            <v>94226000</v>
          </cell>
        </row>
        <row r="991">
          <cell r="J991">
            <v>991</v>
          </cell>
          <cell r="L991" t="str">
            <v>D</v>
          </cell>
          <cell r="M991" t="str">
            <v>NCP-All</v>
          </cell>
          <cell r="N991" t="str">
            <v/>
          </cell>
          <cell r="O991">
            <v>0</v>
          </cell>
          <cell r="P991" t="str">
            <v>D02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</row>
        <row r="992">
          <cell r="J992">
            <v>992</v>
          </cell>
          <cell r="L992" t="str">
            <v>D</v>
          </cell>
          <cell r="M992" t="str">
            <v>NCP-w/o DA</v>
          </cell>
          <cell r="N992" t="str">
            <v/>
          </cell>
          <cell r="O992">
            <v>94.63</v>
          </cell>
          <cell r="P992" t="str">
            <v>D03</v>
          </cell>
          <cell r="R992">
            <v>89166063.799999997</v>
          </cell>
          <cell r="S992">
            <v>48916729.24174618</v>
          </cell>
          <cell r="T992">
            <v>10115011.426470788</v>
          </cell>
          <cell r="U992">
            <v>27034026.024334796</v>
          </cell>
          <cell r="V992">
            <v>0</v>
          </cell>
          <cell r="W992">
            <v>2470500.571927656</v>
          </cell>
          <cell r="X992">
            <v>629796.53552057687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</row>
        <row r="993">
          <cell r="J993">
            <v>993</v>
          </cell>
          <cell r="L993" t="str">
            <v>D</v>
          </cell>
          <cell r="M993" t="str">
            <v xml:space="preserve">DA Sch 25 </v>
          </cell>
          <cell r="N993" t="str">
            <v/>
          </cell>
          <cell r="O993">
            <v>5.0599999999999996</v>
          </cell>
          <cell r="P993" t="str">
            <v>D04</v>
          </cell>
          <cell r="R993">
            <v>4767835.5999999996</v>
          </cell>
          <cell r="S993">
            <v>0</v>
          </cell>
          <cell r="T993">
            <v>0</v>
          </cell>
          <cell r="U993">
            <v>0</v>
          </cell>
          <cell r="V993">
            <v>4767835.5999999996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</row>
        <row r="994">
          <cell r="J994">
            <v>994</v>
          </cell>
          <cell r="L994" t="str">
            <v>D</v>
          </cell>
          <cell r="M994" t="str">
            <v>DA Street and Area Lights</v>
          </cell>
          <cell r="N994" t="str">
            <v/>
          </cell>
          <cell r="O994">
            <v>0</v>
          </cell>
          <cell r="P994" t="str">
            <v>D07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J995">
            <v>995</v>
          </cell>
          <cell r="L995" t="str">
            <v>D</v>
          </cell>
          <cell r="M995" t="str">
            <v>Avg Customers-Secondary</v>
          </cell>
          <cell r="N995" t="str">
            <v/>
          </cell>
          <cell r="O995">
            <v>0</v>
          </cell>
          <cell r="P995" t="str">
            <v>C02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</row>
        <row r="996">
          <cell r="J996">
            <v>996</v>
          </cell>
          <cell r="L996" t="str">
            <v>D</v>
          </cell>
          <cell r="M996" t="str">
            <v>Wt Customers-Meters</v>
          </cell>
          <cell r="N996" t="str">
            <v/>
          </cell>
          <cell r="O996">
            <v>0</v>
          </cell>
          <cell r="P996" t="str">
            <v>C04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</row>
        <row r="997">
          <cell r="J997">
            <v>997</v>
          </cell>
          <cell r="L997" t="str">
            <v>D</v>
          </cell>
          <cell r="M997" t="str">
            <v>DA Street &amp; Area Lights</v>
          </cell>
          <cell r="N997" t="str">
            <v/>
          </cell>
          <cell r="O997">
            <v>0</v>
          </cell>
          <cell r="P997" t="str">
            <v>C05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</row>
        <row r="998">
          <cell r="J998">
            <v>998</v>
          </cell>
          <cell r="L998" t="str">
            <v>D</v>
          </cell>
          <cell r="M998" t="str">
            <v>DA Sch 25I</v>
          </cell>
          <cell r="N998" t="str">
            <v/>
          </cell>
          <cell r="O998">
            <v>0</v>
          </cell>
          <cell r="P998" t="str">
            <v>D05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</row>
        <row r="999">
          <cell r="J999">
            <v>999</v>
          </cell>
          <cell r="L999" t="str">
            <v>D</v>
          </cell>
          <cell r="M999" t="str">
            <v>NCP-Secondary</v>
          </cell>
          <cell r="N999" t="str">
            <v/>
          </cell>
          <cell r="O999">
            <v>0.31</v>
          </cell>
          <cell r="P999" t="str">
            <v>D06</v>
          </cell>
          <cell r="R999">
            <v>292100.59999999998</v>
          </cell>
          <cell r="S999">
            <v>163886.98053643305</v>
          </cell>
          <cell r="T999">
            <v>33888.583854071272</v>
          </cell>
          <cell r="U999">
            <v>83938.030190664242</v>
          </cell>
          <cell r="V999">
            <v>0</v>
          </cell>
          <cell r="W999">
            <v>8276.9818306090256</v>
          </cell>
          <cell r="X999">
            <v>2110.0235882224179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</row>
        <row r="1000">
          <cell r="J1000">
            <v>1000</v>
          </cell>
          <cell r="L1000" t="str">
            <v>D</v>
          </cell>
          <cell r="M1000" t="str">
            <v>NCP-Primary</v>
          </cell>
          <cell r="N1000" t="str">
            <v/>
          </cell>
          <cell r="O1000">
            <v>0</v>
          </cell>
          <cell r="P1000" t="str">
            <v>D08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J1001">
            <v>1001</v>
          </cell>
          <cell r="K1001">
            <v>366</v>
          </cell>
          <cell r="L1001" t="str">
            <v>Underground Conduit</v>
          </cell>
          <cell r="O1001" t="str">
            <v>X07</v>
          </cell>
          <cell r="P1001" t="str">
            <v/>
          </cell>
          <cell r="Q1001">
            <v>49244000</v>
          </cell>
        </row>
        <row r="1002">
          <cell r="J1002">
            <v>1002</v>
          </cell>
          <cell r="L1002" t="str">
            <v>D</v>
          </cell>
          <cell r="M1002" t="str">
            <v>NCP-All</v>
          </cell>
          <cell r="N1002" t="str">
            <v/>
          </cell>
          <cell r="O1002">
            <v>0</v>
          </cell>
          <cell r="P1002" t="str">
            <v>D02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J1003">
            <v>1003</v>
          </cell>
          <cell r="L1003" t="str">
            <v>D</v>
          </cell>
          <cell r="M1003" t="str">
            <v>NCP-w/o DA</v>
          </cell>
          <cell r="N1003" t="str">
            <v/>
          </cell>
          <cell r="O1003">
            <v>73.58</v>
          </cell>
          <cell r="P1003" t="str">
            <v>D03</v>
          </cell>
          <cell r="R1003">
            <v>36233735.200000003</v>
          </cell>
          <cell r="S1003">
            <v>19877919.229126364</v>
          </cell>
          <cell r="T1003">
            <v>4110360.264346634</v>
          </cell>
          <cell r="U1003">
            <v>10985611.550071092</v>
          </cell>
          <cell r="V1003">
            <v>0</v>
          </cell>
          <cell r="W1003">
            <v>1003918.5281909377</v>
          </cell>
          <cell r="X1003">
            <v>255925.62826497652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</row>
        <row r="1004">
          <cell r="J1004">
            <v>1004</v>
          </cell>
          <cell r="L1004" t="str">
            <v>D</v>
          </cell>
          <cell r="M1004" t="str">
            <v xml:space="preserve">DA Sch 25 </v>
          </cell>
          <cell r="N1004" t="str">
            <v/>
          </cell>
          <cell r="O1004">
            <v>5.0599999999999996</v>
          </cell>
          <cell r="P1004" t="str">
            <v>D04</v>
          </cell>
          <cell r="R1004">
            <v>2491746.4</v>
          </cell>
          <cell r="S1004">
            <v>0</v>
          </cell>
          <cell r="T1004">
            <v>0</v>
          </cell>
          <cell r="U1004">
            <v>0</v>
          </cell>
          <cell r="V1004">
            <v>2491746.4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</row>
        <row r="1005">
          <cell r="J1005">
            <v>1005</v>
          </cell>
          <cell r="L1005" t="str">
            <v>D</v>
          </cell>
          <cell r="M1005" t="str">
            <v>DA Street and Area Lights</v>
          </cell>
          <cell r="N1005" t="str">
            <v/>
          </cell>
          <cell r="O1005">
            <v>0</v>
          </cell>
          <cell r="P1005" t="str">
            <v>D07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J1006">
            <v>1006</v>
          </cell>
          <cell r="L1006" t="str">
            <v>D</v>
          </cell>
          <cell r="M1006" t="str">
            <v>Avg Customers-Secondary</v>
          </cell>
          <cell r="N1006" t="str">
            <v/>
          </cell>
          <cell r="O1006">
            <v>0</v>
          </cell>
          <cell r="P1006" t="str">
            <v>C02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J1007">
            <v>1007</v>
          </cell>
          <cell r="L1007" t="str">
            <v>D</v>
          </cell>
          <cell r="M1007" t="str">
            <v>Wt Customers-Meters</v>
          </cell>
          <cell r="N1007" t="str">
            <v/>
          </cell>
          <cell r="O1007">
            <v>0</v>
          </cell>
          <cell r="P1007" t="str">
            <v>C04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</row>
        <row r="1008">
          <cell r="J1008">
            <v>1008</v>
          </cell>
          <cell r="L1008" t="str">
            <v>D</v>
          </cell>
          <cell r="M1008" t="str">
            <v>DA Street &amp; Area Lights</v>
          </cell>
          <cell r="N1008" t="str">
            <v/>
          </cell>
          <cell r="O1008">
            <v>0</v>
          </cell>
          <cell r="P1008" t="str">
            <v>C05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J1009">
            <v>1009</v>
          </cell>
          <cell r="L1009" t="str">
            <v>D</v>
          </cell>
          <cell r="M1009" t="str">
            <v>DA Sch 25I</v>
          </cell>
          <cell r="N1009" t="str">
            <v/>
          </cell>
          <cell r="O1009">
            <v>0</v>
          </cell>
          <cell r="P1009" t="str">
            <v>D05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J1010">
            <v>1010</v>
          </cell>
          <cell r="L1010" t="str">
            <v>D</v>
          </cell>
          <cell r="M1010" t="str">
            <v>NCP-Secondary</v>
          </cell>
          <cell r="N1010" t="str">
            <v/>
          </cell>
          <cell r="O1010">
            <v>21.36</v>
          </cell>
          <cell r="P1010" t="str">
            <v>D06</v>
          </cell>
          <cell r="R1010">
            <v>10518518.4</v>
          </cell>
          <cell r="S1010">
            <v>5901556.5880142422</v>
          </cell>
          <cell r="T1010">
            <v>1220325.0962818686</v>
          </cell>
          <cell r="U1010">
            <v>3022601.5113295126</v>
          </cell>
          <cell r="V1010">
            <v>0</v>
          </cell>
          <cell r="W1010">
            <v>298053.42981742159</v>
          </cell>
          <cell r="X1010">
            <v>75981.774556955803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</row>
        <row r="1011">
          <cell r="J1011">
            <v>1011</v>
          </cell>
          <cell r="L1011" t="str">
            <v>D</v>
          </cell>
          <cell r="M1011" t="str">
            <v>NCP-Primary</v>
          </cell>
          <cell r="N1011" t="str">
            <v/>
          </cell>
          <cell r="O1011">
            <v>0</v>
          </cell>
          <cell r="P1011" t="str">
            <v>D08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</row>
        <row r="1012">
          <cell r="J1012">
            <v>1012</v>
          </cell>
          <cell r="K1012">
            <v>367</v>
          </cell>
          <cell r="L1012" t="str">
            <v>Underground Conductors &amp; Devices</v>
          </cell>
          <cell r="O1012" t="str">
            <v>X08</v>
          </cell>
          <cell r="P1012" t="str">
            <v/>
          </cell>
          <cell r="Q1012">
            <v>85236000</v>
          </cell>
        </row>
        <row r="1013">
          <cell r="J1013">
            <v>1013</v>
          </cell>
          <cell r="L1013" t="str">
            <v>D</v>
          </cell>
          <cell r="M1013" t="str">
            <v>NCP-All</v>
          </cell>
          <cell r="N1013" t="str">
            <v/>
          </cell>
          <cell r="O1013">
            <v>0</v>
          </cell>
          <cell r="P1013" t="str">
            <v>D02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J1014">
            <v>1014</v>
          </cell>
          <cell r="L1014" t="str">
            <v>D</v>
          </cell>
          <cell r="M1014" t="str">
            <v>NCP-w/o DA</v>
          </cell>
          <cell r="N1014" t="str">
            <v/>
          </cell>
          <cell r="O1014">
            <v>75.790000000000006</v>
          </cell>
          <cell r="P1014" t="str">
            <v>D03</v>
          </cell>
          <cell r="R1014">
            <v>64600364.400000006</v>
          </cell>
          <cell r="S1014">
            <v>35439924.110151641</v>
          </cell>
          <cell r="T1014">
            <v>7328274.863919436</v>
          </cell>
          <cell r="U1014">
            <v>19586015.777126987</v>
          </cell>
          <cell r="V1014">
            <v>0</v>
          </cell>
          <cell r="W1014">
            <v>1789865.2289385349</v>
          </cell>
          <cell r="X1014">
            <v>456284.41986341018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J1015">
            <v>1015</v>
          </cell>
          <cell r="L1015" t="str">
            <v>D</v>
          </cell>
          <cell r="M1015" t="str">
            <v xml:space="preserve">DA Sch 25 </v>
          </cell>
          <cell r="N1015" t="str">
            <v/>
          </cell>
          <cell r="O1015">
            <v>5.46</v>
          </cell>
          <cell r="P1015" t="str">
            <v>D04</v>
          </cell>
          <cell r="R1015">
            <v>4653885.5999999996</v>
          </cell>
          <cell r="S1015">
            <v>0</v>
          </cell>
          <cell r="T1015">
            <v>0</v>
          </cell>
          <cell r="U1015">
            <v>0</v>
          </cell>
          <cell r="V1015">
            <v>4653885.5999999996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</row>
        <row r="1016">
          <cell r="J1016">
            <v>1016</v>
          </cell>
          <cell r="L1016" t="str">
            <v>D</v>
          </cell>
          <cell r="M1016" t="str">
            <v>DA Street and Area Lights</v>
          </cell>
          <cell r="N1016" t="str">
            <v/>
          </cell>
          <cell r="O1016">
            <v>0</v>
          </cell>
          <cell r="P1016" t="str">
            <v>D07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J1017">
            <v>1017</v>
          </cell>
          <cell r="L1017" t="str">
            <v>D</v>
          </cell>
          <cell r="M1017" t="str">
            <v>Avg Customers-Secondary</v>
          </cell>
          <cell r="N1017" t="str">
            <v/>
          </cell>
          <cell r="O1017">
            <v>0</v>
          </cell>
          <cell r="P1017" t="str">
            <v>C02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J1018">
            <v>1018</v>
          </cell>
          <cell r="L1018" t="str">
            <v>D</v>
          </cell>
          <cell r="M1018" t="str">
            <v>Wt Customers-Meters</v>
          </cell>
          <cell r="N1018" t="str">
            <v/>
          </cell>
          <cell r="O1018">
            <v>0</v>
          </cell>
          <cell r="P1018" t="str">
            <v>C04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</row>
        <row r="1019">
          <cell r="J1019">
            <v>1019</v>
          </cell>
          <cell r="L1019" t="str">
            <v>D</v>
          </cell>
          <cell r="M1019" t="str">
            <v>DA Street &amp; Area Lights</v>
          </cell>
          <cell r="N1019" t="str">
            <v/>
          </cell>
          <cell r="O1019">
            <v>0</v>
          </cell>
          <cell r="P1019" t="str">
            <v>C05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  <row r="1020">
          <cell r="J1020">
            <v>1020</v>
          </cell>
          <cell r="L1020" t="str">
            <v>D</v>
          </cell>
          <cell r="M1020" t="str">
            <v>DA Sch 25I</v>
          </cell>
          <cell r="N1020" t="str">
            <v/>
          </cell>
          <cell r="O1020">
            <v>0</v>
          </cell>
          <cell r="P1020" t="str">
            <v>D05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</row>
        <row r="1021">
          <cell r="J1021">
            <v>1021</v>
          </cell>
          <cell r="L1021" t="str">
            <v>D</v>
          </cell>
          <cell r="M1021" t="str">
            <v>NCP-Secondary</v>
          </cell>
          <cell r="N1021" t="str">
            <v/>
          </cell>
          <cell r="O1021">
            <v>18.75</v>
          </cell>
          <cell r="P1021" t="str">
            <v>D06</v>
          </cell>
          <cell r="R1021">
            <v>15981750</v>
          </cell>
          <cell r="S1021">
            <v>8966776.3475601859</v>
          </cell>
          <cell r="T1021">
            <v>1854151.8744220436</v>
          </cell>
          <cell r="U1021">
            <v>4592515.7770975083</v>
          </cell>
          <cell r="V1021">
            <v>0</v>
          </cell>
          <cell r="W1021">
            <v>452859.92008005397</v>
          </cell>
          <cell r="X1021">
            <v>115446.08084020925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</row>
        <row r="1022">
          <cell r="J1022">
            <v>1022</v>
          </cell>
          <cell r="L1022" t="str">
            <v>D</v>
          </cell>
          <cell r="M1022" t="str">
            <v>NCP-Primary</v>
          </cell>
          <cell r="N1022" t="str">
            <v/>
          </cell>
          <cell r="O1022">
            <v>0</v>
          </cell>
          <cell r="P1022" t="str">
            <v>D08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</row>
        <row r="1023">
          <cell r="J1023">
            <v>1023</v>
          </cell>
          <cell r="K1023">
            <v>368</v>
          </cell>
          <cell r="L1023" t="str">
            <v>Line Transformers</v>
          </cell>
          <cell r="O1023" t="str">
            <v>X09</v>
          </cell>
          <cell r="P1023" t="str">
            <v/>
          </cell>
          <cell r="Q1023">
            <v>121563000</v>
          </cell>
        </row>
        <row r="1024">
          <cell r="J1024">
            <v>1024</v>
          </cell>
          <cell r="L1024" t="str">
            <v>D</v>
          </cell>
          <cell r="M1024" t="str">
            <v>NCP-All</v>
          </cell>
          <cell r="N1024" t="str">
            <v/>
          </cell>
          <cell r="O1024">
            <v>0</v>
          </cell>
          <cell r="P1024" t="str">
            <v>D02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</row>
        <row r="1025">
          <cell r="J1025">
            <v>1025</v>
          </cell>
          <cell r="L1025" t="str">
            <v>D</v>
          </cell>
          <cell r="M1025" t="str">
            <v>NCP-w/o DA</v>
          </cell>
          <cell r="N1025" t="str">
            <v/>
          </cell>
          <cell r="O1025">
            <v>0</v>
          </cell>
          <cell r="P1025" t="str">
            <v>D03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</row>
        <row r="1026">
          <cell r="J1026">
            <v>1026</v>
          </cell>
          <cell r="L1026" t="str">
            <v>D</v>
          </cell>
          <cell r="M1026" t="str">
            <v xml:space="preserve">DA Sch 25 </v>
          </cell>
          <cell r="N1026" t="str">
            <v/>
          </cell>
          <cell r="O1026">
            <v>0</v>
          </cell>
          <cell r="P1026" t="str">
            <v>D04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</row>
        <row r="1027">
          <cell r="J1027">
            <v>1027</v>
          </cell>
          <cell r="L1027" t="str">
            <v>D</v>
          </cell>
          <cell r="M1027" t="str">
            <v>DA Street and Area Lights</v>
          </cell>
          <cell r="N1027" t="str">
            <v/>
          </cell>
          <cell r="O1027">
            <v>0</v>
          </cell>
          <cell r="P1027" t="str">
            <v>D07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</row>
        <row r="1028">
          <cell r="J1028">
            <v>1028</v>
          </cell>
          <cell r="L1028" t="str">
            <v>D</v>
          </cell>
          <cell r="M1028" t="str">
            <v>Avg Customers-Secondary</v>
          </cell>
          <cell r="N1028" t="str">
            <v/>
          </cell>
          <cell r="O1028">
            <v>0</v>
          </cell>
          <cell r="P1028" t="str">
            <v>C02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</row>
        <row r="1029">
          <cell r="J1029">
            <v>1029</v>
          </cell>
          <cell r="L1029" t="str">
            <v>D</v>
          </cell>
          <cell r="M1029" t="str">
            <v>Wt Customers-Meters</v>
          </cell>
          <cell r="N1029" t="str">
            <v/>
          </cell>
          <cell r="O1029">
            <v>0</v>
          </cell>
          <cell r="P1029" t="str">
            <v>C04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</row>
        <row r="1030">
          <cell r="J1030">
            <v>1030</v>
          </cell>
          <cell r="L1030" t="str">
            <v>D</v>
          </cell>
          <cell r="M1030" t="str">
            <v>DA Street &amp; Area Lights</v>
          </cell>
          <cell r="N1030" t="str">
            <v/>
          </cell>
          <cell r="O1030">
            <v>0</v>
          </cell>
          <cell r="P1030" t="str">
            <v>C05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</row>
        <row r="1031">
          <cell r="J1031">
            <v>1031</v>
          </cell>
          <cell r="L1031" t="str">
            <v>D</v>
          </cell>
          <cell r="M1031" t="str">
            <v>DA Sch 25I</v>
          </cell>
          <cell r="N1031" t="str">
            <v/>
          </cell>
          <cell r="O1031">
            <v>0</v>
          </cell>
          <cell r="P1031" t="str">
            <v>D05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</row>
        <row r="1032">
          <cell r="J1032">
            <v>1032</v>
          </cell>
          <cell r="L1032" t="str">
            <v>D</v>
          </cell>
          <cell r="M1032" t="str">
            <v>NCP-Secondary</v>
          </cell>
          <cell r="N1032" t="str">
            <v/>
          </cell>
          <cell r="O1032">
            <v>100</v>
          </cell>
          <cell r="P1032" t="str">
            <v>D06</v>
          </cell>
          <cell r="R1032">
            <v>121563000</v>
          </cell>
          <cell r="S1032">
            <v>68204560.397857487</v>
          </cell>
          <cell r="T1032">
            <v>14103353.156592168</v>
          </cell>
          <cell r="U1032">
            <v>34932344.41855894</v>
          </cell>
          <cell r="V1032">
            <v>0</v>
          </cell>
          <cell r="W1032">
            <v>3444617.1705033304</v>
          </cell>
          <cell r="X1032">
            <v>878124.85648807907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</row>
        <row r="1033">
          <cell r="J1033">
            <v>1033</v>
          </cell>
          <cell r="L1033" t="str">
            <v>D</v>
          </cell>
          <cell r="M1033" t="str">
            <v>NCP-Primary</v>
          </cell>
          <cell r="N1033" t="str">
            <v/>
          </cell>
          <cell r="O1033">
            <v>0</v>
          </cell>
          <cell r="P1033" t="str">
            <v>D08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</row>
        <row r="1034">
          <cell r="J1034">
            <v>1034</v>
          </cell>
          <cell r="K1034">
            <v>369</v>
          </cell>
          <cell r="L1034" t="str">
            <v>Services</v>
          </cell>
          <cell r="O1034" t="str">
            <v>X10</v>
          </cell>
          <cell r="P1034" t="str">
            <v/>
          </cell>
          <cell r="Q1034">
            <v>76191000</v>
          </cell>
        </row>
        <row r="1035">
          <cell r="J1035">
            <v>1035</v>
          </cell>
          <cell r="L1035" t="str">
            <v>D</v>
          </cell>
          <cell r="M1035" t="str">
            <v>NCP-All</v>
          </cell>
          <cell r="N1035" t="str">
            <v/>
          </cell>
          <cell r="O1035">
            <v>0</v>
          </cell>
          <cell r="P1035" t="str">
            <v>D02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</row>
        <row r="1036">
          <cell r="J1036">
            <v>1036</v>
          </cell>
          <cell r="L1036" t="str">
            <v>D</v>
          </cell>
          <cell r="M1036" t="str">
            <v>NCP-w/o DA</v>
          </cell>
          <cell r="N1036" t="str">
            <v/>
          </cell>
          <cell r="O1036">
            <v>0</v>
          </cell>
          <cell r="P1036" t="str">
            <v>D03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</row>
        <row r="1037">
          <cell r="J1037">
            <v>1037</v>
          </cell>
          <cell r="L1037" t="str">
            <v>D</v>
          </cell>
          <cell r="M1037" t="str">
            <v xml:space="preserve">DA Sch 25 </v>
          </cell>
          <cell r="N1037" t="str">
            <v/>
          </cell>
          <cell r="O1037">
            <v>0</v>
          </cell>
          <cell r="P1037" t="str">
            <v>D04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</row>
        <row r="1038">
          <cell r="J1038">
            <v>1038</v>
          </cell>
          <cell r="L1038" t="str">
            <v>D</v>
          </cell>
          <cell r="M1038" t="str">
            <v>DA Street and Area Lights</v>
          </cell>
          <cell r="N1038" t="str">
            <v/>
          </cell>
          <cell r="O1038">
            <v>0</v>
          </cell>
          <cell r="P1038" t="str">
            <v>D07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</row>
        <row r="1039">
          <cell r="J1039">
            <v>1039</v>
          </cell>
          <cell r="L1039" t="str">
            <v>D</v>
          </cell>
          <cell r="M1039" t="str">
            <v>Avg Customers-Secondary</v>
          </cell>
          <cell r="N1039" t="str">
            <v/>
          </cell>
          <cell r="O1039">
            <v>100</v>
          </cell>
          <cell r="P1039" t="str">
            <v>C02</v>
          </cell>
          <cell r="R1039">
            <v>76191000</v>
          </cell>
          <cell r="S1039">
            <v>65366952.894972108</v>
          </cell>
          <cell r="T1039">
            <v>9186635.8571879305</v>
          </cell>
          <cell r="U1039">
            <v>858563.34065737494</v>
          </cell>
          <cell r="V1039">
            <v>0</v>
          </cell>
          <cell r="W1039">
            <v>778847.90718258859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</row>
        <row r="1040">
          <cell r="J1040">
            <v>1040</v>
          </cell>
          <cell r="L1040" t="str">
            <v>D</v>
          </cell>
          <cell r="M1040" t="str">
            <v>Wt Customers-Meters</v>
          </cell>
          <cell r="N1040" t="str">
            <v/>
          </cell>
          <cell r="O1040">
            <v>0</v>
          </cell>
          <cell r="P1040" t="str">
            <v>C04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</row>
        <row r="1041">
          <cell r="J1041">
            <v>1041</v>
          </cell>
          <cell r="L1041" t="str">
            <v>D</v>
          </cell>
          <cell r="M1041" t="str">
            <v>DA Street &amp; Area Lights</v>
          </cell>
          <cell r="N1041" t="str">
            <v/>
          </cell>
          <cell r="O1041">
            <v>0</v>
          </cell>
          <cell r="P1041" t="str">
            <v>C05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</row>
        <row r="1042">
          <cell r="J1042">
            <v>1042</v>
          </cell>
          <cell r="L1042" t="str">
            <v>D</v>
          </cell>
          <cell r="M1042" t="str">
            <v>DA Sch 25I</v>
          </cell>
          <cell r="N1042" t="str">
            <v/>
          </cell>
          <cell r="O1042">
            <v>0</v>
          </cell>
          <cell r="P1042" t="str">
            <v>D05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</row>
        <row r="1043">
          <cell r="J1043">
            <v>1043</v>
          </cell>
          <cell r="L1043" t="str">
            <v>D</v>
          </cell>
          <cell r="M1043" t="str">
            <v>NCP-Secondary</v>
          </cell>
          <cell r="N1043" t="str">
            <v/>
          </cell>
          <cell r="O1043">
            <v>0</v>
          </cell>
          <cell r="P1043" t="str">
            <v>D06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</row>
        <row r="1044">
          <cell r="J1044">
            <v>1044</v>
          </cell>
          <cell r="L1044" t="str">
            <v>D</v>
          </cell>
          <cell r="M1044" t="str">
            <v>NCP-Primary</v>
          </cell>
          <cell r="N1044" t="str">
            <v/>
          </cell>
          <cell r="O1044">
            <v>0</v>
          </cell>
          <cell r="P1044" t="str">
            <v>D08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</row>
        <row r="1045">
          <cell r="J1045">
            <v>1045</v>
          </cell>
          <cell r="K1045">
            <v>370</v>
          </cell>
          <cell r="L1045" t="str">
            <v>Meters</v>
          </cell>
          <cell r="O1045" t="str">
            <v>X11</v>
          </cell>
          <cell r="P1045" t="str">
            <v/>
          </cell>
          <cell r="Q1045">
            <v>26286000</v>
          </cell>
        </row>
        <row r="1046">
          <cell r="J1046">
            <v>1046</v>
          </cell>
          <cell r="L1046" t="str">
            <v>D</v>
          </cell>
          <cell r="M1046" t="str">
            <v>NCP-All</v>
          </cell>
          <cell r="N1046" t="str">
            <v/>
          </cell>
          <cell r="O1046">
            <v>0</v>
          </cell>
          <cell r="P1046" t="str">
            <v>D02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</row>
        <row r="1047">
          <cell r="J1047">
            <v>1047</v>
          </cell>
          <cell r="L1047" t="str">
            <v>D</v>
          </cell>
          <cell r="M1047" t="str">
            <v>NCP-w/o DA</v>
          </cell>
          <cell r="N1047" t="str">
            <v/>
          </cell>
          <cell r="O1047">
            <v>0</v>
          </cell>
          <cell r="P1047" t="str">
            <v>D03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</row>
        <row r="1048">
          <cell r="J1048">
            <v>1048</v>
          </cell>
          <cell r="L1048" t="str">
            <v>D</v>
          </cell>
          <cell r="M1048" t="str">
            <v xml:space="preserve">DA Sch 25 </v>
          </cell>
          <cell r="N1048" t="str">
            <v/>
          </cell>
          <cell r="O1048">
            <v>0</v>
          </cell>
          <cell r="P1048" t="str">
            <v>D04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</row>
        <row r="1049">
          <cell r="J1049">
            <v>1049</v>
          </cell>
          <cell r="L1049" t="str">
            <v>D</v>
          </cell>
          <cell r="M1049" t="str">
            <v>DA Street and Area Lights</v>
          </cell>
          <cell r="N1049" t="str">
            <v/>
          </cell>
          <cell r="O1049">
            <v>0</v>
          </cell>
          <cell r="P1049" t="str">
            <v>D07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</row>
        <row r="1050">
          <cell r="J1050">
            <v>1050</v>
          </cell>
          <cell r="L1050" t="str">
            <v>D</v>
          </cell>
          <cell r="M1050" t="str">
            <v>Avg Customers-Secondary</v>
          </cell>
          <cell r="N1050" t="str">
            <v/>
          </cell>
          <cell r="O1050">
            <v>0</v>
          </cell>
          <cell r="P1050" t="str">
            <v>C02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</row>
        <row r="1051">
          <cell r="J1051">
            <v>1051</v>
          </cell>
          <cell r="L1051" t="str">
            <v>D</v>
          </cell>
          <cell r="M1051" t="str">
            <v>Wt Customers-Meters</v>
          </cell>
          <cell r="N1051" t="str">
            <v/>
          </cell>
          <cell r="O1051">
            <v>100</v>
          </cell>
          <cell r="P1051" t="str">
            <v>C04</v>
          </cell>
          <cell r="R1051">
            <v>26286000</v>
          </cell>
          <cell r="S1051">
            <v>16055739.980725741</v>
          </cell>
          <cell r="T1051">
            <v>6137584.6026157364</v>
          </cell>
          <cell r="U1051">
            <v>3050264.6158747119</v>
          </cell>
          <cell r="V1051">
            <v>61019.717019408075</v>
          </cell>
          <cell r="W1051">
            <v>981391.0837644065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</row>
        <row r="1052">
          <cell r="J1052">
            <v>1052</v>
          </cell>
          <cell r="L1052" t="str">
            <v>D</v>
          </cell>
          <cell r="M1052" t="str">
            <v>DA Street &amp; Area Lights</v>
          </cell>
          <cell r="N1052" t="str">
            <v/>
          </cell>
          <cell r="O1052">
            <v>0</v>
          </cell>
          <cell r="P1052" t="str">
            <v>C05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</row>
        <row r="1053">
          <cell r="J1053">
            <v>1053</v>
          </cell>
          <cell r="L1053" t="str">
            <v>D</v>
          </cell>
          <cell r="M1053" t="str">
            <v>DA Sch 25I</v>
          </cell>
          <cell r="N1053" t="str">
            <v/>
          </cell>
          <cell r="O1053">
            <v>0</v>
          </cell>
          <cell r="P1053" t="str">
            <v>D05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</row>
        <row r="1054">
          <cell r="J1054">
            <v>1054</v>
          </cell>
          <cell r="L1054" t="str">
            <v>D</v>
          </cell>
          <cell r="M1054" t="str">
            <v>NCP-Secondary</v>
          </cell>
          <cell r="N1054" t="str">
            <v/>
          </cell>
          <cell r="O1054">
            <v>0</v>
          </cell>
          <cell r="P1054" t="str">
            <v>D06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</row>
        <row r="1055">
          <cell r="J1055">
            <v>1055</v>
          </cell>
          <cell r="L1055" t="str">
            <v>D</v>
          </cell>
          <cell r="M1055" t="str">
            <v>NCP-Primary</v>
          </cell>
          <cell r="N1055" t="str">
            <v/>
          </cell>
          <cell r="O1055">
            <v>0</v>
          </cell>
          <cell r="P1055" t="str">
            <v>D08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</row>
        <row r="1056">
          <cell r="J1056">
            <v>1056</v>
          </cell>
          <cell r="K1056">
            <v>371</v>
          </cell>
          <cell r="L1056" t="str">
            <v>Installations on Customer Premises</v>
          </cell>
          <cell r="O1056" t="str">
            <v>X10</v>
          </cell>
          <cell r="P1056" t="str">
            <v/>
          </cell>
          <cell r="Q1056">
            <v>0</v>
          </cell>
        </row>
        <row r="1057">
          <cell r="J1057">
            <v>1057</v>
          </cell>
          <cell r="L1057" t="str">
            <v>D</v>
          </cell>
          <cell r="M1057" t="str">
            <v>NCP-All</v>
          </cell>
          <cell r="N1057" t="str">
            <v/>
          </cell>
          <cell r="O1057">
            <v>0</v>
          </cell>
          <cell r="P1057" t="str">
            <v>D02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</row>
        <row r="1058">
          <cell r="J1058">
            <v>1058</v>
          </cell>
          <cell r="L1058" t="str">
            <v>D</v>
          </cell>
          <cell r="M1058" t="str">
            <v>NCP-w/o DA</v>
          </cell>
          <cell r="N1058" t="str">
            <v/>
          </cell>
          <cell r="O1058">
            <v>0</v>
          </cell>
          <cell r="P1058" t="str">
            <v>D03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</row>
        <row r="1059">
          <cell r="J1059">
            <v>1059</v>
          </cell>
          <cell r="L1059" t="str">
            <v>D</v>
          </cell>
          <cell r="M1059" t="str">
            <v xml:space="preserve">DA Sch 25 </v>
          </cell>
          <cell r="N1059" t="str">
            <v/>
          </cell>
          <cell r="O1059">
            <v>0</v>
          </cell>
          <cell r="P1059" t="str">
            <v>D04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</row>
        <row r="1060">
          <cell r="J1060">
            <v>1060</v>
          </cell>
          <cell r="L1060" t="str">
            <v>D</v>
          </cell>
          <cell r="M1060" t="str">
            <v>DA Street and Area Lights</v>
          </cell>
          <cell r="N1060" t="str">
            <v/>
          </cell>
          <cell r="O1060">
            <v>0</v>
          </cell>
          <cell r="P1060" t="str">
            <v>D07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</row>
        <row r="1061">
          <cell r="J1061">
            <v>1061</v>
          </cell>
          <cell r="L1061" t="str">
            <v>D</v>
          </cell>
          <cell r="M1061" t="str">
            <v>Avg Customers-Secondary</v>
          </cell>
          <cell r="N1061" t="str">
            <v/>
          </cell>
          <cell r="O1061">
            <v>100</v>
          </cell>
          <cell r="P1061" t="str">
            <v>C02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</row>
        <row r="1062">
          <cell r="J1062">
            <v>1062</v>
          </cell>
          <cell r="L1062" t="str">
            <v>D</v>
          </cell>
          <cell r="M1062" t="str">
            <v>Wt Customers-Meters</v>
          </cell>
          <cell r="N1062" t="str">
            <v/>
          </cell>
          <cell r="O1062">
            <v>0</v>
          </cell>
          <cell r="P1062" t="str">
            <v>C04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</row>
        <row r="1063">
          <cell r="J1063">
            <v>1063</v>
          </cell>
          <cell r="L1063" t="str">
            <v>D</v>
          </cell>
          <cell r="M1063" t="str">
            <v>DA Street &amp; Area Lights</v>
          </cell>
          <cell r="N1063" t="str">
            <v/>
          </cell>
          <cell r="O1063">
            <v>0</v>
          </cell>
          <cell r="P1063" t="str">
            <v>C05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</row>
        <row r="1064">
          <cell r="J1064">
            <v>1064</v>
          </cell>
          <cell r="L1064" t="str">
            <v>D</v>
          </cell>
          <cell r="M1064" t="str">
            <v>DA Sch 25I</v>
          </cell>
          <cell r="N1064" t="str">
            <v/>
          </cell>
          <cell r="O1064">
            <v>0</v>
          </cell>
          <cell r="P1064" t="str">
            <v>D05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</row>
        <row r="1065">
          <cell r="J1065">
            <v>1065</v>
          </cell>
          <cell r="L1065" t="str">
            <v>D</v>
          </cell>
          <cell r="M1065" t="str">
            <v>NCP-Secondary</v>
          </cell>
          <cell r="N1065" t="str">
            <v/>
          </cell>
          <cell r="O1065">
            <v>0</v>
          </cell>
          <cell r="P1065" t="str">
            <v>D06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</row>
        <row r="1066">
          <cell r="J1066">
            <v>1066</v>
          </cell>
          <cell r="L1066" t="str">
            <v>D</v>
          </cell>
          <cell r="M1066" t="str">
            <v>NCP-Primary</v>
          </cell>
          <cell r="N1066" t="str">
            <v/>
          </cell>
          <cell r="O1066">
            <v>0</v>
          </cell>
          <cell r="P1066" t="str">
            <v>D08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</row>
        <row r="1067">
          <cell r="J1067">
            <v>1067</v>
          </cell>
          <cell r="K1067">
            <v>372</v>
          </cell>
          <cell r="L1067" t="str">
            <v>Leased Property on Customer Premises</v>
          </cell>
          <cell r="O1067" t="str">
            <v>X10</v>
          </cell>
          <cell r="P1067" t="str">
            <v/>
          </cell>
          <cell r="Q1067">
            <v>0</v>
          </cell>
        </row>
        <row r="1068">
          <cell r="J1068">
            <v>1068</v>
          </cell>
          <cell r="L1068" t="str">
            <v>D</v>
          </cell>
          <cell r="M1068" t="str">
            <v>NCP-All</v>
          </cell>
          <cell r="N1068" t="str">
            <v/>
          </cell>
          <cell r="O1068">
            <v>0</v>
          </cell>
          <cell r="P1068" t="str">
            <v>D02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</row>
        <row r="1069">
          <cell r="J1069">
            <v>1069</v>
          </cell>
          <cell r="L1069" t="str">
            <v>D</v>
          </cell>
          <cell r="M1069" t="str">
            <v>NCP-w/o DA</v>
          </cell>
          <cell r="N1069" t="str">
            <v/>
          </cell>
          <cell r="O1069">
            <v>0</v>
          </cell>
          <cell r="P1069" t="str">
            <v>D03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</row>
        <row r="1070">
          <cell r="J1070">
            <v>1070</v>
          </cell>
          <cell r="L1070" t="str">
            <v>D</v>
          </cell>
          <cell r="M1070" t="str">
            <v xml:space="preserve">DA Sch 25 </v>
          </cell>
          <cell r="N1070" t="str">
            <v/>
          </cell>
          <cell r="O1070">
            <v>0</v>
          </cell>
          <cell r="P1070" t="str">
            <v>D04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</row>
        <row r="1071">
          <cell r="J1071">
            <v>1071</v>
          </cell>
          <cell r="L1071" t="str">
            <v>D</v>
          </cell>
          <cell r="M1071" t="str">
            <v>DA Street and Area Lights</v>
          </cell>
          <cell r="N1071" t="str">
            <v/>
          </cell>
          <cell r="O1071">
            <v>0</v>
          </cell>
          <cell r="P1071" t="str">
            <v>D07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</row>
        <row r="1072">
          <cell r="J1072">
            <v>1072</v>
          </cell>
          <cell r="L1072" t="str">
            <v>D</v>
          </cell>
          <cell r="M1072" t="str">
            <v>Avg Customers-Secondary</v>
          </cell>
          <cell r="N1072" t="str">
            <v/>
          </cell>
          <cell r="O1072">
            <v>100</v>
          </cell>
          <cell r="P1072" t="str">
            <v>C02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</row>
        <row r="1073">
          <cell r="J1073">
            <v>1073</v>
          </cell>
          <cell r="L1073" t="str">
            <v>D</v>
          </cell>
          <cell r="M1073" t="str">
            <v>Wt Customers-Meters</v>
          </cell>
          <cell r="N1073" t="str">
            <v/>
          </cell>
          <cell r="O1073">
            <v>0</v>
          </cell>
          <cell r="P1073" t="str">
            <v>C04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</row>
        <row r="1074">
          <cell r="J1074">
            <v>1074</v>
          </cell>
          <cell r="L1074" t="str">
            <v>D</v>
          </cell>
          <cell r="M1074" t="str">
            <v>DA Street &amp; Area Lights</v>
          </cell>
          <cell r="N1074" t="str">
            <v/>
          </cell>
          <cell r="O1074">
            <v>0</v>
          </cell>
          <cell r="P1074" t="str">
            <v>C05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</row>
        <row r="1075">
          <cell r="J1075">
            <v>1075</v>
          </cell>
          <cell r="L1075" t="str">
            <v>D</v>
          </cell>
          <cell r="M1075" t="str">
            <v>DA Sch 25I</v>
          </cell>
          <cell r="N1075" t="str">
            <v/>
          </cell>
          <cell r="O1075">
            <v>0</v>
          </cell>
          <cell r="P1075" t="str">
            <v>D05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</row>
        <row r="1076">
          <cell r="J1076">
            <v>1076</v>
          </cell>
          <cell r="L1076" t="str">
            <v>D</v>
          </cell>
          <cell r="M1076" t="str">
            <v>NCP-Secondary</v>
          </cell>
          <cell r="N1076" t="str">
            <v/>
          </cell>
          <cell r="O1076">
            <v>0</v>
          </cell>
          <cell r="P1076" t="str">
            <v>D06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</row>
        <row r="1077">
          <cell r="J1077">
            <v>1077</v>
          </cell>
          <cell r="L1077" t="str">
            <v>D</v>
          </cell>
          <cell r="M1077" t="str">
            <v>NCP-Primary</v>
          </cell>
          <cell r="N1077" t="str">
            <v/>
          </cell>
          <cell r="O1077">
            <v>0</v>
          </cell>
          <cell r="P1077" t="str">
            <v>D08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</row>
        <row r="1078">
          <cell r="J1078">
            <v>1078</v>
          </cell>
          <cell r="K1078">
            <v>373</v>
          </cell>
          <cell r="L1078" t="str">
            <v>Street Lights &amp; Signal Systems</v>
          </cell>
          <cell r="O1078" t="str">
            <v>X12</v>
          </cell>
          <cell r="P1078" t="str">
            <v/>
          </cell>
          <cell r="Q1078">
            <v>20332000</v>
          </cell>
        </row>
        <row r="1079">
          <cell r="J1079">
            <v>1079</v>
          </cell>
          <cell r="L1079" t="str">
            <v>D</v>
          </cell>
          <cell r="M1079" t="str">
            <v>NCP-All</v>
          </cell>
          <cell r="N1079" t="str">
            <v/>
          </cell>
          <cell r="O1079">
            <v>0</v>
          </cell>
          <cell r="P1079" t="str">
            <v>D02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</row>
        <row r="1080">
          <cell r="J1080">
            <v>1080</v>
          </cell>
          <cell r="L1080" t="str">
            <v>D</v>
          </cell>
          <cell r="M1080" t="str">
            <v>NCP-w/o DA</v>
          </cell>
          <cell r="N1080" t="str">
            <v/>
          </cell>
          <cell r="O1080">
            <v>0</v>
          </cell>
          <cell r="P1080" t="str">
            <v>D03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</row>
        <row r="1081">
          <cell r="J1081">
            <v>1081</v>
          </cell>
          <cell r="L1081" t="str">
            <v>D</v>
          </cell>
          <cell r="M1081" t="str">
            <v xml:space="preserve">DA Sch 25 </v>
          </cell>
          <cell r="N1081" t="str">
            <v/>
          </cell>
          <cell r="O1081">
            <v>0</v>
          </cell>
          <cell r="P1081" t="str">
            <v>D04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</row>
        <row r="1082">
          <cell r="J1082">
            <v>1082</v>
          </cell>
          <cell r="L1082" t="str">
            <v>D</v>
          </cell>
          <cell r="M1082" t="str">
            <v>DA Street and Area Lights</v>
          </cell>
          <cell r="N1082" t="str">
            <v/>
          </cell>
          <cell r="O1082">
            <v>0</v>
          </cell>
          <cell r="P1082" t="str">
            <v>D07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</row>
        <row r="1083">
          <cell r="J1083">
            <v>1083</v>
          </cell>
          <cell r="L1083" t="str">
            <v>D</v>
          </cell>
          <cell r="M1083" t="str">
            <v>Avg Customers-Secondary</v>
          </cell>
          <cell r="N1083" t="str">
            <v/>
          </cell>
          <cell r="O1083">
            <v>0</v>
          </cell>
          <cell r="P1083" t="str">
            <v>C02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</row>
        <row r="1084">
          <cell r="J1084">
            <v>1084</v>
          </cell>
          <cell r="L1084" t="str">
            <v>D</v>
          </cell>
          <cell r="M1084" t="str">
            <v>Wt Customers-Meters</v>
          </cell>
          <cell r="N1084" t="str">
            <v/>
          </cell>
          <cell r="O1084">
            <v>0</v>
          </cell>
          <cell r="P1084" t="str">
            <v>C04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</row>
        <row r="1085">
          <cell r="J1085">
            <v>1085</v>
          </cell>
          <cell r="L1085" t="str">
            <v>D</v>
          </cell>
          <cell r="M1085" t="str">
            <v>DA Street &amp; Area Lights</v>
          </cell>
          <cell r="N1085" t="str">
            <v/>
          </cell>
          <cell r="O1085">
            <v>100</v>
          </cell>
          <cell r="P1085" t="str">
            <v>C05</v>
          </cell>
          <cell r="R1085">
            <v>20332000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20332000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</row>
        <row r="1086">
          <cell r="J1086">
            <v>1086</v>
          </cell>
          <cell r="L1086" t="str">
            <v>D</v>
          </cell>
          <cell r="M1086" t="str">
            <v>DA Sch 25I</v>
          </cell>
          <cell r="N1086" t="str">
            <v/>
          </cell>
          <cell r="O1086">
            <v>0</v>
          </cell>
          <cell r="P1086" t="str">
            <v>D05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</row>
        <row r="1087">
          <cell r="J1087">
            <v>1087</v>
          </cell>
          <cell r="L1087" t="str">
            <v>D</v>
          </cell>
          <cell r="M1087" t="str">
            <v>NCP-Secondary</v>
          </cell>
          <cell r="N1087" t="str">
            <v/>
          </cell>
          <cell r="O1087">
            <v>0</v>
          </cell>
          <cell r="P1087" t="str">
            <v>D06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</row>
        <row r="1088">
          <cell r="J1088">
            <v>1088</v>
          </cell>
          <cell r="L1088" t="str">
            <v>D</v>
          </cell>
          <cell r="M1088" t="str">
            <v>NCP-Primary</v>
          </cell>
          <cell r="N1088" t="str">
            <v/>
          </cell>
          <cell r="O1088">
            <v>0</v>
          </cell>
          <cell r="P1088" t="str">
            <v>D08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</row>
        <row r="1089">
          <cell r="J1089">
            <v>1089</v>
          </cell>
          <cell r="L1089" t="str">
            <v>Total Distribution Plant</v>
          </cell>
          <cell r="N1089" t="str">
            <v/>
          </cell>
          <cell r="Q1089">
            <v>695186000</v>
          </cell>
          <cell r="R1089">
            <v>695186000</v>
          </cell>
          <cell r="S1089">
            <v>377267678.89115131</v>
          </cell>
          <cell r="T1089">
            <v>76499108.077935427</v>
          </cell>
          <cell r="U1089">
            <v>164018215.42208663</v>
          </cell>
          <cell r="V1089">
            <v>25510159.121658944</v>
          </cell>
          <cell r="W1089">
            <v>16701655.117546072</v>
          </cell>
          <cell r="X1089">
            <v>35189183.369621739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</row>
        <row r="1090">
          <cell r="J1090">
            <v>1090</v>
          </cell>
        </row>
        <row r="1091">
          <cell r="J1091">
            <v>1091</v>
          </cell>
          <cell r="L1091" t="str">
            <v>General Plant</v>
          </cell>
        </row>
        <row r="1092">
          <cell r="J1092">
            <v>1092</v>
          </cell>
          <cell r="K1092">
            <v>389</v>
          </cell>
          <cell r="L1092" t="str">
            <v>Land &amp; Land Rights</v>
          </cell>
          <cell r="O1092" t="str">
            <v>M02</v>
          </cell>
          <cell r="P1092" t="str">
            <v/>
          </cell>
          <cell r="Q1092">
            <v>2477000</v>
          </cell>
        </row>
        <row r="1093">
          <cell r="J1093">
            <v>1093</v>
          </cell>
          <cell r="L1093" t="str">
            <v>O</v>
          </cell>
          <cell r="M1093" t="str">
            <v>P/T/D Plant</v>
          </cell>
          <cell r="O1093">
            <v>0</v>
          </cell>
          <cell r="P1093" t="str">
            <v>S05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</row>
        <row r="1094">
          <cell r="J1094">
            <v>1094</v>
          </cell>
          <cell r="L1094" t="str">
            <v>O</v>
          </cell>
          <cell r="M1094" t="str">
            <v>Labor P/T/D Total</v>
          </cell>
          <cell r="N1094" t="str">
            <v/>
          </cell>
          <cell r="O1094">
            <v>0</v>
          </cell>
          <cell r="P1094" t="str">
            <v>S21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</row>
        <row r="1095">
          <cell r="J1095">
            <v>1095</v>
          </cell>
          <cell r="L1095" t="str">
            <v>O</v>
          </cell>
          <cell r="M1095" t="str">
            <v>Labor O&amp;M excl A&amp;G</v>
          </cell>
          <cell r="O1095">
            <v>100</v>
          </cell>
          <cell r="P1095" t="str">
            <v>S22</v>
          </cell>
          <cell r="R1095">
            <v>2477000</v>
          </cell>
          <cell r="S1095">
            <v>1373430.9146545792</v>
          </cell>
          <cell r="T1095">
            <v>246576.65265033397</v>
          </cell>
          <cell r="U1095">
            <v>514342.7555336167</v>
          </cell>
          <cell r="V1095">
            <v>244922.4075109119</v>
          </cell>
          <cell r="W1095">
            <v>49633.177530671644</v>
          </cell>
          <cell r="X1095">
            <v>48094.092119886605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</row>
        <row r="1096">
          <cell r="J1096">
            <v>1096</v>
          </cell>
          <cell r="L1096" t="str">
            <v>O</v>
          </cell>
          <cell r="M1096" t="str">
            <v>Corporate Cost Allocator</v>
          </cell>
          <cell r="O1096">
            <v>0</v>
          </cell>
          <cell r="P1096" t="str">
            <v>S23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</row>
        <row r="1097">
          <cell r="J1097">
            <v>1097</v>
          </cell>
          <cell r="K1097">
            <v>390</v>
          </cell>
          <cell r="L1097" t="str">
            <v>Structures &amp; Improvements</v>
          </cell>
          <cell r="O1097" t="str">
            <v>M02</v>
          </cell>
          <cell r="P1097" t="str">
            <v/>
          </cell>
          <cell r="Q1097">
            <v>33123000</v>
          </cell>
        </row>
        <row r="1098">
          <cell r="J1098">
            <v>1098</v>
          </cell>
          <cell r="L1098" t="str">
            <v>O</v>
          </cell>
          <cell r="M1098" t="str">
            <v>P/T/D Plant</v>
          </cell>
          <cell r="O1098">
            <v>0</v>
          </cell>
          <cell r="P1098" t="str">
            <v>S05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</row>
        <row r="1099">
          <cell r="J1099">
            <v>1099</v>
          </cell>
          <cell r="L1099" t="str">
            <v>O</v>
          </cell>
          <cell r="M1099" t="str">
            <v>Labor P/T/D Total</v>
          </cell>
          <cell r="N1099" t="str">
            <v/>
          </cell>
          <cell r="O1099">
            <v>0</v>
          </cell>
          <cell r="P1099" t="str">
            <v>S21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</row>
        <row r="1100">
          <cell r="J1100">
            <v>1100</v>
          </cell>
          <cell r="L1100" t="str">
            <v>O</v>
          </cell>
          <cell r="M1100" t="str">
            <v>Labor O&amp;M excl A&amp;G</v>
          </cell>
          <cell r="O1100">
            <v>100</v>
          </cell>
          <cell r="P1100" t="str">
            <v>S22</v>
          </cell>
          <cell r="R1100">
            <v>33123000</v>
          </cell>
          <cell r="S1100">
            <v>18365826.478039414</v>
          </cell>
          <cell r="T1100">
            <v>3297278.3470880147</v>
          </cell>
          <cell r="U1100">
            <v>6877906.7789826347</v>
          </cell>
          <cell r="V1100">
            <v>3275157.4097633972</v>
          </cell>
          <cell r="W1100">
            <v>663705.99085524294</v>
          </cell>
          <cell r="X1100">
            <v>643124.99527129752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</row>
        <row r="1101">
          <cell r="J1101">
            <v>1101</v>
          </cell>
          <cell r="L1101" t="str">
            <v>O</v>
          </cell>
          <cell r="M1101" t="str">
            <v>Corporate Cost Allocator</v>
          </cell>
          <cell r="O1101">
            <v>0</v>
          </cell>
          <cell r="P1101" t="str">
            <v>S23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</row>
        <row r="1102">
          <cell r="J1102">
            <v>1102</v>
          </cell>
          <cell r="K1102">
            <v>391</v>
          </cell>
          <cell r="L1102" t="str">
            <v>Office Furniture &amp; Equipment</v>
          </cell>
          <cell r="O1102" t="str">
            <v>M02</v>
          </cell>
          <cell r="P1102" t="str">
            <v/>
          </cell>
          <cell r="Q1102">
            <v>21827000</v>
          </cell>
        </row>
        <row r="1103">
          <cell r="J1103">
            <v>1103</v>
          </cell>
          <cell r="L1103" t="str">
            <v>O</v>
          </cell>
          <cell r="M1103" t="str">
            <v>P/T/D Plant</v>
          </cell>
          <cell r="O1103">
            <v>0</v>
          </cell>
          <cell r="P1103" t="str">
            <v>S05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</row>
        <row r="1104">
          <cell r="J1104">
            <v>1104</v>
          </cell>
          <cell r="L1104" t="str">
            <v>O</v>
          </cell>
          <cell r="M1104" t="str">
            <v>Labor P/T/D Total</v>
          </cell>
          <cell r="N1104" t="str">
            <v/>
          </cell>
          <cell r="O1104">
            <v>0</v>
          </cell>
          <cell r="P1104" t="str">
            <v>S21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</row>
        <row r="1105">
          <cell r="J1105">
            <v>1105</v>
          </cell>
          <cell r="L1105" t="str">
            <v>O</v>
          </cell>
          <cell r="M1105" t="str">
            <v>Labor O&amp;M excl A&amp;G</v>
          </cell>
          <cell r="O1105">
            <v>100</v>
          </cell>
          <cell r="P1105" t="str">
            <v>S22</v>
          </cell>
          <cell r="R1105">
            <v>21827000</v>
          </cell>
          <cell r="S1105">
            <v>12102493.570514938</v>
          </cell>
          <cell r="T1105">
            <v>2172801.2100923858</v>
          </cell>
          <cell r="U1105">
            <v>4532321.083985568</v>
          </cell>
          <cell r="V1105">
            <v>2158224.2183046727</v>
          </cell>
          <cell r="W1105">
            <v>437361.06821234152</v>
          </cell>
          <cell r="X1105">
            <v>423798.84889009484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</row>
        <row r="1106">
          <cell r="J1106">
            <v>1106</v>
          </cell>
          <cell r="L1106" t="str">
            <v>O</v>
          </cell>
          <cell r="M1106" t="str">
            <v>Corporate Cost Allocator</v>
          </cell>
          <cell r="O1106">
            <v>0</v>
          </cell>
          <cell r="P1106" t="str">
            <v>S23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</row>
        <row r="1107">
          <cell r="J1107">
            <v>1107</v>
          </cell>
          <cell r="K1107">
            <v>392</v>
          </cell>
          <cell r="L1107" t="str">
            <v>Transportation Equipment</v>
          </cell>
          <cell r="O1107" t="str">
            <v>M02</v>
          </cell>
          <cell r="P1107" t="str">
            <v/>
          </cell>
          <cell r="Q1107">
            <v>13320000</v>
          </cell>
        </row>
        <row r="1108">
          <cell r="J1108">
            <v>1108</v>
          </cell>
          <cell r="L1108" t="str">
            <v>O</v>
          </cell>
          <cell r="M1108" t="str">
            <v>P/T/D Plant</v>
          </cell>
          <cell r="O1108">
            <v>0</v>
          </cell>
          <cell r="P1108" t="str">
            <v>S05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</row>
        <row r="1109">
          <cell r="J1109">
            <v>1109</v>
          </cell>
          <cell r="L1109" t="str">
            <v>O</v>
          </cell>
          <cell r="M1109" t="str">
            <v>Labor P/T/D Total</v>
          </cell>
          <cell r="N1109" t="str">
            <v/>
          </cell>
          <cell r="O1109">
            <v>0</v>
          </cell>
          <cell r="P1109" t="str">
            <v>S21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</row>
        <row r="1110">
          <cell r="J1110">
            <v>1110</v>
          </cell>
          <cell r="L1110" t="str">
            <v>O</v>
          </cell>
          <cell r="M1110" t="str">
            <v>Labor O&amp;M excl A&amp;G</v>
          </cell>
          <cell r="O1110">
            <v>100</v>
          </cell>
          <cell r="P1110" t="str">
            <v>S22</v>
          </cell>
          <cell r="R1110">
            <v>13320000</v>
          </cell>
          <cell r="S1110">
            <v>7385587.3165922472</v>
          </cell>
          <cell r="T1110">
            <v>1325959.2302391799</v>
          </cell>
          <cell r="U1110">
            <v>2765864.1516785524</v>
          </cell>
          <cell r="V1110">
            <v>1317063.5720812865</v>
          </cell>
          <cell r="W1110">
            <v>266901.05963203323</v>
          </cell>
          <cell r="X1110">
            <v>258624.66977670146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</row>
        <row r="1111">
          <cell r="J1111">
            <v>1111</v>
          </cell>
          <cell r="L1111" t="str">
            <v>O</v>
          </cell>
          <cell r="M1111" t="str">
            <v>Corporate Cost Allocator</v>
          </cell>
          <cell r="O1111">
            <v>0</v>
          </cell>
          <cell r="P1111" t="str">
            <v>S23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</row>
        <row r="1112">
          <cell r="J1112">
            <v>1112</v>
          </cell>
          <cell r="K1112">
            <v>393</v>
          </cell>
          <cell r="L1112" t="str">
            <v>Stores Equipment</v>
          </cell>
          <cell r="O1112" t="str">
            <v>M01</v>
          </cell>
          <cell r="P1112" t="str">
            <v/>
          </cell>
          <cell r="Q1112">
            <v>1047000</v>
          </cell>
        </row>
        <row r="1113">
          <cell r="J1113">
            <v>1113</v>
          </cell>
          <cell r="L1113" t="str">
            <v>O</v>
          </cell>
          <cell r="M1113" t="str">
            <v>P/T/D Plant</v>
          </cell>
          <cell r="O1113">
            <v>100</v>
          </cell>
          <cell r="P1113" t="str">
            <v>S05</v>
          </cell>
          <cell r="R1113">
            <v>1047000</v>
          </cell>
          <cell r="S1113">
            <v>511179.55847330438</v>
          </cell>
          <cell r="T1113">
            <v>98921.808915757705</v>
          </cell>
          <cell r="U1113">
            <v>262015.02989660806</v>
          </cell>
          <cell r="V1113">
            <v>128854.09410388084</v>
          </cell>
          <cell r="W1113">
            <v>23091.257358522889</v>
          </cell>
          <cell r="X1113">
            <v>22938.251251926187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</row>
        <row r="1114">
          <cell r="J1114">
            <v>1114</v>
          </cell>
          <cell r="L1114" t="str">
            <v>O</v>
          </cell>
          <cell r="M1114" t="str">
            <v>Labor P/T/D Total</v>
          </cell>
          <cell r="N1114" t="str">
            <v/>
          </cell>
          <cell r="O1114">
            <v>0</v>
          </cell>
          <cell r="P1114" t="str">
            <v>S21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</row>
        <row r="1115">
          <cell r="J1115">
            <v>1115</v>
          </cell>
          <cell r="L1115" t="str">
            <v>O</v>
          </cell>
          <cell r="M1115" t="str">
            <v>Labor O&amp;M excl A&amp;G</v>
          </cell>
          <cell r="O1115">
            <v>0</v>
          </cell>
          <cell r="P1115" t="str">
            <v>S22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</row>
        <row r="1116">
          <cell r="J1116">
            <v>1116</v>
          </cell>
          <cell r="L1116" t="str">
            <v>O</v>
          </cell>
          <cell r="M1116" t="str">
            <v>Corporate Cost Allocator</v>
          </cell>
          <cell r="O1116">
            <v>0</v>
          </cell>
          <cell r="P1116" t="str">
            <v>S23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</row>
        <row r="1117">
          <cell r="J1117">
            <v>1117</v>
          </cell>
          <cell r="K1117">
            <v>394</v>
          </cell>
          <cell r="L1117" t="str">
            <v>Tools, Shop &amp; Garage Equipment</v>
          </cell>
          <cell r="O1117" t="str">
            <v>M03</v>
          </cell>
          <cell r="P1117" t="str">
            <v/>
          </cell>
          <cell r="Q1117">
            <v>5026000</v>
          </cell>
        </row>
        <row r="1118">
          <cell r="J1118">
            <v>1118</v>
          </cell>
          <cell r="L1118" t="str">
            <v>O</v>
          </cell>
          <cell r="M1118" t="str">
            <v>P/T/D Plant</v>
          </cell>
          <cell r="O1118">
            <v>0</v>
          </cell>
          <cell r="P1118" t="str">
            <v>S05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</row>
        <row r="1119">
          <cell r="J1119">
            <v>1119</v>
          </cell>
          <cell r="L1119" t="str">
            <v>O</v>
          </cell>
          <cell r="M1119" t="str">
            <v>Labor P/T/D Total</v>
          </cell>
          <cell r="N1119" t="str">
            <v/>
          </cell>
          <cell r="O1119">
            <v>100</v>
          </cell>
          <cell r="P1119" t="str">
            <v>S21</v>
          </cell>
          <cell r="R1119">
            <v>5026000</v>
          </cell>
          <cell r="S1119">
            <v>2466802.9785651756</v>
          </cell>
          <cell r="T1119">
            <v>478561.73356655124</v>
          </cell>
          <cell r="U1119">
            <v>1254368.064729389</v>
          </cell>
          <cell r="V1119">
            <v>598014.12620229495</v>
          </cell>
          <cell r="W1119">
            <v>111315.2174504266</v>
          </cell>
          <cell r="X1119">
            <v>116937.87948616254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</row>
        <row r="1120">
          <cell r="J1120">
            <v>1120</v>
          </cell>
          <cell r="L1120" t="str">
            <v>O</v>
          </cell>
          <cell r="M1120" t="str">
            <v>Labor O&amp;M excl A&amp;G</v>
          </cell>
          <cell r="O1120">
            <v>0</v>
          </cell>
          <cell r="P1120" t="str">
            <v>S22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</row>
        <row r="1121">
          <cell r="J1121">
            <v>1121</v>
          </cell>
          <cell r="L1121" t="str">
            <v>O</v>
          </cell>
          <cell r="M1121" t="str">
            <v>Corporate Cost Allocator</v>
          </cell>
          <cell r="O1121">
            <v>0</v>
          </cell>
          <cell r="P1121" t="str">
            <v>S23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</row>
        <row r="1122">
          <cell r="J1122">
            <v>1122</v>
          </cell>
          <cell r="K1122">
            <v>395</v>
          </cell>
          <cell r="L1122" t="str">
            <v>Laboratory Equipment</v>
          </cell>
          <cell r="O1122" t="str">
            <v>M03</v>
          </cell>
          <cell r="P1122" t="str">
            <v/>
          </cell>
          <cell r="Q1122">
            <v>1033000</v>
          </cell>
        </row>
        <row r="1123">
          <cell r="J1123">
            <v>1123</v>
          </cell>
          <cell r="L1123" t="str">
            <v>O</v>
          </cell>
          <cell r="M1123" t="str">
            <v>P/T/D Plant</v>
          </cell>
          <cell r="O1123">
            <v>0</v>
          </cell>
          <cell r="P1123" t="str">
            <v>S05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</row>
        <row r="1124">
          <cell r="J1124">
            <v>1124</v>
          </cell>
          <cell r="L1124" t="str">
            <v>O</v>
          </cell>
          <cell r="M1124" t="str">
            <v>Labor P/T/D Total</v>
          </cell>
          <cell r="N1124" t="str">
            <v/>
          </cell>
          <cell r="O1124">
            <v>100</v>
          </cell>
          <cell r="P1124" t="str">
            <v>S21</v>
          </cell>
          <cell r="R1124">
            <v>1033000</v>
          </cell>
          <cell r="S1124">
            <v>507005.06901269918</v>
          </cell>
          <cell r="T1124">
            <v>98359.385351024161</v>
          </cell>
          <cell r="U1124">
            <v>257811.82070542357</v>
          </cell>
          <cell r="V1124">
            <v>122910.5834395087</v>
          </cell>
          <cell r="W1124">
            <v>22878.754402365834</v>
          </cell>
          <cell r="X1124">
            <v>24034.387088978492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</row>
        <row r="1125">
          <cell r="J1125">
            <v>1125</v>
          </cell>
          <cell r="L1125" t="str">
            <v>O</v>
          </cell>
          <cell r="M1125" t="str">
            <v>Labor O&amp;M excl A&amp;G</v>
          </cell>
          <cell r="O1125">
            <v>0</v>
          </cell>
          <cell r="P1125" t="str">
            <v>S22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</row>
        <row r="1126">
          <cell r="J1126">
            <v>1126</v>
          </cell>
          <cell r="L1126" t="str">
            <v>O</v>
          </cell>
          <cell r="M1126" t="str">
            <v>Corporate Cost Allocator</v>
          </cell>
          <cell r="O1126">
            <v>0</v>
          </cell>
          <cell r="P1126" t="str">
            <v>S23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</row>
        <row r="1127">
          <cell r="J1127">
            <v>1127</v>
          </cell>
          <cell r="K1127">
            <v>396</v>
          </cell>
          <cell r="L1127" t="str">
            <v>Power Operated Equipment</v>
          </cell>
          <cell r="O1127" t="str">
            <v>M03</v>
          </cell>
          <cell r="P1127" t="str">
            <v/>
          </cell>
          <cell r="Q1127">
            <v>24302000</v>
          </cell>
        </row>
        <row r="1128">
          <cell r="J1128">
            <v>1128</v>
          </cell>
          <cell r="L1128" t="str">
            <v>O</v>
          </cell>
          <cell r="M1128" t="str">
            <v>P/T/D Plant</v>
          </cell>
          <cell r="O1128">
            <v>0</v>
          </cell>
          <cell r="P1128" t="str">
            <v>S05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</row>
        <row r="1129">
          <cell r="J1129">
            <v>1129</v>
          </cell>
          <cell r="L1129" t="str">
            <v>O</v>
          </cell>
          <cell r="M1129" t="str">
            <v>Labor P/T/D Total</v>
          </cell>
          <cell r="N1129" t="str">
            <v/>
          </cell>
          <cell r="O1129">
            <v>100</v>
          </cell>
          <cell r="P1129" t="str">
            <v>S21</v>
          </cell>
          <cell r="R1129">
            <v>24302000</v>
          </cell>
          <cell r="S1129">
            <v>11927625.544188399</v>
          </cell>
          <cell r="T1129">
            <v>2313968.8120044428</v>
          </cell>
          <cell r="U1129">
            <v>6065191.5457727043</v>
          </cell>
          <cell r="V1129">
            <v>2891551.789687261</v>
          </cell>
          <cell r="W1129">
            <v>538237.64713097236</v>
          </cell>
          <cell r="X1129">
            <v>565424.66121622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</row>
        <row r="1130">
          <cell r="J1130">
            <v>1130</v>
          </cell>
          <cell r="L1130" t="str">
            <v>O</v>
          </cell>
          <cell r="M1130" t="str">
            <v>Labor O&amp;M excl A&amp;G</v>
          </cell>
          <cell r="O1130">
            <v>0</v>
          </cell>
          <cell r="P1130" t="str">
            <v>S22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</row>
        <row r="1131">
          <cell r="J1131">
            <v>1131</v>
          </cell>
          <cell r="L1131" t="str">
            <v>O</v>
          </cell>
          <cell r="M1131" t="str">
            <v>Corporate Cost Allocator</v>
          </cell>
          <cell r="O1131">
            <v>0</v>
          </cell>
          <cell r="P1131" t="str">
            <v>S23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</row>
        <row r="1132">
          <cell r="J1132">
            <v>1132</v>
          </cell>
          <cell r="K1132">
            <v>397</v>
          </cell>
          <cell r="L1132" t="str">
            <v>Communication Equipment</v>
          </cell>
          <cell r="O1132" t="str">
            <v>M02</v>
          </cell>
          <cell r="P1132" t="str">
            <v/>
          </cell>
          <cell r="Q1132">
            <v>37857000</v>
          </cell>
        </row>
        <row r="1133">
          <cell r="J1133">
            <v>1133</v>
          </cell>
          <cell r="L1133" t="str">
            <v>O</v>
          </cell>
          <cell r="M1133" t="str">
            <v>P/T/D Plant</v>
          </cell>
          <cell r="O1133">
            <v>0</v>
          </cell>
          <cell r="P1133" t="str">
            <v>S05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</row>
        <row r="1134">
          <cell r="J1134">
            <v>1134</v>
          </cell>
          <cell r="L1134" t="str">
            <v>O</v>
          </cell>
          <cell r="M1134" t="str">
            <v>Labor P/T/D Total</v>
          </cell>
          <cell r="N1134" t="str">
            <v/>
          </cell>
          <cell r="O1134">
            <v>0</v>
          </cell>
          <cell r="P1134" t="str">
            <v>S21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</row>
        <row r="1135">
          <cell r="J1135">
            <v>1135</v>
          </cell>
          <cell r="L1135" t="str">
            <v>O</v>
          </cell>
          <cell r="M1135" t="str">
            <v>Labor O&amp;M excl A&amp;G</v>
          </cell>
          <cell r="O1135">
            <v>100</v>
          </cell>
          <cell r="P1135" t="str">
            <v>S22</v>
          </cell>
          <cell r="R1135">
            <v>37857000</v>
          </cell>
          <cell r="S1135">
            <v>20990704.132449903</v>
          </cell>
          <cell r="T1135">
            <v>3768531.4248622092</v>
          </cell>
          <cell r="U1135">
            <v>7860909.849106228</v>
          </cell>
          <cell r="V1135">
            <v>3743248.9225436384</v>
          </cell>
          <cell r="W1135">
            <v>758564.070156898</v>
          </cell>
          <cell r="X1135">
            <v>735041.6008811252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</row>
        <row r="1136">
          <cell r="J1136">
            <v>1136</v>
          </cell>
          <cell r="L1136" t="str">
            <v>O</v>
          </cell>
          <cell r="M1136" t="str">
            <v>Corporate Cost Allocator</v>
          </cell>
          <cell r="O1136">
            <v>0</v>
          </cell>
          <cell r="P1136" t="str">
            <v>S23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</row>
        <row r="1137">
          <cell r="J1137">
            <v>1137</v>
          </cell>
          <cell r="K1137">
            <v>398</v>
          </cell>
          <cell r="L1137" t="str">
            <v>Miscellaneous Equipment</v>
          </cell>
          <cell r="O1137" t="str">
            <v>M02</v>
          </cell>
          <cell r="P1137" t="str">
            <v/>
          </cell>
          <cell r="Q1137">
            <v>207000</v>
          </cell>
        </row>
        <row r="1138">
          <cell r="J1138">
            <v>1138</v>
          </cell>
          <cell r="L1138" t="str">
            <v>O</v>
          </cell>
          <cell r="M1138" t="str">
            <v>P/T/D Plant</v>
          </cell>
          <cell r="O1138">
            <v>0</v>
          </cell>
          <cell r="P1138" t="str">
            <v>S05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</row>
        <row r="1139">
          <cell r="J1139">
            <v>1139</v>
          </cell>
          <cell r="L1139" t="str">
            <v>O</v>
          </cell>
          <cell r="M1139" t="str">
            <v>Labor P/T/D Total</v>
          </cell>
          <cell r="N1139" t="str">
            <v/>
          </cell>
          <cell r="O1139">
            <v>0</v>
          </cell>
          <cell r="P1139" t="str">
            <v>S21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</row>
        <row r="1140">
          <cell r="J1140">
            <v>1140</v>
          </cell>
          <cell r="L1140" t="str">
            <v>O</v>
          </cell>
          <cell r="M1140" t="str">
            <v>Labor O&amp;M excl A&amp;G</v>
          </cell>
          <cell r="O1140">
            <v>100</v>
          </cell>
          <cell r="P1140" t="str">
            <v>S22</v>
          </cell>
          <cell r="R1140">
            <v>207000</v>
          </cell>
          <cell r="S1140">
            <v>114776.01910920384</v>
          </cell>
          <cell r="T1140">
            <v>20606.123172635904</v>
          </cell>
          <cell r="U1140">
            <v>42983.023978788311</v>
          </cell>
          <cell r="V1140">
            <v>20467.87983639837</v>
          </cell>
          <cell r="W1140">
            <v>4147.7867375248406</v>
          </cell>
          <cell r="X1140">
            <v>4019.1671654487391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</row>
        <row r="1141">
          <cell r="J1141">
            <v>1141</v>
          </cell>
          <cell r="L1141" t="str">
            <v>O</v>
          </cell>
          <cell r="M1141" t="str">
            <v>Corporate Cost Allocator</v>
          </cell>
          <cell r="O1141">
            <v>0</v>
          </cell>
          <cell r="P1141" t="str">
            <v>S23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</row>
        <row r="1142">
          <cell r="J1142">
            <v>1142</v>
          </cell>
          <cell r="L1142" t="str">
            <v>Total General Plant</v>
          </cell>
          <cell r="N1142" t="str">
            <v/>
          </cell>
          <cell r="Q1142">
            <v>140219000</v>
          </cell>
          <cell r="R1142">
            <v>140219000</v>
          </cell>
          <cell r="S1142">
            <v>75745431.581599876</v>
          </cell>
          <cell r="T1142">
            <v>13821564.727942536</v>
          </cell>
          <cell r="U1142">
            <v>30433714.10436951</v>
          </cell>
          <cell r="V1142">
            <v>14500415.003473252</v>
          </cell>
          <cell r="W1142">
            <v>2875836.0294669997</v>
          </cell>
          <cell r="X1142">
            <v>2842038.5531478417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</row>
        <row r="1143">
          <cell r="J1143">
            <v>1143</v>
          </cell>
        </row>
        <row r="1144">
          <cell r="J1144">
            <v>1144</v>
          </cell>
          <cell r="K1144" t="str">
            <v>Total Plant In Service</v>
          </cell>
          <cell r="N1144" t="str">
            <v/>
          </cell>
          <cell r="Q1144">
            <v>2030870000</v>
          </cell>
          <cell r="R1144">
            <v>2030870000</v>
          </cell>
          <cell r="S1144">
            <v>996671876.55611622</v>
          </cell>
          <cell r="T1144">
            <v>191822488.42468446</v>
          </cell>
          <cell r="U1144">
            <v>504112749.36297035</v>
          </cell>
          <cell r="V1144">
            <v>250684204.80329561</v>
          </cell>
          <cell r="W1144">
            <v>44490835.28023722</v>
          </cell>
          <cell r="X1144">
            <v>43087845.572696321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</row>
        <row r="1145">
          <cell r="J1145">
            <v>1145</v>
          </cell>
        </row>
        <row r="1146">
          <cell r="J1146">
            <v>1146</v>
          </cell>
          <cell r="K1146" t="str">
            <v>Accumulated Reserve For Depreciation</v>
          </cell>
        </row>
        <row r="1147">
          <cell r="J1147">
            <v>1147</v>
          </cell>
          <cell r="L1147" t="str">
            <v>Production Plant Accumulated Depreciation</v>
          </cell>
        </row>
        <row r="1148">
          <cell r="J1148">
            <v>1148</v>
          </cell>
          <cell r="K1148" t="str">
            <v>31X</v>
          </cell>
          <cell r="L1148" t="str">
            <v>Steam Production Accum Depr</v>
          </cell>
          <cell r="O1148" t="str">
            <v>P01</v>
          </cell>
          <cell r="P1148" t="str">
            <v/>
          </cell>
          <cell r="Q1148">
            <v>-164367000</v>
          </cell>
        </row>
        <row r="1149">
          <cell r="J1149">
            <v>1149</v>
          </cell>
          <cell r="L1149" t="str">
            <v>P</v>
          </cell>
          <cell r="M1149" t="str">
            <v>Coincident Peak</v>
          </cell>
          <cell r="N1149" t="str">
            <v/>
          </cell>
          <cell r="O1149">
            <v>34.200000000000003</v>
          </cell>
          <cell r="P1149" t="str">
            <v>D01</v>
          </cell>
          <cell r="R1149">
            <v>-56213514</v>
          </cell>
          <cell r="S1149">
            <v>-28013411.570270851</v>
          </cell>
          <cell r="T1149">
            <v>-4375685.3570803041</v>
          </cell>
          <cell r="U1149">
            <v>-13750494.985956607</v>
          </cell>
          <cell r="V1149">
            <v>-8937998.459738085</v>
          </cell>
          <cell r="W1149">
            <v>-999282.0749841691</v>
          </cell>
          <cell r="X1149">
            <v>-136641.5519699821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</row>
        <row r="1150">
          <cell r="J1150">
            <v>1150</v>
          </cell>
          <cell r="L1150" t="str">
            <v>P</v>
          </cell>
          <cell r="M1150" t="str">
            <v>Generation Level Consumption</v>
          </cell>
          <cell r="N1150" t="str">
            <v/>
          </cell>
          <cell r="O1150">
            <v>65.8</v>
          </cell>
          <cell r="P1150" t="str">
            <v>E02</v>
          </cell>
          <cell r="R1150">
            <v>-108153486</v>
          </cell>
          <cell r="S1150">
            <v>-46622814.591399185</v>
          </cell>
          <cell r="T1150">
            <v>-9549962.2656354122</v>
          </cell>
          <cell r="U1150">
            <v>-28858862.787128795</v>
          </cell>
          <cell r="V1150">
            <v>-20194176.848437332</v>
          </cell>
          <cell r="W1150">
            <v>-2422706.7315896158</v>
          </cell>
          <cell r="X1150">
            <v>-504962.77580967179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</row>
        <row r="1151">
          <cell r="J1151">
            <v>1151</v>
          </cell>
          <cell r="L1151" t="str">
            <v>P</v>
          </cell>
          <cell r="M1151" t="str">
            <v>Open</v>
          </cell>
          <cell r="N1151" t="str">
            <v/>
          </cell>
          <cell r="O1151">
            <v>0</v>
          </cell>
          <cell r="P1151" t="str">
            <v>xxx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</row>
        <row r="1152">
          <cell r="J1152">
            <v>1152</v>
          </cell>
          <cell r="L1152" t="str">
            <v>P</v>
          </cell>
          <cell r="M1152" t="str">
            <v>Open</v>
          </cell>
          <cell r="N1152" t="str">
            <v/>
          </cell>
          <cell r="O1152">
            <v>0</v>
          </cell>
          <cell r="P1152" t="str">
            <v>xxx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</row>
        <row r="1153">
          <cell r="J1153">
            <v>1153</v>
          </cell>
          <cell r="K1153" t="str">
            <v>32X</v>
          </cell>
          <cell r="L1153" t="str">
            <v>Nuclear Production Accum Depr</v>
          </cell>
          <cell r="O1153" t="str">
            <v>P01</v>
          </cell>
          <cell r="P1153" t="str">
            <v/>
          </cell>
          <cell r="Q1153">
            <v>-64518000</v>
          </cell>
        </row>
        <row r="1154">
          <cell r="J1154">
            <v>1154</v>
          </cell>
          <cell r="L1154" t="str">
            <v>P</v>
          </cell>
          <cell r="M1154" t="str">
            <v>Coincident Peak</v>
          </cell>
          <cell r="N1154" t="str">
            <v/>
          </cell>
          <cell r="O1154">
            <v>34.200000000000003</v>
          </cell>
          <cell r="P1154" t="str">
            <v>D01</v>
          </cell>
          <cell r="R1154">
            <v>-22065156</v>
          </cell>
          <cell r="S1154">
            <v>-10995937.674172644</v>
          </cell>
          <cell r="T1154">
            <v>-1717561.7238746651</v>
          </cell>
          <cell r="U1154">
            <v>-5397399.9373593749</v>
          </cell>
          <cell r="V1154">
            <v>-3508379.3256881353</v>
          </cell>
          <cell r="W1154">
            <v>-392242.24396520364</v>
          </cell>
          <cell r="X1154">
            <v>-53635.094939977636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</row>
        <row r="1155">
          <cell r="J1155">
            <v>1155</v>
          </cell>
          <cell r="L1155" t="str">
            <v>P</v>
          </cell>
          <cell r="M1155" t="str">
            <v>Generation Level Consumption</v>
          </cell>
          <cell r="N1155" t="str">
            <v/>
          </cell>
          <cell r="O1155">
            <v>65.8</v>
          </cell>
          <cell r="P1155" t="str">
            <v>E02</v>
          </cell>
          <cell r="R1155">
            <v>-42452844</v>
          </cell>
          <cell r="S1155">
            <v>-18300575.856515557</v>
          </cell>
          <cell r="T1155">
            <v>-3748589.8352726852</v>
          </cell>
          <cell r="U1155">
            <v>-11327797.607183775</v>
          </cell>
          <cell r="V1155">
            <v>-7926700.0182973463</v>
          </cell>
          <cell r="W1155">
            <v>-950970.6504876212</v>
          </cell>
          <cell r="X1155">
            <v>-198210.03224301961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</row>
        <row r="1156">
          <cell r="J1156">
            <v>1156</v>
          </cell>
          <cell r="L1156" t="str">
            <v>P</v>
          </cell>
          <cell r="M1156" t="str">
            <v>Open</v>
          </cell>
          <cell r="N1156" t="str">
            <v/>
          </cell>
          <cell r="O1156">
            <v>0</v>
          </cell>
          <cell r="P1156" t="str">
            <v>xxx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</row>
        <row r="1157">
          <cell r="J1157">
            <v>1157</v>
          </cell>
          <cell r="L1157" t="str">
            <v>P</v>
          </cell>
          <cell r="M1157" t="str">
            <v>Open</v>
          </cell>
          <cell r="N1157" t="str">
            <v/>
          </cell>
          <cell r="O1157">
            <v>0</v>
          </cell>
          <cell r="P1157" t="str">
            <v>xxx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</row>
        <row r="1158">
          <cell r="J1158">
            <v>1158</v>
          </cell>
          <cell r="K1158" t="str">
            <v>33X</v>
          </cell>
          <cell r="L1158" t="str">
            <v>Hydraulic Production Accum Depr</v>
          </cell>
          <cell r="O1158" t="str">
            <v>P01</v>
          </cell>
          <cell r="P1158" t="str">
            <v/>
          </cell>
          <cell r="Q1158">
            <v>-68329000</v>
          </cell>
        </row>
        <row r="1159">
          <cell r="J1159">
            <v>1159</v>
          </cell>
          <cell r="L1159" t="str">
            <v>P</v>
          </cell>
          <cell r="M1159" t="str">
            <v>Coincident Peak</v>
          </cell>
          <cell r="N1159" t="str">
            <v/>
          </cell>
          <cell r="O1159">
            <v>34.200000000000003</v>
          </cell>
          <cell r="P1159" t="str">
            <v>D01</v>
          </cell>
          <cell r="R1159">
            <v>-23368518</v>
          </cell>
          <cell r="S1159">
            <v>-11645454.374570547</v>
          </cell>
          <cell r="T1159">
            <v>-1819016.011510462</v>
          </cell>
          <cell r="U1159">
            <v>-5716217.8046410102</v>
          </cell>
          <cell r="V1159">
            <v>-3715615.0368105737</v>
          </cell>
          <cell r="W1159">
            <v>-415411.51752841682</v>
          </cell>
          <cell r="X1159">
            <v>-56803.254938989616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</row>
        <row r="1160">
          <cell r="J1160">
            <v>1160</v>
          </cell>
          <cell r="L1160" t="str">
            <v>P</v>
          </cell>
          <cell r="M1160" t="str">
            <v>Generation Level Consumption</v>
          </cell>
          <cell r="N1160" t="str">
            <v/>
          </cell>
          <cell r="O1160">
            <v>65.8</v>
          </cell>
          <cell r="P1160" t="str">
            <v>E02</v>
          </cell>
          <cell r="R1160">
            <v>-44960482</v>
          </cell>
          <cell r="S1160">
            <v>-19381568.673856158</v>
          </cell>
          <cell r="T1160">
            <v>-3970014.4898221786</v>
          </cell>
          <cell r="U1160">
            <v>-11996916.871280266</v>
          </cell>
          <cell r="V1160">
            <v>-8394920.5733320825</v>
          </cell>
          <cell r="W1160">
            <v>-1007143.333289449</v>
          </cell>
          <cell r="X1160">
            <v>-209918.05841987176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</row>
        <row r="1161">
          <cell r="J1161">
            <v>1161</v>
          </cell>
          <cell r="L1161" t="str">
            <v>P</v>
          </cell>
          <cell r="M1161" t="str">
            <v>Open</v>
          </cell>
          <cell r="N1161" t="str">
            <v/>
          </cell>
          <cell r="O1161">
            <v>0</v>
          </cell>
          <cell r="P1161" t="str">
            <v>xxx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</row>
        <row r="1162">
          <cell r="J1162">
            <v>1162</v>
          </cell>
          <cell r="L1162" t="str">
            <v>P</v>
          </cell>
          <cell r="M1162" t="str">
            <v>Open</v>
          </cell>
          <cell r="N1162" t="str">
            <v/>
          </cell>
          <cell r="O1162">
            <v>0</v>
          </cell>
          <cell r="P1162" t="str">
            <v>xxx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</row>
        <row r="1163">
          <cell r="J1163">
            <v>1163</v>
          </cell>
          <cell r="K1163" t="str">
            <v>34X</v>
          </cell>
          <cell r="L1163" t="str">
            <v>Other Production Accum Depr</v>
          </cell>
          <cell r="O1163" t="str">
            <v>P01</v>
          </cell>
          <cell r="P1163" t="str">
            <v/>
          </cell>
          <cell r="Q1163">
            <v>-44139000</v>
          </cell>
        </row>
        <row r="1164">
          <cell r="J1164">
            <v>1164</v>
          </cell>
          <cell r="L1164" t="str">
            <v>P</v>
          </cell>
          <cell r="M1164" t="str">
            <v>Coincident Peak</v>
          </cell>
          <cell r="N1164" t="str">
            <v/>
          </cell>
          <cell r="O1164">
            <v>34.200000000000003</v>
          </cell>
          <cell r="P1164" t="str">
            <v>D01</v>
          </cell>
          <cell r="R1164">
            <v>-15095538.000000002</v>
          </cell>
          <cell r="S1164">
            <v>-7522702.0831443379</v>
          </cell>
          <cell r="T1164">
            <v>-1175043.5061549312</v>
          </cell>
          <cell r="U1164">
            <v>-3692548.3715413604</v>
          </cell>
          <cell r="V1164">
            <v>-2400203.8974634772</v>
          </cell>
          <cell r="W1164">
            <v>-268346.5142499787</v>
          </cell>
          <cell r="X1164">
            <v>-36693.627445917002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</row>
        <row r="1165">
          <cell r="J1165">
            <v>1165</v>
          </cell>
          <cell r="L1165" t="str">
            <v>P</v>
          </cell>
          <cell r="M1165" t="str">
            <v>Generation Level Consumption</v>
          </cell>
          <cell r="N1165" t="str">
            <v/>
          </cell>
          <cell r="O1165">
            <v>65.8</v>
          </cell>
          <cell r="P1165" t="str">
            <v>E02</v>
          </cell>
          <cell r="R1165">
            <v>-29043462</v>
          </cell>
          <cell r="S1165">
            <v>-12520058.243137421</v>
          </cell>
          <cell r="T1165">
            <v>-2564540.2327893157</v>
          </cell>
          <cell r="U1165">
            <v>-7749738.9656140096</v>
          </cell>
          <cell r="V1165">
            <v>-5422930.2226917539</v>
          </cell>
          <cell r="W1165">
            <v>-650591.98273153405</v>
          </cell>
          <cell r="X1165">
            <v>-135602.3530359689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</row>
        <row r="1166">
          <cell r="J1166">
            <v>1166</v>
          </cell>
          <cell r="L1166" t="str">
            <v>P</v>
          </cell>
          <cell r="M1166" t="str">
            <v>Open</v>
          </cell>
          <cell r="N1166" t="str">
            <v/>
          </cell>
          <cell r="O1166">
            <v>0</v>
          </cell>
          <cell r="P1166" t="str">
            <v>xxx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</row>
        <row r="1167">
          <cell r="J1167">
            <v>1167</v>
          </cell>
          <cell r="L1167" t="str">
            <v>P</v>
          </cell>
          <cell r="M1167" t="str">
            <v>Open</v>
          </cell>
          <cell r="N1167" t="str">
            <v/>
          </cell>
          <cell r="O1167">
            <v>0</v>
          </cell>
          <cell r="P1167" t="str">
            <v>xxx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</row>
        <row r="1168">
          <cell r="J1168">
            <v>1168</v>
          </cell>
          <cell r="L1168" t="str">
            <v>Total Production Plant Accum Depr</v>
          </cell>
          <cell r="N1168" t="str">
            <v/>
          </cell>
          <cell r="Q1168">
            <v>-341353000</v>
          </cell>
          <cell r="R1168">
            <v>-341353000</v>
          </cell>
          <cell r="S1168">
            <v>-155002523.0670667</v>
          </cell>
          <cell r="T1168">
            <v>-28920413.422139954</v>
          </cell>
          <cell r="U1168">
            <v>-88489977.330705196</v>
          </cell>
          <cell r="V1168">
            <v>-60500924.382458791</v>
          </cell>
          <cell r="W1168">
            <v>-7106695.0488259885</v>
          </cell>
          <cell r="X1168">
            <v>-1332466.7488033988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</row>
        <row r="1169">
          <cell r="J1169">
            <v>1169</v>
          </cell>
        </row>
        <row r="1170">
          <cell r="J1170">
            <v>1170</v>
          </cell>
          <cell r="L1170" t="str">
            <v>Transmission Plant Accumulated Depreciation</v>
          </cell>
        </row>
        <row r="1171">
          <cell r="J1171">
            <v>1171</v>
          </cell>
          <cell r="K1171">
            <v>350</v>
          </cell>
          <cell r="L1171" t="str">
            <v>Land &amp; Land Rights Accum Depr</v>
          </cell>
          <cell r="O1171" t="str">
            <v>T01</v>
          </cell>
          <cell r="P1171" t="str">
            <v/>
          </cell>
          <cell r="Q1171">
            <v>-2815000</v>
          </cell>
        </row>
        <row r="1172">
          <cell r="J1172">
            <v>1172</v>
          </cell>
          <cell r="L1172" t="str">
            <v>T</v>
          </cell>
          <cell r="M1172" t="str">
            <v>Coincident Peak</v>
          </cell>
          <cell r="N1172" t="str">
            <v/>
          </cell>
          <cell r="O1172">
            <v>34.200000000000003</v>
          </cell>
          <cell r="P1172" t="str">
            <v>D01</v>
          </cell>
          <cell r="R1172">
            <v>-962730.00000000012</v>
          </cell>
          <cell r="S1172">
            <v>-479766.33734455495</v>
          </cell>
          <cell r="T1172">
            <v>-74939.338676139727</v>
          </cell>
          <cell r="U1172">
            <v>-235495.22340535419</v>
          </cell>
          <cell r="V1172">
            <v>-153074.92175535669</v>
          </cell>
          <cell r="W1172">
            <v>-17114.01340342305</v>
          </cell>
          <cell r="X1172">
            <v>-2340.1654151715347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</row>
        <row r="1173">
          <cell r="J1173">
            <v>1173</v>
          </cell>
          <cell r="L1173" t="str">
            <v>T</v>
          </cell>
          <cell r="M1173" t="str">
            <v>Generation Level Consumption</v>
          </cell>
          <cell r="N1173" t="str">
            <v/>
          </cell>
          <cell r="O1173">
            <v>65.8</v>
          </cell>
          <cell r="P1173" t="str">
            <v>E02</v>
          </cell>
          <cell r="R1173">
            <v>-1852270</v>
          </cell>
          <cell r="S1173">
            <v>-798476.72023452818</v>
          </cell>
          <cell r="T1173">
            <v>-163555.60287505208</v>
          </cell>
          <cell r="U1173">
            <v>-494245.795967363</v>
          </cell>
          <cell r="V1173">
            <v>-345851.70884880231</v>
          </cell>
          <cell r="W1173">
            <v>-41492.023638715611</v>
          </cell>
          <cell r="X1173">
            <v>-8648.1484355389221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</row>
        <row r="1174">
          <cell r="J1174">
            <v>1174</v>
          </cell>
          <cell r="L1174" t="str">
            <v>T</v>
          </cell>
          <cell r="M1174" t="str">
            <v>Open</v>
          </cell>
          <cell r="N1174" t="str">
            <v/>
          </cell>
          <cell r="O1174">
            <v>0</v>
          </cell>
          <cell r="P1174" t="str">
            <v>xxx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</row>
        <row r="1175">
          <cell r="J1175">
            <v>1175</v>
          </cell>
          <cell r="K1175">
            <v>352</v>
          </cell>
          <cell r="L1175" t="str">
            <v>Structures &amp; Improvements Accum Depr</v>
          </cell>
          <cell r="O1175" t="str">
            <v>T01</v>
          </cell>
          <cell r="P1175" t="str">
            <v/>
          </cell>
          <cell r="Q1175">
            <v>-2896000</v>
          </cell>
        </row>
        <row r="1176">
          <cell r="J1176">
            <v>1176</v>
          </cell>
          <cell r="L1176" t="str">
            <v>T</v>
          </cell>
          <cell r="M1176" t="str">
            <v>Coincident Peak</v>
          </cell>
          <cell r="N1176" t="str">
            <v/>
          </cell>
          <cell r="O1176">
            <v>34.200000000000003</v>
          </cell>
          <cell r="P1176" t="str">
            <v>D01</v>
          </cell>
          <cell r="R1176">
            <v>-990432.00000000012</v>
          </cell>
          <cell r="S1176">
            <v>-493571.33674949594</v>
          </cell>
          <cell r="T1176">
            <v>-77095.67488671426</v>
          </cell>
          <cell r="U1176">
            <v>-242271.46251577468</v>
          </cell>
          <cell r="V1176">
            <v>-157479.56426412537</v>
          </cell>
          <cell r="W1176">
            <v>-17606.459259791529</v>
          </cell>
          <cell r="X1176">
            <v>-2407.5023240983178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</row>
        <row r="1177">
          <cell r="J1177">
            <v>1177</v>
          </cell>
          <cell r="L1177" t="str">
            <v>T</v>
          </cell>
          <cell r="M1177" t="str">
            <v>Generation Level Consumption</v>
          </cell>
          <cell r="N1177" t="str">
            <v/>
          </cell>
          <cell r="O1177">
            <v>65.8</v>
          </cell>
          <cell r="P1177" t="str">
            <v>E02</v>
          </cell>
          <cell r="R1177">
            <v>-1905568</v>
          </cell>
          <cell r="S1177">
            <v>-821452.42692688946</v>
          </cell>
          <cell r="T1177">
            <v>-168261.82093291325</v>
          </cell>
          <cell r="U1177">
            <v>-508467.43343569565</v>
          </cell>
          <cell r="V1177">
            <v>-355803.39212295972</v>
          </cell>
          <cell r="W1177">
            <v>-42685.932667040994</v>
          </cell>
          <cell r="X1177">
            <v>-8896.9939145011431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</row>
        <row r="1178">
          <cell r="J1178">
            <v>1178</v>
          </cell>
          <cell r="L1178" t="str">
            <v>T</v>
          </cell>
          <cell r="M1178" t="str">
            <v>Open</v>
          </cell>
          <cell r="N1178" t="str">
            <v/>
          </cell>
          <cell r="O1178">
            <v>0</v>
          </cell>
          <cell r="P1178" t="str">
            <v>xxx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</row>
        <row r="1179">
          <cell r="J1179">
            <v>1179</v>
          </cell>
          <cell r="K1179">
            <v>353</v>
          </cell>
          <cell r="L1179" t="str">
            <v>Station Equipment Accum Depr</v>
          </cell>
          <cell r="O1179" t="str">
            <v>T01</v>
          </cell>
          <cell r="P1179" t="str">
            <v/>
          </cell>
          <cell r="Q1179">
            <v>-42287000</v>
          </cell>
        </row>
        <row r="1180">
          <cell r="J1180">
            <v>1180</v>
          </cell>
          <cell r="L1180" t="str">
            <v>T</v>
          </cell>
          <cell r="M1180" t="str">
            <v>Coincident Peak</v>
          </cell>
          <cell r="N1180" t="str">
            <v/>
          </cell>
          <cell r="O1180">
            <v>34.200000000000003</v>
          </cell>
          <cell r="P1180" t="str">
            <v>D01</v>
          </cell>
          <cell r="R1180">
            <v>-14462154.000000002</v>
          </cell>
          <cell r="S1180">
            <v>-7207061.8498363039</v>
          </cell>
          <cell r="T1180">
            <v>-1125740.6090933997</v>
          </cell>
          <cell r="U1180">
            <v>-3537615.1020043385</v>
          </cell>
          <cell r="V1180">
            <v>-2299495.2810901483</v>
          </cell>
          <cell r="W1180">
            <v>-257087.13491671422</v>
          </cell>
          <cell r="X1180">
            <v>-35154.023059097221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</row>
        <row r="1181">
          <cell r="J1181">
            <v>1181</v>
          </cell>
          <cell r="L1181" t="str">
            <v>T</v>
          </cell>
          <cell r="M1181" t="str">
            <v>Generation Level Consumption</v>
          </cell>
          <cell r="N1181" t="str">
            <v/>
          </cell>
          <cell r="O1181">
            <v>65.8</v>
          </cell>
          <cell r="P1181" t="str">
            <v>E02</v>
          </cell>
          <cell r="R1181">
            <v>-27824846</v>
          </cell>
          <cell r="S1181">
            <v>-11994737.146912077</v>
          </cell>
          <cell r="T1181">
            <v>-2456936.3334910576</v>
          </cell>
          <cell r="U1181">
            <v>-7424572.6373257125</v>
          </cell>
          <cell r="V1181">
            <v>-5195392.9705468221</v>
          </cell>
          <cell r="W1181">
            <v>-623294.21087402024</v>
          </cell>
          <cell r="X1181">
            <v>-129912.70085031417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</row>
        <row r="1182">
          <cell r="J1182">
            <v>1182</v>
          </cell>
          <cell r="L1182" t="str">
            <v>T</v>
          </cell>
          <cell r="M1182" t="str">
            <v>Open</v>
          </cell>
          <cell r="N1182" t="str">
            <v/>
          </cell>
          <cell r="O1182">
            <v>0</v>
          </cell>
          <cell r="P1182" t="str">
            <v>xxx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</row>
        <row r="1183">
          <cell r="J1183">
            <v>1183</v>
          </cell>
          <cell r="K1183">
            <v>354</v>
          </cell>
          <cell r="L1183" t="str">
            <v>Towers &amp; Fixtures Accum Depr</v>
          </cell>
          <cell r="O1183" t="str">
            <v>T01</v>
          </cell>
          <cell r="P1183" t="str">
            <v/>
          </cell>
          <cell r="Q1183">
            <v>-4787000</v>
          </cell>
        </row>
        <row r="1184">
          <cell r="J1184">
            <v>1184</v>
          </cell>
          <cell r="L1184" t="str">
            <v>T</v>
          </cell>
          <cell r="M1184" t="str">
            <v>Coincident Peak</v>
          </cell>
          <cell r="N1184" t="str">
            <v/>
          </cell>
          <cell r="O1184">
            <v>34.200000000000003</v>
          </cell>
          <cell r="P1184" t="str">
            <v>D01</v>
          </cell>
          <cell r="R1184">
            <v>-1637154</v>
          </cell>
          <cell r="S1184">
            <v>-815858.42162287177</v>
          </cell>
          <cell r="T1184">
            <v>-127436.80790148518</v>
          </cell>
          <cell r="U1184">
            <v>-400467.36569855432</v>
          </cell>
          <cell r="V1184">
            <v>-260308.93443797241</v>
          </cell>
          <cell r="W1184">
            <v>-29102.942153529708</v>
          </cell>
          <cell r="X1184">
            <v>-3979.5281855865487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</row>
        <row r="1185">
          <cell r="J1185">
            <v>1185</v>
          </cell>
          <cell r="L1185" t="str">
            <v>T</v>
          </cell>
          <cell r="M1185" t="str">
            <v>Generation Level Consumption</v>
          </cell>
          <cell r="N1185" t="str">
            <v/>
          </cell>
          <cell r="O1185">
            <v>65.8</v>
          </cell>
          <cell r="P1185" t="str">
            <v>E02</v>
          </cell>
          <cell r="R1185">
            <v>-3149846</v>
          </cell>
          <cell r="S1185">
            <v>-1357835.9004485565</v>
          </cell>
          <cell r="T1185">
            <v>-278131.67707384523</v>
          </cell>
          <cell r="U1185">
            <v>-840481.21680133813</v>
          </cell>
          <cell r="V1185">
            <v>-588132.19547396689</v>
          </cell>
          <cell r="W1185">
            <v>-70558.549612267001</v>
          </cell>
          <cell r="X1185">
            <v>-14706.46059002658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</row>
        <row r="1186">
          <cell r="J1186">
            <v>1186</v>
          </cell>
          <cell r="L1186" t="str">
            <v>T</v>
          </cell>
          <cell r="M1186" t="str">
            <v>Open</v>
          </cell>
          <cell r="N1186" t="str">
            <v/>
          </cell>
          <cell r="O1186">
            <v>0</v>
          </cell>
          <cell r="P1186" t="str">
            <v>xxx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</row>
        <row r="1187">
          <cell r="J1187">
            <v>1187</v>
          </cell>
          <cell r="K1187">
            <v>355</v>
          </cell>
          <cell r="L1187" t="str">
            <v>Poles &amp; Fixtures Accum Depr</v>
          </cell>
          <cell r="O1187" t="str">
            <v>T01</v>
          </cell>
          <cell r="P1187" t="str">
            <v/>
          </cell>
          <cell r="Q1187">
            <v>-35296000</v>
          </cell>
        </row>
        <row r="1188">
          <cell r="J1188">
            <v>1188</v>
          </cell>
          <cell r="L1188" t="str">
            <v>T</v>
          </cell>
          <cell r="M1188" t="str">
            <v>Coincident Peak</v>
          </cell>
          <cell r="N1188" t="str">
            <v/>
          </cell>
          <cell r="O1188">
            <v>34.200000000000003</v>
          </cell>
          <cell r="P1188" t="str">
            <v>D01</v>
          </cell>
          <cell r="R1188">
            <v>-12071232</v>
          </cell>
          <cell r="S1188">
            <v>-6015571.0987259001</v>
          </cell>
          <cell r="T1188">
            <v>-939630.15911652835</v>
          </cell>
          <cell r="U1188">
            <v>-2952767.1066839718</v>
          </cell>
          <cell r="V1188">
            <v>-1919336.5677716052</v>
          </cell>
          <cell r="W1188">
            <v>-214584.8018071829</v>
          </cell>
          <cell r="X1188">
            <v>-29342.265894811535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</row>
        <row r="1189">
          <cell r="J1189">
            <v>1189</v>
          </cell>
          <cell r="L1189" t="str">
            <v>T</v>
          </cell>
          <cell r="M1189" t="str">
            <v>Generation Level Consumption</v>
          </cell>
          <cell r="N1189" t="str">
            <v/>
          </cell>
          <cell r="O1189">
            <v>65.8</v>
          </cell>
          <cell r="P1189" t="str">
            <v>E02</v>
          </cell>
          <cell r="R1189">
            <v>-23224768</v>
          </cell>
          <cell r="S1189">
            <v>-10011735.103871372</v>
          </cell>
          <cell r="T1189">
            <v>-2050749.0440773848</v>
          </cell>
          <cell r="U1189">
            <v>-6197122.4207687546</v>
          </cell>
          <cell r="V1189">
            <v>-4336476.7017859062</v>
          </cell>
          <cell r="W1189">
            <v>-520249.54399719578</v>
          </cell>
          <cell r="X1189">
            <v>-108435.18549938963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</row>
        <row r="1190">
          <cell r="J1190">
            <v>1190</v>
          </cell>
          <cell r="L1190" t="str">
            <v>T</v>
          </cell>
          <cell r="M1190" t="str">
            <v>Open</v>
          </cell>
          <cell r="N1190" t="str">
            <v/>
          </cell>
          <cell r="O1190">
            <v>0</v>
          </cell>
          <cell r="P1190" t="str">
            <v>xxx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</row>
        <row r="1191">
          <cell r="J1191">
            <v>1191</v>
          </cell>
          <cell r="K1191">
            <v>356</v>
          </cell>
          <cell r="L1191" t="str">
            <v>Overhead Conductors &amp; Devices Accum Depr</v>
          </cell>
          <cell r="O1191" t="str">
            <v>T01</v>
          </cell>
          <cell r="P1191" t="str">
            <v/>
          </cell>
          <cell r="Q1191">
            <v>-22027000</v>
          </cell>
        </row>
        <row r="1192">
          <cell r="J1192">
            <v>1192</v>
          </cell>
          <cell r="L1192" t="str">
            <v>T</v>
          </cell>
          <cell r="M1192" t="str">
            <v>Coincident Peak</v>
          </cell>
          <cell r="N1192" t="str">
            <v/>
          </cell>
          <cell r="O1192">
            <v>34.200000000000003</v>
          </cell>
          <cell r="P1192" t="str">
            <v>D01</v>
          </cell>
          <cell r="R1192">
            <v>-7533234.0000000009</v>
          </cell>
          <cell r="S1192">
            <v>-3754107.6776868603</v>
          </cell>
          <cell r="T1192">
            <v>-586390.3421027814</v>
          </cell>
          <cell r="U1192">
            <v>-1842718.7516695336</v>
          </cell>
          <cell r="V1192">
            <v>-1197790.8708721995</v>
          </cell>
          <cell r="W1192">
            <v>-133914.87503985772</v>
          </cell>
          <cell r="X1192">
            <v>-18311.482628768525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</row>
        <row r="1193">
          <cell r="J1193">
            <v>1193</v>
          </cell>
          <cell r="L1193" t="str">
            <v>T</v>
          </cell>
          <cell r="M1193" t="str">
            <v>Generation Level Consumption</v>
          </cell>
          <cell r="N1193" t="str">
            <v/>
          </cell>
          <cell r="O1193">
            <v>65.8</v>
          </cell>
          <cell r="P1193" t="str">
            <v>E02</v>
          </cell>
          <cell r="R1193">
            <v>-14493766</v>
          </cell>
          <cell r="S1193">
            <v>-6247973.9668227192</v>
          </cell>
          <cell r="T1193">
            <v>-1279800.8044507182</v>
          </cell>
          <cell r="U1193">
            <v>-3867407.5125304102</v>
          </cell>
          <cell r="V1193">
            <v>-2706243.5491341273</v>
          </cell>
          <cell r="W1193">
            <v>-324669.55761633703</v>
          </cell>
          <cell r="X1193">
            <v>-67670.609445689464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</row>
        <row r="1194">
          <cell r="J1194">
            <v>1194</v>
          </cell>
          <cell r="L1194" t="str">
            <v>T</v>
          </cell>
          <cell r="M1194" t="str">
            <v>Open</v>
          </cell>
          <cell r="N1194" t="str">
            <v/>
          </cell>
          <cell r="O1194">
            <v>0</v>
          </cell>
          <cell r="P1194" t="str">
            <v>xxx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</row>
        <row r="1195">
          <cell r="J1195">
            <v>1195</v>
          </cell>
          <cell r="K1195">
            <v>357</v>
          </cell>
          <cell r="L1195" t="str">
            <v>Underground Conduit Accum Depr</v>
          </cell>
          <cell r="O1195" t="str">
            <v>T01</v>
          </cell>
          <cell r="P1195" t="str">
            <v/>
          </cell>
          <cell r="Q1195">
            <v>-283000</v>
          </cell>
        </row>
        <row r="1196">
          <cell r="J1196">
            <v>1196</v>
          </cell>
          <cell r="L1196" t="str">
            <v>T</v>
          </cell>
          <cell r="M1196" t="str">
            <v>Coincident Peak</v>
          </cell>
          <cell r="N1196" t="str">
            <v/>
          </cell>
          <cell r="O1196">
            <v>34.200000000000003</v>
          </cell>
          <cell r="P1196" t="str">
            <v>D01</v>
          </cell>
          <cell r="R1196">
            <v>-96786</v>
          </cell>
          <cell r="S1196">
            <v>-48232.281871584026</v>
          </cell>
          <cell r="T1196">
            <v>-7533.8660196616474</v>
          </cell>
          <cell r="U1196">
            <v>-23675.008249987648</v>
          </cell>
          <cell r="V1196">
            <v>-15389.059629401752</v>
          </cell>
          <cell r="W1196">
            <v>-1720.5207080528321</v>
          </cell>
          <cell r="X1196">
            <v>-235.26352131209384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</row>
        <row r="1197">
          <cell r="J1197">
            <v>1197</v>
          </cell>
          <cell r="L1197" t="str">
            <v>T</v>
          </cell>
          <cell r="M1197" t="str">
            <v>Generation Level Consumption</v>
          </cell>
          <cell r="N1197" t="str">
            <v/>
          </cell>
          <cell r="O1197">
            <v>65.8</v>
          </cell>
          <cell r="P1197" t="str">
            <v>E02</v>
          </cell>
          <cell r="R1197">
            <v>-186214</v>
          </cell>
          <cell r="S1197">
            <v>-80273.148073311371</v>
          </cell>
          <cell r="T1197">
            <v>-16442.712473761894</v>
          </cell>
          <cell r="U1197">
            <v>-49687.943253557278</v>
          </cell>
          <cell r="V1197">
            <v>-34769.461315883149</v>
          </cell>
          <cell r="W1197">
            <v>-4171.3117903220309</v>
          </cell>
          <cell r="X1197">
            <v>-869.42309316430374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</row>
        <row r="1198">
          <cell r="J1198">
            <v>1198</v>
          </cell>
          <cell r="L1198" t="str">
            <v>T</v>
          </cell>
          <cell r="M1198" t="str">
            <v>Open</v>
          </cell>
          <cell r="N1198" t="str">
            <v/>
          </cell>
          <cell r="O1198">
            <v>0</v>
          </cell>
          <cell r="P1198" t="str">
            <v>xxx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</row>
        <row r="1199">
          <cell r="J1199">
            <v>1199</v>
          </cell>
          <cell r="K1199">
            <v>358</v>
          </cell>
          <cell r="L1199" t="str">
            <v>Underground Conductors &amp; Devices Accum Depr</v>
          </cell>
          <cell r="O1199" t="str">
            <v>T01</v>
          </cell>
          <cell r="P1199" t="str">
            <v/>
          </cell>
          <cell r="Q1199">
            <v>-458000</v>
          </cell>
        </row>
        <row r="1200">
          <cell r="J1200">
            <v>1200</v>
          </cell>
          <cell r="L1200" t="str">
            <v>T</v>
          </cell>
          <cell r="M1200" t="str">
            <v>Coincident Peak</v>
          </cell>
          <cell r="N1200" t="str">
            <v/>
          </cell>
          <cell r="O1200">
            <v>34.200000000000003</v>
          </cell>
          <cell r="P1200" t="str">
            <v>D01</v>
          </cell>
          <cell r="R1200">
            <v>-156636.00000000003</v>
          </cell>
          <cell r="S1200">
            <v>-78057.897869913388</v>
          </cell>
          <cell r="T1200">
            <v>-12192.617091890585</v>
          </cell>
          <cell r="U1200">
            <v>-38315.031019414644</v>
          </cell>
          <cell r="V1200">
            <v>-24905.262580445244</v>
          </cell>
          <cell r="W1200">
            <v>-2784.4469409476937</v>
          </cell>
          <cell r="X1200">
            <v>-380.74449738847704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</row>
        <row r="1201">
          <cell r="J1201">
            <v>1201</v>
          </cell>
          <cell r="L1201" t="str">
            <v>T</v>
          </cell>
          <cell r="M1201" t="str">
            <v>Generation Level Consumption</v>
          </cell>
          <cell r="N1201" t="str">
            <v/>
          </cell>
          <cell r="O1201">
            <v>65.8</v>
          </cell>
          <cell r="P1201" t="str">
            <v>E02</v>
          </cell>
          <cell r="R1201">
            <v>-301364</v>
          </cell>
          <cell r="S1201">
            <v>-129912.02055680779</v>
          </cell>
          <cell r="T1201">
            <v>-26610.467537042219</v>
          </cell>
          <cell r="U1201">
            <v>-80413.70321600436</v>
          </cell>
          <cell r="V1201">
            <v>-56270.01159955647</v>
          </cell>
          <cell r="W1201">
            <v>-6750.7448762102122</v>
          </cell>
          <cell r="X1201">
            <v>-1407.0522143789792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</row>
        <row r="1202">
          <cell r="J1202">
            <v>1202</v>
          </cell>
          <cell r="L1202" t="str">
            <v>T</v>
          </cell>
          <cell r="M1202" t="str">
            <v>Open</v>
          </cell>
          <cell r="N1202" t="str">
            <v/>
          </cell>
          <cell r="O1202">
            <v>0</v>
          </cell>
          <cell r="P1202" t="str">
            <v>xxx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</row>
        <row r="1203">
          <cell r="J1203">
            <v>1203</v>
          </cell>
          <cell r="K1203">
            <v>359</v>
          </cell>
          <cell r="L1203" t="str">
            <v>Roads &amp; Trails Accum Depr</v>
          </cell>
          <cell r="O1203" t="str">
            <v>T01</v>
          </cell>
          <cell r="P1203" t="str">
            <v/>
          </cell>
          <cell r="Q1203">
            <v>-435000</v>
          </cell>
        </row>
        <row r="1204">
          <cell r="J1204">
            <v>1204</v>
          </cell>
          <cell r="L1204" t="str">
            <v>T</v>
          </cell>
          <cell r="M1204" t="str">
            <v>Coincident Peak</v>
          </cell>
          <cell r="N1204" t="str">
            <v/>
          </cell>
          <cell r="O1204">
            <v>34.200000000000003</v>
          </cell>
          <cell r="P1204" t="str">
            <v>D01</v>
          </cell>
          <cell r="R1204">
            <v>-148770.00000000003</v>
          </cell>
          <cell r="S1204">
            <v>-74137.95976727581</v>
          </cell>
          <cell r="T1204">
            <v>-11580.32409382621</v>
          </cell>
          <cell r="U1204">
            <v>-36390.913741147102</v>
          </cell>
          <cell r="V1204">
            <v>-23654.561621165241</v>
          </cell>
          <cell r="W1204">
            <v>-2644.6166360529405</v>
          </cell>
          <cell r="X1204">
            <v>-361.62414053272386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</row>
        <row r="1205">
          <cell r="J1205">
            <v>1205</v>
          </cell>
          <cell r="L1205" t="str">
            <v>T</v>
          </cell>
          <cell r="M1205" t="str">
            <v>Generation Level Consumption</v>
          </cell>
          <cell r="N1205" t="str">
            <v/>
          </cell>
          <cell r="O1205">
            <v>65.8</v>
          </cell>
          <cell r="P1205" t="str">
            <v>E02</v>
          </cell>
          <cell r="R1205">
            <v>-286230</v>
          </cell>
          <cell r="S1205">
            <v>-123388.05445897683</v>
          </cell>
          <cell r="T1205">
            <v>-25274.134014439664</v>
          </cell>
          <cell r="U1205">
            <v>-76375.460478082736</v>
          </cell>
          <cell r="V1205">
            <v>-53444.224990845119</v>
          </cell>
          <cell r="W1205">
            <v>-6411.7336706363376</v>
          </cell>
          <cell r="X1205">
            <v>-1336.3923870193362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</row>
        <row r="1206">
          <cell r="J1206">
            <v>1206</v>
          </cell>
          <cell r="L1206" t="str">
            <v>T</v>
          </cell>
          <cell r="M1206" t="str">
            <v>Open</v>
          </cell>
          <cell r="N1206" t="str">
            <v/>
          </cell>
          <cell r="O1206">
            <v>0</v>
          </cell>
          <cell r="P1206" t="str">
            <v>xxx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</row>
        <row r="1207">
          <cell r="J1207">
            <v>1207</v>
          </cell>
          <cell r="L1207" t="str">
            <v>Transmission Plant</v>
          </cell>
          <cell r="N1207" t="str">
            <v/>
          </cell>
          <cell r="Q1207">
            <v>-111284000</v>
          </cell>
          <cell r="R1207">
            <v>-111284000</v>
          </cell>
          <cell r="S1207">
            <v>-50532149.349780001</v>
          </cell>
          <cell r="T1207">
            <v>-9428302.3359086402</v>
          </cell>
          <cell r="U1207">
            <v>-28848490.088764992</v>
          </cell>
          <cell r="V1207">
            <v>-19723819.23984129</v>
          </cell>
          <cell r="W1207">
            <v>-2316843.4196082978</v>
          </cell>
          <cell r="X1207">
            <v>-434395.56609678955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</row>
        <row r="1208">
          <cell r="J1208">
            <v>1208</v>
          </cell>
        </row>
        <row r="1209">
          <cell r="J1209">
            <v>1209</v>
          </cell>
          <cell r="L1209" t="str">
            <v>Distribution Plant Accumulated Depreciation</v>
          </cell>
        </row>
        <row r="1210">
          <cell r="J1210">
            <v>1210</v>
          </cell>
          <cell r="K1210">
            <v>360</v>
          </cell>
          <cell r="L1210" t="str">
            <v>Land &amp; Land Rights Accum Depr</v>
          </cell>
          <cell r="O1210" t="str">
            <v>X01</v>
          </cell>
          <cell r="P1210" t="str">
            <v/>
          </cell>
          <cell r="Q1210">
            <v>-2000</v>
          </cell>
        </row>
        <row r="1211">
          <cell r="J1211">
            <v>1211</v>
          </cell>
          <cell r="L1211" t="str">
            <v>D</v>
          </cell>
          <cell r="M1211" t="str">
            <v>NCP-All</v>
          </cell>
          <cell r="N1211" t="str">
            <v/>
          </cell>
          <cell r="O1211">
            <v>0</v>
          </cell>
          <cell r="P1211" t="str">
            <v>D02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</row>
        <row r="1212">
          <cell r="J1212">
            <v>1212</v>
          </cell>
          <cell r="L1212" t="str">
            <v>D</v>
          </cell>
          <cell r="M1212" t="str">
            <v>NCP-w/o DA</v>
          </cell>
          <cell r="N1212" t="str">
            <v/>
          </cell>
          <cell r="O1212">
            <v>0</v>
          </cell>
          <cell r="P1212" t="str">
            <v>D03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</row>
        <row r="1213">
          <cell r="J1213">
            <v>1213</v>
          </cell>
          <cell r="L1213" t="str">
            <v>D</v>
          </cell>
          <cell r="M1213" t="str">
            <v xml:space="preserve">DA Sch 25 </v>
          </cell>
          <cell r="N1213" t="str">
            <v/>
          </cell>
          <cell r="O1213">
            <v>0</v>
          </cell>
          <cell r="P1213" t="str">
            <v>D04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</row>
        <row r="1214">
          <cell r="J1214">
            <v>1214</v>
          </cell>
          <cell r="L1214" t="str">
            <v>D</v>
          </cell>
          <cell r="M1214" t="str">
            <v>DA Street and Area Lights</v>
          </cell>
          <cell r="N1214" t="str">
            <v/>
          </cell>
          <cell r="O1214">
            <v>0</v>
          </cell>
          <cell r="P1214" t="str">
            <v>D07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</row>
        <row r="1215">
          <cell r="J1215">
            <v>1215</v>
          </cell>
          <cell r="L1215" t="str">
            <v>D</v>
          </cell>
          <cell r="M1215" t="str">
            <v>Avg Customers-Secondary</v>
          </cell>
          <cell r="N1215" t="str">
            <v/>
          </cell>
          <cell r="O1215">
            <v>0</v>
          </cell>
          <cell r="P1215" t="str">
            <v>C02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</row>
        <row r="1216">
          <cell r="J1216">
            <v>1216</v>
          </cell>
          <cell r="L1216" t="str">
            <v>D</v>
          </cell>
          <cell r="M1216" t="str">
            <v>Wt Customers-Meters</v>
          </cell>
          <cell r="N1216" t="str">
            <v/>
          </cell>
          <cell r="O1216">
            <v>0</v>
          </cell>
          <cell r="P1216" t="str">
            <v>C04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</row>
        <row r="1217">
          <cell r="J1217">
            <v>1217</v>
          </cell>
          <cell r="L1217" t="str">
            <v>D</v>
          </cell>
          <cell r="M1217" t="str">
            <v>DA Street &amp; Area Lights</v>
          </cell>
          <cell r="N1217" t="str">
            <v/>
          </cell>
          <cell r="O1217">
            <v>0</v>
          </cell>
          <cell r="P1217" t="str">
            <v>C05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</row>
        <row r="1218">
          <cell r="J1218">
            <v>1218</v>
          </cell>
          <cell r="L1218" t="str">
            <v>D</v>
          </cell>
          <cell r="M1218" t="str">
            <v>DA Sch 25I</v>
          </cell>
          <cell r="N1218" t="str">
            <v/>
          </cell>
          <cell r="O1218">
            <v>0</v>
          </cell>
          <cell r="P1218" t="str">
            <v>D05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</row>
        <row r="1219">
          <cell r="J1219">
            <v>1219</v>
          </cell>
          <cell r="L1219" t="str">
            <v>D</v>
          </cell>
          <cell r="M1219" t="str">
            <v>NCP-Secondary</v>
          </cell>
          <cell r="N1219" t="str">
            <v/>
          </cell>
          <cell r="O1219">
            <v>0</v>
          </cell>
          <cell r="P1219" t="str">
            <v>D06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</row>
        <row r="1220">
          <cell r="J1220">
            <v>1220</v>
          </cell>
          <cell r="L1220" t="str">
            <v>D</v>
          </cell>
          <cell r="M1220" t="str">
            <v>NCP-Primary</v>
          </cell>
          <cell r="N1220" t="str">
            <v/>
          </cell>
          <cell r="O1220">
            <v>100</v>
          </cell>
          <cell r="P1220" t="str">
            <v>D08</v>
          </cell>
          <cell r="R1220">
            <v>-2000</v>
          </cell>
          <cell r="S1220">
            <v>-998.89845067285978</v>
          </cell>
          <cell r="T1220">
            <v>-206.55242897591702</v>
          </cell>
          <cell r="U1220">
            <v>-549.65521903731747</v>
          </cell>
          <cell r="V1220">
            <v>-181.58464034613306</v>
          </cell>
          <cell r="W1220">
            <v>-50.448573155600798</v>
          </cell>
          <cell r="X1220">
            <v>-12.860687812171921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</row>
        <row r="1221">
          <cell r="J1221">
            <v>1221</v>
          </cell>
          <cell r="K1221">
            <v>361</v>
          </cell>
          <cell r="L1221" t="str">
            <v>Structures &amp; Improvements Accum Depr</v>
          </cell>
          <cell r="O1221" t="str">
            <v>X02</v>
          </cell>
          <cell r="P1221" t="str">
            <v/>
          </cell>
          <cell r="Q1221">
            <v>-3562000</v>
          </cell>
        </row>
        <row r="1222">
          <cell r="J1222">
            <v>1222</v>
          </cell>
          <cell r="L1222" t="str">
            <v>D</v>
          </cell>
          <cell r="M1222" t="str">
            <v>NCP-All</v>
          </cell>
          <cell r="N1222" t="str">
            <v/>
          </cell>
          <cell r="O1222">
            <v>0</v>
          </cell>
          <cell r="P1222" t="str">
            <v>D02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</row>
        <row r="1223">
          <cell r="J1223">
            <v>1223</v>
          </cell>
          <cell r="L1223" t="str">
            <v>D</v>
          </cell>
          <cell r="M1223" t="str">
            <v>NCP-w/o DA</v>
          </cell>
          <cell r="N1223" t="str">
            <v/>
          </cell>
          <cell r="O1223">
            <v>10956.161</v>
          </cell>
          <cell r="P1223" t="str">
            <v>D03</v>
          </cell>
          <cell r="R1223">
            <v>-3136950.8390769842</v>
          </cell>
          <cell r="S1223">
            <v>-1720939.2037758355</v>
          </cell>
          <cell r="T1223">
            <v>-355856.16577975289</v>
          </cell>
          <cell r="U1223">
            <v>-951083.93268186494</v>
          </cell>
          <cell r="V1223">
            <v>0</v>
          </cell>
          <cell r="W1223">
            <v>-86914.66811220425</v>
          </cell>
          <cell r="X1223">
            <v>-22156.868727326859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</row>
        <row r="1224">
          <cell r="J1224">
            <v>1224</v>
          </cell>
          <cell r="L1224" t="str">
            <v>D</v>
          </cell>
          <cell r="M1224" t="str">
            <v xml:space="preserve">DA Sch 25 </v>
          </cell>
          <cell r="N1224" t="str">
            <v/>
          </cell>
          <cell r="O1224">
            <v>1484.5329999999999</v>
          </cell>
          <cell r="P1224" t="str">
            <v>D04</v>
          </cell>
          <cell r="R1224">
            <v>-425049.16092301602</v>
          </cell>
          <cell r="S1224">
            <v>0</v>
          </cell>
          <cell r="T1224">
            <v>0</v>
          </cell>
          <cell r="U1224">
            <v>0</v>
          </cell>
          <cell r="V1224">
            <v>-425049.16092301602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</row>
        <row r="1225">
          <cell r="J1225">
            <v>1225</v>
          </cell>
          <cell r="L1225" t="str">
            <v>D</v>
          </cell>
          <cell r="M1225" t="str">
            <v>DA Street and Area Lights</v>
          </cell>
          <cell r="N1225" t="str">
            <v/>
          </cell>
          <cell r="O1225">
            <v>0</v>
          </cell>
          <cell r="P1225" t="str">
            <v>D07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</row>
        <row r="1226">
          <cell r="J1226">
            <v>1226</v>
          </cell>
          <cell r="L1226" t="str">
            <v>D</v>
          </cell>
          <cell r="M1226" t="str">
            <v>Avg Customers-Secondary</v>
          </cell>
          <cell r="N1226" t="str">
            <v/>
          </cell>
          <cell r="O1226">
            <v>0</v>
          </cell>
          <cell r="P1226" t="str">
            <v>C02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</row>
        <row r="1227">
          <cell r="J1227">
            <v>1227</v>
          </cell>
          <cell r="L1227" t="str">
            <v>D</v>
          </cell>
          <cell r="M1227" t="str">
            <v>Wt Customers-Meters</v>
          </cell>
          <cell r="N1227" t="str">
            <v/>
          </cell>
          <cell r="O1227">
            <v>0</v>
          </cell>
          <cell r="P1227" t="str">
            <v>C04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</row>
        <row r="1228">
          <cell r="J1228">
            <v>1228</v>
          </cell>
          <cell r="L1228" t="str">
            <v>D</v>
          </cell>
          <cell r="M1228" t="str">
            <v>DA Street &amp; Area Lights</v>
          </cell>
          <cell r="N1228" t="str">
            <v/>
          </cell>
          <cell r="O1228">
            <v>0</v>
          </cell>
          <cell r="P1228" t="str">
            <v>C05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</row>
        <row r="1229">
          <cell r="J1229">
            <v>1229</v>
          </cell>
          <cell r="L1229" t="str">
            <v>D</v>
          </cell>
          <cell r="M1229" t="str">
            <v>DA Sch 25I</v>
          </cell>
          <cell r="N1229" t="str">
            <v/>
          </cell>
          <cell r="O1229">
            <v>0</v>
          </cell>
          <cell r="P1229" t="str">
            <v>D05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</row>
        <row r="1230">
          <cell r="J1230">
            <v>1230</v>
          </cell>
          <cell r="L1230" t="str">
            <v>D</v>
          </cell>
          <cell r="M1230" t="str">
            <v>NCP-Secondary</v>
          </cell>
          <cell r="N1230" t="str">
            <v/>
          </cell>
          <cell r="O1230">
            <v>0</v>
          </cell>
          <cell r="P1230" t="str">
            <v>D06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</row>
        <row r="1231">
          <cell r="J1231">
            <v>1231</v>
          </cell>
          <cell r="L1231" t="str">
            <v>D</v>
          </cell>
          <cell r="M1231" t="str">
            <v>NCP-Primary</v>
          </cell>
          <cell r="N1231" t="str">
            <v/>
          </cell>
          <cell r="O1231">
            <v>0</v>
          </cell>
          <cell r="P1231" t="str">
            <v>D08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</row>
        <row r="1232">
          <cell r="J1232">
            <v>1232</v>
          </cell>
          <cell r="K1232">
            <v>362</v>
          </cell>
          <cell r="L1232" t="str">
            <v>Station Equipment Accum Depr</v>
          </cell>
          <cell r="O1232" t="str">
            <v>X03</v>
          </cell>
          <cell r="P1232" t="str">
            <v/>
          </cell>
          <cell r="Q1232">
            <v>-20705000</v>
          </cell>
        </row>
        <row r="1233">
          <cell r="J1233">
            <v>1233</v>
          </cell>
          <cell r="L1233" t="str">
            <v>D</v>
          </cell>
          <cell r="M1233" t="str">
            <v>NCP-All</v>
          </cell>
          <cell r="N1233" t="str">
            <v/>
          </cell>
          <cell r="O1233">
            <v>0</v>
          </cell>
          <cell r="P1233" t="str">
            <v>D02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</row>
        <row r="1234">
          <cell r="J1234">
            <v>1234</v>
          </cell>
          <cell r="L1234" t="str">
            <v>D</v>
          </cell>
          <cell r="M1234" t="str">
            <v>NCP-w/o DA</v>
          </cell>
          <cell r="N1234" t="str">
            <v/>
          </cell>
          <cell r="O1234">
            <v>63092.08</v>
          </cell>
          <cell r="P1234" t="str">
            <v>D03</v>
          </cell>
          <cell r="R1234">
            <v>-19005641.677174062</v>
          </cell>
          <cell r="S1234">
            <v>-10426543.332374513</v>
          </cell>
          <cell r="T1234">
            <v>-2156002.7945522596</v>
          </cell>
          <cell r="U1234">
            <v>-5762270.8664403958</v>
          </cell>
          <cell r="V1234">
            <v>0</v>
          </cell>
          <cell r="W1234">
            <v>-526584.2926365739</v>
          </cell>
          <cell r="X1234">
            <v>-134240.39117032001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</row>
        <row r="1235">
          <cell r="J1235">
            <v>1235</v>
          </cell>
          <cell r="L1235" t="str">
            <v>D</v>
          </cell>
          <cell r="M1235" t="str">
            <v xml:space="preserve">DA Sch 25 </v>
          </cell>
          <cell r="N1235" t="str">
            <v/>
          </cell>
          <cell r="O1235">
            <v>5641.2749999999996</v>
          </cell>
          <cell r="P1235" t="str">
            <v>D04</v>
          </cell>
          <cell r="R1235">
            <v>-1699358.322825941</v>
          </cell>
          <cell r="S1235">
            <v>0</v>
          </cell>
          <cell r="T1235">
            <v>0</v>
          </cell>
          <cell r="U1235">
            <v>0</v>
          </cell>
          <cell r="V1235">
            <v>-1699358.322825941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</row>
        <row r="1236">
          <cell r="J1236">
            <v>1236</v>
          </cell>
          <cell r="L1236" t="str">
            <v>D</v>
          </cell>
          <cell r="M1236" t="str">
            <v>DA Street and Area Lights</v>
          </cell>
          <cell r="N1236" t="str">
            <v/>
          </cell>
          <cell r="O1236">
            <v>0</v>
          </cell>
          <cell r="P1236" t="str">
            <v>D07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</row>
        <row r="1237">
          <cell r="J1237">
            <v>1237</v>
          </cell>
          <cell r="L1237" t="str">
            <v>D</v>
          </cell>
          <cell r="M1237" t="str">
            <v>Avg Customers-Secondary</v>
          </cell>
          <cell r="N1237" t="str">
            <v/>
          </cell>
          <cell r="O1237">
            <v>0</v>
          </cell>
          <cell r="P1237" t="str">
            <v>C02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</row>
        <row r="1238">
          <cell r="J1238">
            <v>1238</v>
          </cell>
          <cell r="L1238" t="str">
            <v>D</v>
          </cell>
          <cell r="M1238" t="str">
            <v>Wt Customers-Meters</v>
          </cell>
          <cell r="N1238" t="str">
            <v/>
          </cell>
          <cell r="O1238">
            <v>0</v>
          </cell>
          <cell r="P1238" t="str">
            <v>C04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</row>
        <row r="1239">
          <cell r="J1239">
            <v>1239</v>
          </cell>
          <cell r="L1239" t="str">
            <v>D</v>
          </cell>
          <cell r="M1239" t="str">
            <v>DA Street &amp; Area Lights</v>
          </cell>
          <cell r="N1239" t="str">
            <v/>
          </cell>
          <cell r="O1239">
            <v>0</v>
          </cell>
          <cell r="P1239" t="str">
            <v>C05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</row>
        <row r="1240">
          <cell r="J1240">
            <v>1240</v>
          </cell>
          <cell r="L1240" t="str">
            <v>D</v>
          </cell>
          <cell r="M1240" t="str">
            <v>DA Sch 25I</v>
          </cell>
          <cell r="N1240" t="str">
            <v/>
          </cell>
          <cell r="O1240">
            <v>0</v>
          </cell>
          <cell r="P1240" t="str">
            <v>D05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</row>
        <row r="1241">
          <cell r="J1241">
            <v>1241</v>
          </cell>
          <cell r="L1241" t="str">
            <v>D</v>
          </cell>
          <cell r="M1241" t="str">
            <v>NCP-Secondary</v>
          </cell>
          <cell r="N1241" t="str">
            <v/>
          </cell>
          <cell r="O1241">
            <v>0</v>
          </cell>
          <cell r="P1241" t="str">
            <v>D06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</row>
        <row r="1242">
          <cell r="J1242">
            <v>1242</v>
          </cell>
          <cell r="L1242" t="str">
            <v>D</v>
          </cell>
          <cell r="M1242" t="str">
            <v>NCP-Primary</v>
          </cell>
          <cell r="N1242" t="str">
            <v/>
          </cell>
          <cell r="O1242">
            <v>0</v>
          </cell>
          <cell r="P1242" t="str">
            <v>D08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</row>
        <row r="1243">
          <cell r="J1243">
            <v>1243</v>
          </cell>
          <cell r="K1243">
            <v>363</v>
          </cell>
          <cell r="L1243" t="str">
            <v>Storage Battery Equipment Accum Depr</v>
          </cell>
          <cell r="O1243" t="str">
            <v>X01</v>
          </cell>
          <cell r="P1243" t="str">
            <v/>
          </cell>
          <cell r="Q1243">
            <v>0</v>
          </cell>
        </row>
        <row r="1244">
          <cell r="J1244">
            <v>1244</v>
          </cell>
          <cell r="L1244" t="str">
            <v>D</v>
          </cell>
          <cell r="M1244" t="str">
            <v>NCP-All</v>
          </cell>
          <cell r="N1244" t="str">
            <v/>
          </cell>
          <cell r="O1244">
            <v>0</v>
          </cell>
          <cell r="P1244" t="str">
            <v>D02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</row>
        <row r="1245">
          <cell r="J1245">
            <v>1245</v>
          </cell>
          <cell r="L1245" t="str">
            <v>D</v>
          </cell>
          <cell r="M1245" t="str">
            <v>NCP-w/o DA</v>
          </cell>
          <cell r="N1245" t="str">
            <v/>
          </cell>
          <cell r="O1245">
            <v>0</v>
          </cell>
          <cell r="P1245" t="str">
            <v>D03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</row>
        <row r="1246">
          <cell r="J1246">
            <v>1246</v>
          </cell>
          <cell r="L1246" t="str">
            <v>D</v>
          </cell>
          <cell r="M1246" t="str">
            <v xml:space="preserve">DA Sch 25 </v>
          </cell>
          <cell r="N1246" t="str">
            <v/>
          </cell>
          <cell r="O1246">
            <v>0</v>
          </cell>
          <cell r="P1246" t="str">
            <v>D04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</row>
        <row r="1247">
          <cell r="J1247">
            <v>1247</v>
          </cell>
          <cell r="L1247" t="str">
            <v>D</v>
          </cell>
          <cell r="M1247" t="str">
            <v>DA Street and Area Lights</v>
          </cell>
          <cell r="N1247" t="str">
            <v/>
          </cell>
          <cell r="O1247">
            <v>0</v>
          </cell>
          <cell r="P1247" t="str">
            <v>D07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</row>
        <row r="1248">
          <cell r="J1248">
            <v>1248</v>
          </cell>
          <cell r="L1248" t="str">
            <v>D</v>
          </cell>
          <cell r="M1248" t="str">
            <v>Avg Customers-Secondary</v>
          </cell>
          <cell r="N1248" t="str">
            <v/>
          </cell>
          <cell r="O1248">
            <v>0</v>
          </cell>
          <cell r="P1248" t="str">
            <v>C02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</row>
        <row r="1249">
          <cell r="J1249">
            <v>1249</v>
          </cell>
          <cell r="L1249" t="str">
            <v>D</v>
          </cell>
          <cell r="M1249" t="str">
            <v>Wt Customers-Meters</v>
          </cell>
          <cell r="N1249" t="str">
            <v/>
          </cell>
          <cell r="O1249">
            <v>0</v>
          </cell>
          <cell r="P1249" t="str">
            <v>C04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</row>
        <row r="1250">
          <cell r="J1250">
            <v>1250</v>
          </cell>
          <cell r="L1250" t="str">
            <v>D</v>
          </cell>
          <cell r="M1250" t="str">
            <v>DA Street &amp; Area Lights</v>
          </cell>
          <cell r="N1250" t="str">
            <v/>
          </cell>
          <cell r="O1250">
            <v>0</v>
          </cell>
          <cell r="P1250" t="str">
            <v>C05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</row>
        <row r="1251">
          <cell r="J1251">
            <v>1251</v>
          </cell>
          <cell r="L1251" t="str">
            <v>D</v>
          </cell>
          <cell r="M1251" t="str">
            <v>DA Sch 25I</v>
          </cell>
          <cell r="N1251" t="str">
            <v/>
          </cell>
          <cell r="O1251">
            <v>0</v>
          </cell>
          <cell r="P1251" t="str">
            <v>D05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</row>
        <row r="1252">
          <cell r="J1252">
            <v>1252</v>
          </cell>
          <cell r="L1252" t="str">
            <v>D</v>
          </cell>
          <cell r="M1252" t="str">
            <v>NCP-Secondary</v>
          </cell>
          <cell r="N1252" t="str">
            <v/>
          </cell>
          <cell r="O1252">
            <v>0</v>
          </cell>
          <cell r="P1252" t="str">
            <v>D06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</row>
        <row r="1253">
          <cell r="J1253">
            <v>1253</v>
          </cell>
          <cell r="L1253" t="str">
            <v>D</v>
          </cell>
          <cell r="M1253" t="str">
            <v>NCP-Primary</v>
          </cell>
          <cell r="N1253" t="str">
            <v/>
          </cell>
          <cell r="O1253">
            <v>100</v>
          </cell>
          <cell r="P1253" t="str">
            <v>D08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</row>
        <row r="1254">
          <cell r="J1254">
            <v>1254</v>
          </cell>
          <cell r="K1254">
            <v>364</v>
          </cell>
          <cell r="L1254" t="str">
            <v>Poles, Towers &amp; Fixtures Accum Depr</v>
          </cell>
          <cell r="O1254" t="str">
            <v>X05</v>
          </cell>
          <cell r="P1254" t="str">
            <v/>
          </cell>
          <cell r="Q1254">
            <v>-43303000</v>
          </cell>
        </row>
        <row r="1255">
          <cell r="J1255">
            <v>1255</v>
          </cell>
          <cell r="L1255" t="str">
            <v>D</v>
          </cell>
          <cell r="M1255" t="str">
            <v>NCP-All</v>
          </cell>
          <cell r="N1255" t="str">
            <v/>
          </cell>
          <cell r="O1255">
            <v>0</v>
          </cell>
          <cell r="P1255" t="str">
            <v>D02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</row>
        <row r="1256">
          <cell r="J1256">
            <v>1256</v>
          </cell>
          <cell r="L1256" t="str">
            <v>D</v>
          </cell>
          <cell r="M1256" t="str">
            <v>NCP-w/o DA</v>
          </cell>
          <cell r="N1256" t="str">
            <v/>
          </cell>
          <cell r="O1256">
            <v>87.16</v>
          </cell>
          <cell r="P1256" t="str">
            <v>D03</v>
          </cell>
          <cell r="R1256">
            <v>-37742894.799999997</v>
          </cell>
          <cell r="S1256">
            <v>-20705848.021647334</v>
          </cell>
          <cell r="T1256">
            <v>-4281559.5519209728</v>
          </cell>
          <cell r="U1256">
            <v>-11443169.707990749</v>
          </cell>
          <cell r="V1256">
            <v>0</v>
          </cell>
          <cell r="W1256">
            <v>-1045732.4145063959</v>
          </cell>
          <cell r="X1256">
            <v>-266585.10393454868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</row>
        <row r="1257">
          <cell r="J1257">
            <v>1257</v>
          </cell>
          <cell r="L1257" t="str">
            <v>D</v>
          </cell>
          <cell r="M1257" t="str">
            <v xml:space="preserve">DA Sch 25 </v>
          </cell>
          <cell r="N1257" t="str">
            <v/>
          </cell>
          <cell r="O1257">
            <v>4.6500000000000004</v>
          </cell>
          <cell r="P1257" t="str">
            <v>D04</v>
          </cell>
          <cell r="R1257">
            <v>-2013589.5</v>
          </cell>
          <cell r="S1257">
            <v>0</v>
          </cell>
          <cell r="T1257">
            <v>0</v>
          </cell>
          <cell r="U1257">
            <v>0</v>
          </cell>
          <cell r="V1257">
            <v>-2013589.5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</row>
        <row r="1258">
          <cell r="J1258">
            <v>1258</v>
          </cell>
          <cell r="L1258" t="str">
            <v>D</v>
          </cell>
          <cell r="M1258" t="str">
            <v>DA Street and Area Lights</v>
          </cell>
          <cell r="N1258" t="str">
            <v/>
          </cell>
          <cell r="O1258">
            <v>7.68</v>
          </cell>
          <cell r="P1258" t="str">
            <v>D07</v>
          </cell>
          <cell r="R1258">
            <v>-3325670.3999999994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-3325670.3999999994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</row>
        <row r="1259">
          <cell r="J1259">
            <v>1259</v>
          </cell>
          <cell r="L1259" t="str">
            <v>D</v>
          </cell>
          <cell r="M1259" t="str">
            <v>Avg Customers-Secondary</v>
          </cell>
          <cell r="N1259" t="str">
            <v/>
          </cell>
          <cell r="O1259">
            <v>0</v>
          </cell>
          <cell r="P1259" t="str">
            <v>C02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</row>
        <row r="1260">
          <cell r="J1260">
            <v>1260</v>
          </cell>
          <cell r="L1260" t="str">
            <v>D</v>
          </cell>
          <cell r="M1260" t="str">
            <v>Wt Customers-Meters</v>
          </cell>
          <cell r="N1260" t="str">
            <v/>
          </cell>
          <cell r="O1260">
            <v>0</v>
          </cell>
          <cell r="P1260" t="str">
            <v>C04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</row>
        <row r="1261">
          <cell r="J1261">
            <v>1261</v>
          </cell>
          <cell r="L1261" t="str">
            <v>D</v>
          </cell>
          <cell r="M1261" t="str">
            <v>DA Street &amp; Area Lights</v>
          </cell>
          <cell r="N1261" t="str">
            <v/>
          </cell>
          <cell r="O1261">
            <v>0</v>
          </cell>
          <cell r="P1261" t="str">
            <v>C05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</row>
        <row r="1262">
          <cell r="J1262">
            <v>1262</v>
          </cell>
          <cell r="L1262" t="str">
            <v>D</v>
          </cell>
          <cell r="M1262" t="str">
            <v>DA Sch 25I</v>
          </cell>
          <cell r="N1262" t="str">
            <v/>
          </cell>
          <cell r="O1262">
            <v>0</v>
          </cell>
          <cell r="P1262" t="str">
            <v>D05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</row>
        <row r="1263">
          <cell r="J1263">
            <v>1263</v>
          </cell>
          <cell r="L1263" t="str">
            <v>D</v>
          </cell>
          <cell r="M1263" t="str">
            <v>NCP-Secondary</v>
          </cell>
          <cell r="N1263" t="str">
            <v/>
          </cell>
          <cell r="O1263">
            <v>0.51</v>
          </cell>
          <cell r="P1263" t="str">
            <v>D06</v>
          </cell>
          <cell r="R1263">
            <v>-220845.29999999996</v>
          </cell>
          <cell r="S1263">
            <v>-123908.23361082694</v>
          </cell>
          <cell r="T1263">
            <v>-25621.77026622857</v>
          </cell>
          <cell r="U1263">
            <v>-63462.106749750943</v>
          </cell>
          <cell r="V1263">
            <v>0</v>
          </cell>
          <cell r="W1263">
            <v>-6257.8869590661552</v>
          </cell>
          <cell r="X1263">
            <v>-1595.3024141273802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</row>
        <row r="1264">
          <cell r="J1264">
            <v>1264</v>
          </cell>
          <cell r="L1264" t="str">
            <v>D</v>
          </cell>
          <cell r="M1264" t="str">
            <v>NCP-Primary</v>
          </cell>
          <cell r="N1264" t="str">
            <v/>
          </cell>
          <cell r="O1264">
            <v>0</v>
          </cell>
          <cell r="P1264" t="str">
            <v>D08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</row>
        <row r="1265">
          <cell r="J1265">
            <v>1265</v>
          </cell>
          <cell r="K1265">
            <v>365</v>
          </cell>
          <cell r="L1265" t="str">
            <v>Overhead Conductors &amp; Devices Accum Depr</v>
          </cell>
          <cell r="O1265" t="str">
            <v>X06</v>
          </cell>
          <cell r="P1265" t="str">
            <v/>
          </cell>
          <cell r="Q1265">
            <v>-25455000</v>
          </cell>
        </row>
        <row r="1266">
          <cell r="J1266">
            <v>1266</v>
          </cell>
          <cell r="L1266" t="str">
            <v>D</v>
          </cell>
          <cell r="M1266" t="str">
            <v>NCP-All</v>
          </cell>
          <cell r="N1266" t="str">
            <v/>
          </cell>
          <cell r="O1266">
            <v>0</v>
          </cell>
          <cell r="P1266" t="str">
            <v>D02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</row>
        <row r="1267">
          <cell r="J1267">
            <v>1267</v>
          </cell>
          <cell r="L1267" t="str">
            <v>D</v>
          </cell>
          <cell r="M1267" t="str">
            <v>NCP-w/o DA</v>
          </cell>
          <cell r="N1267" t="str">
            <v/>
          </cell>
          <cell r="O1267">
            <v>94.63</v>
          </cell>
          <cell r="P1267" t="str">
            <v>D03</v>
          </cell>
          <cell r="R1267">
            <v>-24088066.5</v>
          </cell>
          <cell r="S1267">
            <v>-13214774.508613855</v>
          </cell>
          <cell r="T1267">
            <v>-2732553.8159405463</v>
          </cell>
          <cell r="U1267">
            <v>-7303197.9756059078</v>
          </cell>
          <cell r="V1267">
            <v>0</v>
          </cell>
          <cell r="W1267">
            <v>-667401.6944199953</v>
          </cell>
          <cell r="X1267">
            <v>-170138.5054196961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</row>
        <row r="1268">
          <cell r="J1268">
            <v>1268</v>
          </cell>
          <cell r="L1268" t="str">
            <v>D</v>
          </cell>
          <cell r="M1268" t="str">
            <v xml:space="preserve">DA Sch 25 </v>
          </cell>
          <cell r="N1268" t="str">
            <v/>
          </cell>
          <cell r="O1268">
            <v>5.0599999999999996</v>
          </cell>
          <cell r="P1268" t="str">
            <v>D04</v>
          </cell>
          <cell r="R1268">
            <v>-1288022.9999999998</v>
          </cell>
          <cell r="S1268">
            <v>0</v>
          </cell>
          <cell r="T1268">
            <v>0</v>
          </cell>
          <cell r="U1268">
            <v>0</v>
          </cell>
          <cell r="V1268">
            <v>-1288022.9999999998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</row>
        <row r="1269">
          <cell r="J1269">
            <v>1269</v>
          </cell>
          <cell r="L1269" t="str">
            <v>D</v>
          </cell>
          <cell r="M1269" t="str">
            <v>DA Street and Area Lights</v>
          </cell>
          <cell r="N1269" t="str">
            <v/>
          </cell>
          <cell r="O1269">
            <v>0</v>
          </cell>
          <cell r="P1269" t="str">
            <v>D07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</row>
        <row r="1270">
          <cell r="J1270">
            <v>1270</v>
          </cell>
          <cell r="L1270" t="str">
            <v>D</v>
          </cell>
          <cell r="M1270" t="str">
            <v>Avg Customers-Secondary</v>
          </cell>
          <cell r="N1270" t="str">
            <v/>
          </cell>
          <cell r="O1270">
            <v>0</v>
          </cell>
          <cell r="P1270" t="str">
            <v>C02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</row>
        <row r="1271">
          <cell r="J1271">
            <v>1271</v>
          </cell>
          <cell r="L1271" t="str">
            <v>D</v>
          </cell>
          <cell r="M1271" t="str">
            <v>Wt Customers-Meters</v>
          </cell>
          <cell r="N1271" t="str">
            <v/>
          </cell>
          <cell r="O1271">
            <v>0</v>
          </cell>
          <cell r="P1271" t="str">
            <v>C04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</row>
        <row r="1272">
          <cell r="J1272">
            <v>1272</v>
          </cell>
          <cell r="L1272" t="str">
            <v>D</v>
          </cell>
          <cell r="M1272" t="str">
            <v>DA Street &amp; Area Lights</v>
          </cell>
          <cell r="N1272" t="str">
            <v/>
          </cell>
          <cell r="O1272">
            <v>0</v>
          </cell>
          <cell r="P1272" t="str">
            <v>C05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</row>
        <row r="1273">
          <cell r="J1273">
            <v>1273</v>
          </cell>
          <cell r="L1273" t="str">
            <v>D</v>
          </cell>
          <cell r="M1273" t="str">
            <v>DA Sch 25I</v>
          </cell>
          <cell r="N1273" t="str">
            <v/>
          </cell>
          <cell r="O1273">
            <v>0</v>
          </cell>
          <cell r="P1273" t="str">
            <v>D05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</row>
        <row r="1274">
          <cell r="J1274">
            <v>1274</v>
          </cell>
          <cell r="L1274" t="str">
            <v>D</v>
          </cell>
          <cell r="M1274" t="str">
            <v>NCP-Secondary</v>
          </cell>
          <cell r="N1274" t="str">
            <v/>
          </cell>
          <cell r="O1274">
            <v>0.31</v>
          </cell>
          <cell r="P1274" t="str">
            <v>D06</v>
          </cell>
          <cell r="R1274">
            <v>-78910.5</v>
          </cell>
          <cell r="S1274">
            <v>-44273.800114139449</v>
          </cell>
          <cell r="T1274">
            <v>-9154.9455777108687</v>
          </cell>
          <cell r="U1274">
            <v>-22675.721759422649</v>
          </cell>
          <cell r="V1274">
            <v>0</v>
          </cell>
          <cell r="W1274">
            <v>-2236.0131226853814</v>
          </cell>
          <cell r="X1274">
            <v>-570.01942604166197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</row>
        <row r="1275">
          <cell r="J1275">
            <v>1275</v>
          </cell>
          <cell r="L1275" t="str">
            <v>D</v>
          </cell>
          <cell r="M1275" t="str">
            <v>NCP-Primary</v>
          </cell>
          <cell r="N1275" t="str">
            <v/>
          </cell>
          <cell r="O1275">
            <v>0</v>
          </cell>
          <cell r="P1275" t="str">
            <v>D08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</row>
        <row r="1276">
          <cell r="J1276">
            <v>1276</v>
          </cell>
          <cell r="K1276">
            <v>366</v>
          </cell>
          <cell r="L1276" t="str">
            <v>Underground Conduit Accum Depr</v>
          </cell>
          <cell r="O1276" t="str">
            <v>X07</v>
          </cell>
          <cell r="P1276" t="str">
            <v/>
          </cell>
          <cell r="Q1276">
            <v>-11416000</v>
          </cell>
        </row>
        <row r="1277">
          <cell r="J1277">
            <v>1277</v>
          </cell>
          <cell r="L1277" t="str">
            <v>D</v>
          </cell>
          <cell r="M1277" t="str">
            <v>NCP-All</v>
          </cell>
          <cell r="N1277" t="str">
            <v/>
          </cell>
          <cell r="O1277">
            <v>0</v>
          </cell>
          <cell r="P1277" t="str">
            <v>D02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</row>
        <row r="1278">
          <cell r="J1278">
            <v>1278</v>
          </cell>
          <cell r="L1278" t="str">
            <v>D</v>
          </cell>
          <cell r="M1278" t="str">
            <v>NCP-w/o DA</v>
          </cell>
          <cell r="N1278" t="str">
            <v/>
          </cell>
          <cell r="O1278">
            <v>73.58</v>
          </cell>
          <cell r="P1278" t="str">
            <v>D03</v>
          </cell>
          <cell r="R1278">
            <v>-8399892.8000000007</v>
          </cell>
          <cell r="S1278">
            <v>-4608202.5408111969</v>
          </cell>
          <cell r="T1278">
            <v>-952885.07793398527</v>
          </cell>
          <cell r="U1278">
            <v>-2546741.5615224512</v>
          </cell>
          <cell r="V1278">
            <v>0</v>
          </cell>
          <cell r="W1278">
            <v>-232733.61054804127</v>
          </cell>
          <cell r="X1278">
            <v>-59330.00918432646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</row>
        <row r="1279">
          <cell r="J1279">
            <v>1279</v>
          </cell>
          <cell r="L1279" t="str">
            <v>D</v>
          </cell>
          <cell r="M1279" t="str">
            <v xml:space="preserve">DA Sch 25 </v>
          </cell>
          <cell r="N1279" t="str">
            <v/>
          </cell>
          <cell r="O1279">
            <v>5.0599999999999996</v>
          </cell>
          <cell r="P1279" t="str">
            <v>D04</v>
          </cell>
          <cell r="R1279">
            <v>-577649.6</v>
          </cell>
          <cell r="S1279">
            <v>0</v>
          </cell>
          <cell r="T1279">
            <v>0</v>
          </cell>
          <cell r="U1279">
            <v>0</v>
          </cell>
          <cell r="V1279">
            <v>-577649.6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</row>
        <row r="1280">
          <cell r="J1280">
            <v>1280</v>
          </cell>
          <cell r="L1280" t="str">
            <v>D</v>
          </cell>
          <cell r="M1280" t="str">
            <v>DA Street and Area Lights</v>
          </cell>
          <cell r="N1280" t="str">
            <v/>
          </cell>
          <cell r="O1280">
            <v>0</v>
          </cell>
          <cell r="P1280" t="str">
            <v>D07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</row>
        <row r="1281">
          <cell r="J1281">
            <v>1281</v>
          </cell>
          <cell r="L1281" t="str">
            <v>D</v>
          </cell>
          <cell r="M1281" t="str">
            <v>Avg Customers-Secondary</v>
          </cell>
          <cell r="N1281" t="str">
            <v/>
          </cell>
          <cell r="O1281">
            <v>0</v>
          </cell>
          <cell r="P1281" t="str">
            <v>C02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</row>
        <row r="1282">
          <cell r="J1282">
            <v>1282</v>
          </cell>
          <cell r="L1282" t="str">
            <v>D</v>
          </cell>
          <cell r="M1282" t="str">
            <v>Wt Customers-Meters</v>
          </cell>
          <cell r="N1282" t="str">
            <v/>
          </cell>
          <cell r="O1282">
            <v>0</v>
          </cell>
          <cell r="P1282" t="str">
            <v>C04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</row>
        <row r="1283">
          <cell r="J1283">
            <v>1283</v>
          </cell>
          <cell r="L1283" t="str">
            <v>D</v>
          </cell>
          <cell r="M1283" t="str">
            <v>DA Street &amp; Area Lights</v>
          </cell>
          <cell r="N1283" t="str">
            <v/>
          </cell>
          <cell r="O1283">
            <v>0</v>
          </cell>
          <cell r="P1283" t="str">
            <v>C05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</row>
        <row r="1284">
          <cell r="J1284">
            <v>1284</v>
          </cell>
          <cell r="L1284" t="str">
            <v>D</v>
          </cell>
          <cell r="M1284" t="str">
            <v>DA Sch 25I</v>
          </cell>
          <cell r="N1284" t="str">
            <v/>
          </cell>
          <cell r="O1284">
            <v>0</v>
          </cell>
          <cell r="P1284" t="str">
            <v>D05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</row>
        <row r="1285">
          <cell r="J1285">
            <v>1285</v>
          </cell>
          <cell r="L1285" t="str">
            <v>D</v>
          </cell>
          <cell r="M1285" t="str">
            <v>NCP-Secondary</v>
          </cell>
          <cell r="N1285" t="str">
            <v/>
          </cell>
          <cell r="O1285">
            <v>21.36</v>
          </cell>
          <cell r="P1285" t="str">
            <v>D06</v>
          </cell>
          <cell r="R1285">
            <v>-2438457.6</v>
          </cell>
          <cell r="S1285">
            <v>-1368129.518495057</v>
          </cell>
          <cell r="T1285">
            <v>-282902.10582312185</v>
          </cell>
          <cell r="U1285">
            <v>-700715.19075090811</v>
          </cell>
          <cell r="V1285">
            <v>0</v>
          </cell>
          <cell r="W1285">
            <v>-69096.295077485265</v>
          </cell>
          <cell r="X1285">
            <v>-17614.489853427982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</row>
        <row r="1286">
          <cell r="J1286">
            <v>1286</v>
          </cell>
          <cell r="L1286" t="str">
            <v>D</v>
          </cell>
          <cell r="M1286" t="str">
            <v>NCP-Primary</v>
          </cell>
          <cell r="N1286" t="str">
            <v/>
          </cell>
          <cell r="O1286">
            <v>0</v>
          </cell>
          <cell r="P1286" t="str">
            <v>D08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</row>
        <row r="1287">
          <cell r="J1287">
            <v>1287</v>
          </cell>
          <cell r="K1287">
            <v>367</v>
          </cell>
          <cell r="L1287" t="str">
            <v>Underground Conductors &amp; Devices Accum Depr</v>
          </cell>
          <cell r="O1287" t="str">
            <v>X08</v>
          </cell>
          <cell r="P1287" t="str">
            <v/>
          </cell>
          <cell r="Q1287">
            <v>-25457000</v>
          </cell>
        </row>
        <row r="1288">
          <cell r="J1288">
            <v>1288</v>
          </cell>
          <cell r="L1288" t="str">
            <v>D</v>
          </cell>
          <cell r="M1288" t="str">
            <v>NCP-All</v>
          </cell>
          <cell r="N1288" t="str">
            <v/>
          </cell>
          <cell r="O1288">
            <v>0</v>
          </cell>
          <cell r="P1288" t="str">
            <v>D02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</row>
        <row r="1289">
          <cell r="J1289">
            <v>1289</v>
          </cell>
          <cell r="L1289" t="str">
            <v>D</v>
          </cell>
          <cell r="M1289" t="str">
            <v>NCP-w/o DA</v>
          </cell>
          <cell r="N1289" t="str">
            <v/>
          </cell>
          <cell r="O1289">
            <v>75.790000000000006</v>
          </cell>
          <cell r="P1289" t="str">
            <v>D03</v>
          </cell>
          <cell r="R1289">
            <v>-19293860.300000001</v>
          </cell>
          <cell r="S1289">
            <v>-10584660.801446928</v>
          </cell>
          <cell r="T1289">
            <v>-2188698.3576281979</v>
          </cell>
          <cell r="U1289">
            <v>-5849655.118005557</v>
          </cell>
          <cell r="V1289">
            <v>0</v>
          </cell>
          <cell r="W1289">
            <v>-534569.88987151301</v>
          </cell>
          <cell r="X1289">
            <v>-136276.13304780648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</row>
        <row r="1290">
          <cell r="J1290">
            <v>1290</v>
          </cell>
          <cell r="L1290" t="str">
            <v>D</v>
          </cell>
          <cell r="M1290" t="str">
            <v xml:space="preserve">DA Sch 25 </v>
          </cell>
          <cell r="N1290" t="str">
            <v/>
          </cell>
          <cell r="O1290">
            <v>5.46</v>
          </cell>
          <cell r="P1290" t="str">
            <v>D04</v>
          </cell>
          <cell r="R1290">
            <v>-1389952.2</v>
          </cell>
          <cell r="S1290">
            <v>0</v>
          </cell>
          <cell r="T1290">
            <v>0</v>
          </cell>
          <cell r="U1290">
            <v>0</v>
          </cell>
          <cell r="V1290">
            <v>-1389952.2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</row>
        <row r="1291">
          <cell r="J1291">
            <v>1291</v>
          </cell>
          <cell r="L1291" t="str">
            <v>D</v>
          </cell>
          <cell r="M1291" t="str">
            <v>DA Street and Area Lights</v>
          </cell>
          <cell r="N1291" t="str">
            <v/>
          </cell>
          <cell r="O1291">
            <v>0</v>
          </cell>
          <cell r="P1291" t="str">
            <v>D07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</row>
        <row r="1292">
          <cell r="J1292">
            <v>1292</v>
          </cell>
          <cell r="L1292" t="str">
            <v>D</v>
          </cell>
          <cell r="M1292" t="str">
            <v>Avg Customers-Secondary</v>
          </cell>
          <cell r="N1292" t="str">
            <v/>
          </cell>
          <cell r="O1292">
            <v>0</v>
          </cell>
          <cell r="P1292" t="str">
            <v>C02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</row>
        <row r="1293">
          <cell r="J1293">
            <v>1293</v>
          </cell>
          <cell r="L1293" t="str">
            <v>D</v>
          </cell>
          <cell r="M1293" t="str">
            <v>Wt Customers-Meters</v>
          </cell>
          <cell r="N1293" t="str">
            <v/>
          </cell>
          <cell r="O1293">
            <v>0</v>
          </cell>
          <cell r="P1293" t="str">
            <v>C04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</row>
        <row r="1294">
          <cell r="J1294">
            <v>1294</v>
          </cell>
          <cell r="L1294" t="str">
            <v>D</v>
          </cell>
          <cell r="M1294" t="str">
            <v>DA Street &amp; Area Lights</v>
          </cell>
          <cell r="N1294" t="str">
            <v/>
          </cell>
          <cell r="O1294">
            <v>0</v>
          </cell>
          <cell r="P1294" t="str">
            <v>C05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</row>
        <row r="1295">
          <cell r="J1295">
            <v>1295</v>
          </cell>
          <cell r="L1295" t="str">
            <v>D</v>
          </cell>
          <cell r="M1295" t="str">
            <v>DA Sch 25I</v>
          </cell>
          <cell r="N1295" t="str">
            <v/>
          </cell>
          <cell r="O1295">
            <v>0</v>
          </cell>
          <cell r="P1295" t="str">
            <v>D05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</row>
        <row r="1296">
          <cell r="J1296">
            <v>1296</v>
          </cell>
          <cell r="L1296" t="str">
            <v>D</v>
          </cell>
          <cell r="M1296" t="str">
            <v>NCP-Secondary</v>
          </cell>
          <cell r="N1296" t="str">
            <v/>
          </cell>
          <cell r="O1296">
            <v>18.75</v>
          </cell>
          <cell r="P1296" t="str">
            <v>D06</v>
          </cell>
          <cell r="R1296">
            <v>-4773187.5</v>
          </cell>
          <cell r="S1296">
            <v>-2678061.2121619936</v>
          </cell>
          <cell r="T1296">
            <v>-553770.05334790424</v>
          </cell>
          <cell r="U1296">
            <v>-1371623.1889996158</v>
          </cell>
          <cell r="V1296">
            <v>0</v>
          </cell>
          <cell r="W1296">
            <v>-135253.35521936661</v>
          </cell>
          <cell r="X1296">
            <v>-34479.690271120264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</row>
        <row r="1297">
          <cell r="J1297">
            <v>1297</v>
          </cell>
          <cell r="L1297" t="str">
            <v>D</v>
          </cell>
          <cell r="M1297" t="str">
            <v>NCP-Primary</v>
          </cell>
          <cell r="N1297" t="str">
            <v/>
          </cell>
          <cell r="O1297">
            <v>0</v>
          </cell>
          <cell r="P1297" t="str">
            <v>D08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</row>
        <row r="1298">
          <cell r="J1298">
            <v>1298</v>
          </cell>
          <cell r="K1298">
            <v>368</v>
          </cell>
          <cell r="L1298" t="str">
            <v>Line Transformers Accum Depr</v>
          </cell>
          <cell r="O1298" t="str">
            <v>X09</v>
          </cell>
          <cell r="P1298" t="str">
            <v/>
          </cell>
          <cell r="Q1298">
            <v>-35565000</v>
          </cell>
        </row>
        <row r="1299">
          <cell r="J1299">
            <v>1299</v>
          </cell>
          <cell r="L1299" t="str">
            <v>D</v>
          </cell>
          <cell r="M1299" t="str">
            <v>NCP-All</v>
          </cell>
          <cell r="N1299" t="str">
            <v/>
          </cell>
          <cell r="O1299">
            <v>0</v>
          </cell>
          <cell r="P1299" t="str">
            <v>D02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</row>
        <row r="1300">
          <cell r="J1300">
            <v>1300</v>
          </cell>
          <cell r="L1300" t="str">
            <v>D</v>
          </cell>
          <cell r="M1300" t="str">
            <v>NCP-w/o DA</v>
          </cell>
          <cell r="N1300" t="str">
            <v/>
          </cell>
          <cell r="O1300">
            <v>0</v>
          </cell>
          <cell r="P1300" t="str">
            <v>D03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</row>
        <row r="1301">
          <cell r="J1301">
            <v>1301</v>
          </cell>
          <cell r="L1301" t="str">
            <v>D</v>
          </cell>
          <cell r="M1301" t="str">
            <v xml:space="preserve">DA Sch 25 </v>
          </cell>
          <cell r="N1301" t="str">
            <v/>
          </cell>
          <cell r="O1301">
            <v>0</v>
          </cell>
          <cell r="P1301" t="str">
            <v>D04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</row>
        <row r="1302">
          <cell r="J1302">
            <v>1302</v>
          </cell>
          <cell r="L1302" t="str">
            <v>D</v>
          </cell>
          <cell r="M1302" t="str">
            <v>DA Street and Area Lights</v>
          </cell>
          <cell r="N1302" t="str">
            <v/>
          </cell>
          <cell r="O1302">
            <v>0</v>
          </cell>
          <cell r="P1302" t="str">
            <v>D07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</row>
        <row r="1303">
          <cell r="J1303">
            <v>1303</v>
          </cell>
          <cell r="L1303" t="str">
            <v>D</v>
          </cell>
          <cell r="M1303" t="str">
            <v>Avg Customers-Secondary</v>
          </cell>
          <cell r="N1303" t="str">
            <v/>
          </cell>
          <cell r="O1303">
            <v>0</v>
          </cell>
          <cell r="P1303" t="str">
            <v>C02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</row>
        <row r="1304">
          <cell r="J1304">
            <v>1304</v>
          </cell>
          <cell r="L1304" t="str">
            <v>D</v>
          </cell>
          <cell r="M1304" t="str">
            <v>Wt Customers-Meters</v>
          </cell>
          <cell r="N1304" t="str">
            <v/>
          </cell>
          <cell r="O1304">
            <v>0</v>
          </cell>
          <cell r="P1304" t="str">
            <v>C04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</row>
        <row r="1305">
          <cell r="J1305">
            <v>1305</v>
          </cell>
          <cell r="L1305" t="str">
            <v>D</v>
          </cell>
          <cell r="M1305" t="str">
            <v>DA Street &amp; Area Lights</v>
          </cell>
          <cell r="N1305" t="str">
            <v/>
          </cell>
          <cell r="O1305">
            <v>0</v>
          </cell>
          <cell r="P1305" t="str">
            <v>C05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</row>
        <row r="1306">
          <cell r="J1306">
            <v>1306</v>
          </cell>
          <cell r="L1306" t="str">
            <v>D</v>
          </cell>
          <cell r="M1306" t="str">
            <v>DA Sch 25I</v>
          </cell>
          <cell r="N1306" t="str">
            <v/>
          </cell>
          <cell r="O1306">
            <v>0</v>
          </cell>
          <cell r="P1306" t="str">
            <v>D05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</row>
        <row r="1307">
          <cell r="J1307">
            <v>1307</v>
          </cell>
          <cell r="L1307" t="str">
            <v>D</v>
          </cell>
          <cell r="M1307" t="str">
            <v>NCP-Secondary</v>
          </cell>
          <cell r="N1307" t="str">
            <v/>
          </cell>
          <cell r="O1307">
            <v>100</v>
          </cell>
          <cell r="P1307" t="str">
            <v>D06</v>
          </cell>
          <cell r="R1307">
            <v>-35565000</v>
          </cell>
          <cell r="S1307">
            <v>-19954222.835482851</v>
          </cell>
          <cell r="T1307">
            <v>-4126138.3399077058</v>
          </cell>
          <cell r="U1307">
            <v>-10219958.616076017</v>
          </cell>
          <cell r="V1307">
            <v>0</v>
          </cell>
          <cell r="W1307">
            <v>-1007772.18124718</v>
          </cell>
          <cell r="X1307">
            <v>-256908.02728625099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</row>
        <row r="1308">
          <cell r="J1308">
            <v>1308</v>
          </cell>
          <cell r="L1308" t="str">
            <v>D</v>
          </cell>
          <cell r="M1308" t="str">
            <v>NCP-Primary</v>
          </cell>
          <cell r="N1308" t="str">
            <v/>
          </cell>
          <cell r="O1308">
            <v>0</v>
          </cell>
          <cell r="P1308" t="str">
            <v>D08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</row>
        <row r="1309">
          <cell r="J1309">
            <v>1309</v>
          </cell>
          <cell r="K1309">
            <v>369</v>
          </cell>
          <cell r="L1309" t="str">
            <v>Services Accum Depr</v>
          </cell>
          <cell r="O1309" t="str">
            <v>X10</v>
          </cell>
          <cell r="P1309" t="str">
            <v/>
          </cell>
          <cell r="Q1309">
            <v>-28270000</v>
          </cell>
        </row>
        <row r="1310">
          <cell r="J1310">
            <v>1310</v>
          </cell>
          <cell r="L1310" t="str">
            <v>D</v>
          </cell>
          <cell r="M1310" t="str">
            <v>NCP-All</v>
          </cell>
          <cell r="N1310" t="str">
            <v/>
          </cell>
          <cell r="O1310">
            <v>0</v>
          </cell>
          <cell r="P1310" t="str">
            <v>D02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</row>
        <row r="1311">
          <cell r="J1311">
            <v>1311</v>
          </cell>
          <cell r="L1311" t="str">
            <v>D</v>
          </cell>
          <cell r="M1311" t="str">
            <v>NCP-w/o DA</v>
          </cell>
          <cell r="N1311" t="str">
            <v/>
          </cell>
          <cell r="O1311">
            <v>0</v>
          </cell>
          <cell r="P1311" t="str">
            <v>D03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</row>
        <row r="1312">
          <cell r="J1312">
            <v>1312</v>
          </cell>
          <cell r="L1312" t="str">
            <v>D</v>
          </cell>
          <cell r="M1312" t="str">
            <v xml:space="preserve">DA Sch 25 </v>
          </cell>
          <cell r="N1312" t="str">
            <v/>
          </cell>
          <cell r="O1312">
            <v>0</v>
          </cell>
          <cell r="P1312" t="str">
            <v>D04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</row>
        <row r="1313">
          <cell r="J1313">
            <v>1313</v>
          </cell>
          <cell r="L1313" t="str">
            <v>D</v>
          </cell>
          <cell r="M1313" t="str">
            <v>DA Street and Area Lights</v>
          </cell>
          <cell r="N1313" t="str">
            <v/>
          </cell>
          <cell r="O1313">
            <v>0</v>
          </cell>
          <cell r="P1313" t="str">
            <v>D07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</row>
        <row r="1314">
          <cell r="J1314">
            <v>1314</v>
          </cell>
          <cell r="L1314" t="str">
            <v>D</v>
          </cell>
          <cell r="M1314" t="str">
            <v>Avg Customers-Secondary</v>
          </cell>
          <cell r="N1314" t="str">
            <v/>
          </cell>
          <cell r="O1314">
            <v>100</v>
          </cell>
          <cell r="P1314" t="str">
            <v>C02</v>
          </cell>
          <cell r="R1314">
            <v>-28270000</v>
          </cell>
          <cell r="S1314">
            <v>-24253832.583124798</v>
          </cell>
          <cell r="T1314">
            <v>-3408620.3840703336</v>
          </cell>
          <cell r="U1314">
            <v>-318562.37141373643</v>
          </cell>
          <cell r="V1314">
            <v>0</v>
          </cell>
          <cell r="W1314">
            <v>-288984.66139113257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</row>
        <row r="1315">
          <cell r="J1315">
            <v>1315</v>
          </cell>
          <cell r="L1315" t="str">
            <v>D</v>
          </cell>
          <cell r="M1315" t="str">
            <v>Wt Customers-Meters</v>
          </cell>
          <cell r="N1315" t="str">
            <v/>
          </cell>
          <cell r="O1315">
            <v>0</v>
          </cell>
          <cell r="P1315" t="str">
            <v>C04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</row>
        <row r="1316">
          <cell r="J1316">
            <v>1316</v>
          </cell>
          <cell r="L1316" t="str">
            <v>D</v>
          </cell>
          <cell r="M1316" t="str">
            <v>DA Street &amp; Area Lights</v>
          </cell>
          <cell r="N1316" t="str">
            <v/>
          </cell>
          <cell r="O1316">
            <v>0</v>
          </cell>
          <cell r="P1316" t="str">
            <v>C05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</row>
        <row r="1317">
          <cell r="J1317">
            <v>1317</v>
          </cell>
          <cell r="L1317" t="str">
            <v>D</v>
          </cell>
          <cell r="M1317" t="str">
            <v>DA Sch 25I</v>
          </cell>
          <cell r="N1317" t="str">
            <v/>
          </cell>
          <cell r="O1317">
            <v>0</v>
          </cell>
          <cell r="P1317" t="str">
            <v>D05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</row>
        <row r="1318">
          <cell r="J1318">
            <v>1318</v>
          </cell>
          <cell r="L1318" t="str">
            <v>D</v>
          </cell>
          <cell r="M1318" t="str">
            <v>NCP-Secondary</v>
          </cell>
          <cell r="N1318" t="str">
            <v/>
          </cell>
          <cell r="O1318">
            <v>0</v>
          </cell>
          <cell r="P1318" t="str">
            <v>D06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</row>
        <row r="1319">
          <cell r="J1319">
            <v>1319</v>
          </cell>
          <cell r="L1319" t="str">
            <v>D</v>
          </cell>
          <cell r="M1319" t="str">
            <v>NCP-Primary</v>
          </cell>
          <cell r="N1319" t="str">
            <v/>
          </cell>
          <cell r="O1319">
            <v>0</v>
          </cell>
          <cell r="P1319" t="str">
            <v>D08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</row>
        <row r="1320">
          <cell r="J1320">
            <v>1320</v>
          </cell>
          <cell r="K1320">
            <v>370</v>
          </cell>
          <cell r="L1320" t="str">
            <v>Meters Accum Depr</v>
          </cell>
          <cell r="O1320" t="str">
            <v>X11</v>
          </cell>
          <cell r="P1320" t="str">
            <v/>
          </cell>
          <cell r="Q1320">
            <v>-4947000</v>
          </cell>
        </row>
        <row r="1321">
          <cell r="J1321">
            <v>1321</v>
          </cell>
          <cell r="L1321" t="str">
            <v>D</v>
          </cell>
          <cell r="M1321" t="str">
            <v>NCP-All</v>
          </cell>
          <cell r="N1321" t="str">
            <v/>
          </cell>
          <cell r="O1321">
            <v>0</v>
          </cell>
          <cell r="P1321" t="str">
            <v>D02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</row>
        <row r="1322">
          <cell r="J1322">
            <v>1322</v>
          </cell>
          <cell r="L1322" t="str">
            <v>D</v>
          </cell>
          <cell r="M1322" t="str">
            <v>NCP-w/o DA</v>
          </cell>
          <cell r="N1322" t="str">
            <v/>
          </cell>
          <cell r="O1322">
            <v>0</v>
          </cell>
          <cell r="P1322" t="str">
            <v>D03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</row>
        <row r="1323">
          <cell r="J1323">
            <v>1323</v>
          </cell>
          <cell r="L1323" t="str">
            <v>D</v>
          </cell>
          <cell r="M1323" t="str">
            <v xml:space="preserve">DA Sch 25 </v>
          </cell>
          <cell r="N1323" t="str">
            <v/>
          </cell>
          <cell r="O1323">
            <v>0</v>
          </cell>
          <cell r="P1323" t="str">
            <v>D04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</row>
        <row r="1324">
          <cell r="J1324">
            <v>1324</v>
          </cell>
          <cell r="L1324" t="str">
            <v>D</v>
          </cell>
          <cell r="M1324" t="str">
            <v>DA Street and Area Lights</v>
          </cell>
          <cell r="N1324" t="str">
            <v/>
          </cell>
          <cell r="O1324">
            <v>0</v>
          </cell>
          <cell r="P1324" t="str">
            <v>D07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</row>
        <row r="1325">
          <cell r="J1325">
            <v>1325</v>
          </cell>
          <cell r="L1325" t="str">
            <v>D</v>
          </cell>
          <cell r="M1325" t="str">
            <v>Avg Customers-Secondary</v>
          </cell>
          <cell r="N1325" t="str">
            <v/>
          </cell>
          <cell r="O1325">
            <v>0</v>
          </cell>
          <cell r="P1325" t="str">
            <v>C02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</row>
        <row r="1326">
          <cell r="J1326">
            <v>1326</v>
          </cell>
          <cell r="L1326" t="str">
            <v>D</v>
          </cell>
          <cell r="M1326" t="str">
            <v>Wt Customers-Meters</v>
          </cell>
          <cell r="N1326" t="str">
            <v/>
          </cell>
          <cell r="O1326">
            <v>100</v>
          </cell>
          <cell r="P1326" t="str">
            <v>C04</v>
          </cell>
          <cell r="R1326">
            <v>-4947000</v>
          </cell>
          <cell r="S1326">
            <v>-3021674.8719717814</v>
          </cell>
          <cell r="T1326">
            <v>-1155087.5382005649</v>
          </cell>
          <cell r="U1326">
            <v>-574056.87646398076</v>
          </cell>
          <cell r="V1326">
            <v>-11483.852244351052</v>
          </cell>
          <cell r="W1326">
            <v>-184696.8611193228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</row>
        <row r="1327">
          <cell r="J1327">
            <v>1327</v>
          </cell>
          <cell r="L1327" t="str">
            <v>D</v>
          </cell>
          <cell r="M1327" t="str">
            <v>DA Street &amp; Area Lights</v>
          </cell>
          <cell r="N1327" t="str">
            <v/>
          </cell>
          <cell r="O1327">
            <v>0</v>
          </cell>
          <cell r="P1327" t="str">
            <v>C05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</row>
        <row r="1328">
          <cell r="J1328">
            <v>1328</v>
          </cell>
          <cell r="L1328" t="str">
            <v>D</v>
          </cell>
          <cell r="M1328" t="str">
            <v>DA Sch 25I</v>
          </cell>
          <cell r="N1328" t="str">
            <v/>
          </cell>
          <cell r="O1328">
            <v>0</v>
          </cell>
          <cell r="P1328" t="str">
            <v>D05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</row>
        <row r="1329">
          <cell r="J1329">
            <v>1329</v>
          </cell>
          <cell r="L1329" t="str">
            <v>D</v>
          </cell>
          <cell r="M1329" t="str">
            <v>NCP-Secondary</v>
          </cell>
          <cell r="N1329" t="str">
            <v/>
          </cell>
          <cell r="O1329">
            <v>0</v>
          </cell>
          <cell r="P1329" t="str">
            <v>D06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</row>
        <row r="1330">
          <cell r="J1330">
            <v>1330</v>
          </cell>
          <cell r="L1330" t="str">
            <v>D</v>
          </cell>
          <cell r="M1330" t="str">
            <v>NCP-Primary</v>
          </cell>
          <cell r="N1330" t="str">
            <v/>
          </cell>
          <cell r="O1330">
            <v>0</v>
          </cell>
          <cell r="P1330" t="str">
            <v>D08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</row>
        <row r="1331">
          <cell r="J1331">
            <v>1331</v>
          </cell>
          <cell r="K1331">
            <v>371</v>
          </cell>
          <cell r="L1331" t="str">
            <v>Installations on Customer Premises Accum Depr</v>
          </cell>
          <cell r="O1331" t="str">
            <v>X10</v>
          </cell>
          <cell r="P1331" t="str">
            <v/>
          </cell>
          <cell r="Q1331">
            <v>0</v>
          </cell>
        </row>
        <row r="1332">
          <cell r="J1332">
            <v>1332</v>
          </cell>
          <cell r="L1332" t="str">
            <v>D</v>
          </cell>
          <cell r="M1332" t="str">
            <v>NCP-All</v>
          </cell>
          <cell r="N1332" t="str">
            <v/>
          </cell>
          <cell r="O1332">
            <v>0</v>
          </cell>
          <cell r="P1332" t="str">
            <v>D02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</row>
        <row r="1333">
          <cell r="J1333">
            <v>1333</v>
          </cell>
          <cell r="L1333" t="str">
            <v>D</v>
          </cell>
          <cell r="M1333" t="str">
            <v>NCP-w/o DA</v>
          </cell>
          <cell r="N1333" t="str">
            <v/>
          </cell>
          <cell r="O1333">
            <v>0</v>
          </cell>
          <cell r="P1333" t="str">
            <v>D03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</row>
        <row r="1334">
          <cell r="J1334">
            <v>1334</v>
          </cell>
          <cell r="L1334" t="str">
            <v>D</v>
          </cell>
          <cell r="M1334" t="str">
            <v xml:space="preserve">DA Sch 25 </v>
          </cell>
          <cell r="N1334" t="str">
            <v/>
          </cell>
          <cell r="O1334">
            <v>0</v>
          </cell>
          <cell r="P1334" t="str">
            <v>D04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</row>
        <row r="1335">
          <cell r="J1335">
            <v>1335</v>
          </cell>
          <cell r="L1335" t="str">
            <v>D</v>
          </cell>
          <cell r="M1335" t="str">
            <v>DA Street and Area Lights</v>
          </cell>
          <cell r="N1335" t="str">
            <v/>
          </cell>
          <cell r="O1335">
            <v>0</v>
          </cell>
          <cell r="P1335" t="str">
            <v>D07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</row>
        <row r="1336">
          <cell r="J1336">
            <v>1336</v>
          </cell>
          <cell r="L1336" t="str">
            <v>D</v>
          </cell>
          <cell r="M1336" t="str">
            <v>Avg Customers-Secondary</v>
          </cell>
          <cell r="N1336" t="str">
            <v/>
          </cell>
          <cell r="O1336">
            <v>100</v>
          </cell>
          <cell r="P1336" t="str">
            <v>C02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</row>
        <row r="1337">
          <cell r="J1337">
            <v>1337</v>
          </cell>
          <cell r="L1337" t="str">
            <v>D</v>
          </cell>
          <cell r="M1337" t="str">
            <v>Wt Customers-Meters</v>
          </cell>
          <cell r="N1337" t="str">
            <v/>
          </cell>
          <cell r="O1337">
            <v>0</v>
          </cell>
          <cell r="P1337" t="str">
            <v>C04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</row>
        <row r="1338">
          <cell r="J1338">
            <v>1338</v>
          </cell>
          <cell r="L1338" t="str">
            <v>D</v>
          </cell>
          <cell r="M1338" t="str">
            <v>DA Street &amp; Area Lights</v>
          </cell>
          <cell r="N1338" t="str">
            <v/>
          </cell>
          <cell r="O1338">
            <v>0</v>
          </cell>
          <cell r="P1338" t="str">
            <v>C05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</row>
        <row r="1339">
          <cell r="J1339">
            <v>1339</v>
          </cell>
          <cell r="L1339" t="str">
            <v>D</v>
          </cell>
          <cell r="M1339" t="str">
            <v>DA Sch 25I</v>
          </cell>
          <cell r="N1339" t="str">
            <v/>
          </cell>
          <cell r="O1339">
            <v>0</v>
          </cell>
          <cell r="P1339" t="str">
            <v>D05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</row>
        <row r="1340">
          <cell r="J1340">
            <v>1340</v>
          </cell>
          <cell r="L1340" t="str">
            <v>D</v>
          </cell>
          <cell r="M1340" t="str">
            <v>NCP-Secondary</v>
          </cell>
          <cell r="N1340" t="str">
            <v/>
          </cell>
          <cell r="O1340">
            <v>0</v>
          </cell>
          <cell r="P1340" t="str">
            <v>D06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</row>
        <row r="1341">
          <cell r="J1341">
            <v>1341</v>
          </cell>
          <cell r="L1341" t="str">
            <v>D</v>
          </cell>
          <cell r="M1341" t="str">
            <v>NCP-Primary</v>
          </cell>
          <cell r="N1341" t="str">
            <v/>
          </cell>
          <cell r="O1341">
            <v>0</v>
          </cell>
          <cell r="P1341" t="str">
            <v>D08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</row>
        <row r="1342">
          <cell r="J1342">
            <v>1342</v>
          </cell>
          <cell r="K1342">
            <v>372</v>
          </cell>
          <cell r="L1342" t="str">
            <v>Leased Property on Customer Premises Accum Depr</v>
          </cell>
          <cell r="O1342" t="str">
            <v>X10</v>
          </cell>
          <cell r="P1342" t="str">
            <v/>
          </cell>
          <cell r="Q1342">
            <v>0</v>
          </cell>
        </row>
        <row r="1343">
          <cell r="J1343">
            <v>1343</v>
          </cell>
          <cell r="L1343" t="str">
            <v>D</v>
          </cell>
          <cell r="M1343" t="str">
            <v>NCP-All</v>
          </cell>
          <cell r="N1343" t="str">
            <v/>
          </cell>
          <cell r="O1343">
            <v>0</v>
          </cell>
          <cell r="P1343" t="str">
            <v>D02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</row>
        <row r="1344">
          <cell r="J1344">
            <v>1344</v>
          </cell>
          <cell r="L1344" t="str">
            <v>D</v>
          </cell>
          <cell r="M1344" t="str">
            <v>NCP-w/o DA</v>
          </cell>
          <cell r="N1344" t="str">
            <v/>
          </cell>
          <cell r="O1344">
            <v>0</v>
          </cell>
          <cell r="P1344" t="str">
            <v>D03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</row>
        <row r="1345">
          <cell r="J1345">
            <v>1345</v>
          </cell>
          <cell r="L1345" t="str">
            <v>D</v>
          </cell>
          <cell r="M1345" t="str">
            <v xml:space="preserve">DA Sch 25 </v>
          </cell>
          <cell r="N1345" t="str">
            <v/>
          </cell>
          <cell r="O1345">
            <v>0</v>
          </cell>
          <cell r="P1345" t="str">
            <v>D04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</row>
        <row r="1346">
          <cell r="J1346">
            <v>1346</v>
          </cell>
          <cell r="L1346" t="str">
            <v>D</v>
          </cell>
          <cell r="M1346" t="str">
            <v>DA Street and Area Lights</v>
          </cell>
          <cell r="N1346" t="str">
            <v/>
          </cell>
          <cell r="O1346">
            <v>0</v>
          </cell>
          <cell r="P1346" t="str">
            <v>D07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</row>
        <row r="1347">
          <cell r="J1347">
            <v>1347</v>
          </cell>
          <cell r="L1347" t="str">
            <v>D</v>
          </cell>
          <cell r="M1347" t="str">
            <v>Avg Customers-Secondary</v>
          </cell>
          <cell r="N1347" t="str">
            <v/>
          </cell>
          <cell r="O1347">
            <v>100</v>
          </cell>
          <cell r="P1347" t="str">
            <v>C02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</row>
        <row r="1348">
          <cell r="J1348">
            <v>1348</v>
          </cell>
          <cell r="L1348" t="str">
            <v>D</v>
          </cell>
          <cell r="M1348" t="str">
            <v>Wt Customers-Meters</v>
          </cell>
          <cell r="N1348" t="str">
            <v/>
          </cell>
          <cell r="O1348">
            <v>0</v>
          </cell>
          <cell r="P1348" t="str">
            <v>C04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</row>
        <row r="1349">
          <cell r="J1349">
            <v>1349</v>
          </cell>
          <cell r="L1349" t="str">
            <v>D</v>
          </cell>
          <cell r="M1349" t="str">
            <v>DA Street &amp; Area Lights</v>
          </cell>
          <cell r="N1349" t="str">
            <v/>
          </cell>
          <cell r="O1349">
            <v>0</v>
          </cell>
          <cell r="P1349" t="str">
            <v>C05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</row>
        <row r="1350">
          <cell r="J1350">
            <v>1350</v>
          </cell>
          <cell r="L1350" t="str">
            <v>D</v>
          </cell>
          <cell r="M1350" t="str">
            <v>DA Sch 25I</v>
          </cell>
          <cell r="N1350" t="str">
            <v/>
          </cell>
          <cell r="O1350">
            <v>0</v>
          </cell>
          <cell r="P1350" t="str">
            <v>D05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</row>
        <row r="1351">
          <cell r="J1351">
            <v>1351</v>
          </cell>
          <cell r="L1351" t="str">
            <v>D</v>
          </cell>
          <cell r="M1351" t="str">
            <v>NCP-Secondary</v>
          </cell>
          <cell r="N1351" t="str">
            <v/>
          </cell>
          <cell r="O1351">
            <v>0</v>
          </cell>
          <cell r="P1351" t="str">
            <v>D06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</row>
        <row r="1352">
          <cell r="J1352">
            <v>1352</v>
          </cell>
          <cell r="L1352" t="str">
            <v>D</v>
          </cell>
          <cell r="M1352" t="str">
            <v>NCP-Primary</v>
          </cell>
          <cell r="N1352" t="str">
            <v/>
          </cell>
          <cell r="O1352">
            <v>0</v>
          </cell>
          <cell r="P1352" t="str">
            <v>D08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</row>
        <row r="1353">
          <cell r="J1353">
            <v>1353</v>
          </cell>
          <cell r="K1353">
            <v>373</v>
          </cell>
          <cell r="L1353" t="str">
            <v>Street Lights &amp; Signal Systems Accum Depr</v>
          </cell>
          <cell r="O1353" t="str">
            <v>X12</v>
          </cell>
          <cell r="P1353" t="str">
            <v/>
          </cell>
          <cell r="Q1353">
            <v>-10331000</v>
          </cell>
        </row>
        <row r="1354">
          <cell r="J1354">
            <v>1354</v>
          </cell>
          <cell r="L1354" t="str">
            <v>D</v>
          </cell>
          <cell r="M1354" t="str">
            <v>NCP-All</v>
          </cell>
          <cell r="N1354" t="str">
            <v/>
          </cell>
          <cell r="O1354">
            <v>0</v>
          </cell>
          <cell r="P1354" t="str">
            <v>D02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</row>
        <row r="1355">
          <cell r="J1355">
            <v>1355</v>
          </cell>
          <cell r="L1355" t="str">
            <v>D</v>
          </cell>
          <cell r="M1355" t="str">
            <v>NCP-w/o DA</v>
          </cell>
          <cell r="N1355" t="str">
            <v/>
          </cell>
          <cell r="O1355">
            <v>0</v>
          </cell>
          <cell r="P1355" t="str">
            <v>D03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</row>
        <row r="1356">
          <cell r="J1356">
            <v>1356</v>
          </cell>
          <cell r="L1356" t="str">
            <v>D</v>
          </cell>
          <cell r="M1356" t="str">
            <v xml:space="preserve">DA Sch 25 </v>
          </cell>
          <cell r="N1356" t="str">
            <v/>
          </cell>
          <cell r="O1356">
            <v>0</v>
          </cell>
          <cell r="P1356" t="str">
            <v>D04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</row>
        <row r="1357">
          <cell r="J1357">
            <v>1357</v>
          </cell>
          <cell r="L1357" t="str">
            <v>D</v>
          </cell>
          <cell r="M1357" t="str">
            <v>DA Street and Area Lights</v>
          </cell>
          <cell r="N1357" t="str">
            <v/>
          </cell>
          <cell r="O1357">
            <v>0</v>
          </cell>
          <cell r="P1357" t="str">
            <v>D07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</row>
        <row r="1358">
          <cell r="J1358">
            <v>1358</v>
          </cell>
          <cell r="L1358" t="str">
            <v>D</v>
          </cell>
          <cell r="M1358" t="str">
            <v>Avg Customers-Secondary</v>
          </cell>
          <cell r="N1358" t="str">
            <v/>
          </cell>
          <cell r="O1358">
            <v>0</v>
          </cell>
          <cell r="P1358" t="str">
            <v>C02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</row>
        <row r="1359">
          <cell r="J1359">
            <v>1359</v>
          </cell>
          <cell r="L1359" t="str">
            <v>D</v>
          </cell>
          <cell r="M1359" t="str">
            <v>Wt Customers-Meters</v>
          </cell>
          <cell r="N1359" t="str">
            <v/>
          </cell>
          <cell r="O1359">
            <v>0</v>
          </cell>
          <cell r="P1359" t="str">
            <v>C04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</row>
        <row r="1360">
          <cell r="J1360">
            <v>1360</v>
          </cell>
          <cell r="L1360" t="str">
            <v>D</v>
          </cell>
          <cell r="M1360" t="str">
            <v>DA Street &amp; Area Lights</v>
          </cell>
          <cell r="N1360" t="str">
            <v/>
          </cell>
          <cell r="O1360">
            <v>100</v>
          </cell>
          <cell r="P1360" t="str">
            <v>C05</v>
          </cell>
          <cell r="R1360">
            <v>-10331000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-10331000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</row>
        <row r="1361">
          <cell r="J1361">
            <v>1361</v>
          </cell>
          <cell r="L1361" t="str">
            <v>D</v>
          </cell>
          <cell r="M1361" t="str">
            <v>DA Sch 25I</v>
          </cell>
          <cell r="N1361" t="str">
            <v/>
          </cell>
          <cell r="O1361">
            <v>0</v>
          </cell>
          <cell r="P1361" t="str">
            <v>D05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</row>
        <row r="1362">
          <cell r="J1362">
            <v>1362</v>
          </cell>
          <cell r="L1362" t="str">
            <v>D</v>
          </cell>
          <cell r="M1362" t="str">
            <v>NCP-Secondary</v>
          </cell>
          <cell r="N1362" t="str">
            <v/>
          </cell>
          <cell r="O1362">
            <v>0</v>
          </cell>
          <cell r="P1362" t="str">
            <v>D06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</row>
        <row r="1363">
          <cell r="J1363">
            <v>1363</v>
          </cell>
          <cell r="L1363" t="str">
            <v>D</v>
          </cell>
          <cell r="M1363" t="str">
            <v>NCP-Primary</v>
          </cell>
          <cell r="N1363" t="str">
            <v/>
          </cell>
          <cell r="O1363">
            <v>0</v>
          </cell>
          <cell r="P1363" t="str">
            <v>D08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</row>
        <row r="1364">
          <cell r="J1364">
            <v>1364</v>
          </cell>
          <cell r="L1364" t="str">
            <v>Total Distribution Plant Accumulated Depreciation</v>
          </cell>
          <cell r="P1364" t="str">
            <v/>
          </cell>
          <cell r="Q1364">
            <v>-209013000</v>
          </cell>
          <cell r="R1364">
            <v>-209013000</v>
          </cell>
          <cell r="S1364">
            <v>-112706070.3620818</v>
          </cell>
          <cell r="T1364">
            <v>-22229057.45337826</v>
          </cell>
          <cell r="U1364">
            <v>-47127722.889679395</v>
          </cell>
          <cell r="V1364">
            <v>-7405287.2206336539</v>
          </cell>
          <cell r="W1364">
            <v>-4788284.2728041178</v>
          </cell>
          <cell r="X1364">
            <v>-14756577.801422805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</row>
        <row r="1365">
          <cell r="J1365">
            <v>1365</v>
          </cell>
        </row>
        <row r="1366">
          <cell r="J1366">
            <v>1366</v>
          </cell>
          <cell r="L1366" t="str">
            <v>General Plant Accumulated Depreciation</v>
          </cell>
        </row>
        <row r="1367">
          <cell r="J1367">
            <v>1367</v>
          </cell>
          <cell r="K1367">
            <v>389</v>
          </cell>
          <cell r="L1367" t="str">
            <v>Land &amp; Land Rights Accum Depr</v>
          </cell>
          <cell r="O1367" t="str">
            <v>M02</v>
          </cell>
          <cell r="Q1367">
            <v>2000</v>
          </cell>
        </row>
        <row r="1368">
          <cell r="J1368">
            <v>1368</v>
          </cell>
          <cell r="L1368" t="str">
            <v>O</v>
          </cell>
          <cell r="M1368" t="str">
            <v>P/T/D Plant</v>
          </cell>
          <cell r="O1368">
            <v>0</v>
          </cell>
          <cell r="P1368" t="str">
            <v>S05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</row>
        <row r="1369">
          <cell r="J1369">
            <v>1369</v>
          </cell>
          <cell r="L1369" t="str">
            <v>O</v>
          </cell>
          <cell r="M1369" t="str">
            <v>Labor P/T/D Total</v>
          </cell>
          <cell r="N1369" t="str">
            <v/>
          </cell>
          <cell r="O1369">
            <v>0</v>
          </cell>
          <cell r="P1369" t="str">
            <v>S21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</row>
        <row r="1370">
          <cell r="J1370">
            <v>1370</v>
          </cell>
          <cell r="L1370" t="str">
            <v>O</v>
          </cell>
          <cell r="M1370" t="str">
            <v>Labor O&amp;M excl A&amp;G</v>
          </cell>
          <cell r="O1370">
            <v>100</v>
          </cell>
          <cell r="P1370" t="str">
            <v>S22</v>
          </cell>
          <cell r="R1370">
            <v>2000</v>
          </cell>
          <cell r="S1370">
            <v>1108.9470445333704</v>
          </cell>
          <cell r="T1370">
            <v>199.09297751339037</v>
          </cell>
          <cell r="U1370">
            <v>415.29491766945233</v>
          </cell>
          <cell r="V1370">
            <v>197.75729310529826</v>
          </cell>
          <cell r="W1370">
            <v>40.075234178983969</v>
          </cell>
          <cell r="X1370">
            <v>38.832532999504728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</row>
        <row r="1371">
          <cell r="J1371">
            <v>1371</v>
          </cell>
          <cell r="L1371" t="str">
            <v>O</v>
          </cell>
          <cell r="M1371" t="str">
            <v>Corporate Cost Allocator</v>
          </cell>
          <cell r="O1371">
            <v>0</v>
          </cell>
          <cell r="P1371" t="str">
            <v>S23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</row>
        <row r="1372">
          <cell r="J1372">
            <v>1372</v>
          </cell>
          <cell r="K1372">
            <v>390</v>
          </cell>
          <cell r="L1372" t="str">
            <v>Structures &amp; Improvements Accum Depr</v>
          </cell>
          <cell r="O1372" t="str">
            <v>M02</v>
          </cell>
          <cell r="Q1372">
            <v>-2526000</v>
          </cell>
        </row>
        <row r="1373">
          <cell r="J1373">
            <v>1373</v>
          </cell>
          <cell r="L1373" t="str">
            <v>O</v>
          </cell>
          <cell r="M1373" t="str">
            <v>P/T/D Plant</v>
          </cell>
          <cell r="O1373">
            <v>0</v>
          </cell>
          <cell r="P1373" t="str">
            <v>S05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</row>
        <row r="1374">
          <cell r="J1374">
            <v>1374</v>
          </cell>
          <cell r="L1374" t="str">
            <v>O</v>
          </cell>
          <cell r="M1374" t="str">
            <v>Labor P/T/D Total</v>
          </cell>
          <cell r="N1374" t="str">
            <v/>
          </cell>
          <cell r="O1374">
            <v>0</v>
          </cell>
          <cell r="P1374" t="str">
            <v>S21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</row>
        <row r="1375">
          <cell r="J1375">
            <v>1375</v>
          </cell>
          <cell r="L1375" t="str">
            <v>O</v>
          </cell>
          <cell r="M1375" t="str">
            <v>Labor O&amp;M excl A&amp;G</v>
          </cell>
          <cell r="O1375">
            <v>100</v>
          </cell>
          <cell r="P1375" t="str">
            <v>S22</v>
          </cell>
          <cell r="R1375">
            <v>-2526000</v>
          </cell>
          <cell r="S1375">
            <v>-1400600.1172456469</v>
          </cell>
          <cell r="T1375">
            <v>-251454.43059941204</v>
          </cell>
          <cell r="U1375">
            <v>-524517.48101651832</v>
          </cell>
          <cell r="V1375">
            <v>-249767.46119199172</v>
          </cell>
          <cell r="W1375">
            <v>-50615.020768056755</v>
          </cell>
          <cell r="X1375">
            <v>-49045.489178374468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</row>
        <row r="1376">
          <cell r="J1376">
            <v>1376</v>
          </cell>
          <cell r="L1376" t="str">
            <v>O</v>
          </cell>
          <cell r="M1376" t="str">
            <v>Corporate Cost Allocator</v>
          </cell>
          <cell r="O1376">
            <v>0</v>
          </cell>
          <cell r="P1376" t="str">
            <v>S23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</row>
        <row r="1377">
          <cell r="J1377">
            <v>1377</v>
          </cell>
          <cell r="K1377">
            <v>391</v>
          </cell>
          <cell r="L1377" t="str">
            <v>Office Furniture &amp; Equipment Accum Depr</v>
          </cell>
          <cell r="O1377" t="str">
            <v>M02</v>
          </cell>
          <cell r="Q1377">
            <v>-7309000</v>
          </cell>
        </row>
        <row r="1378">
          <cell r="J1378">
            <v>1378</v>
          </cell>
          <cell r="L1378" t="str">
            <v>O</v>
          </cell>
          <cell r="M1378" t="str">
            <v>P/T/D Plant</v>
          </cell>
          <cell r="O1378">
            <v>0</v>
          </cell>
          <cell r="P1378" t="str">
            <v>S05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</row>
        <row r="1379">
          <cell r="J1379">
            <v>1379</v>
          </cell>
          <cell r="L1379" t="str">
            <v>O</v>
          </cell>
          <cell r="M1379" t="str">
            <v>Labor P/T/D Total</v>
          </cell>
          <cell r="N1379" t="str">
            <v/>
          </cell>
          <cell r="O1379">
            <v>0</v>
          </cell>
          <cell r="P1379" t="str">
            <v>S21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</row>
        <row r="1380">
          <cell r="J1380">
            <v>1380</v>
          </cell>
          <cell r="L1380" t="str">
            <v>O</v>
          </cell>
          <cell r="M1380" t="str">
            <v>Labor O&amp;M excl A&amp;G</v>
          </cell>
          <cell r="O1380">
            <v>100</v>
          </cell>
          <cell r="P1380" t="str">
            <v>S22</v>
          </cell>
          <cell r="R1380">
            <v>-7309000</v>
          </cell>
          <cell r="S1380">
            <v>-4052646.9742472023</v>
          </cell>
          <cell r="T1380">
            <v>-727585.28632268507</v>
          </cell>
          <cell r="U1380">
            <v>-1517695.2766230134</v>
          </cell>
          <cell r="V1380">
            <v>-722704.02765331254</v>
          </cell>
          <cell r="W1380">
            <v>-146454.94330709692</v>
          </cell>
          <cell r="X1380">
            <v>-141913.49184669001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</row>
        <row r="1381">
          <cell r="J1381">
            <v>1381</v>
          </cell>
          <cell r="L1381" t="str">
            <v>O</v>
          </cell>
          <cell r="M1381" t="str">
            <v>Corporate Cost Allocator</v>
          </cell>
          <cell r="O1381">
            <v>0</v>
          </cell>
          <cell r="P1381" t="str">
            <v>S23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</row>
        <row r="1382">
          <cell r="J1382">
            <v>1382</v>
          </cell>
          <cell r="K1382">
            <v>392</v>
          </cell>
          <cell r="L1382" t="str">
            <v>Transportation Equipment Accum Depr</v>
          </cell>
          <cell r="O1382" t="str">
            <v>M02</v>
          </cell>
          <cell r="Q1382">
            <v>-4183000</v>
          </cell>
        </row>
        <row r="1383">
          <cell r="J1383">
            <v>1383</v>
          </cell>
          <cell r="L1383" t="str">
            <v>O</v>
          </cell>
          <cell r="M1383" t="str">
            <v>P/T/D Plant</v>
          </cell>
          <cell r="O1383">
            <v>0</v>
          </cell>
          <cell r="P1383" t="str">
            <v>S05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</row>
        <row r="1384">
          <cell r="J1384">
            <v>1384</v>
          </cell>
          <cell r="L1384" t="str">
            <v>O</v>
          </cell>
          <cell r="M1384" t="str">
            <v>Labor P/T/D Total</v>
          </cell>
          <cell r="N1384" t="str">
            <v/>
          </cell>
          <cell r="O1384">
            <v>0</v>
          </cell>
          <cell r="P1384" t="str">
            <v>S21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</row>
        <row r="1385">
          <cell r="J1385">
            <v>1385</v>
          </cell>
          <cell r="L1385" t="str">
            <v>O</v>
          </cell>
          <cell r="M1385" t="str">
            <v>Labor O&amp;M excl A&amp;G</v>
          </cell>
          <cell r="O1385">
            <v>100</v>
          </cell>
          <cell r="P1385" t="str">
            <v>S22</v>
          </cell>
          <cell r="R1385">
            <v>-4183000</v>
          </cell>
          <cell r="S1385">
            <v>-2319362.7436415441</v>
          </cell>
          <cell r="T1385">
            <v>-416402.96246925596</v>
          </cell>
          <cell r="U1385">
            <v>-868589.32030565955</v>
          </cell>
          <cell r="V1385">
            <v>-413609.37852973136</v>
          </cell>
          <cell r="W1385">
            <v>-83817.352285344969</v>
          </cell>
          <cell r="X1385">
            <v>-81218.24276846413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</row>
        <row r="1386">
          <cell r="J1386">
            <v>1386</v>
          </cell>
          <cell r="L1386" t="str">
            <v>O</v>
          </cell>
          <cell r="M1386" t="str">
            <v>Corporate Cost Allocator</v>
          </cell>
          <cell r="O1386">
            <v>0</v>
          </cell>
          <cell r="P1386" t="str">
            <v>S23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</row>
        <row r="1387">
          <cell r="J1387">
            <v>1387</v>
          </cell>
          <cell r="K1387">
            <v>393</v>
          </cell>
          <cell r="L1387" t="str">
            <v>Stores Equipment Accum Depr</v>
          </cell>
          <cell r="O1387" t="str">
            <v>M01</v>
          </cell>
          <cell r="Q1387">
            <v>-248000</v>
          </cell>
        </row>
        <row r="1388">
          <cell r="J1388">
            <v>1388</v>
          </cell>
          <cell r="L1388" t="str">
            <v>O</v>
          </cell>
          <cell r="M1388" t="str">
            <v>P/T/D Plant</v>
          </cell>
          <cell r="O1388">
            <v>100</v>
          </cell>
          <cell r="P1388" t="str">
            <v>S05</v>
          </cell>
          <cell r="R1388">
            <v>-248000</v>
          </cell>
          <cell r="S1388">
            <v>-121081.69102328509</v>
          </cell>
          <cell r="T1388">
            <v>-23431.335827228188</v>
          </cell>
          <cell r="U1388">
            <v>-62062.77690005616</v>
          </cell>
          <cell r="V1388">
            <v>-30521.313598626981</v>
          </cell>
          <cell r="W1388">
            <v>-5469.5623924676947</v>
          </cell>
          <cell r="X1388">
            <v>-5433.3202583359071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</row>
        <row r="1389">
          <cell r="J1389">
            <v>1389</v>
          </cell>
          <cell r="L1389" t="str">
            <v>O</v>
          </cell>
          <cell r="M1389" t="str">
            <v>Labor P/T/D Total</v>
          </cell>
          <cell r="N1389" t="str">
            <v/>
          </cell>
          <cell r="O1389">
            <v>0</v>
          </cell>
          <cell r="P1389" t="str">
            <v>S21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</row>
        <row r="1390">
          <cell r="J1390">
            <v>1390</v>
          </cell>
          <cell r="L1390" t="str">
            <v>O</v>
          </cell>
          <cell r="M1390" t="str">
            <v>Labor O&amp;M excl A&amp;G</v>
          </cell>
          <cell r="O1390">
            <v>0</v>
          </cell>
          <cell r="P1390" t="str">
            <v>S22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</row>
        <row r="1391">
          <cell r="J1391">
            <v>1391</v>
          </cell>
          <cell r="L1391" t="str">
            <v>O</v>
          </cell>
          <cell r="M1391" t="str">
            <v>Corporate Cost Allocator</v>
          </cell>
          <cell r="O1391">
            <v>0</v>
          </cell>
          <cell r="P1391" t="str">
            <v>S23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</row>
        <row r="1392">
          <cell r="J1392">
            <v>1392</v>
          </cell>
          <cell r="K1392">
            <v>394</v>
          </cell>
          <cell r="L1392" t="str">
            <v>Tools, Shop &amp; Garage Equipment Accum Depr</v>
          </cell>
          <cell r="O1392" t="str">
            <v>M03</v>
          </cell>
          <cell r="Q1392">
            <v>-1628000</v>
          </cell>
        </row>
        <row r="1393">
          <cell r="J1393">
            <v>1393</v>
          </cell>
          <cell r="L1393" t="str">
            <v>O</v>
          </cell>
          <cell r="M1393" t="str">
            <v>P/T/D Plant</v>
          </cell>
          <cell r="O1393">
            <v>0</v>
          </cell>
          <cell r="P1393" t="str">
            <v>S05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</row>
        <row r="1394">
          <cell r="J1394">
            <v>1394</v>
          </cell>
          <cell r="L1394" t="str">
            <v>O</v>
          </cell>
          <cell r="M1394" t="str">
            <v>Labor P/T/D Total</v>
          </cell>
          <cell r="N1394" t="str">
            <v/>
          </cell>
          <cell r="O1394">
            <v>100</v>
          </cell>
          <cell r="P1394" t="str">
            <v>S21</v>
          </cell>
          <cell r="R1394">
            <v>-1628000</v>
          </cell>
          <cell r="S1394">
            <v>-799036.06229687738</v>
          </cell>
          <cell r="T1394">
            <v>-155013.6295754766</v>
          </cell>
          <cell r="U1394">
            <v>-406309.43282519805</v>
          </cell>
          <cell r="V1394">
            <v>-193706.12762780266</v>
          </cell>
          <cell r="W1394">
            <v>-36056.739755132214</v>
          </cell>
          <cell r="X1394">
            <v>-37878.007919513053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</row>
        <row r="1395">
          <cell r="J1395">
            <v>1395</v>
          </cell>
          <cell r="L1395" t="str">
            <v>O</v>
          </cell>
          <cell r="M1395" t="str">
            <v>Labor O&amp;M excl A&amp;G</v>
          </cell>
          <cell r="O1395">
            <v>0</v>
          </cell>
          <cell r="P1395" t="str">
            <v>S22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</row>
        <row r="1396">
          <cell r="J1396">
            <v>1396</v>
          </cell>
          <cell r="L1396" t="str">
            <v>O</v>
          </cell>
          <cell r="M1396" t="str">
            <v>Corporate Cost Allocator</v>
          </cell>
          <cell r="O1396">
            <v>0</v>
          </cell>
          <cell r="P1396" t="str">
            <v>S23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</row>
        <row r="1397">
          <cell r="J1397">
            <v>1397</v>
          </cell>
          <cell r="K1397">
            <v>395</v>
          </cell>
          <cell r="L1397" t="str">
            <v>Laboratory Equipment Accum Depr</v>
          </cell>
          <cell r="O1397" t="str">
            <v>M03</v>
          </cell>
          <cell r="Q1397">
            <v>-419000</v>
          </cell>
        </row>
        <row r="1398">
          <cell r="J1398">
            <v>1398</v>
          </cell>
          <cell r="L1398" t="str">
            <v>O</v>
          </cell>
          <cell r="M1398" t="str">
            <v>P/T/D Plant</v>
          </cell>
          <cell r="O1398">
            <v>0</v>
          </cell>
          <cell r="P1398" t="str">
            <v>S05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</row>
        <row r="1399">
          <cell r="J1399">
            <v>1399</v>
          </cell>
          <cell r="L1399" t="str">
            <v>O</v>
          </cell>
          <cell r="M1399" t="str">
            <v>Labor P/T/D Total</v>
          </cell>
          <cell r="N1399" t="str">
            <v/>
          </cell>
          <cell r="O1399">
            <v>100</v>
          </cell>
          <cell r="P1399" t="str">
            <v>S21</v>
          </cell>
          <cell r="R1399">
            <v>-419000</v>
          </cell>
          <cell r="S1399">
            <v>-205648.71627911032</v>
          </cell>
          <cell r="T1399">
            <v>-39896.014000076597</v>
          </cell>
          <cell r="U1399">
            <v>-104572.26803056386</v>
          </cell>
          <cell r="V1399">
            <v>-49854.341201504496</v>
          </cell>
          <cell r="W1399">
            <v>-9279.9594332926281</v>
          </cell>
          <cell r="X1399">
            <v>-9748.7010554520693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</row>
        <row r="1400">
          <cell r="J1400">
            <v>1400</v>
          </cell>
          <cell r="L1400" t="str">
            <v>O</v>
          </cell>
          <cell r="M1400" t="str">
            <v>Labor O&amp;M excl A&amp;G</v>
          </cell>
          <cell r="O1400">
            <v>0</v>
          </cell>
          <cell r="P1400" t="str">
            <v>S22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</row>
        <row r="1401">
          <cell r="J1401">
            <v>1401</v>
          </cell>
          <cell r="L1401" t="str">
            <v>O</v>
          </cell>
          <cell r="M1401" t="str">
            <v>Corporate Cost Allocator</v>
          </cell>
          <cell r="O1401">
            <v>0</v>
          </cell>
          <cell r="P1401" t="str">
            <v>S23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</row>
        <row r="1402">
          <cell r="J1402">
            <v>1402</v>
          </cell>
          <cell r="K1402">
            <v>396</v>
          </cell>
          <cell r="L1402" t="str">
            <v>Power Operated Equipment Accum Depr</v>
          </cell>
          <cell r="O1402" t="str">
            <v>M03</v>
          </cell>
          <cell r="Q1402">
            <v>-5412000</v>
          </cell>
        </row>
        <row r="1403">
          <cell r="J1403">
            <v>1403</v>
          </cell>
          <cell r="L1403" t="str">
            <v>O</v>
          </cell>
          <cell r="M1403" t="str">
            <v>P/T/D Plant</v>
          </cell>
          <cell r="O1403">
            <v>0</v>
          </cell>
          <cell r="P1403" t="str">
            <v>S05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</row>
        <row r="1404">
          <cell r="J1404">
            <v>1404</v>
          </cell>
          <cell r="L1404" t="str">
            <v>O</v>
          </cell>
          <cell r="M1404" t="str">
            <v>Labor P/T/D Total</v>
          </cell>
          <cell r="N1404" t="str">
            <v/>
          </cell>
          <cell r="O1404">
            <v>100</v>
          </cell>
          <cell r="P1404" t="str">
            <v>S21</v>
          </cell>
          <cell r="R1404">
            <v>-5412000</v>
          </cell>
          <cell r="S1404">
            <v>-2656255.0179058355</v>
          </cell>
          <cell r="T1404">
            <v>-515315.57939955738</v>
          </cell>
          <cell r="U1404">
            <v>-1350704.330743226</v>
          </cell>
          <cell r="V1404">
            <v>-643941.99184377643</v>
          </cell>
          <cell r="W1404">
            <v>-119864.2970238179</v>
          </cell>
          <cell r="X1404">
            <v>-125918.78308378663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</row>
        <row r="1405">
          <cell r="J1405">
            <v>1405</v>
          </cell>
          <cell r="L1405" t="str">
            <v>O</v>
          </cell>
          <cell r="M1405" t="str">
            <v>Labor O&amp;M excl A&amp;G</v>
          </cell>
          <cell r="O1405">
            <v>0</v>
          </cell>
          <cell r="P1405" t="str">
            <v>S22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</row>
        <row r="1406">
          <cell r="J1406">
            <v>1406</v>
          </cell>
          <cell r="L1406" t="str">
            <v>O</v>
          </cell>
          <cell r="M1406" t="str">
            <v>Corporate Cost Allocator</v>
          </cell>
          <cell r="O1406">
            <v>0</v>
          </cell>
          <cell r="P1406" t="str">
            <v>S23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</row>
        <row r="1407">
          <cell r="J1407">
            <v>1407</v>
          </cell>
          <cell r="K1407">
            <v>397</v>
          </cell>
          <cell r="L1407" t="str">
            <v>Communication Equipment Accum Depr</v>
          </cell>
          <cell r="O1407" t="str">
            <v>M02</v>
          </cell>
          <cell r="Q1407">
            <v>-25691000</v>
          </cell>
        </row>
        <row r="1408">
          <cell r="J1408">
            <v>1408</v>
          </cell>
          <cell r="L1408" t="str">
            <v>O</v>
          </cell>
          <cell r="M1408" t="str">
            <v>P/T/D Plant</v>
          </cell>
          <cell r="O1408">
            <v>0</v>
          </cell>
          <cell r="P1408" t="str">
            <v>S05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</row>
        <row r="1409">
          <cell r="J1409">
            <v>1409</v>
          </cell>
          <cell r="L1409" t="str">
            <v>O</v>
          </cell>
          <cell r="M1409" t="str">
            <v>Labor P/T/D Total</v>
          </cell>
          <cell r="N1409" t="str">
            <v/>
          </cell>
          <cell r="O1409">
            <v>0</v>
          </cell>
          <cell r="P1409" t="str">
            <v>S21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</row>
        <row r="1410">
          <cell r="J1410">
            <v>1410</v>
          </cell>
          <cell r="L1410" t="str">
            <v>O</v>
          </cell>
          <cell r="M1410" t="str">
            <v>Labor O&amp;M excl A&amp;G</v>
          </cell>
          <cell r="O1410">
            <v>100</v>
          </cell>
          <cell r="P1410" t="str">
            <v>S22</v>
          </cell>
          <cell r="R1410">
            <v>-25691000</v>
          </cell>
          <cell r="S1410">
            <v>-14244979.26055341</v>
          </cell>
          <cell r="T1410">
            <v>-2557448.8426482561</v>
          </cell>
          <cell r="U1410">
            <v>-5334670.86492295</v>
          </cell>
          <cell r="V1410">
            <v>-2540291.3085841089</v>
          </cell>
          <cell r="W1410">
            <v>-514786.42064613855</v>
          </cell>
          <cell r="X1410">
            <v>-498823.30264513794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</row>
        <row r="1411">
          <cell r="J1411">
            <v>1411</v>
          </cell>
          <cell r="L1411" t="str">
            <v>O</v>
          </cell>
          <cell r="M1411" t="str">
            <v>Corporate Cost Allocator</v>
          </cell>
          <cell r="O1411">
            <v>0</v>
          </cell>
          <cell r="P1411" t="str">
            <v>S23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</row>
        <row r="1412">
          <cell r="J1412">
            <v>1412</v>
          </cell>
          <cell r="K1412">
            <v>398</v>
          </cell>
          <cell r="L1412" t="str">
            <v>Miscellaneous Equipment Accum Depr</v>
          </cell>
          <cell r="O1412" t="str">
            <v>M02</v>
          </cell>
          <cell r="Q1412">
            <v>49000</v>
          </cell>
        </row>
        <row r="1413">
          <cell r="J1413">
            <v>1413</v>
          </cell>
          <cell r="L1413" t="str">
            <v>O</v>
          </cell>
          <cell r="M1413" t="str">
            <v>P/T/D Plant</v>
          </cell>
          <cell r="O1413">
            <v>0</v>
          </cell>
          <cell r="P1413" t="str">
            <v>S05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</row>
        <row r="1414">
          <cell r="J1414">
            <v>1414</v>
          </cell>
          <cell r="L1414" t="str">
            <v>O</v>
          </cell>
          <cell r="M1414" t="str">
            <v>Labor P/T/D Total</v>
          </cell>
          <cell r="N1414" t="str">
            <v/>
          </cell>
          <cell r="O1414">
            <v>0</v>
          </cell>
          <cell r="P1414" t="str">
            <v>S21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</row>
        <row r="1415">
          <cell r="J1415">
            <v>1415</v>
          </cell>
          <cell r="L1415" t="str">
            <v>O</v>
          </cell>
          <cell r="M1415" t="str">
            <v>Labor O&amp;M excl A&amp;G</v>
          </cell>
          <cell r="O1415">
            <v>100</v>
          </cell>
          <cell r="P1415" t="str">
            <v>S22</v>
          </cell>
          <cell r="R1415">
            <v>49000</v>
          </cell>
          <cell r="S1415">
            <v>27169.202591067577</v>
          </cell>
          <cell r="T1415">
            <v>4877.777949078064</v>
          </cell>
          <cell r="U1415">
            <v>10174.725482901582</v>
          </cell>
          <cell r="V1415">
            <v>4845.0536810798076</v>
          </cell>
          <cell r="W1415">
            <v>981.84323738510716</v>
          </cell>
          <cell r="X1415">
            <v>951.39705848786571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</row>
        <row r="1416">
          <cell r="J1416">
            <v>1416</v>
          </cell>
          <cell r="L1416" t="str">
            <v>O</v>
          </cell>
          <cell r="M1416" t="str">
            <v>Corporate Cost Allocator</v>
          </cell>
          <cell r="O1416">
            <v>0</v>
          </cell>
          <cell r="P1416" t="str">
            <v>S23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</row>
        <row r="1417">
          <cell r="J1417">
            <v>1417</v>
          </cell>
          <cell r="L1417" t="str">
            <v>Total General Plant Accumulated Depreciation</v>
          </cell>
          <cell r="P1417" t="str">
            <v/>
          </cell>
          <cell r="Q1417">
            <v>-47365000</v>
          </cell>
          <cell r="R1417">
            <v>-47365000</v>
          </cell>
          <cell r="S1417">
            <v>-25771332.433557309</v>
          </cell>
          <cell r="T1417">
            <v>-4681471.2099153567</v>
          </cell>
          <cell r="U1417">
            <v>-10158531.730966615</v>
          </cell>
          <cell r="V1417">
            <v>-4839353.1392566701</v>
          </cell>
          <cell r="W1417">
            <v>-965322.37713978346</v>
          </cell>
          <cell r="X1417">
            <v>-948989.10916426685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</row>
        <row r="1418">
          <cell r="J1418">
            <v>1418</v>
          </cell>
        </row>
        <row r="1419">
          <cell r="J1419">
            <v>1419</v>
          </cell>
          <cell r="L1419" t="str">
            <v>Total Accumulated Reserve for Depreciation</v>
          </cell>
          <cell r="P1419" t="str">
            <v/>
          </cell>
          <cell r="Q1419">
            <v>-709015000</v>
          </cell>
          <cell r="R1419">
            <v>-709015000</v>
          </cell>
          <cell r="S1419">
            <v>-344012075.21248585</v>
          </cell>
          <cell r="T1419">
            <v>-65259244.421342209</v>
          </cell>
          <cell r="U1419">
            <v>-174624722.04011622</v>
          </cell>
          <cell r="V1419">
            <v>-92469383.982190415</v>
          </cell>
          <cell r="W1419">
            <v>-15177145.118378188</v>
          </cell>
          <cell r="X1419">
            <v>-17472429.225487258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</row>
        <row r="1420">
          <cell r="J1420">
            <v>1420</v>
          </cell>
        </row>
        <row r="1421">
          <cell r="J1421">
            <v>1421</v>
          </cell>
          <cell r="L1421" t="str">
            <v>Amortization</v>
          </cell>
        </row>
        <row r="1422">
          <cell r="J1422">
            <v>1422</v>
          </cell>
          <cell r="K1422" t="str">
            <v>Accum Amortization of Limited Term Plant  303000</v>
          </cell>
          <cell r="O1422" t="str">
            <v>Manual Input</v>
          </cell>
          <cell r="Q1422">
            <v>-500000</v>
          </cell>
        </row>
        <row r="1423">
          <cell r="J1423">
            <v>1423</v>
          </cell>
          <cell r="L1423" t="str">
            <v>P</v>
          </cell>
          <cell r="M1423" t="str">
            <v xml:space="preserve">Production Plant </v>
          </cell>
          <cell r="O1423">
            <v>0</v>
          </cell>
          <cell r="P1423" t="str">
            <v>S01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</row>
        <row r="1424">
          <cell r="J1424">
            <v>1424</v>
          </cell>
          <cell r="L1424" t="str">
            <v>T</v>
          </cell>
          <cell r="M1424" t="str">
            <v>Transmission Plant</v>
          </cell>
          <cell r="N1424" t="str">
            <v/>
          </cell>
          <cell r="O1424">
            <v>397</v>
          </cell>
          <cell r="P1424" t="str">
            <v>S02</v>
          </cell>
          <cell r="R1424">
            <v>-419661.73361522198</v>
          </cell>
          <cell r="S1424">
            <v>-190561.17141217057</v>
          </cell>
          <cell r="T1424">
            <v>-35554.955818768802</v>
          </cell>
          <cell r="U1424">
            <v>-108790.18873182723</v>
          </cell>
          <cell r="V1424">
            <v>-74380.253906267404</v>
          </cell>
          <cell r="W1424">
            <v>-8737.0199308780902</v>
          </cell>
          <cell r="X1424">
            <v>-1638.1438153098773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</row>
        <row r="1425">
          <cell r="J1425">
            <v>1425</v>
          </cell>
          <cell r="L1425" t="str">
            <v>D</v>
          </cell>
          <cell r="M1425" t="str">
            <v>Distribution Plant</v>
          </cell>
          <cell r="O1425">
            <v>56</v>
          </cell>
          <cell r="P1425" t="str">
            <v>S03</v>
          </cell>
          <cell r="R1425">
            <v>-59196.617336152223</v>
          </cell>
          <cell r="S1425">
            <v>-32125.172861101681</v>
          </cell>
          <cell r="T1425">
            <v>-6514.0673538398269</v>
          </cell>
          <cell r="U1425">
            <v>-13966.511889623556</v>
          </cell>
          <cell r="V1425">
            <v>-2172.2461725483499</v>
          </cell>
          <cell r="W1425">
            <v>-1422.1826775478262</v>
          </cell>
          <cell r="X1425">
            <v>-2996.4363814909816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</row>
        <row r="1426">
          <cell r="J1426">
            <v>1426</v>
          </cell>
          <cell r="L1426" t="str">
            <v>O</v>
          </cell>
          <cell r="M1426" t="str">
            <v>Corporate Cost Allocator</v>
          </cell>
          <cell r="O1426">
            <v>20</v>
          </cell>
          <cell r="P1426" t="str">
            <v>S23</v>
          </cell>
          <cell r="R1426">
            <v>-21141.649048625794</v>
          </cell>
          <cell r="S1426">
            <v>-12737.813681333446</v>
          </cell>
          <cell r="T1426">
            <v>-2208.8661428514956</v>
          </cell>
          <cell r="U1426">
            <v>-3656.6508181744466</v>
          </cell>
          <cell r="V1426">
            <v>-1829.2979040829562</v>
          </cell>
          <cell r="W1426">
            <v>-391.29832166747582</v>
          </cell>
          <cell r="X1426">
            <v>-317.72218051597304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</row>
        <row r="1427">
          <cell r="J1427">
            <v>1427</v>
          </cell>
          <cell r="K1427" t="str">
            <v>Accum Amortization of Intangible Plant-Software</v>
          </cell>
          <cell r="O1427" t="str">
            <v>M04</v>
          </cell>
          <cell r="Q1427">
            <v>-9312000</v>
          </cell>
        </row>
        <row r="1428">
          <cell r="J1428">
            <v>1428</v>
          </cell>
          <cell r="L1428" t="str">
            <v>O</v>
          </cell>
          <cell r="M1428" t="str">
            <v>P/T/D Plant</v>
          </cell>
          <cell r="O1428">
            <v>0</v>
          </cell>
          <cell r="P1428" t="str">
            <v>S05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</row>
        <row r="1429">
          <cell r="J1429">
            <v>1429</v>
          </cell>
          <cell r="L1429" t="str">
            <v>O</v>
          </cell>
          <cell r="M1429" t="str">
            <v>Labor P/T/D Total</v>
          </cell>
          <cell r="N1429" t="str">
            <v/>
          </cell>
          <cell r="O1429">
            <v>0</v>
          </cell>
          <cell r="P1429" t="str">
            <v>S21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</row>
        <row r="1430">
          <cell r="J1430">
            <v>1430</v>
          </cell>
          <cell r="L1430" t="str">
            <v>O</v>
          </cell>
          <cell r="M1430" t="str">
            <v>Labor O&amp;M excl A&amp;G</v>
          </cell>
          <cell r="O1430">
            <v>0</v>
          </cell>
          <cell r="P1430" t="str">
            <v>S22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</row>
        <row r="1431">
          <cell r="J1431">
            <v>1431</v>
          </cell>
          <cell r="L1431" t="str">
            <v>O</v>
          </cell>
          <cell r="M1431" t="str">
            <v>P/T/D/G Plant</v>
          </cell>
          <cell r="O1431">
            <v>100</v>
          </cell>
          <cell r="P1431" t="str">
            <v>S06</v>
          </cell>
          <cell r="R1431">
            <v>-9312000</v>
          </cell>
          <cell r="S1431">
            <v>-4581324.4141057143</v>
          </cell>
          <cell r="T1431">
            <v>-882556.16405897029</v>
          </cell>
          <cell r="U1431">
            <v>-2308050.7625691425</v>
          </cell>
          <cell r="V1431">
            <v>-1132822.4024247453</v>
          </cell>
          <cell r="W1431">
            <v>-204335.41594713094</v>
          </cell>
          <cell r="X1431">
            <v>-202910.84089429726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</row>
        <row r="1432">
          <cell r="J1432">
            <v>1432</v>
          </cell>
          <cell r="K1432" t="str">
            <v>Accum Amortization of Hydro Relicensing Costs  302000</v>
          </cell>
          <cell r="O1432" t="str">
            <v>P01</v>
          </cell>
          <cell r="Q1432">
            <v>-4049000</v>
          </cell>
        </row>
        <row r="1433">
          <cell r="J1433">
            <v>1433</v>
          </cell>
          <cell r="L1433" t="str">
            <v>P</v>
          </cell>
          <cell r="M1433" t="str">
            <v>Coincident Peak</v>
          </cell>
          <cell r="N1433" t="str">
            <v/>
          </cell>
          <cell r="O1433">
            <v>34.200000000000003</v>
          </cell>
          <cell r="P1433" t="str">
            <v>D01</v>
          </cell>
          <cell r="R1433">
            <v>-1384758</v>
          </cell>
          <cell r="S1433">
            <v>-690079.53815563151</v>
          </cell>
          <cell r="T1433">
            <v>-107790.1890940283</v>
          </cell>
          <cell r="U1433">
            <v>-338728.2982480565</v>
          </cell>
          <cell r="V1433">
            <v>-220177.74713585759</v>
          </cell>
          <cell r="W1433">
            <v>-24616.213239950237</v>
          </cell>
          <cell r="X1433">
            <v>-3366.0141264758586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</row>
        <row r="1434">
          <cell r="J1434">
            <v>1434</v>
          </cell>
          <cell r="L1434" t="str">
            <v>P</v>
          </cell>
          <cell r="M1434" t="str">
            <v>Generation Level Consumption</v>
          </cell>
          <cell r="N1434" t="str">
            <v/>
          </cell>
          <cell r="O1434">
            <v>65.8</v>
          </cell>
          <cell r="P1434" t="str">
            <v>E02</v>
          </cell>
          <cell r="R1434">
            <v>-2664242</v>
          </cell>
          <cell r="S1434">
            <v>-1148501.6839181546</v>
          </cell>
          <cell r="T1434">
            <v>-235252.80143555446</v>
          </cell>
          <cell r="U1434">
            <v>-710906.29764541844</v>
          </cell>
          <cell r="V1434">
            <v>-497461.30342053308</v>
          </cell>
          <cell r="W1434">
            <v>-59680.711798635697</v>
          </cell>
          <cell r="X1434">
            <v>-12439.20178170412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</row>
        <row r="1435">
          <cell r="J1435">
            <v>1435</v>
          </cell>
          <cell r="L1435" t="str">
            <v>P</v>
          </cell>
          <cell r="M1435" t="str">
            <v>Open</v>
          </cell>
          <cell r="N1435" t="str">
            <v/>
          </cell>
          <cell r="O1435">
            <v>0</v>
          </cell>
          <cell r="P1435" t="str">
            <v>xxx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</row>
        <row r="1436">
          <cell r="J1436">
            <v>1436</v>
          </cell>
          <cell r="L1436" t="str">
            <v>P</v>
          </cell>
          <cell r="M1436" t="str">
            <v>Open</v>
          </cell>
          <cell r="N1436" t="str">
            <v/>
          </cell>
          <cell r="O1436">
            <v>0</v>
          </cell>
          <cell r="P1436" t="str">
            <v>xxx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</row>
        <row r="1437">
          <cell r="J1437">
            <v>1437</v>
          </cell>
          <cell r="K1437" t="str">
            <v xml:space="preserve"> Open</v>
          </cell>
          <cell r="Q1437">
            <v>0</v>
          </cell>
        </row>
        <row r="1438">
          <cell r="J1438">
            <v>1438</v>
          </cell>
          <cell r="L1438" t="str">
            <v>T</v>
          </cell>
          <cell r="M1438" t="str">
            <v>Transmission Plant</v>
          </cell>
          <cell r="N1438" t="str">
            <v/>
          </cell>
          <cell r="O1438">
            <v>100</v>
          </cell>
          <cell r="P1438" t="str">
            <v>S02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</row>
        <row r="1439">
          <cell r="J1439">
            <v>1439</v>
          </cell>
          <cell r="L1439" t="str">
            <v>Total Amortization</v>
          </cell>
          <cell r="N1439" t="str">
            <v/>
          </cell>
          <cell r="Q1439">
            <v>-13861000</v>
          </cell>
          <cell r="R1439">
            <v>-13861000</v>
          </cell>
          <cell r="S1439">
            <v>-6655329.7941341056</v>
          </cell>
          <cell r="T1439">
            <v>-1269877.0439040132</v>
          </cell>
          <cell r="U1439">
            <v>-3484098.7099022423</v>
          </cell>
          <cell r="V1439">
            <v>-1928843.2509640348</v>
          </cell>
          <cell r="W1439">
            <v>-299182.84191581031</v>
          </cell>
          <cell r="X1439">
            <v>-223668.35917979409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</row>
        <row r="1440">
          <cell r="J1440">
            <v>1440</v>
          </cell>
        </row>
        <row r="1441">
          <cell r="J1441">
            <v>1441</v>
          </cell>
          <cell r="K1441" t="str">
            <v>Total Net Plant</v>
          </cell>
          <cell r="N1441" t="str">
            <v/>
          </cell>
          <cell r="Q1441">
            <v>1307994000</v>
          </cell>
          <cell r="R1441">
            <v>1307994000</v>
          </cell>
          <cell r="S1441">
            <v>646004471.54949617</v>
          </cell>
          <cell r="T1441">
            <v>125293366.95943825</v>
          </cell>
          <cell r="U1441">
            <v>326003928.61295193</v>
          </cell>
          <cell r="V1441">
            <v>156285977.57014114</v>
          </cell>
          <cell r="W1441">
            <v>29014507.319943223</v>
          </cell>
          <cell r="X1441">
            <v>25391747.988029268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</row>
        <row r="1442">
          <cell r="J1442">
            <v>1442</v>
          </cell>
        </row>
        <row r="1443">
          <cell r="J1443">
            <v>1443</v>
          </cell>
          <cell r="K1443" t="str">
            <v>Total Customer Advances / Deposits</v>
          </cell>
          <cell r="O1443" t="str">
            <v>Input</v>
          </cell>
          <cell r="Q1443">
            <v>-4013000</v>
          </cell>
        </row>
        <row r="1444">
          <cell r="J1444">
            <v>1444</v>
          </cell>
          <cell r="L1444" t="str">
            <v>D</v>
          </cell>
          <cell r="M1444" t="str">
            <v>Account 369</v>
          </cell>
          <cell r="N1444" t="str">
            <v/>
          </cell>
          <cell r="O1444">
            <v>100</v>
          </cell>
          <cell r="P1444" t="str">
            <v>S13</v>
          </cell>
          <cell r="R1444">
            <v>-4013000</v>
          </cell>
          <cell r="S1444">
            <v>-3442894.5934234103</v>
          </cell>
          <cell r="T1444">
            <v>-483862.52569063491</v>
          </cell>
          <cell r="U1444">
            <v>-45220.756861808426</v>
          </cell>
          <cell r="V1444">
            <v>0</v>
          </cell>
          <cell r="W1444">
            <v>-41022.124024146266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</row>
        <row r="1445">
          <cell r="J1445">
            <v>1445</v>
          </cell>
          <cell r="K1445" t="str">
            <v>Total Accumulated Deferred Investment Tax Credits</v>
          </cell>
          <cell r="O1445" t="str">
            <v>Input</v>
          </cell>
          <cell r="Q1445">
            <v>0</v>
          </cell>
        </row>
        <row r="1446">
          <cell r="J1446">
            <v>1446</v>
          </cell>
          <cell r="L1446" t="str">
            <v>x</v>
          </cell>
          <cell r="M1446" t="str">
            <v>Open</v>
          </cell>
          <cell r="N1446" t="str">
            <v/>
          </cell>
          <cell r="O1446">
            <v>100</v>
          </cell>
          <cell r="P1446" t="str">
            <v>xxx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</row>
        <row r="1447">
          <cell r="J1447">
            <v>1447</v>
          </cell>
          <cell r="K1447" t="str">
            <v>Total Accumulated Deferred Income Taxes</v>
          </cell>
          <cell r="O1447" t="str">
            <v>Manual Input</v>
          </cell>
          <cell r="Q1447">
            <v>-206296000</v>
          </cell>
        </row>
        <row r="1448">
          <cell r="J1448">
            <v>1448</v>
          </cell>
          <cell r="L1448" t="str">
            <v>P</v>
          </cell>
          <cell r="M1448" t="str">
            <v xml:space="preserve">Production Plant </v>
          </cell>
          <cell r="O1448">
            <v>92.367999999999995</v>
          </cell>
          <cell r="P1448" t="str">
            <v>S01</v>
          </cell>
          <cell r="R1448">
            <v>-85305647.131505325</v>
          </cell>
          <cell r="S1448">
            <v>-38735826.365235418</v>
          </cell>
          <cell r="T1448">
            <v>-7227341.1462220065</v>
          </cell>
          <cell r="U1448">
            <v>-22114042.591827352</v>
          </cell>
          <cell r="V1448">
            <v>-15119452.609175589</v>
          </cell>
          <cell r="W1448">
            <v>-1775994.9966936444</v>
          </cell>
          <cell r="X1448">
            <v>-332989.42235131032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</row>
        <row r="1449">
          <cell r="J1449">
            <v>1449</v>
          </cell>
          <cell r="L1449" t="str">
            <v>T</v>
          </cell>
          <cell r="M1449" t="str">
            <v>Transmission Plant</v>
          </cell>
          <cell r="N1449" t="str">
            <v/>
          </cell>
          <cell r="O1449">
            <v>34.75</v>
          </cell>
          <cell r="P1449" t="str">
            <v>S02</v>
          </cell>
          <cell r="R1449">
            <v>-32093054.280917745</v>
          </cell>
          <cell r="S1449">
            <v>-14572903.670014845</v>
          </cell>
          <cell r="T1449">
            <v>-2719016.3783043348</v>
          </cell>
          <cell r="U1449">
            <v>-8319580.1583448853</v>
          </cell>
          <cell r="V1449">
            <v>-5688127.6867405558</v>
          </cell>
          <cell r="W1449">
            <v>-668151.59075766674</v>
          </cell>
          <cell r="X1449">
            <v>-125274.79675545679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</row>
        <row r="1450">
          <cell r="J1450">
            <v>1450</v>
          </cell>
          <cell r="L1450" t="str">
            <v>D</v>
          </cell>
          <cell r="M1450" t="str">
            <v>Distribution Plant</v>
          </cell>
          <cell r="O1450">
            <v>74.015000000000001</v>
          </cell>
          <cell r="P1450" t="str">
            <v>S03</v>
          </cell>
          <cell r="R1450">
            <v>-68355896.765528828</v>
          </cell>
          <cell r="S1450">
            <v>-37095785.172966965</v>
          </cell>
          <cell r="T1450">
            <v>-7521965.5378997643</v>
          </cell>
          <cell r="U1450">
            <v>-16127499.97994554</v>
          </cell>
          <cell r="V1450">
            <v>-2508350.0004205089</v>
          </cell>
          <cell r="W1450">
            <v>-1642231.8818682272</v>
          </cell>
          <cell r="X1450">
            <v>-3460064.192427821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</row>
        <row r="1451">
          <cell r="J1451">
            <v>1451</v>
          </cell>
          <cell r="L1451" t="str">
            <v>O</v>
          </cell>
          <cell r="M1451" t="str">
            <v>General Plant</v>
          </cell>
          <cell r="O1451">
            <v>22.241999999999997</v>
          </cell>
          <cell r="P1451" t="str">
            <v>S04</v>
          </cell>
          <cell r="R1451">
            <v>-20541401.822048124</v>
          </cell>
          <cell r="S1451">
            <v>-11096337.488515088</v>
          </cell>
          <cell r="T1451">
            <v>-2024792.0387830101</v>
          </cell>
          <cell r="U1451">
            <v>-4458391.1620763773</v>
          </cell>
          <cell r="V1451">
            <v>-2124240.3039017497</v>
          </cell>
          <cell r="W1451">
            <v>-421295.99737271742</v>
          </cell>
          <cell r="X1451">
            <v>-416344.83139918331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</row>
        <row r="1452">
          <cell r="J1452">
            <v>1452</v>
          </cell>
          <cell r="K1452" t="str">
            <v xml:space="preserve">  Gain on Sale of General Office Building</v>
          </cell>
          <cell r="O1452" t="str">
            <v>M04</v>
          </cell>
          <cell r="P1452" t="str">
            <v/>
          </cell>
          <cell r="Q1452">
            <v>0</v>
          </cell>
        </row>
        <row r="1453">
          <cell r="J1453">
            <v>1453</v>
          </cell>
          <cell r="L1453" t="str">
            <v>O</v>
          </cell>
          <cell r="M1453" t="str">
            <v>P/T/D Plant</v>
          </cell>
          <cell r="O1453">
            <v>0</v>
          </cell>
          <cell r="P1453" t="str">
            <v>S05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</row>
        <row r="1454">
          <cell r="J1454">
            <v>1454</v>
          </cell>
          <cell r="L1454" t="str">
            <v>O</v>
          </cell>
          <cell r="M1454" t="str">
            <v>Labor P/T/D Total</v>
          </cell>
          <cell r="N1454" t="str">
            <v/>
          </cell>
          <cell r="O1454">
            <v>0</v>
          </cell>
          <cell r="P1454" t="str">
            <v>S21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</row>
        <row r="1455">
          <cell r="J1455">
            <v>1455</v>
          </cell>
          <cell r="L1455" t="str">
            <v>O</v>
          </cell>
          <cell r="M1455" t="str">
            <v>Labor O&amp;M excl A&amp;G</v>
          </cell>
          <cell r="O1455">
            <v>0</v>
          </cell>
          <cell r="P1455" t="str">
            <v>S22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</row>
        <row r="1456">
          <cell r="J1456">
            <v>1456</v>
          </cell>
          <cell r="L1456" t="str">
            <v>O</v>
          </cell>
          <cell r="M1456" t="str">
            <v>General Plant</v>
          </cell>
          <cell r="O1456">
            <v>100</v>
          </cell>
          <cell r="P1456" t="str">
            <v>S04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</row>
        <row r="1457">
          <cell r="J1457">
            <v>1457</v>
          </cell>
          <cell r="K1457" t="str">
            <v xml:space="preserve">  Montana Lease Deferred Balance</v>
          </cell>
          <cell r="O1457" t="str">
            <v>P01</v>
          </cell>
          <cell r="P1457" t="str">
            <v/>
          </cell>
          <cell r="Q1457">
            <v>2368000</v>
          </cell>
        </row>
        <row r="1458">
          <cell r="J1458">
            <v>1458</v>
          </cell>
          <cell r="L1458" t="str">
            <v>P</v>
          </cell>
          <cell r="M1458" t="str">
            <v>Coincident Peak</v>
          </cell>
          <cell r="N1458" t="str">
            <v/>
          </cell>
          <cell r="O1458">
            <v>34.200000000000003</v>
          </cell>
          <cell r="P1458" t="str">
            <v>D01</v>
          </cell>
          <cell r="R1458">
            <v>809856</v>
          </cell>
          <cell r="S1458">
            <v>403583.19248025079</v>
          </cell>
          <cell r="T1458">
            <v>63039.557365932094</v>
          </cell>
          <cell r="U1458">
            <v>198100.42238858921</v>
          </cell>
          <cell r="V1458">
            <v>128767.82050326272</v>
          </cell>
          <cell r="W1458">
            <v>14396.441825685888</v>
          </cell>
          <cell r="X1458">
            <v>1968.565436279287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</row>
        <row r="1459">
          <cell r="J1459">
            <v>1459</v>
          </cell>
          <cell r="L1459" t="str">
            <v>P</v>
          </cell>
          <cell r="M1459" t="str">
            <v>Generation Level Consumption</v>
          </cell>
          <cell r="N1459" t="str">
            <v/>
          </cell>
          <cell r="O1459">
            <v>65.8</v>
          </cell>
          <cell r="P1459" t="str">
            <v>E02</v>
          </cell>
          <cell r="R1459">
            <v>1558144</v>
          </cell>
          <cell r="S1459">
            <v>671684.85737668304</v>
          </cell>
          <cell r="T1459">
            <v>137584.25137055889</v>
          </cell>
          <cell r="U1459">
            <v>415763.42623471247</v>
          </cell>
          <cell r="V1459">
            <v>290933.16040993389</v>
          </cell>
          <cell r="W1459">
            <v>34903.414556475509</v>
          </cell>
          <cell r="X1459">
            <v>7274.8900516362937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</row>
        <row r="1460">
          <cell r="J1460">
            <v>1460</v>
          </cell>
          <cell r="L1460" t="str">
            <v>P</v>
          </cell>
          <cell r="M1460" t="str">
            <v>Open</v>
          </cell>
          <cell r="N1460" t="str">
            <v/>
          </cell>
          <cell r="O1460">
            <v>0</v>
          </cell>
          <cell r="P1460" t="str">
            <v>xxx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</row>
        <row r="1461">
          <cell r="J1461">
            <v>1461</v>
          </cell>
          <cell r="L1461" t="str">
            <v>P</v>
          </cell>
          <cell r="M1461" t="str">
            <v>Open</v>
          </cell>
          <cell r="N1461" t="str">
            <v/>
          </cell>
          <cell r="O1461">
            <v>0</v>
          </cell>
          <cell r="P1461" t="str">
            <v>xxx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</row>
        <row r="1462">
          <cell r="J1462">
            <v>1462</v>
          </cell>
          <cell r="K1462" t="str">
            <v xml:space="preserve">  Lancaster Deferred Balance</v>
          </cell>
          <cell r="O1462" t="str">
            <v>P01</v>
          </cell>
          <cell r="P1462" t="str">
            <v/>
          </cell>
          <cell r="Q1462">
            <v>3287000</v>
          </cell>
        </row>
        <row r="1463">
          <cell r="J1463">
            <v>1463</v>
          </cell>
          <cell r="L1463" t="str">
            <v>P</v>
          </cell>
          <cell r="M1463" t="str">
            <v>Coincident Peak</v>
          </cell>
          <cell r="N1463" t="str">
            <v/>
          </cell>
          <cell r="O1463">
            <v>34.200000000000003</v>
          </cell>
          <cell r="P1463" t="str">
            <v>D01</v>
          </cell>
          <cell r="R1463">
            <v>1124154.0000000002</v>
          </cell>
          <cell r="S1463">
            <v>560210.28449433472</v>
          </cell>
          <cell r="T1463">
            <v>87504.655853808625</v>
          </cell>
          <cell r="U1463">
            <v>274981.45624632301</v>
          </cell>
          <cell r="V1463">
            <v>178741.48057188542</v>
          </cell>
          <cell r="W1463">
            <v>19983.574443002333</v>
          </cell>
          <cell r="X1463">
            <v>2732.5483906461227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</row>
        <row r="1464">
          <cell r="J1464">
            <v>1464</v>
          </cell>
          <cell r="L1464" t="str">
            <v>P</v>
          </cell>
          <cell r="M1464" t="str">
            <v>Generation Level Consumption</v>
          </cell>
          <cell r="N1464" t="str">
            <v/>
          </cell>
          <cell r="O1464">
            <v>65.8</v>
          </cell>
          <cell r="P1464" t="str">
            <v>E02</v>
          </cell>
          <cell r="R1464">
            <v>2162846</v>
          </cell>
          <cell r="S1464">
            <v>932359.85059001576</v>
          </cell>
          <cell r="T1464">
            <v>190979.49081715671</v>
          </cell>
          <cell r="U1464">
            <v>577117.55998036312</v>
          </cell>
          <cell r="V1464">
            <v>403841.76447105268</v>
          </cell>
          <cell r="W1464">
            <v>48449.123161796873</v>
          </cell>
          <cell r="X1464">
            <v>10098.210979615076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</row>
        <row r="1465">
          <cell r="J1465">
            <v>1465</v>
          </cell>
          <cell r="L1465" t="str">
            <v>P</v>
          </cell>
          <cell r="M1465" t="str">
            <v>Open</v>
          </cell>
          <cell r="N1465" t="str">
            <v/>
          </cell>
          <cell r="O1465">
            <v>0</v>
          </cell>
          <cell r="P1465" t="str">
            <v>xxx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</row>
        <row r="1466">
          <cell r="J1466">
            <v>1466</v>
          </cell>
          <cell r="L1466" t="str">
            <v>P</v>
          </cell>
          <cell r="M1466" t="str">
            <v>Open</v>
          </cell>
          <cell r="N1466" t="str">
            <v/>
          </cell>
          <cell r="O1466">
            <v>0</v>
          </cell>
          <cell r="P1466" t="str">
            <v>xxx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</row>
        <row r="1467">
          <cell r="J1467">
            <v>1467</v>
          </cell>
          <cell r="K1467" t="str">
            <v xml:space="preserve">  Open</v>
          </cell>
          <cell r="Q1467">
            <v>0</v>
          </cell>
        </row>
        <row r="1468">
          <cell r="J1468">
            <v>1468</v>
          </cell>
          <cell r="K1468" t="str">
            <v xml:space="preserve">  Open</v>
          </cell>
          <cell r="Q1468">
            <v>0</v>
          </cell>
        </row>
        <row r="1469">
          <cell r="J1469">
            <v>1469</v>
          </cell>
          <cell r="K1469" t="str">
            <v>Total Working Capital</v>
          </cell>
          <cell r="Q1469">
            <v>21932000</v>
          </cell>
        </row>
        <row r="1470">
          <cell r="J1470">
            <v>1470</v>
          </cell>
          <cell r="L1470" t="str">
            <v>O</v>
          </cell>
          <cell r="M1470" t="str">
            <v>P/T/D/G Plant</v>
          </cell>
          <cell r="N1470" t="str">
            <v/>
          </cell>
          <cell r="O1470">
            <v>100</v>
          </cell>
          <cell r="P1470" t="str">
            <v>S06</v>
          </cell>
          <cell r="R1470">
            <v>21932000</v>
          </cell>
          <cell r="S1470">
            <v>10790121.0320196</v>
          </cell>
          <cell r="T1470">
            <v>2078632.0650924975</v>
          </cell>
          <cell r="U1470">
            <v>5436014.7470646948</v>
          </cell>
          <cell r="V1470">
            <v>2668069.2579445355</v>
          </cell>
          <cell r="W1470">
            <v>481259.05740469025</v>
          </cell>
          <cell r="X1470">
            <v>477903.8404739828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</row>
        <row r="1471">
          <cell r="J1471">
            <v>1471</v>
          </cell>
          <cell r="K1471" t="str">
            <v>Total Miscellaneous Rate Base Items</v>
          </cell>
          <cell r="N1471" t="str">
            <v/>
          </cell>
          <cell r="Q1471">
            <v>-182722000</v>
          </cell>
          <cell r="R1471">
            <v>-182722000.00000003</v>
          </cell>
          <cell r="S1471">
            <v>-91585788.073194832</v>
          </cell>
          <cell r="T1471">
            <v>-17419237.606399801</v>
          </cell>
          <cell r="U1471">
            <v>-44162757.037141278</v>
          </cell>
          <cell r="V1471">
            <v>-21769817.116337731</v>
          </cell>
          <cell r="W1471">
            <v>-3949704.9793247515</v>
          </cell>
          <cell r="X1471">
            <v>-3834695.1876016115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</row>
        <row r="1472">
          <cell r="J1472">
            <v>1472</v>
          </cell>
        </row>
        <row r="1473">
          <cell r="J1473">
            <v>1473</v>
          </cell>
          <cell r="K1473" t="str">
            <v>Total Rate Base</v>
          </cell>
          <cell r="N1473" t="str">
            <v/>
          </cell>
          <cell r="Q1473">
            <v>1125272000</v>
          </cell>
          <cell r="R1473">
            <v>1125272000</v>
          </cell>
          <cell r="S1473">
            <v>554418683.47630131</v>
          </cell>
          <cell r="T1473">
            <v>107874129.35303845</v>
          </cell>
          <cell r="U1473">
            <v>281841171.57581067</v>
          </cell>
          <cell r="V1473">
            <v>134516160.45380342</v>
          </cell>
          <cell r="W1473">
            <v>25064802.340618473</v>
          </cell>
          <cell r="X1473">
            <v>21557052.800427657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</row>
        <row r="1474">
          <cell r="J1474">
            <v>1474</v>
          </cell>
        </row>
        <row r="1475">
          <cell r="J1475">
            <v>1475</v>
          </cell>
          <cell r="M1475" t="str">
            <v>Rate of Return</v>
          </cell>
          <cell r="Q1475">
            <v>8.3444713811416257E-2</v>
          </cell>
          <cell r="R1475">
            <v>8.3444713811416257E-2</v>
          </cell>
          <cell r="S1475">
            <v>5.6169512356085853E-2</v>
          </cell>
          <cell r="T1475">
            <v>0.16045318136190462</v>
          </cell>
          <cell r="U1475">
            <v>0.11866810944165619</v>
          </cell>
          <cell r="V1475">
            <v>6.1636900000465907E-2</v>
          </cell>
          <cell r="W1475">
            <v>7.5777391262761895E-2</v>
          </cell>
          <cell r="X1475">
            <v>8.4044986367846755E-2</v>
          </cell>
        </row>
        <row r="1476">
          <cell r="J1476">
            <v>1476</v>
          </cell>
        </row>
        <row r="1477">
          <cell r="J1477">
            <v>1477</v>
          </cell>
          <cell r="K1477" t="str">
            <v>Non-Additive Items</v>
          </cell>
        </row>
        <row r="1478">
          <cell r="J1478">
            <v>1478</v>
          </cell>
          <cell r="K1478" t="str">
            <v xml:space="preserve">  Interest</v>
          </cell>
          <cell r="Q1478">
            <v>34872000</v>
          </cell>
        </row>
        <row r="1479">
          <cell r="J1479">
            <v>1479</v>
          </cell>
          <cell r="L1479" t="str">
            <v>R</v>
          </cell>
          <cell r="M1479" t="str">
            <v>Rate Base</v>
          </cell>
          <cell r="N1479" t="str">
            <v/>
          </cell>
          <cell r="O1479">
            <v>100</v>
          </cell>
          <cell r="P1479" t="str">
            <v>S07</v>
          </cell>
          <cell r="R1479">
            <v>34872000</v>
          </cell>
          <cell r="S1479">
            <v>17181346.670125604</v>
          </cell>
          <cell r="T1479">
            <v>3343002.0819847616</v>
          </cell>
          <cell r="U1479">
            <v>8734213.0037819017</v>
          </cell>
          <cell r="V1479">
            <v>4168634.3811496533</v>
          </cell>
          <cell r="W1479">
            <v>776754.23117437144</v>
          </cell>
          <cell r="X1479">
            <v>668049.63178370497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</row>
        <row r="1480">
          <cell r="J1480">
            <v>1480</v>
          </cell>
        </row>
        <row r="1481">
          <cell r="J1481">
            <v>1481</v>
          </cell>
          <cell r="K1481" t="str">
            <v>Operating and Maintenance Labor Dollars</v>
          </cell>
        </row>
        <row r="1482">
          <cell r="J1482">
            <v>1482</v>
          </cell>
        </row>
        <row r="1483">
          <cell r="J1483">
            <v>1483</v>
          </cell>
          <cell r="K1483" t="str">
            <v>Production Labor</v>
          </cell>
          <cell r="Q1483">
            <v>10568396</v>
          </cell>
        </row>
        <row r="1484">
          <cell r="J1484">
            <v>1484</v>
          </cell>
          <cell r="L1484" t="str">
            <v>P</v>
          </cell>
          <cell r="M1484" t="str">
            <v xml:space="preserve">Production Plant </v>
          </cell>
          <cell r="N1484" t="str">
            <v/>
          </cell>
          <cell r="O1484">
            <v>100</v>
          </cell>
          <cell r="P1484" t="str">
            <v>S01</v>
          </cell>
          <cell r="R1484">
            <v>10568396</v>
          </cell>
          <cell r="S1484">
            <v>4798926.7555049909</v>
          </cell>
          <cell r="T1484">
            <v>895385.07506566553</v>
          </cell>
          <cell r="U1484">
            <v>2739677.4672023254</v>
          </cell>
          <cell r="V1484">
            <v>1873127.6046786751</v>
          </cell>
          <cell r="W1484">
            <v>220025.50886393955</v>
          </cell>
          <cell r="X1484">
            <v>41253.588684402472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</row>
        <row r="1485">
          <cell r="J1485">
            <v>1485</v>
          </cell>
          <cell r="K1485" t="str">
            <v>Transmission Labor</v>
          </cell>
          <cell r="Q1485">
            <v>2820975</v>
          </cell>
        </row>
        <row r="1486">
          <cell r="J1486">
            <v>1486</v>
          </cell>
          <cell r="L1486" t="str">
            <v>T</v>
          </cell>
          <cell r="M1486" t="str">
            <v>Transmission Plant</v>
          </cell>
          <cell r="N1486" t="str">
            <v/>
          </cell>
          <cell r="O1486">
            <v>100</v>
          </cell>
          <cell r="P1486" t="str">
            <v>S02</v>
          </cell>
          <cell r="R1486">
            <v>2820975</v>
          </cell>
          <cell r="S1486">
            <v>1280956.2022572486</v>
          </cell>
          <cell r="T1486">
            <v>239001.16083210416</v>
          </cell>
          <cell r="U1486">
            <v>731289.93681170512</v>
          </cell>
          <cell r="V1486">
            <v>499985.63117888698</v>
          </cell>
          <cell r="W1486">
            <v>58730.431738879954</v>
          </cell>
          <cell r="X1486">
            <v>11011.637181175105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</row>
        <row r="1487">
          <cell r="J1487">
            <v>1487</v>
          </cell>
          <cell r="K1487" t="str">
            <v>Distribution Labor</v>
          </cell>
          <cell r="Q1487">
            <v>9478716</v>
          </cell>
        </row>
        <row r="1488">
          <cell r="J1488">
            <v>1488</v>
          </cell>
          <cell r="L1488" t="str">
            <v>D</v>
          </cell>
          <cell r="M1488" t="str">
            <v>Distribution Plant</v>
          </cell>
          <cell r="N1488" t="str">
            <v/>
          </cell>
          <cell r="O1488">
            <v>100</v>
          </cell>
          <cell r="P1488" t="str">
            <v>S03</v>
          </cell>
          <cell r="R1488">
            <v>9478716</v>
          </cell>
          <cell r="S1488">
            <v>5143966.052521796</v>
          </cell>
          <cell r="T1488">
            <v>1043049.3705627783</v>
          </cell>
          <cell r="U1488">
            <v>2236354.1308553093</v>
          </cell>
          <cell r="V1488">
            <v>347825.69474790135</v>
          </cell>
          <cell r="W1488">
            <v>227723.58129934405</v>
          </cell>
          <cell r="X1488">
            <v>479797.17001287057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</row>
        <row r="1489">
          <cell r="J1489">
            <v>1489</v>
          </cell>
          <cell r="K1489" t="str">
            <v>Production Transmission Distribution Labor Total</v>
          </cell>
          <cell r="P1489" t="str">
            <v/>
          </cell>
          <cell r="Q1489">
            <v>22868087</v>
          </cell>
          <cell r="R1489">
            <v>22868087</v>
          </cell>
          <cell r="S1489">
            <v>11223849.010284036</v>
          </cell>
          <cell r="T1489">
            <v>2177435.606460548</v>
          </cell>
          <cell r="U1489">
            <v>5707321.5348693393</v>
          </cell>
          <cell r="V1489">
            <v>2720938.9306054637</v>
          </cell>
          <cell r="W1489">
            <v>506479.52190216351</v>
          </cell>
          <cell r="X1489">
            <v>532062.39587844815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</row>
        <row r="1490">
          <cell r="J1490">
            <v>1490</v>
          </cell>
        </row>
        <row r="1491">
          <cell r="J1491">
            <v>1491</v>
          </cell>
          <cell r="K1491" t="str">
            <v>Customer Accounts Labor</v>
          </cell>
          <cell r="Q1491">
            <v>4497569</v>
          </cell>
        </row>
        <row r="1492">
          <cell r="J1492">
            <v>1492</v>
          </cell>
          <cell r="L1492" t="str">
            <v>C</v>
          </cell>
          <cell r="M1492" t="str">
            <v>Cust Acctg Exp Subtotal</v>
          </cell>
          <cell r="N1492" t="str">
            <v/>
          </cell>
          <cell r="O1492">
            <v>100</v>
          </cell>
          <cell r="P1492" t="str">
            <v>S18</v>
          </cell>
          <cell r="R1492">
            <v>4497569</v>
          </cell>
          <cell r="S1492">
            <v>3832820.3094544671</v>
          </cell>
          <cell r="T1492">
            <v>538662.47284873633</v>
          </cell>
          <cell r="U1492">
            <v>51027.19277230226</v>
          </cell>
          <cell r="V1492">
            <v>23129.664153949496</v>
          </cell>
          <cell r="W1492">
            <v>45668.092888190098</v>
          </cell>
          <cell r="X1492">
            <v>6261.2678823547094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</row>
        <row r="1493">
          <cell r="J1493">
            <v>1493</v>
          </cell>
          <cell r="K1493" t="str">
            <v>Customer Service Labor</v>
          </cell>
          <cell r="Q1493">
            <v>387157</v>
          </cell>
        </row>
        <row r="1494">
          <cell r="J1494">
            <v>1494</v>
          </cell>
          <cell r="L1494" t="str">
            <v>C</v>
          </cell>
          <cell r="M1494" t="str">
            <v>Avg Customers-All</v>
          </cell>
          <cell r="N1494" t="str">
            <v/>
          </cell>
          <cell r="O1494">
            <v>100</v>
          </cell>
          <cell r="P1494" t="str">
            <v>C01</v>
          </cell>
          <cell r="R1494">
            <v>387157</v>
          </cell>
          <cell r="S1494">
            <v>331609.01200897421</v>
          </cell>
          <cell r="T1494">
            <v>46604.14942674536</v>
          </cell>
          <cell r="U1494">
            <v>4414.7848358753436</v>
          </cell>
          <cell r="V1494">
            <v>36.214871101857838</v>
          </cell>
          <cell r="W1494">
            <v>3951.124743737922</v>
          </cell>
          <cell r="X1494">
            <v>541.71411356529006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</row>
        <row r="1495">
          <cell r="J1495">
            <v>1495</v>
          </cell>
          <cell r="K1495" t="str">
            <v>Sales Labor</v>
          </cell>
          <cell r="Q1495">
            <v>635</v>
          </cell>
        </row>
        <row r="1496">
          <cell r="J1496">
            <v>1496</v>
          </cell>
          <cell r="L1496" t="str">
            <v>C</v>
          </cell>
          <cell r="M1496" t="str">
            <v>Generation Level Consumption</v>
          </cell>
          <cell r="N1496" t="str">
            <v/>
          </cell>
          <cell r="O1496">
            <v>100</v>
          </cell>
          <cell r="P1496" t="str">
            <v>E02</v>
          </cell>
          <cell r="R1496">
            <v>635</v>
          </cell>
          <cell r="S1496">
            <v>273.73585781172585</v>
          </cell>
          <cell r="T1496">
            <v>56.07055549442471</v>
          </cell>
          <cell r="U1496">
            <v>169.43862419586534</v>
          </cell>
          <cell r="V1496">
            <v>118.5657788113987</v>
          </cell>
          <cell r="W1496">
            <v>14.224403035510164</v>
          </cell>
          <cell r="X1496">
            <v>2.9647806510752837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</row>
        <row r="1497">
          <cell r="J1497">
            <v>1497</v>
          </cell>
          <cell r="K1497" t="str">
            <v>Admin &amp; General Labor</v>
          </cell>
          <cell r="Q1497">
            <v>11930220</v>
          </cell>
        </row>
        <row r="1498">
          <cell r="J1498">
            <v>1498</v>
          </cell>
          <cell r="L1498" t="str">
            <v>O</v>
          </cell>
          <cell r="M1498" t="str">
            <v>P/T/D Plant</v>
          </cell>
          <cell r="N1498" t="str">
            <v/>
          </cell>
          <cell r="O1498">
            <v>100</v>
          </cell>
          <cell r="P1498" t="str">
            <v>S05</v>
          </cell>
          <cell r="R1498">
            <v>11930220</v>
          </cell>
          <cell r="S1498">
            <v>5824722.6285476461</v>
          </cell>
          <cell r="T1498">
            <v>1127181.4165835252</v>
          </cell>
          <cell r="U1498">
            <v>2985574.9283410804</v>
          </cell>
          <cell r="V1498">
            <v>1468249.9432282725</v>
          </cell>
          <cell r="W1498">
            <v>263117.26873333042</v>
          </cell>
          <cell r="X1498">
            <v>261373.81456614597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</row>
        <row r="1499">
          <cell r="J1499">
            <v>1499</v>
          </cell>
        </row>
        <row r="1500">
          <cell r="J1500">
            <v>1500</v>
          </cell>
          <cell r="K1500" t="str">
            <v>Total Operating and Maintenance Labor</v>
          </cell>
          <cell r="P1500" t="str">
            <v/>
          </cell>
          <cell r="Q1500">
            <v>39683668</v>
          </cell>
          <cell r="R1500">
            <v>39683668</v>
          </cell>
          <cell r="S1500">
            <v>21213274.696152937</v>
          </cell>
          <cell r="T1500">
            <v>3889939.7158750491</v>
          </cell>
          <cell r="U1500">
            <v>8748507.8794427924</v>
          </cell>
          <cell r="V1500">
            <v>4212473.3186375992</v>
          </cell>
          <cell r="W1500">
            <v>819230.23267045745</v>
          </cell>
          <cell r="X1500">
            <v>800242.15722116525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</row>
      </sheetData>
      <sheetData sheetId="2">
        <row r="1">
          <cell r="AJ1" t="str">
            <v>Line</v>
          </cell>
        </row>
        <row r="2">
          <cell r="AJ2">
            <v>5</v>
          </cell>
        </row>
        <row r="4">
          <cell r="AD4" t="str">
            <v>Line</v>
          </cell>
          <cell r="AE4" t="str">
            <v>Line</v>
          </cell>
          <cell r="AF4" t="str">
            <v>CAlloc</v>
          </cell>
        </row>
        <row r="5">
          <cell r="AD5" t="str">
            <v>&gt;872</v>
          </cell>
          <cell r="AE5" t="str">
            <v>&lt;=893</v>
          </cell>
          <cell r="AF5" t="str">
            <v>E*</v>
          </cell>
        </row>
        <row r="6">
          <cell r="AD6" t="str">
            <v>Line</v>
          </cell>
          <cell r="AE6" t="str">
            <v>Line</v>
          </cell>
          <cell r="AF6" t="str">
            <v>CAlloc</v>
          </cell>
        </row>
        <row r="7">
          <cell r="AD7" t="str">
            <v>&gt;872</v>
          </cell>
          <cell r="AE7" t="str">
            <v>&lt;=893</v>
          </cell>
          <cell r="AF7" t="str">
            <v>D*</v>
          </cell>
        </row>
        <row r="8">
          <cell r="AD8" t="str">
            <v>Line</v>
          </cell>
          <cell r="AE8" t="str">
            <v>Line</v>
          </cell>
          <cell r="AF8" t="str">
            <v>CAlloc</v>
          </cell>
        </row>
        <row r="9">
          <cell r="AD9" t="str">
            <v>&gt;872</v>
          </cell>
          <cell r="AE9" t="str">
            <v>&lt;=893</v>
          </cell>
          <cell r="AF9" t="str">
            <v>C*</v>
          </cell>
        </row>
        <row r="10">
          <cell r="AD10" t="str">
            <v>Line</v>
          </cell>
          <cell r="AE10" t="str">
            <v>Line</v>
          </cell>
          <cell r="AF10" t="str">
            <v>CAlloc</v>
          </cell>
        </row>
        <row r="11">
          <cell r="AD11" t="str">
            <v>&gt;872</v>
          </cell>
          <cell r="AE11" t="str">
            <v>&lt;=893</v>
          </cell>
          <cell r="AF11" t="str">
            <v>R*</v>
          </cell>
        </row>
        <row r="22">
          <cell r="AD22" t="str">
            <v>Line</v>
          </cell>
          <cell r="AE22" t="str">
            <v>Line</v>
          </cell>
          <cell r="AF22" t="str">
            <v>CAlloc</v>
          </cell>
        </row>
        <row r="23">
          <cell r="AD23" t="str">
            <v>&gt;895</v>
          </cell>
          <cell r="AE23" t="str">
            <v>&lt;=932</v>
          </cell>
          <cell r="AF23" t="str">
            <v>E*</v>
          </cell>
        </row>
        <row r="24">
          <cell r="AD24" t="str">
            <v>Line</v>
          </cell>
          <cell r="AE24" t="str">
            <v>Line</v>
          </cell>
          <cell r="AF24" t="str">
            <v>CAlloc</v>
          </cell>
        </row>
        <row r="25">
          <cell r="AD25" t="str">
            <v>&gt;895</v>
          </cell>
          <cell r="AE25" t="str">
            <v>&lt;=932</v>
          </cell>
          <cell r="AF25" t="str">
            <v>D*</v>
          </cell>
        </row>
        <row r="26">
          <cell r="S26" t="str">
            <v>Line</v>
          </cell>
          <cell r="T26" t="str">
            <v>Line</v>
          </cell>
          <cell r="AD26" t="str">
            <v>Line</v>
          </cell>
          <cell r="AE26" t="str">
            <v>Line</v>
          </cell>
          <cell r="AF26" t="str">
            <v>CAlloc</v>
          </cell>
        </row>
        <row r="27">
          <cell r="S27" t="str">
            <v>&gt;=1445</v>
          </cell>
          <cell r="T27" t="str">
            <v>&lt;=1451</v>
          </cell>
          <cell r="AD27" t="str">
            <v>&gt;895</v>
          </cell>
          <cell r="AE27" t="str">
            <v>&lt;=932</v>
          </cell>
          <cell r="AF27" t="str">
            <v>C*</v>
          </cell>
        </row>
        <row r="28">
          <cell r="AD28" t="str">
            <v>Line</v>
          </cell>
          <cell r="AE28" t="str">
            <v>Line</v>
          </cell>
          <cell r="AF28" t="str">
            <v>CAlloc</v>
          </cell>
        </row>
        <row r="29">
          <cell r="AD29" t="str">
            <v>&gt;895</v>
          </cell>
          <cell r="AE29" t="str">
            <v>&lt;=932</v>
          </cell>
          <cell r="AF29" t="str">
            <v>R*</v>
          </cell>
        </row>
        <row r="40">
          <cell r="AD40" t="str">
            <v>Line</v>
          </cell>
          <cell r="AE40" t="str">
            <v>Line</v>
          </cell>
          <cell r="AF40" t="str">
            <v>CAlloc</v>
          </cell>
        </row>
        <row r="41">
          <cell r="AD41" t="str">
            <v>&gt;267</v>
          </cell>
          <cell r="AE41" t="str">
            <v>&lt;=286</v>
          </cell>
          <cell r="AF41" t="str">
            <v>D*</v>
          </cell>
        </row>
        <row r="42">
          <cell r="AD42" t="str">
            <v>Line</v>
          </cell>
          <cell r="AE42" t="str">
            <v>Line</v>
          </cell>
          <cell r="AF42" t="str">
            <v>CAlloc</v>
          </cell>
        </row>
        <row r="43">
          <cell r="AD43" t="str">
            <v>&gt;267</v>
          </cell>
          <cell r="AE43" t="str">
            <v>&lt;=286</v>
          </cell>
          <cell r="AF43" t="str">
            <v>S09</v>
          </cell>
        </row>
        <row r="44">
          <cell r="AD44" t="str">
            <v>Line</v>
          </cell>
          <cell r="AE44" t="str">
            <v>Line</v>
          </cell>
          <cell r="AF44" t="str">
            <v>CAlloc</v>
          </cell>
        </row>
        <row r="45">
          <cell r="AD45" t="str">
            <v>&gt;267</v>
          </cell>
          <cell r="AE45" t="str">
            <v>&lt;=286</v>
          </cell>
          <cell r="AF45" t="str">
            <v>S10</v>
          </cell>
        </row>
        <row r="46">
          <cell r="AD46" t="str">
            <v>Line</v>
          </cell>
          <cell r="AE46" t="str">
            <v>Line</v>
          </cell>
          <cell r="AF46" t="str">
            <v>CAlloc</v>
          </cell>
        </row>
        <row r="47">
          <cell r="AD47" t="str">
            <v>&gt;267</v>
          </cell>
          <cell r="AE47" t="str">
            <v>&lt;=286</v>
          </cell>
          <cell r="AF47" t="str">
            <v>S11</v>
          </cell>
        </row>
        <row r="48">
          <cell r="AD48" t="str">
            <v>Line</v>
          </cell>
          <cell r="AE48" t="str">
            <v>Line</v>
          </cell>
          <cell r="AF48" t="str">
            <v>CAlloc</v>
          </cell>
        </row>
        <row r="49">
          <cell r="AD49" t="str">
            <v>&gt;267</v>
          </cell>
          <cell r="AE49" t="str">
            <v>&lt;=286</v>
          </cell>
          <cell r="AF49" t="str">
            <v>S13</v>
          </cell>
        </row>
        <row r="50">
          <cell r="AD50" t="str">
            <v>Line</v>
          </cell>
          <cell r="AE50" t="str">
            <v>Line</v>
          </cell>
          <cell r="AF50" t="str">
            <v>CAlloc</v>
          </cell>
        </row>
        <row r="51">
          <cell r="AD51" t="str">
            <v>&gt;267</v>
          </cell>
          <cell r="AE51" t="str">
            <v>&lt;=286</v>
          </cell>
          <cell r="AF51" t="str">
            <v>S14</v>
          </cell>
        </row>
        <row r="52">
          <cell r="AD52" t="str">
            <v>Line</v>
          </cell>
          <cell r="AE52" t="str">
            <v>Line</v>
          </cell>
          <cell r="AF52" t="str">
            <v>CAlloc</v>
          </cell>
        </row>
        <row r="53">
          <cell r="AD53" t="str">
            <v>&gt;267</v>
          </cell>
          <cell r="AE53" t="str">
            <v>&lt;=286</v>
          </cell>
          <cell r="AF53" t="str">
            <v>S15</v>
          </cell>
        </row>
        <row r="54">
          <cell r="AD54" t="str">
            <v>Line</v>
          </cell>
          <cell r="AE54" t="str">
            <v>Line</v>
          </cell>
          <cell r="AF54" t="str">
            <v>CAlloc</v>
          </cell>
        </row>
        <row r="55">
          <cell r="AD55" t="str">
            <v>&gt;267</v>
          </cell>
          <cell r="AE55" t="str">
            <v>&lt;=286</v>
          </cell>
          <cell r="AF55" t="str">
            <v>S16</v>
          </cell>
        </row>
        <row r="58">
          <cell r="AD58" t="str">
            <v>Line</v>
          </cell>
          <cell r="AE58" t="str">
            <v>Line</v>
          </cell>
          <cell r="AF58" t="str">
            <v>CAlloc</v>
          </cell>
        </row>
        <row r="59">
          <cell r="AD59" t="str">
            <v>&gt;934</v>
          </cell>
          <cell r="AE59" t="str">
            <v>&lt;=1089</v>
          </cell>
          <cell r="AF59" t="str">
            <v>E*</v>
          </cell>
        </row>
        <row r="60">
          <cell r="AD60" t="str">
            <v>Line</v>
          </cell>
          <cell r="AE60" t="str">
            <v>Line</v>
          </cell>
          <cell r="AF60" t="str">
            <v>CAlloc</v>
          </cell>
        </row>
        <row r="61">
          <cell r="AD61" t="str">
            <v>&gt;934</v>
          </cell>
          <cell r="AE61" t="str">
            <v>&lt;=1089</v>
          </cell>
          <cell r="AF61" t="str">
            <v>D*</v>
          </cell>
        </row>
        <row r="62">
          <cell r="AD62" t="str">
            <v>Line</v>
          </cell>
          <cell r="AE62" t="str">
            <v>Line</v>
          </cell>
          <cell r="AF62" t="str">
            <v>CAlloc</v>
          </cell>
        </row>
        <row r="63">
          <cell r="AD63" t="str">
            <v>&gt;934</v>
          </cell>
          <cell r="AE63" t="str">
            <v>&lt;=1089</v>
          </cell>
          <cell r="AF63" t="str">
            <v>C*</v>
          </cell>
        </row>
        <row r="64">
          <cell r="AD64" t="str">
            <v>Line</v>
          </cell>
          <cell r="AE64" t="str">
            <v>Line</v>
          </cell>
          <cell r="AF64" t="str">
            <v>CAlloc</v>
          </cell>
        </row>
        <row r="65">
          <cell r="AD65" t="str">
            <v>&gt;934</v>
          </cell>
          <cell r="AE65" t="str">
            <v>&lt;=1089</v>
          </cell>
          <cell r="AF65" t="str">
            <v>R*</v>
          </cell>
        </row>
        <row r="76">
          <cell r="AD76" t="str">
            <v>Line</v>
          </cell>
          <cell r="AE76" t="str">
            <v>Line</v>
          </cell>
          <cell r="AF76" t="str">
            <v>CAlloc</v>
          </cell>
        </row>
        <row r="77">
          <cell r="AD77" t="str">
            <v>&gt;288</v>
          </cell>
          <cell r="AE77" t="str">
            <v>&lt;=305</v>
          </cell>
          <cell r="AF77" t="str">
            <v>S08</v>
          </cell>
        </row>
        <row r="78">
          <cell r="AD78" t="str">
            <v>Line</v>
          </cell>
          <cell r="AE78" t="str">
            <v>Line</v>
          </cell>
          <cell r="AF78" t="str">
            <v>CAlloc</v>
          </cell>
        </row>
        <row r="79">
          <cell r="AD79" t="str">
            <v>&gt;288</v>
          </cell>
          <cell r="AE79" t="str">
            <v>&lt;=305</v>
          </cell>
          <cell r="AF79" t="str">
            <v>S09</v>
          </cell>
        </row>
        <row r="80">
          <cell r="AD80" t="str">
            <v>Line</v>
          </cell>
          <cell r="AE80" t="str">
            <v>Line</v>
          </cell>
          <cell r="AF80" t="str">
            <v>CAlloc</v>
          </cell>
        </row>
        <row r="81">
          <cell r="AD81" t="str">
            <v>&gt;288</v>
          </cell>
          <cell r="AE81" t="str">
            <v>&lt;=305</v>
          </cell>
          <cell r="AF81" t="str">
            <v>S10</v>
          </cell>
        </row>
        <row r="82">
          <cell r="AD82" t="str">
            <v>Line</v>
          </cell>
          <cell r="AE82" t="str">
            <v>Line</v>
          </cell>
          <cell r="AF82" t="str">
            <v>CAlloc</v>
          </cell>
        </row>
        <row r="83">
          <cell r="AD83" t="str">
            <v>&gt;288</v>
          </cell>
          <cell r="AE83" t="str">
            <v>&lt;=305</v>
          </cell>
          <cell r="AF83" t="str">
            <v>S11</v>
          </cell>
        </row>
        <row r="84">
          <cell r="AD84" t="str">
            <v>Line</v>
          </cell>
          <cell r="AE84" t="str">
            <v>Line</v>
          </cell>
          <cell r="AF84" t="str">
            <v>CAlloc</v>
          </cell>
        </row>
        <row r="85">
          <cell r="AD85" t="str">
            <v>&gt;288</v>
          </cell>
          <cell r="AE85" t="str">
            <v>&lt;=305</v>
          </cell>
          <cell r="AF85" t="str">
            <v>S12</v>
          </cell>
        </row>
        <row r="86">
          <cell r="AD86" t="str">
            <v>Line</v>
          </cell>
          <cell r="AE86" t="str">
            <v>Line</v>
          </cell>
          <cell r="AF86" t="str">
            <v>CAlloc</v>
          </cell>
        </row>
        <row r="87">
          <cell r="AD87" t="str">
            <v>&gt;288</v>
          </cell>
          <cell r="AE87" t="str">
            <v>&lt;=305</v>
          </cell>
          <cell r="AF87" t="str">
            <v>S14</v>
          </cell>
        </row>
        <row r="88">
          <cell r="AD88" t="str">
            <v>Line</v>
          </cell>
          <cell r="AE88" t="str">
            <v>Line</v>
          </cell>
          <cell r="AF88" t="str">
            <v>CAlloc</v>
          </cell>
        </row>
        <row r="89">
          <cell r="AD89" t="str">
            <v>&gt;288</v>
          </cell>
          <cell r="AE89" t="str">
            <v>&lt;=305</v>
          </cell>
          <cell r="AF89" t="str">
            <v>S15</v>
          </cell>
        </row>
        <row r="90">
          <cell r="AD90" t="str">
            <v>Line</v>
          </cell>
          <cell r="AE90" t="str">
            <v>Line</v>
          </cell>
          <cell r="AF90" t="str">
            <v>CAlloc</v>
          </cell>
        </row>
        <row r="91">
          <cell r="AD91" t="str">
            <v>&gt;288</v>
          </cell>
          <cell r="AE91" t="str">
            <v>&lt;=305</v>
          </cell>
          <cell r="AF91" t="str">
            <v>S17</v>
          </cell>
        </row>
        <row r="94">
          <cell r="AD94" t="str">
            <v>Line</v>
          </cell>
          <cell r="AE94" t="str">
            <v>Line</v>
          </cell>
          <cell r="AF94" t="str">
            <v>CAlloc</v>
          </cell>
        </row>
        <row r="95">
          <cell r="AD95" t="str">
            <v>&gt;946</v>
          </cell>
          <cell r="AE95" t="str">
            <v>&lt;=956</v>
          </cell>
          <cell r="AF95" t="str">
            <v>E*</v>
          </cell>
        </row>
        <row r="96">
          <cell r="AD96" t="str">
            <v>Line</v>
          </cell>
          <cell r="AE96" t="str">
            <v>Line</v>
          </cell>
          <cell r="AF96" t="str">
            <v>CAlloc</v>
          </cell>
        </row>
        <row r="97">
          <cell r="AD97" t="str">
            <v>&gt;946</v>
          </cell>
          <cell r="AE97" t="str">
            <v>&lt;=956</v>
          </cell>
          <cell r="AF97" t="str">
            <v>D*</v>
          </cell>
        </row>
        <row r="98">
          <cell r="AD98" t="str">
            <v>Line</v>
          </cell>
          <cell r="AE98" t="str">
            <v>Line</v>
          </cell>
          <cell r="AF98" t="str">
            <v>CAlloc</v>
          </cell>
        </row>
        <row r="99">
          <cell r="AD99" t="str">
            <v>&gt;946</v>
          </cell>
          <cell r="AE99" t="str">
            <v>&lt;=956</v>
          </cell>
          <cell r="AF99" t="str">
            <v>C*</v>
          </cell>
        </row>
        <row r="100">
          <cell r="AD100" t="str">
            <v>Line</v>
          </cell>
          <cell r="AE100" t="str">
            <v>Line</v>
          </cell>
          <cell r="AF100" t="str">
            <v>CAlloc</v>
          </cell>
        </row>
        <row r="101">
          <cell r="AD101" t="str">
            <v>&gt;946</v>
          </cell>
          <cell r="AE101" t="str">
            <v>&lt;=956</v>
          </cell>
          <cell r="AF101" t="str">
            <v>R*</v>
          </cell>
        </row>
        <row r="110">
          <cell r="AD110" t="str">
            <v>Line</v>
          </cell>
          <cell r="AE110" t="str">
            <v>Line</v>
          </cell>
          <cell r="AF110" t="str">
            <v>CAlloc</v>
          </cell>
        </row>
        <row r="111">
          <cell r="AD111" t="str">
            <v>&gt;1482</v>
          </cell>
          <cell r="AE111" t="str">
            <v>&lt;=1488</v>
          </cell>
          <cell r="AF111" t="str">
            <v>S01</v>
          </cell>
        </row>
        <row r="112">
          <cell r="AD112" t="str">
            <v>Line</v>
          </cell>
          <cell r="AE112" t="str">
            <v>Line</v>
          </cell>
          <cell r="AF112" t="str">
            <v>CAlloc</v>
          </cell>
        </row>
        <row r="113">
          <cell r="AD113" t="str">
            <v>&gt;1482</v>
          </cell>
          <cell r="AE113" t="str">
            <v>&lt;=1488</v>
          </cell>
          <cell r="AF113" t="str">
            <v>S02</v>
          </cell>
        </row>
        <row r="114">
          <cell r="AD114" t="str">
            <v>Line</v>
          </cell>
          <cell r="AE114" t="str">
            <v>Line</v>
          </cell>
          <cell r="AF114" t="str">
            <v>CAlloc</v>
          </cell>
        </row>
        <row r="115">
          <cell r="AD115" t="str">
            <v>&gt;1482</v>
          </cell>
          <cell r="AE115" t="str">
            <v>&lt;=1488</v>
          </cell>
          <cell r="AF115" t="str">
            <v>S03</v>
          </cell>
        </row>
        <row r="124">
          <cell r="S124" t="str">
            <v>Line</v>
          </cell>
          <cell r="T124" t="str">
            <v>Line</v>
          </cell>
          <cell r="U124" t="str">
            <v>Desc1</v>
          </cell>
          <cell r="V124" t="str">
            <v>CAlloc</v>
          </cell>
        </row>
        <row r="125">
          <cell r="S125" t="str">
            <v>&gt;=1146</v>
          </cell>
          <cell r="T125" t="str">
            <v>&lt;=1364</v>
          </cell>
          <cell r="U125" t="str">
            <v>=D</v>
          </cell>
          <cell r="V125" t="str">
            <v>E*</v>
          </cell>
        </row>
        <row r="126">
          <cell r="S126" t="str">
            <v>Line</v>
          </cell>
          <cell r="T126" t="str">
            <v>Line</v>
          </cell>
          <cell r="U126" t="str">
            <v>Desc1</v>
          </cell>
          <cell r="V126" t="str">
            <v>CAlloc</v>
          </cell>
        </row>
        <row r="127">
          <cell r="S127" t="str">
            <v>&gt;=1146</v>
          </cell>
          <cell r="T127" t="str">
            <v>&lt;=1364</v>
          </cell>
          <cell r="U127" t="str">
            <v>=D</v>
          </cell>
          <cell r="V127" t="str">
            <v>D*</v>
          </cell>
        </row>
        <row r="128">
          <cell r="S128" t="str">
            <v>Line</v>
          </cell>
          <cell r="T128" t="str">
            <v>Line</v>
          </cell>
          <cell r="U128" t="str">
            <v>Desc1</v>
          </cell>
          <cell r="V128" t="str">
            <v>CAlloc</v>
          </cell>
          <cell r="AD128" t="str">
            <v>Line</v>
          </cell>
          <cell r="AE128" t="str">
            <v>Line</v>
          </cell>
          <cell r="AF128" t="str">
            <v>CAlloc</v>
          </cell>
        </row>
        <row r="129">
          <cell r="S129" t="str">
            <v>&gt;=1146</v>
          </cell>
          <cell r="T129" t="str">
            <v>&lt;=1364</v>
          </cell>
          <cell r="U129" t="str">
            <v>=D</v>
          </cell>
          <cell r="V129" t="str">
            <v>C*</v>
          </cell>
          <cell r="AD129" t="str">
            <v>&gt;957</v>
          </cell>
          <cell r="AE129" t="str">
            <v>&lt;=967</v>
          </cell>
          <cell r="AF129" t="str">
            <v>E*</v>
          </cell>
        </row>
        <row r="130">
          <cell r="S130" t="str">
            <v>Line</v>
          </cell>
          <cell r="T130" t="str">
            <v>Line</v>
          </cell>
          <cell r="U130" t="str">
            <v>Desc1</v>
          </cell>
          <cell r="V130" t="str">
            <v>CAlloc</v>
          </cell>
          <cell r="AD130" t="str">
            <v>Line</v>
          </cell>
          <cell r="AE130" t="str">
            <v>Line</v>
          </cell>
          <cell r="AF130" t="str">
            <v>CAlloc</v>
          </cell>
        </row>
        <row r="131">
          <cell r="S131" t="str">
            <v>&gt;=1146</v>
          </cell>
          <cell r="T131" t="str">
            <v>&lt;=1364</v>
          </cell>
          <cell r="U131" t="str">
            <v>=D</v>
          </cell>
          <cell r="V131" t="str">
            <v>R*</v>
          </cell>
          <cell r="AD131" t="str">
            <v>&gt;957</v>
          </cell>
          <cell r="AE131" t="str">
            <v>&lt;=967</v>
          </cell>
          <cell r="AF131" t="str">
            <v>D*</v>
          </cell>
        </row>
        <row r="132">
          <cell r="S132" t="str">
            <v>Line</v>
          </cell>
          <cell r="T132" t="str">
            <v>Line</v>
          </cell>
          <cell r="U132" t="str">
            <v>Desc1</v>
          </cell>
          <cell r="V132" t="str">
            <v>CAlloc</v>
          </cell>
          <cell r="AD132" t="str">
            <v>Line</v>
          </cell>
          <cell r="AE132" t="str">
            <v>Line</v>
          </cell>
          <cell r="AF132" t="str">
            <v>CAlloc</v>
          </cell>
        </row>
        <row r="133">
          <cell r="S133" t="str">
            <v>&gt;=1146</v>
          </cell>
          <cell r="T133" t="str">
            <v>&lt;=1364</v>
          </cell>
          <cell r="U133" t="str">
            <v>=D</v>
          </cell>
          <cell r="V133" t="str">
            <v>S01</v>
          </cell>
          <cell r="AD133" t="str">
            <v>&gt;957</v>
          </cell>
          <cell r="AE133" t="str">
            <v>&lt;=967</v>
          </cell>
          <cell r="AF133" t="str">
            <v>C*</v>
          </cell>
        </row>
        <row r="134">
          <cell r="S134" t="str">
            <v>Line</v>
          </cell>
          <cell r="T134" t="str">
            <v>Line</v>
          </cell>
          <cell r="U134" t="str">
            <v>Desc1</v>
          </cell>
          <cell r="V134" t="str">
            <v>CAlloc</v>
          </cell>
          <cell r="AD134" t="str">
            <v>Line</v>
          </cell>
          <cell r="AE134" t="str">
            <v>Line</v>
          </cell>
          <cell r="AF134" t="str">
            <v>CAlloc</v>
          </cell>
        </row>
        <row r="135">
          <cell r="S135" t="str">
            <v>&gt;=1146</v>
          </cell>
          <cell r="T135" t="str">
            <v>&lt;=1364</v>
          </cell>
          <cell r="U135" t="str">
            <v>=D</v>
          </cell>
          <cell r="V135" t="str">
            <v>S02</v>
          </cell>
          <cell r="AD135" t="str">
            <v>&gt;957</v>
          </cell>
          <cell r="AE135" t="str">
            <v>&lt;=967</v>
          </cell>
          <cell r="AF135" t="str">
            <v>R*</v>
          </cell>
        </row>
        <row r="136">
          <cell r="S136" t="str">
            <v>Line</v>
          </cell>
          <cell r="T136" t="str">
            <v>Line</v>
          </cell>
          <cell r="U136" t="str">
            <v>Desc1</v>
          </cell>
          <cell r="V136" t="str">
            <v>CAlloc</v>
          </cell>
        </row>
        <row r="137">
          <cell r="S137" t="str">
            <v>&gt;=1146</v>
          </cell>
          <cell r="T137" t="str">
            <v>&lt;=1364</v>
          </cell>
          <cell r="U137" t="str">
            <v>=D</v>
          </cell>
          <cell r="V137" t="str">
            <v>S03</v>
          </cell>
        </row>
        <row r="138">
          <cell r="S138" t="str">
            <v>Line</v>
          </cell>
          <cell r="T138" t="str">
            <v>Line</v>
          </cell>
          <cell r="U138" t="str">
            <v>Desc1</v>
          </cell>
          <cell r="V138" t="str">
            <v>CAlloc</v>
          </cell>
        </row>
        <row r="139">
          <cell r="S139" t="str">
            <v>&gt;=1146</v>
          </cell>
          <cell r="T139" t="str">
            <v>&lt;=1364</v>
          </cell>
          <cell r="U139" t="str">
            <v>=D</v>
          </cell>
          <cell r="V139" t="str">
            <v>S04</v>
          </cell>
        </row>
        <row r="140">
          <cell r="S140" t="str">
            <v>Line</v>
          </cell>
          <cell r="T140" t="str">
            <v>Line</v>
          </cell>
          <cell r="U140" t="str">
            <v>Desc1</v>
          </cell>
          <cell r="V140" t="str">
            <v>CAlloc</v>
          </cell>
        </row>
        <row r="141">
          <cell r="S141" t="str">
            <v>&gt;=1146</v>
          </cell>
          <cell r="T141" t="str">
            <v>&lt;=1364</v>
          </cell>
          <cell r="U141" t="str">
            <v>=D</v>
          </cell>
          <cell r="V141" t="str">
            <v>S05</v>
          </cell>
        </row>
        <row r="142">
          <cell r="S142" t="str">
            <v>Line</v>
          </cell>
          <cell r="T142" t="str">
            <v>Line</v>
          </cell>
          <cell r="U142" t="str">
            <v>Desc1</v>
          </cell>
          <cell r="V142" t="str">
            <v>CAlloc</v>
          </cell>
        </row>
        <row r="143">
          <cell r="S143" t="str">
            <v>&gt;=1146</v>
          </cell>
          <cell r="T143" t="str">
            <v>&lt;=1364</v>
          </cell>
          <cell r="U143" t="str">
            <v>=D</v>
          </cell>
          <cell r="V143" t="str">
            <v>S06</v>
          </cell>
        </row>
        <row r="144">
          <cell r="S144" t="str">
            <v>Line</v>
          </cell>
          <cell r="T144" t="str">
            <v>Line</v>
          </cell>
          <cell r="U144" t="str">
            <v>Desc1</v>
          </cell>
          <cell r="V144" t="str">
            <v>CAlloc</v>
          </cell>
          <cell r="AD144" t="str">
            <v>Line</v>
          </cell>
          <cell r="AE144" t="str">
            <v>Line</v>
          </cell>
          <cell r="AF144" t="str">
            <v>CAlloc</v>
          </cell>
        </row>
        <row r="145">
          <cell r="S145" t="str">
            <v>&gt;=1146</v>
          </cell>
          <cell r="T145" t="str">
            <v>&lt;=1364</v>
          </cell>
          <cell r="U145" t="str">
            <v>=D</v>
          </cell>
          <cell r="V145" t="str">
            <v>S07</v>
          </cell>
          <cell r="AD145" t="str">
            <v>&gt;979</v>
          </cell>
          <cell r="AE145" t="str">
            <v>&lt;=1000</v>
          </cell>
          <cell r="AF145" t="str">
            <v>E*</v>
          </cell>
        </row>
        <row r="146">
          <cell r="S146" t="str">
            <v>Line</v>
          </cell>
          <cell r="T146" t="str">
            <v>Line</v>
          </cell>
          <cell r="U146" t="str">
            <v>Desc1</v>
          </cell>
          <cell r="V146" t="str">
            <v>CAlloc</v>
          </cell>
          <cell r="AD146" t="str">
            <v>Line</v>
          </cell>
          <cell r="AE146" t="str">
            <v>Line</v>
          </cell>
          <cell r="AF146" t="str">
            <v>CAlloc</v>
          </cell>
        </row>
        <row r="147">
          <cell r="S147" t="str">
            <v>&gt;=1146</v>
          </cell>
          <cell r="T147" t="str">
            <v>&lt;=1364</v>
          </cell>
          <cell r="U147" t="str">
            <v>=D</v>
          </cell>
          <cell r="V147" t="str">
            <v>S08</v>
          </cell>
          <cell r="AD147" t="str">
            <v>&gt;979</v>
          </cell>
          <cell r="AE147" t="str">
            <v>&lt;=1000</v>
          </cell>
          <cell r="AF147" t="str">
            <v>D*</v>
          </cell>
        </row>
        <row r="148">
          <cell r="S148" t="str">
            <v>Line</v>
          </cell>
          <cell r="T148" t="str">
            <v>Line</v>
          </cell>
          <cell r="U148" t="str">
            <v>Desc1</v>
          </cell>
          <cell r="V148" t="str">
            <v>CAlloc</v>
          </cell>
          <cell r="AD148" t="str">
            <v>Line</v>
          </cell>
          <cell r="AE148" t="str">
            <v>Line</v>
          </cell>
          <cell r="AF148" t="str">
            <v>CAlloc</v>
          </cell>
        </row>
        <row r="149">
          <cell r="S149" t="str">
            <v>&gt;=1146</v>
          </cell>
          <cell r="T149" t="str">
            <v>&lt;=1364</v>
          </cell>
          <cell r="U149" t="str">
            <v>=D</v>
          </cell>
          <cell r="V149" t="str">
            <v>S09</v>
          </cell>
          <cell r="AD149" t="str">
            <v>&gt;979</v>
          </cell>
          <cell r="AE149" t="str">
            <v>&lt;=1000</v>
          </cell>
          <cell r="AF149" t="str">
            <v>C*</v>
          </cell>
        </row>
        <row r="150">
          <cell r="S150" t="str">
            <v>Line</v>
          </cell>
          <cell r="T150" t="str">
            <v>Line</v>
          </cell>
          <cell r="U150" t="str">
            <v>Desc1</v>
          </cell>
          <cell r="V150" t="str">
            <v>CAlloc</v>
          </cell>
          <cell r="AD150" t="str">
            <v>Line</v>
          </cell>
          <cell r="AE150" t="str">
            <v>Line</v>
          </cell>
          <cell r="AF150" t="str">
            <v>CAlloc</v>
          </cell>
        </row>
        <row r="151">
          <cell r="S151" t="str">
            <v>&gt;=1146</v>
          </cell>
          <cell r="T151" t="str">
            <v>&lt;=1364</v>
          </cell>
          <cell r="U151" t="str">
            <v>=D</v>
          </cell>
          <cell r="V151" t="str">
            <v>S10</v>
          </cell>
          <cell r="AD151" t="str">
            <v>&gt;979</v>
          </cell>
          <cell r="AE151" t="str">
            <v>&lt;=1000</v>
          </cell>
          <cell r="AF151" t="str">
            <v>R*</v>
          </cell>
        </row>
        <row r="152">
          <cell r="S152" t="str">
            <v>Line</v>
          </cell>
          <cell r="T152" t="str">
            <v>Line</v>
          </cell>
          <cell r="U152" t="str">
            <v>Desc1</v>
          </cell>
          <cell r="V152" t="str">
            <v>CAlloc</v>
          </cell>
        </row>
        <row r="153">
          <cell r="S153" t="str">
            <v>&gt;=1146</v>
          </cell>
          <cell r="T153" t="str">
            <v>&lt;=1364</v>
          </cell>
          <cell r="U153" t="str">
            <v>=D</v>
          </cell>
          <cell r="V153" t="str">
            <v>S11</v>
          </cell>
        </row>
        <row r="154">
          <cell r="S154" t="str">
            <v>Line</v>
          </cell>
          <cell r="T154" t="str">
            <v>Line</v>
          </cell>
          <cell r="U154" t="str">
            <v>Desc1</v>
          </cell>
          <cell r="V154" t="str">
            <v>CAlloc</v>
          </cell>
        </row>
        <row r="155">
          <cell r="S155" t="str">
            <v>&gt;=1146</v>
          </cell>
          <cell r="T155" t="str">
            <v>&lt;=1364</v>
          </cell>
          <cell r="U155" t="str">
            <v>=D</v>
          </cell>
          <cell r="V155" t="str">
            <v>S12</v>
          </cell>
        </row>
        <row r="156">
          <cell r="S156" t="str">
            <v>Line</v>
          </cell>
          <cell r="T156" t="str">
            <v>Line</v>
          </cell>
          <cell r="U156" t="str">
            <v>Desc1</v>
          </cell>
          <cell r="V156" t="str">
            <v>CAlloc</v>
          </cell>
        </row>
        <row r="157">
          <cell r="S157" t="str">
            <v>&gt;=1146</v>
          </cell>
          <cell r="T157" t="str">
            <v>&lt;=1364</v>
          </cell>
          <cell r="U157" t="str">
            <v>=D</v>
          </cell>
          <cell r="V157" t="str">
            <v>S13</v>
          </cell>
        </row>
        <row r="158">
          <cell r="S158" t="str">
            <v>Line</v>
          </cell>
          <cell r="T158" t="str">
            <v>Line</v>
          </cell>
          <cell r="U158" t="str">
            <v>Desc1</v>
          </cell>
          <cell r="V158" t="str">
            <v>CAlloc</v>
          </cell>
        </row>
        <row r="159">
          <cell r="S159" t="str">
            <v>&gt;=1146</v>
          </cell>
          <cell r="T159" t="str">
            <v>&lt;=1364</v>
          </cell>
          <cell r="U159" t="str">
            <v>=D</v>
          </cell>
          <cell r="V159" t="str">
            <v>S14</v>
          </cell>
        </row>
        <row r="160">
          <cell r="S160" t="str">
            <v>Line</v>
          </cell>
          <cell r="T160" t="str">
            <v>Line</v>
          </cell>
          <cell r="U160" t="str">
            <v>Desc1</v>
          </cell>
          <cell r="V160" t="str">
            <v>CAlloc</v>
          </cell>
          <cell r="AD160" t="str">
            <v>Line</v>
          </cell>
          <cell r="AE160" t="str">
            <v>Line</v>
          </cell>
          <cell r="AF160" t="str">
            <v>CAlloc</v>
          </cell>
        </row>
        <row r="161">
          <cell r="S161" t="str">
            <v>&gt;=1146</v>
          </cell>
          <cell r="T161" t="str">
            <v>&lt;=1364</v>
          </cell>
          <cell r="U161" t="str">
            <v>=D</v>
          </cell>
          <cell r="V161" t="str">
            <v>S15</v>
          </cell>
          <cell r="AD161" t="str">
            <v>&gt;1001</v>
          </cell>
          <cell r="AE161" t="str">
            <v>&lt;=1022</v>
          </cell>
          <cell r="AF161" t="str">
            <v>E*</v>
          </cell>
        </row>
        <row r="162">
          <cell r="S162" t="str">
            <v>Line</v>
          </cell>
          <cell r="T162" t="str">
            <v>Line</v>
          </cell>
          <cell r="U162" t="str">
            <v>Desc1</v>
          </cell>
          <cell r="V162" t="str">
            <v>CAlloc</v>
          </cell>
          <cell r="AD162" t="str">
            <v>Line</v>
          </cell>
          <cell r="AE162" t="str">
            <v>Line</v>
          </cell>
          <cell r="AF162" t="str">
            <v>CAlloc</v>
          </cell>
        </row>
        <row r="163">
          <cell r="S163" t="str">
            <v>&gt;=1146</v>
          </cell>
          <cell r="T163" t="str">
            <v>&lt;=1364</v>
          </cell>
          <cell r="U163" t="str">
            <v>=D</v>
          </cell>
          <cell r="V163" t="str">
            <v>S16</v>
          </cell>
          <cell r="AD163" t="str">
            <v>&gt;1001</v>
          </cell>
          <cell r="AE163" t="str">
            <v>&lt;=1022</v>
          </cell>
          <cell r="AF163" t="str">
            <v>D*</v>
          </cell>
        </row>
        <row r="164">
          <cell r="S164" t="str">
            <v>Line</v>
          </cell>
          <cell r="T164" t="str">
            <v>Line</v>
          </cell>
          <cell r="U164" t="str">
            <v>Desc1</v>
          </cell>
          <cell r="V164" t="str">
            <v>CAlloc</v>
          </cell>
          <cell r="AD164" t="str">
            <v>Line</v>
          </cell>
          <cell r="AE164" t="str">
            <v>Line</v>
          </cell>
          <cell r="AF164" t="str">
            <v>CAlloc</v>
          </cell>
        </row>
        <row r="165">
          <cell r="S165" t="str">
            <v>&gt;=1146</v>
          </cell>
          <cell r="T165" t="str">
            <v>&lt;=1364</v>
          </cell>
          <cell r="U165" t="str">
            <v>=D</v>
          </cell>
          <cell r="V165" t="str">
            <v>S17</v>
          </cell>
          <cell r="AD165" t="str">
            <v>&gt;1001</v>
          </cell>
          <cell r="AE165" t="str">
            <v>&lt;=1022</v>
          </cell>
          <cell r="AF165" t="str">
            <v>C*</v>
          </cell>
        </row>
        <row r="166">
          <cell r="S166" t="str">
            <v>Line</v>
          </cell>
          <cell r="T166" t="str">
            <v>Line</v>
          </cell>
          <cell r="U166" t="str">
            <v>Desc1</v>
          </cell>
          <cell r="V166" t="str">
            <v>CAlloc</v>
          </cell>
          <cell r="AD166" t="str">
            <v>Line</v>
          </cell>
          <cell r="AE166" t="str">
            <v>Line</v>
          </cell>
          <cell r="AF166" t="str">
            <v>CAlloc</v>
          </cell>
        </row>
        <row r="167">
          <cell r="S167" t="str">
            <v>&gt;=1146</v>
          </cell>
          <cell r="T167" t="str">
            <v>&lt;=1364</v>
          </cell>
          <cell r="U167" t="str">
            <v>=D</v>
          </cell>
          <cell r="V167" t="str">
            <v>S18</v>
          </cell>
          <cell r="AD167" t="str">
            <v>&gt;1001</v>
          </cell>
          <cell r="AE167" t="str">
            <v>&lt;=1022</v>
          </cell>
          <cell r="AF167" t="str">
            <v>R*</v>
          </cell>
        </row>
        <row r="168">
          <cell r="S168" t="str">
            <v>Line</v>
          </cell>
          <cell r="T168" t="str">
            <v>Line</v>
          </cell>
          <cell r="U168" t="str">
            <v>Desc1</v>
          </cell>
          <cell r="V168" t="str">
            <v>CAlloc</v>
          </cell>
        </row>
        <row r="169">
          <cell r="S169" t="str">
            <v>&gt;=1146</v>
          </cell>
          <cell r="T169" t="str">
            <v>&lt;=1364</v>
          </cell>
          <cell r="U169" t="str">
            <v>=D</v>
          </cell>
          <cell r="V169" t="str">
            <v>S19</v>
          </cell>
        </row>
        <row r="170">
          <cell r="S170" t="str">
            <v>Line</v>
          </cell>
          <cell r="T170" t="str">
            <v>Line</v>
          </cell>
          <cell r="U170" t="str">
            <v>Desc1</v>
          </cell>
          <cell r="V170" t="str">
            <v>CAlloc</v>
          </cell>
        </row>
        <row r="171">
          <cell r="S171" t="str">
            <v>&gt;=1146</v>
          </cell>
          <cell r="T171" t="str">
            <v>&lt;=1364</v>
          </cell>
          <cell r="U171" t="str">
            <v>=D</v>
          </cell>
          <cell r="V171" t="str">
            <v>S20</v>
          </cell>
        </row>
        <row r="172">
          <cell r="S172" t="str">
            <v>Line</v>
          </cell>
          <cell r="T172" t="str">
            <v>Line</v>
          </cell>
          <cell r="U172" t="str">
            <v>Desc1</v>
          </cell>
          <cell r="V172" t="str">
            <v>CAlloc</v>
          </cell>
        </row>
        <row r="173">
          <cell r="S173" t="str">
            <v>&gt;=1146</v>
          </cell>
          <cell r="T173" t="str">
            <v>&lt;=1364</v>
          </cell>
          <cell r="U173" t="str">
            <v>=D</v>
          </cell>
          <cell r="V173" t="str">
            <v>S21</v>
          </cell>
        </row>
        <row r="174">
          <cell r="S174" t="str">
            <v>Line</v>
          </cell>
          <cell r="T174" t="str">
            <v>Line</v>
          </cell>
          <cell r="U174" t="str">
            <v>Desc1</v>
          </cell>
          <cell r="V174" t="str">
            <v>CAlloc</v>
          </cell>
        </row>
        <row r="175">
          <cell r="S175" t="str">
            <v>&gt;=1146</v>
          </cell>
          <cell r="T175" t="str">
            <v>&lt;=1364</v>
          </cell>
          <cell r="U175" t="str">
            <v>=D</v>
          </cell>
          <cell r="V175" t="str">
            <v>S22</v>
          </cell>
        </row>
        <row r="176">
          <cell r="S176" t="str">
            <v>Line</v>
          </cell>
          <cell r="T176" t="str">
            <v>Line</v>
          </cell>
          <cell r="U176" t="str">
            <v>Desc1</v>
          </cell>
          <cell r="V176" t="str">
            <v>CAlloc</v>
          </cell>
        </row>
        <row r="177">
          <cell r="S177" t="str">
            <v>&gt;=1146</v>
          </cell>
          <cell r="T177" t="str">
            <v>&lt;=1364</v>
          </cell>
          <cell r="U177" t="str">
            <v>=D</v>
          </cell>
          <cell r="V177" t="str">
            <v>S23</v>
          </cell>
        </row>
        <row r="178">
          <cell r="S178" t="str">
            <v>Line</v>
          </cell>
          <cell r="T178" t="str">
            <v>Line</v>
          </cell>
          <cell r="U178" t="str">
            <v>Desc1</v>
          </cell>
          <cell r="V178" t="str">
            <v>CAlloc</v>
          </cell>
        </row>
        <row r="179">
          <cell r="S179" t="str">
            <v>&gt;=1146</v>
          </cell>
          <cell r="T179" t="str">
            <v>&lt;=1364</v>
          </cell>
          <cell r="U179" t="str">
            <v>=D</v>
          </cell>
          <cell r="V179" t="str">
            <v>S24</v>
          </cell>
        </row>
        <row r="180">
          <cell r="S180" t="str">
            <v>Line</v>
          </cell>
          <cell r="T180" t="str">
            <v>Line</v>
          </cell>
          <cell r="U180" t="str">
            <v>Desc1</v>
          </cell>
          <cell r="V180" t="str">
            <v>CAlloc</v>
          </cell>
        </row>
        <row r="181">
          <cell r="S181" t="str">
            <v>&gt;=1146</v>
          </cell>
          <cell r="T181" t="str">
            <v>&lt;=1364</v>
          </cell>
          <cell r="U181" t="str">
            <v>=D</v>
          </cell>
          <cell r="V181" t="str">
            <v>S25</v>
          </cell>
        </row>
        <row r="182">
          <cell r="S182" t="str">
            <v>Line</v>
          </cell>
          <cell r="T182" t="str">
            <v>Line</v>
          </cell>
          <cell r="U182" t="str">
            <v>Desc1</v>
          </cell>
          <cell r="V182" t="str">
            <v>CAlloc</v>
          </cell>
        </row>
        <row r="183">
          <cell r="S183" t="str">
            <v>&gt;=1146</v>
          </cell>
          <cell r="T183" t="str">
            <v>&lt;=1364</v>
          </cell>
          <cell r="U183" t="str">
            <v>=D</v>
          </cell>
          <cell r="V183" t="str">
            <v>S26</v>
          </cell>
          <cell r="AD183" t="str">
            <v>Line</v>
          </cell>
          <cell r="AE183" t="str">
            <v>Line</v>
          </cell>
          <cell r="AF183" t="str">
            <v>CAlloc</v>
          </cell>
        </row>
        <row r="184">
          <cell r="S184" t="str">
            <v>Line</v>
          </cell>
          <cell r="T184" t="str">
            <v>Line</v>
          </cell>
          <cell r="U184" t="str">
            <v>Desc1</v>
          </cell>
          <cell r="V184" t="str">
            <v>CAlloc</v>
          </cell>
          <cell r="AD184" t="str">
            <v>&gt;1023</v>
          </cell>
          <cell r="AE184" t="str">
            <v>&lt;=1033</v>
          </cell>
          <cell r="AF184" t="str">
            <v>E*</v>
          </cell>
        </row>
        <row r="185">
          <cell r="S185" t="str">
            <v>&gt;=1146</v>
          </cell>
          <cell r="T185" t="str">
            <v>&lt;=1364</v>
          </cell>
          <cell r="U185" t="str">
            <v>=D</v>
          </cell>
          <cell r="V185" t="str">
            <v>S27</v>
          </cell>
          <cell r="AD185" t="str">
            <v>Line</v>
          </cell>
          <cell r="AE185" t="str">
            <v>Line</v>
          </cell>
          <cell r="AF185" t="str">
            <v>CAlloc</v>
          </cell>
        </row>
        <row r="186">
          <cell r="AD186" t="str">
            <v>&gt;1023</v>
          </cell>
          <cell r="AE186" t="str">
            <v>&lt;=1033</v>
          </cell>
          <cell r="AF186" t="str">
            <v>D*</v>
          </cell>
        </row>
        <row r="187">
          <cell r="AD187" t="str">
            <v>Line</v>
          </cell>
          <cell r="AE187" t="str">
            <v>Line</v>
          </cell>
          <cell r="AF187" t="str">
            <v>CAlloc</v>
          </cell>
        </row>
        <row r="188">
          <cell r="AD188" t="str">
            <v>&gt;1023</v>
          </cell>
          <cell r="AE188" t="str">
            <v>&lt;=1033</v>
          </cell>
          <cell r="AF188" t="str">
            <v>C*</v>
          </cell>
        </row>
        <row r="189">
          <cell r="AD189" t="str">
            <v>Line</v>
          </cell>
          <cell r="AE189" t="str">
            <v>Line</v>
          </cell>
          <cell r="AF189" t="str">
            <v>CAlloc</v>
          </cell>
        </row>
        <row r="190">
          <cell r="AD190" t="str">
            <v>&gt;1023</v>
          </cell>
          <cell r="AE190" t="str">
            <v>&lt;=1033</v>
          </cell>
          <cell r="AF190" t="str">
            <v>R*</v>
          </cell>
        </row>
        <row r="201">
          <cell r="AD201" t="str">
            <v>Line</v>
          </cell>
          <cell r="AE201" t="str">
            <v>Line</v>
          </cell>
          <cell r="AF201" t="str">
            <v>CAlloc</v>
          </cell>
        </row>
        <row r="202">
          <cell r="AD202" t="str">
            <v>&gt;310</v>
          </cell>
          <cell r="AE202" t="str">
            <v>&lt;=328</v>
          </cell>
          <cell r="AF202" t="str">
            <v>C*</v>
          </cell>
        </row>
        <row r="203">
          <cell r="AD203" t="str">
            <v>Line</v>
          </cell>
          <cell r="AE203" t="str">
            <v>Line</v>
          </cell>
          <cell r="AF203" t="str">
            <v>CAlloc</v>
          </cell>
        </row>
        <row r="204">
          <cell r="AD204" t="str">
            <v>&gt;310</v>
          </cell>
          <cell r="AE204" t="str">
            <v>&lt;=328</v>
          </cell>
          <cell r="AF204" t="str">
            <v>R*</v>
          </cell>
        </row>
        <row r="205">
          <cell r="AD205" t="str">
            <v>Line</v>
          </cell>
          <cell r="AE205" t="str">
            <v>Line</v>
          </cell>
          <cell r="AF205" t="str">
            <v>CAlloc</v>
          </cell>
        </row>
        <row r="206">
          <cell r="AD206" t="str">
            <v>&gt;310</v>
          </cell>
          <cell r="AE206" t="str">
            <v>&lt;=328</v>
          </cell>
          <cell r="AF206" t="str">
            <v>S18</v>
          </cell>
        </row>
        <row r="215">
          <cell r="AD215" t="str">
            <v>Line</v>
          </cell>
          <cell r="AE215" t="str">
            <v>Line</v>
          </cell>
          <cell r="AF215" t="str">
            <v>CAlloc</v>
          </cell>
        </row>
        <row r="216">
          <cell r="AD216" t="str">
            <v>&gt;1034</v>
          </cell>
          <cell r="AE216" t="str">
            <v>&lt;=1044</v>
          </cell>
          <cell r="AF216" t="str">
            <v>E*</v>
          </cell>
        </row>
        <row r="217">
          <cell r="AD217" t="str">
            <v>Line</v>
          </cell>
          <cell r="AE217" t="str">
            <v>Line</v>
          </cell>
          <cell r="AF217" t="str">
            <v>CAlloc</v>
          </cell>
        </row>
        <row r="218">
          <cell r="AD218" t="str">
            <v>&gt;1034</v>
          </cell>
          <cell r="AE218" t="str">
            <v>&lt;=1044</v>
          </cell>
          <cell r="AF218" t="str">
            <v>D*</v>
          </cell>
        </row>
        <row r="219">
          <cell r="AD219" t="str">
            <v>Line</v>
          </cell>
          <cell r="AE219" t="str">
            <v>Line</v>
          </cell>
          <cell r="AF219" t="str">
            <v>CAlloc</v>
          </cell>
        </row>
        <row r="220">
          <cell r="AD220" t="str">
            <v>&gt;1034</v>
          </cell>
          <cell r="AE220" t="str">
            <v>&lt;=1044</v>
          </cell>
          <cell r="AF220" t="str">
            <v>C*</v>
          </cell>
        </row>
        <row r="221">
          <cell r="AD221" t="str">
            <v>Line</v>
          </cell>
          <cell r="AE221" t="str">
            <v>Line</v>
          </cell>
          <cell r="AF221" t="str">
            <v>CAlloc</v>
          </cell>
        </row>
        <row r="222">
          <cell r="AD222" t="str">
            <v>&gt;1034</v>
          </cell>
          <cell r="AE222" t="str">
            <v>&lt;=1044</v>
          </cell>
          <cell r="AF222" t="str">
            <v>R*</v>
          </cell>
        </row>
        <row r="233">
          <cell r="AD233" t="str">
            <v>Line</v>
          </cell>
          <cell r="AE233" t="str">
            <v>Line</v>
          </cell>
          <cell r="AF233" t="str">
            <v>CAlloc</v>
          </cell>
        </row>
        <row r="234">
          <cell r="AD234" t="str">
            <v>&gt;1490</v>
          </cell>
          <cell r="AE234" t="str">
            <v>&lt;=1498</v>
          </cell>
          <cell r="AF234" t="str">
            <v>E*</v>
          </cell>
        </row>
        <row r="235">
          <cell r="AD235" t="str">
            <v>Line</v>
          </cell>
          <cell r="AE235" t="str">
            <v>Line</v>
          </cell>
          <cell r="AF235" t="str">
            <v>CAlloc</v>
          </cell>
        </row>
        <row r="236">
          <cell r="AD236" t="str">
            <v>&gt;1490</v>
          </cell>
          <cell r="AE236" t="str">
            <v>&lt;=1498</v>
          </cell>
          <cell r="AF236" t="str">
            <v>C*</v>
          </cell>
        </row>
        <row r="237">
          <cell r="AD237" t="str">
            <v>Line</v>
          </cell>
          <cell r="AE237" t="str">
            <v>Line</v>
          </cell>
          <cell r="AF237" t="str">
            <v>CAlloc</v>
          </cell>
        </row>
        <row r="238">
          <cell r="AD238" t="str">
            <v>&gt;1490</v>
          </cell>
          <cell r="AE238" t="str">
            <v>&lt;=1498</v>
          </cell>
          <cell r="AF238" t="str">
            <v>S18</v>
          </cell>
        </row>
        <row r="239">
          <cell r="AD239" t="str">
            <v>Line</v>
          </cell>
          <cell r="AE239" t="str">
            <v>Line</v>
          </cell>
          <cell r="AF239" t="str">
            <v>CAlloc</v>
          </cell>
        </row>
        <row r="240">
          <cell r="AD240" t="str">
            <v>&gt;1490</v>
          </cell>
          <cell r="AE240" t="str">
            <v>&lt;=1498</v>
          </cell>
          <cell r="AF240" t="str">
            <v xml:space="preserve"> </v>
          </cell>
        </row>
        <row r="261">
          <cell r="AD261" t="str">
            <v>Line</v>
          </cell>
          <cell r="AE261" t="str">
            <v>Line</v>
          </cell>
          <cell r="AF261" t="str">
            <v>CAlloc</v>
          </cell>
        </row>
        <row r="262">
          <cell r="AD262" t="str">
            <v>&gt;1045</v>
          </cell>
          <cell r="AE262" t="str">
            <v>&lt;=1055</v>
          </cell>
          <cell r="AF262" t="str">
            <v>E*</v>
          </cell>
        </row>
        <row r="263">
          <cell r="AD263" t="str">
            <v>Line</v>
          </cell>
          <cell r="AE263" t="str">
            <v>Line</v>
          </cell>
          <cell r="AF263" t="str">
            <v>CAlloc</v>
          </cell>
        </row>
        <row r="264">
          <cell r="AD264" t="str">
            <v>&gt;1045</v>
          </cell>
          <cell r="AE264" t="str">
            <v>&lt;=1055</v>
          </cell>
          <cell r="AF264" t="str">
            <v>D*</v>
          </cell>
        </row>
        <row r="265">
          <cell r="AD265" t="str">
            <v>Line</v>
          </cell>
          <cell r="AE265" t="str">
            <v>Line</v>
          </cell>
          <cell r="AF265" t="str">
            <v>CAlloc</v>
          </cell>
        </row>
        <row r="266">
          <cell r="AD266" t="str">
            <v>&gt;1045</v>
          </cell>
          <cell r="AE266" t="str">
            <v>&lt;=1055</v>
          </cell>
          <cell r="AF266" t="str">
            <v>C*</v>
          </cell>
        </row>
        <row r="267">
          <cell r="AD267" t="str">
            <v>Line</v>
          </cell>
          <cell r="AE267" t="str">
            <v>Line</v>
          </cell>
          <cell r="AF267" t="str">
            <v>CAlloc</v>
          </cell>
        </row>
        <row r="268">
          <cell r="AD268" t="str">
            <v>&gt;1045</v>
          </cell>
          <cell r="AE268" t="str">
            <v>&lt;=1055</v>
          </cell>
          <cell r="AF268" t="str">
            <v>R*</v>
          </cell>
        </row>
        <row r="285">
          <cell r="AD285" t="str">
            <v>Line</v>
          </cell>
          <cell r="AE285" t="str">
            <v>Line</v>
          </cell>
          <cell r="AF285" t="str">
            <v>CAlloc</v>
          </cell>
        </row>
        <row r="286">
          <cell r="AD286" t="str">
            <v>&gt;1078</v>
          </cell>
          <cell r="AE286" t="str">
            <v>&lt;=1088</v>
          </cell>
          <cell r="AF286" t="str">
            <v>E*</v>
          </cell>
        </row>
        <row r="287">
          <cell r="AD287" t="str">
            <v>Line</v>
          </cell>
          <cell r="AE287" t="str">
            <v>Line</v>
          </cell>
          <cell r="AF287" t="str">
            <v>CAlloc</v>
          </cell>
        </row>
        <row r="288">
          <cell r="AD288" t="str">
            <v>&gt;1078</v>
          </cell>
          <cell r="AE288" t="str">
            <v>&lt;=1088</v>
          </cell>
          <cell r="AF288" t="str">
            <v>D*</v>
          </cell>
        </row>
        <row r="289">
          <cell r="AD289" t="str">
            <v>Line</v>
          </cell>
          <cell r="AE289" t="str">
            <v>Line</v>
          </cell>
          <cell r="AF289" t="str">
            <v>CAlloc</v>
          </cell>
        </row>
        <row r="290">
          <cell r="AD290" t="str">
            <v>&gt;1078</v>
          </cell>
          <cell r="AE290" t="str">
            <v>&lt;=1088</v>
          </cell>
          <cell r="AF290" t="str">
            <v>C*</v>
          </cell>
        </row>
        <row r="291">
          <cell r="AD291" t="str">
            <v>Line</v>
          </cell>
          <cell r="AE291" t="str">
            <v>Line</v>
          </cell>
          <cell r="AF291" t="str">
            <v>CAlloc</v>
          </cell>
        </row>
        <row r="292">
          <cell r="AD292" t="str">
            <v>&gt;1078</v>
          </cell>
          <cell r="AE292" t="str">
            <v>&lt;=1088</v>
          </cell>
          <cell r="AF292" t="str">
            <v>R*</v>
          </cell>
        </row>
        <row r="308">
          <cell r="AD308" t="str">
            <v>Line</v>
          </cell>
          <cell r="AE308" t="str">
            <v>Line</v>
          </cell>
          <cell r="AF308" t="str">
            <v>CAlloc</v>
          </cell>
        </row>
        <row r="309">
          <cell r="AD309" t="str">
            <v>&gt;1147</v>
          </cell>
          <cell r="AE309" t="str">
            <v>&lt;=1364</v>
          </cell>
          <cell r="AF309" t="str">
            <v>E*</v>
          </cell>
        </row>
        <row r="310">
          <cell r="AD310" t="str">
            <v>Line</v>
          </cell>
          <cell r="AE310" t="str">
            <v>Line</v>
          </cell>
          <cell r="AF310" t="str">
            <v>CAlloc</v>
          </cell>
        </row>
        <row r="311">
          <cell r="AD311" t="str">
            <v>&gt;1147</v>
          </cell>
          <cell r="AE311" t="str">
            <v>&lt;=1364</v>
          </cell>
          <cell r="AF311" t="str">
            <v>D*</v>
          </cell>
        </row>
        <row r="312">
          <cell r="AD312" t="str">
            <v>Line</v>
          </cell>
          <cell r="AE312" t="str">
            <v>Line</v>
          </cell>
          <cell r="AF312" t="str">
            <v>CAlloc</v>
          </cell>
        </row>
        <row r="313">
          <cell r="AD313" t="str">
            <v>&gt;1147</v>
          </cell>
          <cell r="AE313" t="str">
            <v>&lt;=1364</v>
          </cell>
          <cell r="AF313" t="str">
            <v>C*</v>
          </cell>
        </row>
        <row r="314">
          <cell r="AD314" t="str">
            <v>Line</v>
          </cell>
          <cell r="AE314" t="str">
            <v>Line</v>
          </cell>
          <cell r="AF314" t="str">
            <v>CAlloc</v>
          </cell>
        </row>
        <row r="315">
          <cell r="AD315" t="str">
            <v>&gt;1147</v>
          </cell>
          <cell r="AE315" t="str">
            <v>&lt;=1364</v>
          </cell>
          <cell r="AF315" t="str">
            <v>R*</v>
          </cell>
        </row>
        <row r="330">
          <cell r="AD330" t="str">
            <v>Line</v>
          </cell>
          <cell r="AE330" t="str">
            <v>Line</v>
          </cell>
          <cell r="AF330" t="str">
            <v>CAlloc</v>
          </cell>
        </row>
        <row r="331">
          <cell r="AD331" t="str">
            <v>&gt;1091</v>
          </cell>
          <cell r="AE331" t="str">
            <v>&lt;=1142</v>
          </cell>
          <cell r="AF331" t="str">
            <v>S05</v>
          </cell>
        </row>
        <row r="332">
          <cell r="AD332" t="str">
            <v>Line</v>
          </cell>
          <cell r="AE332" t="str">
            <v>Line</v>
          </cell>
          <cell r="AF332" t="str">
            <v>CAlloc</v>
          </cell>
        </row>
        <row r="333">
          <cell r="AD333" t="str">
            <v>&gt;1091</v>
          </cell>
          <cell r="AE333" t="str">
            <v>&lt;=1142</v>
          </cell>
          <cell r="AF333" t="str">
            <v>S21</v>
          </cell>
        </row>
        <row r="334">
          <cell r="AD334" t="str">
            <v>Line</v>
          </cell>
          <cell r="AE334" t="str">
            <v>Line</v>
          </cell>
          <cell r="AF334" t="str">
            <v>CAlloc</v>
          </cell>
        </row>
        <row r="335">
          <cell r="AD335" t="str">
            <v>&gt;1091</v>
          </cell>
          <cell r="AE335" t="str">
            <v>&lt;=1142</v>
          </cell>
          <cell r="AF335" t="str">
            <v>S22</v>
          </cell>
        </row>
        <row r="336">
          <cell r="AD336" t="str">
            <v>Line</v>
          </cell>
          <cell r="AE336" t="str">
            <v>Line</v>
          </cell>
          <cell r="AF336" t="str">
            <v>CAlloc</v>
          </cell>
        </row>
        <row r="337">
          <cell r="AD337" t="str">
            <v>&gt;1091</v>
          </cell>
          <cell r="AE337" t="str">
            <v>&lt;=1142</v>
          </cell>
          <cell r="AF337" t="str">
            <v>S23</v>
          </cell>
        </row>
        <row r="350">
          <cell r="AD350" t="str">
            <v>Line</v>
          </cell>
          <cell r="AE350" t="str">
            <v>Line</v>
          </cell>
          <cell r="AF350" t="str">
            <v>CAlloc</v>
          </cell>
        </row>
        <row r="351">
          <cell r="AD351" t="str">
            <v>&gt;848</v>
          </cell>
          <cell r="AE351" t="str">
            <v>&lt;=1472</v>
          </cell>
          <cell r="AF351" t="str">
            <v>E*</v>
          </cell>
        </row>
        <row r="352">
          <cell r="AD352" t="str">
            <v>Line</v>
          </cell>
          <cell r="AE352" t="str">
            <v>Line</v>
          </cell>
          <cell r="AF352" t="str">
            <v>CAlloc</v>
          </cell>
        </row>
        <row r="353">
          <cell r="AD353" t="str">
            <v>&gt;848</v>
          </cell>
          <cell r="AE353" t="str">
            <v>&lt;=1472</v>
          </cell>
          <cell r="AF353" t="str">
            <v>D*</v>
          </cell>
        </row>
        <row r="354">
          <cell r="AD354" t="str">
            <v>Line</v>
          </cell>
          <cell r="AE354" t="str">
            <v>Line</v>
          </cell>
          <cell r="AF354" t="str">
            <v>CAlloc</v>
          </cell>
        </row>
        <row r="355">
          <cell r="AD355" t="str">
            <v>&gt;848</v>
          </cell>
          <cell r="AE355" t="str">
            <v>&lt;=1472</v>
          </cell>
          <cell r="AF355" t="str">
            <v>C*</v>
          </cell>
        </row>
        <row r="356">
          <cell r="AD356" t="str">
            <v>Line</v>
          </cell>
          <cell r="AE356" t="str">
            <v>Line</v>
          </cell>
          <cell r="AF356" t="str">
            <v>CAlloc</v>
          </cell>
        </row>
        <row r="357">
          <cell r="AD357" t="str">
            <v>&gt;848</v>
          </cell>
          <cell r="AE357" t="str">
            <v>&lt;=1472</v>
          </cell>
          <cell r="AF357" t="str">
            <v>S01</v>
          </cell>
        </row>
        <row r="358">
          <cell r="AD358" t="str">
            <v>Line</v>
          </cell>
          <cell r="AE358" t="str">
            <v>Line</v>
          </cell>
          <cell r="AF358" t="str">
            <v>CAlloc</v>
          </cell>
        </row>
        <row r="359">
          <cell r="AD359" t="str">
            <v>&gt;848</v>
          </cell>
          <cell r="AE359" t="str">
            <v>&lt;=1472</v>
          </cell>
          <cell r="AF359" t="str">
            <v>S02</v>
          </cell>
        </row>
        <row r="360">
          <cell r="AD360" t="str">
            <v>Line</v>
          </cell>
          <cell r="AE360" t="str">
            <v>Line</v>
          </cell>
          <cell r="AF360" t="str">
            <v>CAlloc</v>
          </cell>
        </row>
        <row r="361">
          <cell r="AD361" t="str">
            <v>&gt;848</v>
          </cell>
          <cell r="AE361" t="str">
            <v>&lt;=1472</v>
          </cell>
          <cell r="AF361" t="str">
            <v>S03</v>
          </cell>
        </row>
        <row r="362">
          <cell r="AD362" t="str">
            <v>Line</v>
          </cell>
          <cell r="AE362" t="str">
            <v>Line</v>
          </cell>
          <cell r="AF362" t="str">
            <v>CAlloc</v>
          </cell>
        </row>
        <row r="363">
          <cell r="AD363" t="str">
            <v>&gt;848</v>
          </cell>
          <cell r="AE363" t="str">
            <v>&lt;=1472</v>
          </cell>
          <cell r="AF363" t="str">
            <v>S04</v>
          </cell>
        </row>
        <row r="364">
          <cell r="AD364" t="str">
            <v>Line</v>
          </cell>
          <cell r="AE364" t="str">
            <v>Line</v>
          </cell>
          <cell r="AF364" t="str">
            <v>CAlloc</v>
          </cell>
        </row>
        <row r="365">
          <cell r="AD365" t="str">
            <v>&gt;848</v>
          </cell>
          <cell r="AE365" t="str">
            <v>&lt;=1472</v>
          </cell>
          <cell r="AF365" t="str">
            <v>S05</v>
          </cell>
        </row>
        <row r="366">
          <cell r="AD366" t="str">
            <v>Line</v>
          </cell>
          <cell r="AE366" t="str">
            <v>Line</v>
          </cell>
          <cell r="AF366" t="str">
            <v>CAlloc</v>
          </cell>
        </row>
        <row r="367">
          <cell r="AD367" t="str">
            <v>&gt;848</v>
          </cell>
          <cell r="AE367" t="str">
            <v>&lt;=1472</v>
          </cell>
          <cell r="AF367" t="str">
            <v>S06</v>
          </cell>
        </row>
        <row r="368">
          <cell r="AD368" t="str">
            <v>Line</v>
          </cell>
          <cell r="AE368" t="str">
            <v>Line</v>
          </cell>
          <cell r="AF368" t="str">
            <v>CAlloc</v>
          </cell>
        </row>
        <row r="369">
          <cell r="AD369" t="str">
            <v>&gt;848</v>
          </cell>
          <cell r="AE369" t="str">
            <v>&lt;=1472</v>
          </cell>
          <cell r="AF369" t="str">
            <v>S13</v>
          </cell>
        </row>
        <row r="370">
          <cell r="AD370" t="str">
            <v>Line</v>
          </cell>
          <cell r="AE370" t="str">
            <v>Line</v>
          </cell>
          <cell r="AF370" t="str">
            <v>CAlloc</v>
          </cell>
        </row>
        <row r="371">
          <cell r="AD371" t="str">
            <v>&gt;848</v>
          </cell>
          <cell r="AE371" t="str">
            <v>&lt;=1472</v>
          </cell>
          <cell r="AF371" t="str">
            <v>S21</v>
          </cell>
        </row>
        <row r="372">
          <cell r="AD372" t="str">
            <v>Line</v>
          </cell>
          <cell r="AE372" t="str">
            <v>Line</v>
          </cell>
          <cell r="AF372" t="str">
            <v>CAlloc</v>
          </cell>
        </row>
        <row r="373">
          <cell r="AD373" t="str">
            <v>&gt;848</v>
          </cell>
          <cell r="AE373" t="str">
            <v>&lt;=1472</v>
          </cell>
          <cell r="AF373" t="str">
            <v>S22</v>
          </cell>
        </row>
        <row r="374">
          <cell r="AD374" t="str">
            <v>Line</v>
          </cell>
          <cell r="AE374" t="str">
            <v>Line</v>
          </cell>
          <cell r="AF374" t="str">
            <v>CAlloc</v>
          </cell>
        </row>
        <row r="375">
          <cell r="AD375" t="str">
            <v>&gt;848</v>
          </cell>
          <cell r="AE375" t="str">
            <v>&lt;=1472</v>
          </cell>
          <cell r="AF375" t="str">
            <v>S23</v>
          </cell>
        </row>
        <row r="380">
          <cell r="AD380" t="str">
            <v>Line</v>
          </cell>
          <cell r="AE380" t="str">
            <v>Line</v>
          </cell>
          <cell r="AF380" t="str">
            <v>CAlloc</v>
          </cell>
        </row>
        <row r="381">
          <cell r="AD381" t="str">
            <v>&gt;10</v>
          </cell>
          <cell r="AE381" t="str">
            <v>&lt;=264</v>
          </cell>
          <cell r="AF381" t="str">
            <v>E*</v>
          </cell>
        </row>
        <row r="382">
          <cell r="AD382" t="str">
            <v>Line</v>
          </cell>
          <cell r="AE382" t="str">
            <v>Line</v>
          </cell>
          <cell r="AF382" t="str">
            <v>CAlloc</v>
          </cell>
        </row>
        <row r="383">
          <cell r="AD383" t="str">
            <v>&gt;10</v>
          </cell>
          <cell r="AE383" t="str">
            <v>&lt;=264</v>
          </cell>
          <cell r="AF383" t="str">
            <v>D*</v>
          </cell>
        </row>
        <row r="384">
          <cell r="AD384" t="str">
            <v>Line</v>
          </cell>
          <cell r="AE384" t="str">
            <v>Line</v>
          </cell>
          <cell r="AF384" t="str">
            <v>CAlloc</v>
          </cell>
        </row>
        <row r="385">
          <cell r="AD385" t="str">
            <v>&gt;10</v>
          </cell>
          <cell r="AE385" t="str">
            <v>&lt;=264</v>
          </cell>
          <cell r="AF385" t="str">
            <v>C*</v>
          </cell>
        </row>
        <row r="386">
          <cell r="AD386" t="str">
            <v>Line</v>
          </cell>
          <cell r="AE386" t="str">
            <v>Line</v>
          </cell>
          <cell r="AF386" t="str">
            <v>CAlloc</v>
          </cell>
        </row>
        <row r="387">
          <cell r="AD387" t="str">
            <v>&gt;10</v>
          </cell>
          <cell r="AE387" t="str">
            <v>&lt;=264</v>
          </cell>
          <cell r="AF387" t="str">
            <v>S01</v>
          </cell>
        </row>
        <row r="390">
          <cell r="AD390" t="str">
            <v>Line</v>
          </cell>
          <cell r="AE390" t="str">
            <v>Line</v>
          </cell>
          <cell r="AF390" t="str">
            <v>CAlloc</v>
          </cell>
        </row>
        <row r="391">
          <cell r="AD391" t="str">
            <v>&gt;10</v>
          </cell>
          <cell r="AE391" t="str">
            <v>&lt;=369</v>
          </cell>
          <cell r="AF391" t="str">
            <v>E*</v>
          </cell>
        </row>
        <row r="392">
          <cell r="AD392" t="str">
            <v>Line</v>
          </cell>
          <cell r="AE392" t="str">
            <v>Line</v>
          </cell>
          <cell r="AF392" t="str">
            <v>CAlloc</v>
          </cell>
        </row>
        <row r="393">
          <cell r="AD393" t="str">
            <v>&gt;10</v>
          </cell>
          <cell r="AE393" t="str">
            <v>&lt;=369</v>
          </cell>
          <cell r="AF393" t="str">
            <v>D*</v>
          </cell>
        </row>
        <row r="394">
          <cell r="AD394" t="str">
            <v>Line</v>
          </cell>
          <cell r="AE394" t="str">
            <v>Line</v>
          </cell>
          <cell r="AF394" t="str">
            <v>CAlloc</v>
          </cell>
        </row>
        <row r="395">
          <cell r="AD395" t="str">
            <v>&gt;10</v>
          </cell>
          <cell r="AE395" t="str">
            <v>&lt;=369</v>
          </cell>
          <cell r="AF395" t="str">
            <v>C*</v>
          </cell>
        </row>
        <row r="396">
          <cell r="AD396" t="str">
            <v>Line</v>
          </cell>
          <cell r="AE396" t="str">
            <v>Line</v>
          </cell>
          <cell r="AF396" t="str">
            <v>CAlloc</v>
          </cell>
        </row>
        <row r="397">
          <cell r="AD397" t="str">
            <v>&gt;10</v>
          </cell>
          <cell r="AE397" t="str">
            <v>&lt;=369</v>
          </cell>
          <cell r="AF397" t="str">
            <v>R*</v>
          </cell>
        </row>
        <row r="398">
          <cell r="AD398" t="str">
            <v>Line</v>
          </cell>
          <cell r="AE398" t="str">
            <v>Line</v>
          </cell>
          <cell r="AF398" t="str">
            <v>CAlloc</v>
          </cell>
        </row>
        <row r="399">
          <cell r="AD399" t="str">
            <v>&gt;10</v>
          </cell>
          <cell r="AE399" t="str">
            <v>&lt;=369</v>
          </cell>
          <cell r="AF399" t="str">
            <v>S01</v>
          </cell>
        </row>
        <row r="400">
          <cell r="AD400" t="str">
            <v>Line</v>
          </cell>
          <cell r="AE400" t="str">
            <v>Line</v>
          </cell>
          <cell r="AF400" t="str">
            <v>CAlloc</v>
          </cell>
        </row>
        <row r="401">
          <cell r="AD401" t="str">
            <v>&gt;10</v>
          </cell>
          <cell r="AE401" t="str">
            <v>&lt;=369</v>
          </cell>
          <cell r="AF401" t="str">
            <v>S02</v>
          </cell>
        </row>
        <row r="402">
          <cell r="AD402" t="str">
            <v>Line</v>
          </cell>
          <cell r="AE402" t="str">
            <v>Line</v>
          </cell>
          <cell r="AF402" t="str">
            <v>CAlloc</v>
          </cell>
        </row>
        <row r="403">
          <cell r="AD403" t="str">
            <v>&gt;10</v>
          </cell>
          <cell r="AE403" t="str">
            <v>&lt;=369</v>
          </cell>
          <cell r="AF403" t="str">
            <v>S03</v>
          </cell>
        </row>
        <row r="404">
          <cell r="AD404" t="str">
            <v>Line</v>
          </cell>
          <cell r="AE404" t="str">
            <v>Line</v>
          </cell>
          <cell r="AF404" t="str">
            <v>CAlloc</v>
          </cell>
        </row>
        <row r="405">
          <cell r="AD405" t="str">
            <v>&gt;10</v>
          </cell>
          <cell r="AE405" t="str">
            <v>&lt;=369</v>
          </cell>
          <cell r="AF405" t="str">
            <v>Sxx</v>
          </cell>
        </row>
        <row r="406">
          <cell r="AD406" t="str">
            <v>Line</v>
          </cell>
          <cell r="AE406" t="str">
            <v>Line</v>
          </cell>
          <cell r="AF406" t="str">
            <v>CAlloc</v>
          </cell>
        </row>
        <row r="407">
          <cell r="AD407" t="str">
            <v>&gt;10</v>
          </cell>
          <cell r="AE407" t="str">
            <v>&lt;=369</v>
          </cell>
          <cell r="AF407" t="str">
            <v>S05</v>
          </cell>
        </row>
        <row r="408">
          <cell r="AD408" t="str">
            <v>Line</v>
          </cell>
          <cell r="AE408" t="str">
            <v>Line</v>
          </cell>
          <cell r="AF408" t="str">
            <v>CAlloc</v>
          </cell>
        </row>
        <row r="409">
          <cell r="AD409" t="str">
            <v>&gt;10</v>
          </cell>
          <cell r="AE409" t="str">
            <v>&lt;=369</v>
          </cell>
          <cell r="AF409" t="str">
            <v>Sxx</v>
          </cell>
        </row>
        <row r="410">
          <cell r="AD410" t="str">
            <v>Line</v>
          </cell>
          <cell r="AE410" t="str">
            <v>Line</v>
          </cell>
          <cell r="AF410" t="str">
            <v>CAlloc</v>
          </cell>
        </row>
        <row r="411">
          <cell r="AD411" t="str">
            <v>&gt;10</v>
          </cell>
          <cell r="AE411" t="str">
            <v>&lt;=369</v>
          </cell>
          <cell r="AF411" t="str">
            <v>Sxx</v>
          </cell>
        </row>
        <row r="412">
          <cell r="AD412" t="str">
            <v>Line</v>
          </cell>
          <cell r="AE412" t="str">
            <v>Line</v>
          </cell>
          <cell r="AF412" t="str">
            <v>CAlloc</v>
          </cell>
        </row>
        <row r="413">
          <cell r="AD413" t="str">
            <v>&gt;10</v>
          </cell>
          <cell r="AE413" t="str">
            <v>&lt;=369</v>
          </cell>
          <cell r="AF413" t="str">
            <v>S08</v>
          </cell>
        </row>
        <row r="414">
          <cell r="AD414" t="str">
            <v>Line</v>
          </cell>
          <cell r="AE414" t="str">
            <v>Line</v>
          </cell>
          <cell r="AF414" t="str">
            <v>CAlloc</v>
          </cell>
        </row>
        <row r="415">
          <cell r="AD415" t="str">
            <v>&gt;10</v>
          </cell>
          <cell r="AE415" t="str">
            <v>&lt;=369</v>
          </cell>
          <cell r="AF415" t="str">
            <v>S09</v>
          </cell>
        </row>
        <row r="416">
          <cell r="AD416" t="str">
            <v>Line</v>
          </cell>
          <cell r="AE416" t="str">
            <v>Line</v>
          </cell>
          <cell r="AF416" t="str">
            <v>CAlloc</v>
          </cell>
        </row>
        <row r="417">
          <cell r="AD417" t="str">
            <v>&gt;10</v>
          </cell>
          <cell r="AE417" t="str">
            <v>&lt;=369</v>
          </cell>
          <cell r="AF417" t="str">
            <v>S10</v>
          </cell>
        </row>
        <row r="418">
          <cell r="AD418" t="str">
            <v>Line</v>
          </cell>
          <cell r="AE418" t="str">
            <v>Line</v>
          </cell>
          <cell r="AF418" t="str">
            <v>CAlloc</v>
          </cell>
        </row>
        <row r="419">
          <cell r="AD419" t="str">
            <v>&gt;10</v>
          </cell>
          <cell r="AE419" t="str">
            <v>&lt;=369</v>
          </cell>
          <cell r="AF419" t="str">
            <v>S11</v>
          </cell>
        </row>
        <row r="420">
          <cell r="AD420" t="str">
            <v>Line</v>
          </cell>
          <cell r="AE420" t="str">
            <v>Line</v>
          </cell>
          <cell r="AF420" t="str">
            <v>CAlloc</v>
          </cell>
        </row>
        <row r="421">
          <cell r="AD421" t="str">
            <v>&gt;10</v>
          </cell>
          <cell r="AE421" t="str">
            <v>&lt;=369</v>
          </cell>
          <cell r="AF421" t="str">
            <v>S12</v>
          </cell>
        </row>
        <row r="422">
          <cell r="AD422" t="str">
            <v>Line</v>
          </cell>
          <cell r="AE422" t="str">
            <v>Line</v>
          </cell>
          <cell r="AF422" t="str">
            <v>CAlloc</v>
          </cell>
        </row>
        <row r="423">
          <cell r="AD423" t="str">
            <v>&gt;10</v>
          </cell>
          <cell r="AE423" t="str">
            <v>&lt;=369</v>
          </cell>
          <cell r="AF423" t="str">
            <v>S13</v>
          </cell>
        </row>
        <row r="424">
          <cell r="AD424" t="str">
            <v>Line</v>
          </cell>
          <cell r="AE424" t="str">
            <v>Line</v>
          </cell>
          <cell r="AF424" t="str">
            <v>CAlloc</v>
          </cell>
        </row>
        <row r="425">
          <cell r="AD425" t="str">
            <v>&gt;10</v>
          </cell>
          <cell r="AE425" t="str">
            <v>&lt;=369</v>
          </cell>
          <cell r="AF425" t="str">
            <v>S14</v>
          </cell>
        </row>
        <row r="426">
          <cell r="AD426" t="str">
            <v>Line</v>
          </cell>
          <cell r="AE426" t="str">
            <v>Line</v>
          </cell>
          <cell r="AF426" t="str">
            <v>CAlloc</v>
          </cell>
        </row>
        <row r="427">
          <cell r="AD427" t="str">
            <v>&gt;10</v>
          </cell>
          <cell r="AE427" t="str">
            <v>&lt;=369</v>
          </cell>
          <cell r="AF427" t="str">
            <v>S15</v>
          </cell>
        </row>
        <row r="428">
          <cell r="AD428" t="str">
            <v>Line</v>
          </cell>
          <cell r="AE428" t="str">
            <v>Line</v>
          </cell>
          <cell r="AF428" t="str">
            <v>CAlloc</v>
          </cell>
        </row>
        <row r="429">
          <cell r="AD429" t="str">
            <v>&gt;10</v>
          </cell>
          <cell r="AE429" t="str">
            <v>&lt;=369</v>
          </cell>
          <cell r="AF429" t="str">
            <v>S16</v>
          </cell>
        </row>
        <row r="430">
          <cell r="AD430" t="str">
            <v>Line</v>
          </cell>
          <cell r="AE430" t="str">
            <v>Line</v>
          </cell>
          <cell r="AF430" t="str">
            <v>CAlloc</v>
          </cell>
        </row>
        <row r="431">
          <cell r="AD431" t="str">
            <v>&gt;10</v>
          </cell>
          <cell r="AE431" t="str">
            <v>&lt;=369</v>
          </cell>
          <cell r="AF431" t="str">
            <v>S17</v>
          </cell>
        </row>
        <row r="432">
          <cell r="AD432" t="str">
            <v>Line</v>
          </cell>
          <cell r="AE432" t="str">
            <v>Line</v>
          </cell>
          <cell r="AF432" t="str">
            <v>CAlloc</v>
          </cell>
        </row>
        <row r="433">
          <cell r="AD433" t="str">
            <v>&gt;10</v>
          </cell>
          <cell r="AE433" t="str">
            <v>&lt;=369</v>
          </cell>
          <cell r="AF433" t="str">
            <v>S18</v>
          </cell>
        </row>
        <row r="452">
          <cell r="AD452" t="str">
            <v>Line</v>
          </cell>
          <cell r="AE452" t="str">
            <v>Line</v>
          </cell>
          <cell r="AF452" t="str">
            <v>CAlloc</v>
          </cell>
        </row>
        <row r="453">
          <cell r="AD453" t="str">
            <v>&gt;16</v>
          </cell>
          <cell r="AE453" t="str">
            <v>&lt;=20</v>
          </cell>
          <cell r="AF453" t="str">
            <v>E*</v>
          </cell>
        </row>
        <row r="454">
          <cell r="AD454" t="str">
            <v>&gt;144</v>
          </cell>
          <cell r="AE454" t="str">
            <v>&lt;=148</v>
          </cell>
          <cell r="AF454" t="str">
            <v>E*</v>
          </cell>
        </row>
        <row r="455">
          <cell r="AD455" t="str">
            <v>&gt;188</v>
          </cell>
          <cell r="AE455" t="str">
            <v>&lt;=192</v>
          </cell>
          <cell r="AF455" t="str">
            <v>E*</v>
          </cell>
        </row>
        <row r="456">
          <cell r="AD456" t="str">
            <v>&gt;226</v>
          </cell>
          <cell r="AE456" t="str">
            <v>&lt;=229</v>
          </cell>
          <cell r="AF456" t="str">
            <v>E*</v>
          </cell>
        </row>
        <row r="457">
          <cell r="AD457" t="str">
            <v>&gt;322</v>
          </cell>
          <cell r="AE457" t="str">
            <v>&lt;=323</v>
          </cell>
          <cell r="AF457" t="str">
            <v>E*</v>
          </cell>
        </row>
        <row r="458">
          <cell r="AD458" t="str">
            <v>Line</v>
          </cell>
          <cell r="AE458" t="str">
            <v>Line</v>
          </cell>
          <cell r="AF458" t="str">
            <v>CAlloc</v>
          </cell>
        </row>
        <row r="459">
          <cell r="AD459" t="str">
            <v>&gt;16</v>
          </cell>
          <cell r="AE459" t="str">
            <v>&lt;=20</v>
          </cell>
          <cell r="AF459" t="str">
            <v>D*</v>
          </cell>
        </row>
        <row r="460">
          <cell r="AD460" t="str">
            <v>&gt;144</v>
          </cell>
          <cell r="AE460" t="str">
            <v>&lt;=148</v>
          </cell>
          <cell r="AF460" t="str">
            <v>D*</v>
          </cell>
        </row>
        <row r="461">
          <cell r="AD461" t="str">
            <v>&gt;188</v>
          </cell>
          <cell r="AE461" t="str">
            <v>&lt;=192</v>
          </cell>
          <cell r="AF461" t="str">
            <v>D*</v>
          </cell>
        </row>
        <row r="462">
          <cell r="AD462" t="str">
            <v>&gt;226</v>
          </cell>
          <cell r="AE462" t="str">
            <v>&lt;=229</v>
          </cell>
          <cell r="AF462" t="str">
            <v>D*</v>
          </cell>
        </row>
        <row r="463">
          <cell r="AD463" t="str">
            <v>&gt;322</v>
          </cell>
          <cell r="AE463" t="str">
            <v>&lt;=323</v>
          </cell>
          <cell r="AF463" t="str">
            <v>D*</v>
          </cell>
        </row>
        <row r="464">
          <cell r="AD464" t="str">
            <v>Line</v>
          </cell>
          <cell r="AE464" t="str">
            <v>Line</v>
          </cell>
          <cell r="AF464" t="str">
            <v>CAlloc</v>
          </cell>
        </row>
        <row r="465">
          <cell r="AD465" t="str">
            <v>&gt;16</v>
          </cell>
          <cell r="AE465" t="str">
            <v>&lt;=20</v>
          </cell>
          <cell r="AF465" t="str">
            <v>C*</v>
          </cell>
        </row>
        <row r="466">
          <cell r="AD466" t="str">
            <v>&gt;144</v>
          </cell>
          <cell r="AE466" t="str">
            <v>&lt;=148</v>
          </cell>
          <cell r="AF466" t="str">
            <v>C*</v>
          </cell>
        </row>
        <row r="467">
          <cell r="AD467" t="str">
            <v>&gt;188</v>
          </cell>
          <cell r="AE467" t="str">
            <v>&lt;=192</v>
          </cell>
          <cell r="AF467" t="str">
            <v>C*</v>
          </cell>
        </row>
        <row r="468">
          <cell r="AD468" t="str">
            <v>&gt;226</v>
          </cell>
          <cell r="AE468" t="str">
            <v>&lt;=229</v>
          </cell>
          <cell r="AF468" t="str">
            <v>C*</v>
          </cell>
        </row>
        <row r="469">
          <cell r="AD469" t="str">
            <v>&gt;322</v>
          </cell>
          <cell r="AE469" t="str">
            <v>&lt;=323</v>
          </cell>
          <cell r="AF469" t="str">
            <v>C*</v>
          </cell>
        </row>
        <row r="470">
          <cell r="AD470" t="str">
            <v>Line</v>
          </cell>
          <cell r="AE470" t="str">
            <v>Line</v>
          </cell>
          <cell r="AF470" t="str">
            <v>CAlloc</v>
          </cell>
        </row>
        <row r="471">
          <cell r="AD471" t="str">
            <v>&gt;16</v>
          </cell>
          <cell r="AE471" t="str">
            <v>&lt;=20</v>
          </cell>
          <cell r="AF471" t="str">
            <v>R*</v>
          </cell>
        </row>
        <row r="472">
          <cell r="AD472" t="str">
            <v>&gt;144</v>
          </cell>
          <cell r="AE472" t="str">
            <v>&lt;=148</v>
          </cell>
          <cell r="AF472" t="str">
            <v>R*</v>
          </cell>
        </row>
        <row r="473">
          <cell r="AD473" t="str">
            <v>&gt;188</v>
          </cell>
          <cell r="AE473" t="str">
            <v>&lt;=192</v>
          </cell>
          <cell r="AF473" t="str">
            <v>R*</v>
          </cell>
        </row>
        <row r="474">
          <cell r="AD474" t="str">
            <v>&gt;226</v>
          </cell>
          <cell r="AE474" t="str">
            <v>&lt;=229</v>
          </cell>
          <cell r="AF474" t="str">
            <v>R*</v>
          </cell>
        </row>
        <row r="475">
          <cell r="AD475" t="str">
            <v>&gt;322</v>
          </cell>
          <cell r="AE475" t="str">
            <v>&lt;=323</v>
          </cell>
          <cell r="AF475" t="str">
            <v>R*</v>
          </cell>
        </row>
        <row r="476">
          <cell r="AD476" t="str">
            <v>Line</v>
          </cell>
          <cell r="AE476" t="str">
            <v>Line</v>
          </cell>
          <cell r="AF476" t="str">
            <v>CAlloc</v>
          </cell>
        </row>
        <row r="477">
          <cell r="AD477" t="str">
            <v>&gt;16</v>
          </cell>
          <cell r="AE477" t="str">
            <v>&lt;=20</v>
          </cell>
          <cell r="AF477" t="str">
            <v>S01</v>
          </cell>
        </row>
        <row r="478">
          <cell r="AD478" t="str">
            <v>&gt;144</v>
          </cell>
          <cell r="AE478" t="str">
            <v>&lt;=148</v>
          </cell>
          <cell r="AF478" t="str">
            <v>S01</v>
          </cell>
        </row>
        <row r="479">
          <cell r="AD479" t="str">
            <v>&gt;188</v>
          </cell>
          <cell r="AE479" t="str">
            <v>&lt;=192</v>
          </cell>
          <cell r="AF479" t="str">
            <v>S01</v>
          </cell>
        </row>
        <row r="480">
          <cell r="AD480" t="str">
            <v>&gt;226</v>
          </cell>
          <cell r="AE480" t="str">
            <v>&lt;=229</v>
          </cell>
          <cell r="AF480" t="str">
            <v>S01</v>
          </cell>
        </row>
        <row r="481">
          <cell r="AD481" t="str">
            <v>&gt;322</v>
          </cell>
          <cell r="AE481" t="str">
            <v>&lt;=323</v>
          </cell>
          <cell r="AF481" t="str">
            <v>S01</v>
          </cell>
        </row>
        <row r="662">
          <cell r="E662" t="str">
            <v/>
          </cell>
          <cell r="F662">
            <v>775077000.00000119</v>
          </cell>
          <cell r="G662">
            <v>351949127.65158916</v>
          </cell>
          <cell r="H662">
            <v>65666765.119955011</v>
          </cell>
          <cell r="I662">
            <v>200925570.18555871</v>
          </cell>
          <cell r="J662">
            <v>137373554.55374068</v>
          </cell>
          <cell r="K662">
            <v>16136480.061282411</v>
          </cell>
          <cell r="L662">
            <v>3025502.4278747388</v>
          </cell>
          <cell r="M662">
            <v>9.9999999999999995E-8</v>
          </cell>
          <cell r="N662">
            <v>9.9999999999999995E-8</v>
          </cell>
          <cell r="O662">
            <v>9.9999999999999995E-8</v>
          </cell>
          <cell r="P662">
            <v>9.9999999999999995E-8</v>
          </cell>
          <cell r="Q662">
            <v>9.9999999999999995E-8</v>
          </cell>
        </row>
        <row r="663">
          <cell r="E663" t="str">
            <v>E*</v>
          </cell>
          <cell r="F663">
            <v>510000666</v>
          </cell>
          <cell r="G663">
            <v>219851133.5308055</v>
          </cell>
          <cell r="H663">
            <v>45033103.378183566</v>
          </cell>
          <cell r="I663">
            <v>136084742.02522054</v>
          </cell>
          <cell r="J663">
            <v>95226182.926963821</v>
          </cell>
          <cell r="K663">
            <v>11424338.616634024</v>
          </cell>
          <cell r="L663">
            <v>2381165.5221926114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E664" t="str">
            <v>D*</v>
          </cell>
          <cell r="F664">
            <v>265076334.00000003</v>
          </cell>
          <cell r="G664">
            <v>132097994.12078352</v>
          </cell>
          <cell r="H664">
            <v>20633661.741771348</v>
          </cell>
          <cell r="I664">
            <v>64840828.160338089</v>
          </cell>
          <cell r="J664">
            <v>42147371.626776762</v>
          </cell>
          <cell r="K664">
            <v>4712141.4446482863</v>
          </cell>
          <cell r="L664">
            <v>644336.90568202746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E665" t="str">
            <v>C*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E666" t="str">
            <v>R*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9">
          <cell r="E669" t="str">
            <v/>
          </cell>
          <cell r="F669">
            <v>333426000.00000119</v>
          </cell>
          <cell r="G669">
            <v>151403008.78023574</v>
          </cell>
          <cell r="H669">
            <v>28248815.055647589</v>
          </cell>
          <cell r="I669">
            <v>86435036.989473507</v>
          </cell>
          <cell r="J669">
            <v>59095954.080221161</v>
          </cell>
          <cell r="K669">
            <v>6941661.2812832706</v>
          </cell>
          <cell r="L669">
            <v>1301523.8131393485</v>
          </cell>
          <cell r="M669">
            <v>9.9999999999999995E-8</v>
          </cell>
          <cell r="N669">
            <v>9.9999999999999995E-8</v>
          </cell>
          <cell r="O669">
            <v>9.9999999999999995E-8</v>
          </cell>
          <cell r="P669">
            <v>9.9999999999999995E-8</v>
          </cell>
          <cell r="Q669">
            <v>9.9999999999999995E-8</v>
          </cell>
        </row>
        <row r="670">
          <cell r="E670" t="str">
            <v>E*</v>
          </cell>
          <cell r="F670">
            <v>219394308.00000003</v>
          </cell>
          <cell r="G670">
            <v>94576518.266755879</v>
          </cell>
          <cell r="H670">
            <v>19372536.569881748</v>
          </cell>
          <cell r="I670">
            <v>58541527.092793599</v>
          </cell>
          <cell r="J670">
            <v>40964814.165051773</v>
          </cell>
          <cell r="K670">
            <v>4914571.7491163025</v>
          </cell>
          <cell r="L670">
            <v>1024340.1564007108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E671" t="str">
            <v>D*</v>
          </cell>
          <cell r="F671">
            <v>114031692.00000001</v>
          </cell>
          <cell r="G671">
            <v>56826490.513479777</v>
          </cell>
          <cell r="H671">
            <v>8876278.4857657403</v>
          </cell>
          <cell r="I671">
            <v>27893509.896679796</v>
          </cell>
          <cell r="J671">
            <v>18131139.915169291</v>
          </cell>
          <cell r="K671">
            <v>2027089.5321668682</v>
          </cell>
          <cell r="L671">
            <v>277183.65673853783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E672" t="str">
            <v>C*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E673" t="str">
            <v>R*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6">
          <cell r="E676" t="str">
            <v/>
          </cell>
          <cell r="F676">
            <v>695186000.00000131</v>
          </cell>
          <cell r="G676">
            <v>377267678.89115143</v>
          </cell>
          <cell r="H676">
            <v>76499108.077935517</v>
          </cell>
          <cell r="I676">
            <v>164018215.42208672</v>
          </cell>
          <cell r="J676">
            <v>25510159.121659044</v>
          </cell>
          <cell r="K676">
            <v>16701655.117546173</v>
          </cell>
          <cell r="L676">
            <v>35189183.369621836</v>
          </cell>
          <cell r="M676">
            <v>9.9999999999999995E-8</v>
          </cell>
          <cell r="N676">
            <v>9.9999999999999995E-8</v>
          </cell>
          <cell r="O676">
            <v>9.9999999999999995E-8</v>
          </cell>
          <cell r="P676">
            <v>9.9999999999999995E-8</v>
          </cell>
          <cell r="Q676">
            <v>9.9999999999999995E-8</v>
          </cell>
        </row>
        <row r="677">
          <cell r="E677" t="str">
            <v>E*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E678" t="str">
            <v>D*</v>
          </cell>
          <cell r="F678">
            <v>572377000.00000012</v>
          </cell>
          <cell r="G678">
            <v>295844986.01545346</v>
          </cell>
          <cell r="H678">
            <v>61174887.618131749</v>
          </cell>
          <cell r="I678">
            <v>160109387.46555454</v>
          </cell>
          <cell r="J678">
            <v>25449139.404639535</v>
          </cell>
          <cell r="K678">
            <v>14941416.126599077</v>
          </cell>
          <cell r="L678">
            <v>14857183.369621737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E679" t="str">
            <v>C*</v>
          </cell>
          <cell r="F679">
            <v>122809000.00000001</v>
          </cell>
          <cell r="G679">
            <v>81422692.875697851</v>
          </cell>
          <cell r="H679">
            <v>15324220.459803667</v>
          </cell>
          <cell r="I679">
            <v>3908827.9565320867</v>
          </cell>
          <cell r="J679">
            <v>61019.717019408075</v>
          </cell>
          <cell r="K679">
            <v>1760238.9909469951</v>
          </cell>
          <cell r="L679">
            <v>20332000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E680" t="str">
            <v>R*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</row>
        <row r="683">
          <cell r="E683" t="str">
            <v/>
          </cell>
          <cell r="F683">
            <v>140218999.99999788</v>
          </cell>
          <cell r="G683">
            <v>75745431.581599444</v>
          </cell>
          <cell r="H683">
            <v>13821564.727942109</v>
          </cell>
          <cell r="I683">
            <v>30433714.104369089</v>
          </cell>
          <cell r="J683">
            <v>14500415.003472826</v>
          </cell>
          <cell r="K683">
            <v>2875836.0294665755</v>
          </cell>
          <cell r="L683">
            <v>2842038.553147417</v>
          </cell>
          <cell r="M683">
            <v>9.9999999999999995E-8</v>
          </cell>
          <cell r="N683">
            <v>9.9999999999999995E-8</v>
          </cell>
          <cell r="O683">
            <v>9.9999999999999995E-8</v>
          </cell>
          <cell r="P683">
            <v>9.9999999999999995E-8</v>
          </cell>
          <cell r="Q683">
            <v>9.9999999999999995E-8</v>
          </cell>
        </row>
        <row r="684">
          <cell r="F684">
            <v>46664385.917025201</v>
          </cell>
          <cell r="G684">
            <v>20116087.72953454</v>
          </cell>
          <cell r="H684">
            <v>4120469.3546043858</v>
          </cell>
          <cell r="I684">
            <v>12451573.777520776</v>
          </cell>
          <cell r="J684">
            <v>8713069.6992247533</v>
          </cell>
          <cell r="K684">
            <v>1045311.8625012372</v>
          </cell>
          <cell r="L684">
            <v>217873.49363950873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</row>
        <row r="685">
          <cell r="F685">
            <v>65543995.611401409</v>
          </cell>
          <cell r="G685">
            <v>33428341.580126218</v>
          </cell>
          <cell r="H685">
            <v>6300995.4863596745</v>
          </cell>
          <cell r="I685">
            <v>17482790.824667122</v>
          </cell>
          <cell r="J685">
            <v>5692118.5151634822</v>
          </cell>
          <cell r="K685">
            <v>1509002.3062143603</v>
          </cell>
          <cell r="L685">
            <v>1130746.8988705459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F686">
            <v>28010618.471570242</v>
          </cell>
          <cell r="G686">
            <v>22201002.271938574</v>
          </cell>
          <cell r="H686">
            <v>3400099.8869779492</v>
          </cell>
          <cell r="I686">
            <v>499349.50218109018</v>
          </cell>
          <cell r="J686">
            <v>95226.78908448937</v>
          </cell>
          <cell r="K686">
            <v>321521.86075087753</v>
          </cell>
          <cell r="L686">
            <v>1493418.1606372623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90">
          <cell r="E690" t="str">
            <v/>
          </cell>
          <cell r="F690">
            <v>1803689000.000001</v>
          </cell>
          <cell r="G690">
            <v>880619815.32297611</v>
          </cell>
          <cell r="H690">
            <v>170414688.25353789</v>
          </cell>
          <cell r="I690">
            <v>451378822.59711879</v>
          </cell>
          <cell r="J690">
            <v>221979667.75562069</v>
          </cell>
          <cell r="K690">
            <v>39779796.460111648</v>
          </cell>
          <cell r="L690">
            <v>39516209.61063572</v>
          </cell>
          <cell r="M690">
            <v>9.9999999999999995E-8</v>
          </cell>
          <cell r="N690">
            <v>9.9999999999999995E-8</v>
          </cell>
          <cell r="O690">
            <v>9.9999999999999995E-8</v>
          </cell>
          <cell r="P690">
            <v>9.9999999999999995E-8</v>
          </cell>
          <cell r="Q690">
            <v>9.9999999999999995E-8</v>
          </cell>
        </row>
        <row r="691">
          <cell r="F691">
            <v>729394974</v>
          </cell>
          <cell r="G691">
            <v>314427651.79756141</v>
          </cell>
          <cell r="H691">
            <v>64405639.948065311</v>
          </cell>
          <cell r="I691">
            <v>194626269.11801416</v>
          </cell>
          <cell r="J691">
            <v>136190997.09201559</v>
          </cell>
          <cell r="K691">
            <v>16338910.365750328</v>
          </cell>
          <cell r="L691">
            <v>3405505.6785933222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F692">
            <v>951485026.00000012</v>
          </cell>
          <cell r="G692">
            <v>484769470.64971673</v>
          </cell>
          <cell r="H692">
            <v>90684827.845668837</v>
          </cell>
          <cell r="I692">
            <v>252843725.52257243</v>
          </cell>
          <cell r="J692">
            <v>85727650.946585596</v>
          </cell>
          <cell r="K692">
            <v>21680647.10341423</v>
          </cell>
          <cell r="L692">
            <v>15778703.932042303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F693">
            <v>122809000.00000001</v>
          </cell>
          <cell r="G693">
            <v>81422692.875697851</v>
          </cell>
          <cell r="H693">
            <v>15324220.459803667</v>
          </cell>
          <cell r="I693">
            <v>3908827.9565320867</v>
          </cell>
          <cell r="J693">
            <v>61019.717019408075</v>
          </cell>
          <cell r="K693">
            <v>1760238.9909469951</v>
          </cell>
          <cell r="L693">
            <v>20332000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7">
          <cell r="E697" t="str">
            <v/>
          </cell>
          <cell r="F697">
            <v>1943907999.9999979</v>
          </cell>
          <cell r="G697">
            <v>956365246.90457547</v>
          </cell>
          <cell r="H697">
            <v>184236252.98147991</v>
          </cell>
          <cell r="I697">
            <v>481812536.70148778</v>
          </cell>
          <cell r="J697">
            <v>236480082.7590934</v>
          </cell>
          <cell r="K697">
            <v>42655632.48957812</v>
          </cell>
          <cell r="L697">
            <v>42358248.163783036</v>
          </cell>
          <cell r="M697">
            <v>9.9999999999999995E-8</v>
          </cell>
          <cell r="N697">
            <v>9.9999999999999995E-8</v>
          </cell>
          <cell r="O697">
            <v>9.9999999999999995E-8</v>
          </cell>
          <cell r="P697">
            <v>9.9999999999999995E-8</v>
          </cell>
          <cell r="Q697">
            <v>9.9999999999999995E-8</v>
          </cell>
        </row>
        <row r="698">
          <cell r="F698">
            <v>776059359.91702533</v>
          </cell>
          <cell r="G698">
            <v>334543739.52709597</v>
          </cell>
          <cell r="H698">
            <v>68526109.302669704</v>
          </cell>
          <cell r="I698">
            <v>207077842.89553493</v>
          </cell>
          <cell r="J698">
            <v>144904066.79124033</v>
          </cell>
          <cell r="K698">
            <v>17384222.228251565</v>
          </cell>
          <cell r="L698">
            <v>3623379.1722328309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F699">
            <v>1017029021.6114016</v>
          </cell>
          <cell r="G699">
            <v>518197812.22984296</v>
          </cell>
          <cell r="H699">
            <v>96985823.332028508</v>
          </cell>
          <cell r="I699">
            <v>270326516.34723955</v>
          </cell>
          <cell r="J699">
            <v>91419769.461749077</v>
          </cell>
          <cell r="K699">
            <v>23189649.409628589</v>
          </cell>
          <cell r="L699">
            <v>16909450.830912847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F700">
            <v>150819618.47157025</v>
          </cell>
          <cell r="G700">
            <v>103623695.14763643</v>
          </cell>
          <cell r="H700">
            <v>18724320.346781615</v>
          </cell>
          <cell r="I700">
            <v>4408177.4587131767</v>
          </cell>
          <cell r="J700">
            <v>156246.50610389744</v>
          </cell>
          <cell r="K700">
            <v>2081760.8516978726</v>
          </cell>
          <cell r="L700">
            <v>21825418.160637263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4">
          <cell r="E704" t="str">
            <v/>
          </cell>
          <cell r="F704">
            <v>1125272000.0000114</v>
          </cell>
          <cell r="G704">
            <v>554418683.47630346</v>
          </cell>
          <cell r="H704">
            <v>107874129.35304029</v>
          </cell>
          <cell r="I704">
            <v>281841171.57581258</v>
          </cell>
          <cell r="J704">
            <v>134516160.4538053</v>
          </cell>
          <cell r="K704">
            <v>25064802.340620372</v>
          </cell>
          <cell r="L704">
            <v>21557052.800429549</v>
          </cell>
          <cell r="M704">
            <v>9.9999999999999995E-8</v>
          </cell>
          <cell r="N704">
            <v>9.9999999999999995E-8</v>
          </cell>
          <cell r="O704">
            <v>9.9999999999999995E-8</v>
          </cell>
          <cell r="P704">
            <v>9.9999999999999995E-8</v>
          </cell>
          <cell r="Q704">
            <v>9.9999999999999995E-8</v>
          </cell>
        </row>
        <row r="705">
          <cell r="F705">
            <v>435978784.97057784</v>
          </cell>
          <cell r="G705">
            <v>187941774.31753436</v>
          </cell>
          <cell r="H705">
            <v>38496964.814306617</v>
          </cell>
          <cell r="I705">
            <v>116333300.00629862</v>
          </cell>
          <cell r="J705">
            <v>81404982.968951494</v>
          </cell>
          <cell r="K705">
            <v>9766201.4997699</v>
          </cell>
          <cell r="L705">
            <v>2035561.3637168277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</row>
        <row r="706">
          <cell r="F706">
            <v>609516113.66913283</v>
          </cell>
          <cell r="G706">
            <v>310935347.35685658</v>
          </cell>
          <cell r="H706">
            <v>58583474.103497952</v>
          </cell>
          <cell r="I706">
            <v>162590966.84394503</v>
          </cell>
          <cell r="J706">
            <v>53018276.14198079</v>
          </cell>
          <cell r="K706">
            <v>14028568.216674361</v>
          </cell>
          <cell r="L706">
            <v>10359481.006178135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F707">
            <v>79777101.360300258</v>
          </cell>
          <cell r="G707">
            <v>55541561.801912427</v>
          </cell>
          <cell r="H707">
            <v>10793690.435235612</v>
          </cell>
          <cell r="I707">
            <v>2916904.7255688035</v>
          </cell>
          <cell r="J707">
            <v>92901.34287291838</v>
          </cell>
          <cell r="K707">
            <v>1270032.6241760124</v>
          </cell>
          <cell r="L707">
            <v>9162010.4305344876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11">
          <cell r="E711" t="str">
            <v/>
          </cell>
          <cell r="F711">
            <v>10571000.000001101</v>
          </cell>
          <cell r="G711">
            <v>5107256.6881287787</v>
          </cell>
          <cell r="H711">
            <v>1056079.5981072776</v>
          </cell>
          <cell r="I711">
            <v>2822545.8316620858</v>
          </cell>
          <cell r="J711">
            <v>1261424.67156585</v>
          </cell>
          <cell r="K711">
            <v>257937.94402427491</v>
          </cell>
          <cell r="L711">
            <v>65755.266512332513</v>
          </cell>
          <cell r="M711">
            <v>9.9999999999999995E-8</v>
          </cell>
          <cell r="N711">
            <v>9.9999999999999995E-8</v>
          </cell>
          <cell r="O711">
            <v>9.9999999999999995E-8</v>
          </cell>
          <cell r="P711">
            <v>9.9999999999999995E-8</v>
          </cell>
          <cell r="Q711">
            <v>9.9999999999999995E-8</v>
          </cell>
        </row>
        <row r="712">
          <cell r="E712" t="str">
            <v>E*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E713" t="str">
            <v>D*</v>
          </cell>
          <cell r="F713">
            <v>10571000</v>
          </cell>
          <cell r="G713">
            <v>5107256.6881286791</v>
          </cell>
          <cell r="H713">
            <v>1056079.5981071778</v>
          </cell>
          <cell r="I713">
            <v>2822545.8316619857</v>
          </cell>
          <cell r="J713">
            <v>1261424.6715657501</v>
          </cell>
          <cell r="K713">
            <v>257937.94402417491</v>
          </cell>
          <cell r="L713">
            <v>65755.266512232512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E714" t="str">
            <v>C*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E715" t="str">
            <v>R*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8">
          <cell r="E718" t="str">
            <v/>
          </cell>
          <cell r="F718">
            <v>64230000.000001095</v>
          </cell>
          <cell r="G718">
            <v>32344693.467201978</v>
          </cell>
          <cell r="H718">
            <v>6688242.4290796267</v>
          </cell>
          <cell r="I718">
            <v>17875424.185050409</v>
          </cell>
          <cell r="J718">
            <v>5271663.1284768051</v>
          </cell>
          <cell r="K718">
            <v>1633543.0628374405</v>
          </cell>
          <cell r="L718">
            <v>416433.72735434555</v>
          </cell>
          <cell r="M718">
            <v>9.9999999999999995E-8</v>
          </cell>
          <cell r="N718">
            <v>9.9999999999999995E-8</v>
          </cell>
          <cell r="O718">
            <v>9.9999999999999995E-8</v>
          </cell>
          <cell r="P718">
            <v>9.9999999999999995E-8</v>
          </cell>
          <cell r="Q718">
            <v>9.9999999999999995E-8</v>
          </cell>
        </row>
        <row r="719">
          <cell r="E719" t="str">
            <v>E*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E720" t="str">
            <v>D*</v>
          </cell>
          <cell r="F720">
            <v>64230000.000000007</v>
          </cell>
          <cell r="G720">
            <v>32344693.467201877</v>
          </cell>
          <cell r="H720">
            <v>6688242.429079527</v>
          </cell>
          <cell r="I720">
            <v>17875424.185050309</v>
          </cell>
          <cell r="J720">
            <v>5271663.1284767054</v>
          </cell>
          <cell r="K720">
            <v>1633543.0628373406</v>
          </cell>
          <cell r="L720">
            <v>416433.72735424555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E721" t="str">
            <v>C*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E722" t="str">
            <v>R*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5">
          <cell r="E725" t="str">
            <v/>
          </cell>
          <cell r="F725">
            <v>238083000.00000101</v>
          </cell>
          <cell r="G725">
            <v>118279199.36000235</v>
          </cell>
          <cell r="H725">
            <v>24457797.395399529</v>
          </cell>
          <cell r="I725">
            <v>65344173.161818907</v>
          </cell>
          <cell r="J725">
            <v>11457186.100000098</v>
          </cell>
          <cell r="K725">
            <v>5973597.0535139702</v>
          </cell>
          <cell r="L725">
            <v>12571046.929265734</v>
          </cell>
          <cell r="M725">
            <v>9.9999999999999995E-8</v>
          </cell>
          <cell r="N725">
            <v>9.9999999999999995E-8</v>
          </cell>
          <cell r="O725">
            <v>9.9999999999999995E-8</v>
          </cell>
          <cell r="P725">
            <v>9.9999999999999995E-8</v>
          </cell>
          <cell r="Q725">
            <v>9.9999999999999995E-8</v>
          </cell>
        </row>
        <row r="726">
          <cell r="E726" t="str">
            <v>E*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E727" t="str">
            <v>D*</v>
          </cell>
          <cell r="F727">
            <v>238083000</v>
          </cell>
          <cell r="G727">
            <v>118279199.36000225</v>
          </cell>
          <cell r="H727">
            <v>24457797.395399429</v>
          </cell>
          <cell r="I727">
            <v>65344173.16181881</v>
          </cell>
          <cell r="J727">
            <v>11457186.099999998</v>
          </cell>
          <cell r="K727">
            <v>5973597.0535138706</v>
          </cell>
          <cell r="L727">
            <v>12571046.929265633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E728" t="str">
            <v>C*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E729" t="str">
            <v>R*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</row>
        <row r="732">
          <cell r="E732" t="str">
            <v/>
          </cell>
          <cell r="F732">
            <v>134480000.00000107</v>
          </cell>
          <cell r="G732">
            <v>70186176.274852529</v>
          </cell>
          <cell r="H732">
            <v>14513112.098970082</v>
          </cell>
          <cell r="I732">
            <v>38186744.615625195</v>
          </cell>
          <cell r="J732">
            <v>7145632.0000000997</v>
          </cell>
          <cell r="K732">
            <v>3544697.1070270482</v>
          </cell>
          <cell r="L732">
            <v>903637.90352565178</v>
          </cell>
          <cell r="M732">
            <v>9.9999999999999995E-8</v>
          </cell>
          <cell r="N732">
            <v>9.9999999999999995E-8</v>
          </cell>
          <cell r="O732">
            <v>9.9999999999999995E-8</v>
          </cell>
          <cell r="P732">
            <v>9.9999999999999995E-8</v>
          </cell>
          <cell r="Q732">
            <v>9.9999999999999995E-8</v>
          </cell>
        </row>
        <row r="733">
          <cell r="E733" t="str">
            <v>E*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E734" t="str">
            <v>D*</v>
          </cell>
          <cell r="F734">
            <v>134480000</v>
          </cell>
          <cell r="G734">
            <v>70186176.274852425</v>
          </cell>
          <cell r="H734">
            <v>14513112.098969981</v>
          </cell>
          <cell r="I734">
            <v>38186744.615625098</v>
          </cell>
          <cell r="J734">
            <v>7145632</v>
          </cell>
          <cell r="K734">
            <v>3544697.1070269481</v>
          </cell>
          <cell r="L734">
            <v>903637.90352555178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E735" t="str">
            <v>C*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E736" t="str">
            <v>R*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</row>
        <row r="739">
          <cell r="E739" t="str">
            <v/>
          </cell>
          <cell r="F739">
            <v>121563000.00000115</v>
          </cell>
          <cell r="G739">
            <v>68204560.397857592</v>
          </cell>
          <cell r="H739">
            <v>14103353.156592268</v>
          </cell>
          <cell r="I739">
            <v>34932344.418559037</v>
          </cell>
          <cell r="J739">
            <v>9.9999999999999995E-8</v>
          </cell>
          <cell r="K739">
            <v>3444617.1705034305</v>
          </cell>
          <cell r="L739">
            <v>878124.85648817907</v>
          </cell>
          <cell r="M739">
            <v>9.9999999999999995E-8</v>
          </cell>
          <cell r="N739">
            <v>9.9999999999999995E-8</v>
          </cell>
          <cell r="O739">
            <v>9.9999999999999995E-8</v>
          </cell>
          <cell r="P739">
            <v>9.9999999999999995E-8</v>
          </cell>
          <cell r="Q739">
            <v>9.9999999999999995E-8</v>
          </cell>
        </row>
        <row r="740">
          <cell r="E740" t="str">
            <v>E*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E741" t="str">
            <v>D*</v>
          </cell>
          <cell r="F741">
            <v>121563000</v>
          </cell>
          <cell r="G741">
            <v>68204560.397857487</v>
          </cell>
          <cell r="H741">
            <v>14103353.156592168</v>
          </cell>
          <cell r="I741">
            <v>34932344.41855894</v>
          </cell>
          <cell r="J741">
            <v>0</v>
          </cell>
          <cell r="K741">
            <v>3444617.1705033304</v>
          </cell>
          <cell r="L741">
            <v>878124.85648807907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</row>
        <row r="742">
          <cell r="E742" t="str">
            <v>C*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E743" t="str">
            <v>R*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</row>
        <row r="746">
          <cell r="E746" t="str">
            <v/>
          </cell>
          <cell r="F746">
            <v>76191000.000001132</v>
          </cell>
          <cell r="G746">
            <v>65366952.894972205</v>
          </cell>
          <cell r="H746">
            <v>9186635.8571880311</v>
          </cell>
          <cell r="I746">
            <v>858563.34065747494</v>
          </cell>
          <cell r="J746">
            <v>9.9999999999999995E-8</v>
          </cell>
          <cell r="K746">
            <v>778847.90718268859</v>
          </cell>
          <cell r="L746">
            <v>9.9999999999999995E-8</v>
          </cell>
          <cell r="M746">
            <v>9.9999999999999995E-8</v>
          </cell>
          <cell r="N746">
            <v>9.9999999999999995E-8</v>
          </cell>
          <cell r="O746">
            <v>9.9999999999999995E-8</v>
          </cell>
          <cell r="P746">
            <v>9.9999999999999995E-8</v>
          </cell>
          <cell r="Q746">
            <v>9.9999999999999995E-8</v>
          </cell>
        </row>
        <row r="747">
          <cell r="E747" t="str">
            <v>E*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</row>
        <row r="748">
          <cell r="E748" t="str">
            <v>D*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E749" t="str">
            <v>C*</v>
          </cell>
          <cell r="F749">
            <v>76191000</v>
          </cell>
          <cell r="G749">
            <v>65366952.894972108</v>
          </cell>
          <cell r="H749">
            <v>9186635.8571879305</v>
          </cell>
          <cell r="I749">
            <v>858563.34065737494</v>
          </cell>
          <cell r="J749">
            <v>0</v>
          </cell>
          <cell r="K749">
            <v>778847.90718258859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</row>
        <row r="750">
          <cell r="E750" t="str">
            <v>R*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3">
          <cell r="E753" t="str">
            <v/>
          </cell>
          <cell r="F753">
            <v>26286000.00000111</v>
          </cell>
          <cell r="G753">
            <v>16055739.980725842</v>
          </cell>
          <cell r="H753">
            <v>6137584.6026158361</v>
          </cell>
          <cell r="I753">
            <v>3050264.615874812</v>
          </cell>
          <cell r="J753">
            <v>61019.717019508076</v>
          </cell>
          <cell r="K753">
            <v>981391.0837645065</v>
          </cell>
          <cell r="L753">
            <v>9.9999999999999995E-8</v>
          </cell>
          <cell r="M753">
            <v>9.9999999999999995E-8</v>
          </cell>
          <cell r="N753">
            <v>9.9999999999999995E-8</v>
          </cell>
          <cell r="O753">
            <v>9.9999999999999995E-8</v>
          </cell>
          <cell r="P753">
            <v>9.9999999999999995E-8</v>
          </cell>
          <cell r="Q753">
            <v>9.9999999999999995E-8</v>
          </cell>
        </row>
        <row r="754">
          <cell r="E754" t="str">
            <v>E*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55">
          <cell r="E755" t="str">
            <v>D*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E756" t="str">
            <v>C*</v>
          </cell>
          <cell r="F756">
            <v>26286000.000000007</v>
          </cell>
          <cell r="G756">
            <v>16055739.980725741</v>
          </cell>
          <cell r="H756">
            <v>6137584.6026157364</v>
          </cell>
          <cell r="I756">
            <v>3050264.6158747119</v>
          </cell>
          <cell r="J756">
            <v>61019.717019408075</v>
          </cell>
          <cell r="K756">
            <v>981391.0837644065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E757" t="str">
            <v>R*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60">
          <cell r="E760" t="str">
            <v/>
          </cell>
          <cell r="F760">
            <v>20332000.000001103</v>
          </cell>
          <cell r="G760">
            <v>9.9999999999999995E-8</v>
          </cell>
          <cell r="H760">
            <v>9.9999999999999995E-8</v>
          </cell>
          <cell r="I760">
            <v>9.9999999999999995E-8</v>
          </cell>
          <cell r="J760">
            <v>9.9999999999999995E-8</v>
          </cell>
          <cell r="K760">
            <v>9.9999999999999995E-8</v>
          </cell>
          <cell r="L760">
            <v>20332000.000000101</v>
          </cell>
          <cell r="M760">
            <v>9.9999999999999995E-8</v>
          </cell>
          <cell r="N760">
            <v>9.9999999999999995E-8</v>
          </cell>
          <cell r="O760">
            <v>9.9999999999999995E-8</v>
          </cell>
          <cell r="P760">
            <v>9.9999999999999995E-8</v>
          </cell>
          <cell r="Q760">
            <v>9.9999999999999995E-8</v>
          </cell>
        </row>
        <row r="761">
          <cell r="E761" t="str">
            <v>E*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</row>
        <row r="762">
          <cell r="E762" t="str">
            <v>D*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E763" t="str">
            <v>C*</v>
          </cell>
          <cell r="F763">
            <v>20332000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20332000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E764" t="str">
            <v>R*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7">
          <cell r="E767" t="str">
            <v/>
          </cell>
          <cell r="F767">
            <v>4234000.0000010552</v>
          </cell>
          <cell r="G767">
            <v>2423596.9331032685</v>
          </cell>
          <cell r="H767">
            <v>657974.02984190127</v>
          </cell>
          <cell r="I767">
            <v>738238.55637931777</v>
          </cell>
          <cell r="J767">
            <v>130239.10791195891</v>
          </cell>
          <cell r="K767">
            <v>117681.18615769263</v>
          </cell>
          <cell r="L767">
            <v>166270.18660641779</v>
          </cell>
          <cell r="M767">
            <v>9.9999999999999995E-8</v>
          </cell>
          <cell r="N767">
            <v>9.9999999999999995E-8</v>
          </cell>
          <cell r="O767">
            <v>9.9999999999999995E-8</v>
          </cell>
          <cell r="P767">
            <v>9.9999999999999995E-8</v>
          </cell>
          <cell r="Q767">
            <v>9.9999999999999995E-8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F769">
            <v>1954999.9999999925</v>
          </cell>
          <cell r="G769">
            <v>963885.88929949456</v>
          </cell>
          <cell r="H769">
            <v>199312.52426741889</v>
          </cell>
          <cell r="I769">
            <v>533597.80475974083</v>
          </cell>
          <cell r="J769">
            <v>126253.30352465082</v>
          </cell>
          <cell r="K769">
            <v>48680.291542369232</v>
          </cell>
          <cell r="L769">
            <v>83270.186606318195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</row>
        <row r="770">
          <cell r="F770">
            <v>2278999.9999999641</v>
          </cell>
          <cell r="G770">
            <v>1459711.0438036737</v>
          </cell>
          <cell r="H770">
            <v>458661.50557438238</v>
          </cell>
          <cell r="I770">
            <v>204640.75161947694</v>
          </cell>
          <cell r="J770">
            <v>3985.8043872080934</v>
          </cell>
          <cell r="K770">
            <v>69000.894615223398</v>
          </cell>
          <cell r="L770">
            <v>82999.999999999593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4">
          <cell r="E774" t="str">
            <v/>
          </cell>
          <cell r="F774">
            <v>8458000.0000010561</v>
          </cell>
          <cell r="G774">
            <v>4070938.320656294</v>
          </cell>
          <cell r="H774">
            <v>851329.30992196256</v>
          </cell>
          <cell r="I774">
            <v>2204258.6171874902</v>
          </cell>
          <cell r="J774">
            <v>380215.8340449924</v>
          </cell>
          <cell r="K774">
            <v>206176.82156899359</v>
          </cell>
          <cell r="L774">
            <v>745081.09662082186</v>
          </cell>
          <cell r="M774">
            <v>9.9999999999999995E-8</v>
          </cell>
          <cell r="N774">
            <v>9.9999999999999995E-8</v>
          </cell>
          <cell r="O774">
            <v>9.9999999999999995E-8</v>
          </cell>
          <cell r="P774">
            <v>9.9999999999999995E-8</v>
          </cell>
          <cell r="Q774">
            <v>9.9999999999999995E-8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F776">
            <v>7919999.9999999572</v>
          </cell>
          <cell r="G776">
            <v>4016576.2702002637</v>
          </cell>
          <cell r="H776">
            <v>830548.47489056108</v>
          </cell>
          <cell r="I776">
            <v>2193930.9313160959</v>
          </cell>
          <cell r="J776">
            <v>380009.23148783849</v>
          </cell>
          <cell r="K776">
            <v>202853.99548447513</v>
          </cell>
          <cell r="L776">
            <v>296081.09662072407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F777">
            <v>537999.99999999604</v>
          </cell>
          <cell r="G777">
            <v>54362.050455930214</v>
          </cell>
          <cell r="H777">
            <v>20780.835031301511</v>
          </cell>
          <cell r="I777">
            <v>10327.685871294239</v>
          </cell>
          <cell r="J777">
            <v>206.60255705388485</v>
          </cell>
          <cell r="K777">
            <v>3322.826084418446</v>
          </cell>
          <cell r="L777">
            <v>448999.99999999779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81">
          <cell r="E781" t="str">
            <v/>
          </cell>
          <cell r="F781">
            <v>8365000.0000010971</v>
          </cell>
          <cell r="G781">
            <v>7128638.1350874361</v>
          </cell>
          <cell r="H781">
            <v>1001854.9099258131</v>
          </cell>
          <cell r="I781">
            <v>94905.151547593414</v>
          </cell>
          <cell r="J781">
            <v>43018.71536562025</v>
          </cell>
          <cell r="K781">
            <v>84937.795731462917</v>
          </cell>
          <cell r="L781">
            <v>11645.292342673765</v>
          </cell>
          <cell r="M781">
            <v>9.9999999999999995E-8</v>
          </cell>
          <cell r="N781">
            <v>9.9999999999999995E-8</v>
          </cell>
          <cell r="O781">
            <v>9.9999999999999995E-8</v>
          </cell>
          <cell r="P781">
            <v>9.9999999999999995E-8</v>
          </cell>
          <cell r="Q781">
            <v>9.9999999999999995E-8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F784">
            <v>8365000</v>
          </cell>
          <cell r="G784">
            <v>7128638.1350873364</v>
          </cell>
          <cell r="H784">
            <v>1001854.9099257131</v>
          </cell>
          <cell r="I784">
            <v>94905.151547493413</v>
          </cell>
          <cell r="J784">
            <v>43018.715365520249</v>
          </cell>
          <cell r="K784">
            <v>84937.795731362916</v>
          </cell>
          <cell r="L784">
            <v>11645.292342573764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8">
          <cell r="E788" t="str">
            <v/>
          </cell>
          <cell r="F788">
            <v>165986999.99999985</v>
          </cell>
          <cell r="G788">
            <v>80692969.918244556</v>
          </cell>
          <cell r="H788">
            <v>15300114.914449513</v>
          </cell>
          <cell r="I788">
            <v>39777903.701814637</v>
          </cell>
          <cell r="J788">
            <v>24938204.478608809</v>
          </cell>
          <cell r="K788">
            <v>3462201.2407177519</v>
          </cell>
          <cell r="L788">
            <v>1815605.7461641461</v>
          </cell>
          <cell r="M788">
            <v>9.9999999999999995E-8</v>
          </cell>
          <cell r="N788">
            <v>9.9999999999999995E-8</v>
          </cell>
          <cell r="O788">
            <v>9.9999999999999995E-8</v>
          </cell>
          <cell r="P788">
            <v>9.9999999999999995E-8</v>
          </cell>
          <cell r="Q788">
            <v>9.9999999999999995E-8</v>
          </cell>
        </row>
        <row r="789">
          <cell r="F789">
            <v>89588221.947169736</v>
          </cell>
          <cell r="G789">
            <v>38619698.873284727</v>
          </cell>
          <cell r="H789">
            <v>7910647.8273001853</v>
          </cell>
          <cell r="I789">
            <v>23905047.355720118</v>
          </cell>
          <cell r="J789">
            <v>16727712.295267126</v>
          </cell>
          <cell r="K789">
            <v>2006833.0334035824</v>
          </cell>
          <cell r="L789">
            <v>418282.56219401775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F790">
            <v>60539142.590714082</v>
          </cell>
          <cell r="G790">
            <v>30223227.059458118</v>
          </cell>
          <cell r="H790">
            <v>5075909.9461710071</v>
          </cell>
          <cell r="I790">
            <v>15241571.758832751</v>
          </cell>
          <cell r="J790">
            <v>8155071.6262712199</v>
          </cell>
          <cell r="K790">
            <v>1182227.9908184859</v>
          </cell>
          <cell r="L790">
            <v>661134.20916250022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F791">
            <v>15859635.462114973</v>
          </cell>
          <cell r="G791">
            <v>11850043.985501608</v>
          </cell>
          <cell r="H791">
            <v>2313557.1409782209</v>
          </cell>
          <cell r="I791">
            <v>631284.58726167015</v>
          </cell>
          <cell r="J791">
            <v>55420.557070363589</v>
          </cell>
          <cell r="K791">
            <v>273140.2164955833</v>
          </cell>
          <cell r="L791">
            <v>736188.97480752843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5">
          <cell r="E795" t="str">
            <v/>
          </cell>
          <cell r="F795">
            <v>230210000.00000095</v>
          </cell>
          <cell r="G795">
            <v>104534399.39086357</v>
          </cell>
          <cell r="H795">
            <v>19504057.014032003</v>
          </cell>
          <cell r="I795">
            <v>59678039.101169966</v>
          </cell>
          <cell r="J795">
            <v>40802095.78379526</v>
          </cell>
          <cell r="K795">
            <v>4792787.1358689079</v>
          </cell>
          <cell r="L795">
            <v>898621.57427079696</v>
          </cell>
          <cell r="M795">
            <v>9.9999999999999995E-8</v>
          </cell>
          <cell r="N795">
            <v>9.9999999999999995E-8</v>
          </cell>
          <cell r="O795">
            <v>9.9999999999999995E-8</v>
          </cell>
          <cell r="P795">
            <v>9.9999999999999995E-8</v>
          </cell>
          <cell r="Q795">
            <v>9.9999999999999995E-8</v>
          </cell>
        </row>
        <row r="796">
          <cell r="F796">
            <v>151478179.99999994</v>
          </cell>
          <cell r="G796">
            <v>65299227.625289768</v>
          </cell>
          <cell r="H796">
            <v>13375536.532101493</v>
          </cell>
          <cell r="I796">
            <v>40419298.291171089</v>
          </cell>
          <cell r="J796">
            <v>28283666.747453906</v>
          </cell>
          <cell r="K796">
            <v>3393207.3754418073</v>
          </cell>
          <cell r="L796">
            <v>707243.42854187638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F797">
            <v>78731819.99999997</v>
          </cell>
          <cell r="G797">
            <v>39235171.765573695</v>
          </cell>
          <cell r="H797">
            <v>6128520.4819304105</v>
          </cell>
          <cell r="I797">
            <v>19258740.80999878</v>
          </cell>
          <cell r="J797">
            <v>12518429.036341257</v>
          </cell>
          <cell r="K797">
            <v>1399579.7604270009</v>
          </cell>
          <cell r="L797">
            <v>191378.14572882059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</row>
        <row r="802">
          <cell r="E802" t="str">
            <v/>
          </cell>
          <cell r="F802">
            <v>22868087.000001084</v>
          </cell>
          <cell r="G802">
            <v>11223849.010284133</v>
          </cell>
          <cell r="H802">
            <v>2177435.6064606444</v>
          </cell>
          <cell r="I802">
            <v>5707321.5348694371</v>
          </cell>
          <cell r="J802">
            <v>2720938.9306055601</v>
          </cell>
          <cell r="K802">
            <v>506479.52190225996</v>
          </cell>
          <cell r="L802">
            <v>532062.39587854454</v>
          </cell>
          <cell r="M802">
            <v>9.9999999999999995E-8</v>
          </cell>
          <cell r="N802">
            <v>9.9999999999999995E-8</v>
          </cell>
          <cell r="O802">
            <v>9.9999999999999995E-8</v>
          </cell>
          <cell r="P802">
            <v>9.9999999999999995E-8</v>
          </cell>
          <cell r="Q802">
            <v>9.9999999999999995E-8</v>
          </cell>
        </row>
        <row r="803">
          <cell r="F803">
            <v>8810206.1179999895</v>
          </cell>
          <cell r="G803">
            <v>3797904.4554469981</v>
          </cell>
          <cell r="H803">
            <v>777941.97016793396</v>
          </cell>
          <cell r="I803">
            <v>2350849.139395141</v>
          </cell>
          <cell r="J803">
            <v>1645021.9682986117</v>
          </cell>
          <cell r="K803">
            <v>197354.20889503683</v>
          </cell>
          <cell r="L803">
            <v>41134.375796268316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F804">
            <v>12383405.801598484</v>
          </cell>
          <cell r="G804">
            <v>6315763.1332837185</v>
          </cell>
          <cell r="H804">
            <v>1190551.089032067</v>
          </cell>
          <cell r="I804">
            <v>3303176.3421980538</v>
          </cell>
          <cell r="J804">
            <v>1075084.9712022701</v>
          </cell>
          <cell r="K804">
            <v>285124.82178993372</v>
          </cell>
          <cell r="L804">
            <v>213705.44409244196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F805">
            <v>1674475.0804015021</v>
          </cell>
          <cell r="G805">
            <v>1110181.4215533149</v>
          </cell>
          <cell r="H805">
            <v>208942.54726054348</v>
          </cell>
          <cell r="I805">
            <v>53296.053276141887</v>
          </cell>
          <cell r="J805">
            <v>831.99110457824713</v>
          </cell>
          <cell r="K805">
            <v>24000.491217189403</v>
          </cell>
          <cell r="L805">
            <v>277222.57598973427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</row>
        <row r="809">
          <cell r="E809" t="str">
            <v/>
          </cell>
          <cell r="F809">
            <v>27753448.00000076</v>
          </cell>
          <cell r="G809">
            <v>15388552.067605332</v>
          </cell>
          <cell r="H809">
            <v>2762758.2992915669</v>
          </cell>
          <cell r="I809">
            <v>5762932.9511017567</v>
          </cell>
          <cell r="J809">
            <v>2744223.3754093694</v>
          </cell>
          <cell r="K809">
            <v>556112.96393716964</v>
          </cell>
          <cell r="L809">
            <v>538868.34265506186</v>
          </cell>
          <cell r="M809">
            <v>9.9999999999999995E-8</v>
          </cell>
          <cell r="N809">
            <v>9.9999999999999995E-8</v>
          </cell>
          <cell r="O809">
            <v>9.9999999999999995E-8</v>
          </cell>
          <cell r="P809">
            <v>9.9999999999999995E-8</v>
          </cell>
          <cell r="Q809">
            <v>9.9999999999999995E-8</v>
          </cell>
        </row>
        <row r="810">
          <cell r="F810">
            <v>8810841.1179999895</v>
          </cell>
          <cell r="G810">
            <v>3798178.1913048099</v>
          </cell>
          <cell r="H810">
            <v>777998.04072342836</v>
          </cell>
          <cell r="I810">
            <v>2351018.5780193368</v>
          </cell>
          <cell r="J810">
            <v>1645140.5340774232</v>
          </cell>
          <cell r="K810">
            <v>197368.43329807234</v>
          </cell>
          <cell r="L810">
            <v>41137.340576919392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F811">
            <v>12383405.801598484</v>
          </cell>
          <cell r="G811">
            <v>6315763.1332837185</v>
          </cell>
          <cell r="H811">
            <v>1190551.089032067</v>
          </cell>
          <cell r="I811">
            <v>3303176.3421980538</v>
          </cell>
          <cell r="J811">
            <v>1075084.9712022701</v>
          </cell>
          <cell r="K811">
            <v>285124.82178993372</v>
          </cell>
          <cell r="L811">
            <v>213705.44409244196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F812">
            <v>6559201.0804011803</v>
          </cell>
          <cell r="G812">
            <v>5274610.7430167031</v>
          </cell>
          <cell r="H812">
            <v>794209.16953597136</v>
          </cell>
          <cell r="I812">
            <v>108738.03088426573</v>
          </cell>
          <cell r="J812">
            <v>23997.870129575836</v>
          </cell>
          <cell r="K812">
            <v>73619.708849063652</v>
          </cell>
          <cell r="L812">
            <v>284025.55798560049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6">
          <cell r="E816" t="str">
            <v/>
          </cell>
          <cell r="F816">
            <v>1000.0000010999839</v>
          </cell>
          <cell r="G816">
            <v>602.49858722706597</v>
          </cell>
          <cell r="H816">
            <v>104.47936865687372</v>
          </cell>
          <cell r="I816">
            <v>172.9595837996483</v>
          </cell>
          <cell r="J816">
            <v>86.52579096312175</v>
          </cell>
          <cell r="K816">
            <v>18.508410714870259</v>
          </cell>
          <cell r="L816">
            <v>15.028259238404209</v>
          </cell>
          <cell r="M816">
            <v>9.9999999999999995E-8</v>
          </cell>
          <cell r="N816">
            <v>9.9999999999999995E-8</v>
          </cell>
          <cell r="O816">
            <v>9.9999999999999995E-8</v>
          </cell>
          <cell r="P816">
            <v>9.9999999999999995E-8</v>
          </cell>
          <cell r="Q816">
            <v>9.9999999999999995E-8</v>
          </cell>
        </row>
        <row r="817">
          <cell r="F817">
            <v>285.64816600216642</v>
          </cell>
          <cell r="G817">
            <v>123.13723740621936</v>
          </cell>
          <cell r="H817">
            <v>25.222758021582855</v>
          </cell>
          <cell r="I817">
            <v>76.220208270046044</v>
          </cell>
          <cell r="J817">
            <v>53.335586248967815</v>
          </cell>
          <cell r="K817">
            <v>6.398700219793894</v>
          </cell>
          <cell r="L817">
            <v>1.3336758355564715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F818">
            <v>339.78015807164525</v>
          </cell>
          <cell r="G818">
            <v>171.83168162683637</v>
          </cell>
          <cell r="H818">
            <v>31.789377977442562</v>
          </cell>
          <cell r="I818">
            <v>89.544285814267425</v>
          </cell>
          <cell r="J818">
            <v>32.777170865721985</v>
          </cell>
          <cell r="K818">
            <v>7.5808847176396661</v>
          </cell>
          <cell r="L818">
            <v>6.2567570697371941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F819">
            <v>374.57167592617265</v>
          </cell>
          <cell r="G819">
            <v>307.52966809401028</v>
          </cell>
          <cell r="H819">
            <v>47.467232557848305</v>
          </cell>
          <cell r="I819">
            <v>7.1950896153348332</v>
          </cell>
          <cell r="J819">
            <v>0.41303374843195578</v>
          </cell>
          <cell r="K819">
            <v>4.5288256774366982</v>
          </cell>
          <cell r="L819">
            <v>7.4378262331105436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3">
          <cell r="E823" t="str">
            <v/>
          </cell>
          <cell r="F823">
            <v>1142039000.000001</v>
          </cell>
          <cell r="G823">
            <v>562379072.54404759</v>
          </cell>
          <cell r="H823">
            <v>109836915.04211108</v>
          </cell>
          <cell r="I823">
            <v>286912632.28796917</v>
          </cell>
          <cell r="J823">
            <v>134349636.91268697</v>
          </cell>
          <cell r="K823">
            <v>25567973.718873251</v>
          </cell>
          <cell r="L823">
            <v>22992769.494312733</v>
          </cell>
          <cell r="M823">
            <v>9.9999999999999995E-8</v>
          </cell>
          <cell r="N823">
            <v>9.9999999999999995E-8</v>
          </cell>
          <cell r="O823">
            <v>9.9999999999999995E-8</v>
          </cell>
          <cell r="P823">
            <v>9.9999999999999995E-8</v>
          </cell>
          <cell r="Q823">
            <v>9.9999999999999995E-8</v>
          </cell>
        </row>
        <row r="824">
          <cell r="F824">
            <v>431559828.00000006</v>
          </cell>
          <cell r="G824">
            <v>186036849.94434783</v>
          </cell>
          <cell r="H824">
            <v>38106770.527619511</v>
          </cell>
          <cell r="I824">
            <v>115154178.76303038</v>
          </cell>
          <cell r="J824">
            <v>80579885.213438213</v>
          </cell>
          <cell r="K824">
            <v>9667214.0589093622</v>
          </cell>
          <cell r="L824">
            <v>2014929.4926547678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F825">
            <v>631218172.00000012</v>
          </cell>
          <cell r="G825">
            <v>322195037.17909843</v>
          </cell>
          <cell r="H825">
            <v>60969631.976958692</v>
          </cell>
          <cell r="I825">
            <v>168742244.8162843</v>
          </cell>
          <cell r="J825">
            <v>53720215.834473595</v>
          </cell>
          <cell r="K825">
            <v>14614202.191527247</v>
          </cell>
          <cell r="L825">
            <v>10976840.001657866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F826">
            <v>79261000.000000015</v>
          </cell>
          <cell r="G826">
            <v>54147185.420601271</v>
          </cell>
          <cell r="H826">
            <v>10760512.537532769</v>
          </cell>
          <cell r="I826">
            <v>3016208.7086543692</v>
          </cell>
          <cell r="J826">
            <v>49535.864775057024</v>
          </cell>
          <cell r="K826">
            <v>1286557.4684365396</v>
          </cell>
          <cell r="L826">
            <v>10001000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30">
          <cell r="E830" t="str">
            <v/>
          </cell>
          <cell r="F830">
            <v>48302552.00000032</v>
          </cell>
          <cell r="G830">
            <v>24468298.344016071</v>
          </cell>
          <cell r="H830">
            <v>4918142.1964581562</v>
          </cell>
          <cell r="I830">
            <v>10701883.854369186</v>
          </cell>
          <cell r="J830">
            <v>6254737.4737634547</v>
          </cell>
          <cell r="K830">
            <v>1033797.1516522494</v>
          </cell>
          <cell r="L830">
            <v>925692.97974072665</v>
          </cell>
          <cell r="M830">
            <v>9.9999999999999995E-8</v>
          </cell>
          <cell r="N830">
            <v>9.9999999999999995E-8</v>
          </cell>
          <cell r="O830">
            <v>9.9999999999999995E-8</v>
          </cell>
          <cell r="P830">
            <v>9.9999999999999995E-8</v>
          </cell>
          <cell r="Q830">
            <v>9.9999999999999995E-8</v>
          </cell>
        </row>
        <row r="831">
          <cell r="F831">
            <v>21602782.829169825</v>
          </cell>
          <cell r="G831">
            <v>9312529.5887609795</v>
          </cell>
          <cell r="H831">
            <v>1907527.6117432639</v>
          </cell>
          <cell r="I831">
            <v>5764324.096656058</v>
          </cell>
          <cell r="J831">
            <v>4033623.2608409952</v>
          </cell>
          <cell r="K831">
            <v>483916.04669403262</v>
          </cell>
          <cell r="L831">
            <v>100862.22447449627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</row>
        <row r="832">
          <cell r="F832">
            <v>17399334.789115623</v>
          </cell>
          <cell r="G832">
            <v>8580335.5127700847</v>
          </cell>
          <cell r="H832">
            <v>1491266.6132725426</v>
          </cell>
          <cell r="I832">
            <v>4415013.201335622</v>
          </cell>
          <cell r="J832">
            <v>2189691.5259815725</v>
          </cell>
          <cell r="K832">
            <v>350360.5973115972</v>
          </cell>
          <cell r="L832">
            <v>372667.33844420244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</row>
        <row r="833">
          <cell r="F833">
            <v>9300434.3817137945</v>
          </cell>
          <cell r="G833">
            <v>6575433.2424849048</v>
          </cell>
          <cell r="H833">
            <v>1519347.9714422496</v>
          </cell>
          <cell r="I833">
            <v>522546.55637740443</v>
          </cell>
          <cell r="J833">
            <v>31422.686940787753</v>
          </cell>
          <cell r="K833">
            <v>199520.50764651963</v>
          </cell>
          <cell r="L833">
            <v>452163.41682192794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</row>
        <row r="837">
          <cell r="E837" t="str">
            <v/>
          </cell>
          <cell r="F837">
            <v>1.1000000000000001E-6</v>
          </cell>
          <cell r="G837">
            <v>9.9999999999999995E-8</v>
          </cell>
          <cell r="H837">
            <v>9.9999999999999995E-8</v>
          </cell>
          <cell r="I837">
            <v>9.9999999999999995E-8</v>
          </cell>
          <cell r="J837">
            <v>9.9999999999999995E-8</v>
          </cell>
          <cell r="K837">
            <v>9.9999999999999995E-8</v>
          </cell>
          <cell r="L837">
            <v>9.9999999999999995E-8</v>
          </cell>
          <cell r="M837">
            <v>9.9999999999999995E-8</v>
          </cell>
          <cell r="N837">
            <v>9.9999999999999995E-8</v>
          </cell>
          <cell r="O837">
            <v>9.9999999999999995E-8</v>
          </cell>
          <cell r="P837">
            <v>9.9999999999999995E-8</v>
          </cell>
          <cell r="Q837">
            <v>9.9999999999999995E-8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4">
          <cell r="E844" t="str">
            <v/>
          </cell>
          <cell r="F844">
            <v>1.1000000000000001E-6</v>
          </cell>
          <cell r="G844">
            <v>9.9999999999999995E-8</v>
          </cell>
          <cell r="H844">
            <v>9.9999999999999995E-8</v>
          </cell>
          <cell r="I844">
            <v>9.9999999999999995E-8</v>
          </cell>
          <cell r="J844">
            <v>9.9999999999999995E-8</v>
          </cell>
          <cell r="K844">
            <v>9.9999999999999995E-8</v>
          </cell>
          <cell r="L844">
            <v>9.9999999999999995E-8</v>
          </cell>
          <cell r="M844">
            <v>9.9999999999999995E-8</v>
          </cell>
          <cell r="N844">
            <v>9.9999999999999995E-8</v>
          </cell>
          <cell r="O844">
            <v>9.9999999999999995E-8</v>
          </cell>
          <cell r="P844">
            <v>9.9999999999999995E-8</v>
          </cell>
          <cell r="Q844">
            <v>9.9999999999999995E-8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945">
          <cell r="S945" t="str">
            <v>Line</v>
          </cell>
          <cell r="T945" t="str">
            <v>Line</v>
          </cell>
          <cell r="U945" t="str">
            <v>Desc1</v>
          </cell>
        </row>
        <row r="946">
          <cell r="S946" t="str">
            <v>&gt;=848</v>
          </cell>
          <cell r="T946" t="str">
            <v>&lt;=1472</v>
          </cell>
          <cell r="U946" t="str">
            <v>=P</v>
          </cell>
        </row>
        <row r="947">
          <cell r="S947" t="str">
            <v>Line</v>
          </cell>
          <cell r="T947" t="str">
            <v>Line</v>
          </cell>
          <cell r="U947" t="str">
            <v>Desc1</v>
          </cell>
        </row>
        <row r="948">
          <cell r="S948" t="str">
            <v>&gt;=848</v>
          </cell>
          <cell r="T948" t="str">
            <v>&lt;=1472</v>
          </cell>
          <cell r="U948" t="str">
            <v>=T</v>
          </cell>
        </row>
        <row r="949">
          <cell r="S949" t="str">
            <v>Line</v>
          </cell>
          <cell r="T949" t="str">
            <v>Line</v>
          </cell>
          <cell r="U949" t="str">
            <v>Desc1</v>
          </cell>
        </row>
        <row r="950">
          <cell r="S950" t="str">
            <v>&gt;=848</v>
          </cell>
          <cell r="T950" t="str">
            <v>&lt;=1472</v>
          </cell>
          <cell r="U950" t="str">
            <v>=D</v>
          </cell>
        </row>
        <row r="951">
          <cell r="S951" t="str">
            <v>Line</v>
          </cell>
          <cell r="T951" t="str">
            <v>Line</v>
          </cell>
          <cell r="U951" t="str">
            <v>Desc1</v>
          </cell>
        </row>
        <row r="952">
          <cell r="S952" t="str">
            <v>&gt;=848</v>
          </cell>
          <cell r="T952" t="str">
            <v>&lt;=1472</v>
          </cell>
          <cell r="U952" t="str">
            <v>=DSM</v>
          </cell>
        </row>
        <row r="953">
          <cell r="S953" t="str">
            <v>Line</v>
          </cell>
          <cell r="T953" t="str">
            <v>Line</v>
          </cell>
          <cell r="U953" t="str">
            <v>Desc1</v>
          </cell>
        </row>
        <row r="954">
          <cell r="S954" t="str">
            <v>&gt;=848</v>
          </cell>
          <cell r="T954" t="str">
            <v>&lt;=1472</v>
          </cell>
          <cell r="U954" t="str">
            <v>=O</v>
          </cell>
        </row>
        <row r="955">
          <cell r="S955" t="str">
            <v>Line</v>
          </cell>
          <cell r="T955" t="str">
            <v>Line</v>
          </cell>
          <cell r="U955" t="str">
            <v>Desc1</v>
          </cell>
        </row>
        <row r="956">
          <cell r="S956" t="str">
            <v>&gt;=9</v>
          </cell>
          <cell r="T956" t="str">
            <v>&lt;=442</v>
          </cell>
          <cell r="U956" t="str">
            <v>=P</v>
          </cell>
        </row>
        <row r="957">
          <cell r="S957" t="str">
            <v>Line</v>
          </cell>
          <cell r="T957" t="str">
            <v>Line</v>
          </cell>
          <cell r="U957" t="str">
            <v>Desc1</v>
          </cell>
        </row>
        <row r="958">
          <cell r="S958" t="str">
            <v>&gt;=9</v>
          </cell>
          <cell r="T958" t="str">
            <v>&lt;=442</v>
          </cell>
          <cell r="U958" t="str">
            <v>=T</v>
          </cell>
        </row>
        <row r="959">
          <cell r="S959" t="str">
            <v>Line</v>
          </cell>
          <cell r="T959" t="str">
            <v>Line</v>
          </cell>
          <cell r="U959" t="str">
            <v>Desc1</v>
          </cell>
        </row>
        <row r="960">
          <cell r="S960" t="str">
            <v>&gt;=9</v>
          </cell>
          <cell r="T960" t="str">
            <v>&lt;=442</v>
          </cell>
          <cell r="U960" t="str">
            <v>=D</v>
          </cell>
        </row>
        <row r="961">
          <cell r="S961" t="str">
            <v>Line</v>
          </cell>
          <cell r="T961" t="str">
            <v>Line</v>
          </cell>
          <cell r="U961" t="str">
            <v>Desc1</v>
          </cell>
        </row>
        <row r="962">
          <cell r="S962" t="str">
            <v>&gt;=9</v>
          </cell>
          <cell r="T962" t="str">
            <v>&lt;=442</v>
          </cell>
          <cell r="U962" t="str">
            <v>=C</v>
          </cell>
        </row>
        <row r="963">
          <cell r="S963" t="str">
            <v>Line</v>
          </cell>
          <cell r="T963" t="str">
            <v>Line</v>
          </cell>
          <cell r="U963" t="str">
            <v>Desc1</v>
          </cell>
        </row>
        <row r="964">
          <cell r="S964" t="str">
            <v>&gt;=9</v>
          </cell>
          <cell r="T964" t="str">
            <v>&lt;=442</v>
          </cell>
          <cell r="U964" t="str">
            <v>=DSM</v>
          </cell>
        </row>
        <row r="965">
          <cell r="S965" t="str">
            <v>Line</v>
          </cell>
          <cell r="T965" t="str">
            <v>Line</v>
          </cell>
          <cell r="U965" t="str">
            <v>Desc1</v>
          </cell>
        </row>
        <row r="966">
          <cell r="S966" t="str">
            <v>&gt;=9</v>
          </cell>
          <cell r="T966" t="str">
            <v>&lt;=442</v>
          </cell>
          <cell r="U966" t="str">
            <v>=O</v>
          </cell>
        </row>
        <row r="967">
          <cell r="S967" t="str">
            <v>Line</v>
          </cell>
          <cell r="T967" t="str">
            <v>Line</v>
          </cell>
          <cell r="U967" t="str">
            <v>Desc1</v>
          </cell>
        </row>
        <row r="968">
          <cell r="S968" t="str">
            <v>&gt;=371</v>
          </cell>
          <cell r="T968" t="str">
            <v>&lt;=442</v>
          </cell>
          <cell r="U968" t="str">
            <v>=P</v>
          </cell>
        </row>
        <row r="969">
          <cell r="S969" t="str">
            <v>Line</v>
          </cell>
          <cell r="T969" t="str">
            <v>Line</v>
          </cell>
          <cell r="U969" t="str">
            <v>Desc1</v>
          </cell>
        </row>
        <row r="970">
          <cell r="S970" t="str">
            <v>&gt;=371</v>
          </cell>
          <cell r="T970" t="str">
            <v>&lt;=442</v>
          </cell>
          <cell r="U970" t="str">
            <v>=T</v>
          </cell>
        </row>
        <row r="971">
          <cell r="S971" t="str">
            <v>Line</v>
          </cell>
          <cell r="T971" t="str">
            <v>Line</v>
          </cell>
          <cell r="U971" t="str">
            <v>Desc1</v>
          </cell>
        </row>
        <row r="972">
          <cell r="S972" t="str">
            <v>&gt;=371</v>
          </cell>
          <cell r="T972" t="str">
            <v>&lt;=442</v>
          </cell>
          <cell r="U972" t="str">
            <v>=D</v>
          </cell>
        </row>
        <row r="973">
          <cell r="S973" t="str">
            <v>Line</v>
          </cell>
          <cell r="T973" t="str">
            <v>Line</v>
          </cell>
          <cell r="U973" t="str">
            <v>Desc1</v>
          </cell>
        </row>
        <row r="974">
          <cell r="S974" t="str">
            <v>&gt;=371</v>
          </cell>
          <cell r="T974" t="str">
            <v>&lt;=442</v>
          </cell>
          <cell r="U974" t="str">
            <v>=C</v>
          </cell>
        </row>
        <row r="975">
          <cell r="S975" t="str">
            <v>Line</v>
          </cell>
          <cell r="T975" t="str">
            <v>Line</v>
          </cell>
          <cell r="U975" t="str">
            <v>Desc1</v>
          </cell>
        </row>
        <row r="976">
          <cell r="S976" t="str">
            <v>&gt;=371</v>
          </cell>
          <cell r="T976" t="str">
            <v>&lt;=442</v>
          </cell>
          <cell r="U976" t="str">
            <v>=O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S977" t="str">
            <v>Line</v>
          </cell>
          <cell r="T977" t="str">
            <v>Line</v>
          </cell>
          <cell r="U977" t="str">
            <v>Desc1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S978" t="str">
            <v>&gt;=480</v>
          </cell>
          <cell r="T978" t="str">
            <v>&lt;=804</v>
          </cell>
          <cell r="U978" t="str">
            <v>=P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S979" t="str">
            <v>Line</v>
          </cell>
          <cell r="T979" t="str">
            <v>Line</v>
          </cell>
          <cell r="U979" t="str">
            <v>Desc1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S980" t="str">
            <v>&gt;=480</v>
          </cell>
          <cell r="T980" t="str">
            <v>&lt;=804</v>
          </cell>
          <cell r="U980" t="str">
            <v>=T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S981" t="str">
            <v>Line</v>
          </cell>
          <cell r="T981" t="str">
            <v>Line</v>
          </cell>
          <cell r="U981" t="str">
            <v>Desc1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S982" t="str">
            <v>&gt;=480</v>
          </cell>
          <cell r="T982" t="str">
            <v>&lt;=804</v>
          </cell>
          <cell r="U982" t="str">
            <v>=D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S983" t="str">
            <v>Line</v>
          </cell>
          <cell r="T983" t="str">
            <v>Line</v>
          </cell>
          <cell r="U983" t="str">
            <v>Desc1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S984" t="str">
            <v>&gt;=480</v>
          </cell>
          <cell r="T984" t="str">
            <v>&lt;=804</v>
          </cell>
          <cell r="U984" t="str">
            <v>=O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S985" t="str">
            <v>Line</v>
          </cell>
          <cell r="T985" t="str">
            <v>Line</v>
          </cell>
          <cell r="U985" t="str">
            <v>Desc1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S986" t="str">
            <v>&gt;=444</v>
          </cell>
          <cell r="T986" t="str">
            <v>&lt;=478</v>
          </cell>
          <cell r="U986" t="str">
            <v>=P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S987" t="str">
            <v>Line</v>
          </cell>
          <cell r="T987" t="str">
            <v>Line</v>
          </cell>
          <cell r="U987" t="str">
            <v>Desc1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S988" t="str">
            <v>&gt;=444</v>
          </cell>
          <cell r="T988" t="str">
            <v>&lt;=478</v>
          </cell>
          <cell r="U988" t="str">
            <v>=T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S989" t="str">
            <v>Line</v>
          </cell>
          <cell r="T989" t="str">
            <v>Line</v>
          </cell>
          <cell r="U989" t="str">
            <v>Desc1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S990" t="str">
            <v>&gt;=444</v>
          </cell>
          <cell r="T990" t="str">
            <v>&lt;=478</v>
          </cell>
          <cell r="U990" t="str">
            <v>=D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S991" t="str">
            <v>Line</v>
          </cell>
          <cell r="T991" t="str">
            <v>Line</v>
          </cell>
          <cell r="U991" t="str">
            <v>Desc1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S992" t="str">
            <v>&gt;=444</v>
          </cell>
          <cell r="T992" t="str">
            <v>&lt;=478</v>
          </cell>
          <cell r="U992" t="str">
            <v>=O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S993" t="str">
            <v>Line</v>
          </cell>
          <cell r="T993" t="str">
            <v>Line</v>
          </cell>
          <cell r="U993" t="str">
            <v>Desc1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S994" t="str">
            <v>&gt;=785</v>
          </cell>
          <cell r="T994" t="str">
            <v>&lt;=785</v>
          </cell>
          <cell r="U994" t="str">
            <v>=P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S995" t="str">
            <v>Line</v>
          </cell>
          <cell r="T995" t="str">
            <v>Line</v>
          </cell>
          <cell r="U995" t="str">
            <v>Desc1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S996" t="str">
            <v>&gt;=819</v>
          </cell>
          <cell r="T996" t="str">
            <v>&lt;=842</v>
          </cell>
          <cell r="U996" t="str">
            <v>=P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S997" t="str">
            <v>Line</v>
          </cell>
          <cell r="T997" t="str">
            <v>Line</v>
          </cell>
          <cell r="U997" t="str">
            <v>Desc1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S998" t="str">
            <v>&gt;=819</v>
          </cell>
          <cell r="T998" t="str">
            <v>&lt;=842</v>
          </cell>
          <cell r="U998" t="str">
            <v>=T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S999" t="str">
            <v>Line</v>
          </cell>
          <cell r="T999" t="str">
            <v>Line</v>
          </cell>
          <cell r="U999" t="str">
            <v>Desc1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S1000" t="str">
            <v>&gt;=819</v>
          </cell>
          <cell r="T1000" t="str">
            <v>&lt;=842</v>
          </cell>
          <cell r="U1000" t="str">
            <v>=D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S1001" t="str">
            <v>Line</v>
          </cell>
          <cell r="T1001" t="str">
            <v>Line</v>
          </cell>
          <cell r="U1001" t="str">
            <v>Desc1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S1002" t="str">
            <v>&gt;=819</v>
          </cell>
          <cell r="T1002" t="str">
            <v>&lt;=842</v>
          </cell>
          <cell r="U1002" t="str">
            <v>=DSM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282">
          <cell r="S1282" t="str">
            <v>Line</v>
          </cell>
          <cell r="T1282" t="str">
            <v>Line</v>
          </cell>
          <cell r="U1282" t="str">
            <v>Desc1</v>
          </cell>
          <cell r="V1282" t="str">
            <v>Calloc</v>
          </cell>
        </row>
        <row r="1283">
          <cell r="S1283" t="str">
            <v>&gt;=9</v>
          </cell>
          <cell r="T1283" t="str">
            <v>&lt;=442</v>
          </cell>
          <cell r="U1283" t="str">
            <v>=O</v>
          </cell>
          <cell r="V1283" t="str">
            <v>S04</v>
          </cell>
        </row>
        <row r="1284">
          <cell r="S1284" t="str">
            <v>Line</v>
          </cell>
          <cell r="T1284" t="str">
            <v>Line</v>
          </cell>
          <cell r="U1284" t="str">
            <v>Desc1</v>
          </cell>
          <cell r="V1284" t="str">
            <v>Calloc</v>
          </cell>
        </row>
        <row r="1285">
          <cell r="S1285" t="str">
            <v>&gt;=9</v>
          </cell>
          <cell r="T1285" t="str">
            <v>&lt;=442</v>
          </cell>
          <cell r="U1285" t="str">
            <v>=O</v>
          </cell>
          <cell r="V1285" t="str">
            <v>S05</v>
          </cell>
        </row>
        <row r="1286">
          <cell r="S1286" t="str">
            <v>Line</v>
          </cell>
          <cell r="T1286" t="str">
            <v>Line</v>
          </cell>
          <cell r="U1286" t="str">
            <v>Desc1</v>
          </cell>
          <cell r="V1286" t="str">
            <v>Calloc</v>
          </cell>
        </row>
        <row r="1287">
          <cell r="S1287" t="str">
            <v>&gt;=9</v>
          </cell>
          <cell r="T1287" t="str">
            <v>&lt;=442</v>
          </cell>
          <cell r="U1287" t="str">
            <v>=O</v>
          </cell>
          <cell r="V1287" t="str">
            <v>S06</v>
          </cell>
        </row>
        <row r="1288">
          <cell r="S1288" t="str">
            <v>Line</v>
          </cell>
          <cell r="T1288" t="str">
            <v>Line</v>
          </cell>
          <cell r="U1288" t="str">
            <v>Desc1</v>
          </cell>
          <cell r="V1288" t="str">
            <v>Calloc</v>
          </cell>
        </row>
        <row r="1289">
          <cell r="S1289" t="str">
            <v>&gt;=9</v>
          </cell>
          <cell r="T1289" t="str">
            <v>&lt;=442</v>
          </cell>
          <cell r="U1289" t="str">
            <v>=O</v>
          </cell>
          <cell r="V1289" t="str">
            <v>S19</v>
          </cell>
        </row>
        <row r="1290">
          <cell r="S1290" t="str">
            <v>Line</v>
          </cell>
          <cell r="T1290" t="str">
            <v>Line</v>
          </cell>
          <cell r="U1290" t="str">
            <v>Desc1</v>
          </cell>
          <cell r="V1290" t="str">
            <v>Calloc</v>
          </cell>
        </row>
        <row r="1291">
          <cell r="S1291" t="str">
            <v>&gt;=9</v>
          </cell>
          <cell r="T1291" t="str">
            <v>&lt;=442</v>
          </cell>
          <cell r="U1291" t="str">
            <v>=O</v>
          </cell>
          <cell r="V1291" t="str">
            <v>S21</v>
          </cell>
        </row>
        <row r="1292">
          <cell r="S1292" t="str">
            <v>Line</v>
          </cell>
          <cell r="T1292" t="str">
            <v>Line</v>
          </cell>
          <cell r="U1292" t="str">
            <v>Desc1</v>
          </cell>
          <cell r="V1292" t="str">
            <v>Calloc</v>
          </cell>
        </row>
        <row r="1293">
          <cell r="S1293" t="str">
            <v>&gt;=9</v>
          </cell>
          <cell r="T1293" t="str">
            <v>&lt;=442</v>
          </cell>
          <cell r="U1293" t="str">
            <v>=O</v>
          </cell>
          <cell r="V1293" t="str">
            <v>S22</v>
          </cell>
        </row>
        <row r="1294">
          <cell r="S1294" t="str">
            <v>Line</v>
          </cell>
          <cell r="T1294" t="str">
            <v>Line</v>
          </cell>
          <cell r="U1294" t="str">
            <v>Desc1</v>
          </cell>
          <cell r="V1294" t="str">
            <v>Calloc</v>
          </cell>
        </row>
        <row r="1295">
          <cell r="S1295" t="str">
            <v>&gt;=9</v>
          </cell>
          <cell r="T1295" t="str">
            <v>&lt;=442</v>
          </cell>
          <cell r="U1295" t="str">
            <v>=O</v>
          </cell>
          <cell r="V1295" t="str">
            <v>S23</v>
          </cell>
        </row>
        <row r="1296">
          <cell r="S1296" t="str">
            <v>Line</v>
          </cell>
          <cell r="T1296" t="str">
            <v>Line</v>
          </cell>
          <cell r="U1296" t="str">
            <v>Desc1</v>
          </cell>
          <cell r="V1296" t="str">
            <v>Calloc</v>
          </cell>
        </row>
        <row r="1297">
          <cell r="S1297" t="str">
            <v>&gt;=480</v>
          </cell>
          <cell r="T1297" t="str">
            <v>&lt;=804</v>
          </cell>
          <cell r="U1297" t="str">
            <v>=O</v>
          </cell>
          <cell r="V1297" t="str">
            <v>S04</v>
          </cell>
        </row>
        <row r="1298">
          <cell r="S1298" t="str">
            <v>Line</v>
          </cell>
          <cell r="T1298" t="str">
            <v>Line</v>
          </cell>
          <cell r="U1298" t="str">
            <v>Desc1</v>
          </cell>
          <cell r="V1298" t="str">
            <v>Calloc</v>
          </cell>
        </row>
        <row r="1299">
          <cell r="S1299" t="str">
            <v>&gt;=480</v>
          </cell>
          <cell r="T1299" t="str">
            <v>&lt;=804</v>
          </cell>
          <cell r="U1299" t="str">
            <v>=O</v>
          </cell>
          <cell r="V1299" t="str">
            <v>S05</v>
          </cell>
        </row>
        <row r="1300">
          <cell r="S1300" t="str">
            <v>Line</v>
          </cell>
          <cell r="T1300" t="str">
            <v>Line</v>
          </cell>
          <cell r="U1300" t="str">
            <v>Desc1</v>
          </cell>
          <cell r="V1300" t="str">
            <v>Calloc</v>
          </cell>
        </row>
        <row r="1301">
          <cell r="S1301" t="str">
            <v>&gt;=480</v>
          </cell>
          <cell r="T1301" t="str">
            <v>&lt;=804</v>
          </cell>
          <cell r="U1301" t="str">
            <v>=O</v>
          </cell>
          <cell r="V1301" t="str">
            <v>S06</v>
          </cell>
        </row>
        <row r="1302">
          <cell r="S1302" t="str">
            <v>Line</v>
          </cell>
          <cell r="T1302" t="str">
            <v>Line</v>
          </cell>
          <cell r="U1302" t="str">
            <v>Desc1</v>
          </cell>
          <cell r="V1302" t="str">
            <v>Calloc</v>
          </cell>
        </row>
        <row r="1303">
          <cell r="S1303" t="str">
            <v>&gt;=480</v>
          </cell>
          <cell r="T1303" t="str">
            <v>&lt;=804</v>
          </cell>
          <cell r="U1303" t="str">
            <v>=O</v>
          </cell>
          <cell r="V1303" t="str">
            <v>S21</v>
          </cell>
        </row>
        <row r="1304">
          <cell r="S1304" t="str">
            <v>Line</v>
          </cell>
          <cell r="T1304" t="str">
            <v>Line</v>
          </cell>
          <cell r="U1304" t="str">
            <v>Desc1</v>
          </cell>
          <cell r="V1304" t="str">
            <v>Calloc</v>
          </cell>
        </row>
        <row r="1305">
          <cell r="S1305" t="str">
            <v>&gt;=480</v>
          </cell>
          <cell r="T1305" t="str">
            <v>&lt;=804</v>
          </cell>
          <cell r="U1305" t="str">
            <v>=O</v>
          </cell>
          <cell r="V1305" t="str">
            <v>S22</v>
          </cell>
        </row>
        <row r="1306">
          <cell r="S1306" t="str">
            <v>Line</v>
          </cell>
          <cell r="T1306" t="str">
            <v>Line</v>
          </cell>
          <cell r="U1306" t="str">
            <v>Desc1</v>
          </cell>
          <cell r="V1306" t="str">
            <v>Calloc</v>
          </cell>
        </row>
        <row r="1307">
          <cell r="S1307" t="str">
            <v>&gt;=480</v>
          </cell>
          <cell r="T1307" t="str">
            <v>&lt;=804</v>
          </cell>
          <cell r="U1307" t="str">
            <v>=O</v>
          </cell>
          <cell r="V1307" t="str">
            <v>S23</v>
          </cell>
        </row>
        <row r="1308">
          <cell r="S1308" t="str">
            <v>Line</v>
          </cell>
          <cell r="T1308" t="str">
            <v>Line</v>
          </cell>
          <cell r="U1308" t="str">
            <v>Desc1</v>
          </cell>
          <cell r="V1308" t="str">
            <v>Calloc</v>
          </cell>
        </row>
        <row r="1309">
          <cell r="S1309" t="str">
            <v>&gt;=444</v>
          </cell>
          <cell r="T1309" t="str">
            <v>&lt;=478</v>
          </cell>
          <cell r="U1309" t="str">
            <v>=O</v>
          </cell>
          <cell r="V1309" t="str">
            <v>S04</v>
          </cell>
        </row>
        <row r="1310">
          <cell r="S1310" t="str">
            <v>Line</v>
          </cell>
          <cell r="T1310" t="str">
            <v>Line</v>
          </cell>
          <cell r="U1310" t="str">
            <v>Desc1</v>
          </cell>
          <cell r="V1310" t="str">
            <v>Calloc</v>
          </cell>
        </row>
        <row r="1311">
          <cell r="S1311" t="str">
            <v>&gt;=848</v>
          </cell>
          <cell r="T1311" t="str">
            <v>&lt;=1472</v>
          </cell>
          <cell r="U1311" t="str">
            <v>=O</v>
          </cell>
          <cell r="V1311" t="str">
            <v>S04</v>
          </cell>
        </row>
        <row r="1312">
          <cell r="S1312" t="str">
            <v>Line</v>
          </cell>
          <cell r="T1312" t="str">
            <v>Line</v>
          </cell>
          <cell r="U1312" t="str">
            <v>Desc1</v>
          </cell>
          <cell r="V1312" t="str">
            <v>Calloc</v>
          </cell>
        </row>
        <row r="1313">
          <cell r="S1313" t="str">
            <v>&gt;=848</v>
          </cell>
          <cell r="T1313" t="str">
            <v>&lt;=1472</v>
          </cell>
          <cell r="U1313" t="str">
            <v>=O</v>
          </cell>
          <cell r="V1313" t="str">
            <v>S05</v>
          </cell>
        </row>
        <row r="1314">
          <cell r="S1314" t="str">
            <v>Line</v>
          </cell>
          <cell r="T1314" t="str">
            <v>Line</v>
          </cell>
          <cell r="U1314" t="str">
            <v>Desc1</v>
          </cell>
          <cell r="V1314" t="str">
            <v>Calloc</v>
          </cell>
        </row>
        <row r="1315">
          <cell r="S1315" t="str">
            <v>&gt;=848</v>
          </cell>
          <cell r="T1315" t="str">
            <v>&lt;=1472</v>
          </cell>
          <cell r="U1315" t="str">
            <v>=O</v>
          </cell>
          <cell r="V1315" t="str">
            <v>S06</v>
          </cell>
        </row>
        <row r="1316">
          <cell r="S1316" t="str">
            <v>Line</v>
          </cell>
          <cell r="T1316" t="str">
            <v>Line</v>
          </cell>
          <cell r="U1316" t="str">
            <v>Desc1</v>
          </cell>
          <cell r="V1316" t="str">
            <v>Calloc</v>
          </cell>
        </row>
        <row r="1317">
          <cell r="S1317" t="str">
            <v>&gt;=848</v>
          </cell>
          <cell r="T1317" t="str">
            <v>&lt;=1472</v>
          </cell>
          <cell r="U1317" t="str">
            <v>=O</v>
          </cell>
          <cell r="V1317" t="str">
            <v>S21</v>
          </cell>
        </row>
        <row r="1318">
          <cell r="S1318" t="str">
            <v>Line</v>
          </cell>
          <cell r="T1318" t="str">
            <v>Line</v>
          </cell>
          <cell r="U1318" t="str">
            <v>Desc1</v>
          </cell>
          <cell r="V1318" t="str">
            <v>Calloc</v>
          </cell>
        </row>
        <row r="1319">
          <cell r="S1319" t="str">
            <v>&gt;=848</v>
          </cell>
          <cell r="T1319" t="str">
            <v>&lt;=1472</v>
          </cell>
          <cell r="U1319" t="str">
            <v>=O</v>
          </cell>
          <cell r="V1319" t="str">
            <v>S22</v>
          </cell>
        </row>
        <row r="1320">
          <cell r="S1320" t="str">
            <v>Line</v>
          </cell>
          <cell r="T1320" t="str">
            <v>Line</v>
          </cell>
          <cell r="U1320" t="str">
            <v>Desc1</v>
          </cell>
          <cell r="V1320" t="str">
            <v>Calloc</v>
          </cell>
        </row>
        <row r="1321">
          <cell r="S1321" t="str">
            <v>&gt;=848</v>
          </cell>
          <cell r="T1321" t="str">
            <v>&lt;=1472</v>
          </cell>
          <cell r="U1321" t="str">
            <v>=O</v>
          </cell>
          <cell r="V1321" t="str">
            <v>S23</v>
          </cell>
        </row>
        <row r="1805">
          <cell r="S1805" t="str">
            <v>Line</v>
          </cell>
          <cell r="T1805" t="str">
            <v>Line</v>
          </cell>
        </row>
        <row r="1806">
          <cell r="S1806" t="str">
            <v>&gt;=1221</v>
          </cell>
          <cell r="T1806" t="str">
            <v>&lt;=1242</v>
          </cell>
        </row>
        <row r="1807">
          <cell r="S1807" t="str">
            <v>Line</v>
          </cell>
          <cell r="T1807" t="str">
            <v>Line</v>
          </cell>
        </row>
        <row r="1808">
          <cell r="S1808" t="str">
            <v>&gt;=271</v>
          </cell>
          <cell r="T1808" t="str">
            <v>&lt;=272</v>
          </cell>
        </row>
        <row r="1809">
          <cell r="S1809" t="str">
            <v>&gt;=290</v>
          </cell>
          <cell r="T1809" t="str">
            <v>&lt;=293</v>
          </cell>
        </row>
        <row r="1810">
          <cell r="S1810" t="str">
            <v>Line</v>
          </cell>
          <cell r="T1810" t="str">
            <v>Line</v>
          </cell>
        </row>
        <row r="1811">
          <cell r="S1811" t="str">
            <v>&gt;=555</v>
          </cell>
          <cell r="T1811" t="str">
            <v>&lt;=576</v>
          </cell>
        </row>
        <row r="1831">
          <cell r="S1831" t="str">
            <v>Line</v>
          </cell>
          <cell r="T1831" t="str">
            <v>Line</v>
          </cell>
          <cell r="U1831" t="str">
            <v>Desc1</v>
          </cell>
          <cell r="V1831" t="str">
            <v>CAlloc</v>
          </cell>
        </row>
        <row r="1832">
          <cell r="S1832" t="str">
            <v>&gt;=848</v>
          </cell>
          <cell r="T1832" t="str">
            <v>&lt;=1472</v>
          </cell>
          <cell r="U1832" t="str">
            <v>=D</v>
          </cell>
          <cell r="V1832" t="str">
            <v>S03</v>
          </cell>
        </row>
        <row r="1834">
          <cell r="S1834" t="str">
            <v>Line</v>
          </cell>
          <cell r="T1834" t="str">
            <v>Line</v>
          </cell>
          <cell r="U1834" t="str">
            <v>Desc1</v>
          </cell>
          <cell r="V1834" t="str">
            <v>CAlloc</v>
          </cell>
        </row>
        <row r="1835">
          <cell r="S1835" t="str">
            <v>&gt;=9</v>
          </cell>
          <cell r="T1835" t="str">
            <v>&lt;=846</v>
          </cell>
          <cell r="U1835" t="str">
            <v>=D</v>
          </cell>
          <cell r="V1835" t="str">
            <v>S03</v>
          </cell>
        </row>
        <row r="1837">
          <cell r="S1837" t="str">
            <v>Line</v>
          </cell>
          <cell r="T1837" t="str">
            <v>Line</v>
          </cell>
          <cell r="U1837" t="str">
            <v>Desc1</v>
          </cell>
          <cell r="V1837" t="str">
            <v>CAlloc</v>
          </cell>
        </row>
        <row r="1838">
          <cell r="S1838" t="str">
            <v>&gt;=9</v>
          </cell>
          <cell r="T1838" t="str">
            <v>&lt;=846</v>
          </cell>
          <cell r="U1838" t="str">
            <v>=D</v>
          </cell>
          <cell r="V1838" t="str">
            <v>S16</v>
          </cell>
        </row>
        <row r="1840">
          <cell r="S1840" t="str">
            <v>Line</v>
          </cell>
          <cell r="T1840" t="str">
            <v>Line</v>
          </cell>
          <cell r="U1840" t="str">
            <v>Desc1</v>
          </cell>
          <cell r="V1840" t="str">
            <v>CAlloc</v>
          </cell>
        </row>
        <row r="1841">
          <cell r="S1841" t="str">
            <v>&gt;=9</v>
          </cell>
          <cell r="T1841" t="str">
            <v>&lt;=846</v>
          </cell>
          <cell r="U1841" t="str">
            <v>=D</v>
          </cell>
          <cell r="V1841" t="str">
            <v>S17</v>
          </cell>
        </row>
        <row r="1864">
          <cell r="S1864" t="str">
            <v>Line</v>
          </cell>
          <cell r="T1864" t="str">
            <v>Line</v>
          </cell>
        </row>
        <row r="1865">
          <cell r="S1865" t="str">
            <v>&gt;=1254</v>
          </cell>
          <cell r="T1865" t="str">
            <v>&lt;=1275</v>
          </cell>
        </row>
        <row r="1866">
          <cell r="S1866" t="str">
            <v>Line</v>
          </cell>
          <cell r="T1866" t="str">
            <v>Line</v>
          </cell>
        </row>
        <row r="1867">
          <cell r="S1867" t="str">
            <v>&gt;=273</v>
          </cell>
          <cell r="T1867" t="str">
            <v>&lt;=274</v>
          </cell>
        </row>
        <row r="1868">
          <cell r="S1868" t="str">
            <v>&gt;=294</v>
          </cell>
          <cell r="T1868" t="str">
            <v>&lt;=295</v>
          </cell>
        </row>
        <row r="1869">
          <cell r="S1869" t="str">
            <v>Line</v>
          </cell>
          <cell r="T1869" t="str">
            <v>Line</v>
          </cell>
        </row>
        <row r="1870">
          <cell r="S1870" t="str">
            <v>&gt;=588</v>
          </cell>
          <cell r="T1870" t="str">
            <v>&lt;=609</v>
          </cell>
        </row>
      </sheetData>
      <sheetData sheetId="3">
        <row r="2">
          <cell r="C2" t="str">
            <v>Assign_Combine</v>
          </cell>
        </row>
        <row r="3">
          <cell r="W3">
            <v>1</v>
          </cell>
          <cell r="X3" t="str">
            <v>PRB</v>
          </cell>
          <cell r="Y3" t="str">
            <v>Production Related Rate Base</v>
          </cell>
          <cell r="Z3" t="str">
            <v>&gt;=848</v>
          </cell>
          <cell r="AA3" t="str">
            <v>&lt;=1472</v>
          </cell>
          <cell r="AB3" t="str">
            <v>P</v>
          </cell>
        </row>
        <row r="4">
          <cell r="W4">
            <v>2</v>
          </cell>
          <cell r="X4" t="str">
            <v>TRB</v>
          </cell>
          <cell r="Y4" t="str">
            <v>Transmission Related Rate Base</v>
          </cell>
          <cell r="Z4" t="str">
            <v>&gt;=848</v>
          </cell>
          <cell r="AA4" t="str">
            <v>&lt;=1472</v>
          </cell>
          <cell r="AB4" t="str">
            <v>T</v>
          </cell>
        </row>
        <row r="5">
          <cell r="W5">
            <v>3</v>
          </cell>
          <cell r="X5" t="str">
            <v>DRB</v>
          </cell>
          <cell r="Y5" t="str">
            <v>Distribution Related Rate Base</v>
          </cell>
          <cell r="Z5" t="str">
            <v>&gt;=848</v>
          </cell>
          <cell r="AA5" t="str">
            <v>&lt;=1472</v>
          </cell>
          <cell r="AB5" t="str">
            <v>D</v>
          </cell>
        </row>
        <row r="6">
          <cell r="W6">
            <v>4</v>
          </cell>
          <cell r="X6" t="str">
            <v>DSMRB</v>
          </cell>
          <cell r="Y6" t="str">
            <v>DSM Rate Base</v>
          </cell>
          <cell r="Z6" t="str">
            <v>&gt;=848</v>
          </cell>
          <cell r="AA6" t="str">
            <v>&lt;=1472</v>
          </cell>
          <cell r="AB6" t="str">
            <v>DSM</v>
          </cell>
        </row>
        <row r="7">
          <cell r="W7">
            <v>5</v>
          </cell>
          <cell r="X7" t="str">
            <v>ORB</v>
          </cell>
          <cell r="Y7" t="str">
            <v>Other Rate Base (General Plant)</v>
          </cell>
          <cell r="Z7" t="str">
            <v>&gt;=848</v>
          </cell>
          <cell r="AA7" t="str">
            <v>&lt;=1472</v>
          </cell>
          <cell r="AB7" t="str">
            <v>O</v>
          </cell>
        </row>
        <row r="8">
          <cell r="W8">
            <v>6</v>
          </cell>
          <cell r="X8" t="str">
            <v>PNE</v>
          </cell>
          <cell r="Y8" t="str">
            <v>Production Related Net Expense</v>
          </cell>
          <cell r="Z8" t="str">
            <v>&gt;=9</v>
          </cell>
          <cell r="AA8" t="str">
            <v>&lt;=846</v>
          </cell>
          <cell r="AB8" t="str">
            <v>P</v>
          </cell>
        </row>
        <row r="9">
          <cell r="W9">
            <v>7</v>
          </cell>
          <cell r="X9" t="str">
            <v>TNE</v>
          </cell>
          <cell r="Y9" t="str">
            <v>Transmission Related Net Expense</v>
          </cell>
          <cell r="Z9" t="str">
            <v>&gt;=9</v>
          </cell>
          <cell r="AA9" t="str">
            <v>&lt;=846</v>
          </cell>
          <cell r="AB9" t="str">
            <v>T</v>
          </cell>
        </row>
        <row r="10">
          <cell r="W10">
            <v>8</v>
          </cell>
          <cell r="X10" t="str">
            <v>DNE</v>
          </cell>
          <cell r="Y10" t="str">
            <v>Distribution Related Net Expense</v>
          </cell>
          <cell r="Z10" t="str">
            <v>&gt;=9</v>
          </cell>
          <cell r="AA10" t="str">
            <v>&lt;=846</v>
          </cell>
          <cell r="AB10" t="str">
            <v>D</v>
          </cell>
        </row>
        <row r="11">
          <cell r="W11">
            <v>9</v>
          </cell>
          <cell r="X11" t="str">
            <v>CNE</v>
          </cell>
          <cell r="Y11" t="str">
            <v>Customer Relations Related Net Expense</v>
          </cell>
          <cell r="Z11" t="str">
            <v>&gt;=9</v>
          </cell>
          <cell r="AA11" t="str">
            <v>&lt;=846</v>
          </cell>
          <cell r="AB11" t="str">
            <v>C</v>
          </cell>
        </row>
        <row r="12">
          <cell r="W12">
            <v>10</v>
          </cell>
          <cell r="X12" t="str">
            <v>DSMNE</v>
          </cell>
          <cell r="Y12" t="str">
            <v>DSM Related Net Expense</v>
          </cell>
          <cell r="Z12" t="str">
            <v>&gt;=9</v>
          </cell>
          <cell r="AA12" t="str">
            <v>&lt;=846</v>
          </cell>
          <cell r="AB12" t="str">
            <v>DSM</v>
          </cell>
        </row>
        <row r="13">
          <cell r="W13">
            <v>11</v>
          </cell>
          <cell r="X13" t="str">
            <v>ONE</v>
          </cell>
          <cell r="Y13" t="str">
            <v>Other (Common) Net Expense</v>
          </cell>
          <cell r="Z13" t="str">
            <v>&gt;=9</v>
          </cell>
          <cell r="AA13" t="str">
            <v>&lt;=846</v>
          </cell>
          <cell r="AB13" t="str">
            <v>O</v>
          </cell>
        </row>
        <row r="14">
          <cell r="W14">
            <v>12</v>
          </cell>
          <cell r="X14" t="str">
            <v>POE</v>
          </cell>
          <cell r="Y14" t="str">
            <v>Operating Expense Before A&amp;G - Production</v>
          </cell>
          <cell r="Z14" t="str">
            <v>&gt;=9</v>
          </cell>
          <cell r="AA14" t="str">
            <v>&lt;=369</v>
          </cell>
          <cell r="AB14" t="str">
            <v>P</v>
          </cell>
        </row>
        <row r="15">
          <cell r="W15">
            <v>13</v>
          </cell>
          <cell r="X15" t="str">
            <v>TOE</v>
          </cell>
          <cell r="Y15" t="str">
            <v>Operating Expense Before A&amp;G - Transmission</v>
          </cell>
          <cell r="Z15" t="str">
            <v>&gt;=9</v>
          </cell>
          <cell r="AA15" t="str">
            <v>&lt;=369</v>
          </cell>
          <cell r="AB15" t="str">
            <v>T</v>
          </cell>
        </row>
        <row r="16">
          <cell r="W16">
            <v>14</v>
          </cell>
          <cell r="X16" t="str">
            <v>DOE</v>
          </cell>
          <cell r="Y16" t="str">
            <v>Operating Expense Before A&amp;G - Distribution</v>
          </cell>
          <cell r="Z16" t="str">
            <v>&gt;=9</v>
          </cell>
          <cell r="AA16" t="str">
            <v>&lt;=369</v>
          </cell>
          <cell r="AB16" t="str">
            <v>D</v>
          </cell>
        </row>
        <row r="17">
          <cell r="W17">
            <v>15</v>
          </cell>
          <cell r="X17" t="str">
            <v>COE</v>
          </cell>
          <cell r="Y17" t="str">
            <v>Operating Expense Before A&amp;G - Customer Relations</v>
          </cell>
          <cell r="Z17" t="str">
            <v>&gt;=9</v>
          </cell>
          <cell r="AA17" t="str">
            <v>&lt;=369</v>
          </cell>
          <cell r="AB17" t="str">
            <v>C</v>
          </cell>
        </row>
        <row r="18">
          <cell r="W18">
            <v>16</v>
          </cell>
          <cell r="X18" t="str">
            <v>DSMOE</v>
          </cell>
          <cell r="Y18" t="str">
            <v>Operating Expense Before A&amp;G - DSM</v>
          </cell>
          <cell r="Z18" t="str">
            <v>&gt;=9</v>
          </cell>
          <cell r="AA18" t="str">
            <v>&lt;=369</v>
          </cell>
          <cell r="AB18" t="str">
            <v>DSM</v>
          </cell>
        </row>
        <row r="19">
          <cell r="W19">
            <v>17</v>
          </cell>
          <cell r="X19" t="str">
            <v>PAD</v>
          </cell>
          <cell r="Y19" t="str">
            <v>Accumulated Depreciation - Production</v>
          </cell>
          <cell r="Z19" t="str">
            <v>&gt;=1146</v>
          </cell>
          <cell r="AA19" t="str">
            <v>&lt;=1364</v>
          </cell>
          <cell r="AB19" t="str">
            <v>P</v>
          </cell>
        </row>
        <row r="20">
          <cell r="W20">
            <v>18</v>
          </cell>
          <cell r="X20" t="str">
            <v>TAD</v>
          </cell>
          <cell r="Y20" t="str">
            <v>Accumulated Depreciation - Transmission</v>
          </cell>
          <cell r="Z20" t="str">
            <v>&gt;=1146</v>
          </cell>
          <cell r="AA20" t="str">
            <v>&lt;=1364</v>
          </cell>
          <cell r="AB20" t="str">
            <v>T</v>
          </cell>
        </row>
        <row r="21">
          <cell r="W21">
            <v>19</v>
          </cell>
          <cell r="X21" t="str">
            <v>DAD</v>
          </cell>
          <cell r="Y21" t="str">
            <v>Accumulated Depreciation - Distribution</v>
          </cell>
          <cell r="Z21" t="str">
            <v>&gt;=1146</v>
          </cell>
          <cell r="AA21" t="str">
            <v>&lt;=1364</v>
          </cell>
          <cell r="AB21" t="str">
            <v>D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ocuments%20and%20Settings\p20326\Local%20Settings\Temporary%20Internet%20Files\Content.Outlook\9HOINJJQ\Low%20Income\WA%20Schedule%2017%20Blocking%20201101-20111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74933" refreshedDate="41205.379383333333" createdVersion="1" refreshedVersion="3" recordCount="25115" upgradeOnRefresh="1">
  <cacheSource type="worksheet">
    <worksheetSource ref="A1:H25116" sheet="By Rate (2)" r:id="rId2"/>
  </cacheSource>
  <cacheFields count="8">
    <cacheField name="Invoice Status Cd" numFmtId="0">
      <sharedItems containsBlank="1"/>
    </cacheField>
    <cacheField name="Genyearmonth" numFmtId="0">
      <sharedItems containsBlank="1"/>
    </cacheField>
    <cacheField name="Unit Price New" numFmtId="0">
      <sharedItems containsBlank="1" containsMixedTypes="1" containsNumber="1" minValue="-5.8279999999999998E-2" maxValue="-2.4500000000000001E-2" count="7">
        <n v="-2.4500000000000001E-2"/>
        <m/>
        <s v="-0.0245 Total"/>
        <n v="-3.9210000000000002E-2"/>
        <s v="-0.03921 Total"/>
        <n v="-5.8279999999999998E-2"/>
        <s v="-0.05828 Total"/>
      </sharedItems>
    </cacheField>
    <cacheField name="Concat Agreement Number" numFmtId="0">
      <sharedItems containsBlank="1"/>
    </cacheField>
    <cacheField name="Sum of Amount" numFmtId="0">
      <sharedItems containsSemiMixedTypes="0" containsString="0" containsNumber="1" minValue="-901460.73999999871" maxValue="-0.02"/>
    </cacheField>
    <cacheField name="Sum of Billing Quantity" numFmtId="0">
      <sharedItems containsSemiMixedTypes="0" containsString="0" containsNumber="1" containsInteger="1" minValue="1" maxValue="27046084"/>
    </cacheField>
    <cacheField name="Count of Concat Agreement Number" numFmtId="0">
      <sharedItems containsSemiMixedTypes="0" containsString="0" containsNumber="1" containsInteger="1" minValue="1" maxValue="28942"/>
    </cacheField>
    <cacheField name="Participants" numFmtId="0">
      <sharedItems containsString="0" containsBlank="1" containsNumber="1" containsInteger="1" minValue="1" maxValue="20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115">
  <r>
    <s v="G"/>
    <s v="201101"/>
    <x v="0"/>
    <s v="00088986001001"/>
    <n v="-44.02"/>
    <n v="2573"/>
    <n v="1"/>
    <n v="1"/>
  </r>
  <r>
    <m/>
    <m/>
    <x v="1"/>
    <s v="00277098001001"/>
    <n v="-11.36"/>
    <n v="664"/>
    <n v="1"/>
    <n v="1"/>
  </r>
  <r>
    <m/>
    <m/>
    <x v="1"/>
    <s v="00519733001001"/>
    <n v="-46.37"/>
    <n v="2710"/>
    <n v="1"/>
    <n v="1"/>
  </r>
  <r>
    <m/>
    <m/>
    <x v="1"/>
    <s v="00756296002002"/>
    <n v="-37.86"/>
    <n v="2213"/>
    <n v="1"/>
    <n v="1"/>
  </r>
  <r>
    <m/>
    <m/>
    <x v="1"/>
    <s v="00964949001001"/>
    <n v="-37.76"/>
    <n v="2207"/>
    <n v="1"/>
    <n v="1"/>
  </r>
  <r>
    <m/>
    <m/>
    <x v="1"/>
    <s v="01734407003001"/>
    <n v="-11.65"/>
    <n v="681"/>
    <n v="1"/>
    <n v="1"/>
  </r>
  <r>
    <m/>
    <m/>
    <x v="1"/>
    <s v="01772343001001"/>
    <n v="-59.34"/>
    <n v="3468"/>
    <n v="1"/>
    <n v="1"/>
  </r>
  <r>
    <m/>
    <m/>
    <x v="1"/>
    <s v="02113749002001"/>
    <n v="-37.68"/>
    <n v="2202"/>
    <n v="1"/>
    <n v="1"/>
  </r>
  <r>
    <m/>
    <m/>
    <x v="1"/>
    <s v="02160615003007"/>
    <n v="-82.95"/>
    <n v="4848"/>
    <n v="1"/>
    <n v="1"/>
  </r>
  <r>
    <m/>
    <m/>
    <x v="1"/>
    <s v="02367690001003"/>
    <n v="-44.76"/>
    <n v="2616"/>
    <n v="1"/>
    <n v="1"/>
  </r>
  <r>
    <m/>
    <m/>
    <x v="1"/>
    <s v="02447419003010"/>
    <n v="-15.62"/>
    <n v="913"/>
    <n v="1"/>
    <n v="1"/>
  </r>
  <r>
    <m/>
    <m/>
    <x v="1"/>
    <s v="02474190002001"/>
    <n v="-26.98"/>
    <n v="1577"/>
    <n v="1"/>
    <n v="1"/>
  </r>
  <r>
    <m/>
    <m/>
    <x v="1"/>
    <s v="02653483001002"/>
    <n v="-54.22"/>
    <n v="3169"/>
    <n v="1"/>
    <n v="1"/>
  </r>
  <r>
    <m/>
    <m/>
    <x v="1"/>
    <s v="02962892003001"/>
    <n v="-13.89"/>
    <n v="812"/>
    <n v="1"/>
    <n v="1"/>
  </r>
  <r>
    <m/>
    <m/>
    <x v="1"/>
    <s v="03222937001003"/>
    <n v="-26.32"/>
    <n v="1538"/>
    <n v="1"/>
    <n v="1"/>
  </r>
  <r>
    <m/>
    <m/>
    <x v="1"/>
    <s v="03485380001003"/>
    <n v="-6.26"/>
    <n v="366"/>
    <n v="1"/>
    <n v="1"/>
  </r>
  <r>
    <m/>
    <m/>
    <x v="1"/>
    <s v="03563664001001"/>
    <n v="-27.24"/>
    <n v="1592"/>
    <n v="1"/>
    <n v="1"/>
  </r>
  <r>
    <m/>
    <m/>
    <x v="1"/>
    <s v="04274208001003"/>
    <n v="-7.44"/>
    <n v="435"/>
    <n v="1"/>
    <n v="1"/>
  </r>
  <r>
    <m/>
    <m/>
    <x v="1"/>
    <s v="04813613001001"/>
    <n v="-54.58"/>
    <n v="3190"/>
    <n v="1"/>
    <n v="1"/>
  </r>
  <r>
    <m/>
    <m/>
    <x v="1"/>
    <s v="04842107001001"/>
    <n v="-43.05"/>
    <n v="2516"/>
    <n v="1"/>
    <n v="1"/>
  </r>
  <r>
    <m/>
    <m/>
    <x v="1"/>
    <s v="04918256001001"/>
    <n v="-14.46"/>
    <n v="845"/>
    <n v="1"/>
    <n v="1"/>
  </r>
  <r>
    <m/>
    <m/>
    <x v="1"/>
    <s v="05105357001001"/>
    <n v="-3.42"/>
    <n v="200"/>
    <n v="1"/>
    <n v="1"/>
  </r>
  <r>
    <m/>
    <m/>
    <x v="1"/>
    <s v="05432665003001"/>
    <n v="-3.83"/>
    <n v="224"/>
    <n v="1"/>
    <n v="1"/>
  </r>
  <r>
    <m/>
    <m/>
    <x v="1"/>
    <s v="05495875001001"/>
    <n v="-68.11"/>
    <n v="3981"/>
    <n v="1"/>
    <n v="1"/>
  </r>
  <r>
    <m/>
    <m/>
    <x v="1"/>
    <s v="05589577002005"/>
    <n v="-19.8"/>
    <n v="1157"/>
    <n v="1"/>
    <n v="1"/>
  </r>
  <r>
    <m/>
    <m/>
    <x v="1"/>
    <s v="05867332001001"/>
    <n v="-36.99"/>
    <n v="2162"/>
    <n v="1"/>
    <n v="1"/>
  </r>
  <r>
    <m/>
    <m/>
    <x v="1"/>
    <s v="05955645001001"/>
    <n v="-37.450000000000003"/>
    <n v="2189"/>
    <n v="1"/>
    <n v="1"/>
  </r>
  <r>
    <m/>
    <m/>
    <x v="1"/>
    <s v="06291768001004"/>
    <n v="-27.58"/>
    <n v="1612"/>
    <n v="1"/>
    <n v="1"/>
  </r>
  <r>
    <m/>
    <m/>
    <x v="1"/>
    <s v="06477303002003"/>
    <n v="-31.98"/>
    <n v="1869"/>
    <n v="1"/>
    <n v="1"/>
  </r>
  <r>
    <m/>
    <m/>
    <x v="1"/>
    <s v="06507249001002"/>
    <n v="-6.96"/>
    <n v="407"/>
    <n v="1"/>
    <n v="1"/>
  </r>
  <r>
    <m/>
    <m/>
    <x v="1"/>
    <s v="06650635001001"/>
    <n v="-30.37"/>
    <n v="1775"/>
    <n v="1"/>
    <n v="1"/>
  </r>
  <r>
    <m/>
    <m/>
    <x v="1"/>
    <s v="07071999002001"/>
    <n v="-5.0999999999999996"/>
    <n v="298"/>
    <n v="1"/>
    <n v="1"/>
  </r>
  <r>
    <m/>
    <m/>
    <x v="1"/>
    <s v="07225170001003"/>
    <n v="-24.74"/>
    <n v="1446"/>
    <n v="1"/>
    <n v="1"/>
  </r>
  <r>
    <m/>
    <m/>
    <x v="1"/>
    <s v="07402103002007"/>
    <n v="-42.42"/>
    <n v="2479"/>
    <n v="1"/>
    <n v="1"/>
  </r>
  <r>
    <m/>
    <m/>
    <x v="1"/>
    <s v="07453783001001"/>
    <n v="-10.95"/>
    <n v="640"/>
    <n v="1"/>
    <n v="1"/>
  </r>
  <r>
    <m/>
    <m/>
    <x v="1"/>
    <s v="07510350001001"/>
    <n v="-29.05"/>
    <n v="1698"/>
    <n v="1"/>
    <n v="1"/>
  </r>
  <r>
    <m/>
    <m/>
    <x v="1"/>
    <s v="08205707001001"/>
    <n v="-24.88"/>
    <n v="1454"/>
    <n v="1"/>
    <n v="1"/>
  </r>
  <r>
    <m/>
    <m/>
    <x v="1"/>
    <s v="08515494002001"/>
    <n v="-34.200000000000003"/>
    <n v="1999"/>
    <n v="1"/>
    <n v="1"/>
  </r>
  <r>
    <m/>
    <m/>
    <x v="1"/>
    <s v="08622895001001"/>
    <n v="-16.899999999999999"/>
    <n v="988"/>
    <n v="1"/>
    <n v="1"/>
  </r>
  <r>
    <m/>
    <m/>
    <x v="1"/>
    <s v="08747776001001"/>
    <n v="-33.43"/>
    <n v="1954"/>
    <n v="1"/>
    <n v="1"/>
  </r>
  <r>
    <m/>
    <m/>
    <x v="1"/>
    <s v="08937879001001"/>
    <n v="-26.73"/>
    <n v="1562"/>
    <n v="1"/>
    <n v="1"/>
  </r>
  <r>
    <m/>
    <m/>
    <x v="1"/>
    <s v="08988845001001"/>
    <n v="-13.88"/>
    <n v="811"/>
    <n v="1"/>
    <n v="1"/>
  </r>
  <r>
    <m/>
    <m/>
    <x v="1"/>
    <s v="09047822001001"/>
    <n v="-0.41"/>
    <n v="24"/>
    <n v="1"/>
    <n v="1"/>
  </r>
  <r>
    <m/>
    <m/>
    <x v="1"/>
    <s v="09136104001001"/>
    <n v="-3.29"/>
    <n v="192"/>
    <n v="1"/>
    <n v="1"/>
  </r>
  <r>
    <m/>
    <m/>
    <x v="1"/>
    <s v="09433245001001"/>
    <n v="-19.63"/>
    <n v="1147"/>
    <n v="1"/>
    <n v="1"/>
  </r>
  <r>
    <m/>
    <m/>
    <x v="1"/>
    <s v="09649899001003"/>
    <n v="-65.84"/>
    <n v="3848"/>
    <n v="1"/>
    <n v="1"/>
  </r>
  <r>
    <m/>
    <m/>
    <x v="1"/>
    <s v="09788113001001"/>
    <n v="-36.770000000000003"/>
    <n v="2149"/>
    <n v="1"/>
    <n v="1"/>
  </r>
  <r>
    <m/>
    <m/>
    <x v="1"/>
    <s v="10120469001003"/>
    <n v="-34.08"/>
    <n v="1992"/>
    <n v="1"/>
    <n v="1"/>
  </r>
  <r>
    <m/>
    <m/>
    <x v="1"/>
    <s v="10634230001001"/>
    <n v="-11.45"/>
    <n v="669"/>
    <n v="1"/>
    <n v="1"/>
  </r>
  <r>
    <m/>
    <m/>
    <x v="1"/>
    <s v="10650049001003"/>
    <n v="-0.34"/>
    <n v="20"/>
    <n v="1"/>
    <n v="1"/>
  </r>
  <r>
    <m/>
    <m/>
    <x v="1"/>
    <s v="10703331001004"/>
    <n v="-29.93"/>
    <n v="1749"/>
    <n v="1"/>
    <n v="1"/>
  </r>
  <r>
    <m/>
    <m/>
    <x v="1"/>
    <s v="10783993001001"/>
    <n v="-18.600000000000001"/>
    <n v="1087"/>
    <n v="1"/>
    <n v="1"/>
  </r>
  <r>
    <m/>
    <m/>
    <x v="1"/>
    <s v="10863812009001"/>
    <n v="-40.28"/>
    <n v="2354"/>
    <n v="1"/>
    <n v="1"/>
  </r>
  <r>
    <m/>
    <m/>
    <x v="1"/>
    <s v="10870119001001"/>
    <n v="-20.41"/>
    <n v="1193"/>
    <n v="1"/>
    <n v="1"/>
  </r>
  <r>
    <m/>
    <m/>
    <x v="1"/>
    <s v="11039539001001"/>
    <n v="-49.93"/>
    <n v="2918"/>
    <n v="1"/>
    <n v="1"/>
  </r>
  <r>
    <m/>
    <m/>
    <x v="1"/>
    <s v="11407277001001"/>
    <n v="-28.08"/>
    <n v="1641"/>
    <n v="1"/>
    <n v="1"/>
  </r>
  <r>
    <m/>
    <m/>
    <x v="1"/>
    <s v="11542110001001"/>
    <n v="-14.37"/>
    <n v="840"/>
    <n v="1"/>
    <n v="1"/>
  </r>
  <r>
    <m/>
    <m/>
    <x v="1"/>
    <s v="12112131001001"/>
    <n v="-43.15"/>
    <n v="2522"/>
    <n v="1"/>
    <n v="1"/>
  </r>
  <r>
    <m/>
    <m/>
    <x v="1"/>
    <s v="12243987001001"/>
    <n v="-52.39"/>
    <n v="3062"/>
    <n v="1"/>
    <n v="1"/>
  </r>
  <r>
    <m/>
    <m/>
    <x v="1"/>
    <s v="12351030001001"/>
    <n v="-48.18"/>
    <n v="2816"/>
    <n v="1"/>
    <n v="1"/>
  </r>
  <r>
    <m/>
    <m/>
    <x v="1"/>
    <s v="12677370001003"/>
    <n v="-3.68"/>
    <n v="215"/>
    <n v="1"/>
    <n v="1"/>
  </r>
  <r>
    <m/>
    <m/>
    <x v="1"/>
    <s v="12738579001003"/>
    <n v="-27.65"/>
    <n v="1616"/>
    <n v="1"/>
    <n v="1"/>
  </r>
  <r>
    <m/>
    <m/>
    <x v="1"/>
    <s v="12902462003001"/>
    <n v="-28.61"/>
    <n v="1672"/>
    <n v="1"/>
    <n v="1"/>
  </r>
  <r>
    <m/>
    <m/>
    <x v="1"/>
    <s v="13033808001005"/>
    <n v="-11.79"/>
    <n v="689"/>
    <n v="1"/>
    <n v="1"/>
  </r>
  <r>
    <m/>
    <m/>
    <x v="1"/>
    <s v="13302962002001"/>
    <n v="-44.69"/>
    <n v="2612"/>
    <n v="1"/>
    <n v="1"/>
  </r>
  <r>
    <m/>
    <m/>
    <x v="1"/>
    <s v="13424163002001"/>
    <n v="-55.54"/>
    <n v="3246"/>
    <n v="1"/>
    <n v="1"/>
  </r>
  <r>
    <m/>
    <m/>
    <x v="1"/>
    <s v="13950661003001"/>
    <n v="-13.48"/>
    <n v="788"/>
    <n v="1"/>
    <n v="1"/>
  </r>
  <r>
    <m/>
    <m/>
    <x v="1"/>
    <s v="14115069001001"/>
    <n v="-1.68"/>
    <n v="98"/>
    <n v="1"/>
    <n v="1"/>
  </r>
  <r>
    <m/>
    <m/>
    <x v="1"/>
    <s v="15044806001002"/>
    <n v="-32.51"/>
    <n v="1900"/>
    <n v="1"/>
    <n v="1"/>
  </r>
  <r>
    <m/>
    <m/>
    <x v="1"/>
    <s v="15171884001001"/>
    <n v="-31.14"/>
    <n v="1820"/>
    <n v="1"/>
    <n v="1"/>
  </r>
  <r>
    <m/>
    <m/>
    <x v="1"/>
    <s v="15206754001005"/>
    <n v="-16.07"/>
    <n v="939"/>
    <n v="1"/>
    <n v="1"/>
  </r>
  <r>
    <m/>
    <m/>
    <x v="1"/>
    <s v="15488061001002"/>
    <n v="-24.74"/>
    <n v="1446"/>
    <n v="1"/>
    <n v="1"/>
  </r>
  <r>
    <m/>
    <m/>
    <x v="1"/>
    <s v="15801491001003"/>
    <n v="-27.56"/>
    <n v="1611"/>
    <n v="1"/>
    <n v="1"/>
  </r>
  <r>
    <m/>
    <m/>
    <x v="1"/>
    <s v="15816206001008"/>
    <n v="-21.2"/>
    <n v="1239"/>
    <n v="1"/>
    <n v="1"/>
  </r>
  <r>
    <m/>
    <m/>
    <x v="1"/>
    <s v="15894543001001"/>
    <n v="-4.76"/>
    <n v="278"/>
    <n v="1"/>
    <n v="1"/>
  </r>
  <r>
    <m/>
    <m/>
    <x v="1"/>
    <s v="15896167001003"/>
    <n v="-31.02"/>
    <n v="1813"/>
    <n v="1"/>
    <n v="1"/>
  </r>
  <r>
    <m/>
    <m/>
    <x v="1"/>
    <s v="16343113001003"/>
    <n v="-32.700000000000003"/>
    <n v="1911"/>
    <n v="1"/>
    <n v="1"/>
  </r>
  <r>
    <m/>
    <m/>
    <x v="1"/>
    <s v="16948232007001"/>
    <n v="-2.67"/>
    <n v="156"/>
    <n v="1"/>
    <n v="1"/>
  </r>
  <r>
    <m/>
    <m/>
    <x v="1"/>
    <s v="16965265001001"/>
    <n v="-28.18"/>
    <n v="1647"/>
    <n v="1"/>
    <n v="1"/>
  </r>
  <r>
    <m/>
    <m/>
    <x v="1"/>
    <s v="17002950001001"/>
    <n v="-62.19"/>
    <n v="3635"/>
    <n v="1"/>
    <n v="1"/>
  </r>
  <r>
    <m/>
    <m/>
    <x v="1"/>
    <s v="17078399001001"/>
    <n v="-40.82"/>
    <n v="2386"/>
    <n v="1"/>
    <n v="1"/>
  </r>
  <r>
    <m/>
    <m/>
    <x v="1"/>
    <s v="17695560001001"/>
    <n v="-16.03"/>
    <n v="937"/>
    <n v="1"/>
    <n v="1"/>
  </r>
  <r>
    <m/>
    <m/>
    <x v="1"/>
    <s v="17836081001001"/>
    <n v="-23.66"/>
    <n v="1383"/>
    <n v="1"/>
    <n v="1"/>
  </r>
  <r>
    <m/>
    <m/>
    <x v="1"/>
    <s v="17879957002001"/>
    <n v="-8.9700000000000006"/>
    <n v="524"/>
    <n v="1"/>
    <n v="1"/>
  </r>
  <r>
    <m/>
    <m/>
    <x v="1"/>
    <s v="17915609001002"/>
    <n v="-41.83"/>
    <n v="2445"/>
    <n v="1"/>
    <n v="1"/>
  </r>
  <r>
    <m/>
    <m/>
    <x v="1"/>
    <s v="17975956002001"/>
    <n v="-20.43"/>
    <n v="1194"/>
    <n v="1"/>
    <n v="1"/>
  </r>
  <r>
    <m/>
    <m/>
    <x v="1"/>
    <s v="18165838001002"/>
    <n v="-21.15"/>
    <n v="1236"/>
    <n v="1"/>
    <n v="1"/>
  </r>
  <r>
    <m/>
    <m/>
    <x v="1"/>
    <s v="18339543001003"/>
    <n v="-36.51"/>
    <n v="2134"/>
    <n v="1"/>
    <n v="1"/>
  </r>
  <r>
    <m/>
    <m/>
    <x v="1"/>
    <s v="18342361001001"/>
    <n v="-1.97"/>
    <n v="115"/>
    <n v="1"/>
    <n v="1"/>
  </r>
  <r>
    <m/>
    <m/>
    <x v="1"/>
    <s v="19248493001003"/>
    <n v="-14.49"/>
    <n v="847"/>
    <n v="1"/>
    <n v="1"/>
  </r>
  <r>
    <m/>
    <m/>
    <x v="1"/>
    <s v="19938960001001"/>
    <n v="-29.26"/>
    <n v="1710"/>
    <n v="1"/>
    <n v="1"/>
  </r>
  <r>
    <m/>
    <m/>
    <x v="1"/>
    <s v="20011333001001"/>
    <n v="-8.32"/>
    <n v="486"/>
    <n v="1"/>
    <n v="1"/>
  </r>
  <r>
    <m/>
    <m/>
    <x v="1"/>
    <s v="20449624001005"/>
    <n v="-28.15"/>
    <n v="1645"/>
    <n v="1"/>
    <n v="1"/>
  </r>
  <r>
    <m/>
    <m/>
    <x v="1"/>
    <s v="20938987001003"/>
    <n v="-14.49"/>
    <n v="847"/>
    <n v="1"/>
    <n v="1"/>
  </r>
  <r>
    <m/>
    <m/>
    <x v="1"/>
    <s v="21126918001001"/>
    <n v="-14.83"/>
    <n v="867"/>
    <n v="1"/>
    <n v="1"/>
  </r>
  <r>
    <m/>
    <m/>
    <x v="1"/>
    <s v="21343250001003"/>
    <n v="-21.82"/>
    <n v="1275"/>
    <n v="1"/>
    <n v="1"/>
  </r>
  <r>
    <m/>
    <m/>
    <x v="1"/>
    <s v="21409079001001"/>
    <n v="-12.11"/>
    <n v="708"/>
    <n v="1"/>
    <n v="1"/>
  </r>
  <r>
    <m/>
    <m/>
    <x v="1"/>
    <s v="21482671001001"/>
    <n v="-5.51"/>
    <n v="322"/>
    <n v="1"/>
    <n v="1"/>
  </r>
  <r>
    <m/>
    <m/>
    <x v="1"/>
    <s v="21753313001007"/>
    <n v="-4.83"/>
    <n v="282"/>
    <n v="1"/>
    <n v="1"/>
  </r>
  <r>
    <m/>
    <m/>
    <x v="1"/>
    <s v="21883954001003"/>
    <n v="-7.05"/>
    <n v="412"/>
    <n v="1"/>
    <n v="1"/>
  </r>
  <r>
    <m/>
    <m/>
    <x v="1"/>
    <s v="22249935001008"/>
    <n v="-18.21"/>
    <n v="1064"/>
    <n v="1"/>
    <n v="1"/>
  </r>
  <r>
    <m/>
    <m/>
    <x v="1"/>
    <s v="22361013001001"/>
    <n v="-65.02"/>
    <n v="3800"/>
    <n v="1"/>
    <n v="1"/>
  </r>
  <r>
    <m/>
    <m/>
    <x v="1"/>
    <s v="22544985001001"/>
    <n v="-23.61"/>
    <n v="1380"/>
    <n v="1"/>
    <n v="1"/>
  </r>
  <r>
    <m/>
    <m/>
    <x v="1"/>
    <s v="22786239001001"/>
    <n v="-13.86"/>
    <n v="810"/>
    <n v="1"/>
    <n v="1"/>
  </r>
  <r>
    <m/>
    <m/>
    <x v="1"/>
    <s v="23045379001003"/>
    <n v="-22.45"/>
    <n v="1312"/>
    <n v="1"/>
    <n v="1"/>
  </r>
  <r>
    <m/>
    <m/>
    <x v="1"/>
    <s v="23397291001002"/>
    <n v="-50.37"/>
    <n v="2944"/>
    <n v="1"/>
    <n v="1"/>
  </r>
  <r>
    <m/>
    <m/>
    <x v="1"/>
    <s v="23582904002001"/>
    <n v="-25.19"/>
    <n v="1472"/>
    <n v="1"/>
    <n v="1"/>
  </r>
  <r>
    <m/>
    <m/>
    <x v="1"/>
    <s v="23598813001005"/>
    <n v="-41.85"/>
    <n v="2446"/>
    <n v="1"/>
    <n v="1"/>
  </r>
  <r>
    <m/>
    <m/>
    <x v="1"/>
    <s v="23798048001001"/>
    <n v="-30.9"/>
    <n v="1806"/>
    <n v="1"/>
    <n v="1"/>
  </r>
  <r>
    <m/>
    <m/>
    <x v="1"/>
    <s v="23964769001001"/>
    <n v="-58.26"/>
    <n v="3405"/>
    <n v="1"/>
    <n v="1"/>
  </r>
  <r>
    <m/>
    <m/>
    <x v="1"/>
    <s v="24117411001001"/>
    <n v="-11.96"/>
    <n v="699"/>
    <n v="1"/>
    <n v="1"/>
  </r>
  <r>
    <m/>
    <m/>
    <x v="1"/>
    <s v="24211542001006"/>
    <n v="-8.5399999999999991"/>
    <n v="499"/>
    <n v="1"/>
    <n v="1"/>
  </r>
  <r>
    <m/>
    <m/>
    <x v="1"/>
    <s v="24367594001003"/>
    <n v="-46.59"/>
    <n v="2723"/>
    <n v="1"/>
    <n v="1"/>
  </r>
  <r>
    <m/>
    <m/>
    <x v="1"/>
    <s v="24379908001001"/>
    <n v="-36.19"/>
    <n v="2115"/>
    <n v="1"/>
    <n v="1"/>
  </r>
  <r>
    <m/>
    <m/>
    <x v="1"/>
    <s v="24700366001005"/>
    <n v="-19.739999999999998"/>
    <n v="1154"/>
    <n v="1"/>
    <n v="1"/>
  </r>
  <r>
    <m/>
    <m/>
    <x v="1"/>
    <s v="24878853001001"/>
    <n v="-39.85"/>
    <n v="2329"/>
    <n v="1"/>
    <n v="1"/>
  </r>
  <r>
    <m/>
    <m/>
    <x v="1"/>
    <s v="25212072001001"/>
    <n v="-38.619999999999997"/>
    <n v="2257"/>
    <n v="1"/>
    <n v="1"/>
  </r>
  <r>
    <m/>
    <m/>
    <x v="1"/>
    <s v="25251414001001"/>
    <n v="-28.01"/>
    <n v="1637"/>
    <n v="1"/>
    <n v="1"/>
  </r>
  <r>
    <m/>
    <m/>
    <x v="1"/>
    <s v="25543231001002"/>
    <n v="-58.23"/>
    <n v="3403"/>
    <n v="1"/>
    <n v="1"/>
  </r>
  <r>
    <m/>
    <m/>
    <x v="1"/>
    <s v="25645147002001"/>
    <n v="-21.18"/>
    <n v="1238"/>
    <n v="1"/>
    <n v="1"/>
  </r>
  <r>
    <m/>
    <m/>
    <x v="1"/>
    <s v="25664446001001"/>
    <n v="-39.299999999999997"/>
    <n v="2297"/>
    <n v="1"/>
    <n v="1"/>
  </r>
  <r>
    <m/>
    <m/>
    <x v="1"/>
    <s v="25768900001001"/>
    <n v="-29.87"/>
    <n v="1746"/>
    <n v="1"/>
    <n v="1"/>
  </r>
  <r>
    <m/>
    <m/>
    <x v="1"/>
    <s v="26175035001001"/>
    <n v="-7.19"/>
    <n v="420"/>
    <n v="1"/>
    <n v="1"/>
  </r>
  <r>
    <m/>
    <m/>
    <x v="1"/>
    <s v="26192550001001"/>
    <n v="-52.94"/>
    <n v="3094"/>
    <n v="1"/>
    <n v="1"/>
  </r>
  <r>
    <m/>
    <m/>
    <x v="1"/>
    <s v="26293541004003"/>
    <n v="-61"/>
    <n v="3565"/>
    <n v="1"/>
    <n v="1"/>
  </r>
  <r>
    <m/>
    <m/>
    <x v="1"/>
    <s v="26311764001002"/>
    <n v="-34.44"/>
    <n v="2013"/>
    <n v="1"/>
    <n v="1"/>
  </r>
  <r>
    <m/>
    <m/>
    <x v="1"/>
    <s v="26366881002001"/>
    <n v="-19.68"/>
    <n v="1150"/>
    <n v="1"/>
    <n v="1"/>
  </r>
  <r>
    <m/>
    <m/>
    <x v="1"/>
    <s v="26683813001011"/>
    <n v="-7.89"/>
    <n v="461"/>
    <n v="1"/>
    <n v="1"/>
  </r>
  <r>
    <m/>
    <m/>
    <x v="1"/>
    <s v="26869084007001"/>
    <n v="-20.75"/>
    <n v="1213"/>
    <n v="1"/>
    <n v="1"/>
  </r>
  <r>
    <m/>
    <m/>
    <x v="1"/>
    <s v="27171158002003"/>
    <n v="-40.65"/>
    <n v="2376"/>
    <n v="1"/>
    <n v="1"/>
  </r>
  <r>
    <m/>
    <m/>
    <x v="1"/>
    <s v="27353470003003"/>
    <n v="-54.63"/>
    <n v="3193"/>
    <n v="1"/>
    <n v="1"/>
  </r>
  <r>
    <m/>
    <m/>
    <x v="1"/>
    <s v="27532629001001"/>
    <n v="-5.56"/>
    <n v="325"/>
    <n v="1"/>
    <n v="1"/>
  </r>
  <r>
    <m/>
    <m/>
    <x v="1"/>
    <s v="27696108001012"/>
    <n v="-40.74"/>
    <n v="2381"/>
    <n v="1"/>
    <n v="1"/>
  </r>
  <r>
    <m/>
    <m/>
    <x v="1"/>
    <s v="28006021003005"/>
    <n v="-48.18"/>
    <n v="2816"/>
    <n v="1"/>
    <n v="1"/>
  </r>
  <r>
    <m/>
    <m/>
    <x v="1"/>
    <s v="28014351004008"/>
    <n v="-47.19"/>
    <n v="2758"/>
    <n v="1"/>
    <n v="1"/>
  </r>
  <r>
    <m/>
    <m/>
    <x v="1"/>
    <s v="28065736001004"/>
    <n v="-43.73"/>
    <n v="2556"/>
    <n v="1"/>
    <n v="1"/>
  </r>
  <r>
    <m/>
    <m/>
    <x v="1"/>
    <s v="28282482001001"/>
    <n v="-28.45"/>
    <n v="1663"/>
    <n v="1"/>
    <n v="1"/>
  </r>
  <r>
    <m/>
    <m/>
    <x v="1"/>
    <s v="28547557001008"/>
    <n v="-5.77"/>
    <n v="337"/>
    <n v="1"/>
    <n v="1"/>
  </r>
  <r>
    <m/>
    <m/>
    <x v="1"/>
    <s v="28645126001006"/>
    <n v="-35.450000000000003"/>
    <n v="2072"/>
    <n v="1"/>
    <n v="1"/>
  </r>
  <r>
    <m/>
    <m/>
    <x v="1"/>
    <s v="28925131001001"/>
    <n v="-3.58"/>
    <n v="209"/>
    <n v="1"/>
    <n v="1"/>
  </r>
  <r>
    <m/>
    <m/>
    <x v="1"/>
    <s v="29641026001003"/>
    <n v="-59.12"/>
    <n v="3455"/>
    <n v="1"/>
    <n v="1"/>
  </r>
  <r>
    <m/>
    <m/>
    <x v="1"/>
    <s v="29907188001008"/>
    <n v="-21.64"/>
    <n v="1265"/>
    <n v="1"/>
    <n v="1"/>
  </r>
  <r>
    <m/>
    <m/>
    <x v="1"/>
    <s v="29966739001002"/>
    <n v="-44.79"/>
    <n v="2618"/>
    <n v="1"/>
    <n v="1"/>
  </r>
  <r>
    <m/>
    <m/>
    <x v="1"/>
    <s v="30231904001002"/>
    <n v="-3.4"/>
    <n v="199"/>
    <n v="1"/>
    <n v="1"/>
  </r>
  <r>
    <m/>
    <m/>
    <x v="1"/>
    <s v="30315366001001"/>
    <n v="-72.63"/>
    <n v="4245"/>
    <n v="1"/>
    <n v="1"/>
  </r>
  <r>
    <m/>
    <m/>
    <x v="1"/>
    <s v="30326468002004"/>
    <n v="-47.07"/>
    <n v="2751"/>
    <n v="1"/>
    <n v="1"/>
  </r>
  <r>
    <m/>
    <m/>
    <x v="1"/>
    <s v="30360605008001"/>
    <n v="-30.44"/>
    <n v="1779"/>
    <n v="1"/>
    <n v="1"/>
  </r>
  <r>
    <m/>
    <m/>
    <x v="1"/>
    <s v="30361706001001"/>
    <n v="-50.92"/>
    <n v="2976"/>
    <n v="1"/>
    <n v="1"/>
  </r>
  <r>
    <m/>
    <m/>
    <x v="1"/>
    <s v="30618491001003"/>
    <n v="-51"/>
    <n v="2981"/>
    <n v="1"/>
    <n v="1"/>
  </r>
  <r>
    <m/>
    <m/>
    <x v="1"/>
    <s v="30757590002006"/>
    <n v="-3.99"/>
    <n v="233"/>
    <n v="1"/>
    <n v="1"/>
  </r>
  <r>
    <m/>
    <m/>
    <x v="1"/>
    <s v="30897668001001"/>
    <n v="-40.81"/>
    <n v="2385"/>
    <n v="1"/>
    <n v="1"/>
  </r>
  <r>
    <m/>
    <m/>
    <x v="1"/>
    <s v="30947723001004"/>
    <n v="-40.86"/>
    <n v="2388"/>
    <n v="1"/>
    <n v="1"/>
  </r>
  <r>
    <m/>
    <m/>
    <x v="1"/>
    <s v="30975210001001"/>
    <n v="-49.77"/>
    <n v="2909"/>
    <n v="1"/>
    <n v="1"/>
  </r>
  <r>
    <m/>
    <m/>
    <x v="1"/>
    <s v="31016219001003"/>
    <n v="-6.88"/>
    <n v="402"/>
    <n v="1"/>
    <n v="1"/>
  </r>
  <r>
    <m/>
    <m/>
    <x v="1"/>
    <s v="31135369004005"/>
    <n v="-22.76"/>
    <n v="1330"/>
    <n v="1"/>
    <n v="1"/>
  </r>
  <r>
    <m/>
    <m/>
    <x v="1"/>
    <s v="31310853002001"/>
    <n v="-40.57"/>
    <n v="2371"/>
    <n v="1"/>
    <n v="1"/>
  </r>
  <r>
    <m/>
    <m/>
    <x v="1"/>
    <s v="31452473001001"/>
    <n v="-9.44"/>
    <n v="552"/>
    <n v="1"/>
    <n v="1"/>
  </r>
  <r>
    <m/>
    <m/>
    <x v="1"/>
    <s v="31590004001001"/>
    <n v="-56.94"/>
    <n v="3328"/>
    <n v="1"/>
    <n v="1"/>
  </r>
  <r>
    <m/>
    <m/>
    <x v="1"/>
    <s v="32135273002001"/>
    <n v="-25.39"/>
    <n v="1484"/>
    <n v="1"/>
    <n v="1"/>
  </r>
  <r>
    <m/>
    <m/>
    <x v="1"/>
    <s v="32401108001002"/>
    <n v="-10.54"/>
    <n v="616"/>
    <n v="1"/>
    <n v="1"/>
  </r>
  <r>
    <m/>
    <m/>
    <x v="1"/>
    <s v="32636395001001"/>
    <n v="-45.72"/>
    <n v="2672"/>
    <n v="1"/>
    <n v="1"/>
  </r>
  <r>
    <m/>
    <m/>
    <x v="1"/>
    <s v="32666126001001"/>
    <n v="-30.93"/>
    <n v="1808"/>
    <n v="1"/>
    <n v="1"/>
  </r>
  <r>
    <m/>
    <m/>
    <x v="1"/>
    <s v="32701639001006"/>
    <n v="-2.04"/>
    <n v="119"/>
    <n v="1"/>
    <n v="1"/>
  </r>
  <r>
    <m/>
    <m/>
    <x v="1"/>
    <s v="32759956001001"/>
    <n v="-16.82"/>
    <n v="983"/>
    <n v="1"/>
    <n v="1"/>
  </r>
  <r>
    <m/>
    <m/>
    <x v="1"/>
    <s v="33292898001002"/>
    <n v="-28.44"/>
    <n v="1662"/>
    <n v="1"/>
    <n v="1"/>
  </r>
  <r>
    <m/>
    <m/>
    <x v="1"/>
    <s v="33579124001002"/>
    <n v="-32.770000000000003"/>
    <n v="1915"/>
    <n v="1"/>
    <n v="1"/>
  </r>
  <r>
    <m/>
    <m/>
    <x v="1"/>
    <s v="34088818001004"/>
    <n v="-74.86"/>
    <n v="4375"/>
    <n v="1"/>
    <n v="1"/>
  </r>
  <r>
    <m/>
    <m/>
    <x v="1"/>
    <s v="34329415001002"/>
    <n v="-6.95"/>
    <n v="406"/>
    <n v="1"/>
    <n v="1"/>
  </r>
  <r>
    <m/>
    <m/>
    <x v="1"/>
    <s v="34892207001001"/>
    <n v="-26.54"/>
    <n v="1551"/>
    <n v="1"/>
    <n v="1"/>
  </r>
  <r>
    <m/>
    <m/>
    <x v="1"/>
    <s v="34902092001003"/>
    <n v="-20.309999999999999"/>
    <n v="1187"/>
    <n v="1"/>
    <n v="1"/>
  </r>
  <r>
    <m/>
    <m/>
    <x v="1"/>
    <s v="35235596002001"/>
    <n v="-35.28"/>
    <n v="2062"/>
    <n v="1"/>
    <n v="1"/>
  </r>
  <r>
    <m/>
    <m/>
    <x v="1"/>
    <s v="35256283001003"/>
    <n v="-26.67"/>
    <n v="1559"/>
    <n v="1"/>
    <n v="1"/>
  </r>
  <r>
    <m/>
    <m/>
    <x v="1"/>
    <s v="35490120001003"/>
    <n v="-26.71"/>
    <n v="1561"/>
    <n v="1"/>
    <n v="1"/>
  </r>
  <r>
    <m/>
    <m/>
    <x v="1"/>
    <s v="35560202007001"/>
    <n v="-63.44"/>
    <n v="3708"/>
    <n v="1"/>
    <n v="1"/>
  </r>
  <r>
    <m/>
    <m/>
    <x v="1"/>
    <s v="35588099002003"/>
    <n v="-49.77"/>
    <n v="2909"/>
    <n v="1"/>
    <n v="1"/>
  </r>
  <r>
    <m/>
    <m/>
    <x v="1"/>
    <s v="35962874001004"/>
    <n v="-30.66"/>
    <n v="1792"/>
    <n v="1"/>
    <n v="1"/>
  </r>
  <r>
    <m/>
    <m/>
    <x v="1"/>
    <s v="36065414001009"/>
    <n v="-12.03"/>
    <n v="703"/>
    <n v="1"/>
    <n v="1"/>
  </r>
  <r>
    <m/>
    <m/>
    <x v="1"/>
    <s v="36145080002001"/>
    <n v="-2.2599999999999998"/>
    <n v="132"/>
    <n v="1"/>
    <n v="1"/>
  </r>
  <r>
    <m/>
    <m/>
    <x v="1"/>
    <s v="36178447001001"/>
    <n v="-20.75"/>
    <n v="1213"/>
    <n v="1"/>
    <n v="1"/>
  </r>
  <r>
    <m/>
    <m/>
    <x v="1"/>
    <s v="36405191001001"/>
    <n v="-12.8"/>
    <n v="748"/>
    <n v="1"/>
    <n v="1"/>
  </r>
  <r>
    <m/>
    <m/>
    <x v="1"/>
    <s v="36459596001003"/>
    <n v="-13.48"/>
    <n v="788"/>
    <n v="1"/>
    <n v="1"/>
  </r>
  <r>
    <m/>
    <m/>
    <x v="1"/>
    <s v="36505882001002"/>
    <n v="-1.97"/>
    <n v="115"/>
    <n v="1"/>
    <n v="1"/>
  </r>
  <r>
    <m/>
    <m/>
    <x v="1"/>
    <s v="36990379002001"/>
    <n v="-8.81"/>
    <n v="515"/>
    <n v="1"/>
    <n v="1"/>
  </r>
  <r>
    <m/>
    <m/>
    <x v="1"/>
    <s v="36993606001001"/>
    <n v="-40.07"/>
    <n v="2342"/>
    <n v="1"/>
    <n v="1"/>
  </r>
  <r>
    <m/>
    <m/>
    <x v="1"/>
    <s v="37072302001005"/>
    <n v="-30.95"/>
    <n v="1809"/>
    <n v="1"/>
    <n v="1"/>
  </r>
  <r>
    <m/>
    <m/>
    <x v="1"/>
    <s v="37250462001001"/>
    <n v="-56.99"/>
    <n v="3331"/>
    <n v="1"/>
    <n v="1"/>
  </r>
  <r>
    <m/>
    <m/>
    <x v="1"/>
    <s v="37463674001001"/>
    <n v="-43.97"/>
    <n v="2570"/>
    <n v="1"/>
    <n v="1"/>
  </r>
  <r>
    <m/>
    <m/>
    <x v="1"/>
    <s v="37494438002001"/>
    <n v="-31.29"/>
    <n v="1829"/>
    <n v="1"/>
    <n v="1"/>
  </r>
  <r>
    <m/>
    <m/>
    <x v="1"/>
    <s v="37726680001001"/>
    <n v="-51.67"/>
    <n v="3020"/>
    <n v="1"/>
    <n v="1"/>
  </r>
  <r>
    <m/>
    <m/>
    <x v="1"/>
    <s v="38653947001005"/>
    <n v="-31.74"/>
    <n v="1855"/>
    <n v="1"/>
    <n v="1"/>
  </r>
  <r>
    <m/>
    <m/>
    <x v="1"/>
    <s v="38665012002003"/>
    <n v="-45.05"/>
    <n v="2633"/>
    <n v="1"/>
    <n v="1"/>
  </r>
  <r>
    <m/>
    <m/>
    <x v="1"/>
    <s v="38666511001005"/>
    <n v="-50.06"/>
    <n v="2926"/>
    <n v="1"/>
    <n v="1"/>
  </r>
  <r>
    <m/>
    <m/>
    <x v="1"/>
    <s v="38677583001001"/>
    <n v="-39.85"/>
    <n v="2329"/>
    <n v="1"/>
    <n v="1"/>
  </r>
  <r>
    <m/>
    <m/>
    <x v="1"/>
    <s v="38860694001003"/>
    <n v="-50.89"/>
    <n v="2974"/>
    <n v="1"/>
    <n v="1"/>
  </r>
  <r>
    <m/>
    <m/>
    <x v="1"/>
    <s v="39658784002001"/>
    <n v="-10.88"/>
    <n v="636"/>
    <n v="1"/>
    <n v="1"/>
  </r>
  <r>
    <m/>
    <m/>
    <x v="1"/>
    <s v="39662471001003"/>
    <n v="-61.66"/>
    <n v="3604"/>
    <n v="1"/>
    <n v="1"/>
  </r>
  <r>
    <m/>
    <m/>
    <x v="1"/>
    <s v="39955820001001"/>
    <n v="-34.630000000000003"/>
    <n v="2024"/>
    <n v="1"/>
    <n v="1"/>
  </r>
  <r>
    <m/>
    <m/>
    <x v="1"/>
    <s v="40288069001003"/>
    <n v="-80.62"/>
    <n v="4712"/>
    <n v="1"/>
    <n v="1"/>
  </r>
  <r>
    <m/>
    <m/>
    <x v="1"/>
    <s v="40304373001005"/>
    <n v="-18.149999999999999"/>
    <n v="1061"/>
    <n v="1"/>
    <n v="1"/>
  </r>
  <r>
    <m/>
    <m/>
    <x v="1"/>
    <s v="40315241001004"/>
    <n v="-16.89"/>
    <n v="987"/>
    <n v="1"/>
    <n v="1"/>
  </r>
  <r>
    <m/>
    <m/>
    <x v="1"/>
    <s v="40366913001001"/>
    <n v="-21.46"/>
    <n v="1254"/>
    <n v="1"/>
    <n v="1"/>
  </r>
  <r>
    <m/>
    <m/>
    <x v="1"/>
    <s v="40492100002001"/>
    <n v="-9.27"/>
    <n v="542"/>
    <n v="1"/>
    <n v="1"/>
  </r>
  <r>
    <m/>
    <m/>
    <x v="1"/>
    <s v="40602210001001"/>
    <n v="-19.88"/>
    <n v="1162"/>
    <n v="1"/>
    <n v="1"/>
  </r>
  <r>
    <m/>
    <m/>
    <x v="1"/>
    <s v="41254471001004"/>
    <n v="-33.19"/>
    <n v="1940"/>
    <n v="1"/>
    <n v="1"/>
  </r>
  <r>
    <m/>
    <m/>
    <x v="1"/>
    <s v="41419799002001"/>
    <n v="-4.6500000000000004"/>
    <n v="272"/>
    <n v="1"/>
    <n v="1"/>
  </r>
  <r>
    <m/>
    <m/>
    <x v="1"/>
    <s v="41508622002001"/>
    <n v="-21.78"/>
    <n v="1273"/>
    <n v="1"/>
    <n v="1"/>
  </r>
  <r>
    <m/>
    <m/>
    <x v="1"/>
    <s v="41938265001001"/>
    <n v="-46.01"/>
    <n v="2689"/>
    <n v="1"/>
    <n v="1"/>
  </r>
  <r>
    <m/>
    <m/>
    <x v="1"/>
    <s v="42066880001001"/>
    <n v="-14.77"/>
    <n v="863"/>
    <n v="1"/>
    <n v="1"/>
  </r>
  <r>
    <m/>
    <m/>
    <x v="1"/>
    <s v="42508761002002"/>
    <n v="-25.84"/>
    <n v="1510"/>
    <n v="1"/>
    <n v="1"/>
  </r>
  <r>
    <m/>
    <m/>
    <x v="1"/>
    <s v="42514501001001"/>
    <n v="-3.94"/>
    <n v="230"/>
    <n v="1"/>
    <n v="1"/>
  </r>
  <r>
    <m/>
    <m/>
    <x v="1"/>
    <s v="42515901001002"/>
    <n v="-45.08"/>
    <n v="2635"/>
    <n v="1"/>
    <n v="1"/>
  </r>
  <r>
    <m/>
    <m/>
    <x v="1"/>
    <s v="42524441001002"/>
    <n v="-52.08"/>
    <n v="3044"/>
    <n v="1"/>
    <n v="1"/>
  </r>
  <r>
    <m/>
    <m/>
    <x v="1"/>
    <s v="42528501001002"/>
    <n v="-27.32"/>
    <n v="1597"/>
    <n v="1"/>
    <n v="1"/>
  </r>
  <r>
    <m/>
    <m/>
    <x v="1"/>
    <s v="42538861001001"/>
    <n v="-2"/>
    <n v="117"/>
    <n v="1"/>
    <n v="1"/>
  </r>
  <r>
    <m/>
    <m/>
    <x v="1"/>
    <s v="42540401001001"/>
    <n v="-1.06"/>
    <n v="62"/>
    <n v="1"/>
    <n v="1"/>
  </r>
  <r>
    <m/>
    <m/>
    <x v="1"/>
    <s v="42576676002001"/>
    <n v="-32.18"/>
    <n v="1881"/>
    <n v="1"/>
    <n v="1"/>
  </r>
  <r>
    <m/>
    <m/>
    <x v="1"/>
    <s v="42613341001001"/>
    <n v="-15.84"/>
    <n v="926"/>
    <n v="1"/>
    <n v="1"/>
  </r>
  <r>
    <m/>
    <m/>
    <x v="1"/>
    <s v="42620271001001"/>
    <n v="-14.1"/>
    <n v="824"/>
    <n v="1"/>
    <n v="1"/>
  </r>
  <r>
    <m/>
    <m/>
    <x v="1"/>
    <s v="42624051001002"/>
    <n v="-9.2200000000000006"/>
    <n v="539"/>
    <n v="1"/>
    <n v="1"/>
  </r>
  <r>
    <m/>
    <m/>
    <x v="1"/>
    <s v="42632241001001"/>
    <n v="-0.68"/>
    <n v="40"/>
    <n v="1"/>
    <n v="1"/>
  </r>
  <r>
    <m/>
    <m/>
    <x v="1"/>
    <s v="42649321001001"/>
    <n v="-2.17"/>
    <n v="127"/>
    <n v="1"/>
    <n v="1"/>
  </r>
  <r>
    <m/>
    <m/>
    <x v="1"/>
    <s v="42659261001004"/>
    <n v="-46.21"/>
    <n v="2701"/>
    <n v="1"/>
    <n v="1"/>
  </r>
  <r>
    <m/>
    <m/>
    <x v="1"/>
    <s v="42662971001011"/>
    <n v="-46.76"/>
    <n v="2733"/>
    <n v="1"/>
    <n v="1"/>
  </r>
  <r>
    <m/>
    <m/>
    <x v="1"/>
    <s v="42716311001002"/>
    <n v="-1.28"/>
    <n v="75"/>
    <n v="1"/>
    <n v="1"/>
  </r>
  <r>
    <m/>
    <m/>
    <x v="1"/>
    <s v="42725901002002"/>
    <n v="-32.54"/>
    <n v="1902"/>
    <n v="1"/>
    <n v="1"/>
  </r>
  <r>
    <m/>
    <m/>
    <x v="1"/>
    <s v="42743757001001"/>
    <n v="-18.100000000000001"/>
    <n v="1058"/>
    <n v="1"/>
    <n v="1"/>
  </r>
  <r>
    <m/>
    <m/>
    <x v="1"/>
    <s v="42776931001001"/>
    <n v="-48.93"/>
    <n v="2860"/>
    <n v="1"/>
    <n v="1"/>
  </r>
  <r>
    <m/>
    <m/>
    <x v="1"/>
    <s v="42785681001001"/>
    <n v="-45.63"/>
    <n v="2667"/>
    <n v="1"/>
    <n v="1"/>
  </r>
  <r>
    <m/>
    <m/>
    <x v="1"/>
    <s v="42812881002001"/>
    <n v="-26.5"/>
    <n v="1549"/>
    <n v="1"/>
    <n v="1"/>
  </r>
  <r>
    <m/>
    <m/>
    <x v="1"/>
    <s v="42816621001001"/>
    <n v="-24.02"/>
    <n v="1404"/>
    <n v="1"/>
    <n v="1"/>
  </r>
  <r>
    <m/>
    <m/>
    <x v="1"/>
    <s v="42926275001002"/>
    <n v="-35.659999999999997"/>
    <n v="2084"/>
    <n v="1"/>
    <n v="1"/>
  </r>
  <r>
    <m/>
    <m/>
    <x v="1"/>
    <s v="42954661002001"/>
    <n v="-18.12"/>
    <n v="1059"/>
    <n v="1"/>
    <n v="1"/>
  </r>
  <r>
    <m/>
    <m/>
    <x v="1"/>
    <s v="43033085001001"/>
    <n v="-17.78"/>
    <n v="1039"/>
    <n v="1"/>
    <n v="1"/>
  </r>
  <r>
    <m/>
    <m/>
    <x v="1"/>
    <s v="43045241001001"/>
    <n v="-2.79"/>
    <n v="163"/>
    <n v="1"/>
    <n v="1"/>
  </r>
  <r>
    <m/>
    <m/>
    <x v="1"/>
    <s v="43133021001001"/>
    <n v="-1.9"/>
    <n v="111"/>
    <n v="1"/>
    <n v="1"/>
  </r>
  <r>
    <m/>
    <m/>
    <x v="1"/>
    <s v="43137151001001"/>
    <n v="-38.31"/>
    <n v="2239"/>
    <n v="1"/>
    <n v="1"/>
  </r>
  <r>
    <m/>
    <m/>
    <x v="1"/>
    <s v="43163261002001"/>
    <n v="-53.55"/>
    <n v="3130"/>
    <n v="1"/>
    <n v="1"/>
  </r>
  <r>
    <m/>
    <m/>
    <x v="1"/>
    <s v="43192521002006"/>
    <n v="-18.36"/>
    <n v="1073"/>
    <n v="1"/>
    <n v="1"/>
  </r>
  <r>
    <m/>
    <m/>
    <x v="1"/>
    <s v="43234101001001"/>
    <n v="-28.74"/>
    <n v="1680"/>
    <n v="1"/>
    <n v="1"/>
  </r>
  <r>
    <m/>
    <m/>
    <x v="1"/>
    <s v="43254471002001"/>
    <n v="-40.29"/>
    <n v="2355"/>
    <n v="1"/>
    <n v="1"/>
  </r>
  <r>
    <m/>
    <m/>
    <x v="1"/>
    <s v="43259441001002"/>
    <n v="-13.62"/>
    <n v="796"/>
    <n v="1"/>
    <n v="1"/>
  </r>
  <r>
    <m/>
    <m/>
    <x v="1"/>
    <s v="43262311001001"/>
    <n v="-33.4"/>
    <n v="1952"/>
    <n v="1"/>
    <n v="1"/>
  </r>
  <r>
    <m/>
    <m/>
    <x v="1"/>
    <s v="43267071001006"/>
    <n v="-22.38"/>
    <n v="1308"/>
    <n v="1"/>
    <n v="1"/>
  </r>
  <r>
    <m/>
    <m/>
    <x v="1"/>
    <s v="43297591001002"/>
    <n v="-52.31"/>
    <n v="3057"/>
    <n v="1"/>
    <n v="1"/>
  </r>
  <r>
    <m/>
    <m/>
    <x v="1"/>
    <s v="43299411003001"/>
    <n v="-34.630000000000003"/>
    <n v="2024"/>
    <n v="1"/>
    <n v="1"/>
  </r>
  <r>
    <m/>
    <m/>
    <x v="1"/>
    <s v="43333711001002"/>
    <n v="-12.2"/>
    <n v="713"/>
    <n v="1"/>
    <n v="1"/>
  </r>
  <r>
    <m/>
    <m/>
    <x v="1"/>
    <s v="43341691001008"/>
    <n v="-35.08"/>
    <n v="2050"/>
    <n v="1"/>
    <n v="1"/>
  </r>
  <r>
    <m/>
    <m/>
    <x v="1"/>
    <s v="43399301001003"/>
    <n v="-37.74"/>
    <n v="2206"/>
    <n v="1"/>
    <n v="1"/>
  </r>
  <r>
    <m/>
    <m/>
    <x v="1"/>
    <s v="43411551001012"/>
    <n v="-17.23"/>
    <n v="1007"/>
    <n v="1"/>
    <n v="1"/>
  </r>
  <r>
    <m/>
    <m/>
    <x v="1"/>
    <s v="43445991001003"/>
    <n v="-28.27"/>
    <n v="1652"/>
    <n v="1"/>
    <n v="1"/>
  </r>
  <r>
    <m/>
    <m/>
    <x v="1"/>
    <s v="43629601001002"/>
    <n v="-25.24"/>
    <n v="1475"/>
    <n v="1"/>
    <n v="1"/>
  </r>
  <r>
    <m/>
    <m/>
    <x v="1"/>
    <s v="43717941001003"/>
    <n v="-21.76"/>
    <n v="1272"/>
    <n v="1"/>
    <n v="1"/>
  </r>
  <r>
    <m/>
    <m/>
    <x v="1"/>
    <s v="43736211001004"/>
    <n v="-19.920000000000002"/>
    <n v="1164"/>
    <n v="1"/>
    <n v="1"/>
  </r>
  <r>
    <m/>
    <m/>
    <x v="1"/>
    <s v="43736981001001"/>
    <n v="-1.1299999999999999"/>
    <n v="66"/>
    <n v="1"/>
    <n v="1"/>
  </r>
  <r>
    <m/>
    <m/>
    <x v="1"/>
    <s v="43742651001007"/>
    <n v="-0.57999999999999996"/>
    <n v="34"/>
    <n v="1"/>
    <n v="1"/>
  </r>
  <r>
    <m/>
    <m/>
    <x v="1"/>
    <s v="43777301002001"/>
    <n v="-30.54"/>
    <n v="1785"/>
    <n v="1"/>
    <n v="1"/>
  </r>
  <r>
    <m/>
    <m/>
    <x v="1"/>
    <s v="43805161001001"/>
    <n v="-5.2"/>
    <n v="304"/>
    <n v="1"/>
    <n v="1"/>
  </r>
  <r>
    <m/>
    <m/>
    <x v="1"/>
    <s v="43823991001001"/>
    <n v="-26.14"/>
    <n v="1528"/>
    <n v="1"/>
    <n v="1"/>
  </r>
  <r>
    <m/>
    <m/>
    <x v="1"/>
    <s v="43829235001002"/>
    <n v="-29.72"/>
    <n v="1737"/>
    <n v="1"/>
    <n v="1"/>
  </r>
  <r>
    <m/>
    <m/>
    <x v="1"/>
    <s v="43829871002001"/>
    <n v="-30.9"/>
    <n v="1806"/>
    <n v="1"/>
    <n v="1"/>
  </r>
  <r>
    <m/>
    <m/>
    <x v="1"/>
    <s v="43835420001001"/>
    <n v="-24.04"/>
    <n v="1405"/>
    <n v="1"/>
    <n v="1"/>
  </r>
  <r>
    <m/>
    <m/>
    <x v="1"/>
    <s v="43881111001003"/>
    <n v="-13.5"/>
    <n v="789"/>
    <n v="1"/>
    <n v="1"/>
  </r>
  <r>
    <m/>
    <m/>
    <x v="1"/>
    <s v="43883841001001"/>
    <n v="-19.18"/>
    <n v="1121"/>
    <n v="1"/>
    <n v="1"/>
  </r>
  <r>
    <m/>
    <m/>
    <x v="1"/>
    <s v="43890421001006"/>
    <n v="-59.44"/>
    <n v="3474"/>
    <n v="1"/>
    <n v="1"/>
  </r>
  <r>
    <m/>
    <m/>
    <x v="1"/>
    <s v="43937246004001"/>
    <n v="-38.24"/>
    <n v="2235"/>
    <n v="1"/>
    <n v="1"/>
  </r>
  <r>
    <m/>
    <m/>
    <x v="1"/>
    <s v="44003611001001"/>
    <n v="-2.6"/>
    <n v="152"/>
    <n v="1"/>
    <n v="1"/>
  </r>
  <r>
    <m/>
    <m/>
    <x v="1"/>
    <s v="44009911001014"/>
    <n v="-7.22"/>
    <n v="422"/>
    <n v="1"/>
    <n v="1"/>
  </r>
  <r>
    <m/>
    <m/>
    <x v="1"/>
    <s v="44032311001001"/>
    <n v="-26.88"/>
    <n v="1571"/>
    <n v="1"/>
    <n v="1"/>
  </r>
  <r>
    <m/>
    <m/>
    <x v="1"/>
    <s v="44070041001001"/>
    <n v="-67.290000000000006"/>
    <n v="3933"/>
    <n v="1"/>
    <n v="1"/>
  </r>
  <r>
    <m/>
    <m/>
    <x v="1"/>
    <s v="44114631002002"/>
    <n v="-29.74"/>
    <n v="1738"/>
    <n v="1"/>
    <n v="1"/>
  </r>
  <r>
    <m/>
    <m/>
    <x v="1"/>
    <s v="44225511001001"/>
    <n v="-61.22"/>
    <n v="3578"/>
    <n v="1"/>
    <n v="1"/>
  </r>
  <r>
    <m/>
    <m/>
    <x v="1"/>
    <s v="44254071001001"/>
    <n v="-31.6"/>
    <n v="1847"/>
    <n v="1"/>
    <n v="1"/>
  </r>
  <r>
    <m/>
    <m/>
    <x v="1"/>
    <s v="44271641001001"/>
    <n v="-13.52"/>
    <n v="790"/>
    <n v="1"/>
    <n v="1"/>
  </r>
  <r>
    <m/>
    <m/>
    <x v="1"/>
    <s v="44271711001001"/>
    <n v="-3.64"/>
    <n v="213"/>
    <n v="1"/>
    <n v="1"/>
  </r>
  <r>
    <m/>
    <m/>
    <x v="1"/>
    <s v="44276401001002"/>
    <n v="-0.5"/>
    <n v="29"/>
    <n v="1"/>
    <n v="1"/>
  </r>
  <r>
    <m/>
    <m/>
    <x v="1"/>
    <s v="44285361001001"/>
    <n v="-13.14"/>
    <n v="768"/>
    <n v="1"/>
    <n v="1"/>
  </r>
  <r>
    <m/>
    <m/>
    <x v="1"/>
    <s v="44315321002001"/>
    <n v="-34.659999999999997"/>
    <n v="2026"/>
    <n v="1"/>
    <n v="1"/>
  </r>
  <r>
    <m/>
    <m/>
    <x v="1"/>
    <s v="44339401001001"/>
    <n v="-19.86"/>
    <n v="1161"/>
    <n v="1"/>
    <n v="1"/>
  </r>
  <r>
    <m/>
    <m/>
    <x v="1"/>
    <s v="44351795001005"/>
    <n v="-20.22"/>
    <n v="1182"/>
    <n v="1"/>
    <n v="1"/>
  </r>
  <r>
    <m/>
    <m/>
    <x v="1"/>
    <s v="44353961001003"/>
    <n v="-36.53"/>
    <n v="2135"/>
    <n v="1"/>
    <n v="1"/>
  </r>
  <r>
    <m/>
    <m/>
    <x v="1"/>
    <s v="44355501001004"/>
    <n v="-27.62"/>
    <n v="1614"/>
    <n v="1"/>
    <n v="1"/>
  </r>
  <r>
    <m/>
    <m/>
    <x v="1"/>
    <s v="44387071001001"/>
    <n v="-7.02"/>
    <n v="410"/>
    <n v="1"/>
    <n v="1"/>
  </r>
  <r>
    <m/>
    <m/>
    <x v="1"/>
    <s v="44413951001005"/>
    <n v="-7.82"/>
    <n v="457"/>
    <n v="1"/>
    <n v="1"/>
  </r>
  <r>
    <m/>
    <m/>
    <x v="1"/>
    <s v="44432151001001"/>
    <n v="-16.75"/>
    <n v="979"/>
    <n v="1"/>
    <n v="1"/>
  </r>
  <r>
    <m/>
    <m/>
    <x v="1"/>
    <s v="44449861003001"/>
    <n v="-62.86"/>
    <n v="3674"/>
    <n v="1"/>
    <n v="1"/>
  </r>
  <r>
    <m/>
    <m/>
    <x v="1"/>
    <s v="44452381001001"/>
    <n v="-32.71"/>
    <n v="1912"/>
    <n v="1"/>
    <n v="1"/>
  </r>
  <r>
    <m/>
    <m/>
    <x v="1"/>
    <s v="44480241001005"/>
    <n v="-32.200000000000003"/>
    <n v="1882"/>
    <n v="1"/>
    <n v="1"/>
  </r>
  <r>
    <m/>
    <m/>
    <x v="1"/>
    <s v="44487381001001"/>
    <n v="-63.46"/>
    <n v="3709"/>
    <n v="1"/>
    <n v="1"/>
  </r>
  <r>
    <m/>
    <m/>
    <x v="1"/>
    <s v="44550311001001"/>
    <n v="-14.8"/>
    <n v="865"/>
    <n v="1"/>
    <n v="1"/>
  </r>
  <r>
    <m/>
    <m/>
    <x v="1"/>
    <s v="44553531002003"/>
    <n v="-62.69"/>
    <n v="3664"/>
    <n v="1"/>
    <n v="1"/>
  </r>
  <r>
    <m/>
    <m/>
    <x v="1"/>
    <s v="44562771002001"/>
    <n v="-17.260000000000002"/>
    <n v="1009"/>
    <n v="1"/>
    <n v="1"/>
  </r>
  <r>
    <m/>
    <m/>
    <x v="1"/>
    <s v="44569071002001"/>
    <n v="-40.93"/>
    <n v="2392"/>
    <n v="1"/>
    <n v="1"/>
  </r>
  <r>
    <m/>
    <m/>
    <x v="1"/>
    <s v="44698571001002"/>
    <n v="-7.97"/>
    <n v="466"/>
    <n v="1"/>
    <n v="1"/>
  </r>
  <r>
    <m/>
    <m/>
    <x v="1"/>
    <s v="44702771001003"/>
    <n v="-51.33"/>
    <n v="3000"/>
    <n v="1"/>
    <n v="1"/>
  </r>
  <r>
    <m/>
    <m/>
    <x v="1"/>
    <s v="44719431001001"/>
    <n v="-43.27"/>
    <n v="2529"/>
    <n v="1"/>
    <n v="1"/>
  </r>
  <r>
    <m/>
    <m/>
    <x v="1"/>
    <s v="44775641001002"/>
    <n v="-37.229999999999997"/>
    <n v="2176"/>
    <n v="1"/>
    <n v="1"/>
  </r>
  <r>
    <m/>
    <m/>
    <x v="1"/>
    <s v="44796081001002"/>
    <n v="-6.71"/>
    <n v="392"/>
    <n v="1"/>
    <n v="1"/>
  </r>
  <r>
    <m/>
    <m/>
    <x v="1"/>
    <s v="44800281002001"/>
    <n v="-60.45"/>
    <n v="3533"/>
    <n v="1"/>
    <n v="1"/>
  </r>
  <r>
    <m/>
    <m/>
    <x v="1"/>
    <s v="44801121001009"/>
    <n v="-21.75"/>
    <n v="1271"/>
    <n v="1"/>
    <n v="1"/>
  </r>
  <r>
    <m/>
    <m/>
    <x v="1"/>
    <s v="44805881002002"/>
    <n v="-55.52"/>
    <n v="3245"/>
    <n v="1"/>
    <n v="1"/>
  </r>
  <r>
    <m/>
    <m/>
    <x v="1"/>
    <s v="44819842001003"/>
    <n v="-35.26"/>
    <n v="2061"/>
    <n v="1"/>
    <n v="1"/>
  </r>
  <r>
    <m/>
    <m/>
    <x v="1"/>
    <s v="44844661001002"/>
    <n v="-40.770000000000003"/>
    <n v="2383"/>
    <n v="1"/>
    <n v="1"/>
  </r>
  <r>
    <m/>
    <m/>
    <x v="1"/>
    <s v="44847951001001"/>
    <n v="-61.99"/>
    <n v="3623"/>
    <n v="1"/>
    <n v="1"/>
  </r>
  <r>
    <m/>
    <m/>
    <x v="1"/>
    <s v="44858844001002"/>
    <n v="-48.1"/>
    <n v="2811"/>
    <n v="1"/>
    <n v="1"/>
  </r>
  <r>
    <m/>
    <m/>
    <x v="1"/>
    <s v="44863911006003"/>
    <n v="-8.1300000000000008"/>
    <n v="475"/>
    <n v="1"/>
    <n v="1"/>
  </r>
  <r>
    <m/>
    <m/>
    <x v="1"/>
    <s v="44882082003001"/>
    <n v="-37.159999999999997"/>
    <n v="2172"/>
    <n v="1"/>
    <n v="1"/>
  </r>
  <r>
    <m/>
    <m/>
    <x v="1"/>
    <s v="44885681001001"/>
    <n v="-25.32"/>
    <n v="1480"/>
    <n v="1"/>
    <n v="1"/>
  </r>
  <r>
    <m/>
    <m/>
    <x v="1"/>
    <s v="44907758001001"/>
    <n v="-35.619999999999997"/>
    <n v="2082"/>
    <n v="1"/>
    <n v="1"/>
  </r>
  <r>
    <m/>
    <m/>
    <x v="1"/>
    <s v="44909201001001"/>
    <n v="-5.73"/>
    <n v="335"/>
    <n v="1"/>
    <n v="1"/>
  </r>
  <r>
    <m/>
    <m/>
    <x v="1"/>
    <s v="44935424001003"/>
    <n v="-16.100000000000001"/>
    <n v="941"/>
    <n v="1"/>
    <n v="1"/>
  </r>
  <r>
    <m/>
    <m/>
    <x v="1"/>
    <s v="44983121001001"/>
    <n v="-31.29"/>
    <n v="1829"/>
    <n v="1"/>
    <n v="1"/>
  </r>
  <r>
    <m/>
    <m/>
    <x v="1"/>
    <s v="44983611001002"/>
    <n v="-2.79"/>
    <n v="163"/>
    <n v="1"/>
    <n v="1"/>
  </r>
  <r>
    <m/>
    <m/>
    <x v="1"/>
    <s v="44992711001001"/>
    <n v="-23.36"/>
    <n v="1365"/>
    <n v="1"/>
    <n v="1"/>
  </r>
  <r>
    <m/>
    <m/>
    <x v="1"/>
    <s v="45041431001002"/>
    <n v="-59.73"/>
    <n v="3491"/>
    <n v="1"/>
    <n v="1"/>
  </r>
  <r>
    <m/>
    <m/>
    <x v="1"/>
    <s v="45060821001003"/>
    <n v="-47.86"/>
    <n v="2797"/>
    <n v="1"/>
    <n v="1"/>
  </r>
  <r>
    <m/>
    <m/>
    <x v="1"/>
    <s v="45073281001004"/>
    <n v="-29.33"/>
    <n v="1714"/>
    <n v="1"/>
    <n v="1"/>
  </r>
  <r>
    <m/>
    <m/>
    <x v="1"/>
    <s v="45126691002004"/>
    <n v="-54.22"/>
    <n v="3169"/>
    <n v="1"/>
    <n v="1"/>
  </r>
  <r>
    <m/>
    <m/>
    <x v="1"/>
    <s v="45129556001003"/>
    <n v="-36.089999999999996"/>
    <n v="2109"/>
    <n v="2"/>
    <n v="1"/>
  </r>
  <r>
    <m/>
    <m/>
    <x v="1"/>
    <s v="45137401001003"/>
    <n v="-50.23"/>
    <n v="2936"/>
    <n v="1"/>
    <n v="1"/>
  </r>
  <r>
    <m/>
    <m/>
    <x v="1"/>
    <s v="45146851001006"/>
    <n v="-10.44"/>
    <n v="610"/>
    <n v="1"/>
    <n v="1"/>
  </r>
  <r>
    <m/>
    <m/>
    <x v="1"/>
    <s v="45159031001001"/>
    <n v="-20.14"/>
    <n v="1177"/>
    <n v="1"/>
    <n v="1"/>
  </r>
  <r>
    <m/>
    <m/>
    <x v="1"/>
    <s v="45170721001001"/>
    <n v="-39.54"/>
    <n v="2311"/>
    <n v="1"/>
    <n v="1"/>
  </r>
  <r>
    <m/>
    <m/>
    <x v="1"/>
    <s v="45182201001001"/>
    <n v="-18.149999999999999"/>
    <n v="1061"/>
    <n v="1"/>
    <n v="1"/>
  </r>
  <r>
    <m/>
    <m/>
    <x v="1"/>
    <s v="45200471001003"/>
    <n v="-30.54"/>
    <n v="1785"/>
    <n v="1"/>
    <n v="1"/>
  </r>
  <r>
    <m/>
    <m/>
    <x v="1"/>
    <s v="45272991001001"/>
    <n v="-2.86"/>
    <n v="167"/>
    <n v="1"/>
    <n v="1"/>
  </r>
  <r>
    <m/>
    <m/>
    <x v="1"/>
    <s v="45275791001001"/>
    <n v="-26.09"/>
    <n v="1525"/>
    <n v="1"/>
    <n v="1"/>
  </r>
  <r>
    <m/>
    <m/>
    <x v="1"/>
    <s v="45290141001001"/>
    <n v="-22.26"/>
    <n v="1301"/>
    <n v="1"/>
    <n v="1"/>
  </r>
  <r>
    <m/>
    <m/>
    <x v="1"/>
    <s v="45327311001001"/>
    <n v="-25.37"/>
    <n v="1483"/>
    <n v="1"/>
    <n v="1"/>
  </r>
  <r>
    <m/>
    <m/>
    <x v="1"/>
    <s v="45332981001003"/>
    <n v="-11.05"/>
    <n v="646"/>
    <n v="1"/>
    <n v="1"/>
  </r>
  <r>
    <m/>
    <m/>
    <x v="1"/>
    <s v="45371411001001"/>
    <n v="-11.52"/>
    <n v="673"/>
    <n v="1"/>
    <n v="1"/>
  </r>
  <r>
    <m/>
    <m/>
    <x v="1"/>
    <s v="45379881001001"/>
    <n v="-35.729999999999997"/>
    <n v="2088"/>
    <n v="1"/>
    <n v="1"/>
  </r>
  <r>
    <m/>
    <m/>
    <x v="1"/>
    <s v="45384011001002"/>
    <n v="-52.46"/>
    <n v="3066"/>
    <n v="1"/>
    <n v="1"/>
  </r>
  <r>
    <m/>
    <m/>
    <x v="1"/>
    <s v="45387931001001"/>
    <n v="-41.87"/>
    <n v="2447"/>
    <n v="1"/>
    <n v="1"/>
  </r>
  <r>
    <m/>
    <m/>
    <x v="1"/>
    <s v="45401791001002"/>
    <n v="-41.22"/>
    <n v="2409"/>
    <n v="1"/>
    <n v="1"/>
  </r>
  <r>
    <m/>
    <m/>
    <x v="1"/>
    <s v="45445432002001"/>
    <n v="-20.36"/>
    <n v="1190"/>
    <n v="1"/>
    <n v="1"/>
  </r>
  <r>
    <m/>
    <m/>
    <x v="1"/>
    <s v="45451631001001"/>
    <n v="-7.55"/>
    <n v="441"/>
    <n v="1"/>
    <n v="1"/>
  </r>
  <r>
    <m/>
    <m/>
    <x v="1"/>
    <s v="45524858001001"/>
    <n v="-25.51"/>
    <n v="1491"/>
    <n v="1"/>
    <n v="1"/>
  </r>
  <r>
    <m/>
    <m/>
    <x v="1"/>
    <s v="45525621001001"/>
    <n v="-42.11"/>
    <n v="2461"/>
    <n v="1"/>
    <n v="1"/>
  </r>
  <r>
    <m/>
    <m/>
    <x v="1"/>
    <s v="45546971002001"/>
    <n v="-15.23"/>
    <n v="890"/>
    <n v="1"/>
    <n v="1"/>
  </r>
  <r>
    <m/>
    <m/>
    <x v="1"/>
    <s v="45553131003004"/>
    <n v="-11.24"/>
    <n v="657"/>
    <n v="1"/>
    <n v="1"/>
  </r>
  <r>
    <m/>
    <m/>
    <x v="1"/>
    <s v="45609201003001"/>
    <n v="-4.88"/>
    <n v="285"/>
    <n v="1"/>
    <n v="1"/>
  </r>
  <r>
    <m/>
    <m/>
    <x v="1"/>
    <s v="45628101001001"/>
    <n v="-50.1"/>
    <n v="2928"/>
    <n v="1"/>
    <n v="1"/>
  </r>
  <r>
    <m/>
    <m/>
    <x v="1"/>
    <s v="45707786001004"/>
    <n v="-30.42"/>
    <n v="1778"/>
    <n v="1"/>
    <n v="1"/>
  </r>
  <r>
    <m/>
    <m/>
    <x v="1"/>
    <s v="45765931005001"/>
    <n v="-41.71"/>
    <n v="2438"/>
    <n v="1"/>
    <n v="1"/>
  </r>
  <r>
    <m/>
    <m/>
    <x v="1"/>
    <s v="45771181001001"/>
    <n v="-51.38"/>
    <n v="3003"/>
    <n v="1"/>
    <n v="1"/>
  </r>
  <r>
    <m/>
    <m/>
    <x v="1"/>
    <s v="45785111001001"/>
    <n v="-2.46"/>
    <n v="144"/>
    <n v="1"/>
    <n v="1"/>
  </r>
  <r>
    <m/>
    <m/>
    <x v="1"/>
    <s v="45788681002001"/>
    <n v="-10.199999999999999"/>
    <n v="596"/>
    <n v="1"/>
    <n v="1"/>
  </r>
  <r>
    <m/>
    <m/>
    <x v="1"/>
    <s v="45805966004001"/>
    <n v="-24.74"/>
    <n v="1446"/>
    <n v="1"/>
    <n v="1"/>
  </r>
  <r>
    <m/>
    <m/>
    <x v="1"/>
    <s v="45842301001002"/>
    <n v="-33.450000000000003"/>
    <n v="1955"/>
    <n v="1"/>
    <n v="1"/>
  </r>
  <r>
    <m/>
    <m/>
    <x v="1"/>
    <s v="45845101001001"/>
    <n v="-31.35"/>
    <n v="1832"/>
    <n v="1"/>
    <n v="1"/>
  </r>
  <r>
    <m/>
    <m/>
    <x v="1"/>
    <s v="45848041001001"/>
    <n v="-59.2"/>
    <n v="3460"/>
    <n v="1"/>
    <n v="1"/>
  </r>
  <r>
    <m/>
    <m/>
    <x v="1"/>
    <s v="45851261001001"/>
    <n v="-42.83"/>
    <n v="2503"/>
    <n v="1"/>
    <n v="1"/>
  </r>
  <r>
    <m/>
    <m/>
    <x v="1"/>
    <s v="45924481001001"/>
    <n v="-11.99"/>
    <n v="701"/>
    <n v="1"/>
    <n v="1"/>
  </r>
  <r>
    <m/>
    <m/>
    <x v="1"/>
    <s v="46000571001002"/>
    <n v="-44.18"/>
    <n v="2582"/>
    <n v="1"/>
    <n v="1"/>
  </r>
  <r>
    <m/>
    <m/>
    <x v="1"/>
    <s v="46005261001001"/>
    <n v="-32.68"/>
    <n v="1910"/>
    <n v="1"/>
    <n v="1"/>
  </r>
  <r>
    <m/>
    <m/>
    <x v="1"/>
    <s v="46028711001001"/>
    <n v="-78.52"/>
    <n v="4589"/>
    <n v="1"/>
    <n v="1"/>
  </r>
  <r>
    <m/>
    <m/>
    <x v="1"/>
    <s v="46040191001001"/>
    <n v="-1.81"/>
    <n v="106"/>
    <n v="1"/>
    <n v="1"/>
  </r>
  <r>
    <m/>
    <m/>
    <x v="1"/>
    <s v="46061541001001"/>
    <n v="-11.91"/>
    <n v="696"/>
    <n v="1"/>
    <n v="1"/>
  </r>
  <r>
    <m/>
    <m/>
    <x v="1"/>
    <s v="46087791001001"/>
    <n v="-73.3"/>
    <n v="4284"/>
    <n v="1"/>
    <n v="1"/>
  </r>
  <r>
    <m/>
    <m/>
    <x v="1"/>
    <s v="46125801001001"/>
    <n v="-37.97"/>
    <n v="2219"/>
    <n v="1"/>
    <n v="1"/>
  </r>
  <r>
    <m/>
    <m/>
    <x v="1"/>
    <s v="46156461002003"/>
    <n v="-40.21"/>
    <n v="2350"/>
    <n v="1"/>
    <n v="1"/>
  </r>
  <r>
    <m/>
    <m/>
    <x v="1"/>
    <s v="46220931001002"/>
    <n v="-37.200000000000003"/>
    <n v="2174"/>
    <n v="1"/>
    <n v="1"/>
  </r>
  <r>
    <m/>
    <m/>
    <x v="1"/>
    <s v="46227600003001"/>
    <n v="-13.48"/>
    <n v="788"/>
    <n v="1"/>
    <n v="1"/>
  </r>
  <r>
    <m/>
    <m/>
    <x v="1"/>
    <s v="46235281001001"/>
    <n v="-47.53"/>
    <n v="2778"/>
    <n v="1"/>
    <n v="1"/>
  </r>
  <r>
    <m/>
    <m/>
    <x v="1"/>
    <s v="46279171001001"/>
    <n v="-27.46"/>
    <n v="1605"/>
    <n v="1"/>
    <n v="1"/>
  </r>
  <r>
    <m/>
    <m/>
    <x v="1"/>
    <s v="46289181004001"/>
    <n v="-29.6"/>
    <n v="1730"/>
    <n v="1"/>
    <n v="1"/>
  </r>
  <r>
    <m/>
    <m/>
    <x v="1"/>
    <s v="46341751001001"/>
    <n v="-49.81"/>
    <n v="2911"/>
    <n v="1"/>
    <n v="1"/>
  </r>
  <r>
    <m/>
    <m/>
    <x v="1"/>
    <s v="46350571001003"/>
    <n v="-17.78"/>
    <n v="1039"/>
    <n v="1"/>
    <n v="1"/>
  </r>
  <r>
    <m/>
    <m/>
    <x v="1"/>
    <s v="46372481001002"/>
    <n v="-20.14"/>
    <n v="1177"/>
    <n v="1"/>
    <n v="1"/>
  </r>
  <r>
    <m/>
    <m/>
    <x v="1"/>
    <s v="46412521001006"/>
    <n v="-23.34"/>
    <n v="1364"/>
    <n v="1"/>
    <n v="1"/>
  </r>
  <r>
    <m/>
    <m/>
    <x v="1"/>
    <s v="46445281001003"/>
    <n v="-42.59"/>
    <n v="2489"/>
    <n v="1"/>
    <n v="1"/>
  </r>
  <r>
    <m/>
    <m/>
    <x v="1"/>
    <s v="46447731001002"/>
    <n v="-40.11"/>
    <n v="2344"/>
    <n v="1"/>
    <n v="1"/>
  </r>
  <r>
    <m/>
    <m/>
    <x v="1"/>
    <s v="46459421003005"/>
    <n v="-36.74"/>
    <n v="2147"/>
    <n v="1"/>
    <n v="1"/>
  </r>
  <r>
    <m/>
    <m/>
    <x v="1"/>
    <s v="46480981001002"/>
    <n v="-41.3"/>
    <n v="2414"/>
    <n v="1"/>
    <n v="1"/>
  </r>
  <r>
    <m/>
    <m/>
    <x v="1"/>
    <s v="46504501001001"/>
    <n v="-18.149999999999999"/>
    <n v="1061"/>
    <n v="1"/>
    <n v="1"/>
  </r>
  <r>
    <m/>
    <m/>
    <x v="1"/>
    <s v="46595026001001"/>
    <n v="-46.21"/>
    <n v="2701"/>
    <n v="1"/>
    <n v="1"/>
  </r>
  <r>
    <m/>
    <m/>
    <x v="1"/>
    <s v="46613701001001"/>
    <n v="-36.24"/>
    <n v="2118"/>
    <n v="1"/>
    <n v="1"/>
  </r>
  <r>
    <m/>
    <m/>
    <x v="1"/>
    <s v="46663679001002"/>
    <n v="-32.51"/>
    <n v="1900"/>
    <n v="1"/>
    <n v="1"/>
  </r>
  <r>
    <m/>
    <m/>
    <x v="1"/>
    <s v="46778971002001"/>
    <n v="-30.03"/>
    <n v="1755"/>
    <n v="1"/>
    <n v="1"/>
  </r>
  <r>
    <m/>
    <m/>
    <x v="1"/>
    <s v="46791361001012"/>
    <n v="-9.39"/>
    <n v="549"/>
    <n v="1"/>
    <n v="1"/>
  </r>
  <r>
    <m/>
    <m/>
    <x v="1"/>
    <s v="46841272001001"/>
    <n v="-19.920000000000002"/>
    <n v="1164"/>
    <n v="1"/>
    <n v="1"/>
  </r>
  <r>
    <m/>
    <m/>
    <x v="1"/>
    <s v="46866051008003"/>
    <n v="-15.88"/>
    <n v="928"/>
    <n v="1"/>
    <n v="1"/>
  </r>
  <r>
    <m/>
    <m/>
    <x v="1"/>
    <s v="46866331001002"/>
    <n v="-30.49"/>
    <n v="1782"/>
    <n v="1"/>
    <n v="1"/>
  </r>
  <r>
    <m/>
    <m/>
    <x v="1"/>
    <s v="46866401001007"/>
    <n v="-72"/>
    <n v="4208"/>
    <n v="1"/>
    <n v="1"/>
  </r>
  <r>
    <m/>
    <m/>
    <x v="1"/>
    <s v="46866681001004"/>
    <n v="-69.23"/>
    <n v="4046"/>
    <n v="1"/>
    <n v="1"/>
  </r>
  <r>
    <m/>
    <m/>
    <x v="1"/>
    <s v="46867241001005"/>
    <n v="-24.47"/>
    <n v="1430"/>
    <n v="1"/>
    <n v="1"/>
  </r>
  <r>
    <m/>
    <m/>
    <x v="1"/>
    <s v="46905092001001"/>
    <n v="-34.56"/>
    <n v="2020"/>
    <n v="1"/>
    <n v="1"/>
  </r>
  <r>
    <m/>
    <m/>
    <x v="1"/>
    <s v="46933740002001"/>
    <n v="-38.74"/>
    <n v="2264"/>
    <n v="1"/>
    <n v="1"/>
  </r>
  <r>
    <m/>
    <m/>
    <x v="1"/>
    <s v="46951731001001"/>
    <n v="-8.09"/>
    <n v="473"/>
    <n v="1"/>
    <n v="1"/>
  </r>
  <r>
    <m/>
    <m/>
    <x v="1"/>
    <s v="47140101001006"/>
    <n v="-37.590000000000003"/>
    <n v="2197"/>
    <n v="1"/>
    <n v="1"/>
  </r>
  <r>
    <m/>
    <m/>
    <x v="1"/>
    <s v="47162081002004"/>
    <n v="-19.86"/>
    <n v="1161"/>
    <n v="1"/>
    <n v="1"/>
  </r>
  <r>
    <m/>
    <m/>
    <x v="1"/>
    <s v="47168661001006"/>
    <n v="-4.84"/>
    <n v="283"/>
    <n v="1"/>
    <n v="1"/>
  </r>
  <r>
    <m/>
    <m/>
    <x v="1"/>
    <s v="47176711002001"/>
    <n v="-19.32"/>
    <n v="1129"/>
    <n v="1"/>
    <n v="1"/>
  </r>
  <r>
    <m/>
    <m/>
    <x v="1"/>
    <s v="47208771001002"/>
    <n v="-41.37"/>
    <n v="2418"/>
    <n v="1"/>
    <n v="1"/>
  </r>
  <r>
    <m/>
    <m/>
    <x v="1"/>
    <s v="47210381001002"/>
    <n v="-12.11"/>
    <n v="708"/>
    <n v="1"/>
    <n v="1"/>
  </r>
  <r>
    <m/>
    <m/>
    <x v="1"/>
    <s v="47222141001002"/>
    <n v="-7.22"/>
    <n v="422"/>
    <n v="1"/>
    <n v="1"/>
  </r>
  <r>
    <m/>
    <m/>
    <x v="1"/>
    <s v="47229141003012"/>
    <n v="-38.5"/>
    <n v="2250"/>
    <n v="1"/>
    <n v="1"/>
  </r>
  <r>
    <m/>
    <m/>
    <x v="1"/>
    <s v="47243911002001"/>
    <n v="-49.67"/>
    <n v="2903"/>
    <n v="1"/>
    <n v="1"/>
  </r>
  <r>
    <m/>
    <m/>
    <x v="1"/>
    <s v="47244331002001"/>
    <n v="-28.68"/>
    <n v="1676"/>
    <n v="1"/>
    <n v="1"/>
  </r>
  <r>
    <m/>
    <m/>
    <x v="1"/>
    <s v="47282621001001"/>
    <n v="-19.850000000000001"/>
    <n v="1160"/>
    <n v="1"/>
    <n v="1"/>
  </r>
  <r>
    <m/>
    <m/>
    <x v="1"/>
    <s v="47302081008001"/>
    <n v="-78.69"/>
    <n v="4599"/>
    <n v="1"/>
    <n v="1"/>
  </r>
  <r>
    <m/>
    <m/>
    <x v="1"/>
    <s v="47309711002003"/>
    <n v="-40.880000000000003"/>
    <n v="2389"/>
    <n v="1"/>
    <n v="1"/>
  </r>
  <r>
    <m/>
    <m/>
    <x v="1"/>
    <s v="47323011001001"/>
    <n v="-33.06"/>
    <n v="1932"/>
    <n v="1"/>
    <n v="1"/>
  </r>
  <r>
    <m/>
    <m/>
    <x v="1"/>
    <s v="47328821001007"/>
    <n v="-23.46"/>
    <n v="1371"/>
    <n v="1"/>
    <n v="1"/>
  </r>
  <r>
    <m/>
    <m/>
    <x v="1"/>
    <s v="47345831001004"/>
    <n v="-20.170000000000002"/>
    <n v="1179"/>
    <n v="1"/>
    <n v="1"/>
  </r>
  <r>
    <m/>
    <m/>
    <x v="1"/>
    <s v="47372921003003"/>
    <n v="-19.690000000000001"/>
    <n v="1151"/>
    <n v="1"/>
    <n v="1"/>
  </r>
  <r>
    <m/>
    <m/>
    <x v="1"/>
    <s v="47379221001002"/>
    <n v="-32.65"/>
    <n v="1908"/>
    <n v="1"/>
    <n v="1"/>
  </r>
  <r>
    <m/>
    <m/>
    <x v="1"/>
    <s v="47386711001003"/>
    <n v="-40.64"/>
    <n v="2375"/>
    <n v="1"/>
    <n v="1"/>
  </r>
  <r>
    <m/>
    <m/>
    <x v="1"/>
    <s v="47387061005001"/>
    <n v="-27.63"/>
    <n v="1615"/>
    <n v="1"/>
    <n v="1"/>
  </r>
  <r>
    <m/>
    <m/>
    <x v="1"/>
    <s v="47403091001002"/>
    <n v="-30.7"/>
    <n v="1794"/>
    <n v="1"/>
    <n v="1"/>
  </r>
  <r>
    <m/>
    <m/>
    <x v="1"/>
    <s v="47406521002002"/>
    <n v="-42.11"/>
    <n v="2461"/>
    <n v="1"/>
    <n v="1"/>
  </r>
  <r>
    <m/>
    <m/>
    <x v="1"/>
    <s v="47414851002001"/>
    <n v="-21.97"/>
    <n v="1284"/>
    <n v="1"/>
    <n v="1"/>
  </r>
  <r>
    <m/>
    <m/>
    <x v="1"/>
    <s v="47445167002001"/>
    <n v="-38.46"/>
    <n v="2248"/>
    <n v="1"/>
    <n v="1"/>
  </r>
  <r>
    <m/>
    <m/>
    <x v="1"/>
    <s v="47515391001003"/>
    <n v="-18.559999999999999"/>
    <n v="1085"/>
    <n v="1"/>
    <n v="1"/>
  </r>
  <r>
    <m/>
    <m/>
    <x v="1"/>
    <s v="47526431005001"/>
    <n v="-22.5"/>
    <n v="1315"/>
    <n v="1"/>
    <n v="1"/>
  </r>
  <r>
    <m/>
    <m/>
    <x v="1"/>
    <s v="47550301001001"/>
    <n v="-34.46"/>
    <n v="2014"/>
    <n v="1"/>
    <n v="1"/>
  </r>
  <r>
    <m/>
    <m/>
    <x v="1"/>
    <s v="47651311002005"/>
    <n v="-22.52"/>
    <n v="1316"/>
    <n v="1"/>
    <n v="1"/>
  </r>
  <r>
    <m/>
    <m/>
    <x v="1"/>
    <s v="47686731001002"/>
    <n v="-1.63"/>
    <n v="95"/>
    <n v="1"/>
    <n v="1"/>
  </r>
  <r>
    <m/>
    <m/>
    <x v="1"/>
    <s v="47755961001002"/>
    <n v="-83.38"/>
    <n v="4873"/>
    <n v="1"/>
    <n v="1"/>
  </r>
  <r>
    <m/>
    <m/>
    <x v="1"/>
    <s v="47821691003001"/>
    <n v="-44.02"/>
    <n v="2573"/>
    <n v="1"/>
    <n v="1"/>
  </r>
  <r>
    <m/>
    <m/>
    <x v="1"/>
    <s v="47836531001002"/>
    <n v="-55.33"/>
    <n v="3234"/>
    <n v="1"/>
    <n v="1"/>
  </r>
  <r>
    <m/>
    <m/>
    <x v="1"/>
    <s v="47849621001003"/>
    <n v="-48.23"/>
    <n v="2819"/>
    <n v="1"/>
    <n v="1"/>
  </r>
  <r>
    <m/>
    <m/>
    <x v="1"/>
    <s v="47852771008001"/>
    <n v="-19.850000000000001"/>
    <n v="1160"/>
    <n v="1"/>
    <n v="1"/>
  </r>
  <r>
    <m/>
    <m/>
    <x v="1"/>
    <s v="47884691002003"/>
    <n v="-32.39"/>
    <n v="1893"/>
    <n v="1"/>
    <n v="1"/>
  </r>
  <r>
    <m/>
    <m/>
    <x v="1"/>
    <s v="47902401001001"/>
    <n v="-40.5"/>
    <n v="2367"/>
    <n v="1"/>
    <n v="1"/>
  </r>
  <r>
    <m/>
    <m/>
    <x v="1"/>
    <s v="47907721006005"/>
    <n v="-45.87"/>
    <n v="2681"/>
    <n v="1"/>
    <n v="1"/>
  </r>
  <r>
    <m/>
    <m/>
    <x v="1"/>
    <s v="47909401001001"/>
    <n v="-8.0399999999999991"/>
    <n v="470"/>
    <n v="1"/>
    <n v="1"/>
  </r>
  <r>
    <m/>
    <m/>
    <x v="1"/>
    <s v="47930051002001"/>
    <n v="-21.01"/>
    <n v="1228"/>
    <n v="1"/>
    <n v="1"/>
  </r>
  <r>
    <m/>
    <m/>
    <x v="1"/>
    <s v="47944401002002"/>
    <n v="-32.56"/>
    <n v="1903"/>
    <n v="1"/>
    <n v="1"/>
  </r>
  <r>
    <m/>
    <m/>
    <x v="1"/>
    <s v="47950841001006"/>
    <n v="-26.32"/>
    <n v="1538"/>
    <n v="1"/>
    <n v="1"/>
  </r>
  <r>
    <m/>
    <m/>
    <x v="1"/>
    <s v="47977511001001"/>
    <n v="-50.3"/>
    <n v="2940"/>
    <n v="1"/>
    <n v="1"/>
  </r>
  <r>
    <m/>
    <m/>
    <x v="1"/>
    <s v="47982271001004"/>
    <n v="-11.17"/>
    <n v="653"/>
    <n v="1"/>
    <n v="1"/>
  </r>
  <r>
    <m/>
    <m/>
    <x v="1"/>
    <s v="48048211001001"/>
    <n v="-32.1"/>
    <n v="1876"/>
    <n v="1"/>
    <n v="1"/>
  </r>
  <r>
    <m/>
    <m/>
    <x v="1"/>
    <s v="48055981001001"/>
    <n v="-32.15"/>
    <n v="1879"/>
    <n v="1"/>
    <n v="1"/>
  </r>
  <r>
    <m/>
    <m/>
    <x v="1"/>
    <s v="48259891001001"/>
    <n v="-19.37"/>
    <n v="1132"/>
    <n v="1"/>
    <n v="1"/>
  </r>
  <r>
    <m/>
    <m/>
    <x v="1"/>
    <s v="48314239001001"/>
    <n v="-13.43"/>
    <n v="785"/>
    <n v="1"/>
    <n v="1"/>
  </r>
  <r>
    <m/>
    <m/>
    <x v="1"/>
    <s v="48438811004001"/>
    <n v="-17.95"/>
    <n v="1049"/>
    <n v="1"/>
    <n v="1"/>
  </r>
  <r>
    <m/>
    <m/>
    <x v="1"/>
    <s v="48445138001003"/>
    <n v="-16.46"/>
    <n v="962"/>
    <n v="1"/>
    <n v="1"/>
  </r>
  <r>
    <m/>
    <m/>
    <x v="1"/>
    <s v="48516511001001"/>
    <n v="-66.489999999999995"/>
    <n v="3886"/>
    <n v="1"/>
    <n v="1"/>
  </r>
  <r>
    <m/>
    <m/>
    <x v="1"/>
    <s v="48532611001001"/>
    <n v="-40.58"/>
    <n v="2372"/>
    <n v="1"/>
    <n v="1"/>
  </r>
  <r>
    <m/>
    <m/>
    <x v="1"/>
    <s v="48540941003001"/>
    <n v="-38.869999999999997"/>
    <n v="2272"/>
    <n v="1"/>
    <n v="1"/>
  </r>
  <r>
    <m/>
    <m/>
    <x v="1"/>
    <s v="48617101001002"/>
    <n v="-53.26"/>
    <n v="3113"/>
    <n v="1"/>
    <n v="1"/>
  </r>
  <r>
    <m/>
    <m/>
    <x v="1"/>
    <s v="48622948001002"/>
    <n v="-29.07"/>
    <n v="1699"/>
    <n v="1"/>
    <n v="1"/>
  </r>
  <r>
    <m/>
    <m/>
    <x v="1"/>
    <s v="48661431001005"/>
    <n v="-43.34"/>
    <n v="2533"/>
    <n v="1"/>
    <n v="1"/>
  </r>
  <r>
    <m/>
    <m/>
    <x v="1"/>
    <s v="48681659001003"/>
    <n v="-11.05"/>
    <n v="646"/>
    <n v="1"/>
    <n v="1"/>
  </r>
  <r>
    <m/>
    <m/>
    <x v="1"/>
    <s v="48684021001001"/>
    <n v="-80.760000000000005"/>
    <n v="4720"/>
    <n v="1"/>
    <n v="1"/>
  </r>
  <r>
    <m/>
    <m/>
    <x v="1"/>
    <s v="48802881001001"/>
    <n v="-11.26"/>
    <n v="658"/>
    <n v="1"/>
    <n v="1"/>
  </r>
  <r>
    <m/>
    <m/>
    <x v="1"/>
    <s v="48944491003004"/>
    <n v="-41.82"/>
    <n v="2444"/>
    <n v="1"/>
    <n v="1"/>
  </r>
  <r>
    <m/>
    <m/>
    <x v="1"/>
    <s v="49040181002004"/>
    <n v="-10.59"/>
    <n v="619"/>
    <n v="1"/>
    <n v="1"/>
  </r>
  <r>
    <m/>
    <m/>
    <x v="1"/>
    <s v="49078891001002"/>
    <n v="-7.92"/>
    <n v="463"/>
    <n v="1"/>
    <n v="1"/>
  </r>
  <r>
    <m/>
    <m/>
    <x v="1"/>
    <s v="49187126001001"/>
    <n v="-52.7"/>
    <n v="3080"/>
    <n v="1"/>
    <n v="1"/>
  </r>
  <r>
    <m/>
    <m/>
    <x v="1"/>
    <s v="49254521001002"/>
    <n v="-2.0499999999999998"/>
    <n v="120"/>
    <n v="1"/>
    <n v="1"/>
  </r>
  <r>
    <m/>
    <m/>
    <x v="1"/>
    <s v="49277102003001"/>
    <n v="-18.670000000000002"/>
    <n v="1091"/>
    <n v="1"/>
    <n v="1"/>
  </r>
  <r>
    <m/>
    <m/>
    <x v="1"/>
    <s v="49365331001001"/>
    <n v="-37.81"/>
    <n v="2210"/>
    <n v="1"/>
    <n v="1"/>
  </r>
  <r>
    <m/>
    <m/>
    <x v="1"/>
    <s v="49393121003003"/>
    <n v="-22.28"/>
    <n v="1302"/>
    <n v="1"/>
    <n v="1"/>
  </r>
  <r>
    <m/>
    <m/>
    <x v="1"/>
    <s v="49419650001003"/>
    <n v="-29.75"/>
    <n v="1739"/>
    <n v="1"/>
    <n v="1"/>
  </r>
  <r>
    <m/>
    <m/>
    <x v="1"/>
    <s v="49473341001001"/>
    <n v="-36.26"/>
    <n v="2119"/>
    <n v="1"/>
    <n v="1"/>
  </r>
  <r>
    <m/>
    <m/>
    <x v="1"/>
    <s v="49494020001001"/>
    <n v="-49.81"/>
    <n v="2911"/>
    <n v="1"/>
    <n v="1"/>
  </r>
  <r>
    <m/>
    <m/>
    <x v="1"/>
    <s v="49508621001001"/>
    <n v="-31.84"/>
    <n v="1861"/>
    <n v="1"/>
    <n v="1"/>
  </r>
  <r>
    <m/>
    <m/>
    <x v="1"/>
    <s v="49557341001001"/>
    <n v="-37.74"/>
    <n v="2206"/>
    <n v="1"/>
    <n v="1"/>
  </r>
  <r>
    <m/>
    <m/>
    <x v="1"/>
    <s v="49565145002005"/>
    <n v="-27.84"/>
    <n v="1627"/>
    <n v="1"/>
    <n v="1"/>
  </r>
  <r>
    <m/>
    <m/>
    <x v="1"/>
    <s v="49577991001002"/>
    <n v="-25.2"/>
    <n v="1473"/>
    <n v="1"/>
    <n v="1"/>
  </r>
  <r>
    <m/>
    <m/>
    <x v="1"/>
    <s v="49577991001003"/>
    <n v="-22.35"/>
    <n v="1306"/>
    <n v="1"/>
    <n v="1"/>
  </r>
  <r>
    <m/>
    <m/>
    <x v="1"/>
    <s v="49588421001001"/>
    <n v="-7.13"/>
    <n v="417"/>
    <n v="1"/>
    <n v="1"/>
  </r>
  <r>
    <m/>
    <m/>
    <x v="1"/>
    <s v="49595561001001"/>
    <n v="-26.38"/>
    <n v="1542"/>
    <n v="1"/>
    <n v="1"/>
  </r>
  <r>
    <m/>
    <m/>
    <x v="1"/>
    <s v="49606131001005"/>
    <n v="-18.86"/>
    <n v="1102"/>
    <n v="1"/>
    <n v="1"/>
  </r>
  <r>
    <m/>
    <m/>
    <x v="1"/>
    <s v="49606271002004"/>
    <n v="-35.06"/>
    <n v="2049"/>
    <n v="1"/>
    <n v="1"/>
  </r>
  <r>
    <m/>
    <m/>
    <x v="1"/>
    <s v="49608381001001"/>
    <n v="-30.15"/>
    <n v="1762"/>
    <n v="1"/>
    <n v="1"/>
  </r>
  <r>
    <m/>
    <m/>
    <x v="1"/>
    <s v="49617249001009"/>
    <n v="-34.49"/>
    <n v="2016"/>
    <n v="1"/>
    <n v="1"/>
  </r>
  <r>
    <m/>
    <m/>
    <x v="1"/>
    <s v="49617401001005"/>
    <n v="-39.61"/>
    <n v="2315"/>
    <n v="1"/>
    <n v="1"/>
  </r>
  <r>
    <m/>
    <m/>
    <x v="1"/>
    <s v="49629854001004"/>
    <n v="-35.04"/>
    <n v="2048"/>
    <n v="1"/>
    <n v="1"/>
  </r>
  <r>
    <m/>
    <m/>
    <x v="1"/>
    <s v="49682641002001"/>
    <n v="-50.82"/>
    <n v="2970"/>
    <n v="1"/>
    <n v="1"/>
  </r>
  <r>
    <m/>
    <m/>
    <x v="1"/>
    <s v="49743471001001"/>
    <n v="-4.3600000000000003"/>
    <n v="255"/>
    <n v="1"/>
    <n v="1"/>
  </r>
  <r>
    <m/>
    <m/>
    <x v="1"/>
    <s v="49751381001006"/>
    <n v="-25.75"/>
    <n v="1505"/>
    <n v="1"/>
    <n v="1"/>
  </r>
  <r>
    <m/>
    <m/>
    <x v="1"/>
    <s v="49761531001001"/>
    <n v="-31.36"/>
    <n v="1833"/>
    <n v="1"/>
    <n v="1"/>
  </r>
  <r>
    <m/>
    <m/>
    <x v="1"/>
    <s v="49809621001003"/>
    <n v="-23.92"/>
    <n v="1398"/>
    <n v="1"/>
    <n v="1"/>
  </r>
  <r>
    <m/>
    <m/>
    <x v="1"/>
    <s v="49876031001002"/>
    <n v="-70.459999999999994"/>
    <n v="4118"/>
    <n v="1"/>
    <n v="1"/>
  </r>
  <r>
    <m/>
    <m/>
    <x v="1"/>
    <s v="49929881001003"/>
    <n v="-52.68"/>
    <n v="3079"/>
    <n v="1"/>
    <n v="1"/>
  </r>
  <r>
    <m/>
    <m/>
    <x v="1"/>
    <s v="49930301001001"/>
    <n v="-37.200000000000003"/>
    <n v="2174"/>
    <n v="1"/>
    <n v="1"/>
  </r>
  <r>
    <m/>
    <m/>
    <x v="1"/>
    <s v="49949551002003"/>
    <n v="-4.55"/>
    <n v="266"/>
    <n v="1"/>
    <n v="1"/>
  </r>
  <r>
    <m/>
    <m/>
    <x v="1"/>
    <s v="49950881001002"/>
    <n v="-8.33"/>
    <n v="487"/>
    <n v="1"/>
    <n v="1"/>
  </r>
  <r>
    <m/>
    <m/>
    <x v="1"/>
    <s v="49951931001004"/>
    <n v="-25.48"/>
    <n v="1489"/>
    <n v="1"/>
    <n v="1"/>
  </r>
  <r>
    <m/>
    <m/>
    <x v="1"/>
    <s v="49975801002002"/>
    <n v="-37.56"/>
    <n v="2195"/>
    <n v="1"/>
    <n v="1"/>
  </r>
  <r>
    <m/>
    <m/>
    <x v="1"/>
    <s v="50047300001001"/>
    <n v="-36.549999999999997"/>
    <n v="2136"/>
    <n v="1"/>
    <n v="1"/>
  </r>
  <r>
    <m/>
    <m/>
    <x v="1"/>
    <s v="50072891002002"/>
    <n v="-44.09"/>
    <n v="2577"/>
    <n v="1"/>
    <n v="1"/>
  </r>
  <r>
    <m/>
    <m/>
    <x v="1"/>
    <s v="50097461001002"/>
    <n v="-25.15"/>
    <n v="1470"/>
    <n v="1"/>
    <n v="1"/>
  </r>
  <r>
    <m/>
    <m/>
    <x v="1"/>
    <s v="50159341001001"/>
    <n v="-25.8"/>
    <n v="1508"/>
    <n v="1"/>
    <n v="1"/>
  </r>
  <r>
    <m/>
    <m/>
    <x v="1"/>
    <s v="50160321001001"/>
    <n v="-1.92"/>
    <n v="112"/>
    <n v="1"/>
    <n v="1"/>
  </r>
  <r>
    <m/>
    <m/>
    <x v="1"/>
    <s v="50181601002005"/>
    <n v="-19.47"/>
    <n v="1138"/>
    <n v="1"/>
    <n v="1"/>
  </r>
  <r>
    <m/>
    <m/>
    <x v="1"/>
    <s v="50185311001007"/>
    <n v="-33.880000000000003"/>
    <n v="1980"/>
    <n v="1"/>
    <n v="1"/>
  </r>
  <r>
    <m/>
    <m/>
    <x v="1"/>
    <s v="50228781001003"/>
    <n v="-19.23"/>
    <n v="1124"/>
    <n v="1"/>
    <n v="1"/>
  </r>
  <r>
    <m/>
    <m/>
    <x v="1"/>
    <s v="50266931001001"/>
    <n v="-24.07"/>
    <n v="1407"/>
    <n v="1"/>
    <n v="1"/>
  </r>
  <r>
    <m/>
    <m/>
    <x v="1"/>
    <s v="50315231001002"/>
    <n v="-37.21"/>
    <n v="2175"/>
    <n v="1"/>
    <n v="1"/>
  </r>
  <r>
    <m/>
    <m/>
    <x v="1"/>
    <s v="50378091011001"/>
    <n v="-17.829999999999998"/>
    <n v="1042"/>
    <n v="1"/>
    <n v="1"/>
  </r>
  <r>
    <m/>
    <m/>
    <x v="1"/>
    <s v="50402241001002"/>
    <n v="-31.11"/>
    <n v="1818"/>
    <n v="1"/>
    <n v="1"/>
  </r>
  <r>
    <m/>
    <m/>
    <x v="1"/>
    <s v="50409381003001"/>
    <n v="-6.19"/>
    <n v="362"/>
    <n v="1"/>
    <n v="1"/>
  </r>
  <r>
    <m/>
    <m/>
    <x v="1"/>
    <s v="50492401002001"/>
    <n v="-53.59"/>
    <n v="3132"/>
    <n v="1"/>
    <n v="1"/>
  </r>
  <r>
    <m/>
    <m/>
    <x v="1"/>
    <s v="50499961001001"/>
    <n v="-40.58"/>
    <n v="2372"/>
    <n v="1"/>
    <n v="1"/>
  </r>
  <r>
    <m/>
    <m/>
    <x v="1"/>
    <s v="50517716001001"/>
    <n v="-23.42"/>
    <n v="1369"/>
    <n v="1"/>
    <n v="1"/>
  </r>
  <r>
    <m/>
    <m/>
    <x v="1"/>
    <s v="50537633001001"/>
    <n v="-36.15"/>
    <n v="2113"/>
    <n v="1"/>
    <n v="1"/>
  </r>
  <r>
    <m/>
    <m/>
    <x v="1"/>
    <s v="50539651002001"/>
    <n v="-37.71"/>
    <n v="2204"/>
    <n v="1"/>
    <n v="1"/>
  </r>
  <r>
    <m/>
    <m/>
    <x v="1"/>
    <s v="50587853001001"/>
    <n v="-28.92"/>
    <n v="1690"/>
    <n v="1"/>
    <n v="1"/>
  </r>
  <r>
    <m/>
    <m/>
    <x v="1"/>
    <s v="50630930001002"/>
    <n v="-31.69"/>
    <n v="1852"/>
    <n v="1"/>
    <n v="1"/>
  </r>
  <r>
    <m/>
    <m/>
    <x v="1"/>
    <s v="50652701001002"/>
    <n v="-62.64"/>
    <n v="3661"/>
    <n v="1"/>
    <n v="1"/>
  </r>
  <r>
    <m/>
    <m/>
    <x v="1"/>
    <s v="50704851001003"/>
    <n v="-28.71"/>
    <n v="1678"/>
    <n v="1"/>
    <n v="1"/>
  </r>
  <r>
    <m/>
    <m/>
    <x v="1"/>
    <s v="50727391001001"/>
    <n v="-52.22"/>
    <n v="3052"/>
    <n v="1"/>
    <n v="1"/>
  </r>
  <r>
    <m/>
    <m/>
    <x v="1"/>
    <s v="50791002001001"/>
    <n v="-13.41"/>
    <n v="784"/>
    <n v="1"/>
    <n v="1"/>
  </r>
  <r>
    <m/>
    <m/>
    <x v="1"/>
    <s v="50831131004004"/>
    <n v="-26.45"/>
    <n v="1546"/>
    <n v="1"/>
    <n v="1"/>
  </r>
  <r>
    <m/>
    <m/>
    <x v="1"/>
    <s v="50835751002001"/>
    <n v="-33.69"/>
    <n v="1969"/>
    <n v="1"/>
    <n v="1"/>
  </r>
  <r>
    <m/>
    <m/>
    <x v="1"/>
    <s v="50860461001005"/>
    <n v="-17.59"/>
    <n v="1028"/>
    <n v="1"/>
    <n v="1"/>
  </r>
  <r>
    <m/>
    <m/>
    <x v="1"/>
    <s v="50866831003001"/>
    <n v="-53.37"/>
    <n v="3119"/>
    <n v="1"/>
    <n v="1"/>
  </r>
  <r>
    <m/>
    <m/>
    <x v="1"/>
    <s v="50901131002003"/>
    <n v="-33.090000000000003"/>
    <n v="1934"/>
    <n v="1"/>
    <n v="1"/>
  </r>
  <r>
    <m/>
    <m/>
    <x v="1"/>
    <s v="50903441001001"/>
    <n v="-98.54"/>
    <n v="5759"/>
    <n v="1"/>
    <n v="1"/>
  </r>
  <r>
    <m/>
    <m/>
    <x v="1"/>
    <s v="50914361001001"/>
    <n v="-39.71"/>
    <n v="2321"/>
    <n v="1"/>
    <n v="1"/>
  </r>
  <r>
    <m/>
    <m/>
    <x v="1"/>
    <s v="50924581001001"/>
    <n v="-44.25"/>
    <n v="2586"/>
    <n v="1"/>
    <n v="1"/>
  </r>
  <r>
    <m/>
    <m/>
    <x v="1"/>
    <s v="50996471001001"/>
    <n v="-60.64"/>
    <n v="3544"/>
    <n v="1"/>
    <n v="1"/>
  </r>
  <r>
    <m/>
    <m/>
    <x v="1"/>
    <s v="51004241001002"/>
    <n v="-25.75"/>
    <n v="1505"/>
    <n v="1"/>
    <n v="1"/>
  </r>
  <r>
    <m/>
    <m/>
    <x v="1"/>
    <s v="51011661001002"/>
    <n v="-15.52"/>
    <n v="907"/>
    <n v="1"/>
    <n v="1"/>
  </r>
  <r>
    <m/>
    <m/>
    <x v="1"/>
    <s v="51040081001001"/>
    <n v="-28.42"/>
    <n v="1661"/>
    <n v="1"/>
    <n v="1"/>
  </r>
  <r>
    <m/>
    <m/>
    <x v="1"/>
    <s v="51060731007001"/>
    <n v="-25.7"/>
    <n v="1502"/>
    <n v="1"/>
    <n v="1"/>
  </r>
  <r>
    <m/>
    <m/>
    <x v="1"/>
    <s v="51084041002005"/>
    <n v="-32.729999999999997"/>
    <n v="1913"/>
    <n v="1"/>
    <n v="1"/>
  </r>
  <r>
    <m/>
    <m/>
    <x v="1"/>
    <s v="51086071003003"/>
    <n v="-43.46"/>
    <n v="2540"/>
    <n v="1"/>
    <n v="1"/>
  </r>
  <r>
    <m/>
    <m/>
    <x v="1"/>
    <s v="51088381003003"/>
    <n v="-9.8000000000000007"/>
    <n v="573"/>
    <n v="1"/>
    <n v="1"/>
  </r>
  <r>
    <m/>
    <m/>
    <x v="1"/>
    <s v="51094401003001"/>
    <n v="-14.78"/>
    <n v="864"/>
    <n v="1"/>
    <n v="1"/>
  </r>
  <r>
    <m/>
    <m/>
    <x v="1"/>
    <s v="51094611001002"/>
    <n v="-13.53"/>
    <n v="791"/>
    <n v="1"/>
    <n v="1"/>
  </r>
  <r>
    <m/>
    <m/>
    <x v="1"/>
    <s v="51099441002001"/>
    <n v="-26.69"/>
    <n v="1560"/>
    <n v="1"/>
    <n v="1"/>
  </r>
  <r>
    <m/>
    <m/>
    <x v="1"/>
    <s v="51136541001001"/>
    <n v="-38.36"/>
    <n v="2242"/>
    <n v="1"/>
    <n v="1"/>
  </r>
  <r>
    <m/>
    <m/>
    <x v="1"/>
    <s v="51150051001001"/>
    <n v="-43.99"/>
    <n v="2571"/>
    <n v="1"/>
    <n v="1"/>
  </r>
  <r>
    <m/>
    <m/>
    <x v="1"/>
    <s v="51151101001003"/>
    <n v="-56.12"/>
    <n v="3280"/>
    <n v="1"/>
    <n v="1"/>
  </r>
  <r>
    <m/>
    <m/>
    <x v="1"/>
    <s v="51156701001001"/>
    <n v="-5.7"/>
    <n v="333"/>
    <n v="1"/>
    <n v="1"/>
  </r>
  <r>
    <m/>
    <m/>
    <x v="1"/>
    <s v="51159431001001"/>
    <n v="-45.65"/>
    <n v="2668"/>
    <n v="1"/>
    <n v="1"/>
  </r>
  <r>
    <m/>
    <m/>
    <x v="1"/>
    <s v="51159641001002"/>
    <n v="-13.6"/>
    <n v="795"/>
    <n v="1"/>
    <n v="1"/>
  </r>
  <r>
    <m/>
    <m/>
    <x v="1"/>
    <s v="51159921001001"/>
    <n v="-18.579999999999998"/>
    <n v="1086"/>
    <n v="1"/>
    <n v="1"/>
  </r>
  <r>
    <m/>
    <m/>
    <x v="1"/>
    <s v="51163071001001"/>
    <n v="-21.58"/>
    <n v="1261"/>
    <n v="1"/>
    <n v="1"/>
  </r>
  <r>
    <m/>
    <m/>
    <x v="1"/>
    <s v="51168881002007"/>
    <n v="-1.01"/>
    <n v="59"/>
    <n v="1"/>
    <n v="1"/>
  </r>
  <r>
    <m/>
    <m/>
    <x v="1"/>
    <s v="51206961001001"/>
    <n v="-22.55"/>
    <n v="1318"/>
    <n v="1"/>
    <n v="1"/>
  </r>
  <r>
    <m/>
    <m/>
    <x v="1"/>
    <s v="51210671002001"/>
    <n v="-40.090000000000003"/>
    <n v="2343"/>
    <n v="1"/>
    <n v="1"/>
  </r>
  <r>
    <m/>
    <m/>
    <x v="1"/>
    <s v="51219771005001"/>
    <n v="-11.48"/>
    <n v="671"/>
    <n v="1"/>
    <n v="1"/>
  </r>
  <r>
    <m/>
    <m/>
    <x v="1"/>
    <s v="51315674001002"/>
    <n v="-22.69"/>
    <n v="1326"/>
    <n v="1"/>
    <n v="1"/>
  </r>
  <r>
    <m/>
    <m/>
    <x v="1"/>
    <s v="51386861002001"/>
    <n v="-30.88"/>
    <n v="1805"/>
    <n v="1"/>
    <n v="1"/>
  </r>
  <r>
    <m/>
    <m/>
    <x v="1"/>
    <s v="51441601002001"/>
    <n v="-67.7"/>
    <n v="3957"/>
    <n v="1"/>
    <n v="1"/>
  </r>
  <r>
    <m/>
    <m/>
    <x v="1"/>
    <s v="51461481001002"/>
    <n v="-39.75"/>
    <n v="2323"/>
    <n v="1"/>
    <n v="1"/>
  </r>
  <r>
    <m/>
    <m/>
    <x v="1"/>
    <s v="51505861001001"/>
    <n v="-11.26"/>
    <n v="658"/>
    <n v="1"/>
    <n v="1"/>
  </r>
  <r>
    <m/>
    <m/>
    <x v="1"/>
    <s v="51550311003001"/>
    <n v="-35.369999999999997"/>
    <n v="2067"/>
    <n v="1"/>
    <n v="1"/>
  </r>
  <r>
    <m/>
    <m/>
    <x v="1"/>
    <s v="51568021003007"/>
    <n v="-13.89"/>
    <n v="812"/>
    <n v="1"/>
    <n v="1"/>
  </r>
  <r>
    <m/>
    <m/>
    <x v="1"/>
    <s v="51589441006001"/>
    <n v="-48.81"/>
    <n v="2853"/>
    <n v="1"/>
    <n v="1"/>
  </r>
  <r>
    <m/>
    <m/>
    <x v="1"/>
    <s v="51593501001001"/>
    <n v="-33.47"/>
    <n v="1956"/>
    <n v="1"/>
    <n v="1"/>
  </r>
  <r>
    <m/>
    <m/>
    <x v="1"/>
    <s v="51596301001003"/>
    <n v="-15.13"/>
    <n v="884"/>
    <n v="1"/>
    <n v="1"/>
  </r>
  <r>
    <m/>
    <m/>
    <x v="1"/>
    <s v="51596441002007"/>
    <n v="-14.53"/>
    <n v="849"/>
    <n v="1"/>
    <n v="1"/>
  </r>
  <r>
    <m/>
    <m/>
    <x v="1"/>
    <s v="51603721001003"/>
    <n v="-54.46"/>
    <n v="3183"/>
    <n v="1"/>
    <n v="1"/>
  </r>
  <r>
    <m/>
    <m/>
    <x v="1"/>
    <s v="51607711002002"/>
    <n v="-25.07"/>
    <n v="1465"/>
    <n v="1"/>
    <n v="1"/>
  </r>
  <r>
    <m/>
    <m/>
    <x v="1"/>
    <s v="51609951002002"/>
    <n v="-50.37"/>
    <n v="2944"/>
    <n v="1"/>
    <n v="1"/>
  </r>
  <r>
    <m/>
    <m/>
    <x v="1"/>
    <s v="51614221001001"/>
    <n v="-49.55"/>
    <n v="2896"/>
    <n v="1"/>
    <n v="1"/>
  </r>
  <r>
    <m/>
    <m/>
    <x v="1"/>
    <s v="51615621001002"/>
    <n v="-37.33"/>
    <n v="2182"/>
    <n v="1"/>
    <n v="1"/>
  </r>
  <r>
    <m/>
    <m/>
    <x v="1"/>
    <s v="51635221006001"/>
    <n v="-97.05"/>
    <n v="5672"/>
    <n v="1"/>
    <n v="1"/>
  </r>
  <r>
    <m/>
    <m/>
    <x v="1"/>
    <s v="51655896001002"/>
    <n v="-13.31"/>
    <n v="778"/>
    <n v="1"/>
    <n v="1"/>
  </r>
  <r>
    <m/>
    <m/>
    <x v="1"/>
    <s v="51696711001001"/>
    <n v="-49.21"/>
    <n v="2876"/>
    <n v="1"/>
    <n v="1"/>
  </r>
  <r>
    <m/>
    <m/>
    <x v="1"/>
    <s v="51710411001001"/>
    <n v="-47.05"/>
    <n v="2750"/>
    <n v="1"/>
    <n v="1"/>
  </r>
  <r>
    <m/>
    <m/>
    <x v="1"/>
    <s v="51961148002001"/>
    <n v="-37.83"/>
    <n v="2211"/>
    <n v="1"/>
    <n v="1"/>
  </r>
  <r>
    <m/>
    <m/>
    <x v="1"/>
    <s v="52028581001004"/>
    <n v="-3.11"/>
    <n v="182"/>
    <n v="1"/>
    <n v="1"/>
  </r>
  <r>
    <m/>
    <m/>
    <x v="1"/>
    <s v="52179797002001"/>
    <n v="-103.07"/>
    <n v="6024"/>
    <n v="1"/>
    <n v="1"/>
  </r>
  <r>
    <m/>
    <m/>
    <x v="1"/>
    <s v="52231893001002"/>
    <n v="-17.350000000000001"/>
    <n v="1014"/>
    <n v="1"/>
    <n v="1"/>
  </r>
  <r>
    <m/>
    <m/>
    <x v="1"/>
    <s v="52507741001001"/>
    <n v="-35.83"/>
    <n v="2094"/>
    <n v="1"/>
    <n v="1"/>
  </r>
  <r>
    <m/>
    <m/>
    <x v="1"/>
    <s v="52528013001003"/>
    <n v="-3.27"/>
    <n v="191"/>
    <n v="1"/>
    <n v="1"/>
  </r>
  <r>
    <m/>
    <m/>
    <x v="1"/>
    <s v="52616528001003"/>
    <n v="-46.25"/>
    <n v="2703"/>
    <n v="1"/>
    <n v="1"/>
  </r>
  <r>
    <m/>
    <m/>
    <x v="1"/>
    <s v="52743980001001"/>
    <n v="-25.67"/>
    <n v="1500"/>
    <n v="1"/>
    <n v="1"/>
  </r>
  <r>
    <m/>
    <m/>
    <x v="1"/>
    <s v="52839681001001"/>
    <n v="-45.27"/>
    <n v="2646"/>
    <n v="1"/>
    <n v="1"/>
  </r>
  <r>
    <m/>
    <m/>
    <x v="1"/>
    <s v="52989782005001"/>
    <n v="-37.42"/>
    <n v="2187"/>
    <n v="1"/>
    <n v="1"/>
  </r>
  <r>
    <m/>
    <m/>
    <x v="1"/>
    <s v="53096079004003"/>
    <n v="-27.31"/>
    <n v="1596"/>
    <n v="1"/>
    <n v="1"/>
  </r>
  <r>
    <m/>
    <m/>
    <x v="1"/>
    <s v="53444975001003"/>
    <n v="-62.3"/>
    <n v="3641"/>
    <n v="1"/>
    <n v="1"/>
  </r>
  <r>
    <m/>
    <m/>
    <x v="1"/>
    <s v="53498836001001"/>
    <n v="-30.28"/>
    <n v="1770"/>
    <n v="1"/>
    <n v="1"/>
  </r>
  <r>
    <m/>
    <m/>
    <x v="1"/>
    <s v="53694949001001"/>
    <n v="-25.58"/>
    <n v="1495"/>
    <n v="1"/>
    <n v="1"/>
  </r>
  <r>
    <m/>
    <m/>
    <x v="1"/>
    <s v="54088357001001"/>
    <n v="-30.61"/>
    <n v="1789"/>
    <n v="1"/>
    <n v="1"/>
  </r>
  <r>
    <m/>
    <m/>
    <x v="1"/>
    <s v="54213868001001"/>
    <n v="-58.79"/>
    <n v="3436"/>
    <n v="1"/>
    <n v="1"/>
  </r>
  <r>
    <m/>
    <m/>
    <x v="1"/>
    <s v="54338530001001"/>
    <n v="-52.61"/>
    <n v="3075"/>
    <n v="1"/>
    <n v="1"/>
  </r>
  <r>
    <m/>
    <m/>
    <x v="1"/>
    <s v="54362749001005"/>
    <n v="-21.78"/>
    <n v="1273"/>
    <n v="1"/>
    <n v="1"/>
  </r>
  <r>
    <m/>
    <m/>
    <x v="1"/>
    <s v="54867100001005"/>
    <n v="-35.97"/>
    <n v="2102"/>
    <n v="1"/>
    <n v="1"/>
  </r>
  <r>
    <m/>
    <m/>
    <x v="1"/>
    <s v="55096000001001"/>
    <n v="-21.54"/>
    <n v="1259"/>
    <n v="1"/>
    <n v="1"/>
  </r>
  <r>
    <m/>
    <m/>
    <x v="1"/>
    <s v="55174948001001"/>
    <n v="-21.76"/>
    <n v="1272"/>
    <n v="1"/>
    <n v="1"/>
  </r>
  <r>
    <m/>
    <m/>
    <x v="1"/>
    <s v="55208319002001"/>
    <n v="-46.69"/>
    <n v="2729"/>
    <n v="1"/>
    <n v="1"/>
  </r>
  <r>
    <m/>
    <m/>
    <x v="1"/>
    <s v="55780956001003"/>
    <n v="-14.41"/>
    <n v="842"/>
    <n v="1"/>
    <n v="1"/>
  </r>
  <r>
    <m/>
    <m/>
    <x v="1"/>
    <s v="55843209001001"/>
    <n v="-36.630000000000003"/>
    <n v="2141"/>
    <n v="1"/>
    <n v="1"/>
  </r>
  <r>
    <m/>
    <m/>
    <x v="1"/>
    <s v="55999268001005"/>
    <n v="-30.23"/>
    <n v="1767"/>
    <n v="1"/>
    <n v="1"/>
  </r>
  <r>
    <m/>
    <m/>
    <x v="1"/>
    <s v="56315778001004"/>
    <n v="-46.74"/>
    <n v="2732"/>
    <n v="1"/>
    <n v="1"/>
  </r>
  <r>
    <m/>
    <m/>
    <x v="1"/>
    <s v="56776164001008"/>
    <n v="-31.53"/>
    <n v="1843"/>
    <n v="1"/>
    <n v="1"/>
  </r>
  <r>
    <m/>
    <m/>
    <x v="1"/>
    <s v="56847828001005"/>
    <n v="-19.93"/>
    <n v="1165"/>
    <n v="1"/>
    <n v="1"/>
  </r>
  <r>
    <m/>
    <m/>
    <x v="1"/>
    <s v="57144962001002"/>
    <n v="-13.79"/>
    <n v="806"/>
    <n v="1"/>
    <n v="1"/>
  </r>
  <r>
    <m/>
    <m/>
    <x v="1"/>
    <s v="57165863001001"/>
    <n v="-74.58"/>
    <n v="4359"/>
    <n v="1"/>
    <n v="1"/>
  </r>
  <r>
    <m/>
    <m/>
    <x v="1"/>
    <s v="57271203001001"/>
    <n v="-20.07"/>
    <n v="1173"/>
    <n v="1"/>
    <n v="1"/>
  </r>
  <r>
    <m/>
    <m/>
    <x v="1"/>
    <s v="57356716001002"/>
    <n v="-22.21"/>
    <n v="1298"/>
    <n v="1"/>
    <n v="1"/>
  </r>
  <r>
    <m/>
    <m/>
    <x v="1"/>
    <s v="57690835002001"/>
    <n v="-5.51"/>
    <n v="322"/>
    <n v="1"/>
    <n v="1"/>
  </r>
  <r>
    <m/>
    <m/>
    <x v="1"/>
    <s v="57817505001001"/>
    <n v="-75.319999999999993"/>
    <n v="4402"/>
    <n v="1"/>
    <n v="1"/>
  </r>
  <r>
    <m/>
    <m/>
    <x v="1"/>
    <s v="57834181001001"/>
    <n v="-30.06"/>
    <n v="1757"/>
    <n v="1"/>
    <n v="1"/>
  </r>
  <r>
    <m/>
    <m/>
    <x v="1"/>
    <s v="58010908001002"/>
    <n v="-61.56"/>
    <n v="3598"/>
    <n v="1"/>
    <n v="1"/>
  </r>
  <r>
    <m/>
    <m/>
    <x v="1"/>
    <s v="58133349001003"/>
    <n v="-35.78"/>
    <n v="2091"/>
    <n v="1"/>
    <n v="1"/>
  </r>
  <r>
    <m/>
    <m/>
    <x v="1"/>
    <s v="58402808001001"/>
    <n v="-1.6400000000000001"/>
    <n v="96"/>
    <n v="2"/>
    <n v="1"/>
  </r>
  <r>
    <m/>
    <m/>
    <x v="1"/>
    <s v="58619499001001"/>
    <n v="-62.55"/>
    <n v="3656"/>
    <n v="1"/>
    <n v="1"/>
  </r>
  <r>
    <m/>
    <m/>
    <x v="1"/>
    <s v="59268197006001"/>
    <n v="-68.44"/>
    <n v="4000"/>
    <n v="1"/>
    <n v="1"/>
  </r>
  <r>
    <m/>
    <m/>
    <x v="1"/>
    <s v="59498637001004"/>
    <n v="-36.32"/>
    <n v="2123"/>
    <n v="1"/>
    <n v="1"/>
  </r>
  <r>
    <m/>
    <m/>
    <x v="1"/>
    <s v="59524591001003"/>
    <n v="-1.25"/>
    <n v="73"/>
    <n v="1"/>
    <n v="1"/>
  </r>
  <r>
    <m/>
    <m/>
    <x v="1"/>
    <s v="59742745001005"/>
    <n v="-59.29"/>
    <n v="3465"/>
    <n v="1"/>
    <n v="1"/>
  </r>
  <r>
    <m/>
    <m/>
    <x v="1"/>
    <s v="59804283001007"/>
    <n v="-35.33"/>
    <n v="2065"/>
    <n v="1"/>
    <n v="1"/>
  </r>
  <r>
    <m/>
    <m/>
    <x v="1"/>
    <s v="60058247006001"/>
    <n v="-14.05"/>
    <n v="821"/>
    <n v="1"/>
    <n v="1"/>
  </r>
  <r>
    <m/>
    <m/>
    <x v="1"/>
    <s v="60292201001002"/>
    <n v="-37.61"/>
    <n v="2198"/>
    <n v="1"/>
    <n v="1"/>
  </r>
  <r>
    <m/>
    <m/>
    <x v="1"/>
    <s v="60682907001001"/>
    <n v="-31.7"/>
    <n v="1853"/>
    <n v="1"/>
    <n v="1"/>
  </r>
  <r>
    <m/>
    <m/>
    <x v="1"/>
    <s v="60850163002001"/>
    <n v="-34.29"/>
    <n v="2004"/>
    <n v="1"/>
    <n v="1"/>
  </r>
  <r>
    <m/>
    <m/>
    <x v="1"/>
    <s v="60891092001002"/>
    <n v="-38.549999999999997"/>
    <n v="2253"/>
    <n v="1"/>
    <n v="1"/>
  </r>
  <r>
    <m/>
    <m/>
    <x v="1"/>
    <s v="60944617001001"/>
    <n v="-22.72"/>
    <n v="1328"/>
    <n v="1"/>
    <n v="1"/>
  </r>
  <r>
    <m/>
    <m/>
    <x v="1"/>
    <s v="61431302001001"/>
    <n v="-12.58"/>
    <n v="735"/>
    <n v="1"/>
    <n v="1"/>
  </r>
  <r>
    <m/>
    <m/>
    <x v="1"/>
    <s v="61432189003001"/>
    <n v="-12.58"/>
    <n v="735"/>
    <n v="1"/>
    <n v="1"/>
  </r>
  <r>
    <m/>
    <m/>
    <x v="1"/>
    <s v="61517595001002"/>
    <n v="-24.01"/>
    <n v="1403"/>
    <n v="1"/>
    <n v="1"/>
  </r>
  <r>
    <m/>
    <m/>
    <x v="1"/>
    <s v="61559391001001"/>
    <n v="-30.66"/>
    <n v="1792"/>
    <n v="1"/>
    <n v="1"/>
  </r>
  <r>
    <m/>
    <m/>
    <x v="1"/>
    <s v="61618913001001"/>
    <n v="-32.42"/>
    <n v="1895"/>
    <n v="1"/>
    <n v="1"/>
  </r>
  <r>
    <m/>
    <m/>
    <x v="1"/>
    <s v="61677240001009"/>
    <n v="-63.73"/>
    <n v="3725"/>
    <n v="1"/>
    <n v="1"/>
  </r>
  <r>
    <m/>
    <m/>
    <x v="1"/>
    <s v="62003086001001"/>
    <n v="-31.19"/>
    <n v="1823"/>
    <n v="1"/>
    <n v="1"/>
  </r>
  <r>
    <m/>
    <m/>
    <x v="1"/>
    <s v="62112959003001"/>
    <n v="-39.71"/>
    <n v="2321"/>
    <n v="1"/>
    <n v="1"/>
  </r>
  <r>
    <m/>
    <m/>
    <x v="1"/>
    <s v="62125470001002"/>
    <n v="-32.17"/>
    <n v="1880"/>
    <n v="1"/>
    <n v="1"/>
  </r>
  <r>
    <m/>
    <m/>
    <x v="1"/>
    <s v="62139312001006"/>
    <n v="-24.36"/>
    <n v="1424"/>
    <n v="1"/>
    <n v="1"/>
  </r>
  <r>
    <m/>
    <m/>
    <x v="1"/>
    <s v="62235479001001"/>
    <n v="-13.67"/>
    <n v="799"/>
    <n v="1"/>
    <n v="1"/>
  </r>
  <r>
    <m/>
    <m/>
    <x v="1"/>
    <s v="62334129001003"/>
    <n v="-35.229999999999997"/>
    <n v="2059"/>
    <n v="1"/>
    <n v="1"/>
  </r>
  <r>
    <m/>
    <m/>
    <x v="1"/>
    <s v="62826325002002"/>
    <n v="-19.61"/>
    <n v="1146"/>
    <n v="1"/>
    <n v="1"/>
  </r>
  <r>
    <m/>
    <m/>
    <x v="1"/>
    <s v="62852130001002"/>
    <n v="-2"/>
    <n v="117"/>
    <n v="1"/>
    <n v="1"/>
  </r>
  <r>
    <m/>
    <m/>
    <x v="1"/>
    <s v="62941252001003"/>
    <n v="-36.36"/>
    <n v="2125"/>
    <n v="1"/>
    <n v="1"/>
  </r>
  <r>
    <m/>
    <m/>
    <x v="1"/>
    <s v="63101970001001"/>
    <n v="-6.64"/>
    <n v="388"/>
    <n v="1"/>
    <n v="1"/>
  </r>
  <r>
    <m/>
    <m/>
    <x v="1"/>
    <s v="63189646005005"/>
    <n v="-23.61"/>
    <n v="1380"/>
    <n v="1"/>
    <n v="1"/>
  </r>
  <r>
    <m/>
    <m/>
    <x v="1"/>
    <s v="63462936001004"/>
    <n v="-29.75"/>
    <n v="1739"/>
    <n v="1"/>
    <n v="1"/>
  </r>
  <r>
    <m/>
    <m/>
    <x v="1"/>
    <s v="63697179001006"/>
    <n v="-36.75"/>
    <n v="2148"/>
    <n v="1"/>
    <n v="1"/>
  </r>
  <r>
    <m/>
    <m/>
    <x v="1"/>
    <s v="64168501001006"/>
    <n v="-1.1299999999999999"/>
    <n v="66"/>
    <n v="1"/>
    <n v="1"/>
  </r>
  <r>
    <m/>
    <m/>
    <x v="1"/>
    <s v="64727466001005"/>
    <n v="-48.4"/>
    <n v="2829"/>
    <n v="1"/>
    <n v="1"/>
  </r>
  <r>
    <m/>
    <m/>
    <x v="1"/>
    <s v="64729708001001"/>
    <n v="-25.32"/>
    <n v="1480"/>
    <n v="1"/>
    <n v="1"/>
  </r>
  <r>
    <m/>
    <m/>
    <x v="1"/>
    <s v="65288119001001"/>
    <n v="-5.12"/>
    <n v="299"/>
    <n v="1"/>
    <n v="1"/>
  </r>
  <r>
    <m/>
    <m/>
    <x v="1"/>
    <s v="65349971001003"/>
    <n v="-26.13"/>
    <n v="1527"/>
    <n v="1"/>
    <n v="1"/>
  </r>
  <r>
    <m/>
    <m/>
    <x v="1"/>
    <s v="66083905003003"/>
    <n v="-17.93"/>
    <n v="1048"/>
    <n v="1"/>
    <n v="1"/>
  </r>
  <r>
    <m/>
    <m/>
    <x v="1"/>
    <s v="66442112001001"/>
    <n v="-19.149999999999999"/>
    <n v="1119"/>
    <n v="1"/>
    <n v="1"/>
  </r>
  <r>
    <m/>
    <m/>
    <x v="1"/>
    <s v="67059049001002"/>
    <n v="-29.63"/>
    <n v="1732"/>
    <n v="1"/>
    <n v="1"/>
  </r>
  <r>
    <m/>
    <m/>
    <x v="1"/>
    <s v="67069133001001"/>
    <n v="-11.38"/>
    <n v="665"/>
    <n v="1"/>
    <n v="1"/>
  </r>
  <r>
    <m/>
    <m/>
    <x v="1"/>
    <s v="67084260003001"/>
    <n v="-3.47"/>
    <n v="203"/>
    <n v="1"/>
    <n v="1"/>
  </r>
  <r>
    <m/>
    <m/>
    <x v="1"/>
    <s v="67090070001001"/>
    <n v="-23.61"/>
    <n v="1380"/>
    <n v="1"/>
    <n v="1"/>
  </r>
  <r>
    <m/>
    <m/>
    <x v="1"/>
    <s v="67118226001001"/>
    <n v="-13.86"/>
    <n v="810"/>
    <n v="1"/>
    <n v="1"/>
  </r>
  <r>
    <m/>
    <m/>
    <x v="1"/>
    <s v="67158334001001"/>
    <n v="-42.89"/>
    <n v="2507"/>
    <n v="1"/>
    <n v="1"/>
  </r>
  <r>
    <m/>
    <m/>
    <x v="1"/>
    <s v="67565406001001"/>
    <n v="-43.05"/>
    <n v="2516"/>
    <n v="1"/>
    <n v="1"/>
  </r>
  <r>
    <m/>
    <m/>
    <x v="1"/>
    <s v="67993777004001"/>
    <n v="-74.239999999999995"/>
    <n v="4339"/>
    <n v="1"/>
    <n v="1"/>
  </r>
  <r>
    <m/>
    <m/>
    <x v="1"/>
    <s v="68002987001001"/>
    <n v="-19.899999999999999"/>
    <n v="1163"/>
    <n v="1"/>
    <n v="1"/>
  </r>
  <r>
    <m/>
    <m/>
    <x v="1"/>
    <s v="68146157001004"/>
    <n v="-14.27"/>
    <n v="834"/>
    <n v="1"/>
    <n v="1"/>
  </r>
  <r>
    <m/>
    <m/>
    <x v="1"/>
    <s v="68156471001004"/>
    <n v="-16.73"/>
    <n v="978"/>
    <n v="1"/>
    <n v="1"/>
  </r>
  <r>
    <m/>
    <m/>
    <x v="1"/>
    <s v="68186045001001"/>
    <n v="-31.62"/>
    <n v="1848"/>
    <n v="1"/>
    <n v="1"/>
  </r>
  <r>
    <m/>
    <m/>
    <x v="1"/>
    <s v="68390041001001"/>
    <n v="-41.97"/>
    <n v="2453"/>
    <n v="1"/>
    <n v="1"/>
  </r>
  <r>
    <m/>
    <m/>
    <x v="1"/>
    <s v="68565772001001"/>
    <n v="-17.45"/>
    <n v="1020"/>
    <n v="1"/>
    <n v="1"/>
  </r>
  <r>
    <m/>
    <m/>
    <x v="1"/>
    <s v="69567080001004"/>
    <n v="-7.1"/>
    <n v="415"/>
    <n v="1"/>
    <n v="1"/>
  </r>
  <r>
    <m/>
    <m/>
    <x v="1"/>
    <s v="69589294001001"/>
    <n v="-18.84"/>
    <n v="1101"/>
    <n v="1"/>
    <n v="1"/>
  </r>
  <r>
    <m/>
    <m/>
    <x v="1"/>
    <s v="70119713001003"/>
    <n v="-27.29"/>
    <n v="1595"/>
    <n v="1"/>
    <n v="1"/>
  </r>
  <r>
    <m/>
    <m/>
    <x v="1"/>
    <s v="70262426002001"/>
    <n v="-22.6"/>
    <n v="1321"/>
    <n v="1"/>
    <n v="1"/>
  </r>
  <r>
    <m/>
    <m/>
    <x v="1"/>
    <s v="70262974001001"/>
    <n v="-9.6"/>
    <n v="561"/>
    <n v="1"/>
    <n v="1"/>
  </r>
  <r>
    <m/>
    <m/>
    <x v="1"/>
    <s v="70498831001001"/>
    <n v="-31.48"/>
    <n v="1840"/>
    <n v="1"/>
    <n v="1"/>
  </r>
  <r>
    <m/>
    <m/>
    <x v="1"/>
    <s v="70529428001001"/>
    <n v="-36.96"/>
    <n v="2160"/>
    <n v="1"/>
    <n v="1"/>
  </r>
  <r>
    <m/>
    <m/>
    <x v="1"/>
    <s v="70530404003001"/>
    <n v="-49.45"/>
    <n v="2890"/>
    <n v="1"/>
    <n v="1"/>
  </r>
  <r>
    <m/>
    <m/>
    <x v="1"/>
    <s v="70925378002003"/>
    <n v="-25.84"/>
    <n v="1510"/>
    <n v="1"/>
    <n v="1"/>
  </r>
  <r>
    <m/>
    <m/>
    <x v="1"/>
    <s v="71297342003003"/>
    <n v="-38.21"/>
    <n v="2233"/>
    <n v="1"/>
    <n v="1"/>
  </r>
  <r>
    <m/>
    <m/>
    <x v="1"/>
    <s v="71338480001002"/>
    <n v="-15.18"/>
    <n v="887"/>
    <n v="1"/>
    <n v="1"/>
  </r>
  <r>
    <m/>
    <m/>
    <x v="1"/>
    <s v="71361970001005"/>
    <n v="-15.07"/>
    <n v="881"/>
    <n v="1"/>
    <n v="1"/>
  </r>
  <r>
    <m/>
    <m/>
    <x v="1"/>
    <s v="71508543001001"/>
    <n v="-5.58"/>
    <n v="326"/>
    <n v="1"/>
    <n v="1"/>
  </r>
  <r>
    <m/>
    <m/>
    <x v="1"/>
    <s v="71751256001002"/>
    <n v="-34.43"/>
    <n v="2012"/>
    <n v="1"/>
    <n v="1"/>
  </r>
  <r>
    <m/>
    <m/>
    <x v="1"/>
    <s v="71822800001001"/>
    <n v="-51.54"/>
    <n v="3012"/>
    <n v="1"/>
    <n v="1"/>
  </r>
  <r>
    <m/>
    <m/>
    <x v="1"/>
    <s v="72330780003005"/>
    <n v="-17.73"/>
    <n v="1036"/>
    <n v="1"/>
    <n v="1"/>
  </r>
  <r>
    <m/>
    <m/>
    <x v="1"/>
    <s v="72332635001005"/>
    <n v="-39.18"/>
    <n v="2290"/>
    <n v="1"/>
    <n v="1"/>
  </r>
  <r>
    <m/>
    <m/>
    <x v="1"/>
    <s v="72706041002001"/>
    <n v="-36.29"/>
    <n v="2121"/>
    <n v="1"/>
    <n v="1"/>
  </r>
  <r>
    <m/>
    <m/>
    <x v="1"/>
    <s v="73001153001001"/>
    <n v="-10.18"/>
    <n v="595"/>
    <n v="1"/>
    <n v="1"/>
  </r>
  <r>
    <m/>
    <m/>
    <x v="1"/>
    <s v="73109393001001"/>
    <n v="-28.37"/>
    <n v="1658"/>
    <n v="1"/>
    <n v="1"/>
  </r>
  <r>
    <m/>
    <m/>
    <x v="1"/>
    <s v="73477303001003"/>
    <n v="-21.76"/>
    <n v="1272"/>
    <n v="1"/>
    <n v="1"/>
  </r>
  <r>
    <m/>
    <m/>
    <x v="1"/>
    <s v="73642053002003"/>
    <n v="-18.79"/>
    <n v="1098"/>
    <n v="1"/>
    <n v="1"/>
  </r>
  <r>
    <m/>
    <m/>
    <x v="1"/>
    <s v="73743305001005"/>
    <n v="-55.52"/>
    <n v="3245"/>
    <n v="1"/>
    <n v="1"/>
  </r>
  <r>
    <m/>
    <m/>
    <x v="1"/>
    <s v="73886879001005"/>
    <n v="-5.3"/>
    <n v="310"/>
    <n v="2"/>
    <n v="1"/>
  </r>
  <r>
    <m/>
    <m/>
    <x v="1"/>
    <s v="74039552001001"/>
    <n v="-18.02"/>
    <n v="1053"/>
    <n v="1"/>
    <n v="1"/>
  </r>
  <r>
    <m/>
    <m/>
    <x v="1"/>
    <s v="74101362001001"/>
    <n v="-35.71"/>
    <n v="2087"/>
    <n v="1"/>
    <n v="1"/>
  </r>
  <r>
    <m/>
    <m/>
    <x v="1"/>
    <s v="74632852001001"/>
    <n v="-39.64"/>
    <n v="2317"/>
    <n v="1"/>
    <n v="1"/>
  </r>
  <r>
    <m/>
    <m/>
    <x v="1"/>
    <s v="75178826001001"/>
    <n v="-6.21"/>
    <n v="363"/>
    <n v="1"/>
    <n v="1"/>
  </r>
  <r>
    <m/>
    <m/>
    <x v="1"/>
    <s v="75448417001001"/>
    <n v="-10.93"/>
    <n v="639"/>
    <n v="1"/>
    <n v="1"/>
  </r>
  <r>
    <m/>
    <m/>
    <x v="1"/>
    <s v="75492701001001"/>
    <n v="-24.95"/>
    <n v="1458"/>
    <n v="1"/>
    <n v="1"/>
  </r>
  <r>
    <m/>
    <m/>
    <x v="1"/>
    <s v="75544198001002"/>
    <n v="-27.19"/>
    <n v="1589"/>
    <n v="1"/>
    <n v="1"/>
  </r>
  <r>
    <m/>
    <m/>
    <x v="1"/>
    <s v="75558866002001"/>
    <n v="-43.61"/>
    <n v="2549"/>
    <n v="1"/>
    <n v="1"/>
  </r>
  <r>
    <m/>
    <m/>
    <x v="1"/>
    <s v="75795051001003"/>
    <n v="-1.69"/>
    <n v="99"/>
    <n v="1"/>
    <n v="1"/>
  </r>
  <r>
    <m/>
    <m/>
    <x v="1"/>
    <s v="76017664001001"/>
    <n v="-22.29"/>
    <n v="1303"/>
    <n v="1"/>
    <n v="1"/>
  </r>
  <r>
    <m/>
    <m/>
    <x v="1"/>
    <s v="76068750001001"/>
    <n v="-9.94"/>
    <n v="581"/>
    <n v="1"/>
    <n v="1"/>
  </r>
  <r>
    <m/>
    <m/>
    <x v="1"/>
    <s v="76170368001004"/>
    <n v="-5.8"/>
    <n v="339"/>
    <n v="1"/>
    <n v="1"/>
  </r>
  <r>
    <m/>
    <m/>
    <x v="1"/>
    <s v="76242332001003"/>
    <n v="-62.14"/>
    <n v="3632"/>
    <n v="1"/>
    <n v="1"/>
  </r>
  <r>
    <m/>
    <m/>
    <x v="1"/>
    <s v="76297115001001"/>
    <n v="-20.34"/>
    <n v="1189"/>
    <n v="1"/>
    <n v="1"/>
  </r>
  <r>
    <m/>
    <m/>
    <x v="1"/>
    <s v="76559936001004"/>
    <n v="-10.01"/>
    <n v="585"/>
    <n v="1"/>
    <n v="1"/>
  </r>
  <r>
    <m/>
    <m/>
    <x v="1"/>
    <s v="76670454001001"/>
    <n v="-51.89"/>
    <n v="3033"/>
    <n v="1"/>
    <n v="1"/>
  </r>
  <r>
    <m/>
    <m/>
    <x v="1"/>
    <s v="77153785002001"/>
    <n v="-51.76"/>
    <n v="3025"/>
    <n v="1"/>
    <n v="1"/>
  </r>
  <r>
    <m/>
    <m/>
    <x v="1"/>
    <s v="77633291001003"/>
    <n v="-28.85"/>
    <n v="1686"/>
    <n v="1"/>
    <n v="1"/>
  </r>
  <r>
    <m/>
    <m/>
    <x v="1"/>
    <s v="78306458001001"/>
    <n v="-27.5"/>
    <n v="1607"/>
    <n v="1"/>
    <n v="1"/>
  </r>
  <r>
    <m/>
    <m/>
    <x v="1"/>
    <s v="78817750001002"/>
    <n v="-22.24"/>
    <n v="1300"/>
    <n v="1"/>
    <n v="1"/>
  </r>
  <r>
    <m/>
    <m/>
    <x v="1"/>
    <s v="79582962004003"/>
    <n v="-40.89"/>
    <n v="2390"/>
    <n v="1"/>
    <n v="1"/>
  </r>
  <r>
    <m/>
    <m/>
    <x v="1"/>
    <s v="79620926001001"/>
    <n v="-44.33"/>
    <n v="2591"/>
    <n v="1"/>
    <n v="1"/>
  </r>
  <r>
    <m/>
    <m/>
    <x v="1"/>
    <s v="79989931001001"/>
    <n v="-17.739999999999998"/>
    <n v="1037"/>
    <n v="1"/>
    <n v="1"/>
  </r>
  <r>
    <m/>
    <m/>
    <x v="1"/>
    <s v="80116530001006"/>
    <n v="-94.21"/>
    <n v="5506"/>
    <n v="1"/>
    <n v="1"/>
  </r>
  <r>
    <m/>
    <m/>
    <x v="1"/>
    <s v="80270144001001"/>
    <n v="-15.45"/>
    <n v="903"/>
    <n v="1"/>
    <n v="1"/>
  </r>
  <r>
    <m/>
    <m/>
    <x v="1"/>
    <s v="80293559001001"/>
    <n v="-22.14"/>
    <n v="1294"/>
    <n v="1"/>
    <n v="1"/>
  </r>
  <r>
    <m/>
    <m/>
    <x v="1"/>
    <s v="80867382002003"/>
    <n v="-24.84"/>
    <n v="1452"/>
    <n v="1"/>
    <n v="1"/>
  </r>
  <r>
    <m/>
    <m/>
    <x v="1"/>
    <s v="81209957003001"/>
    <n v="-41.51"/>
    <n v="2426"/>
    <n v="1"/>
    <n v="1"/>
  </r>
  <r>
    <m/>
    <m/>
    <x v="1"/>
    <s v="81964610001001"/>
    <n v="-47.39"/>
    <n v="2770"/>
    <n v="1"/>
    <n v="1"/>
  </r>
  <r>
    <m/>
    <m/>
    <x v="1"/>
    <s v="82247199001001"/>
    <n v="-8.67"/>
    <n v="507"/>
    <n v="1"/>
    <n v="1"/>
  </r>
  <r>
    <m/>
    <m/>
    <x v="1"/>
    <s v="82371195001001"/>
    <n v="-2.29"/>
    <n v="134"/>
    <n v="1"/>
    <n v="1"/>
  </r>
  <r>
    <m/>
    <m/>
    <x v="1"/>
    <s v="82689503003001"/>
    <n v="-87.6"/>
    <n v="5120"/>
    <n v="1"/>
    <n v="1"/>
  </r>
  <r>
    <m/>
    <m/>
    <x v="1"/>
    <s v="82844671001002"/>
    <n v="-78.81"/>
    <n v="4606"/>
    <n v="1"/>
    <n v="1"/>
  </r>
  <r>
    <m/>
    <m/>
    <x v="1"/>
    <s v="82916281002001"/>
    <n v="-23.73"/>
    <n v="1387"/>
    <n v="1"/>
    <n v="1"/>
  </r>
  <r>
    <m/>
    <m/>
    <x v="1"/>
    <s v="83010955001001"/>
    <n v="-6.91"/>
    <n v="404"/>
    <n v="1"/>
    <n v="1"/>
  </r>
  <r>
    <m/>
    <m/>
    <x v="1"/>
    <s v="83624396002001"/>
    <n v="-29.89"/>
    <n v="1747"/>
    <n v="1"/>
    <n v="1"/>
  </r>
  <r>
    <m/>
    <m/>
    <x v="1"/>
    <s v="83648881001001"/>
    <n v="-38.700000000000003"/>
    <n v="2262"/>
    <n v="1"/>
    <n v="1"/>
  </r>
  <r>
    <m/>
    <m/>
    <x v="1"/>
    <s v="84301238001003"/>
    <n v="-55.93"/>
    <n v="3269"/>
    <n v="1"/>
    <n v="1"/>
  </r>
  <r>
    <m/>
    <m/>
    <x v="1"/>
    <s v="84586349003003"/>
    <n v="-37.33"/>
    <n v="2182"/>
    <n v="1"/>
    <n v="1"/>
  </r>
  <r>
    <m/>
    <m/>
    <x v="1"/>
    <s v="84749539001001"/>
    <n v="-27.8"/>
    <n v="1625"/>
    <n v="1"/>
    <n v="1"/>
  </r>
  <r>
    <m/>
    <m/>
    <x v="1"/>
    <s v="84764694001005"/>
    <n v="-9.43"/>
    <n v="551"/>
    <n v="1"/>
    <n v="1"/>
  </r>
  <r>
    <m/>
    <m/>
    <x v="1"/>
    <s v="84768096001002"/>
    <n v="-56.51"/>
    <n v="3303"/>
    <n v="1"/>
    <n v="1"/>
  </r>
  <r>
    <m/>
    <m/>
    <x v="1"/>
    <s v="84934447001001"/>
    <n v="-28.98"/>
    <n v="1694"/>
    <n v="1"/>
    <n v="1"/>
  </r>
  <r>
    <m/>
    <m/>
    <x v="1"/>
    <s v="85004567002008"/>
    <n v="-40.11"/>
    <n v="2344"/>
    <n v="1"/>
    <n v="1"/>
  </r>
  <r>
    <m/>
    <m/>
    <x v="1"/>
    <s v="85155127001002"/>
    <n v="-38.6"/>
    <n v="2256"/>
    <n v="1"/>
    <n v="1"/>
  </r>
  <r>
    <m/>
    <m/>
    <x v="1"/>
    <s v="85317612001007"/>
    <n v="-22.07"/>
    <n v="1290"/>
    <n v="1"/>
    <n v="1"/>
  </r>
  <r>
    <m/>
    <m/>
    <x v="1"/>
    <s v="85581047001001"/>
    <n v="-45.68"/>
    <n v="2670"/>
    <n v="1"/>
    <n v="1"/>
  </r>
  <r>
    <m/>
    <m/>
    <x v="1"/>
    <s v="85785045001005"/>
    <n v="-81.2"/>
    <n v="4746"/>
    <n v="1"/>
    <n v="1"/>
  </r>
  <r>
    <m/>
    <m/>
    <x v="1"/>
    <s v="85839072001001"/>
    <n v="-33.950000000000003"/>
    <n v="1984"/>
    <n v="1"/>
    <n v="1"/>
  </r>
  <r>
    <m/>
    <m/>
    <x v="1"/>
    <s v="86296772001001"/>
    <n v="-35.74"/>
    <n v="2089"/>
    <n v="1"/>
    <n v="1"/>
  </r>
  <r>
    <m/>
    <m/>
    <x v="1"/>
    <s v="86363752001001"/>
    <n v="-24.16"/>
    <n v="1412"/>
    <n v="1"/>
    <n v="1"/>
  </r>
  <r>
    <m/>
    <m/>
    <x v="1"/>
    <s v="86381411001001"/>
    <n v="-31.36"/>
    <n v="1833"/>
    <n v="1"/>
    <n v="1"/>
  </r>
  <r>
    <m/>
    <m/>
    <x v="1"/>
    <s v="86518069001001"/>
    <n v="-13.59"/>
    <n v="794"/>
    <n v="1"/>
    <n v="1"/>
  </r>
  <r>
    <m/>
    <m/>
    <x v="1"/>
    <s v="87452134001003"/>
    <n v="-43.25"/>
    <n v="2528"/>
    <n v="1"/>
    <n v="1"/>
  </r>
  <r>
    <m/>
    <m/>
    <x v="1"/>
    <s v="87989600001003"/>
    <n v="-48.37"/>
    <n v="2827"/>
    <n v="1"/>
    <n v="1"/>
  </r>
  <r>
    <m/>
    <m/>
    <x v="1"/>
    <s v="88770508001006"/>
    <n v="-17.850000000000001"/>
    <n v="1043"/>
    <n v="1"/>
    <n v="1"/>
  </r>
  <r>
    <m/>
    <m/>
    <x v="1"/>
    <s v="88847370001001"/>
    <n v="-7.87"/>
    <n v="460"/>
    <n v="1"/>
    <n v="1"/>
  </r>
  <r>
    <m/>
    <m/>
    <x v="1"/>
    <s v="89520809001009"/>
    <n v="-36.14"/>
    <n v="2112"/>
    <n v="1"/>
    <n v="1"/>
  </r>
  <r>
    <m/>
    <m/>
    <x v="1"/>
    <s v="89599726001001"/>
    <n v="-33.42"/>
    <n v="1953"/>
    <n v="1"/>
    <n v="1"/>
  </r>
  <r>
    <m/>
    <m/>
    <x v="1"/>
    <s v="89709361001001"/>
    <n v="-26.74"/>
    <n v="1563"/>
    <n v="1"/>
    <n v="1"/>
  </r>
  <r>
    <m/>
    <m/>
    <x v="1"/>
    <s v="89718018001006"/>
    <n v="-4.5999999999999996"/>
    <n v="269"/>
    <n v="1"/>
    <n v="1"/>
  </r>
  <r>
    <m/>
    <m/>
    <x v="1"/>
    <s v="89879353001001"/>
    <n v="-7.19"/>
    <n v="420"/>
    <n v="1"/>
    <n v="1"/>
  </r>
  <r>
    <m/>
    <m/>
    <x v="1"/>
    <s v="89987541001001"/>
    <n v="-13.14"/>
    <n v="768"/>
    <n v="1"/>
    <n v="1"/>
  </r>
  <r>
    <m/>
    <m/>
    <x v="1"/>
    <s v="90516824001003"/>
    <n v="-28.3"/>
    <n v="1654"/>
    <n v="1"/>
    <n v="1"/>
  </r>
  <r>
    <m/>
    <m/>
    <x v="1"/>
    <s v="90651605001001"/>
    <n v="-29.29"/>
    <n v="1712"/>
    <n v="1"/>
    <n v="1"/>
  </r>
  <r>
    <m/>
    <m/>
    <x v="1"/>
    <s v="90805481002003"/>
    <n v="-54.07"/>
    <n v="3160"/>
    <n v="1"/>
    <n v="1"/>
  </r>
  <r>
    <m/>
    <m/>
    <x v="1"/>
    <s v="90958989001001"/>
    <n v="-50.94"/>
    <n v="2977"/>
    <n v="1"/>
    <n v="1"/>
  </r>
  <r>
    <m/>
    <m/>
    <x v="1"/>
    <s v="91304285001001"/>
    <n v="-35.43"/>
    <n v="2071"/>
    <n v="1"/>
    <n v="1"/>
  </r>
  <r>
    <m/>
    <m/>
    <x v="1"/>
    <s v="91666691002003"/>
    <n v="-75.180000000000007"/>
    <n v="4394"/>
    <n v="1"/>
    <n v="1"/>
  </r>
  <r>
    <m/>
    <m/>
    <x v="1"/>
    <s v="91750195001001"/>
    <n v="-21.88"/>
    <n v="1279"/>
    <n v="1"/>
    <n v="1"/>
  </r>
  <r>
    <m/>
    <m/>
    <x v="1"/>
    <s v="91792182001002"/>
    <n v="-38.119999999999997"/>
    <n v="2228"/>
    <n v="1"/>
    <n v="1"/>
  </r>
  <r>
    <m/>
    <m/>
    <x v="1"/>
    <s v="91817189001007"/>
    <n v="-26.86"/>
    <n v="1570"/>
    <n v="1"/>
    <n v="1"/>
  </r>
  <r>
    <m/>
    <m/>
    <x v="1"/>
    <s v="91907331002001"/>
    <n v="-22.33"/>
    <n v="1305"/>
    <n v="1"/>
    <n v="1"/>
  </r>
  <r>
    <m/>
    <m/>
    <x v="1"/>
    <s v="91939028001001"/>
    <n v="-8.4700000000000006"/>
    <n v="495"/>
    <n v="1"/>
    <n v="1"/>
  </r>
  <r>
    <m/>
    <m/>
    <x v="1"/>
    <s v="92573504001002"/>
    <n v="-29.53"/>
    <n v="1726"/>
    <n v="1"/>
    <n v="1"/>
  </r>
  <r>
    <m/>
    <m/>
    <x v="1"/>
    <s v="92602233001001"/>
    <n v="-51.5"/>
    <n v="3010"/>
    <n v="1"/>
    <n v="1"/>
  </r>
  <r>
    <m/>
    <m/>
    <x v="1"/>
    <s v="92711390001001"/>
    <n v="-26.35"/>
    <n v="1540"/>
    <n v="1"/>
    <n v="1"/>
  </r>
  <r>
    <m/>
    <m/>
    <x v="1"/>
    <s v="92914807001001"/>
    <n v="-14.3"/>
    <n v="836"/>
    <n v="1"/>
    <n v="1"/>
  </r>
  <r>
    <m/>
    <m/>
    <x v="1"/>
    <s v="93208083001001"/>
    <n v="-42.24"/>
    <n v="2469"/>
    <n v="1"/>
    <n v="1"/>
  </r>
  <r>
    <m/>
    <m/>
    <x v="1"/>
    <s v="93293830001004"/>
    <n v="-21.47"/>
    <n v="1255"/>
    <n v="1"/>
    <n v="1"/>
  </r>
  <r>
    <m/>
    <m/>
    <x v="1"/>
    <s v="93767754001003"/>
    <n v="-32.71"/>
    <n v="1912"/>
    <n v="1"/>
    <n v="1"/>
  </r>
  <r>
    <m/>
    <m/>
    <x v="1"/>
    <s v="93793236001001"/>
    <n v="-44.04"/>
    <n v="2574"/>
    <n v="1"/>
    <n v="1"/>
  </r>
  <r>
    <m/>
    <m/>
    <x v="1"/>
    <s v="94236722001001"/>
    <n v="-44.55"/>
    <n v="2604"/>
    <n v="1"/>
    <n v="1"/>
  </r>
  <r>
    <m/>
    <m/>
    <x v="1"/>
    <s v="94634126001001"/>
    <n v="-34.549999999999997"/>
    <n v="2019"/>
    <n v="1"/>
    <n v="1"/>
  </r>
  <r>
    <m/>
    <m/>
    <x v="1"/>
    <s v="94684058001001"/>
    <n v="-23.82"/>
    <n v="1392"/>
    <n v="1"/>
    <n v="1"/>
  </r>
  <r>
    <m/>
    <m/>
    <x v="1"/>
    <s v="94938062001001"/>
    <n v="-45.55"/>
    <n v="2662"/>
    <n v="1"/>
    <n v="1"/>
  </r>
  <r>
    <m/>
    <m/>
    <x v="1"/>
    <s v="95342054001001"/>
    <n v="-62.08"/>
    <n v="3628"/>
    <n v="1"/>
    <n v="1"/>
  </r>
  <r>
    <m/>
    <m/>
    <x v="1"/>
    <s v="95347210001001"/>
    <n v="-23.51"/>
    <n v="1374"/>
    <n v="1"/>
    <n v="1"/>
  </r>
  <r>
    <m/>
    <m/>
    <x v="1"/>
    <s v="95431402002004"/>
    <n v="-9.0500000000000007"/>
    <n v="529"/>
    <n v="1"/>
    <n v="1"/>
  </r>
  <r>
    <m/>
    <m/>
    <x v="1"/>
    <s v="95527245001004"/>
    <n v="-23.2"/>
    <n v="1356"/>
    <n v="1"/>
    <n v="1"/>
  </r>
  <r>
    <m/>
    <m/>
    <x v="1"/>
    <s v="95581312001002"/>
    <n v="-44.62"/>
    <n v="2608"/>
    <n v="1"/>
    <n v="1"/>
  </r>
  <r>
    <m/>
    <m/>
    <x v="1"/>
    <s v="95646960001001"/>
    <n v="-32.71"/>
    <n v="1912"/>
    <n v="1"/>
    <n v="1"/>
  </r>
  <r>
    <m/>
    <m/>
    <x v="1"/>
    <s v="95952271001001"/>
    <n v="-19.52"/>
    <n v="1141"/>
    <n v="1"/>
    <n v="1"/>
  </r>
  <r>
    <m/>
    <m/>
    <x v="1"/>
    <s v="95991535001001"/>
    <n v="-20.84"/>
    <n v="1218"/>
    <n v="1"/>
    <n v="1"/>
  </r>
  <r>
    <m/>
    <m/>
    <x v="1"/>
    <s v="96042645001001"/>
    <n v="-11.86"/>
    <n v="693"/>
    <n v="1"/>
    <n v="1"/>
  </r>
  <r>
    <m/>
    <m/>
    <x v="1"/>
    <s v="96156710001002"/>
    <n v="-42.72"/>
    <n v="2497"/>
    <n v="1"/>
    <n v="1"/>
  </r>
  <r>
    <m/>
    <m/>
    <x v="1"/>
    <s v="96186430001005"/>
    <n v="-10.86"/>
    <n v="635"/>
    <n v="1"/>
    <n v="1"/>
  </r>
  <r>
    <m/>
    <m/>
    <x v="1"/>
    <s v="96258552001004"/>
    <n v="-15.28"/>
    <n v="893"/>
    <n v="1"/>
    <n v="1"/>
  </r>
  <r>
    <m/>
    <m/>
    <x v="1"/>
    <s v="96306013001003"/>
    <n v="-9.1"/>
    <n v="532"/>
    <n v="1"/>
    <n v="1"/>
  </r>
  <r>
    <m/>
    <m/>
    <x v="1"/>
    <s v="96369039001001"/>
    <n v="-53.18"/>
    <n v="3108"/>
    <n v="1"/>
    <n v="1"/>
  </r>
  <r>
    <m/>
    <m/>
    <x v="1"/>
    <s v="96386777001002"/>
    <n v="-25.41"/>
    <n v="1485"/>
    <n v="1"/>
    <n v="1"/>
  </r>
  <r>
    <m/>
    <m/>
    <x v="1"/>
    <s v="96472741002003"/>
    <n v="-17.899999999999999"/>
    <n v="1046"/>
    <n v="1"/>
    <n v="1"/>
  </r>
  <r>
    <m/>
    <m/>
    <x v="1"/>
    <s v="96478184001006"/>
    <n v="-12.13"/>
    <n v="709"/>
    <n v="1"/>
    <n v="1"/>
  </r>
  <r>
    <m/>
    <m/>
    <x v="1"/>
    <s v="96578754001001"/>
    <n v="-17.329999999999998"/>
    <n v="1013"/>
    <n v="1"/>
    <n v="1"/>
  </r>
  <r>
    <m/>
    <m/>
    <x v="1"/>
    <s v="96898983001001"/>
    <n v="-20.94"/>
    <n v="1224"/>
    <n v="1"/>
    <n v="1"/>
  </r>
  <r>
    <m/>
    <m/>
    <x v="1"/>
    <s v="96949041001001"/>
    <n v="-21.4"/>
    <n v="1251"/>
    <n v="1"/>
    <n v="1"/>
  </r>
  <r>
    <m/>
    <m/>
    <x v="1"/>
    <s v="96986090001001"/>
    <n v="-31.6"/>
    <n v="1847"/>
    <n v="1"/>
    <n v="1"/>
  </r>
  <r>
    <m/>
    <m/>
    <x v="1"/>
    <s v="97071150001005"/>
    <n v="-2.02"/>
    <n v="118"/>
    <n v="1"/>
    <n v="1"/>
  </r>
  <r>
    <m/>
    <m/>
    <x v="1"/>
    <s v="97390409001005"/>
    <n v="-4.3099999999999996"/>
    <n v="252"/>
    <n v="1"/>
    <n v="1"/>
  </r>
  <r>
    <m/>
    <m/>
    <x v="1"/>
    <s v="97521847001001"/>
    <n v="-21.37"/>
    <n v="1249"/>
    <n v="1"/>
    <n v="1"/>
  </r>
  <r>
    <m/>
    <m/>
    <x v="1"/>
    <s v="97919016001004"/>
    <n v="-31.6"/>
    <n v="1847"/>
    <n v="1"/>
    <n v="1"/>
  </r>
  <r>
    <m/>
    <m/>
    <x v="1"/>
    <s v="98004963001002"/>
    <n v="-45.29"/>
    <n v="2647"/>
    <n v="1"/>
    <n v="1"/>
  </r>
  <r>
    <m/>
    <m/>
    <x v="1"/>
    <s v="98150139003001"/>
    <n v="-33.4"/>
    <n v="1952"/>
    <n v="1"/>
    <n v="1"/>
  </r>
  <r>
    <m/>
    <m/>
    <x v="1"/>
    <s v="98185698002001"/>
    <n v="-59.01"/>
    <n v="3449"/>
    <n v="1"/>
    <n v="1"/>
  </r>
  <r>
    <m/>
    <m/>
    <x v="1"/>
    <s v="98256974001001"/>
    <n v="-20.69"/>
    <n v="1209"/>
    <n v="1"/>
    <n v="1"/>
  </r>
  <r>
    <m/>
    <m/>
    <x v="1"/>
    <s v="98323580001002"/>
    <n v="-25.92"/>
    <n v="1515"/>
    <n v="1"/>
    <n v="1"/>
  </r>
  <r>
    <m/>
    <m/>
    <x v="1"/>
    <s v="98330170002001"/>
    <n v="-8.5"/>
    <n v="497"/>
    <n v="1"/>
    <n v="1"/>
  </r>
  <r>
    <m/>
    <m/>
    <x v="1"/>
    <s v="98514689005003"/>
    <n v="-26.47"/>
    <n v="1547"/>
    <n v="1"/>
    <n v="1"/>
  </r>
  <r>
    <m/>
    <m/>
    <x v="1"/>
    <s v="98734416001003"/>
    <n v="-17.809999999999999"/>
    <n v="1041"/>
    <n v="1"/>
    <n v="1"/>
  </r>
  <r>
    <m/>
    <m/>
    <x v="1"/>
    <s v="98928729005009"/>
    <n v="-30.51"/>
    <n v="1783"/>
    <n v="1"/>
    <n v="1"/>
  </r>
  <r>
    <m/>
    <m/>
    <x v="1"/>
    <s v="99017658001003"/>
    <n v="-19.11"/>
    <n v="1117"/>
    <n v="1"/>
    <n v="1"/>
  </r>
  <r>
    <m/>
    <m/>
    <x v="1"/>
    <s v="99088785001001"/>
    <n v="-32.94"/>
    <n v="1925"/>
    <n v="1"/>
    <n v="1"/>
  </r>
  <r>
    <m/>
    <m/>
    <x v="1"/>
    <s v="99558695001002"/>
    <n v="-34.17"/>
    <n v="1997"/>
    <n v="1"/>
    <n v="1"/>
  </r>
  <r>
    <m/>
    <m/>
    <x v="1"/>
    <s v="99831171001001"/>
    <n v="-67.17"/>
    <n v="3926"/>
    <n v="1"/>
    <n v="1"/>
  </r>
  <r>
    <m/>
    <m/>
    <x v="1"/>
    <s v="99960737001001"/>
    <n v="-31.79"/>
    <n v="1858"/>
    <n v="1"/>
    <n v="1"/>
  </r>
  <r>
    <m/>
    <m/>
    <x v="2"/>
    <m/>
    <n v="-23864.829999999984"/>
    <n v="1394801"/>
    <n v="800"/>
    <n v="797"/>
  </r>
  <r>
    <m/>
    <m/>
    <x v="3"/>
    <s v="00416718001001"/>
    <n v="-61.14"/>
    <n v="2233"/>
    <n v="1"/>
    <n v="1"/>
  </r>
  <r>
    <m/>
    <m/>
    <x v="1"/>
    <s v="00438452001003"/>
    <n v="-10.65"/>
    <n v="389"/>
    <n v="1"/>
    <n v="1"/>
  </r>
  <r>
    <m/>
    <m/>
    <x v="1"/>
    <s v="00595168001001"/>
    <n v="-13.99"/>
    <n v="511"/>
    <n v="1"/>
    <n v="1"/>
  </r>
  <r>
    <m/>
    <m/>
    <x v="1"/>
    <s v="00620929001002"/>
    <n v="-50.16"/>
    <n v="1832"/>
    <n v="1"/>
    <n v="1"/>
  </r>
  <r>
    <m/>
    <m/>
    <x v="1"/>
    <s v="00973908002001"/>
    <n v="-74.61"/>
    <n v="2725"/>
    <n v="1"/>
    <n v="1"/>
  </r>
  <r>
    <m/>
    <m/>
    <x v="1"/>
    <s v="01012035001003"/>
    <n v="-70.64"/>
    <n v="2580"/>
    <n v="1"/>
    <n v="1"/>
  </r>
  <r>
    <m/>
    <m/>
    <x v="1"/>
    <s v="01423270002001"/>
    <n v="-41.7"/>
    <n v="1523"/>
    <n v="1"/>
    <n v="1"/>
  </r>
  <r>
    <m/>
    <m/>
    <x v="1"/>
    <s v="01763049004003"/>
    <n v="-10.38"/>
    <n v="379"/>
    <n v="1"/>
    <n v="1"/>
  </r>
  <r>
    <m/>
    <m/>
    <x v="1"/>
    <s v="01775038001002"/>
    <n v="-79.510000000000005"/>
    <n v="2904"/>
    <n v="1"/>
    <n v="1"/>
  </r>
  <r>
    <m/>
    <m/>
    <x v="1"/>
    <s v="01883451001001"/>
    <n v="-51.83"/>
    <n v="1893"/>
    <n v="1"/>
    <n v="1"/>
  </r>
  <r>
    <m/>
    <m/>
    <x v="1"/>
    <s v="01933876002003"/>
    <n v="-58.16"/>
    <n v="2124"/>
    <n v="1"/>
    <n v="1"/>
  </r>
  <r>
    <m/>
    <m/>
    <x v="1"/>
    <s v="02249862002005"/>
    <n v="-45.4"/>
    <n v="1658"/>
    <n v="1"/>
    <n v="1"/>
  </r>
  <r>
    <m/>
    <m/>
    <x v="1"/>
    <s v="02309710001002"/>
    <n v="-23.68"/>
    <n v="865"/>
    <n v="1"/>
    <n v="1"/>
  </r>
  <r>
    <m/>
    <m/>
    <x v="1"/>
    <s v="02319140001001"/>
    <n v="-16.32"/>
    <n v="596"/>
    <n v="1"/>
    <n v="1"/>
  </r>
  <r>
    <m/>
    <m/>
    <x v="1"/>
    <s v="02382323002001"/>
    <n v="-59.63"/>
    <n v="2178"/>
    <n v="1"/>
    <n v="1"/>
  </r>
  <r>
    <m/>
    <m/>
    <x v="1"/>
    <s v="02483331001001"/>
    <n v="-30.17"/>
    <n v="1102"/>
    <n v="1"/>
    <n v="1"/>
  </r>
  <r>
    <m/>
    <m/>
    <x v="1"/>
    <s v="02523107001004"/>
    <n v="-33.270000000000003"/>
    <n v="1215"/>
    <n v="1"/>
    <n v="1"/>
  </r>
  <r>
    <m/>
    <m/>
    <x v="1"/>
    <s v="02596530001006"/>
    <n v="-35.729999999999997"/>
    <n v="1305"/>
    <n v="1"/>
    <n v="1"/>
  </r>
  <r>
    <m/>
    <m/>
    <x v="1"/>
    <s v="02622939001003"/>
    <n v="-61.44"/>
    <n v="2244"/>
    <n v="1"/>
    <n v="1"/>
  </r>
  <r>
    <m/>
    <m/>
    <x v="1"/>
    <s v="02625530001001"/>
    <n v="-13.83"/>
    <n v="505"/>
    <n v="1"/>
    <n v="1"/>
  </r>
  <r>
    <m/>
    <m/>
    <x v="1"/>
    <s v="02761318001001"/>
    <n v="-28.53"/>
    <n v="1042"/>
    <n v="1"/>
    <n v="1"/>
  </r>
  <r>
    <m/>
    <m/>
    <x v="1"/>
    <s v="02788965005001"/>
    <n v="-123.35"/>
    <n v="4505"/>
    <n v="1"/>
    <n v="1"/>
  </r>
  <r>
    <m/>
    <m/>
    <x v="1"/>
    <s v="02975140001002"/>
    <n v="-16.02"/>
    <n v="585"/>
    <n v="1"/>
    <n v="1"/>
  </r>
  <r>
    <m/>
    <m/>
    <x v="1"/>
    <s v="03289754002001"/>
    <n v="-66.510000000000005"/>
    <n v="2429"/>
    <n v="1"/>
    <n v="1"/>
  </r>
  <r>
    <m/>
    <m/>
    <x v="1"/>
    <s v="03351704002008"/>
    <n v="-28.09"/>
    <n v="1026"/>
    <n v="1"/>
    <n v="1"/>
  </r>
  <r>
    <m/>
    <m/>
    <x v="1"/>
    <s v="03379746001001"/>
    <n v="-52.35"/>
    <n v="1912"/>
    <n v="1"/>
    <n v="1"/>
  </r>
  <r>
    <m/>
    <m/>
    <x v="1"/>
    <s v="03428866001001"/>
    <n v="-39.590000000000003"/>
    <n v="1446"/>
    <n v="1"/>
    <n v="1"/>
  </r>
  <r>
    <m/>
    <m/>
    <x v="1"/>
    <s v="03494646001002"/>
    <n v="-17.14"/>
    <n v="626"/>
    <n v="1"/>
    <n v="1"/>
  </r>
  <r>
    <m/>
    <m/>
    <x v="1"/>
    <s v="03713233001002"/>
    <n v="-50.27"/>
    <n v="1836"/>
    <n v="1"/>
    <n v="1"/>
  </r>
  <r>
    <m/>
    <m/>
    <x v="1"/>
    <s v="03747754003001"/>
    <n v="-11.44"/>
    <n v="418"/>
    <n v="1"/>
    <n v="1"/>
  </r>
  <r>
    <m/>
    <m/>
    <x v="1"/>
    <s v="03765771001003"/>
    <n v="-69.87"/>
    <n v="2552"/>
    <n v="1"/>
    <n v="1"/>
  </r>
  <r>
    <m/>
    <m/>
    <x v="1"/>
    <s v="03931679001001"/>
    <n v="-62.26"/>
    <n v="2274"/>
    <n v="1"/>
    <n v="1"/>
  </r>
  <r>
    <m/>
    <m/>
    <x v="1"/>
    <s v="03953360002003"/>
    <n v="-27.24"/>
    <n v="995"/>
    <n v="1"/>
    <n v="1"/>
  </r>
  <r>
    <m/>
    <m/>
    <x v="1"/>
    <s v="04036291001005"/>
    <n v="-30.47"/>
    <n v="1113"/>
    <n v="1"/>
    <n v="1"/>
  </r>
  <r>
    <m/>
    <m/>
    <x v="1"/>
    <s v="04139605001002"/>
    <n v="-27.68"/>
    <n v="1011"/>
    <n v="1"/>
    <n v="1"/>
  </r>
  <r>
    <m/>
    <m/>
    <x v="1"/>
    <s v="04235477001011"/>
    <n v="-41.54"/>
    <n v="1517"/>
    <n v="1"/>
    <n v="1"/>
  </r>
  <r>
    <m/>
    <m/>
    <x v="1"/>
    <s v="04330395001006"/>
    <n v="-41.56"/>
    <n v="1518"/>
    <n v="1"/>
    <n v="1"/>
  </r>
  <r>
    <m/>
    <m/>
    <x v="1"/>
    <s v="04587647002001"/>
    <n v="-52.32"/>
    <n v="1911"/>
    <n v="1"/>
    <n v="1"/>
  </r>
  <r>
    <m/>
    <m/>
    <x v="1"/>
    <s v="04891223001003"/>
    <n v="-30.88"/>
    <n v="1128"/>
    <n v="1"/>
    <n v="1"/>
  </r>
  <r>
    <m/>
    <m/>
    <x v="1"/>
    <s v="05077769001001"/>
    <n v="-30.83"/>
    <n v="1126"/>
    <n v="1"/>
    <n v="1"/>
  </r>
  <r>
    <m/>
    <m/>
    <x v="1"/>
    <s v="05133842001004"/>
    <n v="-3.34"/>
    <n v="122"/>
    <n v="1"/>
    <n v="1"/>
  </r>
  <r>
    <m/>
    <m/>
    <x v="1"/>
    <s v="05169515001001"/>
    <n v="-21.9"/>
    <n v="800"/>
    <n v="1"/>
    <n v="1"/>
  </r>
  <r>
    <m/>
    <m/>
    <x v="1"/>
    <s v="05415666001005"/>
    <n v="-42.11"/>
    <n v="1538"/>
    <n v="1"/>
    <n v="1"/>
  </r>
  <r>
    <m/>
    <m/>
    <x v="1"/>
    <s v="05776636001001"/>
    <n v="-68.83"/>
    <n v="2514"/>
    <n v="1"/>
    <n v="1"/>
  </r>
  <r>
    <m/>
    <m/>
    <x v="1"/>
    <s v="05861722001003"/>
    <n v="-24.12"/>
    <n v="881"/>
    <n v="1"/>
    <n v="1"/>
  </r>
  <r>
    <m/>
    <m/>
    <x v="1"/>
    <s v="06014943001001"/>
    <n v="-33.57"/>
    <n v="1226"/>
    <n v="1"/>
    <n v="1"/>
  </r>
  <r>
    <m/>
    <m/>
    <x v="1"/>
    <s v="06437475001006"/>
    <n v="-47.53"/>
    <n v="1736"/>
    <n v="1"/>
    <n v="1"/>
  </r>
  <r>
    <m/>
    <m/>
    <x v="1"/>
    <s v="06563369001001"/>
    <n v="-42.47"/>
    <n v="1551"/>
    <n v="1"/>
    <n v="1"/>
  </r>
  <r>
    <m/>
    <m/>
    <x v="1"/>
    <s v="06651048001002"/>
    <n v="-86.52"/>
    <n v="3160"/>
    <n v="1"/>
    <n v="1"/>
  </r>
  <r>
    <m/>
    <m/>
    <x v="1"/>
    <s v="06659459001005"/>
    <n v="-47.48"/>
    <n v="1734"/>
    <n v="1"/>
    <n v="1"/>
  </r>
  <r>
    <m/>
    <m/>
    <x v="1"/>
    <s v="06740214001001"/>
    <n v="-26.26"/>
    <n v="959"/>
    <n v="1"/>
    <n v="1"/>
  </r>
  <r>
    <m/>
    <m/>
    <x v="1"/>
    <s v="06785690001004"/>
    <n v="-7.67"/>
    <n v="280"/>
    <n v="1"/>
    <n v="1"/>
  </r>
  <r>
    <m/>
    <m/>
    <x v="1"/>
    <s v="06840429001001"/>
    <n v="-44.41"/>
    <n v="1622"/>
    <n v="1"/>
    <n v="1"/>
  </r>
  <r>
    <m/>
    <m/>
    <x v="1"/>
    <s v="06870862001001"/>
    <n v="-50.08"/>
    <n v="1829"/>
    <n v="1"/>
    <n v="1"/>
  </r>
  <r>
    <m/>
    <m/>
    <x v="1"/>
    <s v="07031800001002"/>
    <n v="-23.46"/>
    <n v="857"/>
    <n v="1"/>
    <n v="1"/>
  </r>
  <r>
    <m/>
    <m/>
    <x v="1"/>
    <s v="07270859001004"/>
    <n v="-28.8"/>
    <n v="1052"/>
    <n v="1"/>
    <n v="1"/>
  </r>
  <r>
    <m/>
    <m/>
    <x v="1"/>
    <s v="07299621001001"/>
    <n v="-45.2"/>
    <n v="1651"/>
    <n v="1"/>
    <n v="1"/>
  </r>
  <r>
    <m/>
    <m/>
    <x v="1"/>
    <s v="07782109001001"/>
    <n v="-50.84"/>
    <n v="1857"/>
    <n v="1"/>
    <n v="1"/>
  </r>
  <r>
    <m/>
    <m/>
    <x v="1"/>
    <s v="08005911001002"/>
    <n v="-69.650000000000006"/>
    <n v="2544"/>
    <n v="1"/>
    <n v="1"/>
  </r>
  <r>
    <m/>
    <m/>
    <x v="1"/>
    <s v="08008932001009"/>
    <n v="-82.96"/>
    <n v="3030"/>
    <n v="1"/>
    <n v="1"/>
  </r>
  <r>
    <m/>
    <m/>
    <x v="1"/>
    <s v="08263254001001"/>
    <n v="-42.17"/>
    <n v="1540"/>
    <n v="1"/>
    <n v="1"/>
  </r>
  <r>
    <m/>
    <m/>
    <x v="1"/>
    <s v="08352681002008"/>
    <n v="-47.59"/>
    <n v="1738"/>
    <n v="1"/>
    <n v="1"/>
  </r>
  <r>
    <m/>
    <m/>
    <x v="1"/>
    <s v="08567574001005"/>
    <n v="-34.06"/>
    <n v="1244"/>
    <n v="1"/>
    <n v="1"/>
  </r>
  <r>
    <m/>
    <m/>
    <x v="1"/>
    <s v="08598891001001"/>
    <n v="-21.44"/>
    <n v="783"/>
    <n v="1"/>
    <n v="1"/>
  </r>
  <r>
    <m/>
    <m/>
    <x v="1"/>
    <s v="08606353001001"/>
    <n v="-50.57"/>
    <n v="1847"/>
    <n v="1"/>
    <n v="1"/>
  </r>
  <r>
    <m/>
    <m/>
    <x v="1"/>
    <s v="08685884001001"/>
    <n v="-15.31"/>
    <n v="559"/>
    <n v="1"/>
    <n v="1"/>
  </r>
  <r>
    <m/>
    <m/>
    <x v="1"/>
    <s v="08985843002001"/>
    <n v="-100.57"/>
    <n v="3673"/>
    <n v="1"/>
    <n v="1"/>
  </r>
  <r>
    <m/>
    <m/>
    <x v="1"/>
    <s v="09159151001002"/>
    <n v="-79.02"/>
    <n v="2886"/>
    <n v="1"/>
    <n v="1"/>
  </r>
  <r>
    <m/>
    <m/>
    <x v="1"/>
    <s v="09321662001006"/>
    <n v="-54.13"/>
    <n v="1977"/>
    <n v="1"/>
    <n v="1"/>
  </r>
  <r>
    <m/>
    <m/>
    <x v="1"/>
    <s v="09554541001001"/>
    <n v="-49.01"/>
    <n v="1790"/>
    <n v="1"/>
    <n v="1"/>
  </r>
  <r>
    <m/>
    <m/>
    <x v="1"/>
    <s v="09912352001004"/>
    <n v="-22.48"/>
    <n v="821"/>
    <n v="1"/>
    <n v="1"/>
  </r>
  <r>
    <m/>
    <m/>
    <x v="1"/>
    <s v="10182549001001"/>
    <n v="-80.959999999999994"/>
    <n v="2957"/>
    <n v="1"/>
    <n v="1"/>
  </r>
  <r>
    <m/>
    <m/>
    <x v="1"/>
    <s v="10246525001001"/>
    <n v="-83.65"/>
    <n v="3055"/>
    <n v="1"/>
    <n v="1"/>
  </r>
  <r>
    <m/>
    <m/>
    <x v="1"/>
    <s v="10301176001001"/>
    <n v="-13.28"/>
    <n v="485"/>
    <n v="1"/>
    <n v="1"/>
  </r>
  <r>
    <m/>
    <m/>
    <x v="1"/>
    <s v="10344859001004"/>
    <n v="-0.77"/>
    <n v="28"/>
    <n v="1"/>
    <n v="1"/>
  </r>
  <r>
    <m/>
    <m/>
    <x v="1"/>
    <s v="10394731002001"/>
    <n v="-14.21"/>
    <n v="519"/>
    <n v="1"/>
    <n v="1"/>
  </r>
  <r>
    <m/>
    <m/>
    <x v="1"/>
    <s v="10559503001001"/>
    <n v="-57.74"/>
    <n v="2109"/>
    <n v="1"/>
    <n v="1"/>
  </r>
  <r>
    <m/>
    <m/>
    <x v="1"/>
    <s v="10636126001004"/>
    <n v="-28.15"/>
    <n v="1028"/>
    <n v="1"/>
    <n v="1"/>
  </r>
  <r>
    <m/>
    <m/>
    <x v="1"/>
    <s v="10678960001002"/>
    <n v="-27.46"/>
    <n v="1003"/>
    <n v="1"/>
    <n v="1"/>
  </r>
  <r>
    <m/>
    <m/>
    <x v="1"/>
    <s v="10818393001003"/>
    <n v="-21.14"/>
    <n v="772"/>
    <n v="1"/>
    <n v="1"/>
  </r>
  <r>
    <m/>
    <m/>
    <x v="1"/>
    <s v="10998604001001"/>
    <n v="-3.67"/>
    <n v="134"/>
    <n v="1"/>
    <n v="1"/>
  </r>
  <r>
    <m/>
    <m/>
    <x v="1"/>
    <s v="11044266002005"/>
    <n v="-77.400000000000006"/>
    <n v="2827"/>
    <n v="1"/>
    <n v="1"/>
  </r>
  <r>
    <m/>
    <m/>
    <x v="1"/>
    <s v="11073517001003"/>
    <n v="-24.64"/>
    <n v="900"/>
    <n v="1"/>
    <n v="1"/>
  </r>
  <r>
    <m/>
    <m/>
    <x v="1"/>
    <s v="11266870001001"/>
    <n v="-13.58"/>
    <n v="496"/>
    <n v="1"/>
    <n v="1"/>
  </r>
  <r>
    <m/>
    <m/>
    <x v="1"/>
    <s v="11438471001002"/>
    <n v="-38.74"/>
    <n v="1415"/>
    <n v="1"/>
    <n v="1"/>
  </r>
  <r>
    <m/>
    <m/>
    <x v="1"/>
    <s v="11905162001002"/>
    <n v="-5.07"/>
    <n v="185"/>
    <n v="1"/>
    <n v="1"/>
  </r>
  <r>
    <m/>
    <m/>
    <x v="1"/>
    <s v="11918881001001"/>
    <n v="-28.72"/>
    <n v="1049"/>
    <n v="1"/>
    <n v="1"/>
  </r>
  <r>
    <m/>
    <m/>
    <x v="1"/>
    <s v="11937030001007"/>
    <n v="-22.59"/>
    <n v="825"/>
    <n v="1"/>
    <n v="1"/>
  </r>
  <r>
    <m/>
    <m/>
    <x v="1"/>
    <s v="11968828001003"/>
    <n v="-37.89"/>
    <n v="1384"/>
    <n v="1"/>
    <n v="1"/>
  </r>
  <r>
    <m/>
    <m/>
    <x v="1"/>
    <s v="12157176001003"/>
    <n v="-14.57"/>
    <n v="532"/>
    <n v="1"/>
    <n v="1"/>
  </r>
  <r>
    <m/>
    <m/>
    <x v="1"/>
    <s v="12568170001002"/>
    <n v="-50.21"/>
    <n v="1834"/>
    <n v="1"/>
    <n v="1"/>
  </r>
  <r>
    <m/>
    <m/>
    <x v="1"/>
    <s v="12823849001003"/>
    <n v="-45.72"/>
    <n v="1670"/>
    <n v="1"/>
    <n v="1"/>
  </r>
  <r>
    <m/>
    <m/>
    <x v="1"/>
    <s v="12836175001001"/>
    <n v="-96.49"/>
    <n v="3524"/>
    <n v="1"/>
    <n v="1"/>
  </r>
  <r>
    <m/>
    <m/>
    <x v="1"/>
    <s v="12968693001002"/>
    <n v="-32.17"/>
    <n v="1175"/>
    <n v="1"/>
    <n v="1"/>
  </r>
  <r>
    <m/>
    <m/>
    <x v="1"/>
    <s v="13064786005003"/>
    <n v="-24.78"/>
    <n v="905"/>
    <n v="1"/>
    <n v="1"/>
  </r>
  <r>
    <m/>
    <m/>
    <x v="1"/>
    <s v="13147069001001"/>
    <n v="-40"/>
    <n v="1461"/>
    <n v="1"/>
    <n v="1"/>
  </r>
  <r>
    <m/>
    <m/>
    <x v="1"/>
    <s v="13184132001003"/>
    <n v="-50.02"/>
    <n v="1827"/>
    <n v="1"/>
    <n v="1"/>
  </r>
  <r>
    <m/>
    <m/>
    <x v="1"/>
    <s v="13343334001004"/>
    <n v="-14.26"/>
    <n v="521"/>
    <n v="1"/>
    <n v="1"/>
  </r>
  <r>
    <m/>
    <m/>
    <x v="1"/>
    <s v="13493838001002"/>
    <n v="-68.37"/>
    <n v="2497"/>
    <n v="1"/>
    <n v="1"/>
  </r>
  <r>
    <m/>
    <m/>
    <x v="1"/>
    <s v="13573194001001"/>
    <n v="-82.66"/>
    <n v="3019"/>
    <n v="1"/>
    <n v="1"/>
  </r>
  <r>
    <m/>
    <m/>
    <x v="1"/>
    <s v="13623153001006"/>
    <n v="-108.12"/>
    <n v="3949"/>
    <n v="1"/>
    <n v="1"/>
  </r>
  <r>
    <m/>
    <m/>
    <x v="1"/>
    <s v="13653453001001"/>
    <n v="-63.63"/>
    <n v="2324"/>
    <n v="1"/>
    <n v="1"/>
  </r>
  <r>
    <m/>
    <m/>
    <x v="1"/>
    <s v="13942590001005"/>
    <n v="-38.72"/>
    <n v="1414"/>
    <n v="1"/>
    <n v="1"/>
  </r>
  <r>
    <m/>
    <m/>
    <x v="1"/>
    <s v="14223962001009"/>
    <n v="-31.4"/>
    <n v="1147"/>
    <n v="1"/>
    <n v="1"/>
  </r>
  <r>
    <m/>
    <m/>
    <x v="1"/>
    <s v="14986800001003"/>
    <n v="-33.950000000000003"/>
    <n v="1240"/>
    <n v="1"/>
    <n v="1"/>
  </r>
  <r>
    <m/>
    <m/>
    <x v="1"/>
    <s v="15113741003003"/>
    <n v="-24.34"/>
    <n v="889"/>
    <n v="1"/>
    <n v="1"/>
  </r>
  <r>
    <m/>
    <m/>
    <x v="1"/>
    <s v="15120810001001"/>
    <n v="-14.54"/>
    <n v="531"/>
    <n v="1"/>
    <n v="1"/>
  </r>
  <r>
    <m/>
    <m/>
    <x v="1"/>
    <s v="15150196001001"/>
    <n v="-47.48"/>
    <n v="1734"/>
    <n v="1"/>
    <n v="1"/>
  </r>
  <r>
    <m/>
    <m/>
    <x v="1"/>
    <s v="15171809001001"/>
    <n v="-50.68"/>
    <n v="1851"/>
    <n v="1"/>
    <n v="1"/>
  </r>
  <r>
    <m/>
    <m/>
    <x v="1"/>
    <s v="15330418003001"/>
    <n v="-44.38"/>
    <n v="1621"/>
    <n v="1"/>
    <n v="1"/>
  </r>
  <r>
    <m/>
    <m/>
    <x v="1"/>
    <s v="15433507001001"/>
    <n v="-10.68"/>
    <n v="390"/>
    <n v="1"/>
    <n v="1"/>
  </r>
  <r>
    <m/>
    <m/>
    <x v="1"/>
    <s v="15769056001001"/>
    <n v="-39.32"/>
    <n v="1436"/>
    <n v="1"/>
    <n v="1"/>
  </r>
  <r>
    <m/>
    <m/>
    <x v="1"/>
    <s v="15908468001001"/>
    <n v="-66.42"/>
    <n v="2426"/>
    <n v="1"/>
    <n v="1"/>
  </r>
  <r>
    <m/>
    <m/>
    <x v="1"/>
    <s v="15945184001001"/>
    <n v="-21.55"/>
    <n v="787"/>
    <n v="1"/>
    <n v="1"/>
  </r>
  <r>
    <m/>
    <m/>
    <x v="1"/>
    <s v="16709268001002"/>
    <n v="-47.59"/>
    <n v="1738"/>
    <n v="1"/>
    <n v="1"/>
  </r>
  <r>
    <m/>
    <m/>
    <x v="1"/>
    <s v="16954651006001"/>
    <n v="-14.48"/>
    <n v="529"/>
    <n v="1"/>
    <n v="1"/>
  </r>
  <r>
    <m/>
    <m/>
    <x v="1"/>
    <s v="16955898001003"/>
    <n v="-34.69"/>
    <n v="1267"/>
    <n v="1"/>
    <n v="1"/>
  </r>
  <r>
    <m/>
    <m/>
    <x v="1"/>
    <s v="17064549001001"/>
    <n v="-67.25"/>
    <n v="2456"/>
    <n v="1"/>
    <n v="1"/>
  </r>
  <r>
    <m/>
    <m/>
    <x v="1"/>
    <s v="17163815001001"/>
    <n v="-50.27"/>
    <n v="1836"/>
    <n v="1"/>
    <n v="1"/>
  </r>
  <r>
    <m/>
    <m/>
    <x v="1"/>
    <s v="17540542001001"/>
    <n v="-79.95"/>
    <n v="2920"/>
    <n v="1"/>
    <n v="1"/>
  </r>
  <r>
    <m/>
    <m/>
    <x v="1"/>
    <s v="17581646001002"/>
    <n v="-8.3000000000000007"/>
    <n v="303"/>
    <n v="1"/>
    <n v="1"/>
  </r>
  <r>
    <m/>
    <m/>
    <x v="1"/>
    <s v="18002664001003"/>
    <n v="-25"/>
    <n v="913"/>
    <n v="1"/>
    <n v="1"/>
  </r>
  <r>
    <m/>
    <m/>
    <x v="1"/>
    <s v="18140709001008"/>
    <n v="-50.21"/>
    <n v="1834"/>
    <n v="1"/>
    <n v="1"/>
  </r>
  <r>
    <m/>
    <m/>
    <x v="1"/>
    <s v="18387937001003"/>
    <n v="-44.49"/>
    <n v="1625"/>
    <n v="1"/>
    <n v="1"/>
  </r>
  <r>
    <m/>
    <m/>
    <x v="1"/>
    <s v="18508809001007"/>
    <n v="-58.35"/>
    <n v="2131"/>
    <n v="1"/>
    <n v="1"/>
  </r>
  <r>
    <m/>
    <m/>
    <x v="1"/>
    <s v="18519490001001"/>
    <n v="-104.56"/>
    <n v="3819"/>
    <n v="1"/>
    <n v="1"/>
  </r>
  <r>
    <m/>
    <m/>
    <x v="1"/>
    <s v="18598550001004"/>
    <n v="-16.95"/>
    <n v="619"/>
    <n v="1"/>
    <n v="1"/>
  </r>
  <r>
    <m/>
    <m/>
    <x v="1"/>
    <s v="18664424001003"/>
    <n v="-56.9"/>
    <n v="2078"/>
    <n v="1"/>
    <n v="1"/>
  </r>
  <r>
    <m/>
    <m/>
    <x v="1"/>
    <s v="18733572001003"/>
    <n v="-58.95"/>
    <n v="2153"/>
    <n v="1"/>
    <n v="1"/>
  </r>
  <r>
    <m/>
    <m/>
    <x v="1"/>
    <s v="18997905001003"/>
    <n v="-17.52"/>
    <n v="640"/>
    <n v="1"/>
    <n v="1"/>
  </r>
  <r>
    <m/>
    <m/>
    <x v="1"/>
    <s v="19156129001001"/>
    <n v="-41.04"/>
    <n v="1499"/>
    <n v="1"/>
    <n v="1"/>
  </r>
  <r>
    <m/>
    <m/>
    <x v="1"/>
    <s v="19264796002001"/>
    <n v="-51.64"/>
    <n v="1886"/>
    <n v="1"/>
    <n v="1"/>
  </r>
  <r>
    <m/>
    <m/>
    <x v="1"/>
    <s v="19605069001002"/>
    <n v="-82.82"/>
    <n v="3025"/>
    <n v="1"/>
    <n v="1"/>
  </r>
  <r>
    <m/>
    <m/>
    <x v="1"/>
    <s v="19625257001005"/>
    <n v="-98.87"/>
    <n v="3611"/>
    <n v="1"/>
    <n v="1"/>
  </r>
  <r>
    <m/>
    <m/>
    <x v="1"/>
    <s v="19726742004001"/>
    <n v="-11.03"/>
    <n v="403"/>
    <n v="1"/>
    <n v="1"/>
  </r>
  <r>
    <m/>
    <m/>
    <x v="1"/>
    <s v="20180113003001"/>
    <n v="-65.03"/>
    <n v="2375"/>
    <n v="1"/>
    <n v="1"/>
  </r>
  <r>
    <m/>
    <m/>
    <x v="1"/>
    <s v="20242520001001"/>
    <n v="-19.28"/>
    <n v="704"/>
    <n v="1"/>
    <n v="1"/>
  </r>
  <r>
    <m/>
    <m/>
    <x v="1"/>
    <s v="20263571001001"/>
    <n v="-27.05"/>
    <n v="988"/>
    <n v="1"/>
    <n v="1"/>
  </r>
  <r>
    <m/>
    <m/>
    <x v="1"/>
    <s v="20283219003003"/>
    <n v="-80.44"/>
    <n v="2938"/>
    <n v="1"/>
    <n v="1"/>
  </r>
  <r>
    <m/>
    <m/>
    <x v="1"/>
    <s v="20367566001001"/>
    <n v="-94.76"/>
    <n v="3461"/>
    <n v="1"/>
    <n v="1"/>
  </r>
  <r>
    <m/>
    <m/>
    <x v="1"/>
    <s v="20416812001003"/>
    <n v="-41.12"/>
    <n v="1502"/>
    <n v="1"/>
    <n v="1"/>
  </r>
  <r>
    <m/>
    <m/>
    <x v="1"/>
    <s v="20480851001001"/>
    <n v="-31.02"/>
    <n v="1133"/>
    <n v="1"/>
    <n v="1"/>
  </r>
  <r>
    <m/>
    <m/>
    <x v="1"/>
    <s v="20683934001002"/>
    <n v="-58.07"/>
    <n v="2121"/>
    <n v="1"/>
    <n v="1"/>
  </r>
  <r>
    <m/>
    <m/>
    <x v="1"/>
    <s v="20802406001001"/>
    <n v="-42"/>
    <n v="1534"/>
    <n v="1"/>
    <n v="1"/>
  </r>
  <r>
    <m/>
    <m/>
    <x v="1"/>
    <s v="21045838003008"/>
    <n v="-38.799999999999997"/>
    <n v="1417"/>
    <n v="1"/>
    <n v="1"/>
  </r>
  <r>
    <m/>
    <m/>
    <x v="1"/>
    <s v="21046205001001"/>
    <n v="-7.94"/>
    <n v="290"/>
    <n v="1"/>
    <n v="1"/>
  </r>
  <r>
    <m/>
    <m/>
    <x v="1"/>
    <s v="21219326001001"/>
    <n v="-156.88999999999999"/>
    <n v="5730"/>
    <n v="1"/>
    <n v="1"/>
  </r>
  <r>
    <m/>
    <m/>
    <x v="1"/>
    <s v="21418321004001"/>
    <n v="-10.76"/>
    <n v="393"/>
    <n v="1"/>
    <n v="1"/>
  </r>
  <r>
    <m/>
    <m/>
    <x v="1"/>
    <s v="21429755001006"/>
    <n v="-17.5"/>
    <n v="639"/>
    <n v="1"/>
    <n v="1"/>
  </r>
  <r>
    <m/>
    <m/>
    <x v="1"/>
    <s v="21530313001003"/>
    <n v="-29.79"/>
    <n v="1088"/>
    <n v="1"/>
    <n v="1"/>
  </r>
  <r>
    <m/>
    <m/>
    <x v="1"/>
    <s v="21555911001001"/>
    <n v="-56.29"/>
    <n v="2056"/>
    <n v="1"/>
    <n v="1"/>
  </r>
  <r>
    <m/>
    <m/>
    <x v="1"/>
    <s v="21809926001003"/>
    <n v="-29.82"/>
    <n v="1089"/>
    <n v="1"/>
    <n v="1"/>
  </r>
  <r>
    <m/>
    <m/>
    <x v="1"/>
    <s v="21943625001001"/>
    <n v="-34.5"/>
    <n v="1260"/>
    <n v="1"/>
    <n v="1"/>
  </r>
  <r>
    <m/>
    <m/>
    <x v="1"/>
    <s v="22064595001002"/>
    <n v="-30.91"/>
    <n v="1129"/>
    <n v="1"/>
    <n v="1"/>
  </r>
  <r>
    <m/>
    <m/>
    <x v="1"/>
    <s v="22106063002001"/>
    <n v="-46.87"/>
    <n v="1712"/>
    <n v="1"/>
    <n v="1"/>
  </r>
  <r>
    <m/>
    <m/>
    <x v="1"/>
    <s v="22380133001001"/>
    <n v="-58.07"/>
    <n v="2121"/>
    <n v="1"/>
    <n v="1"/>
  </r>
  <r>
    <m/>
    <m/>
    <x v="1"/>
    <s v="22617306001001"/>
    <n v="-36.31"/>
    <n v="1326"/>
    <n v="1"/>
    <n v="1"/>
  </r>
  <r>
    <m/>
    <m/>
    <x v="1"/>
    <s v="22642605006001"/>
    <n v="-112.72"/>
    <n v="4117"/>
    <n v="1"/>
    <n v="1"/>
  </r>
  <r>
    <m/>
    <m/>
    <x v="1"/>
    <s v="22784555001001"/>
    <n v="-41.15"/>
    <n v="1503"/>
    <n v="1"/>
    <n v="1"/>
  </r>
  <r>
    <m/>
    <m/>
    <x v="1"/>
    <s v="22793293001002"/>
    <n v="-15.58"/>
    <n v="569"/>
    <n v="1"/>
    <n v="1"/>
  </r>
  <r>
    <m/>
    <m/>
    <x v="1"/>
    <s v="22837225001002"/>
    <n v="-44.79"/>
    <n v="1636"/>
    <n v="1"/>
    <n v="1"/>
  </r>
  <r>
    <m/>
    <m/>
    <x v="1"/>
    <s v="23407345001001"/>
    <n v="-31.13"/>
    <n v="1137"/>
    <n v="1"/>
    <n v="1"/>
  </r>
  <r>
    <m/>
    <m/>
    <x v="1"/>
    <s v="23572773001002"/>
    <n v="-40.36"/>
    <n v="1474"/>
    <n v="1"/>
    <n v="1"/>
  </r>
  <r>
    <m/>
    <m/>
    <x v="1"/>
    <s v="24288214001003"/>
    <n v="-33.79"/>
    <n v="1234"/>
    <n v="1"/>
    <n v="1"/>
  </r>
  <r>
    <m/>
    <m/>
    <x v="1"/>
    <s v="24371486001001"/>
    <n v="-78.8"/>
    <n v="2878"/>
    <n v="1"/>
    <n v="1"/>
  </r>
  <r>
    <m/>
    <m/>
    <x v="1"/>
    <s v="24488041001001"/>
    <n v="-51.23"/>
    <n v="1871"/>
    <n v="1"/>
    <n v="1"/>
  </r>
  <r>
    <m/>
    <m/>
    <x v="1"/>
    <s v="24497890004003"/>
    <n v="-18.43"/>
    <n v="673"/>
    <n v="1"/>
    <n v="1"/>
  </r>
  <r>
    <m/>
    <m/>
    <x v="1"/>
    <s v="24516542001001"/>
    <n v="-21.52"/>
    <n v="786"/>
    <n v="1"/>
    <n v="1"/>
  </r>
  <r>
    <m/>
    <m/>
    <x v="1"/>
    <s v="24596484001001"/>
    <n v="-13.25"/>
    <n v="484"/>
    <n v="1"/>
    <n v="1"/>
  </r>
  <r>
    <m/>
    <m/>
    <x v="1"/>
    <s v="24717192001004"/>
    <n v="-29.05"/>
    <n v="1061"/>
    <n v="1"/>
    <n v="1"/>
  </r>
  <r>
    <m/>
    <m/>
    <x v="1"/>
    <s v="24897958001001"/>
    <n v="-26.48"/>
    <n v="967"/>
    <n v="1"/>
    <n v="1"/>
  </r>
  <r>
    <m/>
    <m/>
    <x v="1"/>
    <s v="25004556001001"/>
    <n v="-65.38"/>
    <n v="2388"/>
    <n v="1"/>
    <n v="1"/>
  </r>
  <r>
    <m/>
    <m/>
    <x v="1"/>
    <s v="25126731001002"/>
    <n v="-25.55"/>
    <n v="933"/>
    <n v="1"/>
    <n v="1"/>
  </r>
  <r>
    <m/>
    <m/>
    <x v="1"/>
    <s v="25549425001001"/>
    <n v="-90.49"/>
    <n v="3305"/>
    <n v="1"/>
    <n v="1"/>
  </r>
  <r>
    <m/>
    <m/>
    <x v="1"/>
    <s v="25577769001001"/>
    <n v="-13.94"/>
    <n v="509"/>
    <n v="1"/>
    <n v="1"/>
  </r>
  <r>
    <m/>
    <m/>
    <x v="1"/>
    <s v="25747866004001"/>
    <n v="-9.23"/>
    <n v="337"/>
    <n v="1"/>
    <n v="1"/>
  </r>
  <r>
    <m/>
    <m/>
    <x v="1"/>
    <s v="25782349001008"/>
    <n v="-4.5199999999999996"/>
    <n v="165"/>
    <n v="1"/>
    <n v="1"/>
  </r>
  <r>
    <m/>
    <m/>
    <x v="1"/>
    <s v="25810340001001"/>
    <n v="-83.26"/>
    <n v="3041"/>
    <n v="1"/>
    <n v="1"/>
  </r>
  <r>
    <m/>
    <m/>
    <x v="1"/>
    <s v="25915661001001"/>
    <n v="-58.7"/>
    <n v="2144"/>
    <n v="1"/>
    <n v="1"/>
  </r>
  <r>
    <m/>
    <m/>
    <x v="1"/>
    <s v="26083422001005"/>
    <n v="-21.74"/>
    <n v="794"/>
    <n v="1"/>
    <n v="1"/>
  </r>
  <r>
    <m/>
    <m/>
    <x v="1"/>
    <s v="26176102001007"/>
    <n v="-16.239999999999998"/>
    <n v="593"/>
    <n v="1"/>
    <n v="1"/>
  </r>
  <r>
    <m/>
    <m/>
    <x v="1"/>
    <s v="26300310001002"/>
    <n v="-10.32"/>
    <n v="377"/>
    <n v="1"/>
    <n v="1"/>
  </r>
  <r>
    <m/>
    <m/>
    <x v="1"/>
    <s v="26406770002001"/>
    <n v="-45.23"/>
    <n v="1652"/>
    <n v="1"/>
    <n v="1"/>
  </r>
  <r>
    <m/>
    <m/>
    <x v="1"/>
    <s v="26564429001001"/>
    <n v="-13.55"/>
    <n v="495"/>
    <n v="1"/>
    <n v="1"/>
  </r>
  <r>
    <m/>
    <m/>
    <x v="1"/>
    <s v="26702999001001"/>
    <n v="-51.97"/>
    <n v="1898"/>
    <n v="1"/>
    <n v="1"/>
  </r>
  <r>
    <m/>
    <m/>
    <x v="1"/>
    <s v="26826704001001"/>
    <n v="-89.92"/>
    <n v="3284"/>
    <n v="1"/>
    <n v="1"/>
  </r>
  <r>
    <m/>
    <m/>
    <x v="1"/>
    <s v="27356342001008"/>
    <n v="-36.17"/>
    <n v="1321"/>
    <n v="1"/>
    <n v="1"/>
  </r>
  <r>
    <m/>
    <m/>
    <x v="1"/>
    <s v="27378709001002"/>
    <n v="-68.2"/>
    <n v="2491"/>
    <n v="1"/>
    <n v="1"/>
  </r>
  <r>
    <m/>
    <m/>
    <x v="1"/>
    <s v="27492583001002"/>
    <n v="-16.260000000000002"/>
    <n v="594"/>
    <n v="1"/>
    <n v="1"/>
  </r>
  <r>
    <m/>
    <m/>
    <x v="1"/>
    <s v="27553023001001"/>
    <n v="-67.08"/>
    <n v="2450"/>
    <n v="1"/>
    <n v="1"/>
  </r>
  <r>
    <m/>
    <m/>
    <x v="1"/>
    <s v="27623010002002"/>
    <n v="-36.74"/>
    <n v="1342"/>
    <n v="1"/>
    <n v="1"/>
  </r>
  <r>
    <m/>
    <m/>
    <x v="1"/>
    <s v="27757021006001"/>
    <n v="-32.03"/>
    <n v="1170"/>
    <n v="1"/>
    <n v="1"/>
  </r>
  <r>
    <m/>
    <m/>
    <x v="1"/>
    <s v="27759845001003"/>
    <n v="-57.06"/>
    <n v="2084"/>
    <n v="1"/>
    <n v="1"/>
  </r>
  <r>
    <m/>
    <m/>
    <x v="1"/>
    <s v="27949688001001"/>
    <n v="-36"/>
    <n v="1315"/>
    <n v="1"/>
    <n v="1"/>
  </r>
  <r>
    <m/>
    <m/>
    <x v="1"/>
    <s v="27986038001001"/>
    <n v="-105.22"/>
    <n v="3843"/>
    <n v="1"/>
    <n v="1"/>
  </r>
  <r>
    <m/>
    <m/>
    <x v="1"/>
    <s v="27991196001001"/>
    <n v="-43.56"/>
    <n v="1591"/>
    <n v="1"/>
    <n v="1"/>
  </r>
  <r>
    <m/>
    <m/>
    <x v="1"/>
    <s v="28293045001006"/>
    <n v="-22.89"/>
    <n v="836"/>
    <n v="1"/>
    <n v="1"/>
  </r>
  <r>
    <m/>
    <m/>
    <x v="1"/>
    <s v="28477040001004"/>
    <n v="-25.6"/>
    <n v="935"/>
    <n v="1"/>
    <n v="1"/>
  </r>
  <r>
    <m/>
    <m/>
    <x v="1"/>
    <s v="28819742011001"/>
    <n v="-49.89"/>
    <n v="1822"/>
    <n v="1"/>
    <n v="1"/>
  </r>
  <r>
    <m/>
    <m/>
    <x v="1"/>
    <s v="28937856003001"/>
    <n v="-46.55"/>
    <n v="1700"/>
    <n v="1"/>
    <n v="1"/>
  </r>
  <r>
    <m/>
    <m/>
    <x v="1"/>
    <s v="29786462001001"/>
    <n v="-9.69"/>
    <n v="354"/>
    <n v="1"/>
    <n v="1"/>
  </r>
  <r>
    <m/>
    <m/>
    <x v="1"/>
    <s v="30127101002001"/>
    <n v="-19.850000000000001"/>
    <n v="725"/>
    <n v="1"/>
    <n v="1"/>
  </r>
  <r>
    <m/>
    <m/>
    <x v="1"/>
    <s v="30133433001001"/>
    <n v="-63.25"/>
    <n v="2310"/>
    <n v="1"/>
    <n v="1"/>
  </r>
  <r>
    <m/>
    <m/>
    <x v="1"/>
    <s v="30842696001001"/>
    <n v="-45.37"/>
    <n v="1657"/>
    <n v="1"/>
    <n v="1"/>
  </r>
  <r>
    <m/>
    <m/>
    <x v="1"/>
    <s v="31266211001004"/>
    <n v="-52.95"/>
    <n v="1934"/>
    <n v="1"/>
    <n v="1"/>
  </r>
  <r>
    <m/>
    <m/>
    <x v="1"/>
    <s v="31309940001001"/>
    <n v="-47.81"/>
    <n v="1746"/>
    <n v="1"/>
    <n v="1"/>
  </r>
  <r>
    <m/>
    <m/>
    <x v="1"/>
    <s v="31641990001004"/>
    <n v="-86.47"/>
    <n v="3158"/>
    <n v="1"/>
    <n v="1"/>
  </r>
  <r>
    <m/>
    <m/>
    <x v="1"/>
    <s v="31945371001001"/>
    <n v="-26.91"/>
    <n v="983"/>
    <n v="1"/>
    <n v="1"/>
  </r>
  <r>
    <m/>
    <m/>
    <x v="1"/>
    <s v="32202242001001"/>
    <n v="-13.58"/>
    <n v="496"/>
    <n v="1"/>
    <n v="1"/>
  </r>
  <r>
    <m/>
    <m/>
    <x v="1"/>
    <s v="33406654004008"/>
    <n v="-52.32"/>
    <n v="1911"/>
    <n v="1"/>
    <n v="1"/>
  </r>
  <r>
    <m/>
    <m/>
    <x v="1"/>
    <s v="33525943001003"/>
    <n v="-83.29"/>
    <n v="3042"/>
    <n v="1"/>
    <n v="1"/>
  </r>
  <r>
    <m/>
    <m/>
    <x v="1"/>
    <s v="33550060001001"/>
    <n v="-34.47"/>
    <n v="1259"/>
    <n v="1"/>
    <n v="1"/>
  </r>
  <r>
    <m/>
    <m/>
    <x v="1"/>
    <s v="33599323001007"/>
    <n v="-41.34"/>
    <n v="1510"/>
    <n v="1"/>
    <n v="1"/>
  </r>
  <r>
    <m/>
    <m/>
    <x v="1"/>
    <s v="33610753004001"/>
    <n v="-129.94999999999999"/>
    <n v="4746"/>
    <n v="1"/>
    <n v="1"/>
  </r>
  <r>
    <m/>
    <m/>
    <x v="1"/>
    <s v="33642246001005"/>
    <n v="-37.89"/>
    <n v="1384"/>
    <n v="1"/>
    <n v="1"/>
  </r>
  <r>
    <m/>
    <m/>
    <x v="1"/>
    <s v="33687453001001"/>
    <n v="-71.930000000000007"/>
    <n v="2627"/>
    <n v="1"/>
    <n v="1"/>
  </r>
  <r>
    <m/>
    <m/>
    <x v="1"/>
    <s v="33824960001003"/>
    <n v="-56.98"/>
    <n v="2081"/>
    <n v="1"/>
    <n v="1"/>
  </r>
  <r>
    <m/>
    <m/>
    <x v="1"/>
    <s v="33829956002003"/>
    <n v="-46.87"/>
    <n v="1712"/>
    <n v="1"/>
    <n v="1"/>
  </r>
  <r>
    <m/>
    <m/>
    <x v="1"/>
    <s v="33918140005001"/>
    <n v="-65.55"/>
    <n v="2394"/>
    <n v="1"/>
    <n v="1"/>
  </r>
  <r>
    <m/>
    <m/>
    <x v="1"/>
    <s v="34008436005001"/>
    <n v="-22.12"/>
    <n v="808"/>
    <n v="2"/>
    <n v="1"/>
  </r>
  <r>
    <m/>
    <m/>
    <x v="1"/>
    <s v="34024657001003"/>
    <n v="-113.3"/>
    <n v="4138"/>
    <n v="1"/>
    <n v="1"/>
  </r>
  <r>
    <m/>
    <m/>
    <x v="1"/>
    <s v="34181343001001"/>
    <n v="-52.76"/>
    <n v="1927"/>
    <n v="1"/>
    <n v="1"/>
  </r>
  <r>
    <m/>
    <m/>
    <x v="1"/>
    <s v="34302159001008"/>
    <n v="-0.96"/>
    <n v="35"/>
    <n v="1"/>
    <n v="1"/>
  </r>
  <r>
    <m/>
    <m/>
    <x v="1"/>
    <s v="34494485004001"/>
    <n v="-73.430000000000007"/>
    <n v="2682"/>
    <n v="1"/>
    <n v="1"/>
  </r>
  <r>
    <m/>
    <m/>
    <x v="1"/>
    <s v="34671364002001"/>
    <n v="-22.89"/>
    <n v="836"/>
    <n v="1"/>
    <n v="1"/>
  </r>
  <r>
    <m/>
    <m/>
    <x v="1"/>
    <s v="34758238001001"/>
    <n v="-33.57"/>
    <n v="1226"/>
    <n v="1"/>
    <n v="1"/>
  </r>
  <r>
    <m/>
    <m/>
    <x v="1"/>
    <s v="34795801001004"/>
    <n v="-9.34"/>
    <n v="341"/>
    <n v="1"/>
    <n v="1"/>
  </r>
  <r>
    <m/>
    <m/>
    <x v="1"/>
    <s v="34861184002001"/>
    <n v="-113.68"/>
    <n v="4152"/>
    <n v="1"/>
    <n v="1"/>
  </r>
  <r>
    <m/>
    <m/>
    <x v="1"/>
    <s v="34874155001002"/>
    <n v="-20.84"/>
    <n v="761"/>
    <n v="1"/>
    <n v="1"/>
  </r>
  <r>
    <m/>
    <m/>
    <x v="1"/>
    <s v="35253091001001"/>
    <n v="-92.79"/>
    <n v="3389"/>
    <n v="1"/>
    <n v="1"/>
  </r>
  <r>
    <m/>
    <m/>
    <x v="1"/>
    <s v="35317116001001"/>
    <n v="-35.049999999999997"/>
    <n v="1280"/>
    <n v="1"/>
    <n v="1"/>
  </r>
  <r>
    <m/>
    <m/>
    <x v="1"/>
    <s v="35345438001001"/>
    <n v="-24.53"/>
    <n v="896"/>
    <n v="1"/>
    <n v="1"/>
  </r>
  <r>
    <m/>
    <m/>
    <x v="1"/>
    <s v="35508083001003"/>
    <n v="-6.02"/>
    <n v="220"/>
    <n v="1"/>
    <n v="1"/>
  </r>
  <r>
    <m/>
    <m/>
    <x v="1"/>
    <s v="35696004001001"/>
    <n v="-66.94"/>
    <n v="2445"/>
    <n v="1"/>
    <n v="1"/>
  </r>
  <r>
    <m/>
    <m/>
    <x v="1"/>
    <s v="35906204001001"/>
    <n v="-2.25"/>
    <n v="82"/>
    <n v="1"/>
    <n v="1"/>
  </r>
  <r>
    <m/>
    <m/>
    <x v="1"/>
    <s v="35934041001007"/>
    <n v="-13.03"/>
    <n v="476"/>
    <n v="1"/>
    <n v="1"/>
  </r>
  <r>
    <m/>
    <m/>
    <x v="1"/>
    <s v="35958850001005"/>
    <n v="-22.26"/>
    <n v="813"/>
    <n v="1"/>
    <n v="1"/>
  </r>
  <r>
    <m/>
    <m/>
    <x v="1"/>
    <s v="35994242001002"/>
    <n v="-62.37"/>
    <n v="2278"/>
    <n v="1"/>
    <n v="1"/>
  </r>
  <r>
    <m/>
    <m/>
    <x v="1"/>
    <s v="36008083001001"/>
    <n v="-45.72"/>
    <n v="1670"/>
    <n v="1"/>
    <n v="1"/>
  </r>
  <r>
    <m/>
    <m/>
    <x v="1"/>
    <s v="36103245002011"/>
    <n v="-101.5"/>
    <n v="3707"/>
    <n v="1"/>
    <n v="1"/>
  </r>
  <r>
    <m/>
    <m/>
    <x v="1"/>
    <s v="36557126001001"/>
    <n v="-16.84"/>
    <n v="615"/>
    <n v="1"/>
    <n v="1"/>
  </r>
  <r>
    <m/>
    <m/>
    <x v="1"/>
    <s v="36713764001001"/>
    <n v="-44.88"/>
    <n v="1639"/>
    <n v="1"/>
    <n v="1"/>
  </r>
  <r>
    <m/>
    <m/>
    <x v="1"/>
    <s v="37389778001008"/>
    <n v="-9.14"/>
    <n v="334"/>
    <n v="1"/>
    <n v="1"/>
  </r>
  <r>
    <m/>
    <m/>
    <x v="1"/>
    <s v="37403625004001"/>
    <n v="-76.75"/>
    <n v="2803"/>
    <n v="1"/>
    <n v="1"/>
  </r>
  <r>
    <m/>
    <m/>
    <x v="1"/>
    <s v="37546855001001"/>
    <n v="-45.64"/>
    <n v="1667"/>
    <n v="1"/>
    <n v="1"/>
  </r>
  <r>
    <m/>
    <m/>
    <x v="1"/>
    <s v="37568875001003"/>
    <n v="-28.17"/>
    <n v="1029"/>
    <n v="1"/>
    <n v="1"/>
  </r>
  <r>
    <m/>
    <m/>
    <x v="1"/>
    <s v="37921865001003"/>
    <n v="-11.09"/>
    <n v="405"/>
    <n v="1"/>
    <n v="1"/>
  </r>
  <r>
    <m/>
    <m/>
    <x v="1"/>
    <s v="38003358004003"/>
    <n v="-39.619999999999997"/>
    <n v="1447"/>
    <n v="1"/>
    <n v="1"/>
  </r>
  <r>
    <m/>
    <m/>
    <x v="1"/>
    <s v="38014563001003"/>
    <n v="-78.64"/>
    <n v="2872"/>
    <n v="1"/>
    <n v="1"/>
  </r>
  <r>
    <m/>
    <m/>
    <x v="1"/>
    <s v="38132797001001"/>
    <n v="-95.8"/>
    <n v="3499"/>
    <n v="1"/>
    <n v="1"/>
  </r>
  <r>
    <m/>
    <m/>
    <x v="1"/>
    <s v="38161821001001"/>
    <n v="-4.24"/>
    <n v="155"/>
    <n v="1"/>
    <n v="1"/>
  </r>
  <r>
    <m/>
    <m/>
    <x v="1"/>
    <s v="38169778001001"/>
    <n v="-55.61"/>
    <n v="2031"/>
    <n v="1"/>
    <n v="1"/>
  </r>
  <r>
    <m/>
    <m/>
    <x v="1"/>
    <s v="38245625004003"/>
    <n v="-85.64"/>
    <n v="3128"/>
    <n v="1"/>
    <n v="1"/>
  </r>
  <r>
    <m/>
    <m/>
    <x v="1"/>
    <s v="38301543001001"/>
    <n v="-63.85"/>
    <n v="2332"/>
    <n v="1"/>
    <n v="1"/>
  </r>
  <r>
    <m/>
    <m/>
    <x v="1"/>
    <s v="38375971001010"/>
    <n v="-9.31"/>
    <n v="340"/>
    <n v="1"/>
    <n v="1"/>
  </r>
  <r>
    <m/>
    <m/>
    <x v="1"/>
    <s v="38431217001001"/>
    <n v="-55.94"/>
    <n v="2043"/>
    <n v="1"/>
    <n v="1"/>
  </r>
  <r>
    <m/>
    <m/>
    <x v="1"/>
    <s v="38815004001003"/>
    <n v="-64.430000000000007"/>
    <n v="2353"/>
    <n v="1"/>
    <n v="1"/>
  </r>
  <r>
    <m/>
    <m/>
    <x v="1"/>
    <s v="39158283001001"/>
    <n v="-25.35"/>
    <n v="926"/>
    <n v="1"/>
    <n v="1"/>
  </r>
  <r>
    <m/>
    <m/>
    <x v="1"/>
    <s v="39306286001005"/>
    <n v="-21.36"/>
    <n v="780"/>
    <n v="1"/>
    <n v="1"/>
  </r>
  <r>
    <m/>
    <m/>
    <x v="1"/>
    <s v="39314816001001"/>
    <n v="-7.2"/>
    <n v="263"/>
    <n v="1"/>
    <n v="1"/>
  </r>
  <r>
    <m/>
    <m/>
    <x v="1"/>
    <s v="39322194001002"/>
    <n v="-77.510000000000005"/>
    <n v="2831"/>
    <n v="1"/>
    <n v="1"/>
  </r>
  <r>
    <m/>
    <m/>
    <x v="1"/>
    <s v="39860007001003"/>
    <n v="-54.43"/>
    <n v="1988"/>
    <n v="1"/>
    <n v="1"/>
  </r>
  <r>
    <m/>
    <m/>
    <x v="1"/>
    <s v="40054017001004"/>
    <n v="-43.01"/>
    <n v="1571"/>
    <n v="1"/>
    <n v="1"/>
  </r>
  <r>
    <m/>
    <m/>
    <x v="1"/>
    <s v="40139824001001"/>
    <n v="-34.72"/>
    <n v="1268"/>
    <n v="1"/>
    <n v="1"/>
  </r>
  <r>
    <m/>
    <m/>
    <x v="1"/>
    <s v="40187844001001"/>
    <n v="-12.49"/>
    <n v="456"/>
    <n v="1"/>
    <n v="1"/>
  </r>
  <r>
    <m/>
    <m/>
    <x v="1"/>
    <s v="40302520001002"/>
    <n v="-12.29"/>
    <n v="449"/>
    <n v="1"/>
    <n v="1"/>
  </r>
  <r>
    <m/>
    <m/>
    <x v="1"/>
    <s v="40601469001003"/>
    <n v="-73.819999999999993"/>
    <n v="2696"/>
    <n v="1"/>
    <n v="1"/>
  </r>
  <r>
    <m/>
    <m/>
    <x v="1"/>
    <s v="40694900001003"/>
    <n v="-40.799999999999997"/>
    <n v="1490"/>
    <n v="1"/>
    <n v="1"/>
  </r>
  <r>
    <m/>
    <m/>
    <x v="1"/>
    <s v="40702084001003"/>
    <n v="-38.22"/>
    <n v="1396"/>
    <n v="1"/>
    <n v="1"/>
  </r>
  <r>
    <m/>
    <m/>
    <x v="1"/>
    <s v="40821513003001"/>
    <n v="-37.54"/>
    <n v="1371"/>
    <n v="1"/>
    <n v="1"/>
  </r>
  <r>
    <m/>
    <m/>
    <x v="1"/>
    <s v="40913214001003"/>
    <n v="-3.81"/>
    <n v="139"/>
    <n v="1"/>
    <n v="1"/>
  </r>
  <r>
    <m/>
    <m/>
    <x v="1"/>
    <s v="40919904001003"/>
    <n v="-18.29"/>
    <n v="668"/>
    <n v="1"/>
    <n v="1"/>
  </r>
  <r>
    <m/>
    <m/>
    <x v="1"/>
    <s v="40940003001003"/>
    <n v="-77.239999999999995"/>
    <n v="2821"/>
    <n v="1"/>
    <n v="1"/>
  </r>
  <r>
    <m/>
    <m/>
    <x v="1"/>
    <s v="41147142001001"/>
    <n v="-52.68"/>
    <n v="1924"/>
    <n v="1"/>
    <n v="1"/>
  </r>
  <r>
    <m/>
    <m/>
    <x v="1"/>
    <s v="41291991001001"/>
    <n v="-61.03"/>
    <n v="2229"/>
    <n v="1"/>
    <n v="1"/>
  </r>
  <r>
    <m/>
    <m/>
    <x v="1"/>
    <s v="41541188001001"/>
    <n v="-52.08"/>
    <n v="1902"/>
    <n v="1"/>
    <n v="1"/>
  </r>
  <r>
    <m/>
    <m/>
    <x v="1"/>
    <s v="41547054001001"/>
    <n v="-19.93"/>
    <n v="728"/>
    <n v="1"/>
    <n v="1"/>
  </r>
  <r>
    <m/>
    <m/>
    <x v="1"/>
    <s v="41547810001001"/>
    <n v="-8.49"/>
    <n v="310"/>
    <n v="1"/>
    <n v="1"/>
  </r>
  <r>
    <m/>
    <m/>
    <x v="1"/>
    <s v="41605082002003"/>
    <n v="-23.66"/>
    <n v="864"/>
    <n v="1"/>
    <n v="1"/>
  </r>
  <r>
    <m/>
    <m/>
    <x v="1"/>
    <s v="41690888001001"/>
    <n v="-3.78"/>
    <n v="138"/>
    <n v="1"/>
    <n v="1"/>
  </r>
  <r>
    <m/>
    <m/>
    <x v="1"/>
    <s v="42015855001008"/>
    <n v="-17.329999999999998"/>
    <n v="633"/>
    <n v="1"/>
    <n v="1"/>
  </r>
  <r>
    <m/>
    <m/>
    <x v="1"/>
    <s v="42053353001001"/>
    <n v="-48.33"/>
    <n v="1765"/>
    <n v="1"/>
    <n v="1"/>
  </r>
  <r>
    <m/>
    <m/>
    <x v="1"/>
    <s v="42073484003001"/>
    <n v="-63.66"/>
    <n v="2325"/>
    <n v="1"/>
    <n v="1"/>
  </r>
  <r>
    <m/>
    <m/>
    <x v="1"/>
    <s v="42099598001001"/>
    <n v="-36.17"/>
    <n v="1321"/>
    <n v="1"/>
    <n v="1"/>
  </r>
  <r>
    <m/>
    <m/>
    <x v="1"/>
    <s v="42453517001001"/>
    <n v="-39.1"/>
    <n v="1428"/>
    <n v="1"/>
    <n v="1"/>
  </r>
  <r>
    <m/>
    <m/>
    <x v="1"/>
    <s v="42490701001001"/>
    <n v="-8.43"/>
    <n v="308"/>
    <n v="1"/>
    <n v="1"/>
  </r>
  <r>
    <m/>
    <m/>
    <x v="1"/>
    <s v="42502321001005"/>
    <n v="-23.14"/>
    <n v="845"/>
    <n v="1"/>
    <n v="1"/>
  </r>
  <r>
    <m/>
    <m/>
    <x v="1"/>
    <s v="42503511001002"/>
    <n v="-39.869999999999997"/>
    <n v="1456"/>
    <n v="1"/>
    <n v="1"/>
  </r>
  <r>
    <m/>
    <m/>
    <x v="1"/>
    <s v="42503651001002"/>
    <n v="-74.64"/>
    <n v="2726"/>
    <n v="1"/>
    <n v="1"/>
  </r>
  <r>
    <m/>
    <m/>
    <x v="1"/>
    <s v="42503721001001"/>
    <n v="-41.18"/>
    <n v="1504"/>
    <n v="1"/>
    <n v="1"/>
  </r>
  <r>
    <m/>
    <m/>
    <x v="1"/>
    <s v="42514151001004"/>
    <n v="-9.56"/>
    <n v="349"/>
    <n v="1"/>
    <n v="1"/>
  </r>
  <r>
    <m/>
    <m/>
    <x v="1"/>
    <s v="42523951001001"/>
    <n v="-20.97"/>
    <n v="766"/>
    <n v="1"/>
    <n v="1"/>
  </r>
  <r>
    <m/>
    <m/>
    <x v="1"/>
    <s v="42539421001001"/>
    <n v="-30.12"/>
    <n v="1100"/>
    <n v="1"/>
    <n v="1"/>
  </r>
  <r>
    <m/>
    <m/>
    <x v="1"/>
    <s v="42543901001001"/>
    <n v="-54.13"/>
    <n v="1977"/>
    <n v="1"/>
    <n v="1"/>
  </r>
  <r>
    <m/>
    <m/>
    <x v="1"/>
    <s v="42546041001002"/>
    <n v="-29.49"/>
    <n v="1077"/>
    <n v="1"/>
    <n v="1"/>
  </r>
  <r>
    <m/>
    <m/>
    <x v="1"/>
    <s v="42569591004003"/>
    <n v="-11.12"/>
    <n v="406"/>
    <n v="1"/>
    <n v="1"/>
  </r>
  <r>
    <m/>
    <m/>
    <x v="1"/>
    <s v="42580441001002"/>
    <n v="-36.22"/>
    <n v="1323"/>
    <n v="1"/>
    <n v="1"/>
  </r>
  <r>
    <m/>
    <m/>
    <x v="1"/>
    <s v="42585551001002"/>
    <n v="-41.29"/>
    <n v="1508"/>
    <n v="1"/>
    <n v="1"/>
  </r>
  <r>
    <m/>
    <m/>
    <x v="1"/>
    <s v="42587441002002"/>
    <n v="-97.66"/>
    <n v="3567"/>
    <n v="1"/>
    <n v="1"/>
  </r>
  <r>
    <m/>
    <m/>
    <x v="1"/>
    <s v="42591011001001"/>
    <n v="-58.24"/>
    <n v="2127"/>
    <n v="1"/>
    <n v="1"/>
  </r>
  <r>
    <m/>
    <m/>
    <x v="1"/>
    <s v="42627831001003"/>
    <n v="-7.01"/>
    <n v="256"/>
    <n v="1"/>
    <n v="1"/>
  </r>
  <r>
    <m/>
    <m/>
    <x v="1"/>
    <s v="42633571002001"/>
    <n v="-24.7"/>
    <n v="902"/>
    <n v="1"/>
    <n v="1"/>
  </r>
  <r>
    <m/>
    <m/>
    <x v="1"/>
    <s v="42637141001007"/>
    <n v="-43.04"/>
    <n v="1572"/>
    <n v="1"/>
    <n v="1"/>
  </r>
  <r>
    <m/>
    <m/>
    <x v="1"/>
    <s v="42646171001006"/>
    <n v="-31.46"/>
    <n v="1149"/>
    <n v="1"/>
    <n v="1"/>
  </r>
  <r>
    <m/>
    <m/>
    <x v="1"/>
    <s v="42649951003006"/>
    <n v="-30.31"/>
    <n v="1107"/>
    <n v="1"/>
    <n v="1"/>
  </r>
  <r>
    <m/>
    <m/>
    <x v="1"/>
    <s v="42653101001002"/>
    <n v="-24.56"/>
    <n v="897"/>
    <n v="1"/>
    <n v="1"/>
  </r>
  <r>
    <m/>
    <m/>
    <x v="1"/>
    <s v="42653661001001"/>
    <n v="-10.87"/>
    <n v="397"/>
    <n v="1"/>
    <n v="1"/>
  </r>
  <r>
    <m/>
    <m/>
    <x v="1"/>
    <s v="42654081001004"/>
    <n v="-31.02"/>
    <n v="1133"/>
    <n v="1"/>
    <n v="1"/>
  </r>
  <r>
    <m/>
    <m/>
    <x v="1"/>
    <s v="42671651001003"/>
    <n v="-11.69"/>
    <n v="427"/>
    <n v="1"/>
    <n v="1"/>
  </r>
  <r>
    <m/>
    <m/>
    <x v="1"/>
    <s v="42678651001002"/>
    <n v="-58.7"/>
    <n v="2144"/>
    <n v="1"/>
    <n v="1"/>
  </r>
  <r>
    <m/>
    <m/>
    <x v="1"/>
    <s v="42712111003004"/>
    <n v="-48.87"/>
    <n v="1785"/>
    <n v="1"/>
    <n v="1"/>
  </r>
  <r>
    <m/>
    <m/>
    <x v="1"/>
    <s v="42811861001001"/>
    <n v="-114.48"/>
    <n v="4181"/>
    <n v="1"/>
    <n v="1"/>
  </r>
  <r>
    <m/>
    <m/>
    <x v="1"/>
    <s v="42812561001002"/>
    <n v="-54.4"/>
    <n v="1987"/>
    <n v="1"/>
    <n v="1"/>
  </r>
  <r>
    <m/>
    <m/>
    <x v="1"/>
    <s v="42837831001001"/>
    <n v="-4.87"/>
    <n v="178"/>
    <n v="1"/>
    <n v="1"/>
  </r>
  <r>
    <m/>
    <m/>
    <x v="1"/>
    <s v="42849491001003"/>
    <n v="-4.1900000000000004"/>
    <n v="153"/>
    <n v="1"/>
    <n v="1"/>
  </r>
  <r>
    <m/>
    <m/>
    <x v="1"/>
    <s v="42888441001001"/>
    <n v="-6.41"/>
    <n v="234"/>
    <n v="1"/>
    <n v="1"/>
  </r>
  <r>
    <m/>
    <m/>
    <x v="1"/>
    <s v="42898451001001"/>
    <n v="-10.57"/>
    <n v="386"/>
    <n v="1"/>
    <n v="1"/>
  </r>
  <r>
    <m/>
    <m/>
    <x v="1"/>
    <s v="42972511001003"/>
    <n v="-18.02"/>
    <n v="658"/>
    <n v="1"/>
    <n v="1"/>
  </r>
  <r>
    <m/>
    <m/>
    <x v="1"/>
    <s v="43016751001009"/>
    <n v="-24.48"/>
    <n v="894"/>
    <n v="1"/>
    <n v="1"/>
  </r>
  <r>
    <m/>
    <m/>
    <x v="1"/>
    <s v="43029771001001"/>
    <n v="-2.79"/>
    <n v="102"/>
    <n v="1"/>
    <n v="1"/>
  </r>
  <r>
    <m/>
    <m/>
    <x v="1"/>
    <s v="43036071001003"/>
    <n v="-22.37"/>
    <n v="817"/>
    <n v="1"/>
    <n v="1"/>
  </r>
  <r>
    <m/>
    <m/>
    <x v="1"/>
    <s v="43037331002001"/>
    <n v="-46.55"/>
    <n v="1700"/>
    <n v="1"/>
    <n v="1"/>
  </r>
  <r>
    <m/>
    <m/>
    <x v="1"/>
    <s v="43067921001001"/>
    <n v="-68.040000000000006"/>
    <n v="2485"/>
    <n v="1"/>
    <n v="1"/>
  </r>
  <r>
    <m/>
    <m/>
    <x v="1"/>
    <s v="43081641001002"/>
    <n v="-15.06"/>
    <n v="550"/>
    <n v="1"/>
    <n v="1"/>
  </r>
  <r>
    <m/>
    <m/>
    <x v="1"/>
    <s v="43084721005001"/>
    <n v="-38.11"/>
    <n v="1392"/>
    <n v="1"/>
    <n v="1"/>
  </r>
  <r>
    <m/>
    <m/>
    <x v="1"/>
    <s v="43103551001002"/>
    <n v="-20.010000000000002"/>
    <n v="731"/>
    <n v="1"/>
    <n v="1"/>
  </r>
  <r>
    <m/>
    <m/>
    <x v="1"/>
    <s v="43110271002002"/>
    <n v="-4.74"/>
    <n v="173"/>
    <n v="1"/>
    <n v="1"/>
  </r>
  <r>
    <m/>
    <m/>
    <x v="1"/>
    <s v="43191121002003"/>
    <n v="-80.61"/>
    <n v="2944"/>
    <n v="1"/>
    <n v="1"/>
  </r>
  <r>
    <m/>
    <m/>
    <x v="1"/>
    <s v="43201271002001"/>
    <n v="-46.19"/>
    <n v="1687"/>
    <n v="1"/>
    <n v="1"/>
  </r>
  <r>
    <m/>
    <m/>
    <x v="1"/>
    <s v="43210791001004"/>
    <n v="-9.58"/>
    <n v="350"/>
    <n v="1"/>
    <n v="1"/>
  </r>
  <r>
    <m/>
    <m/>
    <x v="1"/>
    <s v="43218351001006"/>
    <n v="-13.14"/>
    <n v="480"/>
    <n v="1"/>
    <n v="1"/>
  </r>
  <r>
    <m/>
    <m/>
    <x v="1"/>
    <s v="43224441001007"/>
    <n v="-27.24"/>
    <n v="995"/>
    <n v="1"/>
    <n v="1"/>
  </r>
  <r>
    <m/>
    <m/>
    <x v="1"/>
    <s v="43225001001001"/>
    <n v="-45.15"/>
    <n v="1649"/>
    <n v="1"/>
    <n v="1"/>
  </r>
  <r>
    <m/>
    <m/>
    <x v="1"/>
    <s v="43245091005003"/>
    <n v="-48.54"/>
    <n v="1773"/>
    <n v="1"/>
    <n v="1"/>
  </r>
  <r>
    <m/>
    <m/>
    <x v="1"/>
    <s v="43257481001001"/>
    <n v="-2.6"/>
    <n v="95"/>
    <n v="1"/>
    <n v="1"/>
  </r>
  <r>
    <m/>
    <m/>
    <x v="1"/>
    <s v="43262451002003"/>
    <n v="-39.76"/>
    <n v="1452"/>
    <n v="1"/>
    <n v="1"/>
  </r>
  <r>
    <m/>
    <m/>
    <x v="1"/>
    <s v="43282051003001"/>
    <n v="-28.42"/>
    <n v="1038"/>
    <n v="1"/>
    <n v="1"/>
  </r>
  <r>
    <m/>
    <m/>
    <x v="1"/>
    <s v="43282821001002"/>
    <n v="-93.15"/>
    <n v="3402"/>
    <n v="1"/>
    <n v="1"/>
  </r>
  <r>
    <m/>
    <m/>
    <x v="1"/>
    <s v="43291711002001"/>
    <n v="-6.82"/>
    <n v="249"/>
    <n v="1"/>
    <n v="1"/>
  </r>
  <r>
    <m/>
    <m/>
    <x v="1"/>
    <s v="43301912001003"/>
    <n v="-22.15"/>
    <n v="809"/>
    <n v="1"/>
    <n v="1"/>
  </r>
  <r>
    <m/>
    <m/>
    <x v="1"/>
    <s v="43334201001001"/>
    <n v="-53.39"/>
    <n v="1950"/>
    <n v="1"/>
    <n v="1"/>
  </r>
  <r>
    <m/>
    <m/>
    <x v="1"/>
    <s v="43346241001002"/>
    <n v="-41.12"/>
    <n v="1502"/>
    <n v="1"/>
    <n v="1"/>
  </r>
  <r>
    <m/>
    <m/>
    <x v="1"/>
    <s v="43347711001001"/>
    <n v="-69.41"/>
    <n v="2535"/>
    <n v="1"/>
    <n v="1"/>
  </r>
  <r>
    <m/>
    <m/>
    <x v="1"/>
    <s v="43363111001003"/>
    <n v="-92.6"/>
    <n v="3382"/>
    <n v="1"/>
    <n v="1"/>
  </r>
  <r>
    <m/>
    <m/>
    <x v="1"/>
    <s v="43430451001001"/>
    <n v="-27.87"/>
    <n v="1018"/>
    <n v="1"/>
    <n v="1"/>
  </r>
  <r>
    <m/>
    <m/>
    <x v="1"/>
    <s v="43485650001007"/>
    <n v="-56.46"/>
    <n v="2062"/>
    <n v="1"/>
    <n v="1"/>
  </r>
  <r>
    <m/>
    <m/>
    <x v="1"/>
    <s v="43530621001001"/>
    <n v="-128.71"/>
    <n v="4701"/>
    <n v="1"/>
    <n v="1"/>
  </r>
  <r>
    <m/>
    <m/>
    <x v="1"/>
    <s v="43581441001001"/>
    <n v="-70.59"/>
    <n v="2578"/>
    <n v="1"/>
    <n v="1"/>
  </r>
  <r>
    <m/>
    <m/>
    <x v="1"/>
    <s v="43586831001002"/>
    <n v="-43.84"/>
    <n v="1601"/>
    <n v="1"/>
    <n v="1"/>
  </r>
  <r>
    <m/>
    <m/>
    <x v="1"/>
    <s v="43611771001002"/>
    <n v="-44.82"/>
    <n v="1637"/>
    <n v="1"/>
    <n v="1"/>
  </r>
  <r>
    <m/>
    <m/>
    <x v="1"/>
    <s v="43678461001003"/>
    <n v="-13.44"/>
    <n v="491"/>
    <n v="1"/>
    <n v="1"/>
  </r>
  <r>
    <m/>
    <m/>
    <x v="1"/>
    <s v="43688479001001"/>
    <n v="-31.9"/>
    <n v="1165"/>
    <n v="1"/>
    <n v="1"/>
  </r>
  <r>
    <m/>
    <m/>
    <x v="1"/>
    <s v="43696731001001"/>
    <n v="-58.98"/>
    <n v="2154"/>
    <n v="1"/>
    <n v="1"/>
  </r>
  <r>
    <m/>
    <m/>
    <x v="1"/>
    <s v="43721161001001"/>
    <n v="-66.53"/>
    <n v="2430"/>
    <n v="1"/>
    <n v="1"/>
  </r>
  <r>
    <m/>
    <m/>
    <x v="1"/>
    <s v="43769391008001"/>
    <n v="-5.94"/>
    <n v="217"/>
    <n v="1"/>
    <n v="1"/>
  </r>
  <r>
    <m/>
    <m/>
    <x v="1"/>
    <s v="43801381001001"/>
    <n v="-61.99"/>
    <n v="2264"/>
    <n v="1"/>
    <n v="1"/>
  </r>
  <r>
    <m/>
    <m/>
    <x v="1"/>
    <s v="43856891001002"/>
    <n v="-70.31"/>
    <n v="2568"/>
    <n v="1"/>
    <n v="1"/>
  </r>
  <r>
    <m/>
    <m/>
    <x v="1"/>
    <s v="43889581001001"/>
    <n v="-1.48"/>
    <n v="54"/>
    <n v="1"/>
    <n v="1"/>
  </r>
  <r>
    <m/>
    <m/>
    <x v="1"/>
    <s v="43903791001001"/>
    <n v="-6.65"/>
    <n v="243"/>
    <n v="1"/>
    <n v="1"/>
  </r>
  <r>
    <m/>
    <m/>
    <x v="1"/>
    <s v="43914851001001"/>
    <n v="-36.36"/>
    <n v="1328"/>
    <n v="1"/>
    <n v="1"/>
  </r>
  <r>
    <m/>
    <m/>
    <x v="1"/>
    <s v="43928151001002"/>
    <n v="-53.8"/>
    <n v="1965"/>
    <n v="1"/>
    <n v="1"/>
  </r>
  <r>
    <m/>
    <m/>
    <x v="1"/>
    <s v="43950201001004"/>
    <n v="-53.72"/>
    <n v="1962"/>
    <n v="1"/>
    <n v="1"/>
  </r>
  <r>
    <m/>
    <m/>
    <x v="1"/>
    <s v="44017401001003"/>
    <n v="-33.35"/>
    <n v="1218"/>
    <n v="1"/>
    <n v="1"/>
  </r>
  <r>
    <m/>
    <m/>
    <x v="1"/>
    <s v="44035671002001"/>
    <n v="-40.47"/>
    <n v="1478"/>
    <n v="1"/>
    <n v="1"/>
  </r>
  <r>
    <m/>
    <m/>
    <x v="1"/>
    <s v="44095871001001"/>
    <n v="-86.36"/>
    <n v="3154"/>
    <n v="1"/>
    <n v="1"/>
  </r>
  <r>
    <m/>
    <m/>
    <x v="1"/>
    <s v="44198701001002"/>
    <n v="-101.2"/>
    <n v="3696"/>
    <n v="1"/>
    <n v="1"/>
  </r>
  <r>
    <m/>
    <m/>
    <x v="1"/>
    <s v="44200871001009"/>
    <n v="-37.78"/>
    <n v="1380"/>
    <n v="1"/>
    <n v="1"/>
  </r>
  <r>
    <m/>
    <m/>
    <x v="1"/>
    <s v="44217531004001"/>
    <n v="-93.58"/>
    <n v="3418"/>
    <n v="1"/>
    <n v="1"/>
  </r>
  <r>
    <m/>
    <m/>
    <x v="1"/>
    <s v="44235381001002"/>
    <n v="-86.16"/>
    <n v="3147"/>
    <n v="1"/>
    <n v="1"/>
  </r>
  <r>
    <m/>
    <m/>
    <x v="1"/>
    <s v="44237551001002"/>
    <n v="-83.84"/>
    <n v="3062"/>
    <n v="1"/>
    <n v="1"/>
  </r>
  <r>
    <m/>
    <m/>
    <x v="1"/>
    <s v="44286551002002"/>
    <n v="-54.19"/>
    <n v="1979"/>
    <n v="1"/>
    <n v="1"/>
  </r>
  <r>
    <m/>
    <m/>
    <x v="1"/>
    <s v="44296841001008"/>
    <n v="-21.63"/>
    <n v="790"/>
    <n v="1"/>
    <n v="1"/>
  </r>
  <r>
    <m/>
    <m/>
    <x v="1"/>
    <s v="44318471008001"/>
    <n v="-91.48"/>
    <n v="3341"/>
    <n v="1"/>
    <n v="1"/>
  </r>
  <r>
    <m/>
    <m/>
    <x v="1"/>
    <s v="44318891001003"/>
    <n v="-0.79"/>
    <n v="29"/>
    <n v="1"/>
    <n v="1"/>
  </r>
  <r>
    <m/>
    <m/>
    <x v="1"/>
    <s v="44327781001003"/>
    <n v="-11.97"/>
    <n v="437"/>
    <n v="1"/>
    <n v="1"/>
  </r>
  <r>
    <m/>
    <m/>
    <x v="1"/>
    <s v="44340381001001"/>
    <n v="-56.43"/>
    <n v="2061"/>
    <n v="1"/>
    <n v="1"/>
  </r>
  <r>
    <m/>
    <m/>
    <x v="1"/>
    <s v="44342831002003"/>
    <n v="-18.29"/>
    <n v="668"/>
    <n v="1"/>
    <n v="1"/>
  </r>
  <r>
    <m/>
    <m/>
    <x v="1"/>
    <s v="44379371001001"/>
    <n v="-15.96"/>
    <n v="583"/>
    <n v="1"/>
    <n v="1"/>
  </r>
  <r>
    <m/>
    <m/>
    <x v="1"/>
    <s v="44390781002001"/>
    <n v="-18.62"/>
    <n v="680"/>
    <n v="1"/>
    <n v="1"/>
  </r>
  <r>
    <m/>
    <m/>
    <x v="1"/>
    <s v="44416401001001"/>
    <n v="-52.05"/>
    <n v="1901"/>
    <n v="1"/>
    <n v="1"/>
  </r>
  <r>
    <m/>
    <m/>
    <x v="1"/>
    <s v="44422491002001"/>
    <n v="-18.149999999999999"/>
    <n v="663"/>
    <n v="1"/>
    <n v="1"/>
  </r>
  <r>
    <m/>
    <m/>
    <x v="1"/>
    <s v="44423891001003"/>
    <n v="-46.24"/>
    <n v="1689"/>
    <n v="1"/>
    <n v="1"/>
  </r>
  <r>
    <m/>
    <m/>
    <x v="1"/>
    <s v="44424451001001"/>
    <n v="-1.75"/>
    <n v="64"/>
    <n v="1"/>
    <n v="1"/>
  </r>
  <r>
    <m/>
    <m/>
    <x v="1"/>
    <s v="44424535001002"/>
    <n v="-56.95"/>
    <n v="2080"/>
    <n v="1"/>
    <n v="1"/>
  </r>
  <r>
    <m/>
    <m/>
    <x v="1"/>
    <s v="44431101001001"/>
    <n v="-36.42"/>
    <n v="1330"/>
    <n v="1"/>
    <n v="1"/>
  </r>
  <r>
    <m/>
    <m/>
    <x v="1"/>
    <s v="44463861001002"/>
    <n v="-108.07"/>
    <n v="3947"/>
    <n v="1"/>
    <n v="1"/>
  </r>
  <r>
    <m/>
    <m/>
    <x v="1"/>
    <s v="44481781001004"/>
    <n v="-41.95"/>
    <n v="1532"/>
    <n v="1"/>
    <n v="1"/>
  </r>
  <r>
    <m/>
    <m/>
    <x v="1"/>
    <s v="44484511001002"/>
    <n v="-40.06"/>
    <n v="1463"/>
    <n v="1"/>
    <n v="1"/>
  </r>
  <r>
    <m/>
    <m/>
    <x v="1"/>
    <s v="44496438001001"/>
    <n v="-76.91"/>
    <n v="2809"/>
    <n v="1"/>
    <n v="1"/>
  </r>
  <r>
    <m/>
    <m/>
    <x v="1"/>
    <s v="44500331001001"/>
    <n v="-0.08"/>
    <n v="3"/>
    <n v="1"/>
    <n v="1"/>
  </r>
  <r>
    <m/>
    <m/>
    <x v="1"/>
    <s v="44501801003005"/>
    <n v="-53.75"/>
    <n v="1963"/>
    <n v="1"/>
    <n v="1"/>
  </r>
  <r>
    <m/>
    <m/>
    <x v="1"/>
    <s v="44502641001003"/>
    <n v="-104.97"/>
    <n v="3834"/>
    <n v="1"/>
    <n v="1"/>
  </r>
  <r>
    <m/>
    <m/>
    <x v="1"/>
    <s v="44522731001001"/>
    <n v="-9.14"/>
    <n v="334"/>
    <n v="1"/>
    <n v="1"/>
  </r>
  <r>
    <m/>
    <m/>
    <x v="1"/>
    <s v="44545061002001"/>
    <n v="-30.8"/>
    <n v="1125"/>
    <n v="1"/>
    <n v="1"/>
  </r>
  <r>
    <m/>
    <m/>
    <x v="1"/>
    <s v="44560811001004"/>
    <n v="-36.58"/>
    <n v="1336"/>
    <n v="1"/>
    <n v="1"/>
  </r>
  <r>
    <m/>
    <m/>
    <x v="1"/>
    <s v="44603651002001"/>
    <n v="-79.59"/>
    <n v="2907"/>
    <n v="1"/>
    <n v="1"/>
  </r>
  <r>
    <m/>
    <m/>
    <x v="1"/>
    <s v="44628151002001"/>
    <n v="-24.07"/>
    <n v="879"/>
    <n v="1"/>
    <n v="1"/>
  </r>
  <r>
    <m/>
    <m/>
    <x v="1"/>
    <s v="44640401002001"/>
    <n v="-55.96"/>
    <n v="2044"/>
    <n v="1"/>
    <n v="1"/>
  </r>
  <r>
    <m/>
    <m/>
    <x v="1"/>
    <s v="44654191001001"/>
    <n v="-15.8"/>
    <n v="577"/>
    <n v="1"/>
    <n v="1"/>
  </r>
  <r>
    <m/>
    <m/>
    <x v="1"/>
    <s v="44688351001001"/>
    <n v="-17.61"/>
    <n v="643"/>
    <n v="1"/>
    <n v="1"/>
  </r>
  <r>
    <m/>
    <m/>
    <x v="1"/>
    <s v="44717961001001"/>
    <n v="-12.98"/>
    <n v="474"/>
    <n v="1"/>
    <n v="1"/>
  </r>
  <r>
    <m/>
    <m/>
    <x v="1"/>
    <s v="44737281001001"/>
    <n v="-57.25"/>
    <n v="2091"/>
    <n v="1"/>
    <n v="1"/>
  </r>
  <r>
    <m/>
    <m/>
    <x v="1"/>
    <s v="44760031004001"/>
    <n v="-63.63"/>
    <n v="2324"/>
    <n v="1"/>
    <n v="1"/>
  </r>
  <r>
    <m/>
    <m/>
    <x v="1"/>
    <s v="44775221002003"/>
    <n v="-35.729999999999997"/>
    <n v="1305"/>
    <n v="1"/>
    <n v="1"/>
  </r>
  <r>
    <m/>
    <m/>
    <x v="1"/>
    <s v="44775991001002"/>
    <n v="-28.26"/>
    <n v="1032"/>
    <n v="1"/>
    <n v="1"/>
  </r>
  <r>
    <m/>
    <m/>
    <x v="1"/>
    <s v="44781871001001"/>
    <n v="-53.91"/>
    <n v="1969"/>
    <n v="1"/>
    <n v="1"/>
  </r>
  <r>
    <m/>
    <m/>
    <x v="1"/>
    <s v="44784741001002"/>
    <n v="-56.38"/>
    <n v="2059"/>
    <n v="1"/>
    <n v="1"/>
  </r>
  <r>
    <m/>
    <m/>
    <x v="1"/>
    <s v="44804971001001"/>
    <n v="-15.44"/>
    <n v="564"/>
    <n v="1"/>
    <n v="1"/>
  </r>
  <r>
    <m/>
    <m/>
    <x v="1"/>
    <s v="44811481003005"/>
    <n v="-41.26"/>
    <n v="1507"/>
    <n v="1"/>
    <n v="1"/>
  </r>
  <r>
    <m/>
    <m/>
    <x v="1"/>
    <s v="44827301001001"/>
    <n v="-56.54"/>
    <n v="2065"/>
    <n v="1"/>
    <n v="1"/>
  </r>
  <r>
    <m/>
    <m/>
    <x v="1"/>
    <s v="44828701001004"/>
    <n v="-63.96"/>
    <n v="2336"/>
    <n v="1"/>
    <n v="1"/>
  </r>
  <r>
    <m/>
    <m/>
    <x v="1"/>
    <s v="44839691002002"/>
    <n v="-17.66"/>
    <n v="645"/>
    <n v="1"/>
    <n v="1"/>
  </r>
  <r>
    <m/>
    <m/>
    <x v="1"/>
    <s v="44856771002005"/>
    <n v="-62.81"/>
    <n v="2294"/>
    <n v="1"/>
    <n v="1"/>
  </r>
  <r>
    <m/>
    <m/>
    <x v="1"/>
    <s v="44875461001001"/>
    <n v="-16.670000000000002"/>
    <n v="609"/>
    <n v="1"/>
    <n v="1"/>
  </r>
  <r>
    <m/>
    <m/>
    <x v="1"/>
    <s v="44877561001002"/>
    <n v="-32.31"/>
    <n v="1180"/>
    <n v="1"/>
    <n v="1"/>
  </r>
  <r>
    <m/>
    <m/>
    <x v="1"/>
    <s v="44881621001001"/>
    <n v="-64.180000000000007"/>
    <n v="2344"/>
    <n v="1"/>
    <n v="1"/>
  </r>
  <r>
    <m/>
    <m/>
    <x v="1"/>
    <s v="44889251001002"/>
    <n v="-15.39"/>
    <n v="562"/>
    <n v="1"/>
    <n v="1"/>
  </r>
  <r>
    <m/>
    <m/>
    <x v="1"/>
    <s v="44901221001004"/>
    <n v="-102.76"/>
    <n v="3753"/>
    <n v="1"/>
    <n v="1"/>
  </r>
  <r>
    <m/>
    <m/>
    <x v="1"/>
    <s v="44902061004001"/>
    <n v="-64.7"/>
    <n v="2363"/>
    <n v="1"/>
    <n v="1"/>
  </r>
  <r>
    <m/>
    <m/>
    <x v="1"/>
    <s v="44908781005001"/>
    <n v="-53.86"/>
    <n v="1967"/>
    <n v="1"/>
    <n v="1"/>
  </r>
  <r>
    <m/>
    <m/>
    <x v="1"/>
    <s v="44919565001001"/>
    <n v="-11.12"/>
    <n v="406"/>
    <n v="1"/>
    <n v="1"/>
  </r>
  <r>
    <m/>
    <m/>
    <x v="1"/>
    <s v="44939791001001"/>
    <n v="-32.99"/>
    <n v="1205"/>
    <n v="1"/>
    <n v="1"/>
  </r>
  <r>
    <m/>
    <m/>
    <x v="1"/>
    <s v="44955261001002"/>
    <n v="-121.18"/>
    <n v="4426"/>
    <n v="1"/>
    <n v="1"/>
  </r>
  <r>
    <m/>
    <m/>
    <x v="1"/>
    <s v="44959251002002"/>
    <n v="-56.29"/>
    <n v="2056"/>
    <n v="1"/>
    <n v="1"/>
  </r>
  <r>
    <m/>
    <m/>
    <x v="1"/>
    <s v="44970917001001"/>
    <n v="-32.83"/>
    <n v="1199"/>
    <n v="1"/>
    <n v="1"/>
  </r>
  <r>
    <m/>
    <m/>
    <x v="1"/>
    <s v="44978221001001"/>
    <n v="-90.13"/>
    <n v="3292"/>
    <n v="1"/>
    <n v="1"/>
  </r>
  <r>
    <m/>
    <m/>
    <x v="1"/>
    <s v="44987951001006"/>
    <n v="-80.09"/>
    <n v="2925"/>
    <n v="1"/>
    <n v="1"/>
  </r>
  <r>
    <m/>
    <m/>
    <x v="1"/>
    <s v="44995807001001"/>
    <n v="-14.62"/>
    <n v="534"/>
    <n v="1"/>
    <n v="1"/>
  </r>
  <r>
    <m/>
    <m/>
    <x v="1"/>
    <s v="45034711001003"/>
    <n v="-127.67"/>
    <n v="4663"/>
    <n v="1"/>
    <n v="1"/>
  </r>
  <r>
    <m/>
    <m/>
    <x v="1"/>
    <s v="45037931001001"/>
    <n v="-51.53"/>
    <n v="1882"/>
    <n v="1"/>
    <n v="1"/>
  </r>
  <r>
    <m/>
    <m/>
    <x v="1"/>
    <s v="45047591003001"/>
    <n v="-30.78"/>
    <n v="1124"/>
    <n v="1"/>
    <n v="1"/>
  </r>
  <r>
    <m/>
    <m/>
    <x v="1"/>
    <s v="45048081001001"/>
    <n v="-80.63"/>
    <n v="2945"/>
    <n v="1"/>
    <n v="1"/>
  </r>
  <r>
    <m/>
    <m/>
    <x v="1"/>
    <s v="45049061001001"/>
    <n v="-13.2"/>
    <n v="482"/>
    <n v="1"/>
    <n v="1"/>
  </r>
  <r>
    <m/>
    <m/>
    <x v="1"/>
    <s v="45055431001001"/>
    <n v="-48.05"/>
    <n v="1755"/>
    <n v="1"/>
    <n v="1"/>
  </r>
  <r>
    <m/>
    <m/>
    <x v="1"/>
    <s v="45057251001005"/>
    <n v="-93.58"/>
    <n v="3418"/>
    <n v="1"/>
    <n v="1"/>
  </r>
  <r>
    <m/>
    <m/>
    <x v="1"/>
    <s v="45058021001005"/>
    <n v="-55.36"/>
    <n v="2022"/>
    <n v="1"/>
    <n v="1"/>
  </r>
  <r>
    <m/>
    <m/>
    <x v="1"/>
    <s v="45072511001002"/>
    <n v="-45.97"/>
    <n v="1679"/>
    <n v="1"/>
    <n v="1"/>
  </r>
  <r>
    <m/>
    <m/>
    <x v="1"/>
    <s v="45081401001004"/>
    <n v="-14.37"/>
    <n v="525"/>
    <n v="1"/>
    <n v="1"/>
  </r>
  <r>
    <m/>
    <m/>
    <x v="1"/>
    <s v="45087071001001"/>
    <n v="-110.81"/>
    <n v="4047"/>
    <n v="1"/>
    <n v="1"/>
  </r>
  <r>
    <m/>
    <m/>
    <x v="1"/>
    <s v="45097221001001"/>
    <n v="-60.76"/>
    <n v="2219"/>
    <n v="1"/>
    <n v="1"/>
  </r>
  <r>
    <m/>
    <m/>
    <x v="1"/>
    <s v="45120321002003"/>
    <n v="-23.27"/>
    <n v="850"/>
    <n v="1"/>
    <n v="1"/>
  </r>
  <r>
    <m/>
    <m/>
    <x v="1"/>
    <s v="45125151005001"/>
    <n v="-15.61"/>
    <n v="570"/>
    <n v="1"/>
    <n v="1"/>
  </r>
  <r>
    <m/>
    <m/>
    <x v="1"/>
    <s v="45128441001005"/>
    <n v="-8.41"/>
    <n v="307"/>
    <n v="1"/>
    <n v="1"/>
  </r>
  <r>
    <m/>
    <m/>
    <x v="1"/>
    <s v="45130821001001"/>
    <n v="-49.94"/>
    <n v="1824"/>
    <n v="1"/>
    <n v="1"/>
  </r>
  <r>
    <m/>
    <m/>
    <x v="1"/>
    <s v="45135453001001"/>
    <n v="-30.28"/>
    <n v="1106"/>
    <n v="1"/>
    <n v="1"/>
  </r>
  <r>
    <m/>
    <m/>
    <x v="1"/>
    <s v="45136421001001"/>
    <n v="-81.87"/>
    <n v="2990"/>
    <n v="1"/>
    <n v="1"/>
  </r>
  <r>
    <m/>
    <m/>
    <x v="1"/>
    <s v="45143631001001"/>
    <n v="-7.28"/>
    <n v="266"/>
    <n v="1"/>
    <n v="1"/>
  </r>
  <r>
    <m/>
    <m/>
    <x v="1"/>
    <s v="45155461001001"/>
    <n v="-114.23"/>
    <n v="4172"/>
    <n v="1"/>
    <n v="1"/>
  </r>
  <r>
    <m/>
    <m/>
    <x v="1"/>
    <s v="45162811004003"/>
    <n v="-58.87"/>
    <n v="2150"/>
    <n v="1"/>
    <n v="1"/>
  </r>
  <r>
    <m/>
    <m/>
    <x v="1"/>
    <s v="45171701001001"/>
    <n v="-57.74"/>
    <n v="2109"/>
    <n v="1"/>
    <n v="1"/>
  </r>
  <r>
    <m/>
    <m/>
    <x v="1"/>
    <s v="45174711001001"/>
    <n v="-48.65"/>
    <n v="1777"/>
    <n v="1"/>
    <n v="1"/>
  </r>
  <r>
    <m/>
    <m/>
    <x v="1"/>
    <s v="45188011001001"/>
    <n v="-24.04"/>
    <n v="878"/>
    <n v="1"/>
    <n v="1"/>
  </r>
  <r>
    <m/>
    <m/>
    <x v="1"/>
    <s v="45191721001004"/>
    <n v="-28.09"/>
    <n v="1026"/>
    <n v="1"/>
    <n v="1"/>
  </r>
  <r>
    <m/>
    <m/>
    <x v="1"/>
    <s v="45206841001001"/>
    <n v="-61.71"/>
    <n v="2254"/>
    <n v="1"/>
    <n v="1"/>
  </r>
  <r>
    <m/>
    <m/>
    <x v="1"/>
    <s v="45210061001001"/>
    <n v="-88.96"/>
    <n v="3249"/>
    <n v="1"/>
    <n v="1"/>
  </r>
  <r>
    <m/>
    <m/>
    <x v="1"/>
    <s v="45215369002003"/>
    <n v="-45.2"/>
    <n v="1651"/>
    <n v="1"/>
    <n v="1"/>
  </r>
  <r>
    <m/>
    <m/>
    <x v="1"/>
    <s v="45253671001001"/>
    <n v="-52.3"/>
    <n v="1910"/>
    <n v="1"/>
    <n v="1"/>
  </r>
  <r>
    <m/>
    <m/>
    <x v="1"/>
    <s v="45259201001001"/>
    <n v="-57.83"/>
    <n v="2112"/>
    <n v="1"/>
    <n v="1"/>
  </r>
  <r>
    <m/>
    <m/>
    <x v="1"/>
    <s v="45259341001001"/>
    <n v="-43.73"/>
    <n v="1597"/>
    <n v="1"/>
    <n v="1"/>
  </r>
  <r>
    <m/>
    <m/>
    <x v="1"/>
    <s v="45312121006007"/>
    <n v="-58.05"/>
    <n v="2120"/>
    <n v="1"/>
    <n v="1"/>
  </r>
  <r>
    <m/>
    <m/>
    <x v="1"/>
    <s v="45324791001001"/>
    <n v="-103.82"/>
    <n v="3792"/>
    <n v="1"/>
    <n v="1"/>
  </r>
  <r>
    <m/>
    <m/>
    <x v="1"/>
    <s v="45353911001001"/>
    <n v="-26.04"/>
    <n v="951"/>
    <n v="1"/>
    <n v="1"/>
  </r>
  <r>
    <m/>
    <m/>
    <x v="1"/>
    <s v="45356011003001"/>
    <n v="-88.16"/>
    <n v="3220"/>
    <n v="1"/>
    <n v="1"/>
  </r>
  <r>
    <m/>
    <m/>
    <x v="1"/>
    <s v="45361541002001"/>
    <n v="-64.86"/>
    <n v="2369"/>
    <n v="1"/>
    <n v="1"/>
  </r>
  <r>
    <m/>
    <m/>
    <x v="1"/>
    <s v="45403331001002"/>
    <n v="-99.14"/>
    <n v="3621"/>
    <n v="1"/>
    <n v="1"/>
  </r>
  <r>
    <m/>
    <m/>
    <x v="1"/>
    <s v="45420831002002"/>
    <n v="-82.58"/>
    <n v="3016"/>
    <n v="1"/>
    <n v="1"/>
  </r>
  <r>
    <m/>
    <m/>
    <x v="1"/>
    <s v="45443161001003"/>
    <n v="-40.880000000000003"/>
    <n v="1493"/>
    <n v="1"/>
    <n v="1"/>
  </r>
  <r>
    <m/>
    <m/>
    <x v="1"/>
    <s v="45469341006001"/>
    <n v="-86.85"/>
    <n v="3172"/>
    <n v="1"/>
    <n v="1"/>
  </r>
  <r>
    <m/>
    <m/>
    <x v="1"/>
    <s v="45473261001002"/>
    <n v="-57.96"/>
    <n v="2117"/>
    <n v="1"/>
    <n v="1"/>
  </r>
  <r>
    <m/>
    <m/>
    <x v="1"/>
    <s v="45487611001002"/>
    <n v="-60.81"/>
    <n v="2221"/>
    <n v="1"/>
    <n v="1"/>
  </r>
  <r>
    <m/>
    <m/>
    <x v="1"/>
    <s v="45503921006001"/>
    <n v="-45.45"/>
    <n v="1660"/>
    <n v="1"/>
    <n v="1"/>
  </r>
  <r>
    <m/>
    <m/>
    <x v="1"/>
    <s v="45514281001001"/>
    <n v="-27.3"/>
    <n v="997"/>
    <n v="1"/>
    <n v="1"/>
  </r>
  <r>
    <m/>
    <m/>
    <x v="1"/>
    <s v="45519246001001"/>
    <n v="-80.91"/>
    <n v="2955"/>
    <n v="1"/>
    <n v="1"/>
  </r>
  <r>
    <m/>
    <m/>
    <x v="1"/>
    <s v="45520371001002"/>
    <n v="-28.09"/>
    <n v="1026"/>
    <n v="1"/>
    <n v="1"/>
  </r>
  <r>
    <m/>
    <m/>
    <x v="1"/>
    <s v="45528841001004"/>
    <n v="-51.26"/>
    <n v="1872"/>
    <n v="1"/>
    <n v="1"/>
  </r>
  <r>
    <m/>
    <m/>
    <x v="1"/>
    <s v="45555091001004"/>
    <n v="-70.53"/>
    <n v="2576"/>
    <n v="1"/>
    <n v="1"/>
  </r>
  <r>
    <m/>
    <m/>
    <x v="1"/>
    <s v="45597371001001"/>
    <n v="-37.619999999999997"/>
    <n v="1374"/>
    <n v="1"/>
    <n v="1"/>
  </r>
  <r>
    <m/>
    <m/>
    <x v="1"/>
    <s v="45629221001003"/>
    <n v="-62.21"/>
    <n v="2272"/>
    <n v="1"/>
    <n v="1"/>
  </r>
  <r>
    <m/>
    <m/>
    <x v="1"/>
    <s v="45644831001001"/>
    <n v="-28.48"/>
    <n v="1040"/>
    <n v="1"/>
    <n v="1"/>
  </r>
  <r>
    <m/>
    <m/>
    <x v="1"/>
    <s v="45645881001002"/>
    <n v="-146.97999999999999"/>
    <n v="5368"/>
    <n v="1"/>
    <n v="1"/>
  </r>
  <r>
    <m/>
    <m/>
    <x v="1"/>
    <s v="45665201001006"/>
    <n v="-23.14"/>
    <n v="845"/>
    <n v="1"/>
    <n v="1"/>
  </r>
  <r>
    <m/>
    <m/>
    <x v="1"/>
    <s v="45692851001001"/>
    <n v="-79.27"/>
    <n v="2895"/>
    <n v="1"/>
    <n v="1"/>
  </r>
  <r>
    <m/>
    <m/>
    <x v="1"/>
    <s v="45694601001001"/>
    <n v="-59.11"/>
    <n v="2159"/>
    <n v="1"/>
    <n v="1"/>
  </r>
  <r>
    <m/>
    <m/>
    <x v="1"/>
    <s v="45708595001003"/>
    <n v="-46.71"/>
    <n v="1706"/>
    <n v="1"/>
    <n v="1"/>
  </r>
  <r>
    <m/>
    <m/>
    <x v="1"/>
    <s v="45725261001001"/>
    <n v="-83.81"/>
    <n v="3061"/>
    <n v="1"/>
    <n v="1"/>
  </r>
  <r>
    <m/>
    <m/>
    <x v="1"/>
    <s v="45742621001001"/>
    <n v="-69.41"/>
    <n v="2535"/>
    <n v="1"/>
    <n v="1"/>
  </r>
  <r>
    <m/>
    <m/>
    <x v="1"/>
    <s v="45751371001001"/>
    <n v="-33.54"/>
    <n v="1225"/>
    <n v="1"/>
    <n v="1"/>
  </r>
  <r>
    <m/>
    <m/>
    <x v="1"/>
    <s v="45768031001001"/>
    <n v="-41.84"/>
    <n v="1528"/>
    <n v="1"/>
    <n v="1"/>
  </r>
  <r>
    <m/>
    <m/>
    <x v="1"/>
    <s v="45785601001001"/>
    <n v="-19.47"/>
    <n v="711"/>
    <n v="1"/>
    <n v="1"/>
  </r>
  <r>
    <m/>
    <m/>
    <x v="1"/>
    <s v="45787701001001"/>
    <n v="-15.06"/>
    <n v="550"/>
    <n v="1"/>
    <n v="1"/>
  </r>
  <r>
    <m/>
    <m/>
    <x v="1"/>
    <s v="45846991001001"/>
    <n v="-51.34"/>
    <n v="1875"/>
    <n v="1"/>
    <n v="1"/>
  </r>
  <r>
    <m/>
    <m/>
    <x v="1"/>
    <s v="45878001001001"/>
    <n v="-46.35"/>
    <n v="1693"/>
    <n v="1"/>
    <n v="1"/>
  </r>
  <r>
    <m/>
    <m/>
    <x v="1"/>
    <s v="45884231001001"/>
    <n v="-102.46"/>
    <n v="3742"/>
    <n v="1"/>
    <n v="1"/>
  </r>
  <r>
    <m/>
    <m/>
    <x v="1"/>
    <s v="45930081004001"/>
    <n v="-28.2"/>
    <n v="1030"/>
    <n v="1"/>
    <n v="1"/>
  </r>
  <r>
    <m/>
    <m/>
    <x v="1"/>
    <s v="45934211002001"/>
    <n v="-60.98"/>
    <n v="2227"/>
    <n v="1"/>
    <n v="1"/>
  </r>
  <r>
    <m/>
    <m/>
    <x v="1"/>
    <s v="45934561001007"/>
    <n v="-22.4"/>
    <n v="818"/>
    <n v="1"/>
    <n v="1"/>
  </r>
  <r>
    <m/>
    <m/>
    <x v="1"/>
    <s v="45935331001004"/>
    <n v="-15.03"/>
    <n v="549"/>
    <n v="1"/>
    <n v="1"/>
  </r>
  <r>
    <m/>
    <m/>
    <x v="1"/>
    <s v="46041661001003"/>
    <n v="-116.17"/>
    <n v="4243"/>
    <n v="1"/>
    <n v="1"/>
  </r>
  <r>
    <m/>
    <m/>
    <x v="1"/>
    <s v="46074016001001"/>
    <n v="-37.840000000000003"/>
    <n v="1382"/>
    <n v="1"/>
    <n v="1"/>
  </r>
  <r>
    <m/>
    <m/>
    <x v="1"/>
    <s v="46098781002001"/>
    <n v="-62.78"/>
    <n v="2293"/>
    <n v="1"/>
    <n v="1"/>
  </r>
  <r>
    <m/>
    <m/>
    <x v="1"/>
    <s v="46112081001002"/>
    <n v="-92.74"/>
    <n v="3387"/>
    <n v="1"/>
    <n v="1"/>
  </r>
  <r>
    <m/>
    <m/>
    <x v="1"/>
    <s v="46120971001001"/>
    <n v="-40.19"/>
    <n v="1468"/>
    <n v="1"/>
    <n v="1"/>
  </r>
  <r>
    <m/>
    <m/>
    <x v="1"/>
    <s v="46135041001002"/>
    <n v="-89.09"/>
    <n v="3254"/>
    <n v="1"/>
    <n v="1"/>
  </r>
  <r>
    <m/>
    <m/>
    <x v="1"/>
    <s v="46146381001003"/>
    <n v="-72.06"/>
    <n v="2632"/>
    <n v="1"/>
    <n v="1"/>
  </r>
  <r>
    <m/>
    <m/>
    <x v="1"/>
    <s v="46153451002001"/>
    <n v="-35.130000000000003"/>
    <n v="1283"/>
    <n v="1"/>
    <n v="1"/>
  </r>
  <r>
    <m/>
    <m/>
    <x v="1"/>
    <s v="46168151004003"/>
    <n v="-30.47"/>
    <n v="1113"/>
    <n v="1"/>
    <n v="1"/>
  </r>
  <r>
    <m/>
    <m/>
    <x v="1"/>
    <s v="46205811013001"/>
    <n v="-130.36000000000001"/>
    <n v="4761"/>
    <n v="1"/>
    <n v="1"/>
  </r>
  <r>
    <m/>
    <m/>
    <x v="1"/>
    <s v="46246971001001"/>
    <n v="-158.16999999999999"/>
    <n v="5777"/>
    <n v="1"/>
    <n v="1"/>
  </r>
  <r>
    <m/>
    <m/>
    <x v="1"/>
    <s v="46289951001001"/>
    <n v="-37.020000000000003"/>
    <n v="1352"/>
    <n v="1"/>
    <n v="1"/>
  </r>
  <r>
    <m/>
    <m/>
    <x v="1"/>
    <s v="46336781001001"/>
    <n v="-46.49"/>
    <n v="1698"/>
    <n v="1"/>
    <n v="1"/>
  </r>
  <r>
    <m/>
    <m/>
    <x v="1"/>
    <s v="46337411001001"/>
    <n v="-13.96"/>
    <n v="510"/>
    <n v="1"/>
    <n v="1"/>
  </r>
  <r>
    <m/>
    <m/>
    <x v="1"/>
    <s v="46339021001001"/>
    <n v="-66.099999999999994"/>
    <n v="2414"/>
    <n v="1"/>
    <n v="1"/>
  </r>
  <r>
    <m/>
    <m/>
    <x v="1"/>
    <s v="46341891001007"/>
    <n v="-42.47"/>
    <n v="1551"/>
    <n v="1"/>
    <n v="1"/>
  </r>
  <r>
    <m/>
    <m/>
    <x v="1"/>
    <s v="46350221006001"/>
    <n v="-12.87"/>
    <n v="470"/>
    <n v="1"/>
    <n v="1"/>
  </r>
  <r>
    <m/>
    <m/>
    <x v="1"/>
    <s v="46365691001001"/>
    <n v="-54.71"/>
    <n v="1998"/>
    <n v="1"/>
    <n v="1"/>
  </r>
  <r>
    <m/>
    <m/>
    <x v="1"/>
    <s v="46367511001005"/>
    <n v="-6.68"/>
    <n v="244"/>
    <n v="1"/>
    <n v="1"/>
  </r>
  <r>
    <m/>
    <m/>
    <x v="1"/>
    <s v="46370031001001"/>
    <n v="-59.8"/>
    <n v="2184"/>
    <n v="1"/>
    <n v="1"/>
  </r>
  <r>
    <m/>
    <m/>
    <x v="1"/>
    <s v="46403001005001"/>
    <n v="-102.92"/>
    <n v="3759"/>
    <n v="1"/>
    <n v="1"/>
  </r>
  <r>
    <m/>
    <m/>
    <x v="1"/>
    <s v="46438981001002"/>
    <n v="-113.38"/>
    <n v="4141"/>
    <n v="1"/>
    <n v="1"/>
  </r>
  <r>
    <m/>
    <m/>
    <x v="1"/>
    <s v="46458791001003"/>
    <n v="-57.47"/>
    <n v="2099"/>
    <n v="1"/>
    <n v="1"/>
  </r>
  <r>
    <m/>
    <m/>
    <x v="1"/>
    <s v="46461591002001"/>
    <n v="-27.3"/>
    <n v="997"/>
    <n v="1"/>
    <n v="1"/>
  </r>
  <r>
    <m/>
    <m/>
    <x v="1"/>
    <s v="46462501001003"/>
    <n v="-73.239999999999995"/>
    <n v="2675"/>
    <n v="1"/>
    <n v="1"/>
  </r>
  <r>
    <m/>
    <m/>
    <x v="1"/>
    <s v="46469081002006"/>
    <n v="-25.96"/>
    <n v="948"/>
    <n v="1"/>
    <n v="1"/>
  </r>
  <r>
    <m/>
    <m/>
    <x v="1"/>
    <s v="46475241001003"/>
    <n v="-53.64"/>
    <n v="1959"/>
    <n v="1"/>
    <n v="1"/>
  </r>
  <r>
    <m/>
    <m/>
    <x v="1"/>
    <s v="46482661001005"/>
    <n v="-102.51"/>
    <n v="3744"/>
    <n v="1"/>
    <n v="1"/>
  </r>
  <r>
    <m/>
    <m/>
    <x v="1"/>
    <s v="46581641003003"/>
    <n v="-30.97"/>
    <n v="1131"/>
    <n v="1"/>
    <n v="1"/>
  </r>
  <r>
    <m/>
    <m/>
    <x v="1"/>
    <s v="46605651001001"/>
    <n v="-67.41"/>
    <n v="2462"/>
    <n v="1"/>
    <n v="1"/>
  </r>
  <r>
    <m/>
    <m/>
    <x v="1"/>
    <s v="46666481001001"/>
    <n v="-86.77"/>
    <n v="3169"/>
    <n v="3"/>
    <n v="1"/>
  </r>
  <r>
    <m/>
    <m/>
    <x v="1"/>
    <s v="46684121001001"/>
    <n v="-79.209999999999994"/>
    <n v="2893"/>
    <n v="1"/>
    <n v="1"/>
  </r>
  <r>
    <m/>
    <m/>
    <x v="1"/>
    <s v="46759581002001"/>
    <n v="-25.03"/>
    <n v="914"/>
    <n v="1"/>
    <n v="1"/>
  </r>
  <r>
    <m/>
    <m/>
    <x v="1"/>
    <s v="46763571002001"/>
    <n v="-14.46"/>
    <n v="528"/>
    <n v="1"/>
    <n v="1"/>
  </r>
  <r>
    <m/>
    <m/>
    <x v="1"/>
    <s v="46774841003005"/>
    <n v="-40.14"/>
    <n v="1466"/>
    <n v="1"/>
    <n v="1"/>
  </r>
  <r>
    <m/>
    <m/>
    <x v="1"/>
    <s v="46784711001001"/>
    <n v="-4.68"/>
    <n v="171"/>
    <n v="1"/>
    <n v="1"/>
  </r>
  <r>
    <m/>
    <m/>
    <x v="1"/>
    <s v="46799243001001"/>
    <n v="-68.5"/>
    <n v="2502"/>
    <n v="1"/>
    <n v="1"/>
  </r>
  <r>
    <m/>
    <m/>
    <x v="1"/>
    <s v="46827201001001"/>
    <n v="-46.16"/>
    <n v="1686"/>
    <n v="1"/>
    <n v="1"/>
  </r>
  <r>
    <m/>
    <m/>
    <x v="1"/>
    <s v="46829091001001"/>
    <n v="-39.020000000000003"/>
    <n v="1425"/>
    <n v="1"/>
    <n v="1"/>
  </r>
  <r>
    <m/>
    <m/>
    <x v="1"/>
    <s v="46831051002001"/>
    <n v="-60.04"/>
    <n v="2193"/>
    <n v="1"/>
    <n v="1"/>
  </r>
  <r>
    <m/>
    <m/>
    <x v="1"/>
    <s v="46834201001001"/>
    <n v="-66.37"/>
    <n v="2424"/>
    <n v="1"/>
    <n v="1"/>
  </r>
  <r>
    <m/>
    <m/>
    <x v="1"/>
    <s v="46847221001002"/>
    <n v="-14.95"/>
    <n v="546"/>
    <n v="1"/>
    <n v="1"/>
  </r>
  <r>
    <m/>
    <m/>
    <x v="1"/>
    <s v="46861661001001"/>
    <n v="-54.13"/>
    <n v="1977"/>
    <n v="1"/>
    <n v="1"/>
  </r>
  <r>
    <m/>
    <m/>
    <x v="1"/>
    <s v="46948371001001"/>
    <n v="-28.12"/>
    <n v="1027"/>
    <n v="1"/>
    <n v="1"/>
  </r>
  <r>
    <m/>
    <m/>
    <x v="1"/>
    <s v="46962301001002"/>
    <n v="-13.66"/>
    <n v="499"/>
    <n v="1"/>
    <n v="1"/>
  </r>
  <r>
    <m/>
    <m/>
    <x v="1"/>
    <s v="46966151001003"/>
    <n v="-33.43"/>
    <n v="1221"/>
    <n v="1"/>
    <n v="1"/>
  </r>
  <r>
    <m/>
    <m/>
    <x v="1"/>
    <s v="47113431001001"/>
    <n v="-71.459999999999994"/>
    <n v="2610"/>
    <n v="1"/>
    <n v="1"/>
  </r>
  <r>
    <m/>
    <m/>
    <x v="1"/>
    <s v="47161241001003"/>
    <n v="-42.11"/>
    <n v="1538"/>
    <n v="1"/>
    <n v="1"/>
  </r>
  <r>
    <m/>
    <m/>
    <x v="1"/>
    <s v="47179931001006"/>
    <n v="-44.9"/>
    <n v="1640"/>
    <n v="1"/>
    <n v="1"/>
  </r>
  <r>
    <m/>
    <m/>
    <x v="1"/>
    <s v="47194351001001"/>
    <n v="-30.64"/>
    <n v="1119"/>
    <n v="1"/>
    <n v="1"/>
  </r>
  <r>
    <m/>
    <m/>
    <x v="1"/>
    <s v="47199424001002"/>
    <n v="-52.9"/>
    <n v="1932"/>
    <n v="1"/>
    <n v="1"/>
  </r>
  <r>
    <m/>
    <m/>
    <x v="1"/>
    <s v="47260062001002"/>
    <n v="-8.57"/>
    <n v="313"/>
    <n v="1"/>
    <n v="1"/>
  </r>
  <r>
    <m/>
    <m/>
    <x v="1"/>
    <s v="47321401002002"/>
    <n v="-74.31"/>
    <n v="2714"/>
    <n v="1"/>
    <n v="1"/>
  </r>
  <r>
    <m/>
    <m/>
    <x v="1"/>
    <s v="47327071003002"/>
    <n v="-6.22"/>
    <n v="227"/>
    <n v="1"/>
    <n v="1"/>
  </r>
  <r>
    <m/>
    <m/>
    <x v="1"/>
    <s v="47340721002001"/>
    <n v="-10.27"/>
    <n v="375"/>
    <n v="1"/>
    <n v="1"/>
  </r>
  <r>
    <m/>
    <m/>
    <x v="1"/>
    <s v="47354441001003"/>
    <n v="-124.88"/>
    <n v="4561"/>
    <n v="1"/>
    <n v="1"/>
  </r>
  <r>
    <m/>
    <m/>
    <x v="1"/>
    <s v="47354861004001"/>
    <n v="-11.55"/>
    <n v="422"/>
    <n v="1"/>
    <n v="1"/>
  </r>
  <r>
    <m/>
    <m/>
    <x v="1"/>
    <s v="47356829001002"/>
    <n v="-21.55"/>
    <n v="787"/>
    <n v="1"/>
    <n v="1"/>
  </r>
  <r>
    <m/>
    <m/>
    <x v="1"/>
    <s v="47382371002004"/>
    <n v="-11.14"/>
    <n v="407"/>
    <n v="1"/>
    <n v="1"/>
  </r>
  <r>
    <m/>
    <m/>
    <x v="1"/>
    <s v="47409041001014"/>
    <n v="-23.55"/>
    <n v="860"/>
    <n v="1"/>
    <n v="1"/>
  </r>
  <r>
    <m/>
    <m/>
    <x v="1"/>
    <s v="47467482001001"/>
    <n v="-3.2"/>
    <n v="117"/>
    <n v="1"/>
    <n v="1"/>
  </r>
  <r>
    <m/>
    <m/>
    <x v="1"/>
    <s v="47484221001003"/>
    <n v="-24.09"/>
    <n v="880"/>
    <n v="1"/>
    <n v="1"/>
  </r>
  <r>
    <m/>
    <m/>
    <x v="1"/>
    <s v="47501091001002"/>
    <n v="-59.61"/>
    <n v="2177"/>
    <n v="1"/>
    <n v="1"/>
  </r>
  <r>
    <m/>
    <m/>
    <x v="1"/>
    <s v="47600631003001"/>
    <n v="-53.09"/>
    <n v="1939"/>
    <n v="1"/>
    <n v="1"/>
  </r>
  <r>
    <m/>
    <m/>
    <x v="1"/>
    <s v="47605461003004"/>
    <n v="-40.39"/>
    <n v="1475"/>
    <n v="1"/>
    <n v="1"/>
  </r>
  <r>
    <m/>
    <m/>
    <x v="1"/>
    <s v="47618411003003"/>
    <n v="-90.96"/>
    <n v="3322"/>
    <n v="1"/>
    <n v="1"/>
  </r>
  <r>
    <m/>
    <m/>
    <x v="1"/>
    <s v="47625755003001"/>
    <n v="-18.37"/>
    <n v="671"/>
    <n v="1"/>
    <n v="1"/>
  </r>
  <r>
    <m/>
    <m/>
    <x v="1"/>
    <s v="47670141001007"/>
    <n v="-18.84"/>
    <n v="688"/>
    <n v="1"/>
    <n v="1"/>
  </r>
  <r>
    <m/>
    <m/>
    <x v="1"/>
    <s v="47673221001005"/>
    <n v="-54.87"/>
    <n v="2004"/>
    <n v="1"/>
    <n v="1"/>
  </r>
  <r>
    <m/>
    <m/>
    <x v="1"/>
    <s v="47675111001001"/>
    <n v="-59.17"/>
    <n v="2161"/>
    <n v="1"/>
    <n v="1"/>
  </r>
  <r>
    <m/>
    <m/>
    <x v="1"/>
    <s v="47682181001016"/>
    <n v="-13.39"/>
    <n v="489"/>
    <n v="1"/>
    <n v="1"/>
  </r>
  <r>
    <m/>
    <m/>
    <x v="1"/>
    <s v="47759881007003"/>
    <n v="-60.24"/>
    <n v="2200"/>
    <n v="1"/>
    <n v="1"/>
  </r>
  <r>
    <m/>
    <m/>
    <x v="1"/>
    <s v="47770871001001"/>
    <n v="-54.81"/>
    <n v="2002"/>
    <n v="1"/>
    <n v="1"/>
  </r>
  <r>
    <m/>
    <m/>
    <x v="1"/>
    <s v="47806652001004"/>
    <n v="-1.04"/>
    <n v="38"/>
    <n v="1"/>
    <n v="1"/>
  </r>
  <r>
    <m/>
    <m/>
    <x v="1"/>
    <s v="47821341001001"/>
    <n v="-77.95"/>
    <n v="2847"/>
    <n v="1"/>
    <n v="1"/>
  </r>
  <r>
    <m/>
    <m/>
    <x v="1"/>
    <s v="47822951004003"/>
    <n v="-12.51"/>
    <n v="457"/>
    <n v="1"/>
    <n v="1"/>
  </r>
  <r>
    <m/>
    <m/>
    <x v="1"/>
    <s v="47830721003001"/>
    <n v="-53.56"/>
    <n v="1956"/>
    <n v="1"/>
    <n v="1"/>
  </r>
  <r>
    <m/>
    <m/>
    <x v="1"/>
    <s v="47837581001001"/>
    <n v="-55.33"/>
    <n v="2021"/>
    <n v="1"/>
    <n v="1"/>
  </r>
  <r>
    <m/>
    <m/>
    <x v="1"/>
    <s v="47854171001002"/>
    <n v="-92.49"/>
    <n v="3378"/>
    <n v="1"/>
    <n v="1"/>
  </r>
  <r>
    <m/>
    <m/>
    <x v="1"/>
    <s v="47871671002003"/>
    <n v="-55.58"/>
    <n v="2030"/>
    <n v="1"/>
    <n v="1"/>
  </r>
  <r>
    <m/>
    <m/>
    <x v="1"/>
    <s v="47883851001004"/>
    <n v="-78.739999999999995"/>
    <n v="2876"/>
    <n v="1"/>
    <n v="1"/>
  </r>
  <r>
    <m/>
    <m/>
    <x v="1"/>
    <s v="47943771004001"/>
    <n v="-74.5"/>
    <n v="2721"/>
    <n v="1"/>
    <n v="1"/>
  </r>
  <r>
    <m/>
    <m/>
    <x v="1"/>
    <s v="47943981001003"/>
    <n v="-39.07"/>
    <n v="1427"/>
    <n v="1"/>
    <n v="1"/>
  </r>
  <r>
    <m/>
    <m/>
    <x v="1"/>
    <s v="47945381004001"/>
    <n v="-87.51"/>
    <n v="3196"/>
    <n v="1"/>
    <n v="1"/>
  </r>
  <r>
    <m/>
    <m/>
    <x v="1"/>
    <s v="47971841001005"/>
    <n v="-64.67"/>
    <n v="2362"/>
    <n v="1"/>
    <n v="1"/>
  </r>
  <r>
    <m/>
    <m/>
    <x v="1"/>
    <s v="48036521001001"/>
    <n v="-55.17"/>
    <n v="2015"/>
    <n v="1"/>
    <n v="1"/>
  </r>
  <r>
    <m/>
    <m/>
    <x v="1"/>
    <s v="48037781001001"/>
    <n v="-53.66"/>
    <n v="1960"/>
    <n v="1"/>
    <n v="1"/>
  </r>
  <r>
    <m/>
    <m/>
    <x v="1"/>
    <s v="48109251001002"/>
    <n v="-24.64"/>
    <n v="900"/>
    <n v="1"/>
    <n v="1"/>
  </r>
  <r>
    <m/>
    <m/>
    <x v="1"/>
    <s v="48115551001002"/>
    <n v="-1.23"/>
    <n v="45"/>
    <n v="1"/>
    <n v="1"/>
  </r>
  <r>
    <m/>
    <m/>
    <x v="1"/>
    <s v="48115691001003"/>
    <n v="-25.13"/>
    <n v="918"/>
    <n v="1"/>
    <n v="1"/>
  </r>
  <r>
    <m/>
    <m/>
    <x v="1"/>
    <s v="48124752001001"/>
    <n v="-69.19"/>
    <n v="2527"/>
    <n v="1"/>
    <n v="1"/>
  </r>
  <r>
    <m/>
    <m/>
    <x v="1"/>
    <s v="48168055001001"/>
    <n v="-78.22"/>
    <n v="2857"/>
    <n v="1"/>
    <n v="1"/>
  </r>
  <r>
    <m/>
    <m/>
    <x v="1"/>
    <s v="48194791003001"/>
    <n v="-41.86"/>
    <n v="1529"/>
    <n v="1"/>
    <n v="1"/>
  </r>
  <r>
    <m/>
    <m/>
    <x v="1"/>
    <s v="48214181001001"/>
    <n v="-63.82"/>
    <n v="2331"/>
    <n v="1"/>
    <n v="1"/>
  </r>
  <r>
    <m/>
    <m/>
    <x v="1"/>
    <s v="48215861001001"/>
    <n v="-59.55"/>
    <n v="2175"/>
    <n v="1"/>
    <n v="1"/>
  </r>
  <r>
    <m/>
    <m/>
    <x v="1"/>
    <s v="48278021001002"/>
    <n v="-21"/>
    <n v="767"/>
    <n v="1"/>
    <n v="1"/>
  </r>
  <r>
    <m/>
    <m/>
    <x v="1"/>
    <s v="48448751001002"/>
    <n v="-15.88"/>
    <n v="580"/>
    <n v="1"/>
    <n v="1"/>
  </r>
  <r>
    <m/>
    <m/>
    <x v="1"/>
    <s v="48474794001001"/>
    <n v="-66.81"/>
    <n v="2440"/>
    <n v="1"/>
    <n v="1"/>
  </r>
  <r>
    <m/>
    <m/>
    <x v="1"/>
    <s v="48524754001001"/>
    <n v="-55.53"/>
    <n v="2028"/>
    <n v="1"/>
    <n v="1"/>
  </r>
  <r>
    <m/>
    <m/>
    <x v="1"/>
    <s v="48561381001003"/>
    <n v="-72.94"/>
    <n v="2664"/>
    <n v="1"/>
    <n v="1"/>
  </r>
  <r>
    <m/>
    <m/>
    <x v="1"/>
    <s v="48584515001010"/>
    <n v="-40.44"/>
    <n v="1477"/>
    <n v="1"/>
    <n v="1"/>
  </r>
  <r>
    <m/>
    <m/>
    <x v="1"/>
    <s v="48629818001001"/>
    <n v="-43.67"/>
    <n v="1595"/>
    <n v="1"/>
    <n v="1"/>
  </r>
  <r>
    <m/>
    <m/>
    <x v="1"/>
    <s v="48660341001001"/>
    <n v="-9.69"/>
    <n v="354"/>
    <n v="1"/>
    <n v="1"/>
  </r>
  <r>
    <m/>
    <m/>
    <x v="1"/>
    <s v="48752136001002"/>
    <n v="-16.98"/>
    <n v="620"/>
    <n v="1"/>
    <n v="1"/>
  </r>
  <r>
    <m/>
    <m/>
    <x v="1"/>
    <s v="48754161004001"/>
    <n v="-90.6"/>
    <n v="3309"/>
    <n v="1"/>
    <n v="1"/>
  </r>
  <r>
    <m/>
    <m/>
    <x v="1"/>
    <s v="48762278001001"/>
    <n v="-76.5"/>
    <n v="2794"/>
    <n v="1"/>
    <n v="1"/>
  </r>
  <r>
    <m/>
    <m/>
    <x v="1"/>
    <s v="48813381002001"/>
    <n v="-72.58"/>
    <n v="2651"/>
    <n v="1"/>
    <n v="1"/>
  </r>
  <r>
    <m/>
    <m/>
    <x v="1"/>
    <s v="48949115001001"/>
    <n v="-54.02"/>
    <n v="1973"/>
    <n v="1"/>
    <n v="1"/>
  </r>
  <r>
    <m/>
    <m/>
    <x v="1"/>
    <s v="49145181001005"/>
    <n v="-53.91"/>
    <n v="1969"/>
    <n v="1"/>
    <n v="1"/>
  </r>
  <r>
    <m/>
    <m/>
    <x v="1"/>
    <s v="49211191004006"/>
    <n v="-112.78"/>
    <n v="4119"/>
    <n v="1"/>
    <n v="1"/>
  </r>
  <r>
    <m/>
    <m/>
    <x v="1"/>
    <s v="49267961004003"/>
    <n v="-26.09"/>
    <n v="953"/>
    <n v="1"/>
    <n v="1"/>
  </r>
  <r>
    <m/>
    <m/>
    <x v="1"/>
    <s v="49276056001005"/>
    <n v="-81.92"/>
    <n v="2992"/>
    <n v="1"/>
    <n v="1"/>
  </r>
  <r>
    <m/>
    <m/>
    <x v="1"/>
    <s v="49298970001001"/>
    <n v="-27.57"/>
    <n v="1007"/>
    <n v="1"/>
    <n v="1"/>
  </r>
  <r>
    <m/>
    <m/>
    <x v="1"/>
    <s v="49315865001001"/>
    <n v="-31.35"/>
    <n v="1145"/>
    <n v="1"/>
    <n v="1"/>
  </r>
  <r>
    <m/>
    <m/>
    <x v="1"/>
    <s v="49334601005001"/>
    <n v="-24.89"/>
    <n v="909"/>
    <n v="1"/>
    <n v="1"/>
  </r>
  <r>
    <m/>
    <m/>
    <x v="1"/>
    <s v="49371491001002"/>
    <n v="-69.959999999999994"/>
    <n v="2555"/>
    <n v="1"/>
    <n v="1"/>
  </r>
  <r>
    <m/>
    <m/>
    <x v="1"/>
    <s v="49436870001001"/>
    <n v="-47.39"/>
    <n v="1731"/>
    <n v="1"/>
    <n v="1"/>
  </r>
  <r>
    <m/>
    <m/>
    <x v="1"/>
    <s v="49448561001001"/>
    <n v="-86.38"/>
    <n v="3155"/>
    <n v="1"/>
    <n v="1"/>
  </r>
  <r>
    <m/>
    <m/>
    <x v="1"/>
    <s v="49495461002007"/>
    <n v="-33.1"/>
    <n v="1209"/>
    <n v="1"/>
    <n v="1"/>
  </r>
  <r>
    <m/>
    <m/>
    <x v="1"/>
    <s v="49495741001001"/>
    <n v="-61.25"/>
    <n v="2237"/>
    <n v="1"/>
    <n v="1"/>
  </r>
  <r>
    <m/>
    <m/>
    <x v="1"/>
    <s v="49528221002003"/>
    <n v="-65.19"/>
    <n v="2381"/>
    <n v="1"/>
    <n v="1"/>
  </r>
  <r>
    <m/>
    <m/>
    <x v="1"/>
    <s v="49580313001008"/>
    <n v="-42.55"/>
    <n v="1554"/>
    <n v="1"/>
    <n v="1"/>
  </r>
  <r>
    <m/>
    <m/>
    <x v="1"/>
    <s v="49600181003002"/>
    <n v="-49.64"/>
    <n v="1813"/>
    <n v="1"/>
    <n v="1"/>
  </r>
  <r>
    <m/>
    <m/>
    <x v="1"/>
    <s v="49613481002001"/>
    <n v="-83.18"/>
    <n v="3038"/>
    <n v="1"/>
    <n v="1"/>
  </r>
  <r>
    <m/>
    <m/>
    <x v="1"/>
    <s v="49649391002003"/>
    <n v="-61.61"/>
    <n v="2250"/>
    <n v="1"/>
    <n v="1"/>
  </r>
  <r>
    <m/>
    <m/>
    <x v="1"/>
    <s v="49702654001002"/>
    <n v="-17.850000000000001"/>
    <n v="652"/>
    <n v="1"/>
    <n v="1"/>
  </r>
  <r>
    <m/>
    <m/>
    <x v="1"/>
    <s v="49705321003001"/>
    <n v="-64.62"/>
    <n v="2360"/>
    <n v="1"/>
    <n v="1"/>
  </r>
  <r>
    <m/>
    <m/>
    <x v="1"/>
    <s v="49717151001001"/>
    <n v="-70.150000000000006"/>
    <n v="2562"/>
    <n v="1"/>
    <n v="1"/>
  </r>
  <r>
    <m/>
    <m/>
    <x v="1"/>
    <s v="49762441001002"/>
    <n v="-13.28"/>
    <n v="485"/>
    <n v="1"/>
    <n v="1"/>
  </r>
  <r>
    <m/>
    <m/>
    <x v="1"/>
    <s v="49866391001002"/>
    <n v="-32.99"/>
    <n v="1205"/>
    <n v="1"/>
    <n v="1"/>
  </r>
  <r>
    <m/>
    <m/>
    <x v="1"/>
    <s v="49916861001001"/>
    <n v="-44.14"/>
    <n v="1612"/>
    <n v="1"/>
    <n v="1"/>
  </r>
  <r>
    <m/>
    <m/>
    <x v="1"/>
    <s v="49949341001003"/>
    <n v="-13.31"/>
    <n v="486"/>
    <n v="1"/>
    <n v="1"/>
  </r>
  <r>
    <m/>
    <m/>
    <x v="1"/>
    <s v="49950321001002"/>
    <n v="-12.46"/>
    <n v="455"/>
    <n v="1"/>
    <n v="1"/>
  </r>
  <r>
    <m/>
    <m/>
    <x v="1"/>
    <s v="49987071002003"/>
    <n v="-22.86"/>
    <n v="835"/>
    <n v="1"/>
    <n v="1"/>
  </r>
  <r>
    <m/>
    <m/>
    <x v="1"/>
    <s v="49992415001001"/>
    <n v="-42.58"/>
    <n v="1555"/>
    <n v="1"/>
    <n v="1"/>
  </r>
  <r>
    <m/>
    <m/>
    <x v="1"/>
    <s v="50032081001001"/>
    <n v="-80.8"/>
    <n v="2951"/>
    <n v="1"/>
    <n v="1"/>
  </r>
  <r>
    <m/>
    <m/>
    <x v="1"/>
    <s v="50034111002001"/>
    <n v="-52.46"/>
    <n v="1916"/>
    <n v="1"/>
    <n v="1"/>
  </r>
  <r>
    <m/>
    <m/>
    <x v="1"/>
    <s v="50095781001001"/>
    <n v="-30.56"/>
    <n v="1116"/>
    <n v="1"/>
    <n v="1"/>
  </r>
  <r>
    <m/>
    <m/>
    <x v="1"/>
    <s v="50112861003001"/>
    <n v="-76.12"/>
    <n v="2780"/>
    <n v="1"/>
    <n v="1"/>
  </r>
  <r>
    <m/>
    <m/>
    <x v="1"/>
    <s v="50132391002001"/>
    <n v="-51.86"/>
    <n v="1894"/>
    <n v="1"/>
    <n v="1"/>
  </r>
  <r>
    <m/>
    <m/>
    <x v="1"/>
    <s v="50173481004001"/>
    <n v="-18.04"/>
    <n v="659"/>
    <n v="1"/>
    <n v="1"/>
  </r>
  <r>
    <m/>
    <m/>
    <x v="1"/>
    <s v="50180411011001"/>
    <n v="-37.369999999999997"/>
    <n v="1365"/>
    <n v="1"/>
    <n v="1"/>
  </r>
  <r>
    <m/>
    <m/>
    <x v="1"/>
    <s v="50186781001001"/>
    <n v="-78.2"/>
    <n v="2856"/>
    <n v="1"/>
    <n v="1"/>
  </r>
  <r>
    <m/>
    <m/>
    <x v="1"/>
    <s v="50198191001001"/>
    <n v="-84.71"/>
    <n v="3094"/>
    <n v="1"/>
    <n v="1"/>
  </r>
  <r>
    <m/>
    <m/>
    <x v="1"/>
    <s v="50234784001005"/>
    <n v="-74.42"/>
    <n v="2718"/>
    <n v="1"/>
    <n v="1"/>
  </r>
  <r>
    <m/>
    <m/>
    <x v="1"/>
    <s v="50249641001001"/>
    <n v="-72.58"/>
    <n v="2651"/>
    <n v="1"/>
    <n v="1"/>
  </r>
  <r>
    <m/>
    <m/>
    <x v="1"/>
    <s v="50292481001005"/>
    <n v="-13.58"/>
    <n v="496"/>
    <n v="1"/>
    <n v="1"/>
  </r>
  <r>
    <m/>
    <m/>
    <x v="1"/>
    <s v="50305221001001"/>
    <n v="-74.36"/>
    <n v="2716"/>
    <n v="1"/>
    <n v="1"/>
  </r>
  <r>
    <m/>
    <m/>
    <x v="1"/>
    <s v="50368711001001"/>
    <n v="-82.91"/>
    <n v="3028"/>
    <n v="1"/>
    <n v="1"/>
  </r>
  <r>
    <m/>
    <m/>
    <x v="1"/>
    <s v="50396906001003"/>
    <n v="-114.09"/>
    <n v="4167"/>
    <n v="1"/>
    <n v="1"/>
  </r>
  <r>
    <m/>
    <m/>
    <x v="1"/>
    <s v="50425271002004"/>
    <n v="-15.17"/>
    <n v="554"/>
    <n v="1"/>
    <n v="1"/>
  </r>
  <r>
    <m/>
    <m/>
    <x v="1"/>
    <s v="50427931002003"/>
    <n v="-28.37"/>
    <n v="1036"/>
    <n v="1"/>
    <n v="1"/>
  </r>
  <r>
    <m/>
    <m/>
    <x v="1"/>
    <s v="50448651006001"/>
    <n v="-45.2"/>
    <n v="1651"/>
    <n v="1"/>
    <n v="1"/>
  </r>
  <r>
    <m/>
    <m/>
    <x v="1"/>
    <s v="50707351001003"/>
    <n v="-140.68"/>
    <n v="5138"/>
    <n v="1"/>
    <n v="1"/>
  </r>
  <r>
    <m/>
    <m/>
    <x v="1"/>
    <s v="50740761001001"/>
    <n v="-123.21"/>
    <n v="4500"/>
    <n v="1"/>
    <n v="1"/>
  </r>
  <r>
    <m/>
    <m/>
    <x v="1"/>
    <s v="50750911003002"/>
    <n v="-27.98"/>
    <n v="1022"/>
    <n v="1"/>
    <n v="1"/>
  </r>
  <r>
    <m/>
    <m/>
    <x v="1"/>
    <s v="50757911001003"/>
    <n v="-49.67"/>
    <n v="1814"/>
    <n v="1"/>
    <n v="1"/>
  </r>
  <r>
    <m/>
    <m/>
    <x v="1"/>
    <s v="50773731001001"/>
    <n v="-26.61"/>
    <n v="972"/>
    <n v="1"/>
    <n v="1"/>
  </r>
  <r>
    <m/>
    <m/>
    <x v="1"/>
    <s v="50774501001001"/>
    <n v="-67.790000000000006"/>
    <n v="2476"/>
    <n v="1"/>
    <n v="1"/>
  </r>
  <r>
    <m/>
    <m/>
    <x v="1"/>
    <s v="50779261003001"/>
    <n v="-9.1199999999999992"/>
    <n v="333"/>
    <n v="1"/>
    <n v="1"/>
  </r>
  <r>
    <m/>
    <m/>
    <x v="1"/>
    <s v="50791371001002"/>
    <n v="-35.479999999999997"/>
    <n v="1296"/>
    <n v="1"/>
    <n v="1"/>
  </r>
  <r>
    <m/>
    <m/>
    <x v="1"/>
    <s v="50806272001001"/>
    <n v="-61.77"/>
    <n v="2256"/>
    <n v="1"/>
    <n v="1"/>
  </r>
  <r>
    <m/>
    <m/>
    <x v="1"/>
    <s v="50841001001001"/>
    <n v="-3.34"/>
    <n v="122"/>
    <n v="1"/>
    <n v="1"/>
  </r>
  <r>
    <m/>
    <m/>
    <x v="1"/>
    <s v="50849401001002"/>
    <n v="-56.1"/>
    <n v="2049"/>
    <n v="1"/>
    <n v="1"/>
  </r>
  <r>
    <m/>
    <m/>
    <x v="1"/>
    <s v="50858501001001"/>
    <n v="-0.41"/>
    <n v="15"/>
    <n v="1"/>
    <n v="1"/>
  </r>
  <r>
    <m/>
    <m/>
    <x v="1"/>
    <s v="50898883001001"/>
    <n v="-3.94"/>
    <n v="144"/>
    <n v="1"/>
    <n v="1"/>
  </r>
  <r>
    <m/>
    <m/>
    <x v="1"/>
    <s v="50940891001005"/>
    <n v="-8.27"/>
    <n v="302"/>
    <n v="1"/>
    <n v="1"/>
  </r>
  <r>
    <m/>
    <m/>
    <x v="1"/>
    <s v="50944181001001"/>
    <n v="-12.76"/>
    <n v="466"/>
    <n v="1"/>
    <n v="1"/>
  </r>
  <r>
    <m/>
    <m/>
    <x v="1"/>
    <s v="50968331001004"/>
    <n v="-39.78"/>
    <n v="1453"/>
    <n v="1"/>
    <n v="1"/>
  </r>
  <r>
    <m/>
    <m/>
    <x v="1"/>
    <s v="50998792001002"/>
    <n v="-73.05"/>
    <n v="2668"/>
    <n v="1"/>
    <n v="1"/>
  </r>
  <r>
    <m/>
    <m/>
    <x v="1"/>
    <s v="51002281001001"/>
    <n v="-73.790000000000006"/>
    <n v="2695"/>
    <n v="1"/>
    <n v="1"/>
  </r>
  <r>
    <m/>
    <m/>
    <x v="1"/>
    <s v="51002491002001"/>
    <n v="-40.520000000000003"/>
    <n v="1480"/>
    <n v="1"/>
    <n v="1"/>
  </r>
  <r>
    <m/>
    <m/>
    <x v="1"/>
    <s v="51004521001001"/>
    <n v="-52.84"/>
    <n v="1930"/>
    <n v="1"/>
    <n v="1"/>
  </r>
  <r>
    <m/>
    <m/>
    <x v="1"/>
    <s v="51005081004002"/>
    <n v="-42.27"/>
    <n v="1544"/>
    <n v="1"/>
    <n v="1"/>
  </r>
  <r>
    <m/>
    <m/>
    <x v="1"/>
    <s v="51005151001001"/>
    <n v="-4.55"/>
    <n v="166"/>
    <n v="1"/>
    <n v="1"/>
  </r>
  <r>
    <m/>
    <m/>
    <x v="1"/>
    <s v="51006481001002"/>
    <n v="-1.56"/>
    <n v="57"/>
    <n v="1"/>
    <n v="1"/>
  </r>
  <r>
    <m/>
    <m/>
    <x v="1"/>
    <s v="51007181001003"/>
    <n v="-13.94"/>
    <n v="509"/>
    <n v="1"/>
    <n v="1"/>
  </r>
  <r>
    <m/>
    <m/>
    <x v="1"/>
    <s v="51009071001001"/>
    <n v="-46.46"/>
    <n v="1697"/>
    <n v="1"/>
    <n v="1"/>
  </r>
  <r>
    <m/>
    <m/>
    <x v="1"/>
    <s v="51010191001001"/>
    <n v="-22.1"/>
    <n v="807"/>
    <n v="1"/>
    <n v="1"/>
  </r>
  <r>
    <m/>
    <m/>
    <x v="1"/>
    <s v="51027411002001"/>
    <n v="-6.63"/>
    <n v="242"/>
    <n v="1"/>
    <n v="1"/>
  </r>
  <r>
    <m/>
    <m/>
    <x v="1"/>
    <s v="51044080001001"/>
    <n v="-37.32"/>
    <n v="1363"/>
    <n v="1"/>
    <n v="1"/>
  </r>
  <r>
    <m/>
    <m/>
    <x v="1"/>
    <s v="51045401001001"/>
    <n v="-78.36"/>
    <n v="2862"/>
    <n v="1"/>
    <n v="1"/>
  </r>
  <r>
    <m/>
    <m/>
    <x v="1"/>
    <s v="51049461001002"/>
    <n v="-62.84"/>
    <n v="2295"/>
    <n v="1"/>
    <n v="1"/>
  </r>
  <r>
    <m/>
    <m/>
    <x v="1"/>
    <s v="51050021001002"/>
    <n v="-36.799999999999997"/>
    <n v="1344"/>
    <n v="1"/>
    <n v="1"/>
  </r>
  <r>
    <m/>
    <m/>
    <x v="1"/>
    <s v="51050721001002"/>
    <n v="-42.33"/>
    <n v="1546"/>
    <n v="1"/>
    <n v="1"/>
  </r>
  <r>
    <m/>
    <m/>
    <x v="1"/>
    <s v="51063881001002"/>
    <n v="-37.32"/>
    <n v="1363"/>
    <n v="1"/>
    <n v="1"/>
  </r>
  <r>
    <m/>
    <m/>
    <x v="1"/>
    <s v="51067101001006"/>
    <n v="-46.38"/>
    <n v="1694"/>
    <n v="1"/>
    <n v="1"/>
  </r>
  <r>
    <m/>
    <m/>
    <x v="1"/>
    <s v="51068641001003"/>
    <n v="-64.34"/>
    <n v="2350"/>
    <n v="1"/>
    <n v="1"/>
  </r>
  <r>
    <m/>
    <m/>
    <x v="1"/>
    <s v="51082221002003"/>
    <n v="-64.150000000000006"/>
    <n v="2343"/>
    <n v="1"/>
    <n v="1"/>
  </r>
  <r>
    <m/>
    <m/>
    <x v="1"/>
    <s v="51093652001008"/>
    <n v="-102.51"/>
    <n v="3744"/>
    <n v="1"/>
    <n v="1"/>
  </r>
  <r>
    <m/>
    <m/>
    <x v="1"/>
    <s v="51098181001001"/>
    <n v="-35.79"/>
    <n v="1307"/>
    <n v="1"/>
    <n v="1"/>
  </r>
  <r>
    <m/>
    <m/>
    <x v="1"/>
    <s v="51100771003002"/>
    <n v="-90.38"/>
    <n v="3301"/>
    <n v="1"/>
    <n v="1"/>
  </r>
  <r>
    <m/>
    <m/>
    <x v="1"/>
    <s v="51106511001005"/>
    <n v="-43.37"/>
    <n v="1584"/>
    <n v="1"/>
    <n v="1"/>
  </r>
  <r>
    <m/>
    <m/>
    <x v="1"/>
    <s v="51107421001001"/>
    <n v="-73.38"/>
    <n v="2680"/>
    <n v="1"/>
    <n v="1"/>
  </r>
  <r>
    <m/>
    <m/>
    <x v="1"/>
    <s v="51115261001003"/>
    <n v="-25.74"/>
    <n v="940"/>
    <n v="1"/>
    <n v="1"/>
  </r>
  <r>
    <m/>
    <m/>
    <x v="1"/>
    <s v="51118901001001"/>
    <n v="-61.33"/>
    <n v="2240"/>
    <n v="1"/>
    <n v="1"/>
  </r>
  <r>
    <m/>
    <m/>
    <x v="1"/>
    <s v="51122961001001"/>
    <n v="-10.1"/>
    <n v="369"/>
    <n v="1"/>
    <n v="1"/>
  </r>
  <r>
    <m/>
    <m/>
    <x v="1"/>
    <s v="51134651003001"/>
    <n v="-46.33"/>
    <n v="1692"/>
    <n v="1"/>
    <n v="1"/>
  </r>
  <r>
    <m/>
    <m/>
    <x v="1"/>
    <s v="51136961001002"/>
    <n v="-53.04"/>
    <n v="1937"/>
    <n v="1"/>
    <n v="1"/>
  </r>
  <r>
    <m/>
    <m/>
    <x v="1"/>
    <s v="51138571001004"/>
    <n v="-49.28"/>
    <n v="1800"/>
    <n v="1"/>
    <n v="1"/>
  </r>
  <r>
    <m/>
    <m/>
    <x v="1"/>
    <s v="51147881001002"/>
    <n v="-47.59"/>
    <n v="1738"/>
    <n v="1"/>
    <n v="1"/>
  </r>
  <r>
    <m/>
    <m/>
    <x v="1"/>
    <s v="51151311001002"/>
    <n v="-49.01"/>
    <n v="1790"/>
    <n v="1"/>
    <n v="1"/>
  </r>
  <r>
    <m/>
    <m/>
    <x v="1"/>
    <s v="51155161001001"/>
    <n v="-24.26"/>
    <n v="886"/>
    <n v="1"/>
    <n v="1"/>
  </r>
  <r>
    <m/>
    <m/>
    <x v="1"/>
    <s v="51155231001001"/>
    <n v="-47.59"/>
    <n v="1738"/>
    <n v="1"/>
    <n v="1"/>
  </r>
  <r>
    <m/>
    <m/>
    <x v="1"/>
    <s v="51158731001003"/>
    <n v="-18.73"/>
    <n v="684"/>
    <n v="1"/>
    <n v="1"/>
  </r>
  <r>
    <m/>
    <m/>
    <x v="1"/>
    <s v="51165031001003"/>
    <n v="-43.84"/>
    <n v="1601"/>
    <n v="1"/>
    <n v="1"/>
  </r>
  <r>
    <m/>
    <m/>
    <x v="1"/>
    <s v="51166641001002"/>
    <n v="-95.15"/>
    <n v="3475"/>
    <n v="1"/>
    <n v="1"/>
  </r>
  <r>
    <m/>
    <m/>
    <x v="1"/>
    <s v="51193241002001"/>
    <n v="-54.71"/>
    <n v="1998"/>
    <n v="1"/>
    <n v="1"/>
  </r>
  <r>
    <m/>
    <m/>
    <x v="1"/>
    <s v="51195901003003"/>
    <n v="-53.53"/>
    <n v="1955"/>
    <n v="1"/>
    <n v="1"/>
  </r>
  <r>
    <m/>
    <m/>
    <x v="1"/>
    <s v="51198001001002"/>
    <n v="-17.190000000000001"/>
    <n v="628"/>
    <n v="1"/>
    <n v="1"/>
  </r>
  <r>
    <m/>
    <m/>
    <x v="1"/>
    <s v="51198211001002"/>
    <n v="-67.33"/>
    <n v="2459"/>
    <n v="1"/>
    <n v="1"/>
  </r>
  <r>
    <m/>
    <m/>
    <x v="1"/>
    <s v="51204931003005"/>
    <n v="-35.32"/>
    <n v="1290"/>
    <n v="1"/>
    <n v="1"/>
  </r>
  <r>
    <m/>
    <m/>
    <x v="1"/>
    <s v="51222851001001"/>
    <n v="-29.71"/>
    <n v="1085"/>
    <n v="1"/>
    <n v="1"/>
  </r>
  <r>
    <m/>
    <m/>
    <x v="1"/>
    <s v="51227051001001"/>
    <n v="-20.37"/>
    <n v="744"/>
    <n v="1"/>
    <n v="1"/>
  </r>
  <r>
    <m/>
    <m/>
    <x v="1"/>
    <s v="51230691001001"/>
    <n v="-45.29"/>
    <n v="1654"/>
    <n v="1"/>
    <n v="1"/>
  </r>
  <r>
    <m/>
    <m/>
    <x v="1"/>
    <s v="51232231001002"/>
    <n v="-50.13"/>
    <n v="1831"/>
    <n v="1"/>
    <n v="1"/>
  </r>
  <r>
    <m/>
    <m/>
    <x v="1"/>
    <s v="51236151001001"/>
    <n v="-84.71"/>
    <n v="3094"/>
    <n v="1"/>
    <n v="1"/>
  </r>
  <r>
    <m/>
    <m/>
    <x v="1"/>
    <s v="51284101001001"/>
    <n v="-81.67"/>
    <n v="2983"/>
    <n v="1"/>
    <n v="1"/>
  </r>
  <r>
    <m/>
    <m/>
    <x v="1"/>
    <s v="51328341003001"/>
    <n v="-72.5"/>
    <n v="2648"/>
    <n v="1"/>
    <n v="1"/>
  </r>
  <r>
    <m/>
    <m/>
    <x v="1"/>
    <s v="51333171001001"/>
    <n v="-101.14"/>
    <n v="3694"/>
    <n v="1"/>
    <n v="1"/>
  </r>
  <r>
    <m/>
    <m/>
    <x v="1"/>
    <s v="51334011001001"/>
    <n v="-93.04"/>
    <n v="3398"/>
    <n v="1"/>
    <n v="1"/>
  </r>
  <r>
    <m/>
    <m/>
    <x v="1"/>
    <s v="51335971001001"/>
    <n v="-75.489999999999995"/>
    <n v="2757"/>
    <n v="1"/>
    <n v="1"/>
  </r>
  <r>
    <m/>
    <m/>
    <x v="1"/>
    <s v="51344791001003"/>
    <n v="-50.65"/>
    <n v="1850"/>
    <n v="1"/>
    <n v="1"/>
  </r>
  <r>
    <m/>
    <m/>
    <x v="1"/>
    <s v="51351441001005"/>
    <n v="-43.73"/>
    <n v="1597"/>
    <n v="1"/>
    <n v="1"/>
  </r>
  <r>
    <m/>
    <m/>
    <x v="1"/>
    <s v="51377341001001"/>
    <n v="-6.08"/>
    <n v="222"/>
    <n v="1"/>
    <n v="1"/>
  </r>
  <r>
    <m/>
    <m/>
    <x v="1"/>
    <s v="51386021001001"/>
    <n v="-4.55"/>
    <n v="166"/>
    <n v="1"/>
    <n v="1"/>
  </r>
  <r>
    <m/>
    <m/>
    <x v="1"/>
    <s v="51405131001001"/>
    <n v="-61.03"/>
    <n v="2229"/>
    <n v="1"/>
    <n v="1"/>
  </r>
  <r>
    <m/>
    <m/>
    <x v="1"/>
    <s v="51416681001001"/>
    <n v="-54.73"/>
    <n v="1999"/>
    <n v="1"/>
    <n v="1"/>
  </r>
  <r>
    <m/>
    <m/>
    <x v="1"/>
    <s v="51456371002001"/>
    <n v="-8.43"/>
    <n v="308"/>
    <n v="1"/>
    <n v="1"/>
  </r>
  <r>
    <m/>
    <m/>
    <x v="1"/>
    <s v="51462741002002"/>
    <n v="-49.39"/>
    <n v="1804"/>
    <n v="1"/>
    <n v="1"/>
  </r>
  <r>
    <m/>
    <m/>
    <x v="1"/>
    <s v="51508923001001"/>
    <n v="-58.89"/>
    <n v="2151"/>
    <n v="1"/>
    <n v="1"/>
  </r>
  <r>
    <m/>
    <m/>
    <x v="1"/>
    <s v="51514331001001"/>
    <n v="-23.63"/>
    <n v="863"/>
    <n v="1"/>
    <n v="1"/>
  </r>
  <r>
    <m/>
    <m/>
    <x v="1"/>
    <s v="51519861001003"/>
    <n v="-51.78"/>
    <n v="1891"/>
    <n v="1"/>
    <n v="1"/>
  </r>
  <r>
    <m/>
    <m/>
    <x v="1"/>
    <s v="51525601001002"/>
    <n v="-22.26"/>
    <n v="813"/>
    <n v="1"/>
    <n v="1"/>
  </r>
  <r>
    <m/>
    <m/>
    <x v="1"/>
    <s v="51529534001001"/>
    <n v="-47.18"/>
    <n v="1723"/>
    <n v="1"/>
    <n v="1"/>
  </r>
  <r>
    <m/>
    <m/>
    <x v="1"/>
    <s v="51531201001001"/>
    <n v="-26.83"/>
    <n v="980"/>
    <n v="1"/>
    <n v="1"/>
  </r>
  <r>
    <m/>
    <m/>
    <x v="1"/>
    <s v="51536031001001"/>
    <n v="-16.399999999999999"/>
    <n v="599"/>
    <n v="1"/>
    <n v="1"/>
  </r>
  <r>
    <m/>
    <m/>
    <x v="1"/>
    <s v="51555701001005"/>
    <n v="-63.96"/>
    <n v="2336"/>
    <n v="1"/>
    <n v="1"/>
  </r>
  <r>
    <m/>
    <m/>
    <x v="1"/>
    <s v="51560951001001"/>
    <n v="-84.41"/>
    <n v="3083"/>
    <n v="1"/>
    <n v="1"/>
  </r>
  <r>
    <m/>
    <m/>
    <x v="1"/>
    <s v="51567531001002"/>
    <n v="-46.16"/>
    <n v="1686"/>
    <n v="1"/>
    <n v="1"/>
  </r>
  <r>
    <m/>
    <m/>
    <x v="1"/>
    <s v="51578031001001"/>
    <n v="-49.75"/>
    <n v="1817"/>
    <n v="1"/>
    <n v="1"/>
  </r>
  <r>
    <m/>
    <m/>
    <x v="1"/>
    <s v="51591471001001"/>
    <n v="-40.06"/>
    <n v="1463"/>
    <n v="1"/>
    <n v="1"/>
  </r>
  <r>
    <m/>
    <m/>
    <x v="1"/>
    <s v="51597701001005"/>
    <n v="-19.88"/>
    <n v="726"/>
    <n v="1"/>
    <n v="1"/>
  </r>
  <r>
    <m/>
    <m/>
    <x v="1"/>
    <s v="51603091001001"/>
    <n v="-80.5"/>
    <n v="2940"/>
    <n v="1"/>
    <n v="1"/>
  </r>
  <r>
    <m/>
    <m/>
    <x v="1"/>
    <s v="51604071001005"/>
    <n v="-9.2799999999999994"/>
    <n v="339"/>
    <n v="1"/>
    <n v="1"/>
  </r>
  <r>
    <m/>
    <m/>
    <x v="1"/>
    <s v="51616671002003"/>
    <n v="-84.91"/>
    <n v="3101"/>
    <n v="1"/>
    <n v="1"/>
  </r>
  <r>
    <m/>
    <m/>
    <x v="1"/>
    <s v="51625841001001"/>
    <n v="-50.63"/>
    <n v="1849"/>
    <n v="1"/>
    <n v="1"/>
  </r>
  <r>
    <m/>
    <m/>
    <x v="1"/>
    <s v="51625911001001"/>
    <n v="-10.98"/>
    <n v="401"/>
    <n v="1"/>
    <n v="1"/>
  </r>
  <r>
    <m/>
    <m/>
    <x v="1"/>
    <s v="51627031001001"/>
    <n v="-39.4"/>
    <n v="1439"/>
    <n v="1"/>
    <n v="1"/>
  </r>
  <r>
    <m/>
    <m/>
    <x v="1"/>
    <s v="51742237001005"/>
    <n v="-92.22"/>
    <n v="3368"/>
    <n v="1"/>
    <n v="1"/>
  </r>
  <r>
    <m/>
    <m/>
    <x v="1"/>
    <s v="51804380001001"/>
    <n v="-59.91"/>
    <n v="2188"/>
    <n v="1"/>
    <n v="1"/>
  </r>
  <r>
    <m/>
    <m/>
    <x v="1"/>
    <s v="51917069001003"/>
    <n v="-14.18"/>
    <n v="518"/>
    <n v="1"/>
    <n v="1"/>
  </r>
  <r>
    <m/>
    <m/>
    <x v="1"/>
    <s v="52062336001003"/>
    <n v="-8.35"/>
    <n v="305"/>
    <n v="1"/>
    <n v="1"/>
  </r>
  <r>
    <m/>
    <m/>
    <x v="1"/>
    <s v="52150699001001"/>
    <n v="-62.26"/>
    <n v="2274"/>
    <n v="1"/>
    <n v="1"/>
  </r>
  <r>
    <m/>
    <m/>
    <x v="1"/>
    <s v="52236917004001"/>
    <n v="-35.729999999999997"/>
    <n v="1305"/>
    <n v="1"/>
    <n v="1"/>
  </r>
  <r>
    <m/>
    <m/>
    <x v="1"/>
    <s v="52300638004001"/>
    <n v="-14.24"/>
    <n v="520"/>
    <n v="1"/>
    <n v="1"/>
  </r>
  <r>
    <m/>
    <m/>
    <x v="1"/>
    <s v="52411414001001"/>
    <n v="-70.94"/>
    <n v="2591"/>
    <n v="1"/>
    <n v="1"/>
  </r>
  <r>
    <m/>
    <m/>
    <x v="1"/>
    <s v="52724555001001"/>
    <n v="-93.94"/>
    <n v="3431"/>
    <n v="1"/>
    <n v="1"/>
  </r>
  <r>
    <m/>
    <m/>
    <x v="1"/>
    <s v="53001899001007"/>
    <n v="-69.13"/>
    <n v="2525"/>
    <n v="1"/>
    <n v="1"/>
  </r>
  <r>
    <m/>
    <m/>
    <x v="1"/>
    <s v="53097867001003"/>
    <n v="-41.95"/>
    <n v="1532"/>
    <n v="1"/>
    <n v="1"/>
  </r>
  <r>
    <m/>
    <m/>
    <x v="1"/>
    <s v="53296048001001"/>
    <n v="-34.25"/>
    <n v="1251"/>
    <n v="1"/>
    <n v="1"/>
  </r>
  <r>
    <m/>
    <m/>
    <x v="1"/>
    <s v="53307067003008"/>
    <n v="-64.89"/>
    <n v="2370"/>
    <n v="1"/>
    <n v="1"/>
  </r>
  <r>
    <m/>
    <m/>
    <x v="1"/>
    <s v="53513269001001"/>
    <n v="-54.19"/>
    <n v="1979"/>
    <n v="1"/>
    <n v="1"/>
  </r>
  <r>
    <m/>
    <m/>
    <x v="1"/>
    <s v="53697250001001"/>
    <n v="-52.35"/>
    <n v="1912"/>
    <n v="1"/>
    <n v="1"/>
  </r>
  <r>
    <m/>
    <m/>
    <x v="1"/>
    <s v="53915118004001"/>
    <n v="-79.37"/>
    <n v="2899"/>
    <n v="1"/>
    <n v="1"/>
  </r>
  <r>
    <m/>
    <m/>
    <x v="1"/>
    <s v="53978895001001"/>
    <n v="-23.3"/>
    <n v="851"/>
    <n v="1"/>
    <n v="1"/>
  </r>
  <r>
    <m/>
    <m/>
    <x v="1"/>
    <s v="54346046001001"/>
    <n v="-43.64"/>
    <n v="1594"/>
    <n v="1"/>
    <n v="1"/>
  </r>
  <r>
    <m/>
    <m/>
    <x v="1"/>
    <s v="54604589002003"/>
    <n v="-13.09"/>
    <n v="478"/>
    <n v="1"/>
    <n v="1"/>
  </r>
  <r>
    <m/>
    <m/>
    <x v="1"/>
    <s v="54684255001001"/>
    <n v="-52.08"/>
    <n v="1902"/>
    <n v="1"/>
    <n v="1"/>
  </r>
  <r>
    <m/>
    <m/>
    <x v="1"/>
    <s v="54687727001003"/>
    <n v="-15.25"/>
    <n v="557"/>
    <n v="1"/>
    <n v="1"/>
  </r>
  <r>
    <m/>
    <m/>
    <x v="1"/>
    <s v="54706933001001"/>
    <n v="-59.61"/>
    <n v="2177"/>
    <n v="1"/>
    <n v="1"/>
  </r>
  <r>
    <m/>
    <m/>
    <x v="1"/>
    <s v="54875955001001"/>
    <n v="-61.88"/>
    <n v="2260"/>
    <n v="1"/>
    <n v="1"/>
  </r>
  <r>
    <m/>
    <m/>
    <x v="1"/>
    <s v="54980338001003"/>
    <n v="-80.94"/>
    <n v="2956"/>
    <n v="1"/>
    <n v="1"/>
  </r>
  <r>
    <m/>
    <m/>
    <x v="1"/>
    <s v="55160758001002"/>
    <n v="-37.369999999999997"/>
    <n v="1365"/>
    <n v="1"/>
    <n v="1"/>
  </r>
  <r>
    <m/>
    <m/>
    <x v="1"/>
    <s v="55334382001001"/>
    <n v="-51.67"/>
    <n v="1887"/>
    <n v="1"/>
    <n v="1"/>
  </r>
  <r>
    <m/>
    <m/>
    <x v="1"/>
    <s v="55371499001001"/>
    <n v="-38.85"/>
    <n v="1419"/>
    <n v="1"/>
    <n v="1"/>
  </r>
  <r>
    <m/>
    <m/>
    <x v="1"/>
    <s v="55515315001002"/>
    <n v="-59.52"/>
    <n v="2174"/>
    <n v="1"/>
    <n v="1"/>
  </r>
  <r>
    <m/>
    <m/>
    <x v="1"/>
    <s v="55700694001001"/>
    <n v="-45.86"/>
    <n v="1675"/>
    <n v="1"/>
    <n v="1"/>
  </r>
  <r>
    <m/>
    <m/>
    <x v="1"/>
    <s v="55732379001005"/>
    <n v="-12.38"/>
    <n v="452"/>
    <n v="1"/>
    <n v="1"/>
  </r>
  <r>
    <m/>
    <m/>
    <x v="1"/>
    <s v="55986304001001"/>
    <n v="-65.849999999999994"/>
    <n v="2405"/>
    <n v="1"/>
    <n v="1"/>
  </r>
  <r>
    <m/>
    <m/>
    <x v="1"/>
    <s v="56095941001001"/>
    <n v="-66.83"/>
    <n v="2441"/>
    <n v="1"/>
    <n v="1"/>
  </r>
  <r>
    <m/>
    <m/>
    <x v="1"/>
    <s v="56528096001002"/>
    <n v="-55.75"/>
    <n v="2036"/>
    <n v="1"/>
    <n v="1"/>
  </r>
  <r>
    <m/>
    <m/>
    <x v="1"/>
    <s v="57023876001009"/>
    <n v="-44.66"/>
    <n v="1631"/>
    <n v="1"/>
    <n v="1"/>
  </r>
  <r>
    <m/>
    <m/>
    <x v="1"/>
    <s v="57038793001001"/>
    <n v="-118.34"/>
    <n v="4322"/>
    <n v="1"/>
    <n v="1"/>
  </r>
  <r>
    <m/>
    <m/>
    <x v="1"/>
    <s v="57157582001007"/>
    <n v="-48.22"/>
    <n v="1761"/>
    <n v="1"/>
    <n v="1"/>
  </r>
  <r>
    <m/>
    <m/>
    <x v="1"/>
    <s v="57422963001002"/>
    <n v="-43.84"/>
    <n v="1601"/>
    <n v="1"/>
    <n v="1"/>
  </r>
  <r>
    <m/>
    <m/>
    <x v="1"/>
    <s v="57493127001001"/>
    <n v="-4.08"/>
    <n v="149"/>
    <n v="1"/>
    <n v="1"/>
  </r>
  <r>
    <m/>
    <m/>
    <x v="1"/>
    <s v="57564327001001"/>
    <n v="-15.28"/>
    <n v="558"/>
    <n v="1"/>
    <n v="1"/>
  </r>
  <r>
    <m/>
    <m/>
    <x v="1"/>
    <s v="57674970002001"/>
    <n v="-77.62"/>
    <n v="2835"/>
    <n v="1"/>
    <n v="1"/>
  </r>
  <r>
    <m/>
    <m/>
    <x v="1"/>
    <s v="57703524001001"/>
    <n v="-12.92"/>
    <n v="472"/>
    <n v="1"/>
    <n v="1"/>
  </r>
  <r>
    <m/>
    <m/>
    <x v="1"/>
    <s v="57722519001003"/>
    <n v="-21.25"/>
    <n v="776"/>
    <n v="1"/>
    <n v="1"/>
  </r>
  <r>
    <m/>
    <m/>
    <x v="1"/>
    <s v="57810254001002"/>
    <n v="-70.78"/>
    <n v="2585"/>
    <n v="1"/>
    <n v="1"/>
  </r>
  <r>
    <m/>
    <m/>
    <x v="1"/>
    <s v="58035525001001"/>
    <n v="-20.04"/>
    <n v="732"/>
    <n v="1"/>
    <n v="1"/>
  </r>
  <r>
    <m/>
    <m/>
    <x v="1"/>
    <s v="58232265001001"/>
    <n v="-35.18"/>
    <n v="1285"/>
    <n v="1"/>
    <n v="1"/>
  </r>
  <r>
    <m/>
    <m/>
    <x v="1"/>
    <s v="58442302001005"/>
    <n v="-84.69"/>
    <n v="3093"/>
    <n v="1"/>
    <n v="1"/>
  </r>
  <r>
    <m/>
    <m/>
    <x v="1"/>
    <s v="58515961004001"/>
    <n v="-18.73"/>
    <n v="684"/>
    <n v="1"/>
    <n v="1"/>
  </r>
  <r>
    <m/>
    <m/>
    <x v="1"/>
    <s v="58591973002001"/>
    <n v="-61.47"/>
    <n v="2245"/>
    <n v="1"/>
    <n v="1"/>
  </r>
  <r>
    <m/>
    <m/>
    <x v="1"/>
    <s v="58719680001001"/>
    <n v="-27.63"/>
    <n v="1009"/>
    <n v="1"/>
    <n v="1"/>
  </r>
  <r>
    <m/>
    <m/>
    <x v="1"/>
    <s v="58909021001001"/>
    <n v="-11.88"/>
    <n v="434"/>
    <n v="1"/>
    <n v="1"/>
  </r>
  <r>
    <m/>
    <m/>
    <x v="1"/>
    <s v="58941299001001"/>
    <n v="-1.2"/>
    <n v="44"/>
    <n v="1"/>
    <n v="1"/>
  </r>
  <r>
    <m/>
    <m/>
    <x v="1"/>
    <s v="58961407001001"/>
    <n v="-13.53"/>
    <n v="494"/>
    <n v="1"/>
    <n v="1"/>
  </r>
  <r>
    <m/>
    <m/>
    <x v="1"/>
    <s v="59184633002001"/>
    <n v="-27.82"/>
    <n v="1016"/>
    <n v="1"/>
    <n v="1"/>
  </r>
  <r>
    <m/>
    <m/>
    <x v="1"/>
    <s v="59521833001010"/>
    <n v="-107.9"/>
    <n v="3941"/>
    <n v="1"/>
    <n v="1"/>
  </r>
  <r>
    <m/>
    <m/>
    <x v="1"/>
    <s v="59739422001001"/>
    <n v="-48.08"/>
    <n v="1756"/>
    <n v="1"/>
    <n v="1"/>
  </r>
  <r>
    <m/>
    <m/>
    <x v="1"/>
    <s v="60111846001007"/>
    <n v="-37.15"/>
    <n v="1357"/>
    <n v="1"/>
    <n v="1"/>
  </r>
  <r>
    <m/>
    <m/>
    <x v="1"/>
    <s v="60167588001001"/>
    <n v="-15.63"/>
    <n v="571"/>
    <n v="1"/>
    <n v="1"/>
  </r>
  <r>
    <m/>
    <m/>
    <x v="1"/>
    <s v="60311235002003"/>
    <n v="-6.02"/>
    <n v="220"/>
    <n v="1"/>
    <n v="1"/>
  </r>
  <r>
    <m/>
    <m/>
    <x v="1"/>
    <s v="60536331001001"/>
    <n v="-44.93"/>
    <n v="1641"/>
    <n v="1"/>
    <n v="1"/>
  </r>
  <r>
    <m/>
    <m/>
    <x v="1"/>
    <s v="60599585001001"/>
    <n v="-21.44"/>
    <n v="783"/>
    <n v="1"/>
    <n v="1"/>
  </r>
  <r>
    <m/>
    <m/>
    <x v="1"/>
    <s v="60623325001001"/>
    <n v="-54.43"/>
    <n v="1988"/>
    <n v="1"/>
    <n v="1"/>
  </r>
  <r>
    <m/>
    <m/>
    <x v="1"/>
    <s v="60784386002002"/>
    <n v="-41.45"/>
    <n v="1514"/>
    <n v="1"/>
    <n v="1"/>
  </r>
  <r>
    <m/>
    <m/>
    <x v="1"/>
    <s v="60957175001001"/>
    <n v="-27.6"/>
    <n v="1008"/>
    <n v="1"/>
    <n v="1"/>
  </r>
  <r>
    <m/>
    <m/>
    <x v="1"/>
    <s v="60977455001001"/>
    <n v="-2.74"/>
    <n v="100"/>
    <n v="1"/>
    <n v="1"/>
  </r>
  <r>
    <m/>
    <m/>
    <x v="1"/>
    <s v="61188221002001"/>
    <n v="-63.8"/>
    <n v="2330"/>
    <n v="1"/>
    <n v="1"/>
  </r>
  <r>
    <m/>
    <m/>
    <x v="1"/>
    <s v="61241854001001"/>
    <n v="-45.67"/>
    <n v="1668"/>
    <n v="1"/>
    <n v="1"/>
  </r>
  <r>
    <m/>
    <m/>
    <x v="1"/>
    <s v="61308081001001"/>
    <n v="-36.06"/>
    <n v="1317"/>
    <n v="1"/>
    <n v="1"/>
  </r>
  <r>
    <m/>
    <m/>
    <x v="1"/>
    <s v="61372423001001"/>
    <n v="-41.62"/>
    <n v="1520"/>
    <n v="1"/>
    <n v="1"/>
  </r>
  <r>
    <m/>
    <m/>
    <x v="1"/>
    <s v="61387272001001"/>
    <n v="-7.12"/>
    <n v="260"/>
    <n v="1"/>
    <n v="1"/>
  </r>
  <r>
    <m/>
    <m/>
    <x v="1"/>
    <s v="61514360001001"/>
    <n v="-14.81"/>
    <n v="541"/>
    <n v="1"/>
    <n v="1"/>
  </r>
  <r>
    <m/>
    <m/>
    <x v="1"/>
    <s v="61614836001001"/>
    <n v="-81.89"/>
    <n v="2991"/>
    <n v="1"/>
    <n v="1"/>
  </r>
  <r>
    <m/>
    <m/>
    <x v="1"/>
    <s v="61919998001001"/>
    <n v="-66.59"/>
    <n v="2432"/>
    <n v="1"/>
    <n v="1"/>
  </r>
  <r>
    <m/>
    <m/>
    <x v="1"/>
    <s v="61935568001001"/>
    <n v="-8.8699999999999992"/>
    <n v="324"/>
    <n v="1"/>
    <n v="1"/>
  </r>
  <r>
    <m/>
    <m/>
    <x v="1"/>
    <s v="61998512001001"/>
    <n v="-8.43"/>
    <n v="308"/>
    <n v="1"/>
    <n v="1"/>
  </r>
  <r>
    <m/>
    <m/>
    <x v="1"/>
    <s v="62230536001003"/>
    <n v="-90.96"/>
    <n v="3322"/>
    <n v="1"/>
    <n v="1"/>
  </r>
  <r>
    <m/>
    <m/>
    <x v="1"/>
    <s v="62263204001001"/>
    <n v="-94.35"/>
    <n v="3446"/>
    <n v="1"/>
    <n v="1"/>
  </r>
  <r>
    <m/>
    <m/>
    <x v="1"/>
    <s v="62305746001001"/>
    <n v="-46.71"/>
    <n v="1706"/>
    <n v="1"/>
    <n v="1"/>
  </r>
  <r>
    <m/>
    <m/>
    <x v="1"/>
    <s v="62483712001004"/>
    <n v="-34.31"/>
    <n v="1253"/>
    <n v="1"/>
    <n v="1"/>
  </r>
  <r>
    <m/>
    <m/>
    <x v="1"/>
    <s v="62498679001005"/>
    <n v="-19.93"/>
    <n v="728"/>
    <n v="1"/>
    <n v="1"/>
  </r>
  <r>
    <m/>
    <m/>
    <x v="1"/>
    <s v="62691329005001"/>
    <n v="-107.77"/>
    <n v="3936"/>
    <n v="1"/>
    <n v="1"/>
  </r>
  <r>
    <m/>
    <m/>
    <x v="1"/>
    <s v="63196464001001"/>
    <n v="-69.13"/>
    <n v="2525"/>
    <n v="1"/>
    <n v="1"/>
  </r>
  <r>
    <m/>
    <m/>
    <x v="1"/>
    <s v="63212679001001"/>
    <n v="-36.549999999999997"/>
    <n v="1335"/>
    <n v="1"/>
    <n v="1"/>
  </r>
  <r>
    <m/>
    <m/>
    <x v="1"/>
    <s v="63421413002003"/>
    <n v="-14.26"/>
    <n v="521"/>
    <n v="1"/>
    <n v="1"/>
  </r>
  <r>
    <m/>
    <m/>
    <x v="1"/>
    <s v="63432424001001"/>
    <n v="-87.89"/>
    <n v="3210"/>
    <n v="1"/>
    <n v="1"/>
  </r>
  <r>
    <m/>
    <m/>
    <x v="1"/>
    <s v="63508940002001"/>
    <n v="-2.77"/>
    <n v="101"/>
    <n v="1"/>
    <n v="1"/>
  </r>
  <r>
    <m/>
    <m/>
    <x v="1"/>
    <s v="63847291001002"/>
    <n v="-81.89"/>
    <n v="2991"/>
    <n v="1"/>
    <n v="1"/>
  </r>
  <r>
    <m/>
    <m/>
    <x v="1"/>
    <s v="63898256001003"/>
    <n v="-47.45"/>
    <n v="1733"/>
    <n v="1"/>
    <n v="1"/>
  </r>
  <r>
    <m/>
    <m/>
    <x v="1"/>
    <s v="64557430003003"/>
    <n v="-3.2"/>
    <n v="117"/>
    <n v="1"/>
    <n v="1"/>
  </r>
  <r>
    <m/>
    <m/>
    <x v="1"/>
    <s v="64587795001002"/>
    <n v="-53.69"/>
    <n v="1961"/>
    <n v="1"/>
    <n v="1"/>
  </r>
  <r>
    <m/>
    <m/>
    <x v="1"/>
    <s v="64700335001001"/>
    <n v="-46.16"/>
    <n v="1686"/>
    <n v="1"/>
    <n v="1"/>
  </r>
  <r>
    <m/>
    <m/>
    <x v="1"/>
    <s v="64802495002001"/>
    <n v="-45.4"/>
    <n v="1658"/>
    <n v="1"/>
    <n v="1"/>
  </r>
  <r>
    <m/>
    <m/>
    <x v="1"/>
    <s v="64826160001001"/>
    <n v="-53.97"/>
    <n v="1971"/>
    <n v="1"/>
    <n v="1"/>
  </r>
  <r>
    <m/>
    <m/>
    <x v="1"/>
    <s v="65001066001001"/>
    <n v="-38.74"/>
    <n v="1415"/>
    <n v="1"/>
    <n v="1"/>
  </r>
  <r>
    <m/>
    <m/>
    <x v="1"/>
    <s v="65474469002008"/>
    <n v="-30.09"/>
    <n v="1099"/>
    <n v="1"/>
    <n v="1"/>
  </r>
  <r>
    <m/>
    <m/>
    <x v="1"/>
    <s v="65633759004001"/>
    <n v="-79.540000000000006"/>
    <n v="2905"/>
    <n v="1"/>
    <n v="1"/>
  </r>
  <r>
    <m/>
    <m/>
    <x v="1"/>
    <s v="65674917001006"/>
    <n v="-97.94"/>
    <n v="3577"/>
    <n v="1"/>
    <n v="1"/>
  </r>
  <r>
    <m/>
    <m/>
    <x v="1"/>
    <s v="65715070001003"/>
    <n v="-24.31"/>
    <n v="888"/>
    <n v="1"/>
    <n v="1"/>
  </r>
  <r>
    <m/>
    <m/>
    <x v="1"/>
    <s v="65840761001001"/>
    <n v="-25.27"/>
    <n v="923"/>
    <n v="1"/>
    <n v="1"/>
  </r>
  <r>
    <m/>
    <m/>
    <x v="1"/>
    <s v="65950461002001"/>
    <n v="-0.9"/>
    <n v="33"/>
    <n v="1"/>
    <n v="1"/>
  </r>
  <r>
    <m/>
    <m/>
    <x v="1"/>
    <s v="66035608002005"/>
    <n v="-58.21"/>
    <n v="2126"/>
    <n v="1"/>
    <n v="1"/>
  </r>
  <r>
    <m/>
    <m/>
    <x v="1"/>
    <s v="66054732001002"/>
    <n v="-39.130000000000003"/>
    <n v="1429"/>
    <n v="1"/>
    <n v="1"/>
  </r>
  <r>
    <m/>
    <m/>
    <x v="1"/>
    <s v="66122783001004"/>
    <n v="-9.64"/>
    <n v="352"/>
    <n v="1"/>
    <n v="1"/>
  </r>
  <r>
    <m/>
    <m/>
    <x v="1"/>
    <s v="66293697001004"/>
    <n v="-89.37"/>
    <n v="3264"/>
    <n v="1"/>
    <n v="1"/>
  </r>
  <r>
    <m/>
    <m/>
    <x v="1"/>
    <s v="66355473001004"/>
    <n v="-32.94"/>
    <n v="1203"/>
    <n v="1"/>
    <n v="1"/>
  </r>
  <r>
    <m/>
    <m/>
    <x v="1"/>
    <s v="66399758001010"/>
    <n v="-2.19"/>
    <n v="80"/>
    <n v="1"/>
    <n v="1"/>
  </r>
  <r>
    <m/>
    <m/>
    <x v="1"/>
    <s v="66682187001001"/>
    <n v="-67.52"/>
    <n v="2466"/>
    <n v="1"/>
    <n v="1"/>
  </r>
  <r>
    <m/>
    <m/>
    <x v="1"/>
    <s v="66758040001002"/>
    <n v="-10.82"/>
    <n v="395"/>
    <n v="1"/>
    <n v="1"/>
  </r>
  <r>
    <m/>
    <m/>
    <x v="1"/>
    <s v="66846616001003"/>
    <n v="-44.08"/>
    <n v="1610"/>
    <n v="1"/>
    <n v="1"/>
  </r>
  <r>
    <m/>
    <m/>
    <x v="1"/>
    <s v="66953942002008"/>
    <n v="-83.45"/>
    <n v="3048"/>
    <n v="1"/>
    <n v="1"/>
  </r>
  <r>
    <m/>
    <m/>
    <x v="1"/>
    <s v="66961339001001"/>
    <n v="-11.39"/>
    <n v="416"/>
    <n v="1"/>
    <n v="1"/>
  </r>
  <r>
    <m/>
    <m/>
    <x v="1"/>
    <s v="67052660001005"/>
    <n v="-51.83"/>
    <n v="1893"/>
    <n v="1"/>
    <n v="1"/>
  </r>
  <r>
    <m/>
    <m/>
    <x v="1"/>
    <s v="67306787001001"/>
    <n v="-84.93"/>
    <n v="3102"/>
    <n v="1"/>
    <n v="1"/>
  </r>
  <r>
    <m/>
    <m/>
    <x v="1"/>
    <s v="67575902001001"/>
    <n v="-74.12"/>
    <n v="2707"/>
    <n v="1"/>
    <n v="1"/>
  </r>
  <r>
    <m/>
    <m/>
    <x v="1"/>
    <s v="67923885001001"/>
    <n v="-40.58"/>
    <n v="1482"/>
    <n v="1"/>
    <n v="1"/>
  </r>
  <r>
    <m/>
    <m/>
    <x v="1"/>
    <s v="67994603001001"/>
    <n v="-63"/>
    <n v="2301"/>
    <n v="1"/>
    <n v="1"/>
  </r>
  <r>
    <m/>
    <m/>
    <x v="1"/>
    <s v="68010544001001"/>
    <n v="-8.4600000000000009"/>
    <n v="309"/>
    <n v="1"/>
    <n v="1"/>
  </r>
  <r>
    <m/>
    <m/>
    <x v="1"/>
    <s v="68039419001001"/>
    <n v="-43.89"/>
    <n v="1603"/>
    <n v="1"/>
    <n v="1"/>
  </r>
  <r>
    <m/>
    <m/>
    <x v="1"/>
    <s v="68046305001003"/>
    <n v="-37.29"/>
    <n v="1362"/>
    <n v="1"/>
    <n v="1"/>
  </r>
  <r>
    <m/>
    <m/>
    <x v="1"/>
    <s v="68107039001001"/>
    <n v="-62.29"/>
    <n v="2275"/>
    <n v="1"/>
    <n v="1"/>
  </r>
  <r>
    <m/>
    <m/>
    <x v="1"/>
    <s v="68133355001004"/>
    <n v="-27.11"/>
    <n v="990"/>
    <n v="1"/>
    <n v="1"/>
  </r>
  <r>
    <m/>
    <m/>
    <x v="1"/>
    <s v="68173550001001"/>
    <n v="-91.5"/>
    <n v="3342"/>
    <n v="1"/>
    <n v="1"/>
  </r>
  <r>
    <m/>
    <m/>
    <x v="1"/>
    <s v="68316005001001"/>
    <n v="-85.89"/>
    <n v="3137"/>
    <n v="1"/>
    <n v="1"/>
  </r>
  <r>
    <m/>
    <m/>
    <x v="1"/>
    <s v="68338933001001"/>
    <n v="-68.09"/>
    <n v="2487"/>
    <n v="1"/>
    <n v="1"/>
  </r>
  <r>
    <m/>
    <m/>
    <x v="1"/>
    <s v="68501394001001"/>
    <n v="-29.35"/>
    <n v="1072"/>
    <n v="1"/>
    <n v="1"/>
  </r>
  <r>
    <m/>
    <m/>
    <x v="1"/>
    <s v="68587730001006"/>
    <n v="-51.17"/>
    <n v="1869"/>
    <n v="1"/>
    <n v="1"/>
  </r>
  <r>
    <m/>
    <m/>
    <x v="1"/>
    <s v="68624650001002"/>
    <n v="-41.54"/>
    <n v="1517"/>
    <n v="1"/>
    <n v="1"/>
  </r>
  <r>
    <m/>
    <m/>
    <x v="1"/>
    <s v="68667346001005"/>
    <n v="-60.1"/>
    <n v="2195"/>
    <n v="1"/>
    <n v="1"/>
  </r>
  <r>
    <m/>
    <m/>
    <x v="1"/>
    <s v="68711288001003"/>
    <n v="-115.57"/>
    <n v="4221"/>
    <n v="1"/>
    <n v="1"/>
  </r>
  <r>
    <m/>
    <m/>
    <x v="1"/>
    <s v="68837584001003"/>
    <n v="-9.14"/>
    <n v="334"/>
    <n v="1"/>
    <n v="1"/>
  </r>
  <r>
    <m/>
    <m/>
    <x v="1"/>
    <s v="68970693003001"/>
    <n v="-67.77"/>
    <n v="2475"/>
    <n v="1"/>
    <n v="1"/>
  </r>
  <r>
    <m/>
    <m/>
    <x v="1"/>
    <s v="69172909001001"/>
    <n v="-54.98"/>
    <n v="2008"/>
    <n v="1"/>
    <n v="1"/>
  </r>
  <r>
    <m/>
    <m/>
    <x v="1"/>
    <s v="69182870001007"/>
    <n v="-75.489999999999995"/>
    <n v="2757"/>
    <n v="1"/>
    <n v="1"/>
  </r>
  <r>
    <m/>
    <m/>
    <x v="1"/>
    <s v="69208025001001"/>
    <n v="-49.23"/>
    <n v="1798"/>
    <n v="1"/>
    <n v="1"/>
  </r>
  <r>
    <m/>
    <m/>
    <x v="1"/>
    <s v="69340720001002"/>
    <n v="-46.85"/>
    <n v="1711"/>
    <n v="1"/>
    <n v="1"/>
  </r>
  <r>
    <m/>
    <m/>
    <x v="1"/>
    <s v="69347896001001"/>
    <n v="-31.57"/>
    <n v="1153"/>
    <n v="1"/>
    <n v="1"/>
  </r>
  <r>
    <m/>
    <m/>
    <x v="1"/>
    <s v="69542400001002"/>
    <n v="-69.819999999999993"/>
    <n v="2550"/>
    <n v="1"/>
    <n v="1"/>
  </r>
  <r>
    <m/>
    <m/>
    <x v="1"/>
    <s v="69704870001003"/>
    <n v="-77.510000000000005"/>
    <n v="2831"/>
    <n v="1"/>
    <n v="1"/>
  </r>
  <r>
    <m/>
    <m/>
    <x v="1"/>
    <s v="69906946003001"/>
    <n v="-27.38"/>
    <n v="1000"/>
    <n v="1"/>
    <n v="1"/>
  </r>
  <r>
    <m/>
    <m/>
    <x v="1"/>
    <s v="69992827001001"/>
    <n v="-50.52"/>
    <n v="1845"/>
    <n v="1"/>
    <n v="1"/>
  </r>
  <r>
    <m/>
    <m/>
    <x v="1"/>
    <s v="70342704002001"/>
    <n v="-22.4"/>
    <n v="818"/>
    <n v="1"/>
    <n v="1"/>
  </r>
  <r>
    <m/>
    <m/>
    <x v="1"/>
    <s v="70350989002001"/>
    <n v="-9.36"/>
    <n v="342"/>
    <n v="1"/>
    <n v="1"/>
  </r>
  <r>
    <m/>
    <m/>
    <x v="1"/>
    <s v="70557497004001"/>
    <n v="-17.170000000000002"/>
    <n v="627"/>
    <n v="1"/>
    <n v="1"/>
  </r>
  <r>
    <m/>
    <m/>
    <x v="1"/>
    <s v="70566844001001"/>
    <n v="-67.33"/>
    <n v="2459"/>
    <n v="1"/>
    <n v="1"/>
  </r>
  <r>
    <m/>
    <m/>
    <x v="1"/>
    <s v="70930301001003"/>
    <n v="-22.86"/>
    <n v="835"/>
    <n v="1"/>
    <n v="1"/>
  </r>
  <r>
    <m/>
    <m/>
    <x v="1"/>
    <s v="71193273001003"/>
    <n v="-53.64"/>
    <n v="1959"/>
    <n v="2"/>
    <n v="1"/>
  </r>
  <r>
    <m/>
    <m/>
    <x v="1"/>
    <s v="71726966001001"/>
    <n v="-197.44"/>
    <n v="7211"/>
    <n v="1"/>
    <n v="1"/>
  </r>
  <r>
    <m/>
    <m/>
    <x v="1"/>
    <s v="71895732001001"/>
    <n v="-33.51"/>
    <n v="1224"/>
    <n v="1"/>
    <n v="1"/>
  </r>
  <r>
    <m/>
    <m/>
    <x v="1"/>
    <s v="71897700001003"/>
    <n v="-55.66"/>
    <n v="2033"/>
    <n v="1"/>
    <n v="1"/>
  </r>
  <r>
    <m/>
    <m/>
    <x v="1"/>
    <s v="71925425001001"/>
    <n v="-35.270000000000003"/>
    <n v="1288"/>
    <n v="1"/>
    <n v="1"/>
  </r>
  <r>
    <m/>
    <m/>
    <x v="1"/>
    <s v="72021826001002"/>
    <n v="-129.32"/>
    <n v="4723"/>
    <n v="1"/>
    <n v="1"/>
  </r>
  <r>
    <m/>
    <m/>
    <x v="1"/>
    <s v="72036734002001"/>
    <n v="-40.299999999999997"/>
    <n v="1472"/>
    <n v="1"/>
    <n v="1"/>
  </r>
  <r>
    <m/>
    <m/>
    <x v="1"/>
    <s v="72748480001001"/>
    <n v="-15.69"/>
    <n v="573"/>
    <n v="1"/>
    <n v="1"/>
  </r>
  <r>
    <m/>
    <m/>
    <x v="1"/>
    <s v="72816069001004"/>
    <n v="-22.21"/>
    <n v="811"/>
    <n v="1"/>
    <n v="1"/>
  </r>
  <r>
    <m/>
    <m/>
    <x v="1"/>
    <s v="72820369001003"/>
    <n v="-102.95"/>
    <n v="3760"/>
    <n v="1"/>
    <n v="1"/>
  </r>
  <r>
    <m/>
    <m/>
    <x v="1"/>
    <s v="72885097001005"/>
    <n v="-29.71"/>
    <n v="1085"/>
    <n v="1"/>
    <n v="1"/>
  </r>
  <r>
    <m/>
    <m/>
    <x v="1"/>
    <s v="73203415001002"/>
    <n v="-41.21"/>
    <n v="1505"/>
    <n v="1"/>
    <n v="1"/>
  </r>
  <r>
    <m/>
    <m/>
    <x v="1"/>
    <s v="73391974001001"/>
    <n v="-103.72"/>
    <n v="3788"/>
    <n v="1"/>
    <n v="1"/>
  </r>
  <r>
    <m/>
    <m/>
    <x v="1"/>
    <s v="73932323001001"/>
    <n v="-13.33"/>
    <n v="487"/>
    <n v="1"/>
    <n v="1"/>
  </r>
  <r>
    <m/>
    <m/>
    <x v="1"/>
    <s v="74187446001004"/>
    <n v="-3.94"/>
    <n v="144"/>
    <n v="1"/>
    <n v="1"/>
  </r>
  <r>
    <m/>
    <m/>
    <x v="1"/>
    <s v="74657239001002"/>
    <n v="-6.68"/>
    <n v="244"/>
    <n v="1"/>
    <n v="1"/>
  </r>
  <r>
    <m/>
    <m/>
    <x v="1"/>
    <s v="74688977002001"/>
    <n v="-1.62"/>
    <n v="59"/>
    <n v="1"/>
    <n v="1"/>
  </r>
  <r>
    <m/>
    <m/>
    <x v="1"/>
    <s v="74739829001007"/>
    <n v="-21.25"/>
    <n v="776"/>
    <n v="1"/>
    <n v="1"/>
  </r>
  <r>
    <m/>
    <m/>
    <x v="1"/>
    <s v="74792156002002"/>
    <n v="-29.65"/>
    <n v="1083"/>
    <n v="1"/>
    <n v="1"/>
  </r>
  <r>
    <m/>
    <m/>
    <x v="1"/>
    <s v="74797014002001"/>
    <n v="-122.36"/>
    <n v="4469"/>
    <n v="1"/>
    <n v="1"/>
  </r>
  <r>
    <m/>
    <m/>
    <x v="1"/>
    <s v="74916061001001"/>
    <n v="-51.75"/>
    <n v="1890"/>
    <n v="1"/>
    <n v="1"/>
  </r>
  <r>
    <m/>
    <m/>
    <x v="1"/>
    <s v="75599421001001"/>
    <n v="-50.11"/>
    <n v="1830"/>
    <n v="1"/>
    <n v="1"/>
  </r>
  <r>
    <m/>
    <m/>
    <x v="1"/>
    <s v="75761373002005"/>
    <n v="-23.22"/>
    <n v="848"/>
    <n v="1"/>
    <n v="1"/>
  </r>
  <r>
    <m/>
    <m/>
    <x v="1"/>
    <s v="75990063001006"/>
    <n v="-11.2"/>
    <n v="409"/>
    <n v="1"/>
    <n v="1"/>
  </r>
  <r>
    <m/>
    <m/>
    <x v="1"/>
    <s v="76471101001001"/>
    <n v="-50.08"/>
    <n v="1829"/>
    <n v="1"/>
    <n v="1"/>
  </r>
  <r>
    <m/>
    <m/>
    <x v="1"/>
    <s v="76524393002001"/>
    <n v="-67.930000000000007"/>
    <n v="2481"/>
    <n v="1"/>
    <n v="1"/>
  </r>
  <r>
    <m/>
    <m/>
    <x v="1"/>
    <s v="76532526001001"/>
    <n v="-65.930000000000007"/>
    <n v="2408"/>
    <n v="1"/>
    <n v="1"/>
  </r>
  <r>
    <m/>
    <m/>
    <x v="1"/>
    <s v="76556293001005"/>
    <n v="-99.09"/>
    <n v="3619"/>
    <n v="1"/>
    <n v="1"/>
  </r>
  <r>
    <m/>
    <m/>
    <x v="1"/>
    <s v="76590700001002"/>
    <n v="-8.57"/>
    <n v="313"/>
    <n v="1"/>
    <n v="1"/>
  </r>
  <r>
    <m/>
    <m/>
    <x v="1"/>
    <s v="76882051001001"/>
    <n v="-9.8800000000000008"/>
    <n v="361"/>
    <n v="1"/>
    <n v="1"/>
  </r>
  <r>
    <m/>
    <m/>
    <x v="1"/>
    <s v="77034079001001"/>
    <n v="-33.65"/>
    <n v="1229"/>
    <n v="1"/>
    <n v="1"/>
  </r>
  <r>
    <m/>
    <m/>
    <x v="1"/>
    <s v="77152442001008"/>
    <n v="-66.75"/>
    <n v="2438"/>
    <n v="1"/>
    <n v="1"/>
  </r>
  <r>
    <m/>
    <m/>
    <x v="1"/>
    <s v="77312333001001"/>
    <n v="-71.63"/>
    <n v="2616"/>
    <n v="1"/>
    <n v="1"/>
  </r>
  <r>
    <m/>
    <m/>
    <x v="1"/>
    <s v="77375643003003"/>
    <n v="-13.91"/>
    <n v="508"/>
    <n v="1"/>
    <n v="1"/>
  </r>
  <r>
    <m/>
    <m/>
    <x v="1"/>
    <s v="77813221001001"/>
    <n v="-8.8699999999999992"/>
    <n v="324"/>
    <n v="1"/>
    <n v="1"/>
  </r>
  <r>
    <m/>
    <m/>
    <x v="1"/>
    <s v="77922884001002"/>
    <n v="-38.96"/>
    <n v="1423"/>
    <n v="1"/>
    <n v="1"/>
  </r>
  <r>
    <m/>
    <m/>
    <x v="1"/>
    <s v="77981276001001"/>
    <n v="-43.48"/>
    <n v="1588"/>
    <n v="1"/>
    <n v="1"/>
  </r>
  <r>
    <m/>
    <m/>
    <x v="1"/>
    <s v="78102550001004"/>
    <n v="-40.299999999999997"/>
    <n v="1472"/>
    <n v="1"/>
    <n v="1"/>
  </r>
  <r>
    <m/>
    <m/>
    <x v="1"/>
    <s v="78163683002001"/>
    <n v="-7.8"/>
    <n v="285"/>
    <n v="1"/>
    <n v="1"/>
  </r>
  <r>
    <m/>
    <m/>
    <x v="1"/>
    <s v="78258113001003"/>
    <n v="-33.130000000000003"/>
    <n v="1210"/>
    <n v="1"/>
    <n v="1"/>
  </r>
  <r>
    <m/>
    <m/>
    <x v="1"/>
    <s v="78272932003017"/>
    <n v="-24.78"/>
    <n v="905"/>
    <n v="1"/>
    <n v="1"/>
  </r>
  <r>
    <m/>
    <m/>
    <x v="1"/>
    <s v="78360766001001"/>
    <n v="-107.03"/>
    <n v="3909"/>
    <n v="1"/>
    <n v="1"/>
  </r>
  <r>
    <m/>
    <m/>
    <x v="1"/>
    <s v="78465175004001"/>
    <n v="-62.21"/>
    <n v="2272"/>
    <n v="1"/>
    <n v="1"/>
  </r>
  <r>
    <m/>
    <m/>
    <x v="1"/>
    <s v="79019455001003"/>
    <n v="-18.32"/>
    <n v="669"/>
    <n v="1"/>
    <n v="1"/>
  </r>
  <r>
    <m/>
    <m/>
    <x v="1"/>
    <s v="79256766001003"/>
    <n v="-4.57"/>
    <n v="167"/>
    <n v="1"/>
    <n v="1"/>
  </r>
  <r>
    <m/>
    <m/>
    <x v="1"/>
    <s v="79283500001001"/>
    <n v="-36.85"/>
    <n v="1346"/>
    <n v="1"/>
    <n v="1"/>
  </r>
  <r>
    <m/>
    <m/>
    <x v="1"/>
    <s v="79713989002001"/>
    <n v="-53.17"/>
    <n v="1942"/>
    <n v="1"/>
    <n v="1"/>
  </r>
  <r>
    <m/>
    <m/>
    <x v="1"/>
    <s v="79758306001002"/>
    <n v="-59.8"/>
    <n v="2184"/>
    <n v="1"/>
    <n v="1"/>
  </r>
  <r>
    <m/>
    <m/>
    <x v="1"/>
    <s v="79889145002003"/>
    <n v="-29"/>
    <n v="1059"/>
    <n v="1"/>
    <n v="1"/>
  </r>
  <r>
    <m/>
    <m/>
    <x v="1"/>
    <s v="80168519001003"/>
    <n v="-38.630000000000003"/>
    <n v="1411"/>
    <n v="1"/>
    <n v="1"/>
  </r>
  <r>
    <m/>
    <m/>
    <x v="1"/>
    <s v="80512321001001"/>
    <n v="-27.02"/>
    <n v="987"/>
    <n v="1"/>
    <n v="1"/>
  </r>
  <r>
    <m/>
    <m/>
    <x v="1"/>
    <s v="80546282001001"/>
    <n v="-44"/>
    <n v="1607"/>
    <n v="1"/>
    <n v="1"/>
  </r>
  <r>
    <m/>
    <m/>
    <x v="1"/>
    <s v="80768782001005"/>
    <n v="-57.44"/>
    <n v="2098"/>
    <n v="1"/>
    <n v="1"/>
  </r>
  <r>
    <m/>
    <m/>
    <x v="1"/>
    <s v="81284913001001"/>
    <n v="-40.28"/>
    <n v="1471"/>
    <n v="1"/>
    <n v="1"/>
  </r>
  <r>
    <m/>
    <m/>
    <x v="1"/>
    <s v="81474097001003"/>
    <n v="-31.3"/>
    <n v="1143"/>
    <n v="1"/>
    <n v="1"/>
  </r>
  <r>
    <m/>
    <m/>
    <x v="1"/>
    <s v="81565669001002"/>
    <n v="-47.34"/>
    <n v="1729"/>
    <n v="1"/>
    <n v="1"/>
  </r>
  <r>
    <m/>
    <m/>
    <x v="1"/>
    <s v="81870119001003"/>
    <n v="-4.9800000000000004"/>
    <n v="182"/>
    <n v="1"/>
    <n v="1"/>
  </r>
  <r>
    <m/>
    <m/>
    <x v="1"/>
    <s v="82088762001001"/>
    <n v="-65.77"/>
    <n v="2402"/>
    <n v="1"/>
    <n v="1"/>
  </r>
  <r>
    <m/>
    <m/>
    <x v="1"/>
    <s v="82161245001007"/>
    <n v="-10.43"/>
    <n v="381"/>
    <n v="1"/>
    <n v="1"/>
  </r>
  <r>
    <m/>
    <m/>
    <x v="1"/>
    <s v="82203094001003"/>
    <n v="-50.27"/>
    <n v="1836"/>
    <n v="1"/>
    <n v="1"/>
  </r>
  <r>
    <m/>
    <m/>
    <x v="1"/>
    <s v="82225464001008"/>
    <n v="-68.92"/>
    <n v="2517"/>
    <n v="1"/>
    <n v="1"/>
  </r>
  <r>
    <m/>
    <m/>
    <x v="1"/>
    <s v="82440956001001"/>
    <n v="-70.61"/>
    <n v="2579"/>
    <n v="1"/>
    <n v="1"/>
  </r>
  <r>
    <m/>
    <m/>
    <x v="1"/>
    <s v="82705141002001"/>
    <n v="-44.99"/>
    <n v="1643"/>
    <n v="1"/>
    <n v="1"/>
  </r>
  <r>
    <m/>
    <m/>
    <x v="1"/>
    <s v="82804369003001"/>
    <n v="-8.7899999999999991"/>
    <n v="321"/>
    <n v="1"/>
    <n v="1"/>
  </r>
  <r>
    <m/>
    <m/>
    <x v="1"/>
    <s v="82976339001006"/>
    <n v="-6.68"/>
    <n v="244"/>
    <n v="1"/>
    <n v="1"/>
  </r>
  <r>
    <m/>
    <m/>
    <x v="1"/>
    <s v="83084544001001"/>
    <n v="-53.86"/>
    <n v="1967"/>
    <n v="1"/>
    <n v="1"/>
  </r>
  <r>
    <m/>
    <m/>
    <x v="1"/>
    <s v="83337256001001"/>
    <n v="-14.43"/>
    <n v="527"/>
    <n v="1"/>
    <n v="1"/>
  </r>
  <r>
    <m/>
    <m/>
    <x v="1"/>
    <s v="83358782001001"/>
    <n v="-83.32"/>
    <n v="3043"/>
    <n v="1"/>
    <n v="1"/>
  </r>
  <r>
    <m/>
    <m/>
    <x v="1"/>
    <s v="83637951001001"/>
    <n v="-1.7"/>
    <n v="62"/>
    <n v="1"/>
    <n v="1"/>
  </r>
  <r>
    <m/>
    <m/>
    <x v="1"/>
    <s v="83649578001001"/>
    <n v="-53.91"/>
    <n v="1969"/>
    <n v="1"/>
    <n v="1"/>
  </r>
  <r>
    <m/>
    <m/>
    <x v="1"/>
    <s v="83701365002001"/>
    <n v="-66.2"/>
    <n v="2418"/>
    <n v="1"/>
    <n v="1"/>
  </r>
  <r>
    <m/>
    <m/>
    <x v="1"/>
    <s v="83800275001002"/>
    <n v="-9.42"/>
    <n v="344"/>
    <n v="1"/>
    <n v="1"/>
  </r>
  <r>
    <m/>
    <m/>
    <x v="1"/>
    <s v="83981932001002"/>
    <n v="-6.43"/>
    <n v="235"/>
    <n v="1"/>
    <n v="1"/>
  </r>
  <r>
    <m/>
    <m/>
    <x v="1"/>
    <s v="84173742001001"/>
    <n v="-64.150000000000006"/>
    <n v="2343"/>
    <n v="1"/>
    <n v="1"/>
  </r>
  <r>
    <m/>
    <m/>
    <x v="1"/>
    <s v="84644192001003"/>
    <n v="-1.37"/>
    <n v="50"/>
    <n v="1"/>
    <n v="1"/>
  </r>
  <r>
    <m/>
    <m/>
    <x v="1"/>
    <s v="84645093001003"/>
    <n v="-16.920000000000002"/>
    <n v="618"/>
    <n v="1"/>
    <n v="1"/>
  </r>
  <r>
    <m/>
    <m/>
    <x v="1"/>
    <s v="84649205001001"/>
    <n v="-50.27"/>
    <n v="1836"/>
    <n v="1"/>
    <n v="1"/>
  </r>
  <r>
    <m/>
    <m/>
    <x v="1"/>
    <s v="85052617001009"/>
    <n v="-15.8"/>
    <n v="577"/>
    <n v="1"/>
    <n v="1"/>
  </r>
  <r>
    <m/>
    <m/>
    <x v="1"/>
    <s v="85313155001006"/>
    <n v="-38.72"/>
    <n v="1414"/>
    <n v="1"/>
    <n v="1"/>
  </r>
  <r>
    <m/>
    <m/>
    <x v="1"/>
    <s v="85338592002003"/>
    <n v="-58.92"/>
    <n v="2152"/>
    <n v="1"/>
    <n v="1"/>
  </r>
  <r>
    <m/>
    <m/>
    <x v="1"/>
    <s v="85464036001001"/>
    <n v="-71.98"/>
    <n v="2629"/>
    <n v="1"/>
    <n v="1"/>
  </r>
  <r>
    <m/>
    <m/>
    <x v="1"/>
    <s v="85590751001003"/>
    <n v="-43.73"/>
    <n v="1597"/>
    <n v="1"/>
    <n v="1"/>
  </r>
  <r>
    <m/>
    <m/>
    <x v="1"/>
    <s v="85655171001003"/>
    <n v="-49.45"/>
    <n v="1806"/>
    <n v="1"/>
    <n v="1"/>
  </r>
  <r>
    <m/>
    <m/>
    <x v="1"/>
    <s v="85747080001001"/>
    <n v="-8.43"/>
    <n v="308"/>
    <n v="1"/>
    <n v="1"/>
  </r>
  <r>
    <m/>
    <m/>
    <x v="1"/>
    <s v="85758200001003"/>
    <n v="-21.41"/>
    <n v="782"/>
    <n v="1"/>
    <n v="1"/>
  </r>
  <r>
    <m/>
    <m/>
    <x v="1"/>
    <s v="85764397001002"/>
    <n v="-11.64"/>
    <n v="425"/>
    <n v="1"/>
    <n v="1"/>
  </r>
  <r>
    <m/>
    <m/>
    <x v="1"/>
    <s v="85767727002001"/>
    <n v="-52.19"/>
    <n v="1906"/>
    <n v="1"/>
    <n v="1"/>
  </r>
  <r>
    <m/>
    <m/>
    <x v="1"/>
    <s v="86090490001001"/>
    <n v="-89.34"/>
    <n v="3263"/>
    <n v="1"/>
    <n v="1"/>
  </r>
  <r>
    <m/>
    <m/>
    <x v="1"/>
    <s v="86167921001001"/>
    <n v="-43.29"/>
    <n v="1581"/>
    <n v="1"/>
    <n v="1"/>
  </r>
  <r>
    <m/>
    <m/>
    <x v="1"/>
    <s v="86204770001003"/>
    <n v="-96.98"/>
    <n v="3542"/>
    <n v="1"/>
    <n v="1"/>
  </r>
  <r>
    <m/>
    <m/>
    <x v="1"/>
    <s v="86306065001001"/>
    <n v="-38.99"/>
    <n v="1424"/>
    <n v="1"/>
    <n v="1"/>
  </r>
  <r>
    <m/>
    <m/>
    <x v="1"/>
    <s v="86651786001004"/>
    <n v="-57.42"/>
    <n v="2097"/>
    <n v="1"/>
    <n v="1"/>
  </r>
  <r>
    <m/>
    <m/>
    <x v="1"/>
    <s v="86695884001001"/>
    <n v="-36.33"/>
    <n v="1327"/>
    <n v="1"/>
    <n v="1"/>
  </r>
  <r>
    <m/>
    <m/>
    <x v="1"/>
    <s v="86799046001002"/>
    <n v="-50.57"/>
    <n v="1847"/>
    <n v="1"/>
    <n v="1"/>
  </r>
  <r>
    <m/>
    <m/>
    <x v="1"/>
    <s v="86860532001001"/>
    <n v="-16.510000000000002"/>
    <n v="603"/>
    <n v="1"/>
    <n v="1"/>
  </r>
  <r>
    <m/>
    <m/>
    <x v="1"/>
    <s v="86993697001003"/>
    <n v="-26.45"/>
    <n v="966"/>
    <n v="1"/>
    <n v="1"/>
  </r>
  <r>
    <m/>
    <m/>
    <x v="1"/>
    <s v="87080407001006"/>
    <n v="-24.92"/>
    <n v="910"/>
    <n v="1"/>
    <n v="1"/>
  </r>
  <r>
    <m/>
    <m/>
    <x v="1"/>
    <s v="87090986001001"/>
    <n v="-46.3"/>
    <n v="1691"/>
    <n v="1"/>
    <n v="1"/>
  </r>
  <r>
    <m/>
    <m/>
    <x v="1"/>
    <s v="87432684001003"/>
    <n v="-26.31"/>
    <n v="961"/>
    <n v="1"/>
    <n v="1"/>
  </r>
  <r>
    <m/>
    <m/>
    <x v="1"/>
    <s v="87486491001002"/>
    <n v="-18.399999999999999"/>
    <n v="672"/>
    <n v="1"/>
    <n v="1"/>
  </r>
  <r>
    <m/>
    <m/>
    <x v="1"/>
    <s v="87739868002001"/>
    <n v="-66.59"/>
    <n v="2432"/>
    <n v="1"/>
    <n v="1"/>
  </r>
  <r>
    <m/>
    <m/>
    <x v="1"/>
    <s v="87843191001001"/>
    <n v="-58.62"/>
    <n v="2141"/>
    <n v="1"/>
    <n v="1"/>
  </r>
  <r>
    <m/>
    <m/>
    <x v="1"/>
    <s v="87902088001001"/>
    <n v="-53.88"/>
    <n v="1968"/>
    <n v="1"/>
    <n v="1"/>
  </r>
  <r>
    <m/>
    <m/>
    <x v="1"/>
    <s v="88182721001002"/>
    <n v="-20.51"/>
    <n v="749"/>
    <n v="1"/>
    <n v="1"/>
  </r>
  <r>
    <m/>
    <m/>
    <x v="1"/>
    <s v="88269625001002"/>
    <n v="-16.07"/>
    <n v="587"/>
    <n v="1"/>
    <n v="1"/>
  </r>
  <r>
    <m/>
    <m/>
    <x v="1"/>
    <s v="88600796001001"/>
    <n v="-20.37"/>
    <n v="744"/>
    <n v="1"/>
    <n v="1"/>
  </r>
  <r>
    <m/>
    <m/>
    <x v="1"/>
    <s v="88795471002001"/>
    <n v="-38.200000000000003"/>
    <n v="1395"/>
    <n v="1"/>
    <n v="1"/>
  </r>
  <r>
    <m/>
    <m/>
    <x v="1"/>
    <s v="89257123001003"/>
    <n v="-114.07"/>
    <n v="4166"/>
    <n v="1"/>
    <n v="1"/>
  </r>
  <r>
    <m/>
    <m/>
    <x v="1"/>
    <s v="89346251001001"/>
    <n v="-51.78"/>
    <n v="1891"/>
    <n v="1"/>
    <n v="1"/>
  </r>
  <r>
    <m/>
    <m/>
    <x v="1"/>
    <s v="89354683001001"/>
    <n v="-25.19"/>
    <n v="920"/>
    <n v="1"/>
    <n v="1"/>
  </r>
  <r>
    <m/>
    <m/>
    <x v="1"/>
    <s v="89740735001004"/>
    <n v="-0.03"/>
    <n v="1"/>
    <n v="1"/>
    <n v="1"/>
  </r>
  <r>
    <m/>
    <m/>
    <x v="1"/>
    <s v="89804117001001"/>
    <n v="-34.200000000000003"/>
    <n v="1249"/>
    <n v="1"/>
    <n v="1"/>
  </r>
  <r>
    <m/>
    <m/>
    <x v="1"/>
    <s v="90244033001001"/>
    <n v="-17.91"/>
    <n v="654"/>
    <n v="1"/>
    <n v="1"/>
  </r>
  <r>
    <m/>
    <m/>
    <x v="1"/>
    <s v="90375862001001"/>
    <n v="-7.61"/>
    <n v="278"/>
    <n v="1"/>
    <n v="1"/>
  </r>
  <r>
    <m/>
    <m/>
    <x v="1"/>
    <s v="90561560001001"/>
    <n v="-107.63"/>
    <n v="3931"/>
    <n v="1"/>
    <n v="1"/>
  </r>
  <r>
    <m/>
    <m/>
    <x v="1"/>
    <s v="90729873001001"/>
    <n v="-24.09"/>
    <n v="880"/>
    <n v="1"/>
    <n v="1"/>
  </r>
  <r>
    <m/>
    <m/>
    <x v="1"/>
    <s v="90918094001001"/>
    <n v="-42.19"/>
    <n v="1541"/>
    <n v="1"/>
    <n v="1"/>
  </r>
  <r>
    <m/>
    <m/>
    <x v="1"/>
    <s v="91039711002001"/>
    <n v="-109.57"/>
    <n v="4002"/>
    <n v="1"/>
    <n v="1"/>
  </r>
  <r>
    <m/>
    <m/>
    <x v="1"/>
    <s v="91059700002001"/>
    <n v="-74.39"/>
    <n v="2717"/>
    <n v="1"/>
    <n v="1"/>
  </r>
  <r>
    <m/>
    <m/>
    <x v="1"/>
    <s v="91086693001001"/>
    <n v="-10.46"/>
    <n v="382"/>
    <n v="1"/>
    <n v="1"/>
  </r>
  <r>
    <m/>
    <m/>
    <x v="1"/>
    <s v="91142812001003"/>
    <n v="-23.71"/>
    <n v="866"/>
    <n v="1"/>
    <n v="1"/>
  </r>
  <r>
    <m/>
    <m/>
    <x v="1"/>
    <s v="91378375001003"/>
    <n v="-10.1"/>
    <n v="369"/>
    <n v="1"/>
    <n v="1"/>
  </r>
  <r>
    <m/>
    <m/>
    <x v="1"/>
    <s v="91549641001001"/>
    <n v="-14.13"/>
    <n v="516"/>
    <n v="1"/>
    <n v="1"/>
  </r>
  <r>
    <m/>
    <m/>
    <x v="1"/>
    <s v="91610458001002"/>
    <n v="-71.760000000000005"/>
    <n v="2621"/>
    <n v="1"/>
    <n v="1"/>
  </r>
  <r>
    <m/>
    <m/>
    <x v="1"/>
    <s v="91686493001001"/>
    <n v="-78.91"/>
    <n v="2882"/>
    <n v="1"/>
    <n v="1"/>
  </r>
  <r>
    <m/>
    <m/>
    <x v="1"/>
    <s v="91933726001002"/>
    <n v="-36.74"/>
    <n v="1342"/>
    <n v="1"/>
    <n v="1"/>
  </r>
  <r>
    <m/>
    <m/>
    <x v="1"/>
    <s v="92228839005001"/>
    <n v="-100.38"/>
    <n v="3666"/>
    <n v="1"/>
    <n v="1"/>
  </r>
  <r>
    <m/>
    <m/>
    <x v="1"/>
    <s v="92305167001006"/>
    <n v="-1.59"/>
    <n v="58"/>
    <n v="1"/>
    <n v="1"/>
  </r>
  <r>
    <m/>
    <m/>
    <x v="1"/>
    <s v="92344194001007"/>
    <n v="-42.9"/>
    <n v="1567"/>
    <n v="1"/>
    <n v="1"/>
  </r>
  <r>
    <m/>
    <m/>
    <x v="1"/>
    <s v="92474314001001"/>
    <n v="-26.91"/>
    <n v="983"/>
    <n v="1"/>
    <n v="1"/>
  </r>
  <r>
    <m/>
    <m/>
    <x v="1"/>
    <s v="92588678003003"/>
    <n v="-33.1"/>
    <n v="1209"/>
    <n v="1"/>
    <n v="1"/>
  </r>
  <r>
    <m/>
    <m/>
    <x v="1"/>
    <s v="92595774001001"/>
    <n v="-78.77"/>
    <n v="2877"/>
    <n v="1"/>
    <n v="1"/>
  </r>
  <r>
    <m/>
    <m/>
    <x v="1"/>
    <s v="92609003001001"/>
    <n v="-29.52"/>
    <n v="1078"/>
    <n v="1"/>
    <n v="1"/>
  </r>
  <r>
    <m/>
    <m/>
    <x v="1"/>
    <s v="92684268001001"/>
    <n v="-16.399999999999999"/>
    <n v="599"/>
    <n v="1"/>
    <n v="1"/>
  </r>
  <r>
    <m/>
    <m/>
    <x v="1"/>
    <s v="92749025001001"/>
    <n v="-34.31"/>
    <n v="1253"/>
    <n v="1"/>
    <n v="1"/>
  </r>
  <r>
    <m/>
    <m/>
    <x v="1"/>
    <s v="92806696002005"/>
    <n v="-26.53"/>
    <n v="969"/>
    <n v="1"/>
    <n v="1"/>
  </r>
  <r>
    <m/>
    <m/>
    <x v="1"/>
    <s v="92883803001003"/>
    <n v="-83.32"/>
    <n v="3043"/>
    <n v="1"/>
    <n v="1"/>
  </r>
  <r>
    <m/>
    <m/>
    <x v="1"/>
    <s v="93053068001003"/>
    <n v="-45.56"/>
    <n v="1664"/>
    <n v="1"/>
    <n v="1"/>
  </r>
  <r>
    <m/>
    <m/>
    <x v="1"/>
    <s v="93367690001001"/>
    <n v="-122.61"/>
    <n v="4478"/>
    <n v="1"/>
    <n v="1"/>
  </r>
  <r>
    <m/>
    <m/>
    <x v="1"/>
    <s v="93368277001002"/>
    <n v="-43.89"/>
    <n v="1603"/>
    <n v="1"/>
    <n v="1"/>
  </r>
  <r>
    <m/>
    <m/>
    <x v="1"/>
    <s v="93387211001009"/>
    <n v="-43.32"/>
    <n v="1582"/>
    <n v="1"/>
    <n v="1"/>
  </r>
  <r>
    <m/>
    <m/>
    <x v="1"/>
    <s v="93483899001001"/>
    <n v="-51.15"/>
    <n v="1868"/>
    <n v="1"/>
    <n v="1"/>
  </r>
  <r>
    <m/>
    <m/>
    <x v="1"/>
    <s v="93549993001001"/>
    <n v="-119.02"/>
    <n v="4347"/>
    <n v="1"/>
    <n v="1"/>
  </r>
  <r>
    <m/>
    <m/>
    <x v="1"/>
    <s v="93645499001013"/>
    <n v="-26.09"/>
    <n v="953"/>
    <n v="1"/>
    <n v="1"/>
  </r>
  <r>
    <m/>
    <m/>
    <x v="1"/>
    <s v="94287883002008"/>
    <n v="-28.91"/>
    <n v="1056"/>
    <n v="1"/>
    <n v="1"/>
  </r>
  <r>
    <m/>
    <m/>
    <x v="1"/>
    <s v="94506465001003"/>
    <n v="-22.12"/>
    <n v="808"/>
    <n v="1"/>
    <n v="1"/>
  </r>
  <r>
    <m/>
    <m/>
    <x v="1"/>
    <s v="94856892001001"/>
    <n v="-42.93"/>
    <n v="1568"/>
    <n v="1"/>
    <n v="1"/>
  </r>
  <r>
    <m/>
    <m/>
    <x v="1"/>
    <s v="94860723001003"/>
    <n v="-32.31"/>
    <n v="1180"/>
    <n v="1"/>
    <n v="1"/>
  </r>
  <r>
    <m/>
    <m/>
    <x v="1"/>
    <s v="95036848001006"/>
    <n v="-73.709999999999994"/>
    <n v="2692"/>
    <n v="1"/>
    <n v="1"/>
  </r>
  <r>
    <m/>
    <m/>
    <x v="1"/>
    <s v="95248906001001"/>
    <n v="-49.06"/>
    <n v="1792"/>
    <n v="1"/>
    <n v="1"/>
  </r>
  <r>
    <m/>
    <m/>
    <x v="1"/>
    <s v="95385375003003"/>
    <n v="-12.95"/>
    <n v="473"/>
    <n v="1"/>
    <n v="1"/>
  </r>
  <r>
    <m/>
    <m/>
    <x v="1"/>
    <s v="95520248002001"/>
    <n v="-11.58"/>
    <n v="423"/>
    <n v="1"/>
    <n v="1"/>
  </r>
  <r>
    <m/>
    <m/>
    <x v="1"/>
    <s v="95675529001008"/>
    <n v="-15.8"/>
    <n v="577"/>
    <n v="1"/>
    <n v="1"/>
  </r>
  <r>
    <m/>
    <m/>
    <x v="1"/>
    <s v="95837796001001"/>
    <n v="-86.25"/>
    <n v="3150"/>
    <n v="1"/>
    <n v="1"/>
  </r>
  <r>
    <m/>
    <m/>
    <x v="1"/>
    <s v="95880839001001"/>
    <n v="-13.77"/>
    <n v="503"/>
    <n v="1"/>
    <n v="1"/>
  </r>
  <r>
    <m/>
    <m/>
    <x v="1"/>
    <s v="95972381001002"/>
    <n v="-68.61"/>
    <n v="2506"/>
    <n v="1"/>
    <n v="1"/>
  </r>
  <r>
    <m/>
    <m/>
    <x v="1"/>
    <s v="96118559002003"/>
    <n v="-22.89"/>
    <n v="836"/>
    <n v="1"/>
    <n v="1"/>
  </r>
  <r>
    <m/>
    <m/>
    <x v="1"/>
    <s v="96171891001005"/>
    <n v="-33.29"/>
    <n v="1216"/>
    <n v="1"/>
    <n v="1"/>
  </r>
  <r>
    <m/>
    <m/>
    <x v="1"/>
    <s v="96336668001003"/>
    <n v="-53.25"/>
    <n v="1945"/>
    <n v="1"/>
    <n v="1"/>
  </r>
  <r>
    <m/>
    <m/>
    <x v="1"/>
    <s v="96545415001003"/>
    <n v="-28.42"/>
    <n v="1038"/>
    <n v="1"/>
    <n v="1"/>
  </r>
  <r>
    <m/>
    <m/>
    <x v="1"/>
    <s v="96863878002001"/>
    <n v="-0.25"/>
    <n v="9"/>
    <n v="1"/>
    <n v="1"/>
  </r>
  <r>
    <m/>
    <m/>
    <x v="1"/>
    <s v="96956354001001"/>
    <n v="-54.4"/>
    <n v="1987"/>
    <n v="1"/>
    <n v="1"/>
  </r>
  <r>
    <m/>
    <m/>
    <x v="1"/>
    <s v="97054812001007"/>
    <n v="-42.58"/>
    <n v="1555"/>
    <n v="1"/>
    <n v="1"/>
  </r>
  <r>
    <m/>
    <m/>
    <x v="1"/>
    <s v="97148101001003"/>
    <n v="-14.7"/>
    <n v="537"/>
    <n v="1"/>
    <n v="1"/>
  </r>
  <r>
    <m/>
    <m/>
    <x v="1"/>
    <s v="97360124001003"/>
    <n v="-46.87"/>
    <n v="1712"/>
    <n v="1"/>
    <n v="1"/>
  </r>
  <r>
    <m/>
    <m/>
    <x v="1"/>
    <s v="97375212002001"/>
    <n v="-66.31"/>
    <n v="2422"/>
    <n v="1"/>
    <n v="1"/>
  </r>
  <r>
    <m/>
    <m/>
    <x v="1"/>
    <s v="97389502001003"/>
    <n v="-20.04"/>
    <n v="732"/>
    <n v="1"/>
    <n v="1"/>
  </r>
  <r>
    <m/>
    <m/>
    <x v="1"/>
    <s v="97637799001002"/>
    <n v="-34.94"/>
    <n v="1276"/>
    <n v="1"/>
    <n v="1"/>
  </r>
  <r>
    <m/>
    <m/>
    <x v="1"/>
    <s v="97778274001003"/>
    <n v="-29.93"/>
    <n v="1093"/>
    <n v="1"/>
    <n v="1"/>
  </r>
  <r>
    <m/>
    <m/>
    <x v="1"/>
    <s v="97871680001004"/>
    <n v="-2.4900000000000002"/>
    <n v="91"/>
    <n v="1"/>
    <n v="1"/>
  </r>
  <r>
    <m/>
    <m/>
    <x v="1"/>
    <s v="98157594006001"/>
    <n v="-135.12"/>
    <n v="4935"/>
    <n v="1"/>
    <n v="1"/>
  </r>
  <r>
    <m/>
    <m/>
    <x v="1"/>
    <s v="98339533001002"/>
    <n v="-4.57"/>
    <n v="167"/>
    <n v="1"/>
    <n v="1"/>
  </r>
  <r>
    <m/>
    <m/>
    <x v="1"/>
    <s v="98411297002003"/>
    <n v="-42.82"/>
    <n v="1564"/>
    <n v="1"/>
    <n v="1"/>
  </r>
  <r>
    <m/>
    <m/>
    <x v="1"/>
    <s v="98472260001001"/>
    <n v="-32.5"/>
    <n v="1187"/>
    <n v="1"/>
    <n v="1"/>
  </r>
  <r>
    <m/>
    <m/>
    <x v="1"/>
    <s v="98485707001001"/>
    <n v="-44.19"/>
    <n v="1614"/>
    <n v="1"/>
    <n v="1"/>
  </r>
  <r>
    <m/>
    <m/>
    <x v="1"/>
    <s v="98730311001007"/>
    <n v="-58.48"/>
    <n v="2136"/>
    <n v="1"/>
    <n v="1"/>
  </r>
  <r>
    <m/>
    <m/>
    <x v="1"/>
    <s v="98736094001002"/>
    <n v="-11.17"/>
    <n v="408"/>
    <n v="1"/>
    <n v="1"/>
  </r>
  <r>
    <m/>
    <m/>
    <x v="1"/>
    <s v="99162209001001"/>
    <n v="-131.51"/>
    <n v="4803"/>
    <n v="1"/>
    <n v="1"/>
  </r>
  <r>
    <m/>
    <m/>
    <x v="1"/>
    <s v="99284431001009"/>
    <n v="-83.86"/>
    <n v="3063"/>
    <n v="1"/>
    <n v="1"/>
  </r>
  <r>
    <m/>
    <m/>
    <x v="1"/>
    <s v="99321769001003"/>
    <n v="-45.34"/>
    <n v="1656"/>
    <n v="1"/>
    <n v="1"/>
  </r>
  <r>
    <m/>
    <m/>
    <x v="1"/>
    <s v="99547055001003"/>
    <n v="-44.16"/>
    <n v="1613"/>
    <n v="1"/>
    <n v="1"/>
  </r>
  <r>
    <m/>
    <m/>
    <x v="4"/>
    <m/>
    <n v="-48679.88999999997"/>
    <n v="1777935"/>
    <n v="1075"/>
    <n v="1071"/>
  </r>
  <r>
    <m/>
    <m/>
    <x v="5"/>
    <s v="00003271001001"/>
    <n v="-89.17"/>
    <n v="2191"/>
    <n v="1"/>
    <n v="1"/>
  </r>
  <r>
    <m/>
    <m/>
    <x v="1"/>
    <s v="00248169001001"/>
    <n v="-34.11"/>
    <n v="838"/>
    <n v="1"/>
    <n v="1"/>
  </r>
  <r>
    <m/>
    <m/>
    <x v="1"/>
    <s v="00251568001001"/>
    <n v="-42.9"/>
    <n v="1054"/>
    <n v="1"/>
    <n v="1"/>
  </r>
  <r>
    <m/>
    <m/>
    <x v="1"/>
    <s v="00319594001001"/>
    <n v="-40.29"/>
    <n v="990"/>
    <n v="1"/>
    <n v="1"/>
  </r>
  <r>
    <m/>
    <m/>
    <x v="1"/>
    <s v="00365733004005"/>
    <n v="-49.94"/>
    <n v="1227"/>
    <n v="1"/>
    <n v="1"/>
  </r>
  <r>
    <m/>
    <m/>
    <x v="1"/>
    <s v="00424155001001"/>
    <n v="-58.97"/>
    <n v="1449"/>
    <n v="1"/>
    <n v="1"/>
  </r>
  <r>
    <m/>
    <m/>
    <x v="1"/>
    <s v="00479722008001"/>
    <n v="-130.77000000000001"/>
    <n v="3213"/>
    <n v="1"/>
    <n v="1"/>
  </r>
  <r>
    <m/>
    <m/>
    <x v="1"/>
    <s v="00507579001002"/>
    <n v="-37.24"/>
    <n v="915"/>
    <n v="1"/>
    <n v="1"/>
  </r>
  <r>
    <m/>
    <m/>
    <x v="1"/>
    <s v="00552042001003"/>
    <n v="-28.25"/>
    <n v="694"/>
    <n v="1"/>
    <n v="1"/>
  </r>
  <r>
    <m/>
    <m/>
    <x v="1"/>
    <s v="00574926001001"/>
    <n v="-87.26"/>
    <n v="2144"/>
    <n v="1"/>
    <n v="1"/>
  </r>
  <r>
    <m/>
    <m/>
    <x v="1"/>
    <s v="00631143001001"/>
    <n v="-49.17"/>
    <n v="1208"/>
    <n v="1"/>
    <n v="1"/>
  </r>
  <r>
    <m/>
    <m/>
    <x v="1"/>
    <s v="00722915001001"/>
    <n v="-18.559999999999999"/>
    <n v="456"/>
    <n v="1"/>
    <n v="1"/>
  </r>
  <r>
    <m/>
    <m/>
    <x v="1"/>
    <s v="00730907001001"/>
    <n v="-36.869999999999997"/>
    <n v="906"/>
    <n v="1"/>
    <n v="1"/>
  </r>
  <r>
    <m/>
    <m/>
    <x v="1"/>
    <s v="00780738001001"/>
    <n v="-66.83"/>
    <n v="1642"/>
    <n v="1"/>
    <n v="1"/>
  </r>
  <r>
    <m/>
    <m/>
    <x v="1"/>
    <s v="01028343001005"/>
    <n v="-72.28"/>
    <n v="1776"/>
    <n v="1"/>
    <n v="1"/>
  </r>
  <r>
    <m/>
    <m/>
    <x v="1"/>
    <s v="01046493001001"/>
    <n v="-28.98"/>
    <n v="712"/>
    <n v="1"/>
    <n v="1"/>
  </r>
  <r>
    <m/>
    <m/>
    <x v="1"/>
    <s v="01125392001001"/>
    <n v="-109.93"/>
    <n v="2701"/>
    <n v="1"/>
    <n v="1"/>
  </r>
  <r>
    <m/>
    <m/>
    <x v="1"/>
    <s v="01190048001002"/>
    <n v="-28.57"/>
    <n v="702"/>
    <n v="1"/>
    <n v="1"/>
  </r>
  <r>
    <m/>
    <m/>
    <x v="1"/>
    <s v="01335294001005"/>
    <n v="-39.44"/>
    <n v="969"/>
    <n v="1"/>
    <n v="1"/>
  </r>
  <r>
    <m/>
    <m/>
    <x v="1"/>
    <s v="01403700005001"/>
    <n v="-51.85"/>
    <n v="1274"/>
    <n v="1"/>
    <n v="1"/>
  </r>
  <r>
    <m/>
    <m/>
    <x v="1"/>
    <s v="01483465001001"/>
    <n v="-53.97"/>
    <n v="1326"/>
    <n v="1"/>
    <n v="1"/>
  </r>
  <r>
    <m/>
    <m/>
    <x v="1"/>
    <s v="01608043001005"/>
    <n v="-118.97"/>
    <n v="2923"/>
    <n v="1"/>
    <n v="1"/>
  </r>
  <r>
    <m/>
    <m/>
    <x v="1"/>
    <s v="01698859001001"/>
    <n v="-59.63"/>
    <n v="1465"/>
    <n v="1"/>
    <n v="1"/>
  </r>
  <r>
    <m/>
    <m/>
    <x v="1"/>
    <s v="01752705001001"/>
    <n v="-125.8"/>
    <n v="3091"/>
    <n v="1"/>
    <n v="1"/>
  </r>
  <r>
    <m/>
    <m/>
    <x v="1"/>
    <s v="01811692001005"/>
    <n v="-75.41"/>
    <n v="1853"/>
    <n v="2"/>
    <n v="1"/>
  </r>
  <r>
    <m/>
    <m/>
    <x v="1"/>
    <s v="01980596001009"/>
    <n v="-105.66"/>
    <n v="2596"/>
    <n v="1"/>
    <n v="1"/>
  </r>
  <r>
    <m/>
    <m/>
    <x v="1"/>
    <s v="02012192001001"/>
    <n v="-41.76"/>
    <n v="1026"/>
    <n v="1"/>
    <n v="1"/>
  </r>
  <r>
    <m/>
    <m/>
    <x v="1"/>
    <s v="02179705001007"/>
    <n v="-89.3"/>
    <n v="2194"/>
    <n v="1"/>
    <n v="1"/>
  </r>
  <r>
    <m/>
    <m/>
    <x v="1"/>
    <s v="02188680001001"/>
    <n v="-75.739999999999995"/>
    <n v="1861"/>
    <n v="1"/>
    <n v="1"/>
  </r>
  <r>
    <m/>
    <m/>
    <x v="1"/>
    <s v="02227362001007"/>
    <n v="-46.15"/>
    <n v="1134"/>
    <n v="1"/>
    <n v="1"/>
  </r>
  <r>
    <m/>
    <m/>
    <x v="1"/>
    <s v="02232792001001"/>
    <n v="-110.62"/>
    <n v="2718"/>
    <n v="1"/>
    <n v="1"/>
  </r>
  <r>
    <m/>
    <m/>
    <x v="1"/>
    <s v="02282438001003"/>
    <n v="-64.88"/>
    <n v="1594"/>
    <n v="1"/>
    <n v="1"/>
  </r>
  <r>
    <m/>
    <m/>
    <x v="1"/>
    <s v="02380352001003"/>
    <n v="-103.66"/>
    <n v="2547"/>
    <n v="1"/>
    <n v="1"/>
  </r>
  <r>
    <m/>
    <m/>
    <x v="1"/>
    <s v="02496747002003"/>
    <n v="-73.95"/>
    <n v="1817"/>
    <n v="1"/>
    <n v="1"/>
  </r>
  <r>
    <m/>
    <m/>
    <x v="1"/>
    <s v="02683413001001"/>
    <n v="-75.540000000000006"/>
    <n v="1856"/>
    <n v="1"/>
    <n v="1"/>
  </r>
  <r>
    <m/>
    <m/>
    <x v="1"/>
    <s v="02717656001001"/>
    <n v="-27.39"/>
    <n v="673"/>
    <n v="1"/>
    <n v="1"/>
  </r>
  <r>
    <m/>
    <m/>
    <x v="1"/>
    <s v="02861062001008"/>
    <n v="-27.11"/>
    <n v="666"/>
    <n v="1"/>
    <n v="1"/>
  </r>
  <r>
    <m/>
    <m/>
    <x v="1"/>
    <s v="02884496001009"/>
    <n v="-65.69"/>
    <n v="1614"/>
    <n v="1"/>
    <n v="1"/>
  </r>
  <r>
    <m/>
    <m/>
    <x v="1"/>
    <s v="03018483004001"/>
    <n v="-100.85"/>
    <n v="2478"/>
    <n v="1"/>
    <n v="1"/>
  </r>
  <r>
    <m/>
    <m/>
    <x v="1"/>
    <s v="03051677001003"/>
    <n v="-91.94"/>
    <n v="2259"/>
    <n v="1"/>
    <n v="1"/>
  </r>
  <r>
    <m/>
    <m/>
    <x v="1"/>
    <s v="03330463001002"/>
    <n v="-97.68"/>
    <n v="2400"/>
    <n v="1"/>
    <n v="1"/>
  </r>
  <r>
    <m/>
    <m/>
    <x v="1"/>
    <s v="03363668001003"/>
    <n v="-39.93"/>
    <n v="981"/>
    <n v="1"/>
    <n v="1"/>
  </r>
  <r>
    <m/>
    <m/>
    <x v="1"/>
    <s v="03499851001001"/>
    <n v="-109.04"/>
    <n v="2679"/>
    <n v="1"/>
    <n v="1"/>
  </r>
  <r>
    <m/>
    <m/>
    <x v="1"/>
    <s v="03517195001001"/>
    <n v="-32.56"/>
    <n v="800"/>
    <n v="1"/>
    <n v="1"/>
  </r>
  <r>
    <m/>
    <m/>
    <x v="1"/>
    <s v="03527986001006"/>
    <n v="-38.67"/>
    <n v="950"/>
    <n v="1"/>
    <n v="1"/>
  </r>
  <r>
    <m/>
    <m/>
    <x v="1"/>
    <s v="03554715002003"/>
    <n v="-66.459999999999994"/>
    <n v="1633"/>
    <n v="1"/>
    <n v="1"/>
  </r>
  <r>
    <m/>
    <m/>
    <x v="1"/>
    <s v="03722115001001"/>
    <n v="-107.86"/>
    <n v="2650"/>
    <n v="1"/>
    <n v="1"/>
  </r>
  <r>
    <m/>
    <m/>
    <x v="1"/>
    <s v="03725193001001"/>
    <n v="-180.83"/>
    <n v="4443"/>
    <n v="1"/>
    <n v="1"/>
  </r>
  <r>
    <m/>
    <m/>
    <x v="1"/>
    <s v="03757292001002"/>
    <n v="-57.14"/>
    <n v="1404"/>
    <n v="1"/>
    <n v="1"/>
  </r>
  <r>
    <m/>
    <m/>
    <x v="1"/>
    <s v="03799095002001"/>
    <n v="-37.24"/>
    <n v="915"/>
    <n v="1"/>
    <n v="1"/>
  </r>
  <r>
    <m/>
    <m/>
    <x v="1"/>
    <s v="03896011001001"/>
    <n v="-110.38"/>
    <n v="2712"/>
    <n v="1"/>
    <n v="1"/>
  </r>
  <r>
    <m/>
    <m/>
    <x v="1"/>
    <s v="03983250001004"/>
    <n v="-86.45"/>
    <n v="2124"/>
    <n v="1"/>
    <n v="1"/>
  </r>
  <r>
    <m/>
    <m/>
    <x v="1"/>
    <s v="04065926001004"/>
    <n v="-111.31"/>
    <n v="2735"/>
    <n v="1"/>
    <n v="1"/>
  </r>
  <r>
    <m/>
    <m/>
    <x v="1"/>
    <s v="04169668001001"/>
    <n v="-47.33"/>
    <n v="1163"/>
    <n v="1"/>
    <n v="1"/>
  </r>
  <r>
    <m/>
    <m/>
    <x v="1"/>
    <s v="04226765001003"/>
    <n v="-96.83"/>
    <n v="2379"/>
    <n v="1"/>
    <n v="1"/>
  </r>
  <r>
    <m/>
    <m/>
    <x v="1"/>
    <s v="04348003001001"/>
    <n v="-41.39"/>
    <n v="1017"/>
    <n v="1"/>
    <n v="1"/>
  </r>
  <r>
    <m/>
    <m/>
    <x v="1"/>
    <s v="04544587001001"/>
    <n v="-60.6"/>
    <n v="1489"/>
    <n v="1"/>
    <n v="1"/>
  </r>
  <r>
    <m/>
    <m/>
    <x v="1"/>
    <s v="04619562001001"/>
    <n v="-37.85"/>
    <n v="930"/>
    <n v="1"/>
    <n v="1"/>
  </r>
  <r>
    <m/>
    <m/>
    <x v="1"/>
    <s v="04714872002001"/>
    <n v="-10.99"/>
    <n v="270"/>
    <n v="1"/>
    <n v="1"/>
  </r>
  <r>
    <m/>
    <m/>
    <x v="1"/>
    <s v="04726736001005"/>
    <n v="-102.4"/>
    <n v="2516"/>
    <n v="1"/>
    <n v="1"/>
  </r>
  <r>
    <m/>
    <m/>
    <x v="1"/>
    <s v="04758207001001"/>
    <n v="-45.79"/>
    <n v="1125"/>
    <n v="1"/>
    <n v="1"/>
  </r>
  <r>
    <m/>
    <m/>
    <x v="1"/>
    <s v="04767750001002"/>
    <n v="-50.14"/>
    <n v="1232"/>
    <n v="1"/>
    <n v="1"/>
  </r>
  <r>
    <m/>
    <m/>
    <x v="1"/>
    <s v="04961046001001"/>
    <n v="-85.39"/>
    <n v="2098"/>
    <n v="1"/>
    <n v="1"/>
  </r>
  <r>
    <m/>
    <m/>
    <x v="1"/>
    <s v="05012951001002"/>
    <n v="-92.47"/>
    <n v="2272"/>
    <n v="1"/>
    <n v="1"/>
  </r>
  <r>
    <m/>
    <m/>
    <x v="1"/>
    <s v="05125129001001"/>
    <n v="-17.260000000000002"/>
    <n v="424"/>
    <n v="1"/>
    <n v="1"/>
  </r>
  <r>
    <m/>
    <m/>
    <x v="1"/>
    <s v="05149737001007"/>
    <n v="-69.27"/>
    <n v="1702"/>
    <n v="1"/>
    <n v="1"/>
  </r>
  <r>
    <m/>
    <m/>
    <x v="1"/>
    <s v="05248384001001"/>
    <n v="-5.9"/>
    <n v="145"/>
    <n v="1"/>
    <n v="1"/>
  </r>
  <r>
    <m/>
    <m/>
    <x v="1"/>
    <s v="05429860001003"/>
    <n v="-50.31"/>
    <n v="1236"/>
    <n v="1"/>
    <n v="1"/>
  </r>
  <r>
    <m/>
    <m/>
    <x v="1"/>
    <s v="05576834001001"/>
    <n v="-40.130000000000003"/>
    <n v="986"/>
    <n v="1"/>
    <n v="1"/>
  </r>
  <r>
    <m/>
    <m/>
    <x v="1"/>
    <s v="05623338001005"/>
    <n v="-33.74"/>
    <n v="829"/>
    <n v="1"/>
    <n v="1"/>
  </r>
  <r>
    <m/>
    <m/>
    <x v="1"/>
    <s v="05707361001002"/>
    <n v="-64.88"/>
    <n v="1594"/>
    <n v="1"/>
    <n v="1"/>
  </r>
  <r>
    <m/>
    <m/>
    <x v="1"/>
    <s v="05767750001001"/>
    <n v="-145.13999999999999"/>
    <n v="3566"/>
    <n v="1"/>
    <n v="1"/>
  </r>
  <r>
    <m/>
    <m/>
    <x v="1"/>
    <s v="05803986001001"/>
    <n v="-75.25"/>
    <n v="1849"/>
    <n v="1"/>
    <n v="1"/>
  </r>
  <r>
    <m/>
    <m/>
    <x v="1"/>
    <s v="05846062001006"/>
    <n v="-69.599999999999994"/>
    <n v="1710"/>
    <n v="1"/>
    <n v="1"/>
  </r>
  <r>
    <m/>
    <m/>
    <x v="1"/>
    <s v="05852224002001"/>
    <n v="-97.19"/>
    <n v="2388"/>
    <n v="1"/>
    <n v="1"/>
  </r>
  <r>
    <m/>
    <m/>
    <x v="1"/>
    <s v="05886414001001"/>
    <n v="-22.02"/>
    <n v="541"/>
    <n v="1"/>
    <n v="1"/>
  </r>
  <r>
    <m/>
    <m/>
    <x v="1"/>
    <s v="05896396001005"/>
    <n v="-13.96"/>
    <n v="343"/>
    <n v="1"/>
    <n v="1"/>
  </r>
  <r>
    <m/>
    <m/>
    <x v="1"/>
    <s v="06217746001001"/>
    <n v="-85.92"/>
    <n v="2111"/>
    <n v="1"/>
    <n v="1"/>
  </r>
  <r>
    <m/>
    <m/>
    <x v="1"/>
    <s v="06241011001009"/>
    <n v="-97.44"/>
    <n v="2394"/>
    <n v="1"/>
    <n v="1"/>
  </r>
  <r>
    <m/>
    <m/>
    <x v="1"/>
    <s v="06359444001001"/>
    <n v="-190.14999999999998"/>
    <n v="4672"/>
    <n v="2"/>
    <n v="1"/>
  </r>
  <r>
    <m/>
    <m/>
    <x v="1"/>
    <s v="06381309001001"/>
    <n v="-56.57"/>
    <n v="1390"/>
    <n v="1"/>
    <n v="1"/>
  </r>
  <r>
    <m/>
    <m/>
    <x v="1"/>
    <s v="06382830001001"/>
    <n v="-96.46"/>
    <n v="2370"/>
    <n v="1"/>
    <n v="1"/>
  </r>
  <r>
    <m/>
    <m/>
    <x v="1"/>
    <s v="06497744001004"/>
    <n v="-4.1900000000000004"/>
    <n v="103"/>
    <n v="1"/>
    <n v="1"/>
  </r>
  <r>
    <m/>
    <m/>
    <x v="1"/>
    <s v="06546723004003"/>
    <n v="-160.81"/>
    <n v="3951"/>
    <n v="1"/>
    <n v="1"/>
  </r>
  <r>
    <m/>
    <m/>
    <x v="1"/>
    <s v="06659461001001"/>
    <n v="-43.26"/>
    <n v="1063"/>
    <n v="1"/>
    <n v="1"/>
  </r>
  <r>
    <m/>
    <m/>
    <x v="1"/>
    <s v="06711370004001"/>
    <n v="-73.75"/>
    <n v="1812"/>
    <n v="1"/>
    <n v="1"/>
  </r>
  <r>
    <m/>
    <m/>
    <x v="1"/>
    <s v="06752272001001"/>
    <n v="-5.41"/>
    <n v="133"/>
    <n v="1"/>
    <n v="1"/>
  </r>
  <r>
    <m/>
    <m/>
    <x v="1"/>
    <s v="06797083002002"/>
    <n v="-64.39"/>
    <n v="1582"/>
    <n v="1"/>
    <n v="1"/>
  </r>
  <r>
    <m/>
    <m/>
    <x v="1"/>
    <s v="06815394001001"/>
    <n v="-19.98"/>
    <n v="491"/>
    <n v="1"/>
    <n v="1"/>
  </r>
  <r>
    <m/>
    <m/>
    <x v="1"/>
    <s v="06850200002005"/>
    <n v="-27.59"/>
    <n v="678"/>
    <n v="1"/>
    <n v="1"/>
  </r>
  <r>
    <m/>
    <m/>
    <x v="1"/>
    <s v="06921954001001"/>
    <n v="-120.51"/>
    <n v="2961"/>
    <n v="1"/>
    <n v="1"/>
  </r>
  <r>
    <m/>
    <m/>
    <x v="1"/>
    <s v="06981091001001"/>
    <n v="-32.28"/>
    <n v="793"/>
    <n v="1"/>
    <n v="1"/>
  </r>
  <r>
    <m/>
    <m/>
    <x v="1"/>
    <s v="06995052002002"/>
    <n v="-94.06"/>
    <n v="2311"/>
    <n v="1"/>
    <n v="1"/>
  </r>
  <r>
    <m/>
    <m/>
    <x v="1"/>
    <s v="07029671001001"/>
    <n v="-117.5"/>
    <n v="2887"/>
    <n v="1"/>
    <n v="1"/>
  </r>
  <r>
    <m/>
    <m/>
    <x v="1"/>
    <s v="07168124001001"/>
    <n v="-63.13"/>
    <n v="1551"/>
    <n v="1"/>
    <n v="1"/>
  </r>
  <r>
    <m/>
    <m/>
    <x v="1"/>
    <s v="07467331001001"/>
    <n v="-59.99"/>
    <n v="1474"/>
    <n v="1"/>
    <n v="1"/>
  </r>
  <r>
    <m/>
    <m/>
    <x v="1"/>
    <s v="07497509001002"/>
    <n v="-68.25"/>
    <n v="1677"/>
    <n v="1"/>
    <n v="1"/>
  </r>
  <r>
    <m/>
    <m/>
    <x v="1"/>
    <s v="07520011001001"/>
    <n v="-21.2"/>
    <n v="521"/>
    <n v="1"/>
    <n v="1"/>
  </r>
  <r>
    <m/>
    <m/>
    <x v="1"/>
    <s v="07806495001002"/>
    <n v="-65.81"/>
    <n v="1617"/>
    <n v="1"/>
    <n v="1"/>
  </r>
  <r>
    <m/>
    <m/>
    <x v="1"/>
    <s v="07839530002003"/>
    <n v="-175.01"/>
    <n v="4300"/>
    <n v="1"/>
    <n v="1"/>
  </r>
  <r>
    <m/>
    <m/>
    <x v="1"/>
    <s v="07928044001004"/>
    <n v="-72.36"/>
    <n v="1778"/>
    <n v="1"/>
    <n v="1"/>
  </r>
  <r>
    <m/>
    <m/>
    <x v="1"/>
    <s v="07950772002001"/>
    <n v="-178.02"/>
    <n v="4374"/>
    <n v="1"/>
    <n v="1"/>
  </r>
  <r>
    <m/>
    <m/>
    <x v="1"/>
    <s v="08001690001003"/>
    <n v="-20.27"/>
    <n v="498"/>
    <n v="1"/>
    <n v="1"/>
  </r>
  <r>
    <m/>
    <m/>
    <x v="1"/>
    <s v="08024540001001"/>
    <n v="-84.53"/>
    <n v="2077"/>
    <n v="1"/>
    <n v="1"/>
  </r>
  <r>
    <m/>
    <m/>
    <x v="1"/>
    <s v="08046015005001"/>
    <n v="-128.57"/>
    <n v="3159"/>
    <n v="1"/>
    <n v="1"/>
  </r>
  <r>
    <m/>
    <m/>
    <x v="1"/>
    <s v="08056389001001"/>
    <n v="-20.309999999999999"/>
    <n v="499"/>
    <n v="1"/>
    <n v="1"/>
  </r>
  <r>
    <m/>
    <m/>
    <x v="1"/>
    <s v="08220595001001"/>
    <n v="-135.82"/>
    <n v="3337"/>
    <n v="1"/>
    <n v="1"/>
  </r>
  <r>
    <m/>
    <m/>
    <x v="1"/>
    <s v="08233163001004"/>
    <n v="-127.39"/>
    <n v="3130"/>
    <n v="1"/>
    <n v="1"/>
  </r>
  <r>
    <m/>
    <m/>
    <x v="1"/>
    <s v="08549288001007"/>
    <n v="-117.09"/>
    <n v="2877"/>
    <n v="1"/>
    <n v="1"/>
  </r>
  <r>
    <m/>
    <m/>
    <x v="1"/>
    <s v="08580823001001"/>
    <n v="-93.37"/>
    <n v="2294"/>
    <n v="1"/>
    <n v="1"/>
  </r>
  <r>
    <m/>
    <m/>
    <x v="1"/>
    <s v="08694261001001"/>
    <n v="-96.21"/>
    <n v="2364"/>
    <n v="1"/>
    <n v="1"/>
  </r>
  <r>
    <m/>
    <m/>
    <x v="1"/>
    <s v="08733004003004"/>
    <n v="-107.57"/>
    <n v="2643"/>
    <n v="1"/>
    <n v="1"/>
  </r>
  <r>
    <m/>
    <m/>
    <x v="1"/>
    <s v="08794894001001"/>
    <n v="-142.53"/>
    <n v="3502"/>
    <n v="1"/>
    <n v="1"/>
  </r>
  <r>
    <m/>
    <m/>
    <x v="1"/>
    <s v="08808764002006"/>
    <n v="-104.23"/>
    <n v="2561"/>
    <n v="1"/>
    <n v="1"/>
  </r>
  <r>
    <m/>
    <m/>
    <x v="1"/>
    <s v="08951802001002"/>
    <n v="-103.17"/>
    <n v="2535"/>
    <n v="1"/>
    <n v="1"/>
  </r>
  <r>
    <m/>
    <m/>
    <x v="1"/>
    <s v="09010397001001"/>
    <n v="-91.66"/>
    <n v="2252"/>
    <n v="1"/>
    <n v="1"/>
  </r>
  <r>
    <m/>
    <m/>
    <x v="1"/>
    <s v="09042855001003"/>
    <n v="-130.16"/>
    <n v="3198"/>
    <n v="1"/>
    <n v="1"/>
  </r>
  <r>
    <m/>
    <m/>
    <x v="1"/>
    <s v="09185093001002"/>
    <n v="-41.27"/>
    <n v="1014"/>
    <n v="1"/>
    <n v="1"/>
  </r>
  <r>
    <m/>
    <m/>
    <x v="1"/>
    <s v="09269213006001"/>
    <n v="-84.98"/>
    <n v="2088"/>
    <n v="1"/>
    <n v="1"/>
  </r>
  <r>
    <m/>
    <m/>
    <x v="1"/>
    <s v="09289545005001"/>
    <n v="-64.14"/>
    <n v="1576"/>
    <n v="1"/>
    <n v="1"/>
  </r>
  <r>
    <m/>
    <m/>
    <x v="1"/>
    <s v="09315806002001"/>
    <n v="-48.6"/>
    <n v="1194"/>
    <n v="1"/>
    <n v="1"/>
  </r>
  <r>
    <m/>
    <m/>
    <x v="1"/>
    <s v="09318796001003"/>
    <n v="-56.45"/>
    <n v="1387"/>
    <n v="1"/>
    <n v="1"/>
  </r>
  <r>
    <m/>
    <m/>
    <x v="1"/>
    <s v="09350845002002"/>
    <n v="-77.739999999999995"/>
    <n v="1910"/>
    <n v="1"/>
    <n v="1"/>
  </r>
  <r>
    <m/>
    <m/>
    <x v="1"/>
    <s v="09410352001003"/>
    <n v="-35.82"/>
    <n v="880"/>
    <n v="1"/>
    <n v="1"/>
  </r>
  <r>
    <m/>
    <m/>
    <x v="1"/>
    <s v="09607312001001"/>
    <n v="-121.33"/>
    <n v="2981"/>
    <n v="1"/>
    <n v="1"/>
  </r>
  <r>
    <m/>
    <m/>
    <x v="1"/>
    <s v="09640821001002"/>
    <n v="-3.74"/>
    <n v="92"/>
    <n v="1"/>
    <n v="1"/>
  </r>
  <r>
    <m/>
    <m/>
    <x v="1"/>
    <s v="09656421001005"/>
    <n v="-170.45"/>
    <n v="4188"/>
    <n v="1"/>
    <n v="1"/>
  </r>
  <r>
    <m/>
    <m/>
    <x v="1"/>
    <s v="09715929001003"/>
    <n v="-58.32"/>
    <n v="1433"/>
    <n v="1"/>
    <n v="1"/>
  </r>
  <r>
    <m/>
    <m/>
    <x v="1"/>
    <s v="09717335001001"/>
    <n v="-67.599999999999994"/>
    <n v="1661"/>
    <n v="1"/>
    <n v="1"/>
  </r>
  <r>
    <m/>
    <m/>
    <x v="1"/>
    <s v="09767344004001"/>
    <n v="-149.12"/>
    <n v="3664"/>
    <n v="1"/>
    <n v="1"/>
  </r>
  <r>
    <m/>
    <m/>
    <x v="1"/>
    <s v="10032544001001"/>
    <n v="-74.48"/>
    <n v="1830"/>
    <n v="1"/>
    <n v="1"/>
  </r>
  <r>
    <m/>
    <m/>
    <x v="1"/>
    <s v="10095826001001"/>
    <n v="-98.53"/>
    <n v="2421"/>
    <n v="1"/>
    <n v="1"/>
  </r>
  <r>
    <m/>
    <m/>
    <x v="1"/>
    <s v="10234378001001"/>
    <n v="-20.96"/>
    <n v="515"/>
    <n v="1"/>
    <n v="1"/>
  </r>
  <r>
    <m/>
    <m/>
    <x v="1"/>
    <s v="10286168001001"/>
    <n v="-68.25"/>
    <n v="1677"/>
    <n v="1"/>
    <n v="1"/>
  </r>
  <r>
    <m/>
    <m/>
    <x v="1"/>
    <s v="10346018001001"/>
    <n v="-104.44"/>
    <n v="2566"/>
    <n v="1"/>
    <n v="1"/>
  </r>
  <r>
    <m/>
    <m/>
    <x v="1"/>
    <s v="10356260001001"/>
    <n v="-108.91"/>
    <n v="2676"/>
    <n v="1"/>
    <n v="1"/>
  </r>
  <r>
    <m/>
    <m/>
    <x v="1"/>
    <s v="10447712003003"/>
    <n v="-23.65"/>
    <n v="581"/>
    <n v="1"/>
    <n v="1"/>
  </r>
  <r>
    <m/>
    <m/>
    <x v="1"/>
    <s v="10635301003001"/>
    <n v="-29.63"/>
    <n v="728"/>
    <n v="1"/>
    <n v="1"/>
  </r>
  <r>
    <m/>
    <m/>
    <x v="1"/>
    <s v="10769950001001"/>
    <n v="-41.31"/>
    <n v="1015"/>
    <n v="1"/>
    <n v="1"/>
  </r>
  <r>
    <m/>
    <m/>
    <x v="1"/>
    <s v="10792246001002"/>
    <n v="-97.52"/>
    <n v="2396"/>
    <n v="1"/>
    <n v="1"/>
  </r>
  <r>
    <m/>
    <m/>
    <x v="1"/>
    <s v="10865475001001"/>
    <n v="-100.94"/>
    <n v="2480"/>
    <n v="1"/>
    <n v="1"/>
  </r>
  <r>
    <m/>
    <m/>
    <x v="1"/>
    <s v="10931298001005"/>
    <n v="-28"/>
    <n v="688"/>
    <n v="1"/>
    <n v="1"/>
  </r>
  <r>
    <m/>
    <m/>
    <x v="1"/>
    <s v="11078715001003"/>
    <n v="-85.92"/>
    <n v="2111"/>
    <n v="1"/>
    <n v="1"/>
  </r>
  <r>
    <m/>
    <m/>
    <x v="1"/>
    <s v="11190686005003"/>
    <n v="-173.54"/>
    <n v="4264"/>
    <n v="1"/>
    <n v="1"/>
  </r>
  <r>
    <m/>
    <m/>
    <x v="1"/>
    <s v="11356050001010"/>
    <n v="-26.37"/>
    <n v="648"/>
    <n v="1"/>
    <n v="1"/>
  </r>
  <r>
    <m/>
    <m/>
    <x v="1"/>
    <s v="11380184001001"/>
    <n v="-12.7"/>
    <n v="312"/>
    <n v="1"/>
    <n v="1"/>
  </r>
  <r>
    <m/>
    <m/>
    <x v="1"/>
    <s v="11646801001004"/>
    <n v="-45.3"/>
    <n v="1113"/>
    <n v="1"/>
    <n v="1"/>
  </r>
  <r>
    <m/>
    <m/>
    <x v="1"/>
    <s v="11649874003001"/>
    <n v="-63.94"/>
    <n v="1571"/>
    <n v="1"/>
    <n v="1"/>
  </r>
  <r>
    <m/>
    <m/>
    <x v="1"/>
    <s v="11714515001003"/>
    <n v="-115.06"/>
    <n v="2827"/>
    <n v="1"/>
    <n v="1"/>
  </r>
  <r>
    <m/>
    <m/>
    <x v="1"/>
    <s v="11787709001001"/>
    <n v="-62.03"/>
    <n v="1524"/>
    <n v="1"/>
    <n v="1"/>
  </r>
  <r>
    <m/>
    <m/>
    <x v="1"/>
    <s v="11917791001004"/>
    <n v="-57.59"/>
    <n v="1415"/>
    <n v="1"/>
    <n v="1"/>
  </r>
  <r>
    <m/>
    <m/>
    <x v="1"/>
    <s v="12190639001002"/>
    <n v="-73.02"/>
    <n v="1794"/>
    <n v="1"/>
    <n v="1"/>
  </r>
  <r>
    <m/>
    <m/>
    <x v="1"/>
    <s v="12190744001001"/>
    <n v="-12.37"/>
    <n v="304"/>
    <n v="1"/>
    <n v="1"/>
  </r>
  <r>
    <m/>
    <m/>
    <x v="1"/>
    <s v="12199696001001"/>
    <n v="-127.72"/>
    <n v="3138"/>
    <n v="1"/>
    <n v="1"/>
  </r>
  <r>
    <m/>
    <m/>
    <x v="1"/>
    <s v="12215901001001"/>
    <n v="-13.84"/>
    <n v="340"/>
    <n v="1"/>
    <n v="1"/>
  </r>
  <r>
    <m/>
    <m/>
    <x v="1"/>
    <s v="12258593002001"/>
    <n v="-77.53"/>
    <n v="1905"/>
    <n v="1"/>
    <n v="1"/>
  </r>
  <r>
    <m/>
    <m/>
    <x v="1"/>
    <s v="12347732001004"/>
    <n v="-113.43"/>
    <n v="2787"/>
    <n v="1"/>
    <n v="1"/>
  </r>
  <r>
    <m/>
    <m/>
    <x v="1"/>
    <s v="12421088001001"/>
    <n v="-17.46"/>
    <n v="429"/>
    <n v="1"/>
    <n v="1"/>
  </r>
  <r>
    <m/>
    <m/>
    <x v="1"/>
    <s v="12435445001001"/>
    <n v="-19.98"/>
    <n v="491"/>
    <n v="1"/>
    <n v="1"/>
  </r>
  <r>
    <m/>
    <m/>
    <x v="1"/>
    <s v="12455414001003"/>
    <n v="-68.290000000000006"/>
    <n v="1678"/>
    <n v="1"/>
    <n v="1"/>
  </r>
  <r>
    <m/>
    <m/>
    <x v="1"/>
    <s v="12587071001001"/>
    <n v="-149.44999999999999"/>
    <n v="3672"/>
    <n v="1"/>
    <n v="1"/>
  </r>
  <r>
    <m/>
    <m/>
    <x v="1"/>
    <s v="12738000001001"/>
    <n v="-114.53"/>
    <n v="2814"/>
    <n v="1"/>
    <n v="1"/>
  </r>
  <r>
    <m/>
    <m/>
    <x v="1"/>
    <s v="12750086001005"/>
    <n v="-94.1"/>
    <n v="2312"/>
    <n v="1"/>
    <n v="1"/>
  </r>
  <r>
    <m/>
    <m/>
    <x v="1"/>
    <s v="12952323002003"/>
    <n v="-22.43"/>
    <n v="551"/>
    <n v="1"/>
    <n v="1"/>
  </r>
  <r>
    <m/>
    <m/>
    <x v="1"/>
    <s v="12961356001003"/>
    <n v="-27.43"/>
    <n v="674"/>
    <n v="1"/>
    <n v="1"/>
  </r>
  <r>
    <m/>
    <m/>
    <x v="1"/>
    <s v="13055066001001"/>
    <n v="-31.09"/>
    <n v="764"/>
    <n v="1"/>
    <n v="1"/>
  </r>
  <r>
    <m/>
    <m/>
    <x v="1"/>
    <s v="13116964001001"/>
    <n v="-32.56"/>
    <n v="800"/>
    <n v="1"/>
    <n v="1"/>
  </r>
  <r>
    <m/>
    <m/>
    <x v="1"/>
    <s v="13128957001001"/>
    <n v="-68.42"/>
    <n v="1681"/>
    <n v="1"/>
    <n v="1"/>
  </r>
  <r>
    <m/>
    <m/>
    <x v="1"/>
    <s v="13219544001001"/>
    <n v="-234.11"/>
    <n v="5752"/>
    <n v="1"/>
    <n v="1"/>
  </r>
  <r>
    <m/>
    <m/>
    <x v="1"/>
    <s v="13250149001002"/>
    <n v="-93.89"/>
    <n v="2307"/>
    <n v="1"/>
    <n v="1"/>
  </r>
  <r>
    <m/>
    <m/>
    <x v="1"/>
    <s v="13434804001007"/>
    <n v="-16.690000000000001"/>
    <n v="410"/>
    <n v="1"/>
    <n v="1"/>
  </r>
  <r>
    <m/>
    <m/>
    <x v="1"/>
    <s v="13438370001001"/>
    <n v="-77.53"/>
    <n v="1905"/>
    <n v="1"/>
    <n v="1"/>
  </r>
  <r>
    <m/>
    <m/>
    <x v="1"/>
    <s v="13499962003001"/>
    <n v="-2.77"/>
    <n v="68"/>
    <n v="1"/>
    <n v="1"/>
  </r>
  <r>
    <m/>
    <m/>
    <x v="1"/>
    <s v="13584754001005"/>
    <n v="-61.74"/>
    <n v="1517"/>
    <n v="1"/>
    <n v="1"/>
  </r>
  <r>
    <m/>
    <m/>
    <x v="1"/>
    <s v="13597159001001"/>
    <n v="-106.27"/>
    <n v="2611"/>
    <n v="1"/>
    <n v="1"/>
  </r>
  <r>
    <m/>
    <m/>
    <x v="1"/>
    <s v="13657098001001"/>
    <n v="-58.24"/>
    <n v="1431"/>
    <n v="1"/>
    <n v="1"/>
  </r>
  <r>
    <m/>
    <m/>
    <x v="1"/>
    <s v="13673984001003"/>
    <n v="-59.38"/>
    <n v="1459"/>
    <n v="1"/>
    <n v="1"/>
  </r>
  <r>
    <m/>
    <m/>
    <x v="1"/>
    <s v="13794916004003"/>
    <n v="-86.32"/>
    <n v="2121"/>
    <n v="1"/>
    <n v="1"/>
  </r>
  <r>
    <m/>
    <m/>
    <x v="1"/>
    <s v="13812990001010"/>
    <n v="-98.41"/>
    <n v="2418"/>
    <n v="1"/>
    <n v="1"/>
  </r>
  <r>
    <m/>
    <m/>
    <x v="1"/>
    <s v="13818728001007"/>
    <n v="-52.38"/>
    <n v="1287"/>
    <n v="1"/>
    <n v="1"/>
  </r>
  <r>
    <m/>
    <m/>
    <x v="1"/>
    <s v="13852682001001"/>
    <n v="-22.18"/>
    <n v="545"/>
    <n v="1"/>
    <n v="1"/>
  </r>
  <r>
    <m/>
    <m/>
    <x v="1"/>
    <s v="13972735001001"/>
    <n v="-51.81"/>
    <n v="1273"/>
    <n v="1"/>
    <n v="1"/>
  </r>
  <r>
    <m/>
    <m/>
    <x v="1"/>
    <s v="14123583001011"/>
    <n v="-31.42"/>
    <n v="772"/>
    <n v="1"/>
    <n v="1"/>
  </r>
  <r>
    <m/>
    <m/>
    <x v="1"/>
    <s v="14161302001006"/>
    <n v="-80.3"/>
    <n v="1973"/>
    <n v="1"/>
    <n v="1"/>
  </r>
  <r>
    <m/>
    <m/>
    <x v="1"/>
    <s v="14167241008003"/>
    <n v="-70.040000000000006"/>
    <n v="1721"/>
    <n v="1"/>
    <n v="1"/>
  </r>
  <r>
    <m/>
    <m/>
    <x v="1"/>
    <s v="14171251001006"/>
    <n v="-40.619999999999997"/>
    <n v="998"/>
    <n v="1"/>
    <n v="1"/>
  </r>
  <r>
    <m/>
    <m/>
    <x v="1"/>
    <s v="14195593002004"/>
    <n v="-169.07"/>
    <n v="4154"/>
    <n v="1"/>
    <n v="1"/>
  </r>
  <r>
    <m/>
    <m/>
    <x v="1"/>
    <s v="14250991001001"/>
    <n v="-77.45"/>
    <n v="1903"/>
    <n v="1"/>
    <n v="1"/>
  </r>
  <r>
    <m/>
    <m/>
    <x v="1"/>
    <s v="14280190001003"/>
    <n v="-49.78"/>
    <n v="1223"/>
    <n v="1"/>
    <n v="1"/>
  </r>
  <r>
    <m/>
    <m/>
    <x v="1"/>
    <s v="14417667001001"/>
    <n v="-75.13"/>
    <n v="1846"/>
    <n v="1"/>
    <n v="1"/>
  </r>
  <r>
    <m/>
    <m/>
    <x v="1"/>
    <s v="14496582001001"/>
    <n v="-105.62"/>
    <n v="2595"/>
    <n v="1"/>
    <n v="1"/>
  </r>
  <r>
    <m/>
    <m/>
    <x v="1"/>
    <s v="14502955001001"/>
    <n v="-71.510000000000005"/>
    <n v="1757"/>
    <n v="1"/>
    <n v="1"/>
  </r>
  <r>
    <m/>
    <m/>
    <x v="1"/>
    <s v="14612915001001"/>
    <n v="-69.39"/>
    <n v="1705"/>
    <n v="1"/>
    <n v="1"/>
  </r>
  <r>
    <m/>
    <m/>
    <x v="1"/>
    <s v="14663014001002"/>
    <n v="-52.14"/>
    <n v="1281"/>
    <n v="1"/>
    <n v="1"/>
  </r>
  <r>
    <m/>
    <m/>
    <x v="1"/>
    <s v="14864623002001"/>
    <n v="-27.35"/>
    <n v="672"/>
    <n v="1"/>
    <n v="1"/>
  </r>
  <r>
    <m/>
    <m/>
    <x v="1"/>
    <s v="14916764001001"/>
    <n v="-59.46"/>
    <n v="1461"/>
    <n v="2"/>
    <n v="1"/>
  </r>
  <r>
    <m/>
    <m/>
    <x v="1"/>
    <s v="15045662001001"/>
    <n v="-7.49"/>
    <n v="184"/>
    <n v="1"/>
    <n v="1"/>
  </r>
  <r>
    <m/>
    <m/>
    <x v="1"/>
    <s v="15242262002003"/>
    <n v="-34.31"/>
    <n v="843"/>
    <n v="1"/>
    <n v="1"/>
  </r>
  <r>
    <m/>
    <m/>
    <x v="1"/>
    <s v="15335726001008"/>
    <n v="-36.71"/>
    <n v="902"/>
    <n v="1"/>
    <n v="1"/>
  </r>
  <r>
    <m/>
    <m/>
    <x v="1"/>
    <s v="15431936001001"/>
    <n v="-32.64"/>
    <n v="802"/>
    <n v="1"/>
    <n v="1"/>
  </r>
  <r>
    <m/>
    <m/>
    <x v="1"/>
    <s v="15497150001007"/>
    <n v="-36.51"/>
    <n v="897"/>
    <n v="1"/>
    <n v="1"/>
  </r>
  <r>
    <m/>
    <m/>
    <x v="1"/>
    <s v="15515287001002"/>
    <n v="-89.82"/>
    <n v="2207"/>
    <n v="1"/>
    <n v="1"/>
  </r>
  <r>
    <m/>
    <m/>
    <x v="1"/>
    <s v="15524581001001"/>
    <n v="-113.68"/>
    <n v="2793"/>
    <n v="1"/>
    <n v="1"/>
  </r>
  <r>
    <m/>
    <m/>
    <x v="1"/>
    <s v="15567974001002"/>
    <n v="-31.66"/>
    <n v="778"/>
    <n v="1"/>
    <n v="1"/>
  </r>
  <r>
    <m/>
    <m/>
    <x v="1"/>
    <s v="15574419001008"/>
    <n v="-76.92"/>
    <n v="1890"/>
    <n v="1"/>
    <n v="1"/>
  </r>
  <r>
    <m/>
    <m/>
    <x v="1"/>
    <s v="15666421003001"/>
    <n v="-77.209999999999994"/>
    <n v="1897"/>
    <n v="1"/>
    <n v="1"/>
  </r>
  <r>
    <m/>
    <m/>
    <x v="1"/>
    <s v="15723578001004"/>
    <n v="-87.1"/>
    <n v="2140"/>
    <n v="1"/>
    <n v="1"/>
  </r>
  <r>
    <m/>
    <m/>
    <x v="1"/>
    <s v="15745592001001"/>
    <n v="-109.73"/>
    <n v="2696"/>
    <n v="1"/>
    <n v="1"/>
  </r>
  <r>
    <m/>
    <m/>
    <x v="1"/>
    <s v="15925995001001"/>
    <n v="-43.47"/>
    <n v="1068"/>
    <n v="1"/>
    <n v="1"/>
  </r>
  <r>
    <m/>
    <m/>
    <x v="1"/>
    <s v="16066896001005"/>
    <n v="-60.11"/>
    <n v="1477"/>
    <n v="1"/>
    <n v="1"/>
  </r>
  <r>
    <m/>
    <m/>
    <x v="1"/>
    <s v="16099578001001"/>
    <n v="-74.599999999999994"/>
    <n v="1833"/>
    <n v="1"/>
    <n v="1"/>
  </r>
  <r>
    <m/>
    <m/>
    <x v="1"/>
    <s v="16129169001001"/>
    <n v="-85.55"/>
    <n v="2102"/>
    <n v="1"/>
    <n v="1"/>
  </r>
  <r>
    <m/>
    <m/>
    <x v="1"/>
    <s v="16141513003001"/>
    <n v="-60.93"/>
    <n v="1497"/>
    <n v="1"/>
    <n v="1"/>
  </r>
  <r>
    <m/>
    <m/>
    <x v="1"/>
    <s v="16175755001003"/>
    <n v="-19.29"/>
    <n v="474"/>
    <n v="1"/>
    <n v="1"/>
  </r>
  <r>
    <m/>
    <m/>
    <x v="1"/>
    <s v="16222691001005"/>
    <n v="-69.31"/>
    <n v="1703"/>
    <n v="1"/>
    <n v="1"/>
  </r>
  <r>
    <m/>
    <m/>
    <x v="1"/>
    <s v="16268790001003"/>
    <n v="-82.99"/>
    <n v="2039"/>
    <n v="1"/>
    <n v="1"/>
  </r>
  <r>
    <m/>
    <m/>
    <x v="1"/>
    <s v="16272128001001"/>
    <n v="-26.54"/>
    <n v="652"/>
    <n v="1"/>
    <n v="1"/>
  </r>
  <r>
    <m/>
    <m/>
    <x v="1"/>
    <s v="16324942001001"/>
    <n v="-41.84"/>
    <n v="1028"/>
    <n v="1"/>
    <n v="1"/>
  </r>
  <r>
    <m/>
    <m/>
    <x v="1"/>
    <s v="16450177001001"/>
    <n v="-46.68"/>
    <n v="1147"/>
    <n v="1"/>
    <n v="1"/>
  </r>
  <r>
    <m/>
    <m/>
    <x v="1"/>
    <s v="16578645001005"/>
    <n v="-34.43"/>
    <n v="846"/>
    <n v="1"/>
    <n v="1"/>
  </r>
  <r>
    <m/>
    <m/>
    <x v="1"/>
    <s v="16593753001001"/>
    <n v="-61.7"/>
    <n v="1516"/>
    <n v="1"/>
    <n v="1"/>
  </r>
  <r>
    <m/>
    <m/>
    <x v="1"/>
    <s v="16646645005001"/>
    <n v="-17.91"/>
    <n v="440"/>
    <n v="1"/>
    <n v="1"/>
  </r>
  <r>
    <m/>
    <m/>
    <x v="1"/>
    <s v="16766325001001"/>
    <n v="-51.61"/>
    <n v="1268"/>
    <n v="1"/>
    <n v="1"/>
  </r>
  <r>
    <m/>
    <m/>
    <x v="1"/>
    <s v="16865540003001"/>
    <n v="-23.04"/>
    <n v="566"/>
    <n v="1"/>
    <n v="1"/>
  </r>
  <r>
    <m/>
    <m/>
    <x v="1"/>
    <s v="16884109001002"/>
    <n v="-97.96"/>
    <n v="2407"/>
    <n v="1"/>
    <n v="1"/>
  </r>
  <r>
    <m/>
    <m/>
    <x v="1"/>
    <s v="16958956001003"/>
    <n v="-76.959999999999994"/>
    <n v="1891"/>
    <n v="1"/>
    <n v="1"/>
  </r>
  <r>
    <m/>
    <m/>
    <x v="1"/>
    <s v="17145119002004"/>
    <n v="-43.75"/>
    <n v="1075"/>
    <n v="1"/>
    <n v="1"/>
  </r>
  <r>
    <m/>
    <m/>
    <x v="1"/>
    <s v="17193208001001"/>
    <n v="-81.97"/>
    <n v="2014"/>
    <n v="1"/>
    <n v="1"/>
  </r>
  <r>
    <m/>
    <m/>
    <x v="1"/>
    <s v="17236061001003"/>
    <n v="-83.48"/>
    <n v="2051"/>
    <n v="1"/>
    <n v="1"/>
  </r>
  <r>
    <m/>
    <m/>
    <x v="1"/>
    <s v="17378301001002"/>
    <n v="-100.2"/>
    <n v="2462"/>
    <n v="1"/>
    <n v="1"/>
  </r>
  <r>
    <m/>
    <m/>
    <x v="1"/>
    <s v="17606006001001"/>
    <n v="-92.88"/>
    <n v="2282"/>
    <n v="1"/>
    <n v="1"/>
  </r>
  <r>
    <m/>
    <m/>
    <x v="1"/>
    <s v="17662465001001"/>
    <n v="-21.16"/>
    <n v="520"/>
    <n v="1"/>
    <n v="1"/>
  </r>
  <r>
    <m/>
    <m/>
    <x v="1"/>
    <s v="17724609001006"/>
    <n v="-93.37"/>
    <n v="2294"/>
    <n v="1"/>
    <n v="1"/>
  </r>
  <r>
    <m/>
    <m/>
    <x v="1"/>
    <s v="17760079001001"/>
    <n v="-112.49"/>
    <n v="2764"/>
    <n v="1"/>
    <n v="1"/>
  </r>
  <r>
    <m/>
    <m/>
    <x v="1"/>
    <s v="17861861001001"/>
    <n v="-84.29"/>
    <n v="2071"/>
    <n v="1"/>
    <n v="1"/>
  </r>
  <r>
    <m/>
    <m/>
    <x v="1"/>
    <s v="17953292001001"/>
    <n v="-61.05"/>
    <n v="1500"/>
    <n v="1"/>
    <n v="1"/>
  </r>
  <r>
    <m/>
    <m/>
    <x v="1"/>
    <s v="17980153001002"/>
    <n v="-84.45"/>
    <n v="2075"/>
    <n v="1"/>
    <n v="1"/>
  </r>
  <r>
    <m/>
    <m/>
    <x v="1"/>
    <s v="18004459001001"/>
    <n v="-41.47"/>
    <n v="1019"/>
    <n v="1"/>
    <n v="1"/>
  </r>
  <r>
    <m/>
    <m/>
    <x v="1"/>
    <s v="18025275001001"/>
    <n v="-38.950000000000003"/>
    <n v="957"/>
    <n v="1"/>
    <n v="1"/>
  </r>
  <r>
    <m/>
    <m/>
    <x v="1"/>
    <s v="18093249001001"/>
    <n v="-126.25"/>
    <n v="3102"/>
    <n v="1"/>
    <n v="1"/>
  </r>
  <r>
    <m/>
    <m/>
    <x v="1"/>
    <s v="18214356001003"/>
    <n v="-53.85"/>
    <n v="1323"/>
    <n v="1"/>
    <n v="1"/>
  </r>
  <r>
    <m/>
    <m/>
    <x v="1"/>
    <s v="18273680003003"/>
    <n v="-65.28"/>
    <n v="1604"/>
    <n v="1"/>
    <n v="1"/>
  </r>
  <r>
    <m/>
    <m/>
    <x v="1"/>
    <s v="18390546001001"/>
    <n v="-37.24"/>
    <n v="915"/>
    <n v="1"/>
    <n v="1"/>
  </r>
  <r>
    <m/>
    <m/>
    <x v="1"/>
    <s v="18510970001001"/>
    <n v="-71.099999999999994"/>
    <n v="1747"/>
    <n v="1"/>
    <n v="1"/>
  </r>
  <r>
    <m/>
    <m/>
    <x v="1"/>
    <s v="18517557001005"/>
    <n v="-31.91"/>
    <n v="784"/>
    <n v="1"/>
    <n v="1"/>
  </r>
  <r>
    <m/>
    <m/>
    <x v="1"/>
    <s v="18631095001001"/>
    <n v="-41.64"/>
    <n v="1023"/>
    <n v="1"/>
    <n v="1"/>
  </r>
  <r>
    <m/>
    <m/>
    <x v="1"/>
    <s v="18699658001004"/>
    <n v="-107.45"/>
    <n v="2640"/>
    <n v="1"/>
    <n v="1"/>
  </r>
  <r>
    <m/>
    <m/>
    <x v="1"/>
    <s v="18898892001003"/>
    <n v="-69.47"/>
    <n v="1707"/>
    <n v="1"/>
    <n v="1"/>
  </r>
  <r>
    <m/>
    <m/>
    <x v="1"/>
    <s v="18996467001003"/>
    <n v="-49.98"/>
    <n v="1228"/>
    <n v="1"/>
    <n v="1"/>
  </r>
  <r>
    <m/>
    <m/>
    <x v="1"/>
    <s v="19003606001001"/>
    <n v="-59.22"/>
    <n v="1455"/>
    <n v="1"/>
    <n v="1"/>
  </r>
  <r>
    <m/>
    <m/>
    <x v="1"/>
    <s v="19242774001002"/>
    <n v="-43.67"/>
    <n v="1073"/>
    <n v="1"/>
    <n v="1"/>
  </r>
  <r>
    <m/>
    <m/>
    <x v="1"/>
    <s v="19345185001001"/>
    <n v="-12.62"/>
    <n v="310"/>
    <n v="1"/>
    <n v="1"/>
  </r>
  <r>
    <m/>
    <m/>
    <x v="1"/>
    <s v="19435050001001"/>
    <n v="-97.68"/>
    <n v="2400"/>
    <n v="1"/>
    <n v="1"/>
  </r>
  <r>
    <m/>
    <m/>
    <x v="1"/>
    <s v="19496026001002"/>
    <n v="-64.39"/>
    <n v="1582"/>
    <n v="1"/>
    <n v="1"/>
  </r>
  <r>
    <m/>
    <m/>
    <x v="1"/>
    <s v="19549167001005"/>
    <n v="-101.99"/>
    <n v="2506"/>
    <n v="1"/>
    <n v="1"/>
  </r>
  <r>
    <m/>
    <m/>
    <x v="1"/>
    <s v="19669200001002"/>
    <n v="-80.87"/>
    <n v="1987"/>
    <n v="1"/>
    <n v="1"/>
  </r>
  <r>
    <m/>
    <m/>
    <x v="1"/>
    <s v="19748155001005"/>
    <n v="-95.73"/>
    <n v="2352"/>
    <n v="1"/>
    <n v="1"/>
  </r>
  <r>
    <m/>
    <m/>
    <x v="1"/>
    <s v="19981285001002"/>
    <n v="-69.599999999999994"/>
    <n v="1710"/>
    <n v="1"/>
    <n v="1"/>
  </r>
  <r>
    <m/>
    <m/>
    <x v="1"/>
    <s v="19984149003003"/>
    <n v="-57.67"/>
    <n v="1417"/>
    <n v="1"/>
    <n v="1"/>
  </r>
  <r>
    <m/>
    <m/>
    <x v="1"/>
    <s v="20017970001001"/>
    <n v="-35.409999999999997"/>
    <n v="870"/>
    <n v="1"/>
    <n v="1"/>
  </r>
  <r>
    <m/>
    <m/>
    <x v="1"/>
    <s v="20284417001002"/>
    <n v="-89.02"/>
    <n v="2187"/>
    <n v="2"/>
    <n v="1"/>
  </r>
  <r>
    <m/>
    <m/>
    <x v="1"/>
    <s v="20373554001003"/>
    <n v="-108.47"/>
    <n v="2665"/>
    <n v="1"/>
    <n v="1"/>
  </r>
  <r>
    <m/>
    <m/>
    <x v="1"/>
    <s v="20387598002003"/>
    <n v="-40.74"/>
    <n v="1001"/>
    <n v="1"/>
    <n v="1"/>
  </r>
  <r>
    <m/>
    <m/>
    <x v="1"/>
    <s v="20481559001003"/>
    <n v="-34.270000000000003"/>
    <n v="842"/>
    <n v="1"/>
    <n v="1"/>
  </r>
  <r>
    <m/>
    <m/>
    <x v="1"/>
    <s v="20487595001005"/>
    <n v="-39.19"/>
    <n v="963"/>
    <n v="1"/>
    <n v="1"/>
  </r>
  <r>
    <m/>
    <m/>
    <x v="1"/>
    <s v="20531435001001"/>
    <n v="-88.44"/>
    <n v="2173"/>
    <n v="1"/>
    <n v="1"/>
  </r>
  <r>
    <m/>
    <m/>
    <x v="1"/>
    <s v="20542360001003"/>
    <n v="-91.01"/>
    <n v="2236"/>
    <n v="1"/>
    <n v="1"/>
  </r>
  <r>
    <m/>
    <m/>
    <x v="1"/>
    <s v="20615535002001"/>
    <n v="-112.7"/>
    <n v="2769"/>
    <n v="1"/>
    <n v="1"/>
  </r>
  <r>
    <m/>
    <m/>
    <x v="1"/>
    <s v="20656930001009"/>
    <n v="-23.04"/>
    <n v="566"/>
    <n v="1"/>
    <n v="1"/>
  </r>
  <r>
    <m/>
    <m/>
    <x v="1"/>
    <s v="20795542001001"/>
    <n v="-123.65"/>
    <n v="3038"/>
    <n v="1"/>
    <n v="1"/>
  </r>
  <r>
    <m/>
    <m/>
    <x v="1"/>
    <s v="21129192001006"/>
    <n v="-41.23"/>
    <n v="1013"/>
    <n v="1"/>
    <n v="1"/>
  </r>
  <r>
    <m/>
    <m/>
    <x v="1"/>
    <s v="21279456001002"/>
    <n v="-65.36"/>
    <n v="1606"/>
    <n v="1"/>
    <n v="1"/>
  </r>
  <r>
    <m/>
    <m/>
    <x v="1"/>
    <s v="21286629001006"/>
    <n v="-88.56"/>
    <n v="2176"/>
    <n v="1"/>
    <n v="1"/>
  </r>
  <r>
    <m/>
    <m/>
    <x v="1"/>
    <s v="21330324001003"/>
    <n v="-26.58"/>
    <n v="653"/>
    <n v="1"/>
    <n v="1"/>
  </r>
  <r>
    <m/>
    <m/>
    <x v="1"/>
    <s v="21479614002001"/>
    <n v="-47.99"/>
    <n v="1179"/>
    <n v="1"/>
    <n v="1"/>
  </r>
  <r>
    <m/>
    <m/>
    <x v="1"/>
    <s v="21567301001001"/>
    <n v="-104.92"/>
    <n v="2578"/>
    <n v="1"/>
    <n v="1"/>
  </r>
  <r>
    <m/>
    <m/>
    <x v="1"/>
    <s v="21594867001004"/>
    <n v="-92.39"/>
    <n v="2270"/>
    <n v="1"/>
    <n v="1"/>
  </r>
  <r>
    <m/>
    <m/>
    <x v="1"/>
    <s v="21600687001001"/>
    <n v="-108.42"/>
    <n v="2664"/>
    <n v="1"/>
    <n v="1"/>
  </r>
  <r>
    <m/>
    <m/>
    <x v="1"/>
    <s v="21601202001004"/>
    <n v="-35.33"/>
    <n v="868"/>
    <n v="1"/>
    <n v="1"/>
  </r>
  <r>
    <m/>
    <m/>
    <x v="1"/>
    <s v="21633111003001"/>
    <n v="-12.45"/>
    <n v="306"/>
    <n v="1"/>
    <n v="1"/>
  </r>
  <r>
    <m/>
    <m/>
    <x v="1"/>
    <s v="21694077001003"/>
    <n v="-34.07"/>
    <n v="837"/>
    <n v="1"/>
    <n v="1"/>
  </r>
  <r>
    <m/>
    <m/>
    <x v="1"/>
    <s v="21820617001002"/>
    <n v="-42.41"/>
    <n v="1042"/>
    <n v="1"/>
    <n v="1"/>
  </r>
  <r>
    <m/>
    <m/>
    <x v="1"/>
    <s v="21889784001001"/>
    <n v="-74.11"/>
    <n v="1821"/>
    <n v="1"/>
    <n v="1"/>
  </r>
  <r>
    <m/>
    <m/>
    <x v="1"/>
    <s v="21999998001003"/>
    <n v="-155.76"/>
    <n v="3827"/>
    <n v="1"/>
    <n v="1"/>
  </r>
  <r>
    <m/>
    <m/>
    <x v="1"/>
    <s v="22010468001003"/>
    <n v="-46.64"/>
    <n v="1146"/>
    <n v="1"/>
    <n v="1"/>
  </r>
  <r>
    <m/>
    <m/>
    <x v="1"/>
    <s v="22027866001001"/>
    <n v="-24.91"/>
    <n v="612"/>
    <n v="1"/>
    <n v="1"/>
  </r>
  <r>
    <m/>
    <m/>
    <x v="1"/>
    <s v="22108251008001"/>
    <n v="-106.27"/>
    <n v="2611"/>
    <n v="1"/>
    <n v="1"/>
  </r>
  <r>
    <m/>
    <m/>
    <x v="1"/>
    <s v="22118281001001"/>
    <n v="-48.11"/>
    <n v="1182"/>
    <n v="1"/>
    <n v="1"/>
  </r>
  <r>
    <m/>
    <m/>
    <x v="1"/>
    <s v="22131630002004"/>
    <n v="-234.68"/>
    <n v="5766"/>
    <n v="2"/>
    <n v="1"/>
  </r>
  <r>
    <m/>
    <m/>
    <x v="1"/>
    <s v="22203778001002"/>
    <n v="-17.54"/>
    <n v="431"/>
    <n v="1"/>
    <n v="1"/>
  </r>
  <r>
    <m/>
    <m/>
    <x v="1"/>
    <s v="22224397001001"/>
    <n v="-39.19"/>
    <n v="963"/>
    <n v="1"/>
    <n v="1"/>
  </r>
  <r>
    <m/>
    <m/>
    <x v="1"/>
    <s v="22237180001003"/>
    <n v="-45.75"/>
    <n v="1124"/>
    <n v="1"/>
    <n v="1"/>
  </r>
  <r>
    <m/>
    <m/>
    <x v="1"/>
    <s v="22368801002001"/>
    <n v="-156.78"/>
    <n v="3852"/>
    <n v="1"/>
    <n v="1"/>
  </r>
  <r>
    <m/>
    <m/>
    <x v="1"/>
    <s v="22386532007001"/>
    <n v="-56.25"/>
    <n v="1382"/>
    <n v="1"/>
    <n v="1"/>
  </r>
  <r>
    <m/>
    <m/>
    <x v="1"/>
    <s v="22448306001006"/>
    <n v="-44.65"/>
    <n v="1097"/>
    <n v="1"/>
    <n v="1"/>
  </r>
  <r>
    <m/>
    <m/>
    <x v="1"/>
    <s v="22461172001003"/>
    <n v="-64.88"/>
    <n v="1594"/>
    <n v="1"/>
    <n v="1"/>
  </r>
  <r>
    <m/>
    <m/>
    <x v="1"/>
    <s v="22513380001001"/>
    <n v="-159.26"/>
    <n v="3913"/>
    <n v="1"/>
    <n v="1"/>
  </r>
  <r>
    <m/>
    <m/>
    <x v="1"/>
    <s v="22537776001001"/>
    <n v="-104.72"/>
    <n v="2573"/>
    <n v="1"/>
    <n v="1"/>
  </r>
  <r>
    <m/>
    <m/>
    <x v="1"/>
    <s v="22661816001004"/>
    <n v="-60.89"/>
    <n v="1496"/>
    <n v="1"/>
    <n v="1"/>
  </r>
  <r>
    <m/>
    <m/>
    <x v="1"/>
    <s v="22968302004001"/>
    <n v="-88.77"/>
    <n v="2181"/>
    <n v="1"/>
    <n v="1"/>
  </r>
  <r>
    <m/>
    <m/>
    <x v="1"/>
    <s v="22970260001002"/>
    <n v="-100.49"/>
    <n v="2469"/>
    <n v="1"/>
    <n v="1"/>
  </r>
  <r>
    <m/>
    <m/>
    <x v="1"/>
    <s v="23029958001003"/>
    <n v="-40.29"/>
    <n v="990"/>
    <n v="1"/>
    <n v="1"/>
  </r>
  <r>
    <m/>
    <m/>
    <x v="1"/>
    <s v="23056711001001"/>
    <n v="-74.680000000000007"/>
    <n v="1835"/>
    <n v="1"/>
    <n v="1"/>
  </r>
  <r>
    <m/>
    <m/>
    <x v="1"/>
    <s v="23085939002003"/>
    <n v="-0.53"/>
    <n v="13"/>
    <n v="1"/>
    <n v="1"/>
  </r>
  <r>
    <m/>
    <m/>
    <x v="1"/>
    <s v="23103586001001"/>
    <n v="-42.86"/>
    <n v="1053"/>
    <n v="1"/>
    <n v="1"/>
  </r>
  <r>
    <m/>
    <m/>
    <x v="1"/>
    <s v="23131202001001"/>
    <n v="-88.16"/>
    <n v="2166"/>
    <n v="1"/>
    <n v="1"/>
  </r>
  <r>
    <m/>
    <m/>
    <x v="1"/>
    <s v="23143876001001"/>
    <n v="-71.59"/>
    <n v="1759"/>
    <n v="1"/>
    <n v="1"/>
  </r>
  <r>
    <m/>
    <m/>
    <x v="1"/>
    <s v="23161227001003"/>
    <n v="-71.59"/>
    <n v="1759"/>
    <n v="1"/>
    <n v="1"/>
  </r>
  <r>
    <m/>
    <m/>
    <x v="1"/>
    <s v="23175753003005"/>
    <n v="-29.91"/>
    <n v="735"/>
    <n v="1"/>
    <n v="1"/>
  </r>
  <r>
    <m/>
    <m/>
    <x v="1"/>
    <s v="23191485002001"/>
    <n v="-88.56"/>
    <n v="2176"/>
    <n v="1"/>
    <n v="1"/>
  </r>
  <r>
    <m/>
    <m/>
    <x v="1"/>
    <s v="23207064001005"/>
    <n v="-82.74"/>
    <n v="2033"/>
    <n v="1"/>
    <n v="1"/>
  </r>
  <r>
    <m/>
    <m/>
    <x v="1"/>
    <s v="23361845001001"/>
    <n v="-64.31"/>
    <n v="1580"/>
    <n v="1"/>
    <n v="1"/>
  </r>
  <r>
    <m/>
    <m/>
    <x v="1"/>
    <s v="23403071001003"/>
    <n v="-19.899999999999999"/>
    <n v="489"/>
    <n v="1"/>
    <n v="1"/>
  </r>
  <r>
    <m/>
    <m/>
    <x v="1"/>
    <s v="23427190001001"/>
    <n v="-73.06"/>
    <n v="1795"/>
    <n v="1"/>
    <n v="1"/>
  </r>
  <r>
    <m/>
    <m/>
    <x v="1"/>
    <s v="23460849001001"/>
    <n v="-54.9"/>
    <n v="1349"/>
    <n v="1"/>
    <n v="1"/>
  </r>
  <r>
    <m/>
    <m/>
    <x v="1"/>
    <s v="23465139001008"/>
    <n v="-155.63999999999999"/>
    <n v="3824"/>
    <n v="1"/>
    <n v="1"/>
  </r>
  <r>
    <m/>
    <m/>
    <x v="1"/>
    <s v="23468135001001"/>
    <n v="-0.94"/>
    <n v="23"/>
    <n v="1"/>
    <n v="1"/>
  </r>
  <r>
    <m/>
    <m/>
    <x v="1"/>
    <s v="23535049001001"/>
    <n v="-46.19"/>
    <n v="1135"/>
    <n v="1"/>
    <n v="1"/>
  </r>
  <r>
    <m/>
    <m/>
    <x v="1"/>
    <s v="23567089001003"/>
    <n v="-33.700000000000003"/>
    <n v="828"/>
    <n v="1"/>
    <n v="1"/>
  </r>
  <r>
    <m/>
    <m/>
    <x v="1"/>
    <s v="23863133001011"/>
    <n v="-54.5"/>
    <n v="1339"/>
    <n v="1"/>
    <n v="1"/>
  </r>
  <r>
    <m/>
    <m/>
    <x v="1"/>
    <s v="23921856001004"/>
    <n v="-47.54"/>
    <n v="1168"/>
    <n v="1"/>
    <n v="1"/>
  </r>
  <r>
    <m/>
    <m/>
    <x v="1"/>
    <s v="24047839001001"/>
    <n v="-165.65"/>
    <n v="4070"/>
    <n v="1"/>
    <n v="1"/>
  </r>
  <r>
    <m/>
    <m/>
    <x v="1"/>
    <s v="24258594002004"/>
    <n v="-20.07"/>
    <n v="493"/>
    <n v="1"/>
    <n v="1"/>
  </r>
  <r>
    <m/>
    <m/>
    <x v="1"/>
    <s v="24274679001001"/>
    <n v="-80.709999999999994"/>
    <n v="1983"/>
    <n v="1"/>
    <n v="1"/>
  </r>
  <r>
    <m/>
    <m/>
    <x v="1"/>
    <s v="24291697001001"/>
    <n v="-92.51"/>
    <n v="2273"/>
    <n v="1"/>
    <n v="1"/>
  </r>
  <r>
    <m/>
    <m/>
    <x v="1"/>
    <s v="24336943003005"/>
    <n v="-175.13"/>
    <n v="4303"/>
    <n v="1"/>
    <n v="1"/>
  </r>
  <r>
    <m/>
    <m/>
    <x v="1"/>
    <s v="24352693002004"/>
    <n v="-151.72999999999999"/>
    <n v="3728"/>
    <n v="1"/>
    <n v="1"/>
  </r>
  <r>
    <m/>
    <m/>
    <x v="1"/>
    <s v="24416805001001"/>
    <n v="-29.06"/>
    <n v="714"/>
    <n v="1"/>
    <n v="1"/>
  </r>
  <r>
    <m/>
    <m/>
    <x v="1"/>
    <s v="24503591001001"/>
    <n v="-57.02"/>
    <n v="1401"/>
    <n v="1"/>
    <n v="1"/>
  </r>
  <r>
    <m/>
    <m/>
    <x v="1"/>
    <s v="24571934001005"/>
    <n v="-27.88"/>
    <n v="685"/>
    <n v="1"/>
    <n v="1"/>
  </r>
  <r>
    <m/>
    <m/>
    <x v="1"/>
    <s v="24605344003001"/>
    <n v="-25.36"/>
    <n v="623"/>
    <n v="1"/>
    <n v="1"/>
  </r>
  <r>
    <m/>
    <m/>
    <x v="1"/>
    <s v="24678011002004"/>
    <n v="-93.98"/>
    <n v="2309"/>
    <n v="1"/>
    <n v="1"/>
  </r>
  <r>
    <m/>
    <m/>
    <x v="1"/>
    <s v="24678131001007"/>
    <n v="-96.99"/>
    <n v="2383"/>
    <n v="1"/>
    <n v="1"/>
  </r>
  <r>
    <m/>
    <m/>
    <x v="1"/>
    <s v="24684171002001"/>
    <n v="-134.19"/>
    <n v="3297"/>
    <n v="1"/>
    <n v="1"/>
  </r>
  <r>
    <m/>
    <m/>
    <x v="1"/>
    <s v="24823730001001"/>
    <n v="-99.06"/>
    <n v="2434"/>
    <n v="1"/>
    <n v="1"/>
  </r>
  <r>
    <m/>
    <m/>
    <x v="1"/>
    <s v="24824356001005"/>
    <n v="-149.86000000000001"/>
    <n v="3682"/>
    <n v="1"/>
    <n v="1"/>
  </r>
  <r>
    <m/>
    <m/>
    <x v="1"/>
    <s v="24882043003001"/>
    <n v="-3.13"/>
    <n v="77"/>
    <n v="1"/>
    <n v="1"/>
  </r>
  <r>
    <m/>
    <m/>
    <x v="1"/>
    <s v="24891420005001"/>
    <n v="-84.45"/>
    <n v="2075"/>
    <n v="1"/>
    <n v="1"/>
  </r>
  <r>
    <m/>
    <m/>
    <x v="1"/>
    <s v="24915827001003"/>
    <n v="-156.25"/>
    <n v="3839"/>
    <n v="1"/>
    <n v="1"/>
  </r>
  <r>
    <m/>
    <m/>
    <x v="1"/>
    <s v="25026606001003"/>
    <n v="-28.41"/>
    <n v="698"/>
    <n v="1"/>
    <n v="1"/>
  </r>
  <r>
    <m/>
    <m/>
    <x v="1"/>
    <s v="25266054001002"/>
    <n v="-71.430000000000007"/>
    <n v="1755"/>
    <n v="1"/>
    <n v="1"/>
  </r>
  <r>
    <m/>
    <m/>
    <x v="1"/>
    <s v="25397635001001"/>
    <n v="-23.73"/>
    <n v="583"/>
    <n v="1"/>
    <n v="1"/>
  </r>
  <r>
    <m/>
    <m/>
    <x v="1"/>
    <s v="25505456002001"/>
    <n v="-6.84"/>
    <n v="168"/>
    <n v="1"/>
    <n v="1"/>
  </r>
  <r>
    <m/>
    <m/>
    <x v="1"/>
    <s v="25741551007013"/>
    <n v="-144.77000000000001"/>
    <n v="3557"/>
    <n v="1"/>
    <n v="1"/>
  </r>
  <r>
    <m/>
    <m/>
    <x v="1"/>
    <s v="25874153001001"/>
    <n v="-68.05"/>
    <n v="1672"/>
    <n v="1"/>
    <n v="1"/>
  </r>
  <r>
    <m/>
    <m/>
    <x v="1"/>
    <s v="25919981001001"/>
    <n v="-16"/>
    <n v="393"/>
    <n v="1"/>
    <n v="1"/>
  </r>
  <r>
    <m/>
    <m/>
    <x v="1"/>
    <s v="26360288004001"/>
    <n v="-47.17"/>
    <n v="1159"/>
    <n v="1"/>
    <n v="1"/>
  </r>
  <r>
    <m/>
    <m/>
    <x v="1"/>
    <s v="26425910001010"/>
    <n v="-12.7"/>
    <n v="312"/>
    <n v="1"/>
    <n v="1"/>
  </r>
  <r>
    <m/>
    <m/>
    <x v="1"/>
    <s v="26458905001002"/>
    <n v="-52.63"/>
    <n v="1293"/>
    <n v="1"/>
    <n v="1"/>
  </r>
  <r>
    <m/>
    <m/>
    <x v="1"/>
    <s v="26481593001002"/>
    <n v="-82.25"/>
    <n v="2021"/>
    <n v="1"/>
    <n v="1"/>
  </r>
  <r>
    <m/>
    <m/>
    <x v="1"/>
    <s v="26543152001004"/>
    <n v="-66.02"/>
    <n v="1622"/>
    <n v="1"/>
    <n v="1"/>
  </r>
  <r>
    <m/>
    <m/>
    <x v="1"/>
    <s v="26574451002003"/>
    <n v="-223.73"/>
    <n v="5497"/>
    <n v="1"/>
    <n v="1"/>
  </r>
  <r>
    <m/>
    <m/>
    <x v="1"/>
    <s v="26711382001002"/>
    <n v="-7.04"/>
    <n v="173"/>
    <n v="1"/>
    <n v="1"/>
  </r>
  <r>
    <m/>
    <m/>
    <x v="1"/>
    <s v="26719169001001"/>
    <n v="-46.97"/>
    <n v="1154"/>
    <n v="1"/>
    <n v="1"/>
  </r>
  <r>
    <m/>
    <m/>
    <x v="1"/>
    <s v="26763592001011"/>
    <n v="-52.42"/>
    <n v="1288"/>
    <n v="1"/>
    <n v="1"/>
  </r>
  <r>
    <m/>
    <m/>
    <x v="1"/>
    <s v="26857721002001"/>
    <n v="-4.2699999999999996"/>
    <n v="105"/>
    <n v="1"/>
    <n v="1"/>
  </r>
  <r>
    <m/>
    <m/>
    <x v="1"/>
    <s v="26889786001001"/>
    <n v="-97.8"/>
    <n v="2403"/>
    <n v="1"/>
    <n v="1"/>
  </r>
  <r>
    <m/>
    <m/>
    <x v="1"/>
    <s v="26902722002003"/>
    <n v="-105.94"/>
    <n v="2603"/>
    <n v="1"/>
    <n v="1"/>
  </r>
  <r>
    <m/>
    <m/>
    <x v="1"/>
    <s v="26923407001001"/>
    <n v="-51.89"/>
    <n v="1275"/>
    <n v="1"/>
    <n v="1"/>
  </r>
  <r>
    <m/>
    <m/>
    <x v="1"/>
    <s v="26975811002001"/>
    <n v="-53.68"/>
    <n v="1319"/>
    <n v="1"/>
    <n v="1"/>
  </r>
  <r>
    <m/>
    <m/>
    <x v="1"/>
    <s v="27004406001004"/>
    <n v="-16.04"/>
    <n v="394"/>
    <n v="1"/>
    <n v="1"/>
  </r>
  <r>
    <m/>
    <m/>
    <x v="1"/>
    <s v="27214758001001"/>
    <n v="-66.06"/>
    <n v="1623"/>
    <n v="1"/>
    <n v="1"/>
  </r>
  <r>
    <m/>
    <m/>
    <x v="1"/>
    <s v="27335211003001"/>
    <n v="-60.36"/>
    <n v="1483"/>
    <n v="1"/>
    <n v="1"/>
  </r>
  <r>
    <m/>
    <m/>
    <x v="1"/>
    <s v="27415463002001"/>
    <n v="-57.96"/>
    <n v="1424"/>
    <n v="1"/>
    <n v="1"/>
  </r>
  <r>
    <m/>
    <m/>
    <x v="1"/>
    <s v="27533536001005"/>
    <n v="-82.95"/>
    <n v="2038"/>
    <n v="1"/>
    <n v="1"/>
  </r>
  <r>
    <m/>
    <m/>
    <x v="1"/>
    <s v="27612583002003"/>
    <n v="-112.37"/>
    <n v="2761"/>
    <n v="1"/>
    <n v="1"/>
  </r>
  <r>
    <m/>
    <m/>
    <x v="1"/>
    <s v="27614236002001"/>
    <n v="-67.89"/>
    <n v="1668"/>
    <n v="1"/>
    <n v="1"/>
  </r>
  <r>
    <m/>
    <m/>
    <x v="1"/>
    <s v="27629352001002"/>
    <n v="-125.27"/>
    <n v="3078"/>
    <n v="1"/>
    <n v="1"/>
  </r>
  <r>
    <m/>
    <m/>
    <x v="1"/>
    <s v="27643675001002"/>
    <n v="-40.17"/>
    <n v="987"/>
    <n v="1"/>
    <n v="1"/>
  </r>
  <r>
    <m/>
    <m/>
    <x v="1"/>
    <s v="27691065001006"/>
    <n v="-90.19"/>
    <n v="2216"/>
    <n v="1"/>
    <n v="1"/>
  </r>
  <r>
    <m/>
    <m/>
    <x v="1"/>
    <s v="27805020001001"/>
    <n v="-16.2"/>
    <n v="398"/>
    <n v="1"/>
    <n v="1"/>
  </r>
  <r>
    <m/>
    <m/>
    <x v="1"/>
    <s v="27808881001014"/>
    <n v="-80.67"/>
    <n v="1982"/>
    <n v="1"/>
    <n v="1"/>
  </r>
  <r>
    <m/>
    <m/>
    <x v="1"/>
    <s v="27809870001003"/>
    <n v="-87.95"/>
    <n v="2161"/>
    <n v="1"/>
    <n v="1"/>
  </r>
  <r>
    <m/>
    <m/>
    <x v="1"/>
    <s v="27853234002005"/>
    <n v="-85.35"/>
    <n v="2097"/>
    <n v="1"/>
    <n v="1"/>
  </r>
  <r>
    <m/>
    <m/>
    <x v="1"/>
    <s v="27883736001001"/>
    <n v="-125.44"/>
    <n v="3082"/>
    <n v="1"/>
    <n v="1"/>
  </r>
  <r>
    <m/>
    <m/>
    <x v="1"/>
    <s v="27899952001001"/>
    <n v="-69.349999999999994"/>
    <n v="1704"/>
    <n v="1"/>
    <n v="1"/>
  </r>
  <r>
    <m/>
    <m/>
    <x v="1"/>
    <s v="27943716001001"/>
    <n v="-15.18"/>
    <n v="373"/>
    <n v="1"/>
    <n v="1"/>
  </r>
  <r>
    <m/>
    <m/>
    <x v="1"/>
    <s v="27977791001001"/>
    <n v="-20.76"/>
    <n v="510"/>
    <n v="1"/>
    <n v="1"/>
  </r>
  <r>
    <m/>
    <m/>
    <x v="1"/>
    <s v="28033693002001"/>
    <n v="-37.08"/>
    <n v="911"/>
    <n v="1"/>
    <n v="1"/>
  </r>
  <r>
    <m/>
    <m/>
    <x v="1"/>
    <s v="28057729001001"/>
    <n v="-21.29"/>
    <n v="523"/>
    <n v="1"/>
    <n v="1"/>
  </r>
  <r>
    <m/>
    <m/>
    <x v="1"/>
    <s v="28059627001003"/>
    <n v="-41.07"/>
    <n v="1009"/>
    <n v="1"/>
    <n v="1"/>
  </r>
  <r>
    <m/>
    <m/>
    <x v="1"/>
    <s v="28195746001005"/>
    <n v="-178.67"/>
    <n v="4390"/>
    <n v="1"/>
    <n v="1"/>
  </r>
  <r>
    <m/>
    <m/>
    <x v="1"/>
    <s v="28200340004001"/>
    <n v="-121.61"/>
    <n v="2988"/>
    <n v="1"/>
    <n v="1"/>
  </r>
  <r>
    <m/>
    <m/>
    <x v="1"/>
    <s v="28261263001001"/>
    <n v="-73.540000000000006"/>
    <n v="1807"/>
    <n v="1"/>
    <n v="1"/>
  </r>
  <r>
    <m/>
    <m/>
    <x v="1"/>
    <s v="28452386002001"/>
    <n v="-70.09"/>
    <n v="1722"/>
    <n v="1"/>
    <n v="1"/>
  </r>
  <r>
    <m/>
    <m/>
    <x v="1"/>
    <s v="28472317001001"/>
    <n v="-63.78"/>
    <n v="1567"/>
    <n v="1"/>
    <n v="1"/>
  </r>
  <r>
    <m/>
    <m/>
    <x v="1"/>
    <s v="28584427001008"/>
    <n v="-54.95"/>
    <n v="1350"/>
    <n v="1"/>
    <n v="1"/>
  </r>
  <r>
    <m/>
    <m/>
    <x v="1"/>
    <s v="28592432001002"/>
    <n v="-111.44"/>
    <n v="2738"/>
    <n v="1"/>
    <n v="1"/>
  </r>
  <r>
    <m/>
    <m/>
    <x v="1"/>
    <s v="28602041001005"/>
    <n v="-78.67"/>
    <n v="1933"/>
    <n v="1"/>
    <n v="1"/>
  </r>
  <r>
    <m/>
    <m/>
    <x v="1"/>
    <s v="28647586001001"/>
    <n v="-58.89"/>
    <n v="1447"/>
    <n v="1"/>
    <n v="1"/>
  </r>
  <r>
    <m/>
    <m/>
    <x v="1"/>
    <s v="28748611001008"/>
    <n v="-116.52"/>
    <n v="2863"/>
    <n v="1"/>
    <n v="1"/>
  </r>
  <r>
    <m/>
    <m/>
    <x v="1"/>
    <s v="28758621002006"/>
    <n v="-62.31"/>
    <n v="1531"/>
    <n v="1"/>
    <n v="1"/>
  </r>
  <r>
    <m/>
    <m/>
    <x v="1"/>
    <s v="28868417001005"/>
    <n v="-38.71"/>
    <n v="951"/>
    <n v="1"/>
    <n v="1"/>
  </r>
  <r>
    <m/>
    <m/>
    <x v="1"/>
    <s v="28906336002001"/>
    <n v="-79"/>
    <n v="1941"/>
    <n v="1"/>
    <n v="1"/>
  </r>
  <r>
    <m/>
    <m/>
    <x v="1"/>
    <s v="28950576001002"/>
    <n v="-37.119999999999997"/>
    <n v="912"/>
    <n v="1"/>
    <n v="1"/>
  </r>
  <r>
    <m/>
    <m/>
    <x v="1"/>
    <s v="28959951001001"/>
    <n v="-164.14"/>
    <n v="4033"/>
    <n v="1"/>
    <n v="1"/>
  </r>
  <r>
    <m/>
    <m/>
    <x v="1"/>
    <s v="29003410001001"/>
    <n v="-131.91"/>
    <n v="3241"/>
    <n v="1"/>
    <n v="1"/>
  </r>
  <r>
    <m/>
    <m/>
    <x v="1"/>
    <s v="29050348001008"/>
    <n v="-31.14"/>
    <n v="765"/>
    <n v="1"/>
    <n v="1"/>
  </r>
  <r>
    <m/>
    <m/>
    <x v="1"/>
    <s v="29121023001001"/>
    <n v="-85.27"/>
    <n v="2095"/>
    <n v="1"/>
    <n v="1"/>
  </r>
  <r>
    <m/>
    <m/>
    <x v="1"/>
    <s v="29195239002001"/>
    <n v="-84.09"/>
    <n v="2066"/>
    <n v="1"/>
    <n v="1"/>
  </r>
  <r>
    <m/>
    <m/>
    <x v="1"/>
    <s v="29296094001001"/>
    <n v="-104.97"/>
    <n v="2579"/>
    <n v="1"/>
    <n v="1"/>
  </r>
  <r>
    <m/>
    <m/>
    <x v="1"/>
    <s v="29316455001004"/>
    <n v="-68.5"/>
    <n v="1683"/>
    <n v="1"/>
    <n v="1"/>
  </r>
  <r>
    <m/>
    <m/>
    <x v="1"/>
    <s v="29365356001002"/>
    <n v="-97.76"/>
    <n v="2402"/>
    <n v="1"/>
    <n v="1"/>
  </r>
  <r>
    <m/>
    <m/>
    <x v="1"/>
    <s v="29448259001002"/>
    <n v="-47.01"/>
    <n v="1155"/>
    <n v="1"/>
    <n v="1"/>
  </r>
  <r>
    <m/>
    <m/>
    <x v="1"/>
    <s v="29519438001001"/>
    <n v="-133.5"/>
    <n v="3280"/>
    <n v="1"/>
    <n v="1"/>
  </r>
  <r>
    <m/>
    <m/>
    <x v="1"/>
    <s v="29729927001003"/>
    <n v="-39.6"/>
    <n v="973"/>
    <n v="1"/>
    <n v="1"/>
  </r>
  <r>
    <m/>
    <m/>
    <x v="1"/>
    <s v="29746522001002"/>
    <n v="-67.03"/>
    <n v="1647"/>
    <n v="1"/>
    <n v="1"/>
  </r>
  <r>
    <m/>
    <m/>
    <x v="1"/>
    <s v="29812276002006"/>
    <n v="-42.37"/>
    <n v="1041"/>
    <n v="1"/>
    <n v="1"/>
  </r>
  <r>
    <m/>
    <m/>
    <x v="1"/>
    <s v="29908837001002"/>
    <n v="-76.069999999999993"/>
    <n v="1869"/>
    <n v="1"/>
    <n v="1"/>
  </r>
  <r>
    <m/>
    <m/>
    <x v="1"/>
    <s v="29952151002001"/>
    <n v="-77.739999999999995"/>
    <n v="1910"/>
    <n v="1"/>
    <n v="1"/>
  </r>
  <r>
    <m/>
    <m/>
    <x v="1"/>
    <s v="30002964001001"/>
    <n v="-49.78"/>
    <n v="1223"/>
    <n v="1"/>
    <n v="1"/>
  </r>
  <r>
    <m/>
    <m/>
    <x v="1"/>
    <s v="30128006001003"/>
    <n v="-52.95"/>
    <n v="1301"/>
    <n v="1"/>
    <n v="1"/>
  </r>
  <r>
    <m/>
    <m/>
    <x v="1"/>
    <s v="30199968001001"/>
    <n v="-29.91"/>
    <n v="735"/>
    <n v="1"/>
    <n v="1"/>
  </r>
  <r>
    <m/>
    <m/>
    <x v="1"/>
    <s v="30234293001001"/>
    <n v="-107.77"/>
    <n v="2648"/>
    <n v="1"/>
    <n v="1"/>
  </r>
  <r>
    <m/>
    <m/>
    <x v="1"/>
    <s v="30340768001001"/>
    <n v="-78.180000000000007"/>
    <n v="1921"/>
    <n v="1"/>
    <n v="1"/>
  </r>
  <r>
    <m/>
    <m/>
    <x v="1"/>
    <s v="30370464002001"/>
    <n v="-88.6"/>
    <n v="2177"/>
    <n v="1"/>
    <n v="1"/>
  </r>
  <r>
    <m/>
    <m/>
    <x v="1"/>
    <s v="30816545001001"/>
    <n v="-110.26"/>
    <n v="2709"/>
    <n v="1"/>
    <n v="1"/>
  </r>
  <r>
    <m/>
    <m/>
    <x v="1"/>
    <s v="30837765002007"/>
    <n v="-49.09"/>
    <n v="1206"/>
    <n v="2"/>
    <n v="1"/>
  </r>
  <r>
    <m/>
    <m/>
    <x v="1"/>
    <s v="30915212001003"/>
    <n v="-43.14"/>
    <n v="1060"/>
    <n v="1"/>
    <n v="1"/>
  </r>
  <r>
    <m/>
    <m/>
    <x v="1"/>
    <s v="30957294003003"/>
    <n v="-123.4"/>
    <n v="3032"/>
    <n v="1"/>
    <n v="1"/>
  </r>
  <r>
    <m/>
    <m/>
    <x v="1"/>
    <s v="30960280001001"/>
    <n v="-135.12"/>
    <n v="3320"/>
    <n v="1"/>
    <n v="1"/>
  </r>
  <r>
    <m/>
    <m/>
    <x v="1"/>
    <s v="30965089001001"/>
    <n v="-38.299999999999997"/>
    <n v="941"/>
    <n v="1"/>
    <n v="1"/>
  </r>
  <r>
    <m/>
    <m/>
    <x v="1"/>
    <s v="31033019001001"/>
    <n v="-115.26"/>
    <n v="2832"/>
    <n v="1"/>
    <n v="1"/>
  </r>
  <r>
    <m/>
    <m/>
    <x v="1"/>
    <s v="31036584001003"/>
    <n v="-139.52000000000001"/>
    <n v="3428"/>
    <n v="1"/>
    <n v="1"/>
  </r>
  <r>
    <m/>
    <m/>
    <x v="1"/>
    <s v="31044495001001"/>
    <n v="-61.38"/>
    <n v="1508"/>
    <n v="1"/>
    <n v="1"/>
  </r>
  <r>
    <m/>
    <m/>
    <x v="1"/>
    <s v="31065355001007"/>
    <n v="-76.92"/>
    <n v="1890"/>
    <n v="1"/>
    <n v="1"/>
  </r>
  <r>
    <m/>
    <m/>
    <x v="1"/>
    <s v="31128641001003"/>
    <n v="-66.099999999999994"/>
    <n v="1624"/>
    <n v="1"/>
    <n v="1"/>
  </r>
  <r>
    <m/>
    <m/>
    <x v="1"/>
    <s v="31180110007001"/>
    <n v="-87.91"/>
    <n v="2160"/>
    <n v="1"/>
    <n v="1"/>
  </r>
  <r>
    <m/>
    <m/>
    <x v="1"/>
    <s v="31196731002001"/>
    <n v="-243.47"/>
    <n v="5982"/>
    <n v="1"/>
    <n v="1"/>
  </r>
  <r>
    <m/>
    <m/>
    <x v="1"/>
    <s v="31216607001001"/>
    <n v="-41.43"/>
    <n v="1018"/>
    <n v="1"/>
    <n v="1"/>
  </r>
  <r>
    <m/>
    <m/>
    <x v="1"/>
    <s v="31283347001004"/>
    <n v="-73.3"/>
    <n v="1801"/>
    <n v="1"/>
    <n v="1"/>
  </r>
  <r>
    <m/>
    <m/>
    <x v="1"/>
    <s v="31347134001001"/>
    <n v="-94.67"/>
    <n v="2326"/>
    <n v="1"/>
    <n v="1"/>
  </r>
  <r>
    <m/>
    <m/>
    <x v="1"/>
    <s v="31408462001001"/>
    <n v="-27.64"/>
    <n v="679"/>
    <n v="1"/>
    <n v="1"/>
  </r>
  <r>
    <m/>
    <m/>
    <x v="1"/>
    <s v="31441919002003"/>
    <n v="-51.08"/>
    <n v="1255"/>
    <n v="1"/>
    <n v="1"/>
  </r>
  <r>
    <m/>
    <m/>
    <x v="1"/>
    <s v="31484435001001"/>
    <n v="-80.22"/>
    <n v="1971"/>
    <n v="1"/>
    <n v="1"/>
  </r>
  <r>
    <m/>
    <m/>
    <x v="1"/>
    <s v="31533047001001"/>
    <n v="-76.39"/>
    <n v="1877"/>
    <n v="1"/>
    <n v="1"/>
  </r>
  <r>
    <m/>
    <m/>
    <x v="1"/>
    <s v="31765487002001"/>
    <n v="-39.68"/>
    <n v="975"/>
    <n v="1"/>
    <n v="1"/>
  </r>
  <r>
    <m/>
    <m/>
    <x v="1"/>
    <s v="31770964001004"/>
    <n v="-122.1"/>
    <n v="3000"/>
    <n v="1"/>
    <n v="1"/>
  </r>
  <r>
    <m/>
    <m/>
    <x v="1"/>
    <s v="31817682001003"/>
    <n v="-14.57"/>
    <n v="358"/>
    <n v="1"/>
    <n v="1"/>
  </r>
  <r>
    <m/>
    <m/>
    <x v="1"/>
    <s v="31987952001001"/>
    <n v="-25.72"/>
    <n v="632"/>
    <n v="1"/>
    <n v="1"/>
  </r>
  <r>
    <m/>
    <m/>
    <x v="1"/>
    <s v="31999957003003"/>
    <n v="-80.099999999999994"/>
    <n v="1968"/>
    <n v="1"/>
    <n v="1"/>
  </r>
  <r>
    <m/>
    <m/>
    <x v="1"/>
    <s v="32186699001004"/>
    <n v="-66.459999999999994"/>
    <n v="1633"/>
    <n v="1"/>
    <n v="1"/>
  </r>
  <r>
    <m/>
    <m/>
    <x v="1"/>
    <s v="32275518001005"/>
    <n v="-26.09"/>
    <n v="641"/>
    <n v="1"/>
    <n v="1"/>
  </r>
  <r>
    <m/>
    <m/>
    <x v="1"/>
    <s v="32321580001004"/>
    <n v="-77.94"/>
    <n v="1915"/>
    <n v="1"/>
    <n v="1"/>
  </r>
  <r>
    <m/>
    <m/>
    <x v="1"/>
    <s v="32346038007001"/>
    <n v="-103.7"/>
    <n v="2548"/>
    <n v="1"/>
    <n v="1"/>
  </r>
  <r>
    <m/>
    <m/>
    <x v="1"/>
    <s v="32445799001001"/>
    <n v="-71.67"/>
    <n v="1761"/>
    <n v="1"/>
    <n v="1"/>
  </r>
  <r>
    <m/>
    <m/>
    <x v="1"/>
    <s v="32510019001001"/>
    <n v="-94.46"/>
    <n v="2321"/>
    <n v="1"/>
    <n v="1"/>
  </r>
  <r>
    <m/>
    <m/>
    <x v="1"/>
    <s v="32579187001001"/>
    <n v="-48.31"/>
    <n v="1187"/>
    <n v="1"/>
    <n v="1"/>
  </r>
  <r>
    <m/>
    <m/>
    <x v="1"/>
    <s v="32762616001002"/>
    <n v="-48.88"/>
    <n v="1201"/>
    <n v="1"/>
    <n v="1"/>
  </r>
  <r>
    <m/>
    <m/>
    <x v="1"/>
    <s v="32767929001001"/>
    <n v="-81.36"/>
    <n v="1999"/>
    <n v="1"/>
    <n v="1"/>
  </r>
  <r>
    <m/>
    <m/>
    <x v="1"/>
    <s v="32853341001004"/>
    <n v="-110.95"/>
    <n v="2726"/>
    <n v="1"/>
    <n v="1"/>
  </r>
  <r>
    <m/>
    <m/>
    <x v="1"/>
    <s v="32983109001005"/>
    <n v="-76.19"/>
    <n v="1872"/>
    <n v="1"/>
    <n v="1"/>
  </r>
  <r>
    <m/>
    <m/>
    <x v="1"/>
    <s v="32999992001003"/>
    <n v="-5.98"/>
    <n v="147"/>
    <n v="1"/>
    <n v="1"/>
  </r>
  <r>
    <m/>
    <m/>
    <x v="1"/>
    <s v="33003317001001"/>
    <n v="-123.89"/>
    <n v="3044"/>
    <n v="1"/>
    <n v="1"/>
  </r>
  <r>
    <m/>
    <m/>
    <x v="1"/>
    <s v="33090993001001"/>
    <n v="-71.39"/>
    <n v="1754"/>
    <n v="1"/>
    <n v="1"/>
  </r>
  <r>
    <m/>
    <m/>
    <x v="1"/>
    <s v="33155295001002"/>
    <n v="-150.47"/>
    <n v="3697"/>
    <n v="1"/>
    <n v="1"/>
  </r>
  <r>
    <m/>
    <m/>
    <x v="1"/>
    <s v="33209129001005"/>
    <n v="-92.31"/>
    <n v="2268"/>
    <n v="1"/>
    <n v="1"/>
  </r>
  <r>
    <m/>
    <m/>
    <x v="1"/>
    <s v="33439179001002"/>
    <n v="-98.94"/>
    <n v="2431"/>
    <n v="1"/>
    <n v="1"/>
  </r>
  <r>
    <m/>
    <m/>
    <x v="1"/>
    <s v="33459488001004"/>
    <n v="-65.16"/>
    <n v="1601"/>
    <n v="1"/>
    <n v="1"/>
  </r>
  <r>
    <m/>
    <m/>
    <x v="1"/>
    <s v="33465688002001"/>
    <n v="-75.739999999999995"/>
    <n v="1861"/>
    <n v="1"/>
    <n v="1"/>
  </r>
  <r>
    <m/>
    <m/>
    <x v="1"/>
    <s v="33529526001001"/>
    <n v="-41.15"/>
    <n v="1011"/>
    <n v="1"/>
    <n v="1"/>
  </r>
  <r>
    <m/>
    <m/>
    <x v="1"/>
    <s v="33533745001003"/>
    <n v="-90.48"/>
    <n v="2223"/>
    <n v="1"/>
    <n v="1"/>
  </r>
  <r>
    <m/>
    <m/>
    <x v="1"/>
    <s v="33551931001003"/>
    <n v="-128.29"/>
    <n v="3152"/>
    <n v="1"/>
    <n v="1"/>
  </r>
  <r>
    <m/>
    <m/>
    <x v="1"/>
    <s v="33559246001001"/>
    <n v="-66.91"/>
    <n v="1644"/>
    <n v="1"/>
    <n v="1"/>
  </r>
  <r>
    <m/>
    <m/>
    <x v="1"/>
    <s v="33674854001001"/>
    <n v="-71.27"/>
    <n v="1751"/>
    <n v="1"/>
    <n v="1"/>
  </r>
  <r>
    <m/>
    <m/>
    <x v="1"/>
    <s v="33692101001001"/>
    <n v="-25.03"/>
    <n v="615"/>
    <n v="1"/>
    <n v="1"/>
  </r>
  <r>
    <m/>
    <m/>
    <x v="1"/>
    <s v="33758373001010"/>
    <n v="-92.19"/>
    <n v="2265"/>
    <n v="1"/>
    <n v="1"/>
  </r>
  <r>
    <m/>
    <m/>
    <x v="1"/>
    <s v="33804703001003"/>
    <n v="-69.39"/>
    <n v="1705"/>
    <n v="1"/>
    <n v="1"/>
  </r>
  <r>
    <m/>
    <m/>
    <x v="1"/>
    <s v="33808192001001"/>
    <n v="-71.75"/>
    <n v="1763"/>
    <n v="1"/>
    <n v="1"/>
  </r>
  <r>
    <m/>
    <m/>
    <x v="1"/>
    <s v="33869666001005"/>
    <n v="-16.559999999999999"/>
    <n v="407"/>
    <n v="1"/>
    <n v="1"/>
  </r>
  <r>
    <m/>
    <m/>
    <x v="1"/>
    <s v="33988440001001"/>
    <n v="-107.08"/>
    <n v="2631"/>
    <n v="1"/>
    <n v="1"/>
  </r>
  <r>
    <m/>
    <m/>
    <x v="1"/>
    <s v="33992123001003"/>
    <n v="-70.25"/>
    <n v="1726"/>
    <n v="1"/>
    <n v="1"/>
  </r>
  <r>
    <m/>
    <m/>
    <x v="1"/>
    <s v="34135500001003"/>
    <n v="-104.6"/>
    <n v="2570"/>
    <n v="1"/>
    <n v="1"/>
  </r>
  <r>
    <m/>
    <m/>
    <x v="1"/>
    <s v="34246525001001"/>
    <n v="-147.16999999999999"/>
    <n v="3616"/>
    <n v="1"/>
    <n v="1"/>
  </r>
  <r>
    <m/>
    <m/>
    <x v="1"/>
    <s v="34506194001002"/>
    <n v="-47.29"/>
    <n v="1162"/>
    <n v="1"/>
    <n v="1"/>
  </r>
  <r>
    <m/>
    <m/>
    <x v="1"/>
    <s v="34717698001005"/>
    <n v="-36.51"/>
    <n v="897"/>
    <n v="1"/>
    <n v="1"/>
  </r>
  <r>
    <m/>
    <m/>
    <x v="1"/>
    <s v="34761544001003"/>
    <n v="-103.66"/>
    <n v="2547"/>
    <n v="1"/>
    <n v="1"/>
  </r>
  <r>
    <m/>
    <m/>
    <x v="1"/>
    <s v="34847231001001"/>
    <n v="-62.6"/>
    <n v="1538"/>
    <n v="1"/>
    <n v="1"/>
  </r>
  <r>
    <m/>
    <m/>
    <x v="1"/>
    <s v="34859648001001"/>
    <n v="-25.64"/>
    <n v="630"/>
    <n v="1"/>
    <n v="1"/>
  </r>
  <r>
    <m/>
    <m/>
    <x v="1"/>
    <s v="35012953001002"/>
    <n v="-72.98"/>
    <n v="1793"/>
    <n v="1"/>
    <n v="1"/>
  </r>
  <r>
    <m/>
    <m/>
    <x v="1"/>
    <s v="35060732007001"/>
    <n v="-22.67"/>
    <n v="557"/>
    <n v="1"/>
    <n v="1"/>
  </r>
  <r>
    <m/>
    <m/>
    <x v="1"/>
    <s v="35063888001003"/>
    <n v="-122.55"/>
    <n v="3011"/>
    <n v="1"/>
    <n v="1"/>
  </r>
  <r>
    <m/>
    <m/>
    <x v="1"/>
    <s v="35116339001001"/>
    <n v="-47.37"/>
    <n v="1164"/>
    <n v="1"/>
    <n v="1"/>
  </r>
  <r>
    <m/>
    <m/>
    <x v="1"/>
    <s v="35260727001003"/>
    <n v="-137.16"/>
    <n v="3370"/>
    <n v="1"/>
    <n v="1"/>
  </r>
  <r>
    <m/>
    <m/>
    <x v="1"/>
    <s v="35266479001002"/>
    <n v="-75.05"/>
    <n v="1844"/>
    <n v="1"/>
    <n v="1"/>
  </r>
  <r>
    <m/>
    <m/>
    <x v="1"/>
    <s v="35268541002002"/>
    <n v="-66.260000000000005"/>
    <n v="1628"/>
    <n v="1"/>
    <n v="1"/>
  </r>
  <r>
    <m/>
    <m/>
    <x v="1"/>
    <s v="35296076001001"/>
    <n v="-5.78"/>
    <n v="142"/>
    <n v="1"/>
    <n v="1"/>
  </r>
  <r>
    <m/>
    <m/>
    <x v="1"/>
    <s v="35340232002001"/>
    <n v="-49.45"/>
    <n v="1215"/>
    <n v="1"/>
    <n v="1"/>
  </r>
  <r>
    <m/>
    <m/>
    <x v="1"/>
    <s v="35387208001001"/>
    <n v="-154.74"/>
    <n v="3802"/>
    <n v="1"/>
    <n v="1"/>
  </r>
  <r>
    <m/>
    <m/>
    <x v="1"/>
    <s v="35405190001002"/>
    <n v="-3.09"/>
    <n v="76"/>
    <n v="1"/>
    <n v="1"/>
  </r>
  <r>
    <m/>
    <m/>
    <x v="1"/>
    <s v="35423655001001"/>
    <n v="-80.02"/>
    <n v="1966"/>
    <n v="1"/>
    <n v="1"/>
  </r>
  <r>
    <m/>
    <m/>
    <x v="1"/>
    <s v="35453275001007"/>
    <n v="-112.82"/>
    <n v="2772"/>
    <n v="1"/>
    <n v="1"/>
  </r>
  <r>
    <m/>
    <m/>
    <x v="1"/>
    <s v="35796162001005"/>
    <n v="-108.3"/>
    <n v="2661"/>
    <n v="1"/>
    <n v="1"/>
  </r>
  <r>
    <m/>
    <m/>
    <x v="1"/>
    <s v="35861191001002"/>
    <n v="-49.86"/>
    <n v="1225"/>
    <n v="1"/>
    <n v="1"/>
  </r>
  <r>
    <m/>
    <m/>
    <x v="1"/>
    <s v="35881910001001"/>
    <n v="-118.68"/>
    <n v="2916"/>
    <n v="1"/>
    <n v="1"/>
  </r>
  <r>
    <m/>
    <m/>
    <x v="1"/>
    <s v="35882527001002"/>
    <n v="-71.67"/>
    <n v="1761"/>
    <n v="1"/>
    <n v="1"/>
  </r>
  <r>
    <m/>
    <m/>
    <x v="1"/>
    <s v="35900670002005"/>
    <n v="-14.33"/>
    <n v="352"/>
    <n v="1"/>
    <n v="1"/>
  </r>
  <r>
    <m/>
    <m/>
    <x v="1"/>
    <s v="35998254001001"/>
    <n v="-307.24"/>
    <n v="7549"/>
    <n v="2"/>
    <n v="1"/>
  </r>
  <r>
    <m/>
    <m/>
    <x v="1"/>
    <s v="36015931001004"/>
    <n v="-56.45"/>
    <n v="1387"/>
    <n v="1"/>
    <n v="1"/>
  </r>
  <r>
    <m/>
    <m/>
    <x v="1"/>
    <s v="36026930001001"/>
    <n v="-92.76"/>
    <n v="2279"/>
    <n v="1"/>
    <n v="1"/>
  </r>
  <r>
    <m/>
    <m/>
    <x v="1"/>
    <s v="36048131001001"/>
    <n v="-117.83"/>
    <n v="2895"/>
    <n v="1"/>
    <n v="1"/>
  </r>
  <r>
    <m/>
    <m/>
    <x v="1"/>
    <s v="36052702001001"/>
    <n v="-58.97"/>
    <n v="1449"/>
    <n v="1"/>
    <n v="1"/>
  </r>
  <r>
    <m/>
    <m/>
    <x v="1"/>
    <s v="36079563001001"/>
    <n v="-58.85"/>
    <n v="1446"/>
    <n v="1"/>
    <n v="1"/>
  </r>
  <r>
    <m/>
    <m/>
    <x v="1"/>
    <s v="36127419001006"/>
    <n v="-100.77"/>
    <n v="2476"/>
    <n v="1"/>
    <n v="1"/>
  </r>
  <r>
    <m/>
    <m/>
    <x v="1"/>
    <s v="36181263001002"/>
    <n v="-82.34"/>
    <n v="2023"/>
    <n v="1"/>
    <n v="1"/>
  </r>
  <r>
    <m/>
    <m/>
    <x v="1"/>
    <s v="36218846001001"/>
    <n v="-41.96"/>
    <n v="1031"/>
    <n v="1"/>
    <n v="1"/>
  </r>
  <r>
    <m/>
    <m/>
    <x v="1"/>
    <s v="36248225001001"/>
    <n v="-174.28"/>
    <n v="4282"/>
    <n v="1"/>
    <n v="1"/>
  </r>
  <r>
    <m/>
    <m/>
    <x v="1"/>
    <s v="36284955001001"/>
    <n v="-29.22"/>
    <n v="718"/>
    <n v="1"/>
    <n v="1"/>
  </r>
  <r>
    <m/>
    <m/>
    <x v="1"/>
    <s v="36292176001002"/>
    <n v="-158.72999999999999"/>
    <n v="3900"/>
    <n v="1"/>
    <n v="1"/>
  </r>
  <r>
    <m/>
    <m/>
    <x v="1"/>
    <s v="36294296001004"/>
    <n v="-54.82"/>
    <n v="1347"/>
    <n v="1"/>
    <n v="1"/>
  </r>
  <r>
    <m/>
    <m/>
    <x v="1"/>
    <s v="36405485001001"/>
    <n v="-50.22"/>
    <n v="1234"/>
    <n v="1"/>
    <n v="1"/>
  </r>
  <r>
    <m/>
    <m/>
    <x v="1"/>
    <s v="36618779001001"/>
    <n v="-73.260000000000005"/>
    <n v="1800"/>
    <n v="1"/>
    <n v="1"/>
  </r>
  <r>
    <m/>
    <m/>
    <x v="1"/>
    <s v="36658787001001"/>
    <n v="-23.97"/>
    <n v="589"/>
    <n v="1"/>
    <n v="1"/>
  </r>
  <r>
    <m/>
    <m/>
    <x v="1"/>
    <s v="36710944001004"/>
    <n v="-56.65"/>
    <n v="1392"/>
    <n v="1"/>
    <n v="1"/>
  </r>
  <r>
    <m/>
    <m/>
    <x v="1"/>
    <s v="36829904002001"/>
    <n v="-184.78"/>
    <n v="4540"/>
    <n v="1"/>
    <n v="1"/>
  </r>
  <r>
    <m/>
    <m/>
    <x v="1"/>
    <s v="36892371001003"/>
    <n v="-59.34"/>
    <n v="1458"/>
    <n v="1"/>
    <n v="1"/>
  </r>
  <r>
    <m/>
    <m/>
    <x v="1"/>
    <s v="37043182001006"/>
    <n v="-125.36"/>
    <n v="3080"/>
    <n v="1"/>
    <n v="1"/>
  </r>
  <r>
    <m/>
    <m/>
    <x v="1"/>
    <s v="37387403001001"/>
    <n v="-122.18"/>
    <n v="3002"/>
    <n v="1"/>
    <n v="1"/>
  </r>
  <r>
    <m/>
    <m/>
    <x v="1"/>
    <s v="37486921001001"/>
    <n v="-29.63"/>
    <n v="728"/>
    <n v="1"/>
    <n v="1"/>
  </r>
  <r>
    <m/>
    <m/>
    <x v="1"/>
    <s v="37562851001001"/>
    <n v="-66.95"/>
    <n v="1645"/>
    <n v="1"/>
    <n v="1"/>
  </r>
  <r>
    <m/>
    <m/>
    <x v="1"/>
    <s v="37578682001001"/>
    <n v="-59.5"/>
    <n v="1462"/>
    <n v="1"/>
    <n v="1"/>
  </r>
  <r>
    <m/>
    <m/>
    <x v="1"/>
    <s v="37649110001001"/>
    <n v="-23.36"/>
    <n v="574"/>
    <n v="1"/>
    <n v="1"/>
  </r>
  <r>
    <m/>
    <m/>
    <x v="1"/>
    <s v="37682914001001"/>
    <n v="-47.5"/>
    <n v="1167"/>
    <n v="1"/>
    <n v="1"/>
  </r>
  <r>
    <m/>
    <m/>
    <x v="1"/>
    <s v="37734979001001"/>
    <n v="-21.61"/>
    <n v="531"/>
    <n v="1"/>
    <n v="1"/>
  </r>
  <r>
    <m/>
    <m/>
    <x v="1"/>
    <s v="37758573001006"/>
    <n v="-6.23"/>
    <n v="153"/>
    <n v="1"/>
    <n v="1"/>
  </r>
  <r>
    <m/>
    <m/>
    <x v="1"/>
    <s v="37811888001008"/>
    <n v="-25.97"/>
    <n v="638"/>
    <n v="1"/>
    <n v="1"/>
  </r>
  <r>
    <m/>
    <m/>
    <x v="1"/>
    <s v="37926637001001"/>
    <n v="-60.36"/>
    <n v="1483"/>
    <n v="1"/>
    <n v="1"/>
  </r>
  <r>
    <m/>
    <m/>
    <x v="1"/>
    <s v="38026902001001"/>
    <n v="-82.3"/>
    <n v="2022"/>
    <n v="1"/>
    <n v="1"/>
  </r>
  <r>
    <m/>
    <m/>
    <x v="1"/>
    <s v="38052228001001"/>
    <n v="-159.41999999999999"/>
    <n v="3917"/>
    <n v="1"/>
    <n v="1"/>
  </r>
  <r>
    <m/>
    <m/>
    <x v="1"/>
    <s v="38058429001003"/>
    <n v="-43.1"/>
    <n v="1059"/>
    <n v="1"/>
    <n v="1"/>
  </r>
  <r>
    <m/>
    <m/>
    <x v="1"/>
    <s v="38215045004002"/>
    <n v="-40.090000000000003"/>
    <n v="985"/>
    <n v="1"/>
    <n v="1"/>
  </r>
  <r>
    <m/>
    <m/>
    <x v="1"/>
    <s v="38237955003002"/>
    <n v="-86.73"/>
    <n v="2131"/>
    <n v="1"/>
    <n v="1"/>
  </r>
  <r>
    <m/>
    <m/>
    <x v="1"/>
    <s v="38371635001001"/>
    <n v="-57.67"/>
    <n v="1417"/>
    <n v="1"/>
    <n v="1"/>
  </r>
  <r>
    <m/>
    <m/>
    <x v="1"/>
    <s v="38371698001001"/>
    <n v="-18.149999999999999"/>
    <n v="446"/>
    <n v="1"/>
    <n v="1"/>
  </r>
  <r>
    <m/>
    <m/>
    <x v="1"/>
    <s v="38377929001001"/>
    <n v="-202.36"/>
    <n v="4972"/>
    <n v="1"/>
    <n v="1"/>
  </r>
  <r>
    <m/>
    <m/>
    <x v="1"/>
    <s v="38397225001002"/>
    <n v="-158.81"/>
    <n v="3902"/>
    <n v="1"/>
    <n v="1"/>
  </r>
  <r>
    <m/>
    <m/>
    <x v="1"/>
    <s v="38413246001001"/>
    <n v="-89.58"/>
    <n v="2201"/>
    <n v="1"/>
    <n v="1"/>
  </r>
  <r>
    <m/>
    <m/>
    <x v="1"/>
    <s v="38444251002005"/>
    <n v="-43.75"/>
    <n v="1075"/>
    <n v="1"/>
    <n v="1"/>
  </r>
  <r>
    <m/>
    <m/>
    <x v="1"/>
    <s v="38448826001003"/>
    <n v="-60.36"/>
    <n v="1483"/>
    <n v="1"/>
    <n v="1"/>
  </r>
  <r>
    <m/>
    <m/>
    <x v="1"/>
    <s v="38527198001001"/>
    <n v="-69.92"/>
    <n v="1718"/>
    <n v="1"/>
    <n v="1"/>
  </r>
  <r>
    <m/>
    <m/>
    <x v="1"/>
    <s v="38540989001007"/>
    <n v="-31.42"/>
    <n v="772"/>
    <n v="1"/>
    <n v="1"/>
  </r>
  <r>
    <m/>
    <m/>
    <x v="1"/>
    <s v="38577493001007"/>
    <n v="-101.22"/>
    <n v="2487"/>
    <n v="1"/>
    <n v="1"/>
  </r>
  <r>
    <m/>
    <m/>
    <x v="1"/>
    <s v="38595706001001"/>
    <n v="-113.76"/>
    <n v="2795"/>
    <n v="1"/>
    <n v="1"/>
  </r>
  <r>
    <m/>
    <m/>
    <x v="1"/>
    <s v="38611961001001"/>
    <n v="-110.22"/>
    <n v="2708"/>
    <n v="1"/>
    <n v="1"/>
  </r>
  <r>
    <m/>
    <m/>
    <x v="1"/>
    <s v="38613622001005"/>
    <n v="-30.93"/>
    <n v="760"/>
    <n v="1"/>
    <n v="1"/>
  </r>
  <r>
    <m/>
    <m/>
    <x v="1"/>
    <s v="38716177001005"/>
    <n v="-4.92"/>
    <n v="121"/>
    <n v="1"/>
    <n v="1"/>
  </r>
  <r>
    <m/>
    <m/>
    <x v="1"/>
    <s v="38776351002003"/>
    <n v="-31.71"/>
    <n v="779"/>
    <n v="1"/>
    <n v="1"/>
  </r>
  <r>
    <m/>
    <m/>
    <x v="1"/>
    <s v="38911036001003"/>
    <n v="-45.34"/>
    <n v="1114"/>
    <n v="1"/>
    <n v="1"/>
  </r>
  <r>
    <m/>
    <m/>
    <x v="1"/>
    <s v="38964048001001"/>
    <n v="-13.96"/>
    <n v="343"/>
    <n v="1"/>
    <n v="1"/>
  </r>
  <r>
    <m/>
    <m/>
    <x v="1"/>
    <s v="39075374001002"/>
    <n v="-77.61"/>
    <n v="1907"/>
    <n v="1"/>
    <n v="1"/>
  </r>
  <r>
    <m/>
    <m/>
    <x v="1"/>
    <s v="39177585002001"/>
    <n v="-100.61"/>
    <n v="2472"/>
    <n v="1"/>
    <n v="1"/>
  </r>
  <r>
    <m/>
    <m/>
    <x v="1"/>
    <s v="39206681001007"/>
    <n v="-59.71"/>
    <n v="1467"/>
    <n v="1"/>
    <n v="1"/>
  </r>
  <r>
    <m/>
    <m/>
    <x v="1"/>
    <s v="39250671001002"/>
    <n v="-87.67"/>
    <n v="2154"/>
    <n v="1"/>
    <n v="1"/>
  </r>
  <r>
    <m/>
    <m/>
    <x v="1"/>
    <s v="39292232001004"/>
    <n v="-8.26"/>
    <n v="203"/>
    <n v="1"/>
    <n v="1"/>
  </r>
  <r>
    <m/>
    <m/>
    <x v="1"/>
    <s v="39356056001005"/>
    <n v="-23.61"/>
    <n v="580"/>
    <n v="1"/>
    <n v="1"/>
  </r>
  <r>
    <m/>
    <m/>
    <x v="1"/>
    <s v="39398603002003"/>
    <n v="-64.180000000000007"/>
    <n v="1577"/>
    <n v="1"/>
    <n v="1"/>
  </r>
  <r>
    <m/>
    <m/>
    <x v="1"/>
    <s v="39401344004001"/>
    <n v="-105.98"/>
    <n v="2604"/>
    <n v="1"/>
    <n v="1"/>
  </r>
  <r>
    <m/>
    <m/>
    <x v="1"/>
    <s v="39419789001003"/>
    <n v="-36.020000000000003"/>
    <n v="885"/>
    <n v="1"/>
    <n v="1"/>
  </r>
  <r>
    <m/>
    <m/>
    <x v="1"/>
    <s v="39421231001001"/>
    <n v="-6.15"/>
    <n v="151"/>
    <n v="1"/>
    <n v="1"/>
  </r>
  <r>
    <m/>
    <m/>
    <x v="1"/>
    <s v="39500179007001"/>
    <n v="-58.12"/>
    <n v="1428"/>
    <n v="1"/>
    <n v="1"/>
  </r>
  <r>
    <m/>
    <m/>
    <x v="1"/>
    <s v="39509588001001"/>
    <n v="-91.94"/>
    <n v="2259"/>
    <n v="1"/>
    <n v="1"/>
  </r>
  <r>
    <m/>
    <m/>
    <x v="1"/>
    <s v="39521370001002"/>
    <n v="-35.9"/>
    <n v="882"/>
    <n v="1"/>
    <n v="1"/>
  </r>
  <r>
    <m/>
    <m/>
    <x v="1"/>
    <s v="39525577001001"/>
    <n v="-52.34"/>
    <n v="1286"/>
    <n v="1"/>
    <n v="1"/>
  </r>
  <r>
    <m/>
    <m/>
    <x v="1"/>
    <s v="39545289001005"/>
    <n v="-83.31"/>
    <n v="2047"/>
    <n v="1"/>
    <n v="1"/>
  </r>
  <r>
    <m/>
    <m/>
    <x v="1"/>
    <s v="39604852001009"/>
    <n v="-85.02"/>
    <n v="2089"/>
    <n v="1"/>
    <n v="1"/>
  </r>
  <r>
    <m/>
    <m/>
    <x v="1"/>
    <s v="39766526001003"/>
    <n v="-101.42"/>
    <n v="2492"/>
    <n v="1"/>
    <n v="1"/>
  </r>
  <r>
    <m/>
    <m/>
    <x v="1"/>
    <s v="39810391001001"/>
    <n v="-19.86"/>
    <n v="488"/>
    <n v="1"/>
    <n v="1"/>
  </r>
  <r>
    <m/>
    <m/>
    <x v="1"/>
    <s v="39810811001003"/>
    <n v="-60.15"/>
    <n v="1478"/>
    <n v="1"/>
    <n v="1"/>
  </r>
  <r>
    <m/>
    <m/>
    <x v="1"/>
    <s v="39862438001001"/>
    <n v="-121.16"/>
    <n v="2977"/>
    <n v="1"/>
    <n v="1"/>
  </r>
  <r>
    <m/>
    <m/>
    <x v="1"/>
    <s v="39879831002001"/>
    <n v="-46.36"/>
    <n v="1139"/>
    <n v="1"/>
    <n v="1"/>
  </r>
  <r>
    <m/>
    <m/>
    <x v="1"/>
    <s v="39896845001003"/>
    <n v="-56.13"/>
    <n v="1379"/>
    <n v="1"/>
    <n v="1"/>
  </r>
  <r>
    <m/>
    <m/>
    <x v="1"/>
    <s v="39956943001001"/>
    <n v="-35.9"/>
    <n v="882"/>
    <n v="1"/>
    <n v="1"/>
  </r>
  <r>
    <m/>
    <m/>
    <x v="1"/>
    <s v="40055909001004"/>
    <n v="-54.82"/>
    <n v="1347"/>
    <n v="1"/>
    <n v="1"/>
  </r>
  <r>
    <m/>
    <m/>
    <x v="1"/>
    <s v="40077250001001"/>
    <n v="-60.44"/>
    <n v="1485"/>
    <n v="1"/>
    <n v="1"/>
  </r>
  <r>
    <m/>
    <m/>
    <x v="1"/>
    <s v="40089329001001"/>
    <n v="-49.57"/>
    <n v="1218"/>
    <n v="1"/>
    <n v="1"/>
  </r>
  <r>
    <m/>
    <m/>
    <x v="1"/>
    <s v="40128655001001"/>
    <n v="-5.33"/>
    <n v="131"/>
    <n v="1"/>
    <n v="1"/>
  </r>
  <r>
    <m/>
    <m/>
    <x v="1"/>
    <s v="40316028001002"/>
    <n v="-87.55"/>
    <n v="2151"/>
    <n v="1"/>
    <n v="1"/>
  </r>
  <r>
    <m/>
    <m/>
    <x v="1"/>
    <s v="40354936001001"/>
    <n v="-67.03"/>
    <n v="1647"/>
    <n v="1"/>
    <n v="1"/>
  </r>
  <r>
    <m/>
    <m/>
    <x v="1"/>
    <s v="40485294001001"/>
    <n v="-51.08"/>
    <n v="1255"/>
    <n v="1"/>
    <n v="1"/>
  </r>
  <r>
    <m/>
    <m/>
    <x v="1"/>
    <s v="40507964001001"/>
    <n v="-52.1"/>
    <n v="1280"/>
    <n v="1"/>
    <n v="1"/>
  </r>
  <r>
    <m/>
    <m/>
    <x v="1"/>
    <s v="40514885001001"/>
    <n v="-73.540000000000006"/>
    <n v="1807"/>
    <n v="1"/>
    <n v="1"/>
  </r>
  <r>
    <m/>
    <m/>
    <x v="1"/>
    <s v="40551150001001"/>
    <n v="-46.85"/>
    <n v="1151"/>
    <n v="1"/>
    <n v="1"/>
  </r>
  <r>
    <m/>
    <m/>
    <x v="1"/>
    <s v="40647033004003"/>
    <n v="-116.32"/>
    <n v="2858"/>
    <n v="1"/>
    <n v="1"/>
  </r>
  <r>
    <m/>
    <m/>
    <x v="1"/>
    <s v="40766679002007"/>
    <n v="-58.45"/>
    <n v="1436"/>
    <n v="1"/>
    <n v="1"/>
  </r>
  <r>
    <m/>
    <m/>
    <x v="1"/>
    <s v="40811850001001"/>
    <n v="-25.19"/>
    <n v="619"/>
    <n v="1"/>
    <n v="1"/>
  </r>
  <r>
    <m/>
    <m/>
    <x v="1"/>
    <s v="41057260001001"/>
    <n v="-122.91"/>
    <n v="3020"/>
    <n v="1"/>
    <n v="1"/>
  </r>
  <r>
    <m/>
    <m/>
    <x v="1"/>
    <s v="41130002001001"/>
    <n v="-92.1"/>
    <n v="2263"/>
    <n v="1"/>
    <n v="1"/>
  </r>
  <r>
    <m/>
    <m/>
    <x v="1"/>
    <s v="41179299003006"/>
    <n v="-56.65"/>
    <n v="1392"/>
    <n v="1"/>
    <n v="1"/>
  </r>
  <r>
    <m/>
    <m/>
    <x v="1"/>
    <s v="41205948001001"/>
    <n v="-114.12"/>
    <n v="2804"/>
    <n v="1"/>
    <n v="1"/>
  </r>
  <r>
    <m/>
    <m/>
    <x v="1"/>
    <s v="41343811001004"/>
    <n v="-55.64"/>
    <n v="1367"/>
    <n v="1"/>
    <n v="1"/>
  </r>
  <r>
    <m/>
    <m/>
    <x v="1"/>
    <s v="41401860001002"/>
    <n v="-60.56"/>
    <n v="1488"/>
    <n v="1"/>
    <n v="1"/>
  </r>
  <r>
    <m/>
    <m/>
    <x v="1"/>
    <s v="41410810001002"/>
    <n v="-110.74"/>
    <n v="2721"/>
    <n v="1"/>
    <n v="1"/>
  </r>
  <r>
    <m/>
    <m/>
    <x v="1"/>
    <s v="41501065002001"/>
    <n v="-5.82"/>
    <n v="143"/>
    <n v="1"/>
    <n v="1"/>
  </r>
  <r>
    <m/>
    <m/>
    <x v="1"/>
    <s v="41572109003001"/>
    <n v="-5.05"/>
    <n v="124"/>
    <n v="1"/>
    <n v="1"/>
  </r>
  <r>
    <m/>
    <m/>
    <x v="1"/>
    <s v="41611615001003"/>
    <n v="-6.27"/>
    <n v="154"/>
    <n v="1"/>
    <n v="1"/>
  </r>
  <r>
    <m/>
    <m/>
    <x v="1"/>
    <s v="41643514001001"/>
    <n v="-121.82"/>
    <n v="2993"/>
    <n v="1"/>
    <n v="1"/>
  </r>
  <r>
    <m/>
    <m/>
    <x v="1"/>
    <s v="41660309001001"/>
    <n v="-95.36"/>
    <n v="2343"/>
    <n v="1"/>
    <n v="1"/>
  </r>
  <r>
    <m/>
    <m/>
    <x v="1"/>
    <s v="41731451001005"/>
    <n v="-0.98"/>
    <n v="24"/>
    <n v="1"/>
    <n v="1"/>
  </r>
  <r>
    <m/>
    <m/>
    <x v="1"/>
    <s v="41791652002003"/>
    <n v="-19.29"/>
    <n v="474"/>
    <n v="1"/>
    <n v="1"/>
  </r>
  <r>
    <m/>
    <m/>
    <x v="1"/>
    <s v="41837630002003"/>
    <n v="-96.17"/>
    <n v="2363"/>
    <n v="1"/>
    <n v="1"/>
  </r>
  <r>
    <m/>
    <m/>
    <x v="1"/>
    <s v="41878216001003"/>
    <n v="-79.12"/>
    <n v="1944"/>
    <n v="1"/>
    <n v="1"/>
  </r>
  <r>
    <m/>
    <m/>
    <x v="1"/>
    <s v="41980548001001"/>
    <n v="-104.84"/>
    <n v="2576"/>
    <n v="1"/>
    <n v="1"/>
  </r>
  <r>
    <m/>
    <m/>
    <x v="1"/>
    <s v="42025371002002"/>
    <n v="-49.29"/>
    <n v="1211"/>
    <n v="1"/>
    <n v="1"/>
  </r>
  <r>
    <m/>
    <m/>
    <x v="1"/>
    <s v="42100131001001"/>
    <n v="-93.33"/>
    <n v="2293"/>
    <n v="1"/>
    <n v="1"/>
  </r>
  <r>
    <m/>
    <m/>
    <x v="1"/>
    <s v="42149831001001"/>
    <n v="-69.56"/>
    <n v="1709"/>
    <n v="1"/>
    <n v="1"/>
  </r>
  <r>
    <m/>
    <m/>
    <x v="1"/>
    <s v="42343001003003"/>
    <n v="-52.67"/>
    <n v="1294"/>
    <n v="1"/>
    <n v="1"/>
  </r>
  <r>
    <m/>
    <m/>
    <x v="1"/>
    <s v="42367522001001"/>
    <n v="-66.709999999999994"/>
    <n v="1639"/>
    <n v="1"/>
    <n v="1"/>
  </r>
  <r>
    <m/>
    <m/>
    <x v="1"/>
    <s v="42415250004001"/>
    <n v="-122.38"/>
    <n v="3007"/>
    <n v="1"/>
    <n v="1"/>
  </r>
  <r>
    <m/>
    <m/>
    <x v="1"/>
    <s v="42442381001001"/>
    <n v="-112.09"/>
    <n v="2754"/>
    <n v="1"/>
    <n v="1"/>
  </r>
  <r>
    <m/>
    <m/>
    <x v="1"/>
    <s v="42472781003002"/>
    <n v="-35.29"/>
    <n v="867"/>
    <n v="1"/>
    <n v="1"/>
  </r>
  <r>
    <m/>
    <m/>
    <x v="1"/>
    <s v="42488881004001"/>
    <n v="-14.45"/>
    <n v="355"/>
    <n v="1"/>
    <n v="1"/>
  </r>
  <r>
    <m/>
    <m/>
    <x v="1"/>
    <s v="42498331001004"/>
    <n v="-39.11"/>
    <n v="961"/>
    <n v="1"/>
    <n v="1"/>
  </r>
  <r>
    <m/>
    <m/>
    <x v="1"/>
    <s v="42500151001003"/>
    <n v="-76.959999999999994"/>
    <n v="1891"/>
    <n v="1"/>
    <n v="1"/>
  </r>
  <r>
    <m/>
    <m/>
    <x v="1"/>
    <s v="42515551001011"/>
    <n v="-36.06"/>
    <n v="886"/>
    <n v="1"/>
    <n v="1"/>
  </r>
  <r>
    <m/>
    <m/>
    <x v="1"/>
    <s v="42517161002001"/>
    <n v="-56.21"/>
    <n v="1381"/>
    <n v="1"/>
    <n v="1"/>
  </r>
  <r>
    <m/>
    <m/>
    <x v="1"/>
    <s v="42531581001002"/>
    <n v="-69.430000000000007"/>
    <n v="1706"/>
    <n v="1"/>
    <n v="1"/>
  </r>
  <r>
    <m/>
    <m/>
    <x v="1"/>
    <s v="42537321002001"/>
    <n v="-37.89"/>
    <n v="931"/>
    <n v="1"/>
    <n v="1"/>
  </r>
  <r>
    <m/>
    <m/>
    <x v="1"/>
    <s v="42559441005001"/>
    <n v="-55.76"/>
    <n v="1370"/>
    <n v="1"/>
    <n v="1"/>
  </r>
  <r>
    <m/>
    <m/>
    <x v="1"/>
    <s v="42561606001009"/>
    <n v="-70.13"/>
    <n v="1723"/>
    <n v="1"/>
    <n v="1"/>
  </r>
  <r>
    <m/>
    <m/>
    <x v="1"/>
    <s v="42572601003003"/>
    <n v="-22.18"/>
    <n v="545"/>
    <n v="1"/>
    <n v="1"/>
  </r>
  <r>
    <m/>
    <m/>
    <x v="1"/>
    <s v="42577991002002"/>
    <n v="-147.25"/>
    <n v="3618"/>
    <n v="1"/>
    <n v="1"/>
  </r>
  <r>
    <m/>
    <m/>
    <x v="1"/>
    <s v="42597521001002"/>
    <n v="-0.69"/>
    <n v="17"/>
    <n v="1"/>
    <n v="1"/>
  </r>
  <r>
    <m/>
    <m/>
    <x v="1"/>
    <s v="42600391001002"/>
    <n v="-20.68"/>
    <n v="508"/>
    <n v="1"/>
    <n v="1"/>
  </r>
  <r>
    <m/>
    <m/>
    <x v="1"/>
    <s v="42604451021001"/>
    <n v="-85.47"/>
    <n v="2100"/>
    <n v="1"/>
    <n v="1"/>
  </r>
  <r>
    <m/>
    <m/>
    <x v="1"/>
    <s v="42639241005001"/>
    <n v="-45.79"/>
    <n v="1125"/>
    <n v="1"/>
    <n v="1"/>
  </r>
  <r>
    <m/>
    <m/>
    <x v="1"/>
    <s v="42642741002001"/>
    <n v="-39.76"/>
    <n v="977"/>
    <n v="1"/>
    <n v="1"/>
  </r>
  <r>
    <m/>
    <m/>
    <x v="1"/>
    <s v="42642951010001"/>
    <n v="-46.03"/>
    <n v="1131"/>
    <n v="1"/>
    <n v="1"/>
  </r>
  <r>
    <m/>
    <m/>
    <x v="1"/>
    <s v="42675015004001"/>
    <n v="-78.959999999999994"/>
    <n v="1940"/>
    <n v="1"/>
    <n v="1"/>
  </r>
  <r>
    <m/>
    <m/>
    <x v="1"/>
    <s v="42679491001001"/>
    <n v="-71.27"/>
    <n v="1751"/>
    <n v="1"/>
    <n v="1"/>
  </r>
  <r>
    <m/>
    <m/>
    <x v="1"/>
    <s v="42686841002004"/>
    <n v="-37.200000000000003"/>
    <n v="914"/>
    <n v="1"/>
    <n v="1"/>
  </r>
  <r>
    <m/>
    <m/>
    <x v="1"/>
    <s v="42689921004001"/>
    <n v="-79.489999999999995"/>
    <n v="1953"/>
    <n v="1"/>
    <n v="1"/>
  </r>
  <r>
    <m/>
    <m/>
    <x v="1"/>
    <s v="42701961001004"/>
    <n v="-4.72"/>
    <n v="116"/>
    <n v="1"/>
    <n v="1"/>
  </r>
  <r>
    <m/>
    <m/>
    <x v="1"/>
    <s v="42718551001001"/>
    <n v="-35.9"/>
    <n v="882"/>
    <n v="1"/>
    <n v="1"/>
  </r>
  <r>
    <m/>
    <m/>
    <x v="1"/>
    <s v="42723241001001"/>
    <n v="-69.150000000000006"/>
    <n v="1699"/>
    <n v="1"/>
    <n v="1"/>
  </r>
  <r>
    <m/>
    <m/>
    <x v="1"/>
    <s v="42734931001007"/>
    <n v="-60.44"/>
    <n v="1485"/>
    <n v="1"/>
    <n v="1"/>
  </r>
  <r>
    <m/>
    <m/>
    <x v="1"/>
    <s v="42737381006001"/>
    <n v="-85.67"/>
    <n v="2105"/>
    <n v="1"/>
    <n v="1"/>
  </r>
  <r>
    <m/>
    <m/>
    <x v="1"/>
    <s v="42775461005001"/>
    <n v="-91.05"/>
    <n v="2237"/>
    <n v="1"/>
    <n v="1"/>
  </r>
  <r>
    <m/>
    <m/>
    <x v="1"/>
    <s v="42802481004001"/>
    <n v="-118.68"/>
    <n v="2916"/>
    <n v="1"/>
    <n v="1"/>
  </r>
  <r>
    <m/>
    <m/>
    <x v="1"/>
    <s v="42875841001008"/>
    <n v="-6.76"/>
    <n v="166"/>
    <n v="1"/>
    <n v="1"/>
  </r>
  <r>
    <m/>
    <m/>
    <x v="1"/>
    <s v="42889211005001"/>
    <n v="-144.85"/>
    <n v="3559"/>
    <n v="1"/>
    <n v="1"/>
  </r>
  <r>
    <m/>
    <m/>
    <x v="1"/>
    <s v="42896771001009"/>
    <n v="-111.11"/>
    <n v="2730"/>
    <n v="1"/>
    <n v="1"/>
  </r>
  <r>
    <m/>
    <m/>
    <x v="1"/>
    <s v="42901041001001"/>
    <n v="-30.28"/>
    <n v="744"/>
    <n v="1"/>
    <n v="1"/>
  </r>
  <r>
    <m/>
    <m/>
    <x v="1"/>
    <s v="42972931001004"/>
    <n v="-84.53"/>
    <n v="2077"/>
    <n v="1"/>
    <n v="1"/>
  </r>
  <r>
    <m/>
    <m/>
    <x v="1"/>
    <s v="42989990001004"/>
    <n v="-35.08"/>
    <n v="862"/>
    <n v="1"/>
    <n v="1"/>
  </r>
  <r>
    <m/>
    <m/>
    <x v="1"/>
    <s v="42993490001001"/>
    <n v="-89.5"/>
    <n v="2199"/>
    <n v="1"/>
    <n v="1"/>
  </r>
  <r>
    <m/>
    <m/>
    <x v="1"/>
    <s v="42997221001001"/>
    <n v="-23.61"/>
    <n v="580"/>
    <n v="1"/>
    <n v="1"/>
  </r>
  <r>
    <m/>
    <m/>
    <x v="1"/>
    <s v="43012714006003"/>
    <n v="-18.36"/>
    <n v="451"/>
    <n v="1"/>
    <n v="1"/>
  </r>
  <r>
    <m/>
    <m/>
    <x v="1"/>
    <s v="43018221008001"/>
    <n v="-40.619999999999997"/>
    <n v="998"/>
    <n v="1"/>
    <n v="1"/>
  </r>
  <r>
    <m/>
    <m/>
    <x v="1"/>
    <s v="43023681011001"/>
    <n v="-38.049999999999997"/>
    <n v="935"/>
    <n v="1"/>
    <n v="1"/>
  </r>
  <r>
    <m/>
    <m/>
    <x v="1"/>
    <s v="43060291001001"/>
    <n v="-64.180000000000007"/>
    <n v="1577"/>
    <n v="1"/>
    <n v="1"/>
  </r>
  <r>
    <m/>
    <m/>
    <x v="1"/>
    <s v="43122241004003"/>
    <n v="-149.57"/>
    <n v="3675"/>
    <n v="1"/>
    <n v="1"/>
  </r>
  <r>
    <m/>
    <m/>
    <x v="1"/>
    <s v="43139951001001"/>
    <n v="-9.69"/>
    <n v="238"/>
    <n v="1"/>
    <n v="1"/>
  </r>
  <r>
    <m/>
    <m/>
    <x v="1"/>
    <s v="43172221002008"/>
    <n v="-198.58"/>
    <n v="4879"/>
    <n v="1"/>
    <n v="1"/>
  </r>
  <r>
    <m/>
    <m/>
    <x v="1"/>
    <s v="43172690004001"/>
    <n v="-69.23"/>
    <n v="1701"/>
    <n v="1"/>
    <n v="1"/>
  </r>
  <r>
    <m/>
    <m/>
    <x v="1"/>
    <s v="43209041003003"/>
    <n v="-20.84"/>
    <n v="512"/>
    <n v="1"/>
    <n v="1"/>
  </r>
  <r>
    <m/>
    <m/>
    <x v="1"/>
    <s v="43223951001010"/>
    <n v="-58.81"/>
    <n v="1445"/>
    <n v="1"/>
    <n v="1"/>
  </r>
  <r>
    <m/>
    <m/>
    <x v="1"/>
    <s v="43233574002001"/>
    <n v="-70.739999999999995"/>
    <n v="1738"/>
    <n v="1"/>
    <n v="1"/>
  </r>
  <r>
    <m/>
    <m/>
    <x v="1"/>
    <s v="43240331001004"/>
    <n v="-76.069999999999993"/>
    <n v="1869"/>
    <n v="1"/>
    <n v="1"/>
  </r>
  <r>
    <m/>
    <m/>
    <x v="1"/>
    <s v="43240401001003"/>
    <n v="-79.849999999999994"/>
    <n v="1962"/>
    <n v="1"/>
    <n v="1"/>
  </r>
  <r>
    <m/>
    <m/>
    <x v="1"/>
    <s v="43243411001002"/>
    <n v="-70.94"/>
    <n v="1743"/>
    <n v="1"/>
    <n v="1"/>
  </r>
  <r>
    <m/>
    <m/>
    <x v="1"/>
    <s v="43248661002001"/>
    <n v="-81.16"/>
    <n v="1994"/>
    <n v="1"/>
    <n v="1"/>
  </r>
  <r>
    <m/>
    <m/>
    <x v="1"/>
    <s v="43251181001001"/>
    <n v="-42.57"/>
    <n v="1046"/>
    <n v="1"/>
    <n v="1"/>
  </r>
  <r>
    <m/>
    <m/>
    <x v="1"/>
    <s v="43251273001003"/>
    <n v="-125.64"/>
    <n v="3087"/>
    <n v="2"/>
    <n v="1"/>
  </r>
  <r>
    <m/>
    <m/>
    <x v="1"/>
    <s v="43253421002002"/>
    <n v="-31.05"/>
    <n v="763"/>
    <n v="1"/>
    <n v="1"/>
  </r>
  <r>
    <m/>
    <m/>
    <x v="1"/>
    <s v="43254121001004"/>
    <n v="-62.6"/>
    <n v="1538"/>
    <n v="1"/>
    <n v="1"/>
  </r>
  <r>
    <m/>
    <m/>
    <x v="1"/>
    <s v="43261541001001"/>
    <n v="-53.28"/>
    <n v="1309"/>
    <n v="1"/>
    <n v="1"/>
  </r>
  <r>
    <m/>
    <m/>
    <x v="1"/>
    <s v="43268821001001"/>
    <n v="-80.59"/>
    <n v="1980"/>
    <n v="1"/>
    <n v="1"/>
  </r>
  <r>
    <m/>
    <m/>
    <x v="1"/>
    <s v="43273931004001"/>
    <n v="-77.41"/>
    <n v="1902"/>
    <n v="1"/>
    <n v="1"/>
  </r>
  <r>
    <m/>
    <m/>
    <x v="1"/>
    <s v="43285971001002"/>
    <n v="-8.2200000000000006"/>
    <n v="202"/>
    <n v="1"/>
    <n v="1"/>
  </r>
  <r>
    <m/>
    <m/>
    <x v="1"/>
    <s v="43291781001001"/>
    <n v="-38.619999999999997"/>
    <n v="949"/>
    <n v="1"/>
    <n v="1"/>
  </r>
  <r>
    <m/>
    <m/>
    <x v="1"/>
    <s v="43296891001001"/>
    <n v="-151.97"/>
    <n v="3734"/>
    <n v="1"/>
    <n v="1"/>
  </r>
  <r>
    <m/>
    <m/>
    <x v="1"/>
    <s v="43330105002001"/>
    <n v="-234.07"/>
    <n v="5751"/>
    <n v="1"/>
    <n v="1"/>
  </r>
  <r>
    <m/>
    <m/>
    <x v="1"/>
    <s v="43390341005001"/>
    <n v="-9.85"/>
    <n v="242"/>
    <n v="1"/>
    <n v="1"/>
  </r>
  <r>
    <m/>
    <m/>
    <x v="1"/>
    <s v="43424081002001"/>
    <n v="-16.97"/>
    <n v="417"/>
    <n v="1"/>
    <n v="1"/>
  </r>
  <r>
    <m/>
    <m/>
    <x v="1"/>
    <s v="43575421002001"/>
    <n v="-101.55"/>
    <n v="2495"/>
    <n v="1"/>
    <n v="1"/>
  </r>
  <r>
    <m/>
    <m/>
    <x v="1"/>
    <s v="43586411001002"/>
    <n v="-16.32"/>
    <n v="401"/>
    <n v="1"/>
    <n v="1"/>
  </r>
  <r>
    <m/>
    <m/>
    <x v="1"/>
    <s v="43606427009001"/>
    <n v="-77.66"/>
    <n v="1908"/>
    <n v="1"/>
    <n v="1"/>
  </r>
  <r>
    <m/>
    <m/>
    <x v="1"/>
    <s v="43627431002001"/>
    <n v="-1.22"/>
    <n v="30"/>
    <n v="1"/>
    <n v="1"/>
  </r>
  <r>
    <m/>
    <m/>
    <x v="1"/>
    <s v="43675311001004"/>
    <n v="-5.66"/>
    <n v="139"/>
    <n v="1"/>
    <n v="1"/>
  </r>
  <r>
    <m/>
    <m/>
    <x v="1"/>
    <s v="43675731002001"/>
    <n v="-51.57"/>
    <n v="1267"/>
    <n v="1"/>
    <n v="1"/>
  </r>
  <r>
    <m/>
    <m/>
    <x v="1"/>
    <s v="43685671001004"/>
    <n v="-32.229999999999997"/>
    <n v="792"/>
    <n v="1"/>
    <n v="1"/>
  </r>
  <r>
    <m/>
    <m/>
    <x v="1"/>
    <s v="43686721001006"/>
    <n v="-44.53"/>
    <n v="1094"/>
    <n v="1"/>
    <n v="1"/>
  </r>
  <r>
    <m/>
    <m/>
    <x v="1"/>
    <s v="43718571001006"/>
    <n v="-4.3499999999999996"/>
    <n v="107"/>
    <n v="1"/>
    <n v="1"/>
  </r>
  <r>
    <m/>
    <m/>
    <x v="1"/>
    <s v="43735940002001"/>
    <n v="-71.63"/>
    <n v="1760"/>
    <n v="1"/>
    <n v="1"/>
  </r>
  <r>
    <m/>
    <m/>
    <x v="1"/>
    <s v="43761831007001"/>
    <n v="-200.12"/>
    <n v="4917"/>
    <n v="1"/>
    <n v="1"/>
  </r>
  <r>
    <m/>
    <m/>
    <x v="1"/>
    <s v="43822311002001"/>
    <n v="-23.89"/>
    <n v="587"/>
    <n v="1"/>
    <n v="1"/>
  </r>
  <r>
    <m/>
    <m/>
    <x v="1"/>
    <s v="43865752001004"/>
    <n v="-44.61"/>
    <n v="1096"/>
    <n v="1"/>
    <n v="1"/>
  </r>
  <r>
    <m/>
    <m/>
    <x v="1"/>
    <s v="43901831002001"/>
    <n v="-62.8"/>
    <n v="1543"/>
    <n v="1"/>
    <n v="1"/>
  </r>
  <r>
    <m/>
    <m/>
    <x v="1"/>
    <s v="43908201002002"/>
    <n v="-17.13"/>
    <n v="421"/>
    <n v="1"/>
    <n v="1"/>
  </r>
  <r>
    <m/>
    <m/>
    <x v="1"/>
    <s v="43924371003001"/>
    <n v="-43.26"/>
    <n v="1063"/>
    <n v="1"/>
    <n v="1"/>
  </r>
  <r>
    <m/>
    <m/>
    <x v="1"/>
    <s v="43937246005001"/>
    <n v="-34.880000000000003"/>
    <n v="857"/>
    <n v="1"/>
    <n v="1"/>
  </r>
  <r>
    <m/>
    <m/>
    <x v="1"/>
    <s v="43953794001001"/>
    <n v="-80.02"/>
    <n v="1966"/>
    <n v="1"/>
    <n v="1"/>
  </r>
  <r>
    <m/>
    <m/>
    <x v="1"/>
    <s v="44027831001002"/>
    <n v="-57.39"/>
    <n v="1410"/>
    <n v="1"/>
    <n v="1"/>
  </r>
  <r>
    <m/>
    <m/>
    <x v="1"/>
    <s v="44172520001001"/>
    <n v="-123.52"/>
    <n v="3035"/>
    <n v="1"/>
    <n v="1"/>
  </r>
  <r>
    <m/>
    <m/>
    <x v="1"/>
    <s v="44213401001003"/>
    <n v="-83.27"/>
    <n v="2046"/>
    <n v="1"/>
    <n v="1"/>
  </r>
  <r>
    <m/>
    <m/>
    <x v="1"/>
    <s v="44261911001001"/>
    <n v="-75.86"/>
    <n v="1864"/>
    <n v="1"/>
    <n v="1"/>
  </r>
  <r>
    <m/>
    <m/>
    <x v="1"/>
    <s v="44295021002002"/>
    <n v="-23.36"/>
    <n v="574"/>
    <n v="1"/>
    <n v="1"/>
  </r>
  <r>
    <m/>
    <m/>
    <x v="1"/>
    <s v="44301741001003"/>
    <n v="-128.57"/>
    <n v="3159"/>
    <n v="1"/>
    <n v="1"/>
  </r>
  <r>
    <m/>
    <m/>
    <x v="1"/>
    <s v="44313851003003"/>
    <n v="-45.46"/>
    <n v="1117"/>
    <n v="1"/>
    <n v="1"/>
  </r>
  <r>
    <m/>
    <m/>
    <x v="1"/>
    <s v="44346821001002"/>
    <n v="-90.64"/>
    <n v="2227"/>
    <n v="1"/>
    <n v="1"/>
  </r>
  <r>
    <m/>
    <m/>
    <x v="1"/>
    <s v="44347031002001"/>
    <n v="-55.8"/>
    <n v="1371"/>
    <n v="1"/>
    <n v="1"/>
  </r>
  <r>
    <m/>
    <m/>
    <x v="1"/>
    <s v="44348711011003"/>
    <n v="-8.1"/>
    <n v="199"/>
    <n v="1"/>
    <n v="1"/>
  </r>
  <r>
    <m/>
    <m/>
    <x v="1"/>
    <s v="44365791001001"/>
    <n v="-9.61"/>
    <n v="236"/>
    <n v="1"/>
    <n v="1"/>
  </r>
  <r>
    <m/>
    <m/>
    <x v="1"/>
    <s v="44371461001006"/>
    <n v="-93.04"/>
    <n v="2286"/>
    <n v="1"/>
    <n v="1"/>
  </r>
  <r>
    <m/>
    <m/>
    <x v="1"/>
    <s v="44380071003001"/>
    <n v="-119.09"/>
    <n v="2926"/>
    <n v="1"/>
    <n v="1"/>
  </r>
  <r>
    <m/>
    <m/>
    <x v="1"/>
    <s v="44400231001002"/>
    <n v="-51.77"/>
    <n v="1272"/>
    <n v="1"/>
    <n v="1"/>
  </r>
  <r>
    <m/>
    <m/>
    <x v="1"/>
    <s v="44437541001001"/>
    <n v="-125.72"/>
    <n v="3089"/>
    <n v="1"/>
    <n v="1"/>
  </r>
  <r>
    <m/>
    <m/>
    <x v="1"/>
    <s v="44477199001001"/>
    <n v="-33.049999999999997"/>
    <n v="812"/>
    <n v="1"/>
    <n v="1"/>
  </r>
  <r>
    <m/>
    <m/>
    <x v="1"/>
    <s v="44504531002005"/>
    <n v="-143.22"/>
    <n v="3519"/>
    <n v="1"/>
    <n v="1"/>
  </r>
  <r>
    <m/>
    <m/>
    <x v="1"/>
    <s v="44510901001001"/>
    <n v="-109.16"/>
    <n v="2682"/>
    <n v="1"/>
    <n v="1"/>
  </r>
  <r>
    <m/>
    <m/>
    <x v="1"/>
    <s v="44512971001001"/>
    <n v="-50.14"/>
    <n v="1232"/>
    <n v="1"/>
    <n v="1"/>
  </r>
  <r>
    <m/>
    <m/>
    <x v="1"/>
    <s v="44514712001002"/>
    <n v="-64.099999999999994"/>
    <n v="1575"/>
    <n v="1"/>
    <n v="1"/>
  </r>
  <r>
    <m/>
    <m/>
    <x v="1"/>
    <s v="44522381001001"/>
    <n v="-75.86"/>
    <n v="1864"/>
    <n v="1"/>
    <n v="1"/>
  </r>
  <r>
    <m/>
    <m/>
    <x v="1"/>
    <s v="44524901001003"/>
    <n v="-93.24"/>
    <n v="2291"/>
    <n v="1"/>
    <n v="1"/>
  </r>
  <r>
    <m/>
    <m/>
    <x v="1"/>
    <s v="44528121001001"/>
    <n v="-48.31"/>
    <n v="1187"/>
    <n v="1"/>
    <n v="1"/>
  </r>
  <r>
    <m/>
    <m/>
    <x v="1"/>
    <s v="44533511002002"/>
    <n v="-90.84"/>
    <n v="2232"/>
    <n v="1"/>
    <n v="1"/>
  </r>
  <r>
    <m/>
    <m/>
    <x v="1"/>
    <s v="44545341001001"/>
    <n v="-58.97"/>
    <n v="1449"/>
    <n v="1"/>
    <n v="1"/>
  </r>
  <r>
    <m/>
    <m/>
    <x v="1"/>
    <s v="44560475001003"/>
    <n v="-138.41999999999999"/>
    <n v="3401"/>
    <n v="1"/>
    <n v="1"/>
  </r>
  <r>
    <m/>
    <m/>
    <x v="1"/>
    <s v="44562981001002"/>
    <n v="-125.32"/>
    <n v="3079"/>
    <n v="1"/>
    <n v="1"/>
  </r>
  <r>
    <m/>
    <m/>
    <x v="1"/>
    <s v="44563681004003"/>
    <n v="-171.96"/>
    <n v="4225"/>
    <n v="1"/>
    <n v="1"/>
  </r>
  <r>
    <m/>
    <m/>
    <x v="1"/>
    <s v="44568316003001"/>
    <n v="-102.93"/>
    <n v="2529"/>
    <n v="1"/>
    <n v="1"/>
  </r>
  <r>
    <m/>
    <m/>
    <x v="1"/>
    <s v="44572361001002"/>
    <n v="-88.2"/>
    <n v="2167"/>
    <n v="1"/>
    <n v="1"/>
  </r>
  <r>
    <m/>
    <m/>
    <x v="1"/>
    <s v="44577121001003"/>
    <n v="-99.47"/>
    <n v="2444"/>
    <n v="1"/>
    <n v="1"/>
  </r>
  <r>
    <m/>
    <m/>
    <x v="1"/>
    <s v="44580411001002"/>
    <n v="-67.56"/>
    <n v="1660"/>
    <n v="1"/>
    <n v="1"/>
  </r>
  <r>
    <m/>
    <m/>
    <x v="1"/>
    <s v="44596091002001"/>
    <n v="-29.83"/>
    <n v="733"/>
    <n v="1"/>
    <n v="1"/>
  </r>
  <r>
    <m/>
    <m/>
    <x v="1"/>
    <s v="44617161001001"/>
    <n v="-74.44"/>
    <n v="1829"/>
    <n v="1"/>
    <n v="1"/>
  </r>
  <r>
    <m/>
    <m/>
    <x v="1"/>
    <s v="44617721001003"/>
    <n v="-35.49"/>
    <n v="872"/>
    <n v="1"/>
    <n v="1"/>
  </r>
  <r>
    <m/>
    <m/>
    <x v="1"/>
    <s v="44620801001001"/>
    <n v="-4.92"/>
    <n v="121"/>
    <n v="1"/>
    <n v="1"/>
  </r>
  <r>
    <m/>
    <m/>
    <x v="1"/>
    <s v="44627031001005"/>
    <n v="-188.2"/>
    <n v="4624"/>
    <n v="1"/>
    <n v="1"/>
  </r>
  <r>
    <m/>
    <m/>
    <x v="1"/>
    <s v="44639981001001"/>
    <n v="-58.45"/>
    <n v="1436"/>
    <n v="1"/>
    <n v="1"/>
  </r>
  <r>
    <m/>
    <m/>
    <x v="1"/>
    <s v="44663409001001"/>
    <n v="-144.12"/>
    <n v="3541"/>
    <n v="1"/>
    <n v="1"/>
  </r>
  <r>
    <m/>
    <m/>
    <x v="1"/>
    <s v="44688771001005"/>
    <n v="-129.55000000000001"/>
    <n v="3183"/>
    <n v="1"/>
    <n v="1"/>
  </r>
  <r>
    <m/>
    <m/>
    <x v="1"/>
    <s v="44710891001001"/>
    <n v="-78.75"/>
    <n v="1935"/>
    <n v="1"/>
    <n v="1"/>
  </r>
  <r>
    <m/>
    <m/>
    <x v="1"/>
    <s v="44717821001014"/>
    <n v="-23.57"/>
    <n v="579"/>
    <n v="1"/>
    <n v="1"/>
  </r>
  <r>
    <m/>
    <m/>
    <x v="1"/>
    <s v="44732801001003"/>
    <n v="-44.12"/>
    <n v="1084"/>
    <n v="1"/>
    <n v="1"/>
  </r>
  <r>
    <m/>
    <m/>
    <x v="1"/>
    <s v="44749671001002"/>
    <n v="-116.24"/>
    <n v="2856"/>
    <n v="1"/>
    <n v="1"/>
  </r>
  <r>
    <m/>
    <m/>
    <x v="1"/>
    <s v="44753381001001"/>
    <n v="-56.25"/>
    <n v="1382"/>
    <n v="1"/>
    <n v="1"/>
  </r>
  <r>
    <m/>
    <m/>
    <x v="1"/>
    <s v="44761361002003"/>
    <n v="-85.55"/>
    <n v="2102"/>
    <n v="1"/>
    <n v="1"/>
  </r>
  <r>
    <m/>
    <m/>
    <x v="1"/>
    <s v="44774521001002"/>
    <n v="-71.84"/>
    <n v="1765"/>
    <n v="1"/>
    <n v="1"/>
  </r>
  <r>
    <m/>
    <m/>
    <x v="1"/>
    <s v="44784461002001"/>
    <n v="-69.069999999999993"/>
    <n v="1697"/>
    <n v="1"/>
    <n v="1"/>
  </r>
  <r>
    <m/>
    <m/>
    <x v="1"/>
    <s v="44800981002004"/>
    <n v="-59.58"/>
    <n v="1464"/>
    <n v="1"/>
    <n v="1"/>
  </r>
  <r>
    <m/>
    <m/>
    <x v="1"/>
    <s v="44808191002002"/>
    <n v="-101.02"/>
    <n v="2482"/>
    <n v="1"/>
    <n v="1"/>
  </r>
  <r>
    <m/>
    <m/>
    <x v="1"/>
    <s v="44813091001002"/>
    <n v="-70.569999999999993"/>
    <n v="1734"/>
    <n v="1"/>
    <n v="1"/>
  </r>
  <r>
    <m/>
    <m/>
    <x v="1"/>
    <s v="44813651002003"/>
    <n v="-120.8"/>
    <n v="2968"/>
    <n v="1"/>
    <n v="1"/>
  </r>
  <r>
    <m/>
    <m/>
    <x v="1"/>
    <s v="44820366001002"/>
    <n v="-50.14"/>
    <n v="1232"/>
    <n v="1"/>
    <n v="1"/>
  </r>
  <r>
    <m/>
    <m/>
    <x v="1"/>
    <s v="44846761001001"/>
    <n v="-210.13"/>
    <n v="5163"/>
    <n v="1"/>
    <n v="1"/>
  </r>
  <r>
    <m/>
    <m/>
    <x v="1"/>
    <s v="44863491001001"/>
    <n v="-91.37"/>
    <n v="2245"/>
    <n v="1"/>
    <n v="1"/>
  </r>
  <r>
    <m/>
    <m/>
    <x v="1"/>
    <s v="44876721001002"/>
    <n v="-132.56"/>
    <n v="3257"/>
    <n v="1"/>
    <n v="1"/>
  </r>
  <r>
    <m/>
    <m/>
    <x v="1"/>
    <s v="44879801001001"/>
    <n v="-18.97"/>
    <n v="466"/>
    <n v="1"/>
    <n v="1"/>
  </r>
  <r>
    <m/>
    <m/>
    <x v="1"/>
    <s v="44881201001001"/>
    <n v="-60.89"/>
    <n v="1496"/>
    <n v="1"/>
    <n v="1"/>
  </r>
  <r>
    <m/>
    <m/>
    <x v="1"/>
    <s v="44881271001004"/>
    <n v="-134.22999999999999"/>
    <n v="3298"/>
    <n v="1"/>
    <n v="1"/>
  </r>
  <r>
    <m/>
    <m/>
    <x v="1"/>
    <s v="44893661001002"/>
    <n v="-22.55"/>
    <n v="554"/>
    <n v="1"/>
    <n v="1"/>
  </r>
  <r>
    <m/>
    <m/>
    <x v="1"/>
    <s v="44896251001001"/>
    <n v="-73.91"/>
    <n v="1816"/>
    <n v="1"/>
    <n v="1"/>
  </r>
  <r>
    <m/>
    <m/>
    <x v="1"/>
    <s v="44898351001001"/>
    <n v="-144.77000000000001"/>
    <n v="3557"/>
    <n v="1"/>
    <n v="1"/>
  </r>
  <r>
    <m/>
    <m/>
    <x v="1"/>
    <s v="44906681002005"/>
    <n v="-57.47"/>
    <n v="1412"/>
    <n v="1"/>
    <n v="1"/>
  </r>
  <r>
    <m/>
    <m/>
    <x v="1"/>
    <s v="44954561001001"/>
    <n v="-93.12"/>
    <n v="2288"/>
    <n v="1"/>
    <n v="1"/>
  </r>
  <r>
    <m/>
    <m/>
    <x v="1"/>
    <s v="44956311001001"/>
    <n v="-71.27"/>
    <n v="1751"/>
    <n v="1"/>
    <n v="1"/>
  </r>
  <r>
    <m/>
    <m/>
    <x v="1"/>
    <s v="44956731001001"/>
    <n v="-111.11"/>
    <n v="2730"/>
    <n v="1"/>
    <n v="1"/>
  </r>
  <r>
    <m/>
    <m/>
    <x v="1"/>
    <s v="44958271001004"/>
    <n v="-112.05"/>
    <n v="2753"/>
    <n v="1"/>
    <n v="1"/>
  </r>
  <r>
    <m/>
    <m/>
    <x v="1"/>
    <s v="44964291001001"/>
    <n v="-17.66"/>
    <n v="434"/>
    <n v="1"/>
    <n v="1"/>
  </r>
  <r>
    <m/>
    <m/>
    <x v="1"/>
    <s v="44967161001001"/>
    <n v="-139.47999999999999"/>
    <n v="3427"/>
    <n v="1"/>
    <n v="1"/>
  </r>
  <r>
    <m/>
    <m/>
    <x v="1"/>
    <s v="44971781025001"/>
    <n v="-83.76"/>
    <n v="2058"/>
    <n v="1"/>
    <n v="1"/>
  </r>
  <r>
    <m/>
    <m/>
    <x v="1"/>
    <s v="44972551004001"/>
    <n v="-81.03"/>
    <n v="1991"/>
    <n v="1"/>
    <n v="1"/>
  </r>
  <r>
    <m/>
    <m/>
    <x v="1"/>
    <s v="44988441001013"/>
    <n v="-96.87"/>
    <n v="2380"/>
    <n v="1"/>
    <n v="1"/>
  </r>
  <r>
    <m/>
    <m/>
    <x v="1"/>
    <s v="44990541001001"/>
    <n v="-19.29"/>
    <n v="474"/>
    <n v="1"/>
    <n v="1"/>
  </r>
  <r>
    <m/>
    <m/>
    <x v="1"/>
    <s v="44995231002001"/>
    <n v="-54.25"/>
    <n v="1333"/>
    <n v="1"/>
    <n v="1"/>
  </r>
  <r>
    <m/>
    <m/>
    <x v="1"/>
    <s v="45016581002001"/>
    <n v="-40.17"/>
    <n v="987"/>
    <n v="1"/>
    <n v="1"/>
  </r>
  <r>
    <m/>
    <m/>
    <x v="1"/>
    <s v="45022531002001"/>
    <n v="-49.82"/>
    <n v="1224"/>
    <n v="1"/>
    <n v="1"/>
  </r>
  <r>
    <m/>
    <m/>
    <x v="1"/>
    <s v="45022671002001"/>
    <n v="-17.87"/>
    <n v="439"/>
    <n v="1"/>
    <n v="1"/>
  </r>
  <r>
    <m/>
    <m/>
    <x v="1"/>
    <s v="45023091001001"/>
    <n v="-9.61"/>
    <n v="236"/>
    <n v="1"/>
    <n v="1"/>
  </r>
  <r>
    <m/>
    <m/>
    <x v="1"/>
    <s v="45024346002005"/>
    <n v="-127.84"/>
    <n v="3141"/>
    <n v="1"/>
    <n v="1"/>
  </r>
  <r>
    <m/>
    <m/>
    <x v="1"/>
    <s v="45028411001001"/>
    <n v="-35.979999999999997"/>
    <n v="884"/>
    <n v="1"/>
    <n v="1"/>
  </r>
  <r>
    <m/>
    <m/>
    <x v="1"/>
    <s v="45029951001001"/>
    <n v="-4.4800000000000004"/>
    <n v="110"/>
    <n v="1"/>
    <n v="1"/>
  </r>
  <r>
    <m/>
    <m/>
    <x v="1"/>
    <s v="45044339001005"/>
    <n v="-59.99"/>
    <n v="1474"/>
    <n v="1"/>
    <n v="1"/>
  </r>
  <r>
    <m/>
    <m/>
    <x v="1"/>
    <s v="45045001001003"/>
    <n v="-6.67"/>
    <n v="164"/>
    <n v="1"/>
    <n v="1"/>
  </r>
  <r>
    <m/>
    <m/>
    <x v="1"/>
    <s v="45045911001001"/>
    <n v="-48.64"/>
    <n v="1195"/>
    <n v="1"/>
    <n v="1"/>
  </r>
  <r>
    <m/>
    <m/>
    <x v="1"/>
    <s v="45046471001001"/>
    <n v="-3.3"/>
    <n v="81"/>
    <n v="1"/>
    <n v="1"/>
  </r>
  <r>
    <m/>
    <m/>
    <x v="1"/>
    <s v="45051231004001"/>
    <n v="-114.53"/>
    <n v="2814"/>
    <n v="1"/>
    <n v="1"/>
  </r>
  <r>
    <m/>
    <m/>
    <x v="1"/>
    <s v="45054593001001"/>
    <n v="-152.75"/>
    <n v="3753"/>
    <n v="1"/>
    <n v="1"/>
  </r>
  <r>
    <m/>
    <m/>
    <x v="1"/>
    <s v="45058426001005"/>
    <n v="-68.62"/>
    <n v="1686"/>
    <n v="1"/>
    <n v="1"/>
  </r>
  <r>
    <m/>
    <m/>
    <x v="1"/>
    <s v="45064461001001"/>
    <n v="-69.959999999999994"/>
    <n v="1719"/>
    <n v="1"/>
    <n v="1"/>
  </r>
  <r>
    <m/>
    <m/>
    <x v="1"/>
    <s v="45064881001001"/>
    <n v="-137.88999999999999"/>
    <n v="3388"/>
    <n v="1"/>
    <n v="1"/>
  </r>
  <r>
    <m/>
    <m/>
    <x v="1"/>
    <s v="45066141001001"/>
    <n v="-35.78"/>
    <n v="879"/>
    <n v="1"/>
    <n v="1"/>
  </r>
  <r>
    <m/>
    <m/>
    <x v="1"/>
    <s v="45068661003001"/>
    <n v="-49.12"/>
    <n v="1207"/>
    <n v="1"/>
    <n v="1"/>
  </r>
  <r>
    <m/>
    <m/>
    <x v="1"/>
    <s v="45076781001003"/>
    <n v="-71.88"/>
    <n v="1766"/>
    <n v="1"/>
    <n v="1"/>
  </r>
  <r>
    <m/>
    <m/>
    <x v="1"/>
    <s v="45077271001001"/>
    <n v="-14.65"/>
    <n v="360"/>
    <n v="1"/>
    <n v="1"/>
  </r>
  <r>
    <m/>
    <m/>
    <x v="1"/>
    <s v="45101911002002"/>
    <n v="-67.89"/>
    <n v="1668"/>
    <n v="1"/>
    <n v="1"/>
  </r>
  <r>
    <m/>
    <m/>
    <x v="1"/>
    <s v="45114021001001"/>
    <n v="-97.92"/>
    <n v="2406"/>
    <n v="1"/>
    <n v="1"/>
  </r>
  <r>
    <m/>
    <m/>
    <x v="1"/>
    <s v="45128931001001"/>
    <n v="-35.57"/>
    <n v="874"/>
    <n v="1"/>
    <n v="1"/>
  </r>
  <r>
    <m/>
    <m/>
    <x v="1"/>
    <s v="45131871004001"/>
    <n v="-114.98"/>
    <n v="2825"/>
    <n v="1"/>
    <n v="1"/>
  </r>
  <r>
    <m/>
    <m/>
    <x v="1"/>
    <s v="45137261001001"/>
    <n v="-107"/>
    <n v="2629"/>
    <n v="1"/>
    <n v="1"/>
  </r>
  <r>
    <m/>
    <m/>
    <x v="1"/>
    <s v="45146501001004"/>
    <n v="-118.68"/>
    <n v="2916"/>
    <n v="1"/>
    <n v="1"/>
  </r>
  <r>
    <m/>
    <m/>
    <x v="1"/>
    <s v="45153011001003"/>
    <n v="-60.77"/>
    <n v="1493"/>
    <n v="1"/>
    <n v="1"/>
  </r>
  <r>
    <m/>
    <m/>
    <x v="1"/>
    <s v="45156161001001"/>
    <n v="-46.15"/>
    <n v="1134"/>
    <n v="1"/>
    <n v="1"/>
  </r>
  <r>
    <m/>
    <m/>
    <x v="1"/>
    <s v="45160921001001"/>
    <n v="-62.27"/>
    <n v="1530"/>
    <n v="1"/>
    <n v="1"/>
  </r>
  <r>
    <m/>
    <m/>
    <x v="1"/>
    <s v="45162391001001"/>
    <n v="-86.32"/>
    <n v="2121"/>
    <n v="1"/>
    <n v="1"/>
  </r>
  <r>
    <m/>
    <m/>
    <x v="1"/>
    <s v="45171288002001"/>
    <n v="-78.02"/>
    <n v="1917"/>
    <n v="1"/>
    <n v="1"/>
  </r>
  <r>
    <m/>
    <m/>
    <x v="1"/>
    <s v="45177721002001"/>
    <n v="-76.48"/>
    <n v="1879"/>
    <n v="1"/>
    <n v="1"/>
  </r>
  <r>
    <m/>
    <m/>
    <x v="1"/>
    <s v="45182691001001"/>
    <n v="-77.13"/>
    <n v="1895"/>
    <n v="1"/>
    <n v="1"/>
  </r>
  <r>
    <m/>
    <m/>
    <x v="1"/>
    <s v="45192841001001"/>
    <n v="-42.86"/>
    <n v="1053"/>
    <n v="1"/>
    <n v="1"/>
  </r>
  <r>
    <m/>
    <m/>
    <x v="1"/>
    <s v="45194521001003"/>
    <n v="-55.47"/>
    <n v="1363"/>
    <n v="1"/>
    <n v="1"/>
  </r>
  <r>
    <m/>
    <m/>
    <x v="1"/>
    <s v="45194661001001"/>
    <n v="-66.87"/>
    <n v="1643"/>
    <n v="1"/>
    <n v="1"/>
  </r>
  <r>
    <m/>
    <m/>
    <x v="1"/>
    <s v="45195641001001"/>
    <n v="-82.62"/>
    <n v="2030"/>
    <n v="1"/>
    <n v="1"/>
  </r>
  <r>
    <m/>
    <m/>
    <x v="1"/>
    <s v="45195991002001"/>
    <n v="-114.2"/>
    <n v="2806"/>
    <n v="1"/>
    <n v="1"/>
  </r>
  <r>
    <m/>
    <m/>
    <x v="1"/>
    <s v="45204881002001"/>
    <n v="-19.86"/>
    <n v="488"/>
    <n v="1"/>
    <n v="1"/>
  </r>
  <r>
    <m/>
    <m/>
    <x v="1"/>
    <s v="45208591002003"/>
    <n v="-18.8"/>
    <n v="462"/>
    <n v="1"/>
    <n v="1"/>
  </r>
  <r>
    <m/>
    <m/>
    <x v="1"/>
    <s v="45230011001002"/>
    <n v="-86.16"/>
    <n v="2117"/>
    <n v="1"/>
    <n v="1"/>
  </r>
  <r>
    <m/>
    <m/>
    <x v="1"/>
    <s v="45242051001003"/>
    <n v="-116.52"/>
    <n v="2863"/>
    <n v="1"/>
    <n v="1"/>
  </r>
  <r>
    <m/>
    <m/>
    <x v="1"/>
    <s v="45244851001001"/>
    <n v="-13.19"/>
    <n v="324"/>
    <n v="1"/>
    <n v="1"/>
  </r>
  <r>
    <m/>
    <m/>
    <x v="1"/>
    <s v="45259481001001"/>
    <n v="-88.52"/>
    <n v="2175"/>
    <n v="1"/>
    <n v="1"/>
  </r>
  <r>
    <m/>
    <m/>
    <x v="1"/>
    <s v="45270949001004"/>
    <n v="-64.02"/>
    <n v="1573"/>
    <n v="1"/>
    <n v="1"/>
  </r>
  <r>
    <m/>
    <m/>
    <x v="1"/>
    <s v="45304141001001"/>
    <n v="-44"/>
    <n v="1081"/>
    <n v="1"/>
    <n v="1"/>
  </r>
  <r>
    <m/>
    <m/>
    <x v="1"/>
    <s v="45321851001002"/>
    <n v="-49.57"/>
    <n v="1218"/>
    <n v="1"/>
    <n v="1"/>
  </r>
  <r>
    <m/>
    <m/>
    <x v="1"/>
    <s v="45322971007001"/>
    <n v="-16.04"/>
    <n v="394"/>
    <n v="1"/>
    <n v="1"/>
  </r>
  <r>
    <m/>
    <m/>
    <x v="1"/>
    <s v="45329621001002"/>
    <n v="-128.65"/>
    <n v="3161"/>
    <n v="1"/>
    <n v="1"/>
  </r>
  <r>
    <m/>
    <m/>
    <x v="1"/>
    <s v="45353841001001"/>
    <n v="-43.26"/>
    <n v="1063"/>
    <n v="1"/>
    <n v="1"/>
  </r>
  <r>
    <m/>
    <m/>
    <x v="1"/>
    <s v="45356081008001"/>
    <n v="-74.930000000000007"/>
    <n v="1841"/>
    <n v="1"/>
    <n v="1"/>
  </r>
  <r>
    <m/>
    <m/>
    <x v="1"/>
    <s v="45363081001002"/>
    <n v="-66.87"/>
    <n v="1643"/>
    <n v="1"/>
    <n v="1"/>
  </r>
  <r>
    <m/>
    <m/>
    <x v="1"/>
    <s v="45363781001003"/>
    <n v="-146.47999999999999"/>
    <n v="3599"/>
    <n v="1"/>
    <n v="1"/>
  </r>
  <r>
    <m/>
    <m/>
    <x v="1"/>
    <s v="45372041008001"/>
    <n v="-106.92"/>
    <n v="2627"/>
    <n v="1"/>
    <n v="1"/>
  </r>
  <r>
    <m/>
    <m/>
    <x v="1"/>
    <s v="45372181002001"/>
    <n v="-79.08"/>
    <n v="1943"/>
    <n v="1"/>
    <n v="1"/>
  </r>
  <r>
    <m/>
    <m/>
    <x v="1"/>
    <s v="45379041001001"/>
    <n v="-107.57"/>
    <n v="2643"/>
    <n v="1"/>
    <n v="1"/>
  </r>
  <r>
    <m/>
    <m/>
    <x v="1"/>
    <s v="45389331002003"/>
    <n v="-8.18"/>
    <n v="201"/>
    <n v="1"/>
    <n v="1"/>
  </r>
  <r>
    <m/>
    <m/>
    <x v="1"/>
    <s v="45395421001001"/>
    <n v="-41.11"/>
    <n v="1010"/>
    <n v="1"/>
    <n v="1"/>
  </r>
  <r>
    <m/>
    <m/>
    <x v="1"/>
    <s v="45406543001004"/>
    <n v="-22.06"/>
    <n v="542"/>
    <n v="1"/>
    <n v="1"/>
  </r>
  <r>
    <m/>
    <m/>
    <x v="1"/>
    <s v="45408608002003"/>
    <n v="-120.51"/>
    <n v="2961"/>
    <n v="1"/>
    <n v="1"/>
  </r>
  <r>
    <m/>
    <m/>
    <x v="1"/>
    <s v="45412781001004"/>
    <n v="-71.39"/>
    <n v="1754"/>
    <n v="1"/>
    <n v="1"/>
  </r>
  <r>
    <m/>
    <m/>
    <x v="1"/>
    <s v="45431471001002"/>
    <n v="-44.65"/>
    <n v="1097"/>
    <n v="1"/>
    <n v="1"/>
  </r>
  <r>
    <m/>
    <m/>
    <x v="1"/>
    <s v="45432941001004"/>
    <n v="-47.94"/>
    <n v="1178"/>
    <n v="1"/>
    <n v="1"/>
  </r>
  <r>
    <m/>
    <m/>
    <x v="1"/>
    <s v="45433991001003"/>
    <n v="-111.27"/>
    <n v="2734"/>
    <n v="1"/>
    <n v="1"/>
  </r>
  <r>
    <m/>
    <m/>
    <x v="1"/>
    <s v="45442391004001"/>
    <n v="-40.42"/>
    <n v="993"/>
    <n v="1"/>
    <n v="1"/>
  </r>
  <r>
    <m/>
    <m/>
    <x v="1"/>
    <s v="45446941001001"/>
    <n v="-126.54"/>
    <n v="3109"/>
    <n v="1"/>
    <n v="1"/>
  </r>
  <r>
    <m/>
    <m/>
    <x v="1"/>
    <s v="45447641001001"/>
    <n v="-47.82"/>
    <n v="1175"/>
    <n v="1"/>
    <n v="1"/>
  </r>
  <r>
    <m/>
    <m/>
    <x v="1"/>
    <s v="45447711001002"/>
    <n v="-132.80000000000001"/>
    <n v="3263"/>
    <n v="1"/>
    <n v="1"/>
  </r>
  <r>
    <m/>
    <m/>
    <x v="1"/>
    <s v="45466051001001"/>
    <n v="-68.819999999999993"/>
    <n v="1691"/>
    <n v="1"/>
    <n v="1"/>
  </r>
  <r>
    <m/>
    <m/>
    <x v="1"/>
    <s v="45472001001001"/>
    <n v="-45.95"/>
    <n v="1129"/>
    <n v="1"/>
    <n v="1"/>
  </r>
  <r>
    <m/>
    <m/>
    <x v="1"/>
    <s v="45490131002003"/>
    <n v="-84.98"/>
    <n v="2088"/>
    <n v="1"/>
    <n v="1"/>
  </r>
  <r>
    <m/>
    <m/>
    <x v="1"/>
    <s v="45496641001001"/>
    <n v="-20.190000000000001"/>
    <n v="496"/>
    <n v="1"/>
    <n v="1"/>
  </r>
  <r>
    <m/>
    <m/>
    <x v="1"/>
    <s v="45496921001002"/>
    <n v="-47.94"/>
    <n v="1178"/>
    <n v="1"/>
    <n v="1"/>
  </r>
  <r>
    <m/>
    <m/>
    <x v="1"/>
    <s v="45500981001001"/>
    <n v="-67.64"/>
    <n v="1662"/>
    <n v="1"/>
    <n v="1"/>
  </r>
  <r>
    <m/>
    <m/>
    <x v="1"/>
    <s v="45502521001001"/>
    <n v="-14.61"/>
    <n v="359"/>
    <n v="1"/>
    <n v="1"/>
  </r>
  <r>
    <m/>
    <m/>
    <x v="1"/>
    <s v="45513791001001"/>
    <n v="-51"/>
    <n v="1253"/>
    <n v="1"/>
    <n v="1"/>
  </r>
  <r>
    <m/>
    <m/>
    <x v="1"/>
    <s v="45517641003008"/>
    <n v="-48.72"/>
    <n v="1197"/>
    <n v="1"/>
    <n v="1"/>
  </r>
  <r>
    <m/>
    <m/>
    <x v="1"/>
    <s v="45518411001001"/>
    <n v="-57.67"/>
    <n v="1417"/>
    <n v="1"/>
    <n v="1"/>
  </r>
  <r>
    <m/>
    <m/>
    <x v="1"/>
    <s v="45518691001001"/>
    <n v="-64.349999999999994"/>
    <n v="1581"/>
    <n v="1"/>
    <n v="1"/>
  </r>
  <r>
    <m/>
    <m/>
    <x v="1"/>
    <s v="45528421001002"/>
    <n v="-91.01"/>
    <n v="2236"/>
    <n v="1"/>
    <n v="1"/>
  </r>
  <r>
    <m/>
    <m/>
    <x v="1"/>
    <s v="45532411001002"/>
    <n v="-25.6"/>
    <n v="629"/>
    <n v="1"/>
    <n v="1"/>
  </r>
  <r>
    <m/>
    <m/>
    <x v="1"/>
    <s v="45543243001003"/>
    <n v="-103.74"/>
    <n v="2549"/>
    <n v="1"/>
    <n v="1"/>
  </r>
  <r>
    <m/>
    <m/>
    <x v="1"/>
    <s v="45568881001008"/>
    <n v="-0.81"/>
    <n v="20"/>
    <n v="1"/>
    <n v="1"/>
  </r>
  <r>
    <m/>
    <m/>
    <x v="1"/>
    <s v="45591768003001"/>
    <n v="-137.65"/>
    <n v="3382"/>
    <n v="1"/>
    <n v="1"/>
  </r>
  <r>
    <m/>
    <m/>
    <x v="1"/>
    <s v="45623271008003"/>
    <n v="-54.29"/>
    <n v="1334"/>
    <n v="1"/>
    <n v="1"/>
  </r>
  <r>
    <m/>
    <m/>
    <x v="1"/>
    <s v="45634593001003"/>
    <n v="-101.42"/>
    <n v="2492"/>
    <n v="1"/>
    <n v="1"/>
  </r>
  <r>
    <m/>
    <m/>
    <x v="1"/>
    <s v="45668001003001"/>
    <n v="-94.02"/>
    <n v="2310"/>
    <n v="1"/>
    <n v="1"/>
  </r>
  <r>
    <m/>
    <m/>
    <x v="1"/>
    <s v="45764531001001"/>
    <n v="-15.51"/>
    <n v="381"/>
    <n v="1"/>
    <n v="1"/>
  </r>
  <r>
    <m/>
    <m/>
    <x v="1"/>
    <s v="45777532001003"/>
    <n v="-21.61"/>
    <n v="531"/>
    <n v="1"/>
    <n v="1"/>
  </r>
  <r>
    <m/>
    <m/>
    <x v="1"/>
    <s v="45786091001001"/>
    <n v="-158.53"/>
    <n v="3895"/>
    <n v="1"/>
    <n v="1"/>
  </r>
  <r>
    <m/>
    <m/>
    <x v="1"/>
    <s v="45805748001001"/>
    <n v="-33.21"/>
    <n v="816"/>
    <n v="1"/>
    <n v="1"/>
  </r>
  <r>
    <m/>
    <m/>
    <x v="1"/>
    <s v="45859311004004"/>
    <n v="-130.65"/>
    <n v="3210"/>
    <n v="1"/>
    <n v="1"/>
  </r>
  <r>
    <m/>
    <m/>
    <x v="1"/>
    <s v="45862382001008"/>
    <n v="-29.59"/>
    <n v="727"/>
    <n v="1"/>
    <n v="1"/>
  </r>
  <r>
    <m/>
    <m/>
    <x v="1"/>
    <s v="45874431001005"/>
    <n v="-121.65"/>
    <n v="2989"/>
    <n v="1"/>
    <n v="1"/>
  </r>
  <r>
    <m/>
    <m/>
    <x v="1"/>
    <s v="45895291003003"/>
    <n v="-98.17"/>
    <n v="2412"/>
    <n v="1"/>
    <n v="1"/>
  </r>
  <r>
    <m/>
    <m/>
    <x v="1"/>
    <s v="45918951003002"/>
    <n v="-66.83"/>
    <n v="1642"/>
    <n v="1"/>
    <n v="1"/>
  </r>
  <r>
    <m/>
    <m/>
    <x v="1"/>
    <s v="45919021001009"/>
    <n v="-29.83"/>
    <n v="733"/>
    <n v="1"/>
    <n v="1"/>
  </r>
  <r>
    <m/>
    <m/>
    <x v="1"/>
    <s v="45922199001001"/>
    <n v="-92.84"/>
    <n v="2281"/>
    <n v="1"/>
    <n v="1"/>
  </r>
  <r>
    <m/>
    <m/>
    <x v="1"/>
    <s v="45930277001003"/>
    <n v="-32.93"/>
    <n v="809"/>
    <n v="1"/>
    <n v="1"/>
  </r>
  <r>
    <m/>
    <m/>
    <x v="1"/>
    <s v="45931061001003"/>
    <n v="-96.62"/>
    <n v="2374"/>
    <n v="1"/>
    <n v="1"/>
  </r>
  <r>
    <m/>
    <m/>
    <x v="1"/>
    <s v="45934421003003"/>
    <n v="-56.53"/>
    <n v="1389"/>
    <n v="1"/>
    <n v="1"/>
  </r>
  <r>
    <m/>
    <m/>
    <x v="1"/>
    <s v="46003091002002"/>
    <n v="-16.93"/>
    <n v="416"/>
    <n v="1"/>
    <n v="1"/>
  </r>
  <r>
    <m/>
    <m/>
    <x v="1"/>
    <s v="46024168001001"/>
    <n v="-19.579999999999998"/>
    <n v="481"/>
    <n v="1"/>
    <n v="1"/>
  </r>
  <r>
    <m/>
    <m/>
    <x v="1"/>
    <s v="46042851003005"/>
    <n v="-72.98"/>
    <n v="1793"/>
    <n v="1"/>
    <n v="1"/>
  </r>
  <r>
    <m/>
    <m/>
    <x v="1"/>
    <s v="46058267001001"/>
    <n v="-119.62"/>
    <n v="2939"/>
    <n v="1"/>
    <n v="1"/>
  </r>
  <r>
    <m/>
    <m/>
    <x v="1"/>
    <s v="46060421001003"/>
    <n v="-46.68"/>
    <n v="1147"/>
    <n v="1"/>
    <n v="1"/>
  </r>
  <r>
    <m/>
    <m/>
    <x v="1"/>
    <s v="46075331001001"/>
    <n v="-33.369999999999997"/>
    <n v="820"/>
    <n v="1"/>
    <n v="1"/>
  </r>
  <r>
    <m/>
    <m/>
    <x v="1"/>
    <s v="46096471001002"/>
    <n v="-35.53"/>
    <n v="873"/>
    <n v="1"/>
    <n v="1"/>
  </r>
  <r>
    <m/>
    <m/>
    <x v="1"/>
    <s v="46112501001001"/>
    <n v="-81.64"/>
    <n v="2006"/>
    <n v="1"/>
    <n v="1"/>
  </r>
  <r>
    <m/>
    <m/>
    <x v="1"/>
    <s v="46119641003003"/>
    <n v="-35.9"/>
    <n v="882"/>
    <n v="1"/>
    <n v="1"/>
  </r>
  <r>
    <m/>
    <m/>
    <x v="1"/>
    <s v="46122371006001"/>
    <n v="-85.19"/>
    <n v="2093"/>
    <n v="1"/>
    <n v="1"/>
  </r>
  <r>
    <m/>
    <m/>
    <x v="1"/>
    <s v="46133151002005"/>
    <n v="-102.12"/>
    <n v="2509"/>
    <n v="1"/>
    <n v="1"/>
  </r>
  <r>
    <m/>
    <m/>
    <x v="1"/>
    <s v="46140291003004"/>
    <n v="-64.430000000000007"/>
    <n v="1583"/>
    <n v="1"/>
    <n v="1"/>
  </r>
  <r>
    <m/>
    <m/>
    <x v="1"/>
    <s v="46141131001003"/>
    <n v="-71.67"/>
    <n v="1761"/>
    <n v="1"/>
    <n v="1"/>
  </r>
  <r>
    <m/>
    <m/>
    <x v="1"/>
    <s v="46190901003009"/>
    <n v="-26.29"/>
    <n v="646"/>
    <n v="1"/>
    <n v="1"/>
  </r>
  <r>
    <m/>
    <m/>
    <x v="1"/>
    <s v="46191123001001"/>
    <n v="-40.94"/>
    <n v="1006"/>
    <n v="1"/>
    <n v="1"/>
  </r>
  <r>
    <m/>
    <m/>
    <x v="1"/>
    <s v="46217501012001"/>
    <n v="-88.4"/>
    <n v="2172"/>
    <n v="1"/>
    <n v="1"/>
  </r>
  <r>
    <m/>
    <m/>
    <x v="1"/>
    <s v="46283959001004"/>
    <n v="-61.74"/>
    <n v="1517"/>
    <n v="1"/>
    <n v="1"/>
  </r>
  <r>
    <m/>
    <m/>
    <x v="1"/>
    <s v="46337411004003"/>
    <n v="-144.53"/>
    <n v="3551"/>
    <n v="1"/>
    <n v="1"/>
  </r>
  <r>
    <m/>
    <m/>
    <x v="1"/>
    <s v="46383371002005"/>
    <n v="-29.51"/>
    <n v="725"/>
    <n v="1"/>
    <n v="1"/>
  </r>
  <r>
    <m/>
    <m/>
    <x v="1"/>
    <s v="46395161007007"/>
    <n v="-105.94"/>
    <n v="2603"/>
    <n v="1"/>
    <n v="1"/>
  </r>
  <r>
    <m/>
    <m/>
    <x v="1"/>
    <s v="46406546001001"/>
    <n v="-96.99"/>
    <n v="2383"/>
    <n v="1"/>
    <n v="1"/>
  </r>
  <r>
    <m/>
    <m/>
    <x v="1"/>
    <s v="46425681001003"/>
    <n v="-84.49"/>
    <n v="2076"/>
    <n v="1"/>
    <n v="1"/>
  </r>
  <r>
    <m/>
    <m/>
    <x v="1"/>
    <s v="46426871002003"/>
    <n v="-17.7"/>
    <n v="435"/>
    <n v="1"/>
    <n v="1"/>
  </r>
  <r>
    <m/>
    <m/>
    <x v="1"/>
    <s v="46463061001001"/>
    <n v="-51.32"/>
    <n v="1261"/>
    <n v="1"/>
    <n v="1"/>
  </r>
  <r>
    <m/>
    <m/>
    <x v="1"/>
    <s v="46463901001003"/>
    <n v="-63.7"/>
    <n v="1565"/>
    <n v="1"/>
    <n v="1"/>
  </r>
  <r>
    <m/>
    <m/>
    <x v="1"/>
    <s v="46464041009001"/>
    <n v="-88.81"/>
    <n v="2182"/>
    <n v="1"/>
    <n v="1"/>
  </r>
  <r>
    <m/>
    <m/>
    <x v="1"/>
    <s v="46467611002001"/>
    <n v="-64.63"/>
    <n v="1588"/>
    <n v="1"/>
    <n v="1"/>
  </r>
  <r>
    <m/>
    <m/>
    <x v="1"/>
    <s v="46483221001003"/>
    <n v="-71.349999999999994"/>
    <n v="1753"/>
    <n v="1"/>
    <n v="1"/>
  </r>
  <r>
    <m/>
    <m/>
    <x v="1"/>
    <s v="46486091009001"/>
    <n v="-39.76"/>
    <n v="977"/>
    <n v="1"/>
    <n v="1"/>
  </r>
  <r>
    <m/>
    <m/>
    <x v="1"/>
    <s v="46567205001001"/>
    <n v="-105.25"/>
    <n v="2586"/>
    <n v="1"/>
    <n v="1"/>
  </r>
  <r>
    <m/>
    <m/>
    <x v="1"/>
    <s v="46607066001003"/>
    <n v="-67.319999999999993"/>
    <n v="1654"/>
    <n v="2"/>
    <n v="1"/>
  </r>
  <r>
    <m/>
    <m/>
    <x v="1"/>
    <s v="46612347003001"/>
    <n v="-91.66"/>
    <n v="2252"/>
    <n v="1"/>
    <n v="1"/>
  </r>
  <r>
    <m/>
    <m/>
    <x v="1"/>
    <s v="46709404001001"/>
    <n v="-36.96"/>
    <n v="908"/>
    <n v="1"/>
    <n v="1"/>
  </r>
  <r>
    <m/>
    <m/>
    <x v="1"/>
    <s v="46754681003012"/>
    <n v="-20.23"/>
    <n v="497"/>
    <n v="1"/>
    <n v="1"/>
  </r>
  <r>
    <m/>
    <m/>
    <x v="1"/>
    <s v="46757061002009"/>
    <n v="-153.52000000000001"/>
    <n v="3772"/>
    <n v="1"/>
    <n v="1"/>
  </r>
  <r>
    <m/>
    <m/>
    <x v="1"/>
    <s v="46768121004001"/>
    <n v="-10.220000000000001"/>
    <n v="251"/>
    <n v="1"/>
    <n v="1"/>
  </r>
  <r>
    <m/>
    <m/>
    <x v="1"/>
    <s v="46772111002005"/>
    <n v="-98.29"/>
    <n v="2415"/>
    <n v="1"/>
    <n v="1"/>
  </r>
  <r>
    <m/>
    <m/>
    <x v="1"/>
    <s v="46792621001001"/>
    <n v="-98.7"/>
    <n v="2425"/>
    <n v="1"/>
    <n v="1"/>
  </r>
  <r>
    <m/>
    <m/>
    <x v="1"/>
    <s v="46809911002003"/>
    <n v="-72"/>
    <n v="1769"/>
    <n v="1"/>
    <n v="1"/>
  </r>
  <r>
    <m/>
    <m/>
    <x v="1"/>
    <s v="46819081001002"/>
    <n v="-78.23"/>
    <n v="1922"/>
    <n v="1"/>
    <n v="1"/>
  </r>
  <r>
    <m/>
    <m/>
    <x v="1"/>
    <s v="46834341003003"/>
    <n v="-134.07"/>
    <n v="3294"/>
    <n v="1"/>
    <n v="1"/>
  </r>
  <r>
    <m/>
    <m/>
    <x v="1"/>
    <s v="46847431016001"/>
    <n v="-114.45"/>
    <n v="2812"/>
    <n v="1"/>
    <n v="1"/>
  </r>
  <r>
    <m/>
    <m/>
    <x v="1"/>
    <s v="46853523001007"/>
    <n v="-64.709999999999994"/>
    <n v="1590"/>
    <n v="1"/>
    <n v="1"/>
  </r>
  <r>
    <m/>
    <m/>
    <x v="1"/>
    <s v="46867031001004"/>
    <n v="-9.16"/>
    <n v="225"/>
    <n v="1"/>
    <n v="1"/>
  </r>
  <r>
    <m/>
    <m/>
    <x v="1"/>
    <s v="46950191001002"/>
    <n v="-8.3800000000000008"/>
    <n v="206"/>
    <n v="1"/>
    <n v="1"/>
  </r>
  <r>
    <m/>
    <m/>
    <x v="1"/>
    <s v="46962021001002"/>
    <n v="-38.67"/>
    <n v="950"/>
    <n v="1"/>
    <n v="1"/>
  </r>
  <r>
    <m/>
    <m/>
    <x v="1"/>
    <s v="47066591001001"/>
    <n v="-45.99"/>
    <n v="1130"/>
    <n v="1"/>
    <n v="1"/>
  </r>
  <r>
    <m/>
    <m/>
    <x v="1"/>
    <s v="47070580001001"/>
    <n v="-62.11"/>
    <n v="1526"/>
    <n v="1"/>
    <n v="1"/>
  </r>
  <r>
    <m/>
    <m/>
    <x v="1"/>
    <s v="47098171013001"/>
    <n v="-46.64"/>
    <n v="1146"/>
    <n v="1"/>
    <n v="1"/>
  </r>
  <r>
    <m/>
    <m/>
    <x v="1"/>
    <s v="47117211001001"/>
    <n v="-65.400000000000006"/>
    <n v="1607"/>
    <n v="1"/>
    <n v="1"/>
  </r>
  <r>
    <m/>
    <m/>
    <x v="1"/>
    <s v="47138771008005"/>
    <n v="-86.89"/>
    <n v="2135"/>
    <n v="1"/>
    <n v="1"/>
  </r>
  <r>
    <m/>
    <m/>
    <x v="1"/>
    <s v="47152981002001"/>
    <n v="-48.03"/>
    <n v="1180"/>
    <n v="1"/>
    <n v="1"/>
  </r>
  <r>
    <m/>
    <m/>
    <x v="1"/>
    <s v="47178760001004"/>
    <n v="-54.5"/>
    <n v="1339"/>
    <n v="1"/>
    <n v="1"/>
  </r>
  <r>
    <m/>
    <m/>
    <x v="1"/>
    <s v="47202611002002"/>
    <n v="-28.29"/>
    <n v="695"/>
    <n v="1"/>
    <n v="1"/>
  </r>
  <r>
    <m/>
    <m/>
    <x v="1"/>
    <s v="47275061002003"/>
    <n v="-45.79"/>
    <n v="1125"/>
    <n v="1"/>
    <n v="1"/>
  </r>
  <r>
    <m/>
    <m/>
    <x v="1"/>
    <s v="47309291001002"/>
    <n v="-31.83"/>
    <n v="782"/>
    <n v="1"/>
    <n v="1"/>
  </r>
  <r>
    <m/>
    <m/>
    <x v="1"/>
    <s v="47323291001003"/>
    <n v="-102.6"/>
    <n v="2521"/>
    <n v="1"/>
    <n v="1"/>
  </r>
  <r>
    <m/>
    <m/>
    <x v="1"/>
    <s v="47326848001001"/>
    <n v="-28.65"/>
    <n v="704"/>
    <n v="1"/>
    <n v="1"/>
  </r>
  <r>
    <m/>
    <m/>
    <x v="1"/>
    <s v="47327631001001"/>
    <n v="-70.900000000000006"/>
    <n v="1742"/>
    <n v="1"/>
    <n v="1"/>
  </r>
  <r>
    <m/>
    <m/>
    <x v="1"/>
    <s v="47329241001004"/>
    <n v="-2.97"/>
    <n v="73"/>
    <n v="1"/>
    <n v="1"/>
  </r>
  <r>
    <m/>
    <m/>
    <x v="1"/>
    <s v="47341211003001"/>
    <n v="-67.48"/>
    <n v="1658"/>
    <n v="1"/>
    <n v="1"/>
  </r>
  <r>
    <m/>
    <m/>
    <x v="1"/>
    <s v="47369561001004"/>
    <n v="-54.95"/>
    <n v="1350"/>
    <n v="1"/>
    <n v="1"/>
  </r>
  <r>
    <m/>
    <m/>
    <x v="1"/>
    <s v="47375341001001"/>
    <n v="-103.09"/>
    <n v="2533"/>
    <n v="1"/>
    <n v="1"/>
  </r>
  <r>
    <m/>
    <m/>
    <x v="1"/>
    <s v="47425421003001"/>
    <n v="-84.37"/>
    <n v="2073"/>
    <n v="1"/>
    <n v="1"/>
  </r>
  <r>
    <m/>
    <m/>
    <x v="1"/>
    <s v="47463011003001"/>
    <n v="-125.07"/>
    <n v="3073"/>
    <n v="1"/>
    <n v="1"/>
  </r>
  <r>
    <m/>
    <m/>
    <x v="1"/>
    <s v="47596151001005"/>
    <n v="-58"/>
    <n v="1425"/>
    <n v="1"/>
    <n v="1"/>
  </r>
  <r>
    <m/>
    <m/>
    <x v="1"/>
    <s v="47602655001004"/>
    <n v="-5.58"/>
    <n v="137"/>
    <n v="1"/>
    <n v="1"/>
  </r>
  <r>
    <m/>
    <m/>
    <x v="1"/>
    <s v="47619881001001"/>
    <n v="-20.55"/>
    <n v="505"/>
    <n v="1"/>
    <n v="1"/>
  </r>
  <r>
    <m/>
    <m/>
    <x v="1"/>
    <s v="47760721004001"/>
    <n v="-71.84"/>
    <n v="1765"/>
    <n v="1"/>
    <n v="1"/>
  </r>
  <r>
    <m/>
    <m/>
    <x v="1"/>
    <s v="47762681005001"/>
    <n v="-51.81"/>
    <n v="1273"/>
    <n v="1"/>
    <n v="1"/>
  </r>
  <r>
    <m/>
    <m/>
    <x v="1"/>
    <s v="47764921003003"/>
    <n v="-194.79"/>
    <n v="4786"/>
    <n v="1"/>
    <n v="1"/>
  </r>
  <r>
    <m/>
    <m/>
    <x v="1"/>
    <s v="47839821001002"/>
    <n v="-67.2"/>
    <n v="1651"/>
    <n v="1"/>
    <n v="1"/>
  </r>
  <r>
    <m/>
    <m/>
    <x v="1"/>
    <s v="47842341003001"/>
    <n v="-31.66"/>
    <n v="778"/>
    <n v="1"/>
    <n v="1"/>
  </r>
  <r>
    <m/>
    <m/>
    <x v="1"/>
    <s v="47874432001002"/>
    <n v="-129.43"/>
    <n v="3180"/>
    <n v="1"/>
    <n v="1"/>
  </r>
  <r>
    <m/>
    <m/>
    <x v="1"/>
    <s v="47875639001001"/>
    <n v="-35.29"/>
    <n v="867"/>
    <n v="1"/>
    <n v="1"/>
  </r>
  <r>
    <m/>
    <m/>
    <x v="1"/>
    <s v="47907161002001"/>
    <n v="-140.29"/>
    <n v="3447"/>
    <n v="1"/>
    <n v="1"/>
  </r>
  <r>
    <m/>
    <m/>
    <x v="1"/>
    <s v="47912897001001"/>
    <n v="-22.63"/>
    <n v="556"/>
    <n v="1"/>
    <n v="1"/>
  </r>
  <r>
    <m/>
    <m/>
    <x v="1"/>
    <s v="47951681001003"/>
    <n v="-66.02"/>
    <n v="1622"/>
    <n v="1"/>
    <n v="1"/>
  </r>
  <r>
    <m/>
    <m/>
    <x v="1"/>
    <s v="47958961001001"/>
    <n v="-77.33"/>
    <n v="1900"/>
    <n v="1"/>
    <n v="1"/>
  </r>
  <r>
    <m/>
    <m/>
    <x v="1"/>
    <s v="47963132003001"/>
    <n v="-0.85"/>
    <n v="21"/>
    <n v="1"/>
    <n v="1"/>
  </r>
  <r>
    <m/>
    <m/>
    <x v="1"/>
    <s v="47967683001019"/>
    <n v="-77.739999999999995"/>
    <n v="1910"/>
    <n v="1"/>
    <n v="1"/>
  </r>
  <r>
    <m/>
    <m/>
    <x v="1"/>
    <s v="47976321005002"/>
    <n v="-30.93"/>
    <n v="760"/>
    <n v="1"/>
    <n v="1"/>
  </r>
  <r>
    <m/>
    <m/>
    <x v="1"/>
    <s v="48023920001005"/>
    <n v="-73.87"/>
    <n v="1815"/>
    <n v="1"/>
    <n v="1"/>
  </r>
  <r>
    <m/>
    <m/>
    <x v="1"/>
    <s v="48037431004001"/>
    <n v="-171.55"/>
    <n v="4215"/>
    <n v="1"/>
    <n v="1"/>
  </r>
  <r>
    <m/>
    <m/>
    <x v="1"/>
    <s v="48065577001005"/>
    <n v="-67.069999999999993"/>
    <n v="1648"/>
    <n v="1"/>
    <n v="1"/>
  </r>
  <r>
    <m/>
    <m/>
    <x v="1"/>
    <s v="48076533001001"/>
    <n v="-105.54"/>
    <n v="2593"/>
    <n v="1"/>
    <n v="1"/>
  </r>
  <r>
    <m/>
    <m/>
    <x v="1"/>
    <s v="48098490001001"/>
    <n v="-102.85"/>
    <n v="2527"/>
    <n v="1"/>
    <n v="1"/>
  </r>
  <r>
    <m/>
    <m/>
    <x v="1"/>
    <s v="48354461005003"/>
    <n v="-86.08"/>
    <n v="2115"/>
    <n v="1"/>
    <n v="1"/>
  </r>
  <r>
    <m/>
    <m/>
    <x v="1"/>
    <s v="48367273001004"/>
    <n v="-32.93"/>
    <n v="809"/>
    <n v="1"/>
    <n v="1"/>
  </r>
  <r>
    <m/>
    <m/>
    <x v="1"/>
    <s v="48440642001003"/>
    <n v="-28.86"/>
    <n v="709"/>
    <n v="1"/>
    <n v="1"/>
  </r>
  <r>
    <m/>
    <m/>
    <x v="1"/>
    <s v="48464378001001"/>
    <n v="-47.25"/>
    <n v="1161"/>
    <n v="1"/>
    <n v="1"/>
  </r>
  <r>
    <m/>
    <m/>
    <x v="1"/>
    <s v="48581489001001"/>
    <n v="-108.99"/>
    <n v="2678"/>
    <n v="1"/>
    <n v="1"/>
  </r>
  <r>
    <m/>
    <m/>
    <x v="1"/>
    <s v="48704876001001"/>
    <n v="-78.430000000000007"/>
    <n v="1927"/>
    <n v="1"/>
    <n v="1"/>
  </r>
  <r>
    <m/>
    <m/>
    <x v="1"/>
    <s v="48751742001006"/>
    <n v="-44.16"/>
    <n v="1085"/>
    <n v="1"/>
    <n v="1"/>
  </r>
  <r>
    <m/>
    <m/>
    <x v="1"/>
    <s v="48753629001003"/>
    <n v="-31.26"/>
    <n v="768"/>
    <n v="1"/>
    <n v="1"/>
  </r>
  <r>
    <m/>
    <m/>
    <x v="1"/>
    <s v="48782921001002"/>
    <n v="-1.87"/>
    <n v="46"/>
    <n v="1"/>
    <n v="1"/>
  </r>
  <r>
    <m/>
    <m/>
    <x v="1"/>
    <s v="48798510001003"/>
    <n v="-94.14"/>
    <n v="2313"/>
    <n v="1"/>
    <n v="1"/>
  </r>
  <r>
    <m/>
    <m/>
    <x v="1"/>
    <s v="48845721001001"/>
    <n v="-60.07"/>
    <n v="1476"/>
    <n v="1"/>
    <n v="1"/>
  </r>
  <r>
    <m/>
    <m/>
    <x v="1"/>
    <s v="48930701001003"/>
    <n v="-74.03"/>
    <n v="1819"/>
    <n v="1"/>
    <n v="1"/>
  </r>
  <r>
    <m/>
    <m/>
    <x v="1"/>
    <s v="48934411003001"/>
    <n v="-14.37"/>
    <n v="353"/>
    <n v="1"/>
    <n v="1"/>
  </r>
  <r>
    <m/>
    <m/>
    <x v="1"/>
    <s v="48972001002006"/>
    <n v="-11.76"/>
    <n v="289"/>
    <n v="1"/>
    <n v="1"/>
  </r>
  <r>
    <m/>
    <m/>
    <x v="1"/>
    <s v="48996360001005"/>
    <n v="-80.3"/>
    <n v="1973"/>
    <n v="1"/>
    <n v="1"/>
  </r>
  <r>
    <m/>
    <m/>
    <x v="1"/>
    <s v="49050157001001"/>
    <n v="-85.59"/>
    <n v="2103"/>
    <n v="1"/>
    <n v="1"/>
  </r>
  <r>
    <m/>
    <m/>
    <x v="1"/>
    <s v="49200673001001"/>
    <n v="-55.72"/>
    <n v="1369"/>
    <n v="1"/>
    <n v="1"/>
  </r>
  <r>
    <m/>
    <m/>
    <x v="1"/>
    <s v="49288458005001"/>
    <n v="-75.05"/>
    <n v="1844"/>
    <n v="1"/>
    <n v="1"/>
  </r>
  <r>
    <m/>
    <m/>
    <x v="1"/>
    <s v="49301351007003"/>
    <n v="-42.08"/>
    <n v="1034"/>
    <n v="1"/>
    <n v="1"/>
  </r>
  <r>
    <m/>
    <m/>
    <x v="1"/>
    <s v="49305498001003"/>
    <n v="-69.959999999999994"/>
    <n v="1719"/>
    <n v="1"/>
    <n v="1"/>
  </r>
  <r>
    <m/>
    <m/>
    <x v="1"/>
    <s v="49325151001002"/>
    <n v="-39.68"/>
    <n v="975"/>
    <n v="1"/>
    <n v="1"/>
  </r>
  <r>
    <m/>
    <m/>
    <x v="1"/>
    <s v="49341111002001"/>
    <n v="-69.39"/>
    <n v="1705"/>
    <n v="1"/>
    <n v="1"/>
  </r>
  <r>
    <m/>
    <m/>
    <x v="1"/>
    <s v="49394025001001"/>
    <n v="-25.72"/>
    <n v="632"/>
    <n v="1"/>
    <n v="1"/>
  </r>
  <r>
    <m/>
    <m/>
    <x v="1"/>
    <s v="49472851001001"/>
    <n v="-51.08"/>
    <n v="1255"/>
    <n v="1"/>
    <n v="1"/>
  </r>
  <r>
    <m/>
    <m/>
    <x v="1"/>
    <s v="49538441006001"/>
    <n v="-132.84"/>
    <n v="3264"/>
    <n v="1"/>
    <n v="1"/>
  </r>
  <r>
    <m/>
    <m/>
    <x v="1"/>
    <s v="49549801001003"/>
    <n v="-87.95"/>
    <n v="2161"/>
    <n v="1"/>
    <n v="1"/>
  </r>
  <r>
    <m/>
    <m/>
    <x v="1"/>
    <s v="49558741001001"/>
    <n v="-23.61"/>
    <n v="580"/>
    <n v="1"/>
    <n v="1"/>
  </r>
  <r>
    <m/>
    <m/>
    <x v="1"/>
    <s v="49568961002001"/>
    <n v="-188.81"/>
    <n v="4639"/>
    <n v="1"/>
    <n v="1"/>
  </r>
  <r>
    <m/>
    <m/>
    <x v="1"/>
    <s v="49574631001007"/>
    <n v="-71.180000000000007"/>
    <n v="1749"/>
    <n v="1"/>
    <n v="1"/>
  </r>
  <r>
    <m/>
    <m/>
    <x v="1"/>
    <s v="49576941007001"/>
    <n v="-29.47"/>
    <n v="724"/>
    <n v="1"/>
    <n v="1"/>
  </r>
  <r>
    <m/>
    <m/>
    <x v="1"/>
    <s v="49581965001001"/>
    <n v="-76.11"/>
    <n v="1870"/>
    <n v="1"/>
    <n v="1"/>
  </r>
  <r>
    <m/>
    <m/>
    <x v="1"/>
    <s v="49590101003001"/>
    <n v="-101.22"/>
    <n v="2487"/>
    <n v="1"/>
    <n v="1"/>
  </r>
  <r>
    <m/>
    <m/>
    <x v="1"/>
    <s v="49602561001001"/>
    <n v="-89.5"/>
    <n v="2199"/>
    <n v="1"/>
    <n v="1"/>
  </r>
  <r>
    <m/>
    <m/>
    <x v="1"/>
    <s v="49616351002001"/>
    <n v="-114.12"/>
    <n v="2804"/>
    <n v="1"/>
    <n v="1"/>
  </r>
  <r>
    <m/>
    <m/>
    <x v="1"/>
    <s v="49632381001008"/>
    <n v="-88.56"/>
    <n v="2176"/>
    <n v="1"/>
    <n v="1"/>
  </r>
  <r>
    <m/>
    <m/>
    <x v="1"/>
    <s v="49656951001001"/>
    <n v="-92.8"/>
    <n v="2280"/>
    <n v="1"/>
    <n v="1"/>
  </r>
  <r>
    <m/>
    <m/>
    <x v="1"/>
    <s v="49686351001004"/>
    <n v="-96.87"/>
    <n v="2380"/>
    <n v="1"/>
    <n v="1"/>
  </r>
  <r>
    <m/>
    <m/>
    <x v="1"/>
    <s v="49705601001006"/>
    <n v="-99.02"/>
    <n v="2433"/>
    <n v="1"/>
    <n v="1"/>
  </r>
  <r>
    <m/>
    <m/>
    <x v="1"/>
    <s v="49731501002003"/>
    <n v="-98.13"/>
    <n v="2411"/>
    <n v="1"/>
    <n v="1"/>
  </r>
  <r>
    <m/>
    <m/>
    <x v="1"/>
    <s v="49735399001001"/>
    <n v="-34.840000000000003"/>
    <n v="856"/>
    <n v="1"/>
    <n v="1"/>
  </r>
  <r>
    <m/>
    <m/>
    <x v="1"/>
    <s v="49767991001002"/>
    <n v="-69.88"/>
    <n v="1717"/>
    <n v="1"/>
    <n v="1"/>
  </r>
  <r>
    <m/>
    <m/>
    <x v="1"/>
    <s v="49827555001001"/>
    <n v="-7.81"/>
    <n v="192"/>
    <n v="1"/>
    <n v="1"/>
  </r>
  <r>
    <m/>
    <m/>
    <x v="1"/>
    <s v="49828031002004"/>
    <n v="-113.68"/>
    <n v="2793"/>
    <n v="1"/>
    <n v="1"/>
  </r>
  <r>
    <m/>
    <m/>
    <x v="1"/>
    <s v="49828871001004"/>
    <n v="-29.91"/>
    <n v="735"/>
    <n v="1"/>
    <n v="1"/>
  </r>
  <r>
    <m/>
    <m/>
    <x v="1"/>
    <s v="49876891004001"/>
    <n v="-73.22"/>
    <n v="1799"/>
    <n v="1"/>
    <n v="1"/>
  </r>
  <r>
    <m/>
    <m/>
    <x v="1"/>
    <s v="49897285001001"/>
    <n v="-60.03"/>
    <n v="1475"/>
    <n v="1"/>
    <n v="1"/>
  </r>
  <r>
    <m/>
    <m/>
    <x v="1"/>
    <s v="49922671001002"/>
    <n v="-133.94"/>
    <n v="3291"/>
    <n v="1"/>
    <n v="1"/>
  </r>
  <r>
    <m/>
    <m/>
    <x v="1"/>
    <s v="49948361001002"/>
    <n v="-80.95"/>
    <n v="1989"/>
    <n v="1"/>
    <n v="1"/>
  </r>
  <r>
    <m/>
    <m/>
    <x v="1"/>
    <s v="49953330001004"/>
    <n v="-35.29"/>
    <n v="867"/>
    <n v="1"/>
    <n v="1"/>
  </r>
  <r>
    <m/>
    <m/>
    <x v="1"/>
    <s v="49959841001001"/>
    <n v="-244.36"/>
    <n v="6004"/>
    <n v="1"/>
    <n v="1"/>
  </r>
  <r>
    <m/>
    <m/>
    <x v="1"/>
    <s v="49996634002003"/>
    <n v="-44.65"/>
    <n v="1097"/>
    <n v="1"/>
    <n v="1"/>
  </r>
  <r>
    <m/>
    <m/>
    <x v="1"/>
    <s v="50012621002003"/>
    <n v="-63.17"/>
    <n v="1552"/>
    <n v="1"/>
    <n v="1"/>
  </r>
  <r>
    <m/>
    <m/>
    <x v="1"/>
    <s v="50027260001005"/>
    <n v="-100.9"/>
    <n v="2479"/>
    <n v="1"/>
    <n v="1"/>
  </r>
  <r>
    <m/>
    <m/>
    <x v="1"/>
    <s v="50047513001001"/>
    <n v="-83.88"/>
    <n v="2061"/>
    <n v="1"/>
    <n v="1"/>
  </r>
  <r>
    <m/>
    <m/>
    <x v="1"/>
    <s v="50062111001001"/>
    <n v="-109.52"/>
    <n v="2691"/>
    <n v="1"/>
    <n v="1"/>
  </r>
  <r>
    <m/>
    <m/>
    <x v="1"/>
    <s v="50146181002001"/>
    <n v="-98.37"/>
    <n v="2417"/>
    <n v="1"/>
    <n v="1"/>
  </r>
  <r>
    <m/>
    <m/>
    <x v="1"/>
    <s v="50175157001006"/>
    <n v="-8.83"/>
    <n v="217"/>
    <n v="1"/>
    <n v="1"/>
  </r>
  <r>
    <m/>
    <m/>
    <x v="1"/>
    <s v="50179851002003"/>
    <n v="-114"/>
    <n v="2801"/>
    <n v="1"/>
    <n v="1"/>
  </r>
  <r>
    <m/>
    <m/>
    <x v="1"/>
    <s v="50191609001002"/>
    <n v="-30.85"/>
    <n v="758"/>
    <n v="1"/>
    <n v="1"/>
  </r>
  <r>
    <m/>
    <m/>
    <x v="1"/>
    <s v="50245081001005"/>
    <n v="-99.72"/>
    <n v="2450"/>
    <n v="1"/>
    <n v="1"/>
  </r>
  <r>
    <m/>
    <m/>
    <x v="1"/>
    <s v="50254821001001"/>
    <n v="-147.37"/>
    <n v="3621"/>
    <n v="1"/>
    <n v="1"/>
  </r>
  <r>
    <m/>
    <m/>
    <x v="1"/>
    <s v="50271551003001"/>
    <n v="-86.53"/>
    <n v="2126"/>
    <n v="1"/>
    <n v="1"/>
  </r>
  <r>
    <m/>
    <m/>
    <x v="1"/>
    <s v="50306876001004"/>
    <n v="-79.37"/>
    <n v="1950"/>
    <n v="1"/>
    <n v="1"/>
  </r>
  <r>
    <m/>
    <m/>
    <x v="1"/>
    <s v="50336736001009"/>
    <n v="-18.27"/>
    <n v="449"/>
    <n v="1"/>
    <n v="1"/>
  </r>
  <r>
    <m/>
    <m/>
    <x v="1"/>
    <s v="50340550001005"/>
    <n v="-47.09"/>
    <n v="1157"/>
    <n v="1"/>
    <n v="1"/>
  </r>
  <r>
    <m/>
    <m/>
    <x v="1"/>
    <s v="50448021003001"/>
    <n v="-111.88"/>
    <n v="2749"/>
    <n v="1"/>
    <n v="1"/>
  </r>
  <r>
    <m/>
    <m/>
    <x v="1"/>
    <s v="50455091002001"/>
    <n v="-72.650000000000006"/>
    <n v="1785"/>
    <n v="1"/>
    <n v="1"/>
  </r>
  <r>
    <m/>
    <m/>
    <x v="1"/>
    <s v="50583810001001"/>
    <n v="-145.94999999999999"/>
    <n v="3586"/>
    <n v="1"/>
    <n v="1"/>
  </r>
  <r>
    <m/>
    <m/>
    <x v="1"/>
    <s v="50584521001002"/>
    <n v="-32.36"/>
    <n v="795"/>
    <n v="1"/>
    <n v="1"/>
  </r>
  <r>
    <m/>
    <m/>
    <x v="1"/>
    <s v="50632541001006"/>
    <n v="-43.51"/>
    <n v="1069"/>
    <n v="1"/>
    <n v="1"/>
  </r>
  <r>
    <m/>
    <m/>
    <x v="1"/>
    <s v="50718011001001"/>
    <n v="-144.53"/>
    <n v="3551"/>
    <n v="1"/>
    <n v="1"/>
  </r>
  <r>
    <m/>
    <m/>
    <x v="1"/>
    <s v="50741531001002"/>
    <n v="-66.260000000000005"/>
    <n v="1628"/>
    <n v="1"/>
    <n v="1"/>
  </r>
  <r>
    <m/>
    <m/>
    <x v="1"/>
    <s v="50742301001008"/>
    <n v="-65.930000000000007"/>
    <n v="1620"/>
    <n v="1"/>
    <n v="1"/>
  </r>
  <r>
    <m/>
    <m/>
    <x v="1"/>
    <s v="50750548001001"/>
    <n v="-70.13"/>
    <n v="1723"/>
    <n v="1"/>
    <n v="1"/>
  </r>
  <r>
    <m/>
    <m/>
    <x v="1"/>
    <s v="50754012001003"/>
    <n v="-25.84"/>
    <n v="635"/>
    <n v="1"/>
    <n v="1"/>
  </r>
  <r>
    <m/>
    <m/>
    <x v="1"/>
    <s v="50756231001002"/>
    <n v="-23.2"/>
    <n v="570"/>
    <n v="1"/>
    <n v="1"/>
  </r>
  <r>
    <m/>
    <m/>
    <x v="1"/>
    <s v="50756301002009"/>
    <n v="-212.05"/>
    <n v="5210"/>
    <n v="1"/>
    <n v="1"/>
  </r>
  <r>
    <m/>
    <m/>
    <x v="1"/>
    <s v="50757351002006"/>
    <n v="-68.17"/>
    <n v="1675"/>
    <n v="1"/>
    <n v="1"/>
  </r>
  <r>
    <m/>
    <m/>
    <x v="1"/>
    <s v="50782131001001"/>
    <n v="-16.16"/>
    <n v="397"/>
    <n v="1"/>
    <n v="1"/>
  </r>
  <r>
    <m/>
    <m/>
    <x v="1"/>
    <s v="50783321001003"/>
    <n v="-92.88"/>
    <n v="2282"/>
    <n v="1"/>
    <n v="1"/>
  </r>
  <r>
    <m/>
    <m/>
    <x v="1"/>
    <s v="50791861001001"/>
    <n v="-90.03"/>
    <n v="2212"/>
    <n v="1"/>
    <n v="1"/>
  </r>
  <r>
    <m/>
    <m/>
    <x v="1"/>
    <s v="50801451001001"/>
    <n v="-61.09"/>
    <n v="1501"/>
    <n v="1"/>
    <n v="1"/>
  </r>
  <r>
    <m/>
    <m/>
    <x v="1"/>
    <s v="50809571001001"/>
    <n v="-73.87"/>
    <n v="1815"/>
    <n v="1"/>
    <n v="1"/>
  </r>
  <r>
    <m/>
    <m/>
    <x v="1"/>
    <s v="50812861001001"/>
    <n v="-7.61"/>
    <n v="187"/>
    <n v="1"/>
    <n v="1"/>
  </r>
  <r>
    <m/>
    <m/>
    <x v="1"/>
    <s v="50813001003001"/>
    <n v="-109.4"/>
    <n v="2688"/>
    <n v="1"/>
    <n v="1"/>
  </r>
  <r>
    <m/>
    <m/>
    <x v="1"/>
    <s v="50823431001001"/>
    <n v="-71.14"/>
    <n v="1748"/>
    <n v="1"/>
    <n v="1"/>
  </r>
  <r>
    <m/>
    <m/>
    <x v="1"/>
    <s v="50825051001003"/>
    <n v="-86.16"/>
    <n v="2117"/>
    <n v="1"/>
    <n v="1"/>
  </r>
  <r>
    <m/>
    <m/>
    <x v="1"/>
    <s v="50830011002001"/>
    <n v="-10.42"/>
    <n v="256"/>
    <n v="1"/>
    <n v="1"/>
  </r>
  <r>
    <m/>
    <m/>
    <x v="1"/>
    <s v="50873620001001"/>
    <n v="-144.85"/>
    <n v="3559"/>
    <n v="1"/>
    <n v="1"/>
  </r>
  <r>
    <m/>
    <m/>
    <x v="1"/>
    <s v="50874321001001"/>
    <n v="-1.67"/>
    <n v="41"/>
    <n v="1"/>
    <n v="1"/>
  </r>
  <r>
    <m/>
    <m/>
    <x v="1"/>
    <s v="50911773001001"/>
    <n v="-3.42"/>
    <n v="84"/>
    <n v="1"/>
    <n v="1"/>
  </r>
  <r>
    <m/>
    <m/>
    <x v="1"/>
    <s v="50913241002001"/>
    <n v="-102.12"/>
    <n v="2509"/>
    <n v="1"/>
    <n v="1"/>
  </r>
  <r>
    <m/>
    <m/>
    <x v="1"/>
    <s v="50987091001012"/>
    <n v="-123.77"/>
    <n v="3041"/>
    <n v="1"/>
    <n v="1"/>
  </r>
  <r>
    <m/>
    <m/>
    <x v="1"/>
    <s v="50997031001001"/>
    <n v="-8.99"/>
    <n v="221"/>
    <n v="1"/>
    <n v="1"/>
  </r>
  <r>
    <m/>
    <m/>
    <x v="1"/>
    <s v="51011101001001"/>
    <n v="-78.959999999999994"/>
    <n v="1940"/>
    <n v="1"/>
    <n v="1"/>
  </r>
  <r>
    <m/>
    <m/>
    <x v="1"/>
    <s v="51014181003001"/>
    <n v="-108.55"/>
    <n v="2667"/>
    <n v="1"/>
    <n v="1"/>
  </r>
  <r>
    <m/>
    <m/>
    <x v="1"/>
    <s v="51014391001002"/>
    <n v="-59.99"/>
    <n v="1474"/>
    <n v="1"/>
    <n v="1"/>
  </r>
  <r>
    <m/>
    <m/>
    <x v="1"/>
    <s v="51021905005001"/>
    <n v="-95.32"/>
    <n v="2342"/>
    <n v="1"/>
    <n v="1"/>
  </r>
  <r>
    <m/>
    <m/>
    <x v="1"/>
    <s v="51027691001003"/>
    <n v="-102.65"/>
    <n v="2522"/>
    <n v="1"/>
    <n v="1"/>
  </r>
  <r>
    <m/>
    <m/>
    <x v="1"/>
    <s v="51040151001001"/>
    <n v="-43.1"/>
    <n v="1059"/>
    <n v="1"/>
    <n v="1"/>
  </r>
  <r>
    <m/>
    <m/>
    <x v="1"/>
    <s v="51046801003005"/>
    <n v="-40.700000000000003"/>
    <n v="1000"/>
    <n v="1"/>
    <n v="1"/>
  </r>
  <r>
    <m/>
    <m/>
    <x v="1"/>
    <s v="51048061001001"/>
    <n v="-6.47"/>
    <n v="159"/>
    <n v="1"/>
    <n v="1"/>
  </r>
  <r>
    <m/>
    <m/>
    <x v="1"/>
    <s v="51048201005001"/>
    <n v="-90.11"/>
    <n v="2214"/>
    <n v="1"/>
    <n v="1"/>
  </r>
  <r>
    <m/>
    <m/>
    <x v="1"/>
    <s v="51051935001001"/>
    <n v="-76.84"/>
    <n v="1888"/>
    <n v="1"/>
    <n v="1"/>
  </r>
  <r>
    <m/>
    <m/>
    <x v="1"/>
    <s v="51053381001002"/>
    <n v="-27.68"/>
    <n v="680"/>
    <n v="2"/>
    <n v="1"/>
  </r>
  <r>
    <m/>
    <m/>
    <x v="1"/>
    <s v="51057441001003"/>
    <n v="-85.47"/>
    <n v="2100"/>
    <n v="1"/>
    <n v="1"/>
  </r>
  <r>
    <m/>
    <m/>
    <x v="1"/>
    <s v="51060871001002"/>
    <n v="-35.57"/>
    <n v="874"/>
    <n v="1"/>
    <n v="1"/>
  </r>
  <r>
    <m/>
    <m/>
    <x v="1"/>
    <s v="51068361001002"/>
    <n v="-54.95"/>
    <n v="1350"/>
    <n v="1"/>
    <n v="1"/>
  </r>
  <r>
    <m/>
    <m/>
    <x v="1"/>
    <s v="51072211003001"/>
    <n v="-162.22999999999999"/>
    <n v="3986"/>
    <n v="1"/>
    <n v="1"/>
  </r>
  <r>
    <m/>
    <m/>
    <x v="1"/>
    <s v="51073821001002"/>
    <n v="-63.53"/>
    <n v="1561"/>
    <n v="1"/>
    <n v="1"/>
  </r>
  <r>
    <m/>
    <m/>
    <x v="1"/>
    <s v="51081101001005"/>
    <n v="-35.82"/>
    <n v="880"/>
    <n v="1"/>
    <n v="1"/>
  </r>
  <r>
    <m/>
    <m/>
    <x v="1"/>
    <s v="51084811002002"/>
    <n v="-99.27"/>
    <n v="2439"/>
    <n v="1"/>
    <n v="1"/>
  </r>
  <r>
    <m/>
    <m/>
    <x v="1"/>
    <s v="51103431001002"/>
    <n v="-60.07"/>
    <n v="1476"/>
    <n v="1"/>
    <n v="1"/>
  </r>
  <r>
    <m/>
    <m/>
    <x v="1"/>
    <s v="51112531001001"/>
    <n v="-11.68"/>
    <n v="287"/>
    <n v="1"/>
    <n v="1"/>
  </r>
  <r>
    <m/>
    <m/>
    <x v="1"/>
    <s v="51114491001004"/>
    <n v="-17.62"/>
    <n v="433"/>
    <n v="1"/>
    <n v="1"/>
  </r>
  <r>
    <m/>
    <m/>
    <x v="1"/>
    <s v="51125341001001"/>
    <n v="-25.19"/>
    <n v="619"/>
    <n v="1"/>
    <n v="1"/>
  </r>
  <r>
    <m/>
    <m/>
    <x v="1"/>
    <s v="51126321002003"/>
    <n v="-15.59"/>
    <n v="383"/>
    <n v="1"/>
    <n v="1"/>
  </r>
  <r>
    <m/>
    <m/>
    <x v="1"/>
    <s v="51126391001001"/>
    <n v="-75.95"/>
    <n v="1866"/>
    <n v="1"/>
    <n v="1"/>
  </r>
  <r>
    <m/>
    <m/>
    <x v="1"/>
    <s v="51130801001001"/>
    <n v="-107.49"/>
    <n v="2641"/>
    <n v="1"/>
    <n v="1"/>
  </r>
  <r>
    <m/>
    <m/>
    <x v="1"/>
    <s v="51133531001002"/>
    <n v="-55.64"/>
    <n v="1367"/>
    <n v="1"/>
    <n v="1"/>
  </r>
  <r>
    <m/>
    <m/>
    <x v="1"/>
    <s v="51139481001001"/>
    <n v="-105.49"/>
    <n v="2592"/>
    <n v="1"/>
    <n v="1"/>
  </r>
  <r>
    <m/>
    <m/>
    <x v="1"/>
    <s v="51140951005005"/>
    <n v="-97.23"/>
    <n v="2389"/>
    <n v="1"/>
    <n v="1"/>
  </r>
  <r>
    <m/>
    <m/>
    <x v="1"/>
    <s v="51163211002005"/>
    <n v="-124.58"/>
    <n v="3061"/>
    <n v="1"/>
    <n v="1"/>
  </r>
  <r>
    <m/>
    <m/>
    <x v="1"/>
    <s v="51163561001003"/>
    <n v="-72.08"/>
    <n v="1771"/>
    <n v="1"/>
    <n v="1"/>
  </r>
  <r>
    <m/>
    <m/>
    <x v="1"/>
    <s v="51164261005001"/>
    <n v="-99.27"/>
    <n v="2439"/>
    <n v="1"/>
    <n v="1"/>
  </r>
  <r>
    <m/>
    <m/>
    <x v="1"/>
    <s v="51165241001003"/>
    <n v="-21.77"/>
    <n v="535"/>
    <n v="1"/>
    <n v="1"/>
  </r>
  <r>
    <m/>
    <m/>
    <x v="1"/>
    <s v="51165871003001"/>
    <n v="-83.6"/>
    <n v="2054"/>
    <n v="1"/>
    <n v="1"/>
  </r>
  <r>
    <m/>
    <m/>
    <x v="1"/>
    <s v="51165941001001"/>
    <n v="-70.61"/>
    <n v="1735"/>
    <n v="1"/>
    <n v="1"/>
  </r>
  <r>
    <m/>
    <m/>
    <x v="1"/>
    <s v="51172913001002"/>
    <n v="-130.24"/>
    <n v="3200"/>
    <n v="1"/>
    <n v="1"/>
  </r>
  <r>
    <m/>
    <m/>
    <x v="1"/>
    <s v="51174276001001"/>
    <n v="-58.04"/>
    <n v="1426"/>
    <n v="1"/>
    <n v="1"/>
  </r>
  <r>
    <m/>
    <m/>
    <x v="1"/>
    <s v="51175041001001"/>
    <n v="-16.440000000000001"/>
    <n v="404"/>
    <n v="1"/>
    <n v="1"/>
  </r>
  <r>
    <m/>
    <m/>
    <x v="1"/>
    <s v="51180361001001"/>
    <n v="-3.62"/>
    <n v="89"/>
    <n v="1"/>
    <n v="1"/>
  </r>
  <r>
    <m/>
    <m/>
    <x v="1"/>
    <s v="51185891001001"/>
    <n v="-5.78"/>
    <n v="142"/>
    <n v="2"/>
    <n v="1"/>
  </r>
  <r>
    <m/>
    <m/>
    <x v="1"/>
    <s v="51187711001001"/>
    <n v="-57.47"/>
    <n v="1412"/>
    <n v="1"/>
    <n v="1"/>
  </r>
  <r>
    <m/>
    <m/>
    <x v="1"/>
    <s v="51194991001002"/>
    <n v="-108.34"/>
    <n v="2662"/>
    <n v="1"/>
    <n v="1"/>
  </r>
  <r>
    <m/>
    <m/>
    <x v="1"/>
    <s v="51201221014001"/>
    <n v="-103.17"/>
    <n v="2535"/>
    <n v="1"/>
    <n v="1"/>
  </r>
  <r>
    <m/>
    <m/>
    <x v="1"/>
    <s v="51206821003009"/>
    <n v="-110.38"/>
    <n v="2712"/>
    <n v="1"/>
    <n v="1"/>
  </r>
  <r>
    <m/>
    <m/>
    <x v="1"/>
    <s v="51208991001001"/>
    <n v="-44.81"/>
    <n v="1101"/>
    <n v="1"/>
    <n v="1"/>
  </r>
  <r>
    <m/>
    <m/>
    <x v="1"/>
    <s v="51221801001005"/>
    <n v="-55.8"/>
    <n v="1371"/>
    <n v="1"/>
    <n v="1"/>
  </r>
  <r>
    <m/>
    <m/>
    <x v="1"/>
    <s v="51225161002001"/>
    <n v="-83.27"/>
    <n v="2046"/>
    <n v="1"/>
    <n v="1"/>
  </r>
  <r>
    <m/>
    <m/>
    <x v="1"/>
    <s v="51237341002006"/>
    <n v="-91.05"/>
    <n v="2237"/>
    <n v="1"/>
    <n v="1"/>
  </r>
  <r>
    <m/>
    <m/>
    <x v="1"/>
    <s v="51309651001001"/>
    <n v="-93.2"/>
    <n v="2290"/>
    <n v="1"/>
    <n v="1"/>
  </r>
  <r>
    <m/>
    <m/>
    <x v="1"/>
    <s v="51309721001001"/>
    <n v="-196.42"/>
    <n v="4826"/>
    <n v="1"/>
    <n v="1"/>
  </r>
  <r>
    <m/>
    <m/>
    <x v="1"/>
    <s v="51318751001001"/>
    <n v="-76.31"/>
    <n v="1875"/>
    <n v="1"/>
    <n v="1"/>
  </r>
  <r>
    <m/>
    <m/>
    <x v="1"/>
    <s v="51320291002006"/>
    <n v="-38.75"/>
    <n v="952"/>
    <n v="1"/>
    <n v="1"/>
  </r>
  <r>
    <m/>
    <m/>
    <x v="1"/>
    <s v="51323511001002"/>
    <n v="-62.11"/>
    <n v="1526"/>
    <n v="1"/>
    <n v="1"/>
  </r>
  <r>
    <m/>
    <m/>
    <x v="1"/>
    <s v="51333166001001"/>
    <n v="-67.44"/>
    <n v="1657"/>
    <n v="1"/>
    <n v="1"/>
  </r>
  <r>
    <m/>
    <m/>
    <x v="1"/>
    <s v="51333941006001"/>
    <n v="-107.9"/>
    <n v="2651"/>
    <n v="1"/>
    <n v="1"/>
  </r>
  <r>
    <m/>
    <m/>
    <x v="1"/>
    <s v="51344861001001"/>
    <n v="-89.26"/>
    <n v="2193"/>
    <n v="1"/>
    <n v="1"/>
  </r>
  <r>
    <m/>
    <m/>
    <x v="1"/>
    <s v="51370481001001"/>
    <n v="-30.97"/>
    <n v="761"/>
    <n v="1"/>
    <n v="1"/>
  </r>
  <r>
    <m/>
    <m/>
    <x v="1"/>
    <s v="51370831001001"/>
    <n v="-186"/>
    <n v="4570"/>
    <n v="1"/>
    <n v="1"/>
  </r>
  <r>
    <m/>
    <m/>
    <x v="1"/>
    <s v="51377691005001"/>
    <n v="-38.67"/>
    <n v="950"/>
    <n v="1"/>
    <n v="1"/>
  </r>
  <r>
    <m/>
    <m/>
    <x v="1"/>
    <s v="51401561004001"/>
    <n v="-160.15"/>
    <n v="3935"/>
    <n v="1"/>
    <n v="1"/>
  </r>
  <r>
    <m/>
    <m/>
    <x v="1"/>
    <s v="51439011010001"/>
    <n v="-142.33000000000001"/>
    <n v="3497"/>
    <n v="1"/>
    <n v="1"/>
  </r>
  <r>
    <m/>
    <m/>
    <x v="1"/>
    <s v="51443606001006"/>
    <n v="-39.799999999999997"/>
    <n v="978"/>
    <n v="1"/>
    <n v="1"/>
  </r>
  <r>
    <m/>
    <m/>
    <x v="1"/>
    <s v="51450421001005"/>
    <n v="-132.44"/>
    <n v="3254"/>
    <n v="1"/>
    <n v="1"/>
  </r>
  <r>
    <m/>
    <m/>
    <x v="1"/>
    <s v="51453851003001"/>
    <n v="-92.76"/>
    <n v="2279"/>
    <n v="1"/>
    <n v="1"/>
  </r>
  <r>
    <m/>
    <m/>
    <x v="1"/>
    <s v="51461761001001"/>
    <n v="-52.67"/>
    <n v="1294"/>
    <n v="1"/>
    <n v="1"/>
  </r>
  <r>
    <m/>
    <m/>
    <x v="1"/>
    <s v="51509851002004"/>
    <n v="-74.599999999999994"/>
    <n v="1833"/>
    <n v="1"/>
    <n v="1"/>
  </r>
  <r>
    <m/>
    <m/>
    <x v="1"/>
    <s v="51516081001002"/>
    <n v="-22.34"/>
    <n v="549"/>
    <n v="1"/>
    <n v="1"/>
  </r>
  <r>
    <m/>
    <m/>
    <x v="1"/>
    <s v="51519091001003"/>
    <n v="-12.66"/>
    <n v="311"/>
    <n v="1"/>
    <n v="1"/>
  </r>
  <r>
    <m/>
    <m/>
    <x v="1"/>
    <s v="51521791001001"/>
    <n v="-61.46"/>
    <n v="1510"/>
    <n v="1"/>
    <n v="1"/>
  </r>
  <r>
    <m/>
    <m/>
    <x v="1"/>
    <s v="51528681001002"/>
    <n v="-22.55"/>
    <n v="554"/>
    <n v="1"/>
    <n v="1"/>
  </r>
  <r>
    <m/>
    <m/>
    <x v="1"/>
    <s v="51542891001003"/>
    <n v="-60.85"/>
    <n v="1495"/>
    <n v="1"/>
    <n v="1"/>
  </r>
  <r>
    <m/>
    <m/>
    <x v="1"/>
    <s v="51549471001001"/>
    <n v="-13.43"/>
    <n v="330"/>
    <n v="1"/>
    <n v="1"/>
  </r>
  <r>
    <m/>
    <m/>
    <x v="1"/>
    <s v="51554091001001"/>
    <n v="-102.2"/>
    <n v="2511"/>
    <n v="1"/>
    <n v="1"/>
  </r>
  <r>
    <m/>
    <m/>
    <x v="1"/>
    <s v="51575021002004"/>
    <n v="-38.58"/>
    <n v="948"/>
    <n v="1"/>
    <n v="1"/>
  </r>
  <r>
    <m/>
    <m/>
    <x v="1"/>
    <s v="51584751002008"/>
    <n v="-79.41"/>
    <n v="1951"/>
    <n v="1"/>
    <n v="1"/>
  </r>
  <r>
    <m/>
    <m/>
    <x v="1"/>
    <s v="51585171003003"/>
    <n v="-105.21"/>
    <n v="2585"/>
    <n v="1"/>
    <n v="1"/>
  </r>
  <r>
    <m/>
    <m/>
    <x v="1"/>
    <s v="51590001001003"/>
    <n v="-82.13"/>
    <n v="2018"/>
    <n v="1"/>
    <n v="1"/>
  </r>
  <r>
    <m/>
    <m/>
    <x v="1"/>
    <s v="51593221002002"/>
    <n v="-134.38999999999999"/>
    <n v="3302"/>
    <n v="1"/>
    <n v="1"/>
  </r>
  <r>
    <m/>
    <m/>
    <x v="1"/>
    <s v="51595741001001"/>
    <n v="-7.37"/>
    <n v="181"/>
    <n v="1"/>
    <n v="1"/>
  </r>
  <r>
    <m/>
    <m/>
    <x v="1"/>
    <s v="51597141001007"/>
    <n v="-46.93"/>
    <n v="1153"/>
    <n v="1"/>
    <n v="1"/>
  </r>
  <r>
    <m/>
    <m/>
    <x v="1"/>
    <s v="51603861001001"/>
    <n v="-62.88"/>
    <n v="1545"/>
    <n v="1"/>
    <n v="1"/>
  </r>
  <r>
    <m/>
    <m/>
    <x v="1"/>
    <s v="51613101001001"/>
    <n v="-137.44"/>
    <n v="3377"/>
    <n v="1"/>
    <n v="1"/>
  </r>
  <r>
    <m/>
    <m/>
    <x v="1"/>
    <s v="51614151001002"/>
    <n v="-88.03"/>
    <n v="2163"/>
    <n v="1"/>
    <n v="1"/>
  </r>
  <r>
    <m/>
    <m/>
    <x v="1"/>
    <s v="51614291001001"/>
    <n v="-40.130000000000003"/>
    <n v="986"/>
    <n v="1"/>
    <n v="1"/>
  </r>
  <r>
    <m/>
    <m/>
    <x v="1"/>
    <s v="51615411001001"/>
    <n v="-88.2"/>
    <n v="2167"/>
    <n v="1"/>
    <n v="1"/>
  </r>
  <r>
    <m/>
    <m/>
    <x v="1"/>
    <s v="51615551001001"/>
    <n v="-114.33"/>
    <n v="2809"/>
    <n v="1"/>
    <n v="1"/>
  </r>
  <r>
    <m/>
    <m/>
    <x v="1"/>
    <s v="51634941001001"/>
    <n v="-159.79"/>
    <n v="3926"/>
    <n v="1"/>
    <n v="1"/>
  </r>
  <r>
    <m/>
    <m/>
    <x v="1"/>
    <s v="51697745002001"/>
    <n v="-131.75"/>
    <n v="3237"/>
    <n v="1"/>
    <n v="1"/>
  </r>
  <r>
    <m/>
    <m/>
    <x v="1"/>
    <s v="51808006003005"/>
    <n v="-78.59"/>
    <n v="1931"/>
    <n v="1"/>
    <n v="1"/>
  </r>
  <r>
    <m/>
    <m/>
    <x v="1"/>
    <s v="51860054001002"/>
    <n v="-38.869999999999997"/>
    <n v="955"/>
    <n v="1"/>
    <n v="1"/>
  </r>
  <r>
    <m/>
    <m/>
    <x v="1"/>
    <s v="51910701001008"/>
    <n v="-49.08"/>
    <n v="1206"/>
    <n v="1"/>
    <n v="1"/>
  </r>
  <r>
    <m/>
    <m/>
    <x v="1"/>
    <s v="51973472002001"/>
    <n v="-78.31"/>
    <n v="1924"/>
    <n v="1"/>
    <n v="1"/>
  </r>
  <r>
    <m/>
    <m/>
    <x v="1"/>
    <s v="52028581001001"/>
    <n v="-78.099999999999994"/>
    <n v="1919"/>
    <n v="1"/>
    <n v="1"/>
  </r>
  <r>
    <m/>
    <m/>
    <x v="1"/>
    <s v="52042325001001"/>
    <n v="-153.44"/>
    <n v="3770"/>
    <n v="1"/>
    <n v="1"/>
  </r>
  <r>
    <m/>
    <m/>
    <x v="1"/>
    <s v="52046011003003"/>
    <n v="-34.72"/>
    <n v="853"/>
    <n v="1"/>
    <n v="1"/>
  </r>
  <r>
    <m/>
    <m/>
    <x v="1"/>
    <s v="52117368001007"/>
    <n v="-207.81"/>
    <n v="5106"/>
    <n v="1"/>
    <n v="1"/>
  </r>
  <r>
    <m/>
    <m/>
    <x v="1"/>
    <s v="52165482001003"/>
    <n v="-96.99"/>
    <n v="2383"/>
    <n v="1"/>
    <n v="1"/>
  </r>
  <r>
    <m/>
    <m/>
    <x v="1"/>
    <s v="52185239001001"/>
    <n v="-133.69999999999999"/>
    <n v="3285"/>
    <n v="1"/>
    <n v="1"/>
  </r>
  <r>
    <m/>
    <m/>
    <x v="1"/>
    <s v="52219112001001"/>
    <n v="-37.04"/>
    <n v="910"/>
    <n v="1"/>
    <n v="1"/>
  </r>
  <r>
    <m/>
    <m/>
    <x v="1"/>
    <s v="52226629002001"/>
    <n v="-61.13"/>
    <n v="1502"/>
    <n v="1"/>
    <n v="1"/>
  </r>
  <r>
    <m/>
    <m/>
    <x v="1"/>
    <s v="52259109001002"/>
    <n v="-74.73"/>
    <n v="1836"/>
    <n v="1"/>
    <n v="1"/>
  </r>
  <r>
    <m/>
    <m/>
    <x v="1"/>
    <s v="52295167001001"/>
    <n v="-122.59"/>
    <n v="3012"/>
    <n v="1"/>
    <n v="1"/>
  </r>
  <r>
    <m/>
    <m/>
    <x v="1"/>
    <s v="52399384002001"/>
    <n v="-42.65"/>
    <n v="1048"/>
    <n v="1"/>
    <n v="1"/>
  </r>
  <r>
    <m/>
    <m/>
    <x v="1"/>
    <s v="52507041001001"/>
    <n v="-35.53"/>
    <n v="873"/>
    <n v="1"/>
    <n v="1"/>
  </r>
  <r>
    <m/>
    <m/>
    <x v="1"/>
    <s v="52533908001001"/>
    <n v="-128.86000000000001"/>
    <n v="3166"/>
    <n v="1"/>
    <n v="1"/>
  </r>
  <r>
    <m/>
    <m/>
    <x v="1"/>
    <s v="52553675001009"/>
    <n v="-32.56"/>
    <n v="800"/>
    <n v="1"/>
    <n v="1"/>
  </r>
  <r>
    <m/>
    <m/>
    <x v="1"/>
    <s v="52659071001002"/>
    <n v="-117.46"/>
    <n v="2886"/>
    <n v="1"/>
    <n v="1"/>
  </r>
  <r>
    <m/>
    <m/>
    <x v="1"/>
    <s v="52682385001007"/>
    <n v="-66.91"/>
    <n v="1644"/>
    <n v="1"/>
    <n v="1"/>
  </r>
  <r>
    <m/>
    <m/>
    <x v="1"/>
    <s v="52778254001001"/>
    <n v="-76.88"/>
    <n v="1889"/>
    <n v="1"/>
    <n v="1"/>
  </r>
  <r>
    <m/>
    <m/>
    <x v="1"/>
    <s v="52822965001001"/>
    <n v="-5.33"/>
    <n v="131"/>
    <n v="1"/>
    <n v="1"/>
  </r>
  <r>
    <m/>
    <m/>
    <x v="1"/>
    <s v="52940538002001"/>
    <n v="-10.74"/>
    <n v="264"/>
    <n v="1"/>
    <n v="1"/>
  </r>
  <r>
    <m/>
    <m/>
    <x v="1"/>
    <s v="53124174001007"/>
    <n v="-120.11"/>
    <n v="2951"/>
    <n v="1"/>
    <n v="1"/>
  </r>
  <r>
    <m/>
    <m/>
    <x v="1"/>
    <s v="53320365001001"/>
    <n v="-26.66"/>
    <n v="655"/>
    <n v="1"/>
    <n v="1"/>
  </r>
  <r>
    <m/>
    <m/>
    <x v="1"/>
    <s v="53350345002005"/>
    <n v="-42.25"/>
    <n v="1038"/>
    <n v="1"/>
    <n v="1"/>
  </r>
  <r>
    <m/>
    <m/>
    <x v="1"/>
    <s v="53356156002001"/>
    <n v="-78.02"/>
    <n v="1917"/>
    <n v="1"/>
    <n v="1"/>
  </r>
  <r>
    <m/>
    <m/>
    <x v="1"/>
    <s v="53369288001006"/>
    <n v="-24.46"/>
    <n v="601"/>
    <n v="1"/>
    <n v="1"/>
  </r>
  <r>
    <m/>
    <m/>
    <x v="1"/>
    <s v="53410550003001"/>
    <n v="-21.25"/>
    <n v="522"/>
    <n v="1"/>
    <n v="1"/>
  </r>
  <r>
    <m/>
    <m/>
    <x v="1"/>
    <s v="53488010001002"/>
    <n v="-52.42"/>
    <n v="1288"/>
    <n v="1"/>
    <n v="1"/>
  </r>
  <r>
    <m/>
    <m/>
    <x v="1"/>
    <s v="53629812002001"/>
    <n v="-3.91"/>
    <n v="96"/>
    <n v="1"/>
    <n v="1"/>
  </r>
  <r>
    <m/>
    <m/>
    <x v="1"/>
    <s v="53713362001001"/>
    <n v="-41.07"/>
    <n v="1009"/>
    <n v="1"/>
    <n v="1"/>
  </r>
  <r>
    <m/>
    <m/>
    <x v="1"/>
    <s v="53808670001004"/>
    <n v="-32.64"/>
    <n v="802"/>
    <n v="1"/>
    <n v="1"/>
  </r>
  <r>
    <m/>
    <m/>
    <x v="1"/>
    <s v="53812406001002"/>
    <n v="-65.45"/>
    <n v="1608"/>
    <n v="1"/>
    <n v="1"/>
  </r>
  <r>
    <m/>
    <m/>
    <x v="1"/>
    <s v="53848555001002"/>
    <n v="-78.67"/>
    <n v="1933"/>
    <n v="1"/>
    <n v="1"/>
  </r>
  <r>
    <m/>
    <m/>
    <x v="1"/>
    <s v="53914791002001"/>
    <n v="-52.79"/>
    <n v="1297"/>
    <n v="1"/>
    <n v="1"/>
  </r>
  <r>
    <m/>
    <m/>
    <x v="1"/>
    <s v="53919729001001"/>
    <n v="-7.77"/>
    <n v="191"/>
    <n v="1"/>
    <n v="1"/>
  </r>
  <r>
    <m/>
    <m/>
    <x v="1"/>
    <s v="53953758001001"/>
    <n v="-80.42"/>
    <n v="1976"/>
    <n v="1"/>
    <n v="1"/>
  </r>
  <r>
    <m/>
    <m/>
    <x v="1"/>
    <s v="53970846001001"/>
    <n v="-61.7"/>
    <n v="1516"/>
    <n v="1"/>
    <n v="1"/>
  </r>
  <r>
    <m/>
    <m/>
    <x v="1"/>
    <s v="54011290001001"/>
    <n v="-81.81"/>
    <n v="2010"/>
    <n v="1"/>
    <n v="1"/>
  </r>
  <r>
    <m/>
    <m/>
    <x v="1"/>
    <s v="54086288002003"/>
    <n v="-22.39"/>
    <n v="550"/>
    <n v="1"/>
    <n v="1"/>
  </r>
  <r>
    <m/>
    <m/>
    <x v="1"/>
    <s v="54099172001001"/>
    <n v="-30.73"/>
    <n v="755"/>
    <n v="1"/>
    <n v="1"/>
  </r>
  <r>
    <m/>
    <m/>
    <x v="1"/>
    <s v="54146036001001"/>
    <n v="-76.23"/>
    <n v="1873"/>
    <n v="1"/>
    <n v="1"/>
  </r>
  <r>
    <m/>
    <m/>
    <x v="1"/>
    <s v="54179632002003"/>
    <n v="-17.829999999999998"/>
    <n v="438"/>
    <n v="1"/>
    <n v="1"/>
  </r>
  <r>
    <m/>
    <m/>
    <x v="1"/>
    <s v="54329736005001"/>
    <n v="-31.91"/>
    <n v="784"/>
    <n v="1"/>
    <n v="1"/>
  </r>
  <r>
    <m/>
    <m/>
    <x v="1"/>
    <s v="54399460003005"/>
    <n v="-67.48"/>
    <n v="1658"/>
    <n v="1"/>
    <n v="1"/>
  </r>
  <r>
    <m/>
    <m/>
    <x v="1"/>
    <s v="54477932001003"/>
    <n v="-74.239999999999995"/>
    <n v="1824"/>
    <n v="1"/>
    <n v="1"/>
  </r>
  <r>
    <m/>
    <m/>
    <x v="1"/>
    <s v="54514113001001"/>
    <n v="-6.27"/>
    <n v="154"/>
    <n v="1"/>
    <n v="1"/>
  </r>
  <r>
    <m/>
    <m/>
    <x v="1"/>
    <s v="54523601001001"/>
    <n v="-159.1"/>
    <n v="3909"/>
    <n v="1"/>
    <n v="1"/>
  </r>
  <r>
    <m/>
    <m/>
    <x v="1"/>
    <s v="54582419004001"/>
    <n v="-28.65"/>
    <n v="704"/>
    <n v="1"/>
    <n v="1"/>
  </r>
  <r>
    <m/>
    <m/>
    <x v="1"/>
    <s v="54677837001001"/>
    <n v="-54.09"/>
    <n v="1329"/>
    <n v="1"/>
    <n v="1"/>
  </r>
  <r>
    <m/>
    <m/>
    <x v="1"/>
    <s v="54740330002001"/>
    <n v="-70.819999999999993"/>
    <n v="1740"/>
    <n v="1"/>
    <n v="1"/>
  </r>
  <r>
    <m/>
    <m/>
    <x v="1"/>
    <s v="54844815001003"/>
    <n v="-33.21"/>
    <n v="816"/>
    <n v="1"/>
    <n v="1"/>
  </r>
  <r>
    <m/>
    <m/>
    <x v="1"/>
    <s v="54884722001003"/>
    <n v="-11.4"/>
    <n v="280"/>
    <n v="1"/>
    <n v="1"/>
  </r>
  <r>
    <m/>
    <m/>
    <x v="1"/>
    <s v="54897257001001"/>
    <n v="-65.28"/>
    <n v="1604"/>
    <n v="1"/>
    <n v="1"/>
  </r>
  <r>
    <m/>
    <m/>
    <x v="1"/>
    <s v="54978920001003"/>
    <n v="-58.73"/>
    <n v="1443"/>
    <n v="1"/>
    <n v="1"/>
  </r>
  <r>
    <m/>
    <m/>
    <x v="1"/>
    <s v="55036747001002"/>
    <n v="-88.48"/>
    <n v="2174"/>
    <n v="1"/>
    <n v="1"/>
  </r>
  <r>
    <m/>
    <m/>
    <x v="1"/>
    <s v="55121276001005"/>
    <n v="-46.07"/>
    <n v="1132"/>
    <n v="1"/>
    <n v="1"/>
  </r>
  <r>
    <m/>
    <m/>
    <x v="1"/>
    <s v="55389283006001"/>
    <n v="-74.28"/>
    <n v="1825"/>
    <n v="1"/>
    <n v="1"/>
  </r>
  <r>
    <m/>
    <m/>
    <x v="1"/>
    <s v="55476730001005"/>
    <n v="-135.94"/>
    <n v="3340"/>
    <n v="1"/>
    <n v="1"/>
  </r>
  <r>
    <m/>
    <m/>
    <x v="1"/>
    <s v="55524078001001"/>
    <n v="-64.84"/>
    <n v="1593"/>
    <n v="1"/>
    <n v="1"/>
  </r>
  <r>
    <m/>
    <m/>
    <x v="1"/>
    <s v="55536729004001"/>
    <n v="-59.34"/>
    <n v="1458"/>
    <n v="1"/>
    <n v="1"/>
  </r>
  <r>
    <m/>
    <m/>
    <x v="1"/>
    <s v="55644406001001"/>
    <n v="-17.18"/>
    <n v="422"/>
    <n v="1"/>
    <n v="1"/>
  </r>
  <r>
    <m/>
    <m/>
    <x v="1"/>
    <s v="55698018001001"/>
    <n v="-4.6399999999999997"/>
    <n v="114"/>
    <n v="1"/>
    <n v="1"/>
  </r>
  <r>
    <m/>
    <m/>
    <x v="1"/>
    <s v="55743493002001"/>
    <n v="-87.79"/>
    <n v="2157"/>
    <n v="1"/>
    <n v="1"/>
  </r>
  <r>
    <m/>
    <m/>
    <x v="1"/>
    <s v="55776761001011"/>
    <n v="-136.96"/>
    <n v="3365"/>
    <n v="1"/>
    <n v="1"/>
  </r>
  <r>
    <m/>
    <m/>
    <x v="1"/>
    <s v="55781832001008"/>
    <n v="-80.67"/>
    <n v="1982"/>
    <n v="1"/>
    <n v="1"/>
  </r>
  <r>
    <m/>
    <m/>
    <x v="1"/>
    <s v="55852549001004"/>
    <n v="-41.72"/>
    <n v="1025"/>
    <n v="1"/>
    <n v="1"/>
  </r>
  <r>
    <m/>
    <m/>
    <x v="1"/>
    <s v="55894222001001"/>
    <n v="-52.91"/>
    <n v="1300"/>
    <n v="1"/>
    <n v="1"/>
  </r>
  <r>
    <m/>
    <m/>
    <x v="1"/>
    <s v="56063826001003"/>
    <n v="-94.83"/>
    <n v="2330"/>
    <n v="1"/>
    <n v="1"/>
  </r>
  <r>
    <m/>
    <m/>
    <x v="1"/>
    <s v="56072830001004"/>
    <n v="-84.82"/>
    <n v="2084"/>
    <n v="1"/>
    <n v="1"/>
  </r>
  <r>
    <m/>
    <m/>
    <x v="1"/>
    <s v="56079112001004"/>
    <n v="-51.2"/>
    <n v="1258"/>
    <n v="1"/>
    <n v="1"/>
  </r>
  <r>
    <m/>
    <m/>
    <x v="1"/>
    <s v="56158181001001"/>
    <n v="-38.01"/>
    <n v="934"/>
    <n v="1"/>
    <n v="1"/>
  </r>
  <r>
    <m/>
    <m/>
    <x v="1"/>
    <s v="56180731001001"/>
    <n v="-15.43"/>
    <n v="379"/>
    <n v="1"/>
    <n v="1"/>
  </r>
  <r>
    <m/>
    <m/>
    <x v="1"/>
    <s v="56272890001001"/>
    <n v="-40.78"/>
    <n v="1002"/>
    <n v="1"/>
    <n v="1"/>
  </r>
  <r>
    <m/>
    <m/>
    <x v="1"/>
    <s v="56277887001003"/>
    <n v="-34.92"/>
    <n v="858"/>
    <n v="1"/>
    <n v="1"/>
  </r>
  <r>
    <m/>
    <m/>
    <x v="1"/>
    <s v="56294504001001"/>
    <n v="-66.3"/>
    <n v="1629"/>
    <n v="1"/>
    <n v="1"/>
  </r>
  <r>
    <m/>
    <m/>
    <x v="1"/>
    <s v="56326619001001"/>
    <n v="-46.56"/>
    <n v="1144"/>
    <n v="1"/>
    <n v="1"/>
  </r>
  <r>
    <m/>
    <m/>
    <x v="1"/>
    <s v="56533159001001"/>
    <n v="-74.069999999999993"/>
    <n v="1820"/>
    <n v="1"/>
    <n v="1"/>
  </r>
  <r>
    <m/>
    <m/>
    <x v="1"/>
    <s v="56545421001001"/>
    <n v="-46.32"/>
    <n v="1138"/>
    <n v="1"/>
    <n v="1"/>
  </r>
  <r>
    <m/>
    <m/>
    <x v="1"/>
    <s v="56925069001001"/>
    <n v="-5.25"/>
    <n v="129"/>
    <n v="1"/>
    <n v="1"/>
  </r>
  <r>
    <m/>
    <m/>
    <x v="1"/>
    <s v="56940246001005"/>
    <n v="-72.61"/>
    <n v="1784"/>
    <n v="1"/>
    <n v="1"/>
  </r>
  <r>
    <m/>
    <m/>
    <x v="1"/>
    <s v="56947002001001"/>
    <n v="-60.81"/>
    <n v="1494"/>
    <n v="1"/>
    <n v="1"/>
  </r>
  <r>
    <m/>
    <m/>
    <x v="1"/>
    <s v="56979825001002"/>
    <n v="-34.229999999999997"/>
    <n v="841"/>
    <n v="1"/>
    <n v="1"/>
  </r>
  <r>
    <m/>
    <m/>
    <x v="1"/>
    <s v="57000650001002"/>
    <n v="-61.7"/>
    <n v="1516"/>
    <n v="1"/>
    <n v="1"/>
  </r>
  <r>
    <m/>
    <m/>
    <x v="1"/>
    <s v="57049582001005"/>
    <n v="-69.56"/>
    <n v="1709"/>
    <n v="1"/>
    <n v="1"/>
  </r>
  <r>
    <m/>
    <m/>
    <x v="1"/>
    <s v="57084229003003"/>
    <n v="-26.9"/>
    <n v="661"/>
    <n v="1"/>
    <n v="1"/>
  </r>
  <r>
    <m/>
    <m/>
    <x v="1"/>
    <s v="57097404001004"/>
    <n v="-76.31"/>
    <n v="1875"/>
    <n v="1"/>
    <n v="1"/>
  </r>
  <r>
    <m/>
    <m/>
    <x v="1"/>
    <s v="57110729007001"/>
    <n v="-9.61"/>
    <n v="236"/>
    <n v="1"/>
    <n v="1"/>
  </r>
  <r>
    <m/>
    <m/>
    <x v="1"/>
    <s v="57270675001001"/>
    <n v="-12.66"/>
    <n v="311"/>
    <n v="1"/>
    <n v="1"/>
  </r>
  <r>
    <m/>
    <m/>
    <x v="1"/>
    <s v="57455935001001"/>
    <n v="-118.48"/>
    <n v="2911"/>
    <n v="1"/>
    <n v="1"/>
  </r>
  <r>
    <m/>
    <m/>
    <x v="1"/>
    <s v="57634785001001"/>
    <n v="-85.31"/>
    <n v="2096"/>
    <n v="1"/>
    <n v="1"/>
  </r>
  <r>
    <m/>
    <m/>
    <x v="1"/>
    <s v="57760862001001"/>
    <n v="-23.48"/>
    <n v="577"/>
    <n v="1"/>
    <n v="1"/>
  </r>
  <r>
    <m/>
    <m/>
    <x v="1"/>
    <s v="57832229001001"/>
    <n v="-31.99"/>
    <n v="786"/>
    <n v="1"/>
    <n v="1"/>
  </r>
  <r>
    <m/>
    <m/>
    <x v="1"/>
    <s v="58009799001001"/>
    <n v="-12.82"/>
    <n v="315"/>
    <n v="1"/>
    <n v="1"/>
  </r>
  <r>
    <m/>
    <m/>
    <x v="1"/>
    <s v="58144822001002"/>
    <n v="-76.39"/>
    <n v="1877"/>
    <n v="1"/>
    <n v="1"/>
  </r>
  <r>
    <m/>
    <m/>
    <x v="1"/>
    <s v="58167581001001"/>
    <n v="-76.430000000000007"/>
    <n v="1878"/>
    <n v="1"/>
    <n v="1"/>
  </r>
  <r>
    <m/>
    <m/>
    <x v="1"/>
    <s v="58199492001003"/>
    <n v="-81.44"/>
    <n v="2001"/>
    <n v="1"/>
    <n v="1"/>
  </r>
  <r>
    <m/>
    <m/>
    <x v="1"/>
    <s v="58254409001002"/>
    <n v="-44.12"/>
    <n v="1084"/>
    <n v="1"/>
    <n v="1"/>
  </r>
  <r>
    <m/>
    <m/>
    <x v="1"/>
    <s v="58363535001001"/>
    <n v="-11.48"/>
    <n v="282"/>
    <n v="1"/>
    <n v="1"/>
  </r>
  <r>
    <m/>
    <m/>
    <x v="1"/>
    <s v="58426355001001"/>
    <n v="-63.74"/>
    <n v="1566"/>
    <n v="1"/>
    <n v="1"/>
  </r>
  <r>
    <m/>
    <m/>
    <x v="1"/>
    <s v="58433748001002"/>
    <n v="-72.73"/>
    <n v="1787"/>
    <n v="1"/>
    <n v="1"/>
  </r>
  <r>
    <m/>
    <m/>
    <x v="1"/>
    <s v="58468448002001"/>
    <n v="-87.59"/>
    <n v="2152"/>
    <n v="1"/>
    <n v="1"/>
  </r>
  <r>
    <m/>
    <m/>
    <x v="1"/>
    <s v="58473274001001"/>
    <n v="-160.4"/>
    <n v="3941"/>
    <n v="1"/>
    <n v="1"/>
  </r>
  <r>
    <m/>
    <m/>
    <x v="1"/>
    <s v="58643665001003"/>
    <n v="-66.83"/>
    <n v="1642"/>
    <n v="1"/>
    <n v="1"/>
  </r>
  <r>
    <m/>
    <m/>
    <x v="1"/>
    <s v="58665150001005"/>
    <n v="-106.47"/>
    <n v="2616"/>
    <n v="1"/>
    <n v="1"/>
  </r>
  <r>
    <m/>
    <m/>
    <x v="1"/>
    <s v="58704052001001"/>
    <n v="-20.88"/>
    <n v="513"/>
    <n v="1"/>
    <n v="1"/>
  </r>
  <r>
    <m/>
    <m/>
    <x v="1"/>
    <s v="58761762001002"/>
    <n v="-61.33"/>
    <n v="1507"/>
    <n v="1"/>
    <n v="1"/>
  </r>
  <r>
    <m/>
    <m/>
    <x v="1"/>
    <s v="58815775001003"/>
    <n v="-83.39"/>
    <n v="2049"/>
    <n v="1"/>
    <n v="1"/>
  </r>
  <r>
    <m/>
    <m/>
    <x v="1"/>
    <s v="59085749001001"/>
    <n v="-82.82"/>
    <n v="2035"/>
    <n v="1"/>
    <n v="1"/>
  </r>
  <r>
    <m/>
    <m/>
    <x v="1"/>
    <s v="59136213001001"/>
    <n v="-101.63"/>
    <n v="2497"/>
    <n v="1"/>
    <n v="1"/>
  </r>
  <r>
    <m/>
    <m/>
    <x v="1"/>
    <s v="59417675001003"/>
    <n v="-18.93"/>
    <n v="465"/>
    <n v="1"/>
    <n v="1"/>
  </r>
  <r>
    <m/>
    <m/>
    <x v="1"/>
    <s v="59582257003001"/>
    <n v="-59.75"/>
    <n v="1468"/>
    <n v="1"/>
    <n v="1"/>
  </r>
  <r>
    <m/>
    <m/>
    <x v="1"/>
    <s v="59712638001001"/>
    <n v="-14.69"/>
    <n v="361"/>
    <n v="1"/>
    <n v="1"/>
  </r>
  <r>
    <m/>
    <m/>
    <x v="1"/>
    <s v="59904249001001"/>
    <n v="-163.69999999999999"/>
    <n v="4022"/>
    <n v="1"/>
    <n v="1"/>
  </r>
  <r>
    <m/>
    <m/>
    <x v="1"/>
    <s v="60085172002003"/>
    <n v="-77.61"/>
    <n v="1907"/>
    <n v="1"/>
    <n v="1"/>
  </r>
  <r>
    <m/>
    <m/>
    <x v="1"/>
    <s v="60103851002003"/>
    <n v="-30.89"/>
    <n v="759"/>
    <n v="1"/>
    <n v="1"/>
  </r>
  <r>
    <m/>
    <m/>
    <x v="1"/>
    <s v="60311880001002"/>
    <n v="-80.989999999999995"/>
    <n v="1990"/>
    <n v="1"/>
    <n v="1"/>
  </r>
  <r>
    <m/>
    <m/>
    <x v="1"/>
    <s v="60327049001004"/>
    <n v="-88.52"/>
    <n v="2175"/>
    <n v="1"/>
    <n v="1"/>
  </r>
  <r>
    <m/>
    <m/>
    <x v="1"/>
    <s v="60332663002001"/>
    <n v="-9.1999999999999993"/>
    <n v="226"/>
    <n v="1"/>
    <n v="1"/>
  </r>
  <r>
    <m/>
    <m/>
    <x v="1"/>
    <s v="60362120001002"/>
    <n v="-60.32"/>
    <n v="1482"/>
    <n v="1"/>
    <n v="1"/>
  </r>
  <r>
    <m/>
    <m/>
    <x v="1"/>
    <s v="60372686002003"/>
    <n v="-33.17"/>
    <n v="815"/>
    <n v="1"/>
    <n v="1"/>
  </r>
  <r>
    <m/>
    <m/>
    <x v="1"/>
    <s v="60378444004001"/>
    <n v="-106.72"/>
    <n v="2622"/>
    <n v="1"/>
    <n v="1"/>
  </r>
  <r>
    <m/>
    <m/>
    <x v="1"/>
    <s v="60473262001001"/>
    <n v="-74.930000000000007"/>
    <n v="1841"/>
    <n v="1"/>
    <n v="1"/>
  </r>
  <r>
    <m/>
    <m/>
    <x v="1"/>
    <s v="60588107001001"/>
    <n v="-14.16"/>
    <n v="348"/>
    <n v="1"/>
    <n v="1"/>
  </r>
  <r>
    <m/>
    <m/>
    <x v="1"/>
    <s v="60790565001008"/>
    <n v="-132.80000000000001"/>
    <n v="3263"/>
    <n v="1"/>
    <n v="1"/>
  </r>
  <r>
    <m/>
    <m/>
    <x v="1"/>
    <s v="60836024001002"/>
    <n v="-121.41"/>
    <n v="2983"/>
    <n v="1"/>
    <n v="1"/>
  </r>
  <r>
    <m/>
    <m/>
    <x v="1"/>
    <s v="60942818001007"/>
    <n v="-83.6"/>
    <n v="2054"/>
    <n v="1"/>
    <n v="1"/>
  </r>
  <r>
    <m/>
    <m/>
    <x v="1"/>
    <s v="61029624002001"/>
    <n v="-85.06"/>
    <n v="2090"/>
    <n v="1"/>
    <n v="1"/>
  </r>
  <r>
    <m/>
    <m/>
    <x v="1"/>
    <s v="61185457001001"/>
    <n v="-93.33"/>
    <n v="2293"/>
    <n v="1"/>
    <n v="1"/>
  </r>
  <r>
    <m/>
    <m/>
    <x v="1"/>
    <s v="61237473001001"/>
    <n v="-69.47"/>
    <n v="1707"/>
    <n v="1"/>
    <n v="1"/>
  </r>
  <r>
    <m/>
    <m/>
    <x v="1"/>
    <s v="61254120001004"/>
    <n v="-51.24"/>
    <n v="1259"/>
    <n v="1"/>
    <n v="1"/>
  </r>
  <r>
    <m/>
    <m/>
    <x v="1"/>
    <s v="61309008001005"/>
    <n v="-44.08"/>
    <n v="1083"/>
    <n v="1"/>
    <n v="1"/>
  </r>
  <r>
    <m/>
    <m/>
    <x v="1"/>
    <s v="61446494004007"/>
    <n v="-57.43"/>
    <n v="1411"/>
    <n v="1"/>
    <n v="1"/>
  </r>
  <r>
    <m/>
    <m/>
    <x v="1"/>
    <s v="61553021001001"/>
    <n v="-94.99"/>
    <n v="2334"/>
    <n v="1"/>
    <n v="1"/>
  </r>
  <r>
    <m/>
    <m/>
    <x v="1"/>
    <s v="61590681001006"/>
    <n v="-72.16"/>
    <n v="1773"/>
    <n v="1"/>
    <n v="1"/>
  </r>
  <r>
    <m/>
    <m/>
    <x v="1"/>
    <s v="61690664001003"/>
    <n v="-24.3"/>
    <n v="597"/>
    <n v="1"/>
    <n v="1"/>
  </r>
  <r>
    <m/>
    <m/>
    <x v="1"/>
    <s v="61791165002003"/>
    <n v="-9.24"/>
    <n v="227"/>
    <n v="1"/>
    <n v="1"/>
  </r>
  <r>
    <m/>
    <m/>
    <x v="1"/>
    <s v="61792646001001"/>
    <n v="-142.08000000000001"/>
    <n v="3491"/>
    <n v="1"/>
    <n v="1"/>
  </r>
  <r>
    <m/>
    <m/>
    <x v="1"/>
    <s v="61831600002001"/>
    <n v="-142.25"/>
    <n v="3495"/>
    <n v="1"/>
    <n v="1"/>
  </r>
  <r>
    <m/>
    <m/>
    <x v="1"/>
    <s v="61880035001006"/>
    <n v="-130.61000000000001"/>
    <n v="3209"/>
    <n v="1"/>
    <n v="1"/>
  </r>
  <r>
    <m/>
    <m/>
    <x v="1"/>
    <s v="62065609001001"/>
    <n v="-116.97"/>
    <n v="2874"/>
    <n v="1"/>
    <n v="1"/>
  </r>
  <r>
    <m/>
    <m/>
    <x v="1"/>
    <s v="62089132001003"/>
    <n v="-22.02"/>
    <n v="541"/>
    <n v="1"/>
    <n v="1"/>
  </r>
  <r>
    <m/>
    <m/>
    <x v="1"/>
    <s v="62125139001001"/>
    <n v="-16.649999999999999"/>
    <n v="409"/>
    <n v="1"/>
    <n v="1"/>
  </r>
  <r>
    <m/>
    <m/>
    <x v="1"/>
    <s v="62209532002001"/>
    <n v="-79.45"/>
    <n v="1952"/>
    <n v="1"/>
    <n v="1"/>
  </r>
  <r>
    <m/>
    <m/>
    <x v="1"/>
    <s v="62244159001003"/>
    <n v="-115.51"/>
    <n v="2838"/>
    <n v="1"/>
    <n v="1"/>
  </r>
  <r>
    <m/>
    <m/>
    <x v="1"/>
    <s v="62406515001008"/>
    <n v="-87.22"/>
    <n v="2143"/>
    <n v="1"/>
    <n v="1"/>
  </r>
  <r>
    <m/>
    <m/>
    <x v="1"/>
    <s v="62423248001005"/>
    <n v="-117.87"/>
    <n v="2896"/>
    <n v="2"/>
    <n v="1"/>
  </r>
  <r>
    <m/>
    <m/>
    <x v="1"/>
    <s v="62447696001001"/>
    <n v="-3.17"/>
    <n v="78"/>
    <n v="1"/>
    <n v="1"/>
  </r>
  <r>
    <m/>
    <m/>
    <x v="1"/>
    <s v="62485672001001"/>
    <n v="-57.71"/>
    <n v="1418"/>
    <n v="1"/>
    <n v="1"/>
  </r>
  <r>
    <m/>
    <m/>
    <x v="1"/>
    <s v="62590261001001"/>
    <n v="-37.479999999999997"/>
    <n v="921"/>
    <n v="1"/>
    <n v="1"/>
  </r>
  <r>
    <m/>
    <m/>
    <x v="1"/>
    <s v="62610781001004"/>
    <n v="-89.66"/>
    <n v="2203"/>
    <n v="1"/>
    <n v="1"/>
  </r>
  <r>
    <m/>
    <m/>
    <x v="1"/>
    <s v="62620561001002"/>
    <n v="-96.46"/>
    <n v="2370"/>
    <n v="1"/>
    <n v="1"/>
  </r>
  <r>
    <m/>
    <m/>
    <x v="1"/>
    <s v="62717858001005"/>
    <n v="-34.47"/>
    <n v="847"/>
    <n v="1"/>
    <n v="1"/>
  </r>
  <r>
    <m/>
    <m/>
    <x v="1"/>
    <s v="62746326001001"/>
    <n v="-55.31"/>
    <n v="1359"/>
    <n v="1"/>
    <n v="1"/>
  </r>
  <r>
    <m/>
    <m/>
    <x v="1"/>
    <s v="62843836001005"/>
    <n v="-13.92"/>
    <n v="342"/>
    <n v="1"/>
    <n v="1"/>
  </r>
  <r>
    <m/>
    <m/>
    <x v="1"/>
    <s v="62893795006001"/>
    <n v="-126.7"/>
    <n v="3113"/>
    <n v="1"/>
    <n v="1"/>
  </r>
  <r>
    <m/>
    <m/>
    <x v="1"/>
    <s v="63050925001004"/>
    <n v="-3.62"/>
    <n v="89"/>
    <n v="1"/>
    <n v="1"/>
  </r>
  <r>
    <m/>
    <m/>
    <x v="1"/>
    <s v="63172903002001"/>
    <n v="-29.26"/>
    <n v="719"/>
    <n v="1"/>
    <n v="1"/>
  </r>
  <r>
    <m/>
    <m/>
    <x v="1"/>
    <s v="63179517001005"/>
    <n v="-52.46"/>
    <n v="1289"/>
    <n v="1"/>
    <n v="1"/>
  </r>
  <r>
    <m/>
    <m/>
    <x v="1"/>
    <s v="63202392001004"/>
    <n v="-24.87"/>
    <n v="611"/>
    <n v="1"/>
    <n v="1"/>
  </r>
  <r>
    <m/>
    <m/>
    <x v="1"/>
    <s v="63207813001001"/>
    <n v="-114.61"/>
    <n v="2816"/>
    <n v="1"/>
    <n v="1"/>
  </r>
  <r>
    <m/>
    <m/>
    <x v="1"/>
    <s v="63329115001002"/>
    <n v="-37.69"/>
    <n v="926"/>
    <n v="1"/>
    <n v="1"/>
  </r>
  <r>
    <m/>
    <m/>
    <x v="1"/>
    <s v="63415000003005"/>
    <n v="-87.14"/>
    <n v="2141"/>
    <n v="1"/>
    <n v="1"/>
  </r>
  <r>
    <m/>
    <m/>
    <x v="1"/>
    <s v="63451251001003"/>
    <n v="-45.22"/>
    <n v="1111"/>
    <n v="1"/>
    <n v="1"/>
  </r>
  <r>
    <m/>
    <m/>
    <x v="1"/>
    <s v="63569005002001"/>
    <n v="-54.17"/>
    <n v="1331"/>
    <n v="1"/>
    <n v="1"/>
  </r>
  <r>
    <m/>
    <m/>
    <x v="1"/>
    <s v="63730275001001"/>
    <n v="-88.28"/>
    <n v="2169"/>
    <n v="1"/>
    <n v="1"/>
  </r>
  <r>
    <m/>
    <m/>
    <x v="1"/>
    <s v="63734655001004"/>
    <n v="-35"/>
    <n v="860"/>
    <n v="1"/>
    <n v="1"/>
  </r>
  <r>
    <m/>
    <m/>
    <x v="1"/>
    <s v="63836931001003"/>
    <n v="-53.56"/>
    <n v="1316"/>
    <n v="1"/>
    <n v="1"/>
  </r>
  <r>
    <m/>
    <m/>
    <x v="1"/>
    <s v="63889252001005"/>
    <n v="-42.69"/>
    <n v="1049"/>
    <n v="1"/>
    <n v="1"/>
  </r>
  <r>
    <m/>
    <m/>
    <x v="1"/>
    <s v="63921435001001"/>
    <n v="-110.3"/>
    <n v="2710"/>
    <n v="1"/>
    <n v="1"/>
  </r>
  <r>
    <m/>
    <m/>
    <x v="1"/>
    <s v="63997968001003"/>
    <n v="-106.8"/>
    <n v="2624"/>
    <n v="1"/>
    <n v="1"/>
  </r>
  <r>
    <m/>
    <m/>
    <x v="1"/>
    <s v="64118220001004"/>
    <n v="-68.78"/>
    <n v="1690"/>
    <n v="1"/>
    <n v="1"/>
  </r>
  <r>
    <m/>
    <m/>
    <x v="1"/>
    <s v="64119790001003"/>
    <n v="-55.43"/>
    <n v="1362"/>
    <n v="1"/>
    <n v="1"/>
  </r>
  <r>
    <m/>
    <m/>
    <x v="1"/>
    <s v="64166284001002"/>
    <n v="-79.849999999999994"/>
    <n v="1962"/>
    <n v="1"/>
    <n v="1"/>
  </r>
  <r>
    <m/>
    <m/>
    <x v="1"/>
    <s v="64243431001001"/>
    <n v="-92.14"/>
    <n v="2264"/>
    <n v="1"/>
    <n v="1"/>
  </r>
  <r>
    <m/>
    <m/>
    <x v="1"/>
    <s v="64309281001004"/>
    <n v="-135.44999999999999"/>
    <n v="3328"/>
    <n v="1"/>
    <n v="1"/>
  </r>
  <r>
    <m/>
    <m/>
    <x v="1"/>
    <s v="64350186001003"/>
    <n v="-11.27"/>
    <n v="277"/>
    <n v="1"/>
    <n v="1"/>
  </r>
  <r>
    <m/>
    <m/>
    <x v="1"/>
    <s v="64352398001002"/>
    <n v="-55.19"/>
    <n v="1356"/>
    <n v="1"/>
    <n v="1"/>
  </r>
  <r>
    <m/>
    <m/>
    <x v="1"/>
    <s v="64412831001001"/>
    <n v="-93.89"/>
    <n v="2307"/>
    <n v="1"/>
    <n v="1"/>
  </r>
  <r>
    <m/>
    <m/>
    <x v="1"/>
    <s v="64457891005001"/>
    <n v="-12.41"/>
    <n v="305"/>
    <n v="1"/>
    <n v="1"/>
  </r>
  <r>
    <m/>
    <m/>
    <x v="1"/>
    <s v="64579615002001"/>
    <n v="-196.99"/>
    <n v="4840"/>
    <n v="1"/>
    <n v="1"/>
  </r>
  <r>
    <m/>
    <m/>
    <x v="1"/>
    <s v="64598979001001"/>
    <n v="-56.45"/>
    <n v="1387"/>
    <n v="1"/>
    <n v="1"/>
  </r>
  <r>
    <m/>
    <m/>
    <x v="1"/>
    <s v="64718002001001"/>
    <n v="-43.59"/>
    <n v="1071"/>
    <n v="1"/>
    <n v="1"/>
  </r>
  <r>
    <m/>
    <m/>
    <x v="1"/>
    <s v="64764760001001"/>
    <n v="-68.38"/>
    <n v="1680"/>
    <n v="1"/>
    <n v="1"/>
  </r>
  <r>
    <m/>
    <m/>
    <x v="1"/>
    <s v="64815090001001"/>
    <n v="-34.35"/>
    <n v="844"/>
    <n v="1"/>
    <n v="1"/>
  </r>
  <r>
    <m/>
    <m/>
    <x v="1"/>
    <s v="64995258001006"/>
    <n v="-38.58"/>
    <n v="948"/>
    <n v="1"/>
    <n v="1"/>
  </r>
  <r>
    <m/>
    <m/>
    <x v="1"/>
    <s v="65005121001001"/>
    <n v="-59.1"/>
    <n v="1452"/>
    <n v="1"/>
    <n v="1"/>
  </r>
  <r>
    <m/>
    <m/>
    <x v="1"/>
    <s v="65026421001002"/>
    <n v="-5.25"/>
    <n v="129"/>
    <n v="1"/>
    <n v="1"/>
  </r>
  <r>
    <m/>
    <m/>
    <x v="1"/>
    <s v="65041396001006"/>
    <n v="-0.08"/>
    <n v="2"/>
    <n v="1"/>
    <n v="1"/>
  </r>
  <r>
    <m/>
    <m/>
    <x v="1"/>
    <s v="65047530001001"/>
    <n v="-89.58"/>
    <n v="2201"/>
    <n v="1"/>
    <n v="1"/>
  </r>
  <r>
    <m/>
    <m/>
    <x v="1"/>
    <s v="65270935001002"/>
    <n v="-94.1"/>
    <n v="2312"/>
    <n v="1"/>
    <n v="1"/>
  </r>
  <r>
    <m/>
    <m/>
    <x v="1"/>
    <s v="65369611001005"/>
    <n v="-23.2"/>
    <n v="570"/>
    <n v="1"/>
    <n v="1"/>
  </r>
  <r>
    <m/>
    <m/>
    <x v="1"/>
    <s v="65525375001001"/>
    <n v="-134.27000000000001"/>
    <n v="3299"/>
    <n v="1"/>
    <n v="1"/>
  </r>
  <r>
    <m/>
    <m/>
    <x v="1"/>
    <s v="65622408001002"/>
    <n v="-90.8"/>
    <n v="2231"/>
    <n v="1"/>
    <n v="1"/>
  </r>
  <r>
    <m/>
    <m/>
    <x v="1"/>
    <s v="65734956001007"/>
    <n v="-111.11"/>
    <n v="2730"/>
    <n v="1"/>
    <n v="1"/>
  </r>
  <r>
    <m/>
    <m/>
    <x v="1"/>
    <s v="65819822001001"/>
    <n v="-10.38"/>
    <n v="255"/>
    <n v="1"/>
    <n v="1"/>
  </r>
  <r>
    <m/>
    <m/>
    <x v="1"/>
    <s v="65839251002007"/>
    <n v="-44.93"/>
    <n v="1104"/>
    <n v="1"/>
    <n v="1"/>
  </r>
  <r>
    <m/>
    <m/>
    <x v="1"/>
    <s v="66094656001005"/>
    <n v="-89.95"/>
    <n v="2210"/>
    <n v="1"/>
    <n v="1"/>
  </r>
  <r>
    <m/>
    <m/>
    <x v="1"/>
    <s v="66349583001001"/>
    <n v="-68.290000000000006"/>
    <n v="1678"/>
    <n v="1"/>
    <n v="1"/>
  </r>
  <r>
    <m/>
    <m/>
    <x v="1"/>
    <s v="66418644001004"/>
    <n v="-107.33"/>
    <n v="2637"/>
    <n v="1"/>
    <n v="1"/>
  </r>
  <r>
    <m/>
    <m/>
    <x v="1"/>
    <s v="66455859001001"/>
    <n v="-68.739999999999995"/>
    <n v="1689"/>
    <n v="1"/>
    <n v="1"/>
  </r>
  <r>
    <m/>
    <m/>
    <x v="1"/>
    <s v="66498540001001"/>
    <n v="-21.33"/>
    <n v="524"/>
    <n v="1"/>
    <n v="1"/>
  </r>
  <r>
    <m/>
    <m/>
    <x v="1"/>
    <s v="66541721002003"/>
    <n v="-90.35"/>
    <n v="2220"/>
    <n v="1"/>
    <n v="1"/>
  </r>
  <r>
    <m/>
    <m/>
    <x v="1"/>
    <s v="66914914001002"/>
    <n v="-55.07"/>
    <n v="1353"/>
    <n v="1"/>
    <n v="1"/>
  </r>
  <r>
    <m/>
    <m/>
    <x v="1"/>
    <s v="67083125001001"/>
    <n v="-83.11"/>
    <n v="2042"/>
    <n v="1"/>
    <n v="1"/>
  </r>
  <r>
    <m/>
    <m/>
    <x v="1"/>
    <s v="67204908002001"/>
    <n v="-58.77"/>
    <n v="1444"/>
    <n v="1"/>
    <n v="1"/>
  </r>
  <r>
    <m/>
    <m/>
    <x v="1"/>
    <s v="67248743001001"/>
    <n v="-25.23"/>
    <n v="620"/>
    <n v="1"/>
    <n v="1"/>
  </r>
  <r>
    <m/>
    <m/>
    <x v="1"/>
    <s v="67271689001005"/>
    <n v="-81.599999999999994"/>
    <n v="2005"/>
    <n v="1"/>
    <n v="1"/>
  </r>
  <r>
    <m/>
    <m/>
    <x v="1"/>
    <s v="67399952001001"/>
    <n v="-153.19"/>
    <n v="3764"/>
    <n v="1"/>
    <n v="1"/>
  </r>
  <r>
    <m/>
    <m/>
    <x v="1"/>
    <s v="67401944001001"/>
    <n v="-149.65"/>
    <n v="3677"/>
    <n v="1"/>
    <n v="1"/>
  </r>
  <r>
    <m/>
    <m/>
    <x v="1"/>
    <s v="67440113001009"/>
    <n v="-40.98"/>
    <n v="1007"/>
    <n v="1"/>
    <n v="1"/>
  </r>
  <r>
    <m/>
    <m/>
    <x v="1"/>
    <s v="67479940002009"/>
    <n v="-77.94"/>
    <n v="1915"/>
    <n v="1"/>
    <n v="1"/>
  </r>
  <r>
    <m/>
    <m/>
    <x v="1"/>
    <s v="67629881002003"/>
    <n v="-63.65"/>
    <n v="1564"/>
    <n v="1"/>
    <n v="1"/>
  </r>
  <r>
    <m/>
    <m/>
    <x v="1"/>
    <s v="67650637001001"/>
    <n v="-37.729999999999997"/>
    <n v="927"/>
    <n v="1"/>
    <n v="1"/>
  </r>
  <r>
    <m/>
    <m/>
    <x v="1"/>
    <s v="67722017001003"/>
    <n v="-14.53"/>
    <n v="357"/>
    <n v="1"/>
    <n v="1"/>
  </r>
  <r>
    <m/>
    <m/>
    <x v="1"/>
    <s v="67745822001001"/>
    <n v="-77.209999999999994"/>
    <n v="1897"/>
    <n v="1"/>
    <n v="1"/>
  </r>
  <r>
    <m/>
    <m/>
    <x v="1"/>
    <s v="67782140001005"/>
    <n v="-32.15"/>
    <n v="790"/>
    <n v="1"/>
    <n v="1"/>
  </r>
  <r>
    <m/>
    <m/>
    <x v="1"/>
    <s v="67785117001004"/>
    <n v="-73.459999999999994"/>
    <n v="1805"/>
    <n v="1"/>
    <n v="1"/>
  </r>
  <r>
    <m/>
    <m/>
    <x v="1"/>
    <s v="67805859001001"/>
    <n v="-115.47"/>
    <n v="2837"/>
    <n v="1"/>
    <n v="1"/>
  </r>
  <r>
    <m/>
    <m/>
    <x v="1"/>
    <s v="67822527001001"/>
    <n v="-53.24"/>
    <n v="1308"/>
    <n v="1"/>
    <n v="1"/>
  </r>
  <r>
    <m/>
    <m/>
    <x v="1"/>
    <s v="68031934001001"/>
    <n v="-82.09"/>
    <n v="2017"/>
    <n v="1"/>
    <n v="1"/>
  </r>
  <r>
    <m/>
    <m/>
    <x v="1"/>
    <s v="68118685001003"/>
    <n v="-139.63999999999999"/>
    <n v="3431"/>
    <n v="1"/>
    <n v="1"/>
  </r>
  <r>
    <m/>
    <m/>
    <x v="1"/>
    <s v="68121219001001"/>
    <n v="-14.77"/>
    <n v="363"/>
    <n v="1"/>
    <n v="1"/>
  </r>
  <r>
    <m/>
    <m/>
    <x v="1"/>
    <s v="68181174001001"/>
    <n v="-11.36"/>
    <n v="279"/>
    <n v="1"/>
    <n v="1"/>
  </r>
  <r>
    <m/>
    <m/>
    <x v="1"/>
    <s v="68184762001005"/>
    <n v="-55.23"/>
    <n v="1357"/>
    <n v="2"/>
    <n v="1"/>
  </r>
  <r>
    <m/>
    <m/>
    <x v="1"/>
    <s v="68221241001001"/>
    <n v="-23.57"/>
    <n v="579"/>
    <n v="1"/>
    <n v="1"/>
  </r>
  <r>
    <m/>
    <m/>
    <x v="1"/>
    <s v="68251608001001"/>
    <n v="-42.53"/>
    <n v="1045"/>
    <n v="1"/>
    <n v="1"/>
  </r>
  <r>
    <m/>
    <m/>
    <x v="1"/>
    <s v="68261372001003"/>
    <n v="-46.68"/>
    <n v="1147"/>
    <n v="1"/>
    <n v="1"/>
  </r>
  <r>
    <m/>
    <m/>
    <x v="1"/>
    <s v="68362600001007"/>
    <n v="-112.29"/>
    <n v="2759"/>
    <n v="1"/>
    <n v="1"/>
  </r>
  <r>
    <m/>
    <m/>
    <x v="1"/>
    <s v="68373597002003"/>
    <n v="-53.03"/>
    <n v="1303"/>
    <n v="1"/>
    <n v="1"/>
  </r>
  <r>
    <m/>
    <m/>
    <x v="1"/>
    <s v="68374425001001"/>
    <n v="-149.78"/>
    <n v="3680"/>
    <n v="1"/>
    <n v="1"/>
  </r>
  <r>
    <m/>
    <m/>
    <x v="1"/>
    <s v="68382740001008"/>
    <n v="-13.84"/>
    <n v="340"/>
    <n v="1"/>
    <n v="1"/>
  </r>
  <r>
    <m/>
    <m/>
    <x v="1"/>
    <s v="68400908001007"/>
    <n v="-105.54"/>
    <n v="2593"/>
    <n v="1"/>
    <n v="1"/>
  </r>
  <r>
    <m/>
    <m/>
    <x v="1"/>
    <s v="68438637001001"/>
    <n v="-118.76"/>
    <n v="2918"/>
    <n v="1"/>
    <n v="1"/>
  </r>
  <r>
    <m/>
    <m/>
    <x v="1"/>
    <s v="68441476001004"/>
    <n v="-106.43"/>
    <n v="2615"/>
    <n v="1"/>
    <n v="1"/>
  </r>
  <r>
    <m/>
    <m/>
    <x v="1"/>
    <s v="68446516001001"/>
    <n v="-125.48"/>
    <n v="3083"/>
    <n v="1"/>
    <n v="1"/>
  </r>
  <r>
    <m/>
    <m/>
    <x v="1"/>
    <s v="68497807001010"/>
    <n v="-68.91"/>
    <n v="1693"/>
    <n v="1"/>
    <n v="1"/>
  </r>
  <r>
    <m/>
    <m/>
    <x v="1"/>
    <s v="68561006001001"/>
    <n v="-73.540000000000006"/>
    <n v="1807"/>
    <n v="1"/>
    <n v="1"/>
  </r>
  <r>
    <m/>
    <m/>
    <x v="1"/>
    <s v="68562129001001"/>
    <n v="-71.27"/>
    <n v="1751"/>
    <n v="1"/>
    <n v="1"/>
  </r>
  <r>
    <m/>
    <m/>
    <x v="1"/>
    <s v="68606155001001"/>
    <n v="-63.53"/>
    <n v="1561"/>
    <n v="1"/>
    <n v="1"/>
  </r>
  <r>
    <m/>
    <m/>
    <x v="1"/>
    <s v="68616474001004"/>
    <n v="-86.45"/>
    <n v="2124"/>
    <n v="1"/>
    <n v="1"/>
  </r>
  <r>
    <m/>
    <m/>
    <x v="1"/>
    <s v="68631709001005"/>
    <n v="-34.96"/>
    <n v="859"/>
    <n v="1"/>
    <n v="1"/>
  </r>
  <r>
    <m/>
    <m/>
    <x v="1"/>
    <s v="68845646002005"/>
    <n v="-58.53"/>
    <n v="1438"/>
    <n v="1"/>
    <n v="1"/>
  </r>
  <r>
    <m/>
    <m/>
    <x v="1"/>
    <s v="68885602001001"/>
    <n v="-35.29"/>
    <n v="867"/>
    <n v="1"/>
    <n v="1"/>
  </r>
  <r>
    <m/>
    <m/>
    <x v="1"/>
    <s v="68940427001001"/>
    <n v="-45.91"/>
    <n v="1128"/>
    <n v="1"/>
    <n v="1"/>
  </r>
  <r>
    <m/>
    <m/>
    <x v="1"/>
    <s v="69028266002003"/>
    <n v="-30.89"/>
    <n v="759"/>
    <n v="1"/>
    <n v="1"/>
  </r>
  <r>
    <m/>
    <m/>
    <x v="1"/>
    <s v="69135376002001"/>
    <n v="-55.64"/>
    <n v="1367"/>
    <n v="1"/>
    <n v="1"/>
  </r>
  <r>
    <m/>
    <m/>
    <x v="1"/>
    <s v="69175081002005"/>
    <n v="-110.26"/>
    <n v="2709"/>
    <n v="1"/>
    <n v="1"/>
  </r>
  <r>
    <m/>
    <m/>
    <x v="1"/>
    <s v="69212535001003"/>
    <n v="-47.99"/>
    <n v="1179"/>
    <n v="1"/>
    <n v="1"/>
  </r>
  <r>
    <m/>
    <m/>
    <x v="1"/>
    <s v="69227176002001"/>
    <n v="-102.4"/>
    <n v="2516"/>
    <n v="1"/>
    <n v="1"/>
  </r>
  <r>
    <m/>
    <m/>
    <x v="1"/>
    <s v="69413741001001"/>
    <n v="-58.57"/>
    <n v="1439"/>
    <n v="1"/>
    <n v="1"/>
  </r>
  <r>
    <m/>
    <m/>
    <x v="1"/>
    <s v="69455470001001"/>
    <n v="-43.35"/>
    <n v="1065"/>
    <n v="1"/>
    <n v="1"/>
  </r>
  <r>
    <m/>
    <m/>
    <x v="1"/>
    <s v="69552955001005"/>
    <n v="-49.25"/>
    <n v="1210"/>
    <n v="1"/>
    <n v="1"/>
  </r>
  <r>
    <m/>
    <m/>
    <x v="1"/>
    <s v="69570598001001"/>
    <n v="-99.02"/>
    <n v="2433"/>
    <n v="1"/>
    <n v="1"/>
  </r>
  <r>
    <m/>
    <m/>
    <x v="1"/>
    <s v="69692573001005"/>
    <n v="-86.24"/>
    <n v="2119"/>
    <n v="1"/>
    <n v="1"/>
  </r>
  <r>
    <m/>
    <m/>
    <x v="1"/>
    <s v="69726976003004"/>
    <n v="-30.32"/>
    <n v="745"/>
    <n v="1"/>
    <n v="1"/>
  </r>
  <r>
    <m/>
    <m/>
    <x v="1"/>
    <s v="69776815003001"/>
    <n v="-62.64"/>
    <n v="1539"/>
    <n v="1"/>
    <n v="1"/>
  </r>
  <r>
    <m/>
    <m/>
    <x v="1"/>
    <s v="69778160001001"/>
    <n v="-91.58"/>
    <n v="2250"/>
    <n v="1"/>
    <n v="1"/>
  </r>
  <r>
    <m/>
    <m/>
    <x v="1"/>
    <s v="69795270001001"/>
    <n v="-45.14"/>
    <n v="1109"/>
    <n v="1"/>
    <n v="1"/>
  </r>
  <r>
    <m/>
    <m/>
    <x v="1"/>
    <s v="69856324001001"/>
    <n v="-5.33"/>
    <n v="131"/>
    <n v="1"/>
    <n v="1"/>
  </r>
  <r>
    <m/>
    <m/>
    <x v="1"/>
    <s v="69869307001003"/>
    <n v="-22.59"/>
    <n v="555"/>
    <n v="1"/>
    <n v="1"/>
  </r>
  <r>
    <m/>
    <m/>
    <x v="1"/>
    <s v="69932677002001"/>
    <n v="-64.59"/>
    <n v="1587"/>
    <n v="1"/>
    <n v="1"/>
  </r>
  <r>
    <m/>
    <m/>
    <x v="1"/>
    <s v="69952866001005"/>
    <n v="-46.72"/>
    <n v="1148"/>
    <n v="1"/>
    <n v="1"/>
  </r>
  <r>
    <m/>
    <m/>
    <x v="1"/>
    <s v="69991566001003"/>
    <n v="-95.24"/>
    <n v="2340"/>
    <n v="1"/>
    <n v="1"/>
  </r>
  <r>
    <m/>
    <m/>
    <x v="1"/>
    <s v="69998683001001"/>
    <n v="-32.93"/>
    <n v="809"/>
    <n v="1"/>
    <n v="1"/>
  </r>
  <r>
    <m/>
    <m/>
    <x v="1"/>
    <s v="70041367001007"/>
    <n v="-7.12"/>
    <n v="175"/>
    <n v="1"/>
    <n v="1"/>
  </r>
  <r>
    <m/>
    <m/>
    <x v="1"/>
    <s v="70196025001001"/>
    <n v="-17.54"/>
    <n v="431"/>
    <n v="1"/>
    <n v="1"/>
  </r>
  <r>
    <m/>
    <m/>
    <x v="1"/>
    <s v="70425264001008"/>
    <n v="-13.47"/>
    <n v="331"/>
    <n v="1"/>
    <n v="1"/>
  </r>
  <r>
    <m/>
    <m/>
    <x v="1"/>
    <s v="70453399001001"/>
    <n v="-31.34"/>
    <n v="770"/>
    <n v="1"/>
    <n v="1"/>
  </r>
  <r>
    <m/>
    <m/>
    <x v="1"/>
    <s v="70468885005005"/>
    <n v="-35.78"/>
    <n v="879"/>
    <n v="1"/>
    <n v="1"/>
  </r>
  <r>
    <m/>
    <m/>
    <x v="1"/>
    <s v="70587997002003"/>
    <n v="-69.599999999999994"/>
    <n v="1710"/>
    <n v="1"/>
    <n v="1"/>
  </r>
  <r>
    <m/>
    <m/>
    <x v="1"/>
    <s v="70761570001001"/>
    <n v="-42.37"/>
    <n v="1041"/>
    <n v="1"/>
    <n v="1"/>
  </r>
  <r>
    <m/>
    <m/>
    <x v="1"/>
    <s v="70804751001003"/>
    <n v="-5.98"/>
    <n v="147"/>
    <n v="1"/>
    <n v="1"/>
  </r>
  <r>
    <m/>
    <m/>
    <x v="1"/>
    <s v="70914149001001"/>
    <n v="-204.97"/>
    <n v="5036"/>
    <n v="1"/>
    <n v="1"/>
  </r>
  <r>
    <m/>
    <m/>
    <x v="1"/>
    <s v="70922853001003"/>
    <n v="-55.23"/>
    <n v="1357"/>
    <n v="1"/>
    <n v="1"/>
  </r>
  <r>
    <m/>
    <m/>
    <x v="1"/>
    <s v="71047342001002"/>
    <n v="-17.989999999999998"/>
    <n v="442"/>
    <n v="1"/>
    <n v="1"/>
  </r>
  <r>
    <m/>
    <m/>
    <x v="1"/>
    <s v="71048092004003"/>
    <n v="-36.75"/>
    <n v="903"/>
    <n v="1"/>
    <n v="1"/>
  </r>
  <r>
    <m/>
    <m/>
    <x v="1"/>
    <s v="71079674002001"/>
    <n v="-46.48"/>
    <n v="1142"/>
    <n v="1"/>
    <n v="1"/>
  </r>
  <r>
    <m/>
    <m/>
    <x v="1"/>
    <s v="71197984001001"/>
    <n v="-81.16"/>
    <n v="1994"/>
    <n v="1"/>
    <n v="1"/>
  </r>
  <r>
    <m/>
    <m/>
    <x v="1"/>
    <s v="71339719006001"/>
    <n v="-76.88"/>
    <n v="1889"/>
    <n v="1"/>
    <n v="1"/>
  </r>
  <r>
    <m/>
    <m/>
    <x v="1"/>
    <s v="71391581006001"/>
    <n v="-133.09"/>
    <n v="3270"/>
    <n v="1"/>
    <n v="1"/>
  </r>
  <r>
    <m/>
    <m/>
    <x v="1"/>
    <s v="71502529001003"/>
    <n v="-17.87"/>
    <n v="439"/>
    <n v="1"/>
    <n v="1"/>
  </r>
  <r>
    <m/>
    <m/>
    <x v="1"/>
    <s v="71528185001004"/>
    <n v="-74.930000000000007"/>
    <n v="1841"/>
    <n v="1"/>
    <n v="1"/>
  </r>
  <r>
    <m/>
    <m/>
    <x v="1"/>
    <s v="71649441001001"/>
    <n v="-108.59"/>
    <n v="2668"/>
    <n v="1"/>
    <n v="1"/>
  </r>
  <r>
    <m/>
    <m/>
    <x v="1"/>
    <s v="71824810001006"/>
    <n v="-118.72"/>
    <n v="2917"/>
    <n v="1"/>
    <n v="1"/>
  </r>
  <r>
    <m/>
    <m/>
    <x v="1"/>
    <s v="71833276001003"/>
    <n v="-11.68"/>
    <n v="287"/>
    <n v="1"/>
    <n v="1"/>
  </r>
  <r>
    <m/>
    <m/>
    <x v="1"/>
    <s v="72034597001001"/>
    <n v="-92.43"/>
    <n v="2271"/>
    <n v="1"/>
    <n v="1"/>
  </r>
  <r>
    <m/>
    <m/>
    <x v="1"/>
    <s v="72074341001003"/>
    <n v="-213.47"/>
    <n v="5245"/>
    <n v="1"/>
    <n v="1"/>
  </r>
  <r>
    <m/>
    <m/>
    <x v="1"/>
    <s v="72163255001003"/>
    <n v="-25.4"/>
    <n v="624"/>
    <n v="1"/>
    <n v="1"/>
  </r>
  <r>
    <m/>
    <m/>
    <x v="1"/>
    <s v="72174875001001"/>
    <n v="-72.89"/>
    <n v="1791"/>
    <n v="1"/>
    <n v="1"/>
  </r>
  <r>
    <m/>
    <m/>
    <x v="1"/>
    <s v="72209762001001"/>
    <n v="-32.15"/>
    <n v="790"/>
    <n v="1"/>
    <n v="1"/>
  </r>
  <r>
    <m/>
    <m/>
    <x v="1"/>
    <s v="72281719002001"/>
    <n v="-53.36"/>
    <n v="1311"/>
    <n v="1"/>
    <n v="1"/>
  </r>
  <r>
    <m/>
    <m/>
    <x v="1"/>
    <s v="72349625001002"/>
    <n v="-13.88"/>
    <n v="341"/>
    <n v="1"/>
    <n v="1"/>
  </r>
  <r>
    <m/>
    <m/>
    <x v="1"/>
    <s v="72459581001010"/>
    <n v="-115.95"/>
    <n v="2849"/>
    <n v="1"/>
    <n v="1"/>
  </r>
  <r>
    <m/>
    <m/>
    <x v="1"/>
    <s v="72521223001005"/>
    <n v="-24.18"/>
    <n v="594"/>
    <n v="1"/>
    <n v="1"/>
  </r>
  <r>
    <m/>
    <m/>
    <x v="1"/>
    <s v="72634089001009"/>
    <n v="-57.55"/>
    <n v="1414"/>
    <n v="1"/>
    <n v="1"/>
  </r>
  <r>
    <m/>
    <m/>
    <x v="1"/>
    <s v="72649617001013"/>
    <n v="-57.92"/>
    <n v="1423"/>
    <n v="1"/>
    <n v="1"/>
  </r>
  <r>
    <m/>
    <m/>
    <x v="1"/>
    <s v="72668251001001"/>
    <n v="-101.83"/>
    <n v="2502"/>
    <n v="1"/>
    <n v="1"/>
  </r>
  <r>
    <m/>
    <m/>
    <x v="1"/>
    <s v="72889636001003"/>
    <n v="-134.80000000000001"/>
    <n v="3312"/>
    <n v="1"/>
    <n v="1"/>
  </r>
  <r>
    <m/>
    <m/>
    <x v="1"/>
    <s v="72971733002003"/>
    <n v="-36.1"/>
    <n v="887"/>
    <n v="1"/>
    <n v="1"/>
  </r>
  <r>
    <m/>
    <m/>
    <x v="1"/>
    <s v="73047819001004"/>
    <n v="-40.700000000000003"/>
    <n v="1000"/>
    <n v="1"/>
    <n v="1"/>
  </r>
  <r>
    <m/>
    <m/>
    <x v="1"/>
    <s v="73073162002001"/>
    <n v="-15.75"/>
    <n v="387"/>
    <n v="1"/>
    <n v="1"/>
  </r>
  <r>
    <m/>
    <m/>
    <x v="1"/>
    <s v="73173555001001"/>
    <n v="-101.06"/>
    <n v="2483"/>
    <n v="1"/>
    <n v="1"/>
  </r>
  <r>
    <m/>
    <m/>
    <x v="1"/>
    <s v="73183610001001"/>
    <n v="-40.94"/>
    <n v="1006"/>
    <n v="1"/>
    <n v="1"/>
  </r>
  <r>
    <m/>
    <m/>
    <x v="1"/>
    <s v="73257691001002"/>
    <n v="-38.869999999999997"/>
    <n v="955"/>
    <n v="1"/>
    <n v="1"/>
  </r>
  <r>
    <m/>
    <m/>
    <x v="1"/>
    <s v="73283469001001"/>
    <n v="-11.36"/>
    <n v="279"/>
    <n v="1"/>
    <n v="1"/>
  </r>
  <r>
    <m/>
    <m/>
    <x v="1"/>
    <s v="73396535001003"/>
    <n v="-44.81"/>
    <n v="1101"/>
    <n v="1"/>
    <n v="1"/>
  </r>
  <r>
    <m/>
    <m/>
    <x v="1"/>
    <s v="73413066001003"/>
    <n v="-42.74"/>
    <n v="1050"/>
    <n v="1"/>
    <n v="1"/>
  </r>
  <r>
    <m/>
    <m/>
    <x v="1"/>
    <s v="73496965001001"/>
    <n v="-116.36"/>
    <n v="2859"/>
    <n v="1"/>
    <n v="1"/>
  </r>
  <r>
    <m/>
    <m/>
    <x v="1"/>
    <s v="73571632001001"/>
    <n v="-45.5"/>
    <n v="1118"/>
    <n v="1"/>
    <n v="1"/>
  </r>
  <r>
    <m/>
    <m/>
    <x v="1"/>
    <s v="73718834002001"/>
    <n v="-83.35"/>
    <n v="2048"/>
    <n v="1"/>
    <n v="1"/>
  </r>
  <r>
    <m/>
    <m/>
    <x v="1"/>
    <s v="73751334001002"/>
    <n v="-68.17"/>
    <n v="1675"/>
    <n v="1"/>
    <n v="1"/>
  </r>
  <r>
    <m/>
    <m/>
    <x v="1"/>
    <s v="73774640001002"/>
    <n v="-91.33"/>
    <n v="2244"/>
    <n v="1"/>
    <n v="1"/>
  </r>
  <r>
    <m/>
    <m/>
    <x v="1"/>
    <s v="73774824001005"/>
    <n v="-141.22999999999999"/>
    <n v="3470"/>
    <n v="1"/>
    <n v="1"/>
  </r>
  <r>
    <m/>
    <m/>
    <x v="1"/>
    <s v="73887552001001"/>
    <n v="-39.19"/>
    <n v="963"/>
    <n v="1"/>
    <n v="1"/>
  </r>
  <r>
    <m/>
    <m/>
    <x v="1"/>
    <s v="73935992001002"/>
    <n v="-121.45"/>
    <n v="2984"/>
    <n v="1"/>
    <n v="1"/>
  </r>
  <r>
    <m/>
    <m/>
    <x v="1"/>
    <s v="74037047001002"/>
    <n v="-46.72"/>
    <n v="1148"/>
    <n v="1"/>
    <n v="1"/>
  </r>
  <r>
    <m/>
    <m/>
    <x v="1"/>
    <s v="74055933001001"/>
    <n v="-130"/>
    <n v="3194"/>
    <n v="1"/>
    <n v="1"/>
  </r>
  <r>
    <m/>
    <m/>
    <x v="1"/>
    <s v="74076340001003"/>
    <n v="-39.56"/>
    <n v="972"/>
    <n v="1"/>
    <n v="1"/>
  </r>
  <r>
    <m/>
    <m/>
    <x v="1"/>
    <s v="74242350003001"/>
    <n v="-71.180000000000007"/>
    <n v="1749"/>
    <n v="1"/>
    <n v="1"/>
  </r>
  <r>
    <m/>
    <m/>
    <x v="1"/>
    <s v="74312616001001"/>
    <n v="-75.5"/>
    <n v="1855"/>
    <n v="1"/>
    <n v="1"/>
  </r>
  <r>
    <m/>
    <m/>
    <x v="1"/>
    <s v="74349005002009"/>
    <n v="-11.15"/>
    <n v="274"/>
    <n v="1"/>
    <n v="1"/>
  </r>
  <r>
    <m/>
    <m/>
    <x v="1"/>
    <s v="74369035001005"/>
    <n v="-51.44"/>
    <n v="1264"/>
    <n v="1"/>
    <n v="1"/>
  </r>
  <r>
    <m/>
    <m/>
    <x v="1"/>
    <s v="74386329001002"/>
    <n v="-55.39"/>
    <n v="1361"/>
    <n v="1"/>
    <n v="1"/>
  </r>
  <r>
    <m/>
    <m/>
    <x v="1"/>
    <s v="74429992001006"/>
    <n v="-88.81"/>
    <n v="2182"/>
    <n v="1"/>
    <n v="1"/>
  </r>
  <r>
    <m/>
    <m/>
    <x v="1"/>
    <s v="74440719001001"/>
    <n v="-9.1999999999999993"/>
    <n v="226"/>
    <n v="1"/>
    <n v="1"/>
  </r>
  <r>
    <m/>
    <m/>
    <x v="1"/>
    <s v="74567655002001"/>
    <n v="-50.92"/>
    <n v="1251"/>
    <n v="1"/>
    <n v="1"/>
  </r>
  <r>
    <m/>
    <m/>
    <x v="1"/>
    <s v="74601184002001"/>
    <n v="-104.52"/>
    <n v="2568"/>
    <n v="1"/>
    <n v="1"/>
  </r>
  <r>
    <m/>
    <m/>
    <x v="1"/>
    <s v="74802804001001"/>
    <n v="-77.78"/>
    <n v="1911"/>
    <n v="1"/>
    <n v="1"/>
  </r>
  <r>
    <m/>
    <m/>
    <x v="1"/>
    <s v="74881596001001"/>
    <n v="-12.13"/>
    <n v="298"/>
    <n v="1"/>
    <n v="1"/>
  </r>
  <r>
    <m/>
    <m/>
    <x v="1"/>
    <s v="74921730001003"/>
    <n v="-65.69"/>
    <n v="1614"/>
    <n v="1"/>
    <n v="1"/>
  </r>
  <r>
    <m/>
    <m/>
    <x v="1"/>
    <s v="74967292001001"/>
    <n v="-41.88"/>
    <n v="1029"/>
    <n v="1"/>
    <n v="1"/>
  </r>
  <r>
    <m/>
    <m/>
    <x v="1"/>
    <s v="74982765004003"/>
    <n v="-120.8"/>
    <n v="2968"/>
    <n v="1"/>
    <n v="1"/>
  </r>
  <r>
    <m/>
    <m/>
    <x v="1"/>
    <s v="74985601001004"/>
    <n v="-136.55000000000001"/>
    <n v="3355"/>
    <n v="1"/>
    <n v="1"/>
  </r>
  <r>
    <m/>
    <m/>
    <x v="1"/>
    <s v="75021874001005"/>
    <n v="-54.7"/>
    <n v="1344"/>
    <n v="1"/>
    <n v="1"/>
  </r>
  <r>
    <m/>
    <m/>
    <x v="1"/>
    <s v="75195091001003"/>
    <n v="-72.08"/>
    <n v="1771"/>
    <n v="1"/>
    <n v="1"/>
  </r>
  <r>
    <m/>
    <m/>
    <x v="1"/>
    <s v="75378727001005"/>
    <n v="-47.05"/>
    <n v="1156"/>
    <n v="1"/>
    <n v="1"/>
  </r>
  <r>
    <m/>
    <m/>
    <x v="1"/>
    <s v="75436572002003"/>
    <n v="-55.68"/>
    <n v="1368"/>
    <n v="1"/>
    <n v="1"/>
  </r>
  <r>
    <m/>
    <m/>
    <x v="1"/>
    <s v="75453212001001"/>
    <n v="-35.49"/>
    <n v="872"/>
    <n v="1"/>
    <n v="1"/>
  </r>
  <r>
    <m/>
    <m/>
    <x v="1"/>
    <s v="75675274001003"/>
    <n v="-29.87"/>
    <n v="734"/>
    <n v="1"/>
    <n v="1"/>
  </r>
  <r>
    <m/>
    <m/>
    <x v="1"/>
    <s v="75758051001005"/>
    <n v="-49.57"/>
    <n v="1218"/>
    <n v="1"/>
    <n v="1"/>
  </r>
  <r>
    <m/>
    <m/>
    <x v="1"/>
    <s v="75764971002001"/>
    <n v="-33.86"/>
    <n v="832"/>
    <n v="1"/>
    <n v="1"/>
  </r>
  <r>
    <m/>
    <m/>
    <x v="1"/>
    <s v="75795046001003"/>
    <n v="-66.989999999999995"/>
    <n v="1646"/>
    <n v="1"/>
    <n v="1"/>
  </r>
  <r>
    <m/>
    <m/>
    <x v="1"/>
    <s v="75932167001003"/>
    <n v="-41.8"/>
    <n v="1027"/>
    <n v="1"/>
    <n v="1"/>
  </r>
  <r>
    <m/>
    <m/>
    <x v="1"/>
    <s v="75977479001003"/>
    <n v="-98.74"/>
    <n v="2426"/>
    <n v="1"/>
    <n v="1"/>
  </r>
  <r>
    <m/>
    <m/>
    <x v="1"/>
    <s v="76010246001001"/>
    <n v="-32.93"/>
    <n v="809"/>
    <n v="1"/>
    <n v="1"/>
  </r>
  <r>
    <m/>
    <m/>
    <x v="1"/>
    <s v="76205410001002"/>
    <n v="-74.069999999999993"/>
    <n v="1820"/>
    <n v="1"/>
    <n v="1"/>
  </r>
  <r>
    <m/>
    <m/>
    <x v="1"/>
    <s v="76381196002001"/>
    <n v="-112.58"/>
    <n v="2766"/>
    <n v="1"/>
    <n v="1"/>
  </r>
  <r>
    <m/>
    <m/>
    <x v="1"/>
    <s v="76400076002003"/>
    <n v="-84.41"/>
    <n v="2074"/>
    <n v="1"/>
    <n v="1"/>
  </r>
  <r>
    <m/>
    <m/>
    <x v="1"/>
    <s v="76563942002003"/>
    <n v="-47.99"/>
    <n v="1179"/>
    <n v="1"/>
    <n v="1"/>
  </r>
  <r>
    <m/>
    <m/>
    <x v="1"/>
    <s v="76583620001001"/>
    <n v="-8.99"/>
    <n v="221"/>
    <n v="1"/>
    <n v="1"/>
  </r>
  <r>
    <m/>
    <m/>
    <x v="1"/>
    <s v="76608992001003"/>
    <n v="-52.42"/>
    <n v="1288"/>
    <n v="1"/>
    <n v="1"/>
  </r>
  <r>
    <m/>
    <m/>
    <x v="1"/>
    <s v="76614777003003"/>
    <n v="-156.13"/>
    <n v="3836"/>
    <n v="1"/>
    <n v="1"/>
  </r>
  <r>
    <m/>
    <m/>
    <x v="1"/>
    <s v="76680484001004"/>
    <n v="-113.68"/>
    <n v="2793"/>
    <n v="1"/>
    <n v="1"/>
  </r>
  <r>
    <m/>
    <m/>
    <x v="1"/>
    <s v="76834821003003"/>
    <n v="-27.55"/>
    <n v="677"/>
    <n v="1"/>
    <n v="1"/>
  </r>
  <r>
    <m/>
    <m/>
    <x v="1"/>
    <s v="76893121001007"/>
    <n v="-116.77"/>
    <n v="2869"/>
    <n v="1"/>
    <n v="1"/>
  </r>
  <r>
    <m/>
    <m/>
    <x v="1"/>
    <s v="76944469001001"/>
    <n v="-111.4"/>
    <n v="2737"/>
    <n v="1"/>
    <n v="1"/>
  </r>
  <r>
    <m/>
    <m/>
    <x v="1"/>
    <s v="77007576001003"/>
    <n v="-46.15"/>
    <n v="1134"/>
    <n v="1"/>
    <n v="1"/>
  </r>
  <r>
    <m/>
    <m/>
    <x v="1"/>
    <s v="77028597002005"/>
    <n v="-20.72"/>
    <n v="509"/>
    <n v="1"/>
    <n v="1"/>
  </r>
  <r>
    <m/>
    <m/>
    <x v="1"/>
    <s v="77053776001001"/>
    <n v="-12.58"/>
    <n v="309"/>
    <n v="1"/>
    <n v="1"/>
  </r>
  <r>
    <m/>
    <m/>
    <x v="1"/>
    <s v="77098046002002"/>
    <n v="-51.61"/>
    <n v="1268"/>
    <n v="1"/>
    <n v="1"/>
  </r>
  <r>
    <m/>
    <m/>
    <x v="1"/>
    <s v="77102966001003"/>
    <n v="-64.510000000000005"/>
    <n v="1585"/>
    <n v="1"/>
    <n v="1"/>
  </r>
  <r>
    <m/>
    <m/>
    <x v="1"/>
    <s v="77313318003001"/>
    <n v="-72.89"/>
    <n v="1791"/>
    <n v="1"/>
    <n v="1"/>
  </r>
  <r>
    <m/>
    <m/>
    <x v="1"/>
    <s v="77426157006001"/>
    <n v="-28.57"/>
    <n v="702"/>
    <n v="1"/>
    <n v="1"/>
  </r>
  <r>
    <m/>
    <m/>
    <x v="1"/>
    <s v="77464420009001"/>
    <n v="-82.09"/>
    <n v="2017"/>
    <n v="1"/>
    <n v="1"/>
  </r>
  <r>
    <m/>
    <m/>
    <x v="1"/>
    <s v="77501830002003"/>
    <n v="-58.12"/>
    <n v="1428"/>
    <n v="1"/>
    <n v="1"/>
  </r>
  <r>
    <m/>
    <m/>
    <x v="1"/>
    <s v="77671725001005"/>
    <n v="-28.57"/>
    <n v="702"/>
    <n v="1"/>
    <n v="1"/>
  </r>
  <r>
    <m/>
    <m/>
    <x v="1"/>
    <s v="77681333001007"/>
    <n v="-70.209999999999994"/>
    <n v="1725"/>
    <n v="1"/>
    <n v="1"/>
  </r>
  <r>
    <m/>
    <m/>
    <x v="1"/>
    <s v="77743243001001"/>
    <n v="-48.84"/>
    <n v="1200"/>
    <n v="1"/>
    <n v="1"/>
  </r>
  <r>
    <m/>
    <m/>
    <x v="1"/>
    <s v="77965715001003"/>
    <n v="-58.77"/>
    <n v="1444"/>
    <n v="1"/>
    <n v="1"/>
  </r>
  <r>
    <m/>
    <m/>
    <x v="1"/>
    <s v="77965745001001"/>
    <n v="-78.14"/>
    <n v="1920"/>
    <n v="1"/>
    <n v="1"/>
  </r>
  <r>
    <m/>
    <m/>
    <x v="1"/>
    <s v="78058251001001"/>
    <n v="-180.59"/>
    <n v="4437"/>
    <n v="1"/>
    <n v="1"/>
  </r>
  <r>
    <m/>
    <m/>
    <x v="1"/>
    <s v="78170608001003"/>
    <n v="-84.21"/>
    <n v="2069"/>
    <n v="1"/>
    <n v="1"/>
  </r>
  <r>
    <m/>
    <m/>
    <x v="1"/>
    <s v="78218157002001"/>
    <n v="-17.18"/>
    <n v="422"/>
    <n v="1"/>
    <n v="1"/>
  </r>
  <r>
    <m/>
    <m/>
    <x v="1"/>
    <s v="78288740003001"/>
    <n v="-239.93"/>
    <n v="5895"/>
    <n v="3"/>
    <n v="1"/>
  </r>
  <r>
    <m/>
    <m/>
    <x v="1"/>
    <s v="78305476001002"/>
    <n v="-84.78"/>
    <n v="2083"/>
    <n v="1"/>
    <n v="1"/>
  </r>
  <r>
    <m/>
    <m/>
    <x v="1"/>
    <s v="78319567001011"/>
    <n v="-26.21"/>
    <n v="644"/>
    <n v="1"/>
    <n v="1"/>
  </r>
  <r>
    <m/>
    <m/>
    <x v="1"/>
    <s v="78344001001008"/>
    <n v="-31.14"/>
    <n v="765"/>
    <n v="1"/>
    <n v="1"/>
  </r>
  <r>
    <m/>
    <m/>
    <x v="1"/>
    <s v="78408331001003"/>
    <n v="-31.99"/>
    <n v="786"/>
    <n v="1"/>
    <n v="1"/>
  </r>
  <r>
    <m/>
    <m/>
    <x v="1"/>
    <s v="78889736001005"/>
    <n v="-54.82"/>
    <n v="1347"/>
    <n v="1"/>
    <n v="1"/>
  </r>
  <r>
    <m/>
    <m/>
    <x v="1"/>
    <s v="78933573001002"/>
    <n v="-104.4"/>
    <n v="2565"/>
    <n v="1"/>
    <n v="1"/>
  </r>
  <r>
    <m/>
    <m/>
    <x v="1"/>
    <s v="79021044002001"/>
    <n v="-189.91000000000003"/>
    <n v="4666"/>
    <n v="3"/>
    <n v="1"/>
  </r>
  <r>
    <m/>
    <m/>
    <x v="1"/>
    <s v="79030418001001"/>
    <n v="-72.040000000000006"/>
    <n v="1770"/>
    <n v="1"/>
    <n v="1"/>
  </r>
  <r>
    <m/>
    <m/>
    <x v="1"/>
    <s v="79103866001003"/>
    <n v="-12.09"/>
    <n v="297"/>
    <n v="1"/>
    <n v="1"/>
  </r>
  <r>
    <m/>
    <m/>
    <x v="1"/>
    <s v="79209847002003"/>
    <n v="-76.84"/>
    <n v="1888"/>
    <n v="1"/>
    <n v="1"/>
  </r>
  <r>
    <m/>
    <m/>
    <x v="1"/>
    <s v="79262329001005"/>
    <n v="-72.569999999999993"/>
    <n v="1783"/>
    <n v="1"/>
    <n v="1"/>
  </r>
  <r>
    <m/>
    <m/>
    <x v="1"/>
    <s v="79306812001001"/>
    <n v="-85.23"/>
    <n v="2094"/>
    <n v="1"/>
    <n v="1"/>
  </r>
  <r>
    <m/>
    <m/>
    <x v="1"/>
    <s v="79543609001001"/>
    <n v="-68.5"/>
    <n v="1683"/>
    <n v="1"/>
    <n v="1"/>
  </r>
  <r>
    <m/>
    <m/>
    <x v="1"/>
    <s v="79576446001001"/>
    <n v="-12.29"/>
    <n v="302"/>
    <n v="1"/>
    <n v="1"/>
  </r>
  <r>
    <m/>
    <m/>
    <x v="1"/>
    <s v="79692122001001"/>
    <n v="-97.84"/>
    <n v="2404"/>
    <n v="1"/>
    <n v="1"/>
  </r>
  <r>
    <m/>
    <m/>
    <x v="1"/>
    <s v="79770536002001"/>
    <n v="-111.97"/>
    <n v="2751"/>
    <n v="1"/>
    <n v="1"/>
  </r>
  <r>
    <m/>
    <m/>
    <x v="1"/>
    <s v="79804496001003"/>
    <n v="-32.64"/>
    <n v="802"/>
    <n v="1"/>
    <n v="1"/>
  </r>
  <r>
    <m/>
    <m/>
    <x v="1"/>
    <s v="79923140001002"/>
    <n v="-91.29"/>
    <n v="2243"/>
    <n v="1"/>
    <n v="1"/>
  </r>
  <r>
    <m/>
    <m/>
    <x v="1"/>
    <s v="79955342001001"/>
    <n v="-95.52"/>
    <n v="2347"/>
    <n v="1"/>
    <n v="1"/>
  </r>
  <r>
    <m/>
    <m/>
    <x v="1"/>
    <s v="79992996001001"/>
    <n v="-132.80000000000001"/>
    <n v="3263"/>
    <n v="1"/>
    <n v="1"/>
  </r>
  <r>
    <m/>
    <m/>
    <x v="1"/>
    <s v="80230379001001"/>
    <n v="-7.81"/>
    <n v="192"/>
    <n v="1"/>
    <n v="1"/>
  </r>
  <r>
    <m/>
    <m/>
    <x v="1"/>
    <s v="80342056002002"/>
    <n v="-26.29"/>
    <n v="646"/>
    <n v="1"/>
    <n v="1"/>
  </r>
  <r>
    <m/>
    <m/>
    <x v="1"/>
    <s v="80429336001003"/>
    <n v="-28.86"/>
    <n v="709"/>
    <n v="1"/>
    <n v="1"/>
  </r>
  <r>
    <m/>
    <m/>
    <x v="1"/>
    <s v="80469234001007"/>
    <n v="-52.83"/>
    <n v="1298"/>
    <n v="1"/>
    <n v="1"/>
  </r>
  <r>
    <m/>
    <m/>
    <x v="1"/>
    <s v="80538341001002"/>
    <n v="-103.05"/>
    <n v="2532"/>
    <n v="1"/>
    <n v="1"/>
  </r>
  <r>
    <m/>
    <m/>
    <x v="1"/>
    <s v="80547178001002"/>
    <n v="-38.619999999999997"/>
    <n v="949"/>
    <n v="1"/>
    <n v="1"/>
  </r>
  <r>
    <m/>
    <m/>
    <x v="1"/>
    <s v="80568343004001"/>
    <n v="-103.01"/>
    <n v="2531"/>
    <n v="1"/>
    <n v="1"/>
  </r>
  <r>
    <m/>
    <m/>
    <x v="1"/>
    <s v="80643686001001"/>
    <n v="-80.099999999999994"/>
    <n v="1968"/>
    <n v="1"/>
    <n v="1"/>
  </r>
  <r>
    <m/>
    <m/>
    <x v="1"/>
    <s v="80748492001001"/>
    <n v="-61.66"/>
    <n v="1515"/>
    <n v="1"/>
    <n v="1"/>
  </r>
  <r>
    <m/>
    <m/>
    <x v="1"/>
    <s v="80829169004007"/>
    <n v="-115.38"/>
    <n v="2835"/>
    <n v="1"/>
    <n v="1"/>
  </r>
  <r>
    <m/>
    <m/>
    <x v="1"/>
    <s v="80917149001001"/>
    <n v="-33.369999999999997"/>
    <n v="820"/>
    <n v="1"/>
    <n v="1"/>
  </r>
  <r>
    <m/>
    <m/>
    <x v="1"/>
    <s v="80918426001002"/>
    <n v="-82.66"/>
    <n v="2031"/>
    <n v="1"/>
    <n v="1"/>
  </r>
  <r>
    <m/>
    <m/>
    <x v="1"/>
    <s v="80965084001001"/>
    <n v="-82.82"/>
    <n v="2035"/>
    <n v="1"/>
    <n v="1"/>
  </r>
  <r>
    <m/>
    <m/>
    <x v="1"/>
    <s v="81092601001003"/>
    <n v="-117.22"/>
    <n v="2880"/>
    <n v="1"/>
    <n v="1"/>
  </r>
  <r>
    <m/>
    <m/>
    <x v="1"/>
    <s v="81336263001001"/>
    <n v="-73.709999999999994"/>
    <n v="1811"/>
    <n v="1"/>
    <n v="1"/>
  </r>
  <r>
    <m/>
    <m/>
    <x v="1"/>
    <s v="81376958001002"/>
    <n v="-100.45"/>
    <n v="2468"/>
    <n v="1"/>
    <n v="1"/>
  </r>
  <r>
    <m/>
    <m/>
    <x v="1"/>
    <s v="81392055002006"/>
    <n v="-52.87"/>
    <n v="1299"/>
    <n v="1"/>
    <n v="1"/>
  </r>
  <r>
    <m/>
    <m/>
    <x v="1"/>
    <s v="81678039001001"/>
    <n v="-198.7"/>
    <n v="4882"/>
    <n v="1"/>
    <n v="1"/>
  </r>
  <r>
    <m/>
    <m/>
    <x v="1"/>
    <s v="81762889001004"/>
    <n v="-35.25"/>
    <n v="866"/>
    <n v="1"/>
    <n v="1"/>
  </r>
  <r>
    <m/>
    <m/>
    <x v="1"/>
    <s v="81873538001001"/>
    <n v="-77.09"/>
    <n v="1894"/>
    <n v="1"/>
    <n v="1"/>
  </r>
  <r>
    <m/>
    <m/>
    <x v="1"/>
    <s v="81890846004001"/>
    <n v="-105.82"/>
    <n v="2600"/>
    <n v="1"/>
    <n v="1"/>
  </r>
  <r>
    <m/>
    <m/>
    <x v="1"/>
    <s v="81908653002007"/>
    <n v="-122.95"/>
    <n v="3021"/>
    <n v="1"/>
    <n v="1"/>
  </r>
  <r>
    <m/>
    <m/>
    <x v="1"/>
    <s v="82001717001003"/>
    <n v="-14.53"/>
    <n v="357"/>
    <n v="1"/>
    <n v="1"/>
  </r>
  <r>
    <m/>
    <m/>
    <x v="1"/>
    <s v="82041298001001"/>
    <n v="-42.61"/>
    <n v="1047"/>
    <n v="1"/>
    <n v="1"/>
  </r>
  <r>
    <m/>
    <m/>
    <x v="1"/>
    <s v="82204885001007"/>
    <n v="-79.45"/>
    <n v="1952"/>
    <n v="1"/>
    <n v="1"/>
  </r>
  <r>
    <m/>
    <m/>
    <x v="1"/>
    <s v="82321936001001"/>
    <n v="-183.39"/>
    <n v="4506"/>
    <n v="1"/>
    <n v="1"/>
  </r>
  <r>
    <m/>
    <m/>
    <x v="1"/>
    <s v="82389671001001"/>
    <n v="-76.150000000000006"/>
    <n v="1871"/>
    <n v="1"/>
    <n v="1"/>
  </r>
  <r>
    <m/>
    <m/>
    <x v="1"/>
    <s v="82551362001001"/>
    <n v="-37.200000000000003"/>
    <n v="914"/>
    <n v="1"/>
    <n v="1"/>
  </r>
  <r>
    <m/>
    <m/>
    <x v="1"/>
    <s v="82713739001001"/>
    <n v="-29.26"/>
    <n v="719"/>
    <n v="1"/>
    <n v="1"/>
  </r>
  <r>
    <m/>
    <m/>
    <x v="1"/>
    <s v="82742339002001"/>
    <n v="-46.76"/>
    <n v="1149"/>
    <n v="1"/>
    <n v="1"/>
  </r>
  <r>
    <m/>
    <m/>
    <x v="1"/>
    <s v="82768682001003"/>
    <n v="-68.86"/>
    <n v="1692"/>
    <n v="1"/>
    <n v="1"/>
  </r>
  <r>
    <m/>
    <m/>
    <x v="1"/>
    <s v="82891685001001"/>
    <n v="-20.55"/>
    <n v="505"/>
    <n v="1"/>
    <n v="1"/>
  </r>
  <r>
    <m/>
    <m/>
    <x v="1"/>
    <s v="82893255001002"/>
    <n v="-52.87"/>
    <n v="1299"/>
    <n v="1"/>
    <n v="1"/>
  </r>
  <r>
    <m/>
    <m/>
    <x v="1"/>
    <s v="82896055001001"/>
    <n v="-33.94"/>
    <n v="834"/>
    <n v="1"/>
    <n v="1"/>
  </r>
  <r>
    <m/>
    <m/>
    <x v="1"/>
    <s v="82908452001002"/>
    <n v="-5.13"/>
    <n v="126"/>
    <n v="1"/>
    <n v="1"/>
  </r>
  <r>
    <m/>
    <m/>
    <x v="1"/>
    <s v="82981231001001"/>
    <n v="-141.43"/>
    <n v="3475"/>
    <n v="1"/>
    <n v="1"/>
  </r>
  <r>
    <m/>
    <m/>
    <x v="1"/>
    <s v="82995786002003"/>
    <n v="-63.49"/>
    <n v="1560"/>
    <n v="1"/>
    <n v="1"/>
  </r>
  <r>
    <m/>
    <m/>
    <x v="1"/>
    <s v="83058315001003"/>
    <n v="-118.68"/>
    <n v="2916"/>
    <n v="1"/>
    <n v="1"/>
  </r>
  <r>
    <m/>
    <m/>
    <x v="1"/>
    <s v="83271249001001"/>
    <n v="-57.59"/>
    <n v="1415"/>
    <n v="1"/>
    <n v="1"/>
  </r>
  <r>
    <m/>
    <m/>
    <x v="1"/>
    <s v="83298969001003"/>
    <n v="-18.03"/>
    <n v="443"/>
    <n v="1"/>
    <n v="1"/>
  </r>
  <r>
    <m/>
    <m/>
    <x v="1"/>
    <s v="83316320002001"/>
    <n v="-72.650000000000006"/>
    <n v="1785"/>
    <n v="1"/>
    <n v="1"/>
  </r>
  <r>
    <m/>
    <m/>
    <x v="1"/>
    <s v="83403016001001"/>
    <n v="-87.83"/>
    <n v="2158"/>
    <n v="1"/>
    <n v="1"/>
  </r>
  <r>
    <m/>
    <m/>
    <x v="1"/>
    <s v="83430858001001"/>
    <n v="-93.61"/>
    <n v="2300"/>
    <n v="1"/>
    <n v="1"/>
  </r>
  <r>
    <m/>
    <m/>
    <x v="1"/>
    <s v="83532056001002"/>
    <n v="-25.27"/>
    <n v="621"/>
    <n v="1"/>
    <n v="1"/>
  </r>
  <r>
    <m/>
    <m/>
    <x v="1"/>
    <s v="83534984001009"/>
    <n v="-34.31"/>
    <n v="843"/>
    <n v="1"/>
    <n v="1"/>
  </r>
  <r>
    <m/>
    <m/>
    <x v="1"/>
    <s v="83638855001001"/>
    <n v="-35.450000000000003"/>
    <n v="871"/>
    <n v="1"/>
    <n v="1"/>
  </r>
  <r>
    <m/>
    <m/>
    <x v="1"/>
    <s v="83822694001003"/>
    <n v="-24.87"/>
    <n v="611"/>
    <n v="1"/>
    <n v="1"/>
  </r>
  <r>
    <m/>
    <m/>
    <x v="1"/>
    <s v="83863336001001"/>
    <n v="-100.28"/>
    <n v="2464"/>
    <n v="1"/>
    <n v="1"/>
  </r>
  <r>
    <m/>
    <m/>
    <x v="1"/>
    <s v="83899589001009"/>
    <n v="-28.61"/>
    <n v="703"/>
    <n v="1"/>
    <n v="1"/>
  </r>
  <r>
    <m/>
    <m/>
    <x v="1"/>
    <s v="83921448001001"/>
    <n v="-183.52"/>
    <n v="4509"/>
    <n v="1"/>
    <n v="1"/>
  </r>
  <r>
    <m/>
    <m/>
    <x v="1"/>
    <s v="83926751003001"/>
    <n v="-58.89"/>
    <n v="1447"/>
    <n v="1"/>
    <n v="1"/>
  </r>
  <r>
    <m/>
    <m/>
    <x v="1"/>
    <s v="83985151001001"/>
    <n v="-149.41"/>
    <n v="3671"/>
    <n v="1"/>
    <n v="1"/>
  </r>
  <r>
    <m/>
    <m/>
    <x v="1"/>
    <s v="84172805003001"/>
    <n v="-101.18"/>
    <n v="2486"/>
    <n v="1"/>
    <n v="1"/>
  </r>
  <r>
    <m/>
    <m/>
    <x v="1"/>
    <s v="84270072001001"/>
    <n v="-86.16"/>
    <n v="2117"/>
    <n v="1"/>
    <n v="1"/>
  </r>
  <r>
    <m/>
    <m/>
    <x v="1"/>
    <s v="84291714001001"/>
    <n v="-95.28"/>
    <n v="2341"/>
    <n v="1"/>
    <n v="1"/>
  </r>
  <r>
    <m/>
    <m/>
    <x v="1"/>
    <s v="84323944001003"/>
    <n v="-106.27"/>
    <n v="2611"/>
    <n v="1"/>
    <n v="1"/>
  </r>
  <r>
    <m/>
    <m/>
    <x v="1"/>
    <s v="84341077001001"/>
    <n v="-82.42"/>
    <n v="2025"/>
    <n v="1"/>
    <n v="1"/>
  </r>
  <r>
    <m/>
    <m/>
    <x v="1"/>
    <s v="84393062001001"/>
    <n v="-66.14"/>
    <n v="1625"/>
    <n v="1"/>
    <n v="1"/>
  </r>
  <r>
    <m/>
    <m/>
    <x v="1"/>
    <s v="84505506001001"/>
    <n v="-13.23"/>
    <n v="325"/>
    <n v="1"/>
    <n v="1"/>
  </r>
  <r>
    <m/>
    <m/>
    <x v="1"/>
    <s v="84539713001002"/>
    <n v="-11.64"/>
    <n v="286"/>
    <n v="1"/>
    <n v="1"/>
  </r>
  <r>
    <m/>
    <m/>
    <x v="1"/>
    <s v="84762200002001"/>
    <n v="-116.81"/>
    <n v="2870"/>
    <n v="1"/>
    <n v="1"/>
  </r>
  <r>
    <m/>
    <m/>
    <x v="1"/>
    <s v="84892204001006"/>
    <n v="-46.03"/>
    <n v="1131"/>
    <n v="1"/>
    <n v="1"/>
  </r>
  <r>
    <m/>
    <m/>
    <x v="1"/>
    <s v="84915098001001"/>
    <n v="-72.45"/>
    <n v="1780"/>
    <n v="1"/>
    <n v="1"/>
  </r>
  <r>
    <m/>
    <m/>
    <x v="1"/>
    <s v="84944676001003"/>
    <n v="-97.84"/>
    <n v="2404"/>
    <n v="1"/>
    <n v="1"/>
  </r>
  <r>
    <m/>
    <m/>
    <x v="1"/>
    <s v="84961216001001"/>
    <n v="-31.38"/>
    <n v="771"/>
    <n v="1"/>
    <n v="1"/>
  </r>
  <r>
    <m/>
    <m/>
    <x v="1"/>
    <s v="84968906001001"/>
    <n v="-23.12"/>
    <n v="568"/>
    <n v="1"/>
    <n v="1"/>
  </r>
  <r>
    <m/>
    <m/>
    <x v="1"/>
    <s v="85026024001001"/>
    <n v="-55.72"/>
    <n v="1369"/>
    <n v="1"/>
    <n v="1"/>
  </r>
  <r>
    <m/>
    <m/>
    <x v="1"/>
    <s v="85036880003001"/>
    <n v="-25.6"/>
    <n v="629"/>
    <n v="1"/>
    <n v="1"/>
  </r>
  <r>
    <m/>
    <m/>
    <x v="1"/>
    <s v="85292110001005"/>
    <n v="-86.97"/>
    <n v="2137"/>
    <n v="2"/>
    <n v="1"/>
  </r>
  <r>
    <m/>
    <m/>
    <x v="1"/>
    <s v="85368082001007"/>
    <n v="-66.5"/>
    <n v="1634"/>
    <n v="1"/>
    <n v="1"/>
  </r>
  <r>
    <m/>
    <m/>
    <x v="1"/>
    <s v="85530270001005"/>
    <n v="-40.33"/>
    <n v="991"/>
    <n v="1"/>
    <n v="1"/>
  </r>
  <r>
    <m/>
    <m/>
    <x v="1"/>
    <s v="85573862001001"/>
    <n v="-54.01"/>
    <n v="1327"/>
    <n v="1"/>
    <n v="1"/>
  </r>
  <r>
    <m/>
    <m/>
    <x v="1"/>
    <s v="85593168001001"/>
    <n v="-150.43"/>
    <n v="3696"/>
    <n v="1"/>
    <n v="1"/>
  </r>
  <r>
    <m/>
    <m/>
    <x v="1"/>
    <s v="85607571003001"/>
    <n v="-100.28"/>
    <n v="2464"/>
    <n v="1"/>
    <n v="1"/>
  </r>
  <r>
    <m/>
    <m/>
    <x v="1"/>
    <s v="85645329001001"/>
    <n v="-28.57"/>
    <n v="702"/>
    <n v="1"/>
    <n v="1"/>
  </r>
  <r>
    <m/>
    <m/>
    <x v="1"/>
    <s v="85690597001008"/>
    <n v="-30.73"/>
    <n v="755"/>
    <n v="1"/>
    <n v="1"/>
  </r>
  <r>
    <m/>
    <m/>
    <x v="1"/>
    <s v="85691100003003"/>
    <n v="-50.35"/>
    <n v="1237"/>
    <n v="1"/>
    <n v="1"/>
  </r>
  <r>
    <m/>
    <m/>
    <x v="1"/>
    <s v="85820968001001"/>
    <n v="-80.790000000000006"/>
    <n v="1985"/>
    <n v="1"/>
    <n v="1"/>
  </r>
  <r>
    <m/>
    <m/>
    <x v="1"/>
    <s v="85887194001001"/>
    <n v="-32.56"/>
    <n v="800"/>
    <n v="1"/>
    <n v="1"/>
  </r>
  <r>
    <m/>
    <m/>
    <x v="1"/>
    <s v="86002539001001"/>
    <n v="-43.67"/>
    <n v="1073"/>
    <n v="1"/>
    <n v="1"/>
  </r>
  <r>
    <m/>
    <m/>
    <x v="1"/>
    <s v="86054286001001"/>
    <n v="-44.93"/>
    <n v="1104"/>
    <n v="1"/>
    <n v="1"/>
  </r>
  <r>
    <m/>
    <m/>
    <x v="1"/>
    <s v="86084151001007"/>
    <n v="-62.76"/>
    <n v="1542"/>
    <n v="1"/>
    <n v="1"/>
  </r>
  <r>
    <m/>
    <m/>
    <x v="1"/>
    <s v="86185830003001"/>
    <n v="-241.92"/>
    <n v="5944"/>
    <n v="1"/>
    <n v="1"/>
  </r>
  <r>
    <m/>
    <m/>
    <x v="1"/>
    <s v="86403014001001"/>
    <n v="-97.48"/>
    <n v="2395"/>
    <n v="1"/>
    <n v="1"/>
  </r>
  <r>
    <m/>
    <m/>
    <x v="1"/>
    <s v="86404752001003"/>
    <n v="-141.51"/>
    <n v="3477"/>
    <n v="1"/>
    <n v="1"/>
  </r>
  <r>
    <m/>
    <m/>
    <x v="1"/>
    <s v="86408131001004"/>
    <n v="-83.31"/>
    <n v="2047"/>
    <n v="1"/>
    <n v="1"/>
  </r>
  <r>
    <m/>
    <m/>
    <x v="1"/>
    <s v="86420880001004"/>
    <n v="-204.68"/>
    <n v="5029"/>
    <n v="1"/>
    <n v="1"/>
  </r>
  <r>
    <m/>
    <m/>
    <x v="1"/>
    <s v="86557042001001"/>
    <n v="-102.52"/>
    <n v="2519"/>
    <n v="1"/>
    <n v="1"/>
  </r>
  <r>
    <m/>
    <m/>
    <x v="1"/>
    <s v="86571267001009"/>
    <n v="-44.77"/>
    <n v="1100"/>
    <n v="1"/>
    <n v="1"/>
  </r>
  <r>
    <m/>
    <m/>
    <x v="1"/>
    <s v="86628477001001"/>
    <n v="-73.14"/>
    <n v="1797"/>
    <n v="1"/>
    <n v="1"/>
  </r>
  <r>
    <m/>
    <m/>
    <x v="1"/>
    <s v="86736871001001"/>
    <n v="-42.82"/>
    <n v="1052"/>
    <n v="1"/>
    <n v="1"/>
  </r>
  <r>
    <m/>
    <m/>
    <x v="1"/>
    <s v="86973909002001"/>
    <n v="-65.489999999999995"/>
    <n v="1609"/>
    <n v="1"/>
    <n v="1"/>
  </r>
  <r>
    <m/>
    <m/>
    <x v="1"/>
    <s v="86983732001001"/>
    <n v="-130"/>
    <n v="3194"/>
    <n v="1"/>
    <n v="1"/>
  </r>
  <r>
    <m/>
    <m/>
    <x v="1"/>
    <s v="86997021001001"/>
    <n v="-79.319999999999993"/>
    <n v="1949"/>
    <n v="1"/>
    <n v="1"/>
  </r>
  <r>
    <m/>
    <m/>
    <x v="1"/>
    <s v="87070925001002"/>
    <n v="-55.03"/>
    <n v="1352"/>
    <n v="1"/>
    <n v="1"/>
  </r>
  <r>
    <m/>
    <m/>
    <x v="1"/>
    <s v="87251090001001"/>
    <n v="-82.13"/>
    <n v="2018"/>
    <n v="1"/>
    <n v="1"/>
  </r>
  <r>
    <m/>
    <m/>
    <x v="1"/>
    <s v="87315623001002"/>
    <n v="-54.33"/>
    <n v="1335"/>
    <n v="1"/>
    <n v="1"/>
  </r>
  <r>
    <m/>
    <m/>
    <x v="1"/>
    <s v="87361385001003"/>
    <n v="-93.65"/>
    <n v="2301"/>
    <n v="1"/>
    <n v="1"/>
  </r>
  <r>
    <m/>
    <m/>
    <x v="1"/>
    <s v="87375744001001"/>
    <n v="-42.04"/>
    <n v="1033"/>
    <n v="1"/>
    <n v="1"/>
  </r>
  <r>
    <m/>
    <m/>
    <x v="1"/>
    <s v="87496467002001"/>
    <n v="-56.7"/>
    <n v="1393"/>
    <n v="1"/>
    <n v="1"/>
  </r>
  <r>
    <m/>
    <m/>
    <x v="1"/>
    <s v="87518854002005"/>
    <n v="-39.799999999999997"/>
    <n v="978"/>
    <n v="1"/>
    <n v="1"/>
  </r>
  <r>
    <m/>
    <m/>
    <x v="1"/>
    <s v="87551644002001"/>
    <n v="-63.61"/>
    <n v="1563"/>
    <n v="1"/>
    <n v="1"/>
  </r>
  <r>
    <m/>
    <m/>
    <x v="1"/>
    <s v="87567739001004"/>
    <n v="-129.26"/>
    <n v="3176"/>
    <n v="1"/>
    <n v="1"/>
  </r>
  <r>
    <m/>
    <m/>
    <x v="1"/>
    <s v="87604227002001"/>
    <n v="-70.94"/>
    <n v="1743"/>
    <n v="1"/>
    <n v="1"/>
  </r>
  <r>
    <m/>
    <m/>
    <x v="1"/>
    <s v="87672343001003"/>
    <n v="-57.55"/>
    <n v="1414"/>
    <n v="1"/>
    <n v="1"/>
  </r>
  <r>
    <m/>
    <m/>
    <x v="1"/>
    <s v="87750579001001"/>
    <n v="-22.87"/>
    <n v="562"/>
    <n v="1"/>
    <n v="1"/>
  </r>
  <r>
    <m/>
    <m/>
    <x v="1"/>
    <s v="87810851004003"/>
    <n v="-160.63999999999999"/>
    <n v="3947"/>
    <n v="1"/>
    <n v="1"/>
  </r>
  <r>
    <m/>
    <m/>
    <x v="1"/>
    <s v="87876958001001"/>
    <n v="-81.89"/>
    <n v="2012"/>
    <n v="1"/>
    <n v="1"/>
  </r>
  <r>
    <m/>
    <m/>
    <x v="1"/>
    <s v="87919824001001"/>
    <n v="-157.35"/>
    <n v="3866"/>
    <n v="1"/>
    <n v="1"/>
  </r>
  <r>
    <m/>
    <m/>
    <x v="1"/>
    <s v="87939910002007"/>
    <n v="-156.21"/>
    <n v="3838"/>
    <n v="1"/>
    <n v="1"/>
  </r>
  <r>
    <m/>
    <m/>
    <x v="1"/>
    <s v="87972562001003"/>
    <n v="-41.07"/>
    <n v="1009"/>
    <n v="1"/>
    <n v="1"/>
  </r>
  <r>
    <m/>
    <m/>
    <x v="1"/>
    <s v="88063060001002"/>
    <n v="-117.7"/>
    <n v="2892"/>
    <n v="1"/>
    <n v="1"/>
  </r>
  <r>
    <m/>
    <m/>
    <x v="1"/>
    <s v="88122486001001"/>
    <n v="-92.06"/>
    <n v="2262"/>
    <n v="1"/>
    <n v="1"/>
  </r>
  <r>
    <m/>
    <m/>
    <x v="1"/>
    <s v="88142806002001"/>
    <n v="-104.03"/>
    <n v="2556"/>
    <n v="1"/>
    <n v="1"/>
  </r>
  <r>
    <m/>
    <m/>
    <x v="1"/>
    <s v="88196768003001"/>
    <n v="-100.37"/>
    <n v="2466"/>
    <n v="1"/>
    <n v="1"/>
  </r>
  <r>
    <m/>
    <m/>
    <x v="1"/>
    <s v="88236235001004"/>
    <n v="-10.18"/>
    <n v="250"/>
    <n v="1"/>
    <n v="1"/>
  </r>
  <r>
    <m/>
    <m/>
    <x v="1"/>
    <s v="88304092001001"/>
    <n v="-18.68"/>
    <n v="459"/>
    <n v="1"/>
    <n v="1"/>
  </r>
  <r>
    <m/>
    <m/>
    <x v="1"/>
    <s v="88386366001006"/>
    <n v="-28.49"/>
    <n v="700"/>
    <n v="1"/>
    <n v="1"/>
  </r>
  <r>
    <m/>
    <m/>
    <x v="1"/>
    <s v="88457516001006"/>
    <n v="-20.55"/>
    <n v="505"/>
    <n v="1"/>
    <n v="1"/>
  </r>
  <r>
    <m/>
    <m/>
    <x v="1"/>
    <s v="88484707001005"/>
    <n v="-28.45"/>
    <n v="699"/>
    <n v="1"/>
    <n v="1"/>
  </r>
  <r>
    <m/>
    <m/>
    <x v="1"/>
    <s v="88560211001003"/>
    <n v="-84.17"/>
    <n v="2068"/>
    <n v="1"/>
    <n v="1"/>
  </r>
  <r>
    <m/>
    <m/>
    <x v="1"/>
    <s v="88573270001001"/>
    <n v="-74.36"/>
    <n v="1827"/>
    <n v="1"/>
    <n v="1"/>
  </r>
  <r>
    <m/>
    <m/>
    <x v="1"/>
    <s v="88732713001004"/>
    <n v="-66.14"/>
    <n v="1625"/>
    <n v="1"/>
    <n v="1"/>
  </r>
  <r>
    <m/>
    <m/>
    <x v="1"/>
    <s v="88772979001005"/>
    <n v="-27.15"/>
    <n v="667"/>
    <n v="1"/>
    <n v="1"/>
  </r>
  <r>
    <m/>
    <m/>
    <x v="1"/>
    <s v="89037466001001"/>
    <n v="-17.829999999999998"/>
    <n v="438"/>
    <n v="1"/>
    <n v="1"/>
  </r>
  <r>
    <m/>
    <m/>
    <x v="1"/>
    <s v="89105915001001"/>
    <n v="-230.24"/>
    <n v="5657"/>
    <n v="1"/>
    <n v="1"/>
  </r>
  <r>
    <m/>
    <m/>
    <x v="1"/>
    <s v="89184529001001"/>
    <n v="-105.98"/>
    <n v="2604"/>
    <n v="1"/>
    <n v="1"/>
  </r>
  <r>
    <m/>
    <m/>
    <x v="1"/>
    <s v="89283834002003"/>
    <n v="-96.17"/>
    <n v="2363"/>
    <n v="1"/>
    <n v="1"/>
  </r>
  <r>
    <m/>
    <m/>
    <x v="1"/>
    <s v="89432732001001"/>
    <n v="-51.69"/>
    <n v="1270"/>
    <n v="1"/>
    <n v="1"/>
  </r>
  <r>
    <m/>
    <m/>
    <x v="1"/>
    <s v="89476768001001"/>
    <n v="-119.33"/>
    <n v="2932"/>
    <n v="1"/>
    <n v="1"/>
  </r>
  <r>
    <m/>
    <m/>
    <x v="1"/>
    <s v="89636629003001"/>
    <n v="-30.24"/>
    <n v="743"/>
    <n v="1"/>
    <n v="1"/>
  </r>
  <r>
    <m/>
    <m/>
    <x v="1"/>
    <s v="89768877001001"/>
    <n v="-61.62"/>
    <n v="1514"/>
    <n v="1"/>
    <n v="1"/>
  </r>
  <r>
    <m/>
    <m/>
    <x v="1"/>
    <s v="89805136001001"/>
    <n v="-169.92"/>
    <n v="4175"/>
    <n v="1"/>
    <n v="1"/>
  </r>
  <r>
    <m/>
    <m/>
    <x v="1"/>
    <s v="90058594005003"/>
    <n v="-96.26"/>
    <n v="2365"/>
    <n v="1"/>
    <n v="1"/>
  </r>
  <r>
    <m/>
    <m/>
    <x v="1"/>
    <s v="90096776002005"/>
    <n v="-21.37"/>
    <n v="525"/>
    <n v="1"/>
    <n v="1"/>
  </r>
  <r>
    <m/>
    <m/>
    <x v="1"/>
    <s v="90163954002001"/>
    <n v="-146.80000000000001"/>
    <n v="3607"/>
    <n v="1"/>
    <n v="1"/>
  </r>
  <r>
    <m/>
    <m/>
    <x v="1"/>
    <s v="90223411001018"/>
    <n v="-34.96"/>
    <n v="859"/>
    <n v="1"/>
    <n v="1"/>
  </r>
  <r>
    <m/>
    <m/>
    <x v="1"/>
    <s v="90278607001005"/>
    <n v="-65.650000000000006"/>
    <n v="1613"/>
    <n v="1"/>
    <n v="1"/>
  </r>
  <r>
    <m/>
    <m/>
    <x v="1"/>
    <s v="90301796001001"/>
    <n v="-94.95"/>
    <n v="2333"/>
    <n v="1"/>
    <n v="1"/>
  </r>
  <r>
    <m/>
    <m/>
    <x v="1"/>
    <s v="90452230001004"/>
    <n v="-91.17"/>
    <n v="2240"/>
    <n v="1"/>
    <n v="1"/>
  </r>
  <r>
    <m/>
    <m/>
    <x v="1"/>
    <s v="90453061001001"/>
    <n v="-79.569999999999993"/>
    <n v="1955"/>
    <n v="1"/>
    <n v="1"/>
  </r>
  <r>
    <m/>
    <m/>
    <x v="1"/>
    <s v="90540116001001"/>
    <n v="-115.42999999999999"/>
    <n v="2836"/>
    <n v="2"/>
    <n v="1"/>
  </r>
  <r>
    <m/>
    <m/>
    <x v="1"/>
    <s v="90553398001001"/>
    <n v="-36.26"/>
    <n v="891"/>
    <n v="1"/>
    <n v="1"/>
  </r>
  <r>
    <m/>
    <m/>
    <x v="1"/>
    <s v="90556685001003"/>
    <n v="-80.02"/>
    <n v="1966"/>
    <n v="1"/>
    <n v="1"/>
  </r>
  <r>
    <m/>
    <m/>
    <x v="1"/>
    <s v="90593570008003"/>
    <n v="-145.58000000000001"/>
    <n v="3577"/>
    <n v="1"/>
    <n v="1"/>
  </r>
  <r>
    <m/>
    <m/>
    <x v="1"/>
    <s v="90740546001001"/>
    <n v="-84.82"/>
    <n v="2084"/>
    <n v="1"/>
    <n v="1"/>
  </r>
  <r>
    <m/>
    <m/>
    <x v="1"/>
    <s v="90846228003007"/>
    <n v="-162.22999999999999"/>
    <n v="3986"/>
    <n v="1"/>
    <n v="1"/>
  </r>
  <r>
    <m/>
    <m/>
    <x v="1"/>
    <s v="90861906001006"/>
    <n v="-74.16"/>
    <n v="1822"/>
    <n v="1"/>
    <n v="1"/>
  </r>
  <r>
    <m/>
    <m/>
    <x v="1"/>
    <s v="90940438001001"/>
    <n v="-134.80000000000001"/>
    <n v="3312"/>
    <n v="1"/>
    <n v="1"/>
  </r>
  <r>
    <m/>
    <m/>
    <x v="1"/>
    <s v="90946391001001"/>
    <n v="-27.19"/>
    <n v="668"/>
    <n v="1"/>
    <n v="1"/>
  </r>
  <r>
    <m/>
    <m/>
    <x v="1"/>
    <s v="91085873002001"/>
    <n v="-16.079999999999998"/>
    <n v="395"/>
    <n v="1"/>
    <n v="1"/>
  </r>
  <r>
    <m/>
    <m/>
    <x v="1"/>
    <s v="91155934001001"/>
    <n v="-76.760000000000005"/>
    <n v="1886"/>
    <n v="1"/>
    <n v="1"/>
  </r>
  <r>
    <m/>
    <m/>
    <x v="1"/>
    <s v="91537061004005"/>
    <n v="-105.62"/>
    <n v="2595"/>
    <n v="1"/>
    <n v="1"/>
  </r>
  <r>
    <m/>
    <m/>
    <x v="1"/>
    <s v="91552426001001"/>
    <n v="-56.13"/>
    <n v="1379"/>
    <n v="1"/>
    <n v="1"/>
  </r>
  <r>
    <m/>
    <m/>
    <x v="1"/>
    <s v="91577981002004"/>
    <n v="-20.39"/>
    <n v="501"/>
    <n v="1"/>
    <n v="1"/>
  </r>
  <r>
    <m/>
    <m/>
    <x v="1"/>
    <s v="91758755001002"/>
    <n v="-47.62"/>
    <n v="1170"/>
    <n v="1"/>
    <n v="1"/>
  </r>
  <r>
    <m/>
    <m/>
    <x v="1"/>
    <s v="91774675002002"/>
    <n v="-112.62"/>
    <n v="2767"/>
    <n v="1"/>
    <n v="1"/>
  </r>
  <r>
    <m/>
    <m/>
    <x v="1"/>
    <s v="91796781001003"/>
    <n v="-35.409999999999997"/>
    <n v="870"/>
    <n v="1"/>
    <n v="1"/>
  </r>
  <r>
    <m/>
    <m/>
    <x v="1"/>
    <s v="91856237001003"/>
    <n v="-27.02"/>
    <n v="664"/>
    <n v="1"/>
    <n v="1"/>
  </r>
  <r>
    <m/>
    <m/>
    <x v="1"/>
    <s v="91895802001005"/>
    <n v="-41.43"/>
    <n v="1018"/>
    <n v="1"/>
    <n v="1"/>
  </r>
  <r>
    <m/>
    <m/>
    <x v="1"/>
    <s v="91911316001004"/>
    <n v="-62.88"/>
    <n v="1545"/>
    <n v="1"/>
    <n v="1"/>
  </r>
  <r>
    <m/>
    <m/>
    <x v="1"/>
    <s v="91915411001003"/>
    <n v="-70.489999999999995"/>
    <n v="1732"/>
    <n v="1"/>
    <n v="1"/>
  </r>
  <r>
    <m/>
    <m/>
    <x v="1"/>
    <s v="91995451001005"/>
    <n v="-33.619999999999997"/>
    <n v="826"/>
    <n v="1"/>
    <n v="1"/>
  </r>
  <r>
    <m/>
    <m/>
    <x v="1"/>
    <s v="92061113001004"/>
    <n v="-24.95"/>
    <n v="613"/>
    <n v="1"/>
    <n v="1"/>
  </r>
  <r>
    <m/>
    <m/>
    <x v="1"/>
    <s v="92255766001001"/>
    <n v="-89.34"/>
    <n v="2195"/>
    <n v="1"/>
    <n v="1"/>
  </r>
  <r>
    <m/>
    <m/>
    <x v="1"/>
    <s v="92452991003001"/>
    <n v="-64.510000000000005"/>
    <n v="1585"/>
    <n v="1"/>
    <n v="1"/>
  </r>
  <r>
    <m/>
    <m/>
    <x v="1"/>
    <s v="92476559001004"/>
    <n v="-69.27"/>
    <n v="1702"/>
    <n v="1"/>
    <n v="1"/>
  </r>
  <r>
    <m/>
    <m/>
    <x v="1"/>
    <s v="92523561001001"/>
    <n v="-80.87"/>
    <n v="1987"/>
    <n v="1"/>
    <n v="1"/>
  </r>
  <r>
    <m/>
    <m/>
    <x v="1"/>
    <s v="92643112001001"/>
    <n v="-19.62"/>
    <n v="482"/>
    <n v="1"/>
    <n v="1"/>
  </r>
  <r>
    <m/>
    <m/>
    <x v="1"/>
    <s v="92962178001001"/>
    <n v="-87.34"/>
    <n v="2146"/>
    <n v="1"/>
    <n v="1"/>
  </r>
  <r>
    <m/>
    <m/>
    <x v="1"/>
    <s v="93025417001005"/>
    <n v="-12.05"/>
    <n v="296"/>
    <n v="1"/>
    <n v="1"/>
  </r>
  <r>
    <m/>
    <m/>
    <x v="1"/>
    <s v="93054261001004"/>
    <n v="-45.91"/>
    <n v="1128"/>
    <n v="1"/>
    <n v="1"/>
  </r>
  <r>
    <m/>
    <m/>
    <x v="1"/>
    <s v="93295699001009"/>
    <n v="-63.61"/>
    <n v="1563"/>
    <n v="1"/>
    <n v="1"/>
  </r>
  <r>
    <m/>
    <m/>
    <x v="1"/>
    <s v="93316698001001"/>
    <n v="-12.17"/>
    <n v="299"/>
    <n v="1"/>
    <n v="1"/>
  </r>
  <r>
    <m/>
    <m/>
    <x v="1"/>
    <s v="93357124001001"/>
    <n v="-122.91"/>
    <n v="3020"/>
    <n v="1"/>
    <n v="1"/>
  </r>
  <r>
    <m/>
    <m/>
    <x v="1"/>
    <s v="93451293001002"/>
    <n v="-44.93"/>
    <n v="1104"/>
    <n v="1"/>
    <n v="1"/>
  </r>
  <r>
    <m/>
    <m/>
    <x v="1"/>
    <s v="93453320001012"/>
    <n v="-23.69"/>
    <n v="582"/>
    <n v="1"/>
    <n v="1"/>
  </r>
  <r>
    <m/>
    <m/>
    <x v="1"/>
    <s v="93477594002001"/>
    <n v="-38.54"/>
    <n v="947"/>
    <n v="1"/>
    <n v="1"/>
  </r>
  <r>
    <m/>
    <m/>
    <x v="1"/>
    <s v="93525219001001"/>
    <n v="-71.63"/>
    <n v="1760"/>
    <n v="1"/>
    <n v="1"/>
  </r>
  <r>
    <m/>
    <m/>
    <x v="1"/>
    <s v="93636459002001"/>
    <n v="-8.34"/>
    <n v="205"/>
    <n v="1"/>
    <n v="1"/>
  </r>
  <r>
    <m/>
    <m/>
    <x v="1"/>
    <s v="93908930001001"/>
    <n v="-138.71"/>
    <n v="3408"/>
    <n v="1"/>
    <n v="1"/>
  </r>
  <r>
    <m/>
    <m/>
    <x v="1"/>
    <s v="93981586001005"/>
    <n v="-71.14"/>
    <n v="1748"/>
    <n v="1"/>
    <n v="1"/>
  </r>
  <r>
    <m/>
    <m/>
    <x v="1"/>
    <s v="94050793001001"/>
    <n v="-44.4"/>
    <n v="1091"/>
    <n v="1"/>
    <n v="1"/>
  </r>
  <r>
    <m/>
    <m/>
    <x v="1"/>
    <s v="94127903001001"/>
    <n v="-33.29"/>
    <n v="818"/>
    <n v="1"/>
    <n v="1"/>
  </r>
  <r>
    <m/>
    <m/>
    <x v="1"/>
    <s v="94205637001001"/>
    <n v="-70.53"/>
    <n v="1733"/>
    <n v="1"/>
    <n v="1"/>
  </r>
  <r>
    <m/>
    <m/>
    <x v="1"/>
    <s v="94338453002001"/>
    <n v="-110.09"/>
    <n v="2705"/>
    <n v="1"/>
    <n v="1"/>
  </r>
  <r>
    <m/>
    <m/>
    <x v="1"/>
    <s v="94383185001003"/>
    <n v="-47.5"/>
    <n v="1167"/>
    <n v="1"/>
    <n v="1"/>
  </r>
  <r>
    <m/>
    <m/>
    <x v="1"/>
    <s v="94462558005001"/>
    <n v="-2.2400000000000002"/>
    <n v="55"/>
    <n v="1"/>
    <n v="1"/>
  </r>
  <r>
    <m/>
    <m/>
    <x v="1"/>
    <s v="94490206001003"/>
    <n v="-43.96"/>
    <n v="1080"/>
    <n v="1"/>
    <n v="1"/>
  </r>
  <r>
    <m/>
    <m/>
    <x v="1"/>
    <s v="94637710004001"/>
    <n v="-94.99"/>
    <n v="2334"/>
    <n v="1"/>
    <n v="1"/>
  </r>
  <r>
    <m/>
    <m/>
    <x v="1"/>
    <s v="94648149001003"/>
    <n v="-47.99"/>
    <n v="1179"/>
    <n v="1"/>
    <n v="1"/>
  </r>
  <r>
    <m/>
    <m/>
    <x v="1"/>
    <s v="94664502002001"/>
    <n v="-62.27"/>
    <n v="1530"/>
    <n v="1"/>
    <n v="1"/>
  </r>
  <r>
    <m/>
    <m/>
    <x v="1"/>
    <s v="94670446001001"/>
    <n v="-38.79"/>
    <n v="953"/>
    <n v="1"/>
    <n v="1"/>
  </r>
  <r>
    <m/>
    <m/>
    <x v="1"/>
    <s v="94725102001001"/>
    <n v="-3.3"/>
    <n v="81"/>
    <n v="1"/>
    <n v="1"/>
  </r>
  <r>
    <m/>
    <m/>
    <x v="1"/>
    <s v="94788572001004"/>
    <n v="-110.01"/>
    <n v="2703"/>
    <n v="1"/>
    <n v="1"/>
  </r>
  <r>
    <m/>
    <m/>
    <x v="1"/>
    <s v="94794096001013"/>
    <n v="-128.65"/>
    <n v="3161"/>
    <n v="1"/>
    <n v="1"/>
  </r>
  <r>
    <m/>
    <m/>
    <x v="1"/>
    <s v="94825236001003"/>
    <n v="-36.18"/>
    <n v="889"/>
    <n v="1"/>
    <n v="1"/>
  </r>
  <r>
    <m/>
    <m/>
    <x v="1"/>
    <s v="94878471002001"/>
    <n v="-38.58"/>
    <n v="948"/>
    <n v="1"/>
    <n v="1"/>
  </r>
  <r>
    <m/>
    <m/>
    <x v="1"/>
    <s v="94900294001001"/>
    <n v="-142.29"/>
    <n v="3496"/>
    <n v="1"/>
    <n v="1"/>
  </r>
  <r>
    <m/>
    <m/>
    <x v="1"/>
    <s v="95032265001003"/>
    <n v="-91.21"/>
    <n v="2241"/>
    <n v="1"/>
    <n v="1"/>
  </r>
  <r>
    <m/>
    <m/>
    <x v="1"/>
    <s v="95080825001003"/>
    <n v="-63.9"/>
    <n v="1570"/>
    <n v="1"/>
    <n v="1"/>
  </r>
  <r>
    <m/>
    <m/>
    <x v="1"/>
    <s v="95117315001002"/>
    <n v="-65.12"/>
    <n v="1600"/>
    <n v="1"/>
    <n v="1"/>
  </r>
  <r>
    <m/>
    <m/>
    <x v="1"/>
    <s v="95224398001001"/>
    <n v="-51.04"/>
    <n v="1254"/>
    <n v="1"/>
    <n v="1"/>
  </r>
  <r>
    <m/>
    <m/>
    <x v="1"/>
    <s v="95275266001003"/>
    <n v="-72.040000000000006"/>
    <n v="1770"/>
    <n v="1"/>
    <n v="1"/>
  </r>
  <r>
    <m/>
    <m/>
    <x v="1"/>
    <s v="95420862001001"/>
    <n v="-101.47"/>
    <n v="2493"/>
    <n v="1"/>
    <n v="1"/>
  </r>
  <r>
    <m/>
    <m/>
    <x v="1"/>
    <s v="95442300001011"/>
    <n v="-124.34"/>
    <n v="3055"/>
    <n v="1"/>
    <n v="1"/>
  </r>
  <r>
    <m/>
    <m/>
    <x v="1"/>
    <s v="95614176003001"/>
    <n v="-49.61"/>
    <n v="1219"/>
    <n v="1"/>
    <n v="1"/>
  </r>
  <r>
    <m/>
    <m/>
    <x v="1"/>
    <s v="95640914001001"/>
    <n v="-20.8"/>
    <n v="511"/>
    <n v="1"/>
    <n v="1"/>
  </r>
  <r>
    <m/>
    <m/>
    <x v="1"/>
    <s v="95667226001001"/>
    <n v="-106.88"/>
    <n v="2626"/>
    <n v="1"/>
    <n v="1"/>
  </r>
  <r>
    <m/>
    <m/>
    <x v="1"/>
    <s v="95766863001001"/>
    <n v="-27.47"/>
    <n v="675"/>
    <n v="1"/>
    <n v="1"/>
  </r>
  <r>
    <m/>
    <m/>
    <x v="1"/>
    <s v="95773639001006"/>
    <n v="-65.239999999999995"/>
    <n v="1603"/>
    <n v="1"/>
    <n v="1"/>
  </r>
  <r>
    <m/>
    <m/>
    <x v="1"/>
    <s v="95815042001004"/>
    <n v="-84.98"/>
    <n v="2088"/>
    <n v="1"/>
    <n v="1"/>
  </r>
  <r>
    <m/>
    <m/>
    <x v="1"/>
    <s v="95820648002006"/>
    <n v="-20.55"/>
    <n v="505"/>
    <n v="1"/>
    <n v="1"/>
  </r>
  <r>
    <m/>
    <m/>
    <x v="1"/>
    <s v="95948807004001"/>
    <n v="-33.21"/>
    <n v="816"/>
    <n v="1"/>
    <n v="1"/>
  </r>
  <r>
    <m/>
    <m/>
    <x v="1"/>
    <s v="96041241001001"/>
    <n v="-40.25"/>
    <n v="989"/>
    <n v="1"/>
    <n v="1"/>
  </r>
  <r>
    <m/>
    <m/>
    <x v="1"/>
    <s v="96139953003003"/>
    <n v="-91.29"/>
    <n v="2243"/>
    <n v="1"/>
    <n v="1"/>
  </r>
  <r>
    <m/>
    <m/>
    <x v="1"/>
    <s v="96145942001001"/>
    <n v="-21.65"/>
    <n v="532"/>
    <n v="1"/>
    <n v="1"/>
  </r>
  <r>
    <m/>
    <m/>
    <x v="1"/>
    <s v="96179506001001"/>
    <n v="-114.24"/>
    <n v="2807"/>
    <n v="1"/>
    <n v="1"/>
  </r>
  <r>
    <m/>
    <m/>
    <x v="1"/>
    <s v="96226382001001"/>
    <n v="-26.13"/>
    <n v="642"/>
    <n v="1"/>
    <n v="1"/>
  </r>
  <r>
    <m/>
    <m/>
    <x v="1"/>
    <s v="96258332001001"/>
    <n v="-53.28"/>
    <n v="1309"/>
    <n v="1"/>
    <n v="1"/>
  </r>
  <r>
    <m/>
    <m/>
    <x v="1"/>
    <s v="96305704001001"/>
    <n v="-93.73"/>
    <n v="2303"/>
    <n v="1"/>
    <n v="1"/>
  </r>
  <r>
    <m/>
    <m/>
    <x v="1"/>
    <s v="96426781002003"/>
    <n v="-45.01"/>
    <n v="1106"/>
    <n v="1"/>
    <n v="1"/>
  </r>
  <r>
    <m/>
    <m/>
    <x v="1"/>
    <s v="96460390002003"/>
    <n v="-27.59"/>
    <n v="678"/>
    <n v="1"/>
    <n v="1"/>
  </r>
  <r>
    <m/>
    <m/>
    <x v="1"/>
    <s v="96526669001001"/>
    <n v="-4.07"/>
    <n v="100"/>
    <n v="1"/>
    <n v="1"/>
  </r>
  <r>
    <m/>
    <m/>
    <x v="1"/>
    <s v="96564870001001"/>
    <n v="-155.35"/>
    <n v="3817"/>
    <n v="2"/>
    <n v="1"/>
  </r>
  <r>
    <m/>
    <m/>
    <x v="1"/>
    <s v="96664201001004"/>
    <n v="-64.27"/>
    <n v="1579"/>
    <n v="1"/>
    <n v="1"/>
  </r>
  <r>
    <m/>
    <m/>
    <x v="1"/>
    <s v="96678659001003"/>
    <n v="-90.64"/>
    <n v="2227"/>
    <n v="1"/>
    <n v="1"/>
  </r>
  <r>
    <m/>
    <m/>
    <x v="1"/>
    <s v="96740158001001"/>
    <n v="-28.41"/>
    <n v="698"/>
    <n v="1"/>
    <n v="1"/>
  </r>
  <r>
    <m/>
    <m/>
    <x v="1"/>
    <s v="96743423001001"/>
    <n v="-28.98"/>
    <n v="712"/>
    <n v="1"/>
    <n v="1"/>
  </r>
  <r>
    <m/>
    <m/>
    <x v="1"/>
    <s v="96759256001001"/>
    <n v="-38.79"/>
    <n v="953"/>
    <n v="1"/>
    <n v="1"/>
  </r>
  <r>
    <m/>
    <m/>
    <x v="1"/>
    <s v="96913407001002"/>
    <n v="-21.12"/>
    <n v="519"/>
    <n v="1"/>
    <n v="1"/>
  </r>
  <r>
    <m/>
    <m/>
    <x v="1"/>
    <s v="96994536001004"/>
    <n v="-77.09"/>
    <n v="1894"/>
    <n v="1"/>
    <n v="1"/>
  </r>
  <r>
    <m/>
    <m/>
    <x v="1"/>
    <s v="97019963001004"/>
    <n v="-70.61"/>
    <n v="1735"/>
    <n v="1"/>
    <n v="1"/>
  </r>
  <r>
    <m/>
    <m/>
    <x v="1"/>
    <s v="97064187001001"/>
    <n v="-81.97"/>
    <n v="2014"/>
    <n v="1"/>
    <n v="1"/>
  </r>
  <r>
    <m/>
    <m/>
    <x v="1"/>
    <s v="97083962001002"/>
    <n v="-45.87"/>
    <n v="1127"/>
    <n v="1"/>
    <n v="1"/>
  </r>
  <r>
    <m/>
    <m/>
    <x v="1"/>
    <s v="97096820001001"/>
    <n v="-77.98"/>
    <n v="1916"/>
    <n v="1"/>
    <n v="1"/>
  </r>
  <r>
    <m/>
    <m/>
    <x v="1"/>
    <s v="97167024001005"/>
    <n v="-16.239999999999998"/>
    <n v="399"/>
    <n v="1"/>
    <n v="1"/>
  </r>
  <r>
    <m/>
    <m/>
    <x v="1"/>
    <s v="97170225001001"/>
    <n v="-114.53"/>
    <n v="2814"/>
    <n v="1"/>
    <n v="1"/>
  </r>
  <r>
    <m/>
    <m/>
    <x v="1"/>
    <s v="97221863001001"/>
    <n v="-37.57"/>
    <n v="923"/>
    <n v="1"/>
    <n v="1"/>
  </r>
  <r>
    <m/>
    <m/>
    <x v="1"/>
    <s v="97285376001012"/>
    <n v="-34.96"/>
    <n v="859"/>
    <n v="1"/>
    <n v="1"/>
  </r>
  <r>
    <m/>
    <m/>
    <x v="1"/>
    <s v="97323566001003"/>
    <n v="-73.87"/>
    <n v="1815"/>
    <n v="1"/>
    <n v="1"/>
  </r>
  <r>
    <m/>
    <m/>
    <x v="1"/>
    <s v="97325763001002"/>
    <n v="-39.97"/>
    <n v="982"/>
    <n v="1"/>
    <n v="1"/>
  </r>
  <r>
    <m/>
    <m/>
    <x v="1"/>
    <s v="97402482001001"/>
    <n v="-61.86"/>
    <n v="1520"/>
    <n v="1"/>
    <n v="1"/>
  </r>
  <r>
    <m/>
    <m/>
    <x v="1"/>
    <s v="97461416001006"/>
    <n v="-15.51"/>
    <n v="381"/>
    <n v="1"/>
    <n v="1"/>
  </r>
  <r>
    <m/>
    <m/>
    <x v="1"/>
    <s v="97473613001004"/>
    <n v="-53.28"/>
    <n v="1309"/>
    <n v="1"/>
    <n v="1"/>
  </r>
  <r>
    <m/>
    <m/>
    <x v="1"/>
    <s v="97492732001001"/>
    <n v="-17.5"/>
    <n v="430"/>
    <n v="1"/>
    <n v="1"/>
  </r>
  <r>
    <m/>
    <m/>
    <x v="1"/>
    <s v="97538964002001"/>
    <n v="-24.62"/>
    <n v="605"/>
    <n v="1"/>
    <n v="1"/>
  </r>
  <r>
    <m/>
    <m/>
    <x v="1"/>
    <s v="97551459001001"/>
    <n v="-68.819999999999993"/>
    <n v="1691"/>
    <n v="1"/>
    <n v="1"/>
  </r>
  <r>
    <m/>
    <m/>
    <x v="1"/>
    <s v="97558477001003"/>
    <n v="-37.65"/>
    <n v="925"/>
    <n v="1"/>
    <n v="1"/>
  </r>
  <r>
    <m/>
    <m/>
    <x v="1"/>
    <s v="97569565011005"/>
    <n v="-80.63"/>
    <n v="1981"/>
    <n v="1"/>
    <n v="1"/>
  </r>
  <r>
    <m/>
    <m/>
    <x v="1"/>
    <s v="97625233001001"/>
    <n v="-57.63"/>
    <n v="1416"/>
    <n v="1"/>
    <n v="1"/>
  </r>
  <r>
    <m/>
    <m/>
    <x v="1"/>
    <s v="97651944001007"/>
    <n v="-65.650000000000006"/>
    <n v="1613"/>
    <n v="1"/>
    <n v="1"/>
  </r>
  <r>
    <m/>
    <m/>
    <x v="1"/>
    <s v="97678237004001"/>
    <n v="-83.68"/>
    <n v="2056"/>
    <n v="1"/>
    <n v="1"/>
  </r>
  <r>
    <m/>
    <m/>
    <x v="1"/>
    <s v="97776060001001"/>
    <n v="-57.26"/>
    <n v="1407"/>
    <n v="1"/>
    <n v="1"/>
  </r>
  <r>
    <m/>
    <m/>
    <x v="1"/>
    <s v="97885984003001"/>
    <n v="-26.29"/>
    <n v="646"/>
    <n v="1"/>
    <n v="1"/>
  </r>
  <r>
    <m/>
    <m/>
    <x v="1"/>
    <s v="97982416001001"/>
    <n v="-192.63"/>
    <n v="4733"/>
    <n v="1"/>
    <n v="1"/>
  </r>
  <r>
    <m/>
    <m/>
    <x v="1"/>
    <s v="97996225001008"/>
    <n v="-146.80000000000001"/>
    <n v="3607"/>
    <n v="1"/>
    <n v="1"/>
  </r>
  <r>
    <m/>
    <m/>
    <x v="1"/>
    <s v="98083414004007"/>
    <n v="-42.04"/>
    <n v="1033"/>
    <n v="1"/>
    <n v="1"/>
  </r>
  <r>
    <m/>
    <m/>
    <x v="1"/>
    <s v="98090991002001"/>
    <n v="-44"/>
    <n v="1081"/>
    <n v="1"/>
    <n v="1"/>
  </r>
  <r>
    <m/>
    <m/>
    <x v="1"/>
    <s v="98163492001001"/>
    <n v="-89.87"/>
    <n v="2208"/>
    <n v="1"/>
    <n v="1"/>
  </r>
  <r>
    <m/>
    <m/>
    <x v="1"/>
    <s v="98198597001001"/>
    <n v="-0.98"/>
    <n v="24"/>
    <n v="1"/>
    <n v="1"/>
  </r>
  <r>
    <m/>
    <m/>
    <x v="1"/>
    <s v="98265055001006"/>
    <n v="-43.67"/>
    <n v="1073"/>
    <n v="1"/>
    <n v="1"/>
  </r>
  <r>
    <m/>
    <m/>
    <x v="1"/>
    <s v="98301629001002"/>
    <n v="-23.77"/>
    <n v="584"/>
    <n v="1"/>
    <n v="1"/>
  </r>
  <r>
    <m/>
    <m/>
    <x v="1"/>
    <s v="98317810002003"/>
    <n v="-85.35"/>
    <n v="2097"/>
    <n v="1"/>
    <n v="1"/>
  </r>
  <r>
    <m/>
    <m/>
    <x v="1"/>
    <s v="98396921001007"/>
    <n v="-81.239999999999995"/>
    <n v="1996"/>
    <n v="1"/>
    <n v="1"/>
  </r>
  <r>
    <m/>
    <m/>
    <x v="1"/>
    <s v="98472116001003"/>
    <n v="-48.92"/>
    <n v="1202"/>
    <n v="1"/>
    <n v="1"/>
  </r>
  <r>
    <m/>
    <m/>
    <x v="1"/>
    <s v="98518648002001"/>
    <n v="-46.28"/>
    <n v="1137"/>
    <n v="1"/>
    <n v="1"/>
  </r>
  <r>
    <m/>
    <m/>
    <x v="1"/>
    <s v="98701938003001"/>
    <n v="-54.7"/>
    <n v="1344"/>
    <n v="1"/>
    <n v="1"/>
  </r>
  <r>
    <m/>
    <m/>
    <x v="1"/>
    <s v="98869027002005"/>
    <n v="-93.61"/>
    <n v="2300"/>
    <n v="1"/>
    <n v="1"/>
  </r>
  <r>
    <m/>
    <m/>
    <x v="1"/>
    <s v="98887462001001"/>
    <n v="-89.91"/>
    <n v="2209"/>
    <n v="1"/>
    <n v="1"/>
  </r>
  <r>
    <m/>
    <m/>
    <x v="1"/>
    <s v="99016570002001"/>
    <n v="-30.4"/>
    <n v="747"/>
    <n v="1"/>
    <n v="1"/>
  </r>
  <r>
    <m/>
    <m/>
    <x v="1"/>
    <s v="99023190002005"/>
    <n v="-77.7"/>
    <n v="1909"/>
    <n v="1"/>
    <n v="1"/>
  </r>
  <r>
    <m/>
    <m/>
    <x v="1"/>
    <s v="99154035001001"/>
    <n v="-74.28"/>
    <n v="1825"/>
    <n v="1"/>
    <n v="1"/>
  </r>
  <r>
    <m/>
    <m/>
    <x v="1"/>
    <s v="99181573002001"/>
    <n v="-16.2"/>
    <n v="398"/>
    <n v="1"/>
    <n v="1"/>
  </r>
  <r>
    <m/>
    <m/>
    <x v="1"/>
    <s v="99342816001009"/>
    <n v="-42.81"/>
    <n v="1052"/>
    <n v="2"/>
    <n v="1"/>
  </r>
  <r>
    <m/>
    <m/>
    <x v="1"/>
    <s v="99432111001001"/>
    <n v="-79"/>
    <n v="1941"/>
    <n v="1"/>
    <n v="1"/>
  </r>
  <r>
    <m/>
    <m/>
    <x v="1"/>
    <s v="99435304001001"/>
    <n v="-53.97"/>
    <n v="1326"/>
    <n v="1"/>
    <n v="1"/>
  </r>
  <r>
    <m/>
    <m/>
    <x v="1"/>
    <s v="99442912002001"/>
    <n v="-181.68"/>
    <n v="4464"/>
    <n v="1"/>
    <n v="1"/>
  </r>
  <r>
    <m/>
    <m/>
    <x v="1"/>
    <s v="99546455001001"/>
    <n v="-36.83"/>
    <n v="905"/>
    <n v="1"/>
    <n v="1"/>
  </r>
  <r>
    <m/>
    <m/>
    <x v="1"/>
    <s v="99693016001003"/>
    <n v="-100.57"/>
    <n v="2471"/>
    <n v="1"/>
    <n v="1"/>
  </r>
  <r>
    <m/>
    <m/>
    <x v="1"/>
    <s v="99914779006003"/>
    <n v="-33.01"/>
    <n v="811"/>
    <n v="1"/>
    <n v="1"/>
  </r>
  <r>
    <m/>
    <m/>
    <x v="1"/>
    <s v="99920402001001"/>
    <n v="-46.32"/>
    <n v="1138"/>
    <n v="1"/>
    <n v="1"/>
  </r>
  <r>
    <m/>
    <m/>
    <x v="6"/>
    <m/>
    <n v="-125699.16999999988"/>
    <n v="3088430"/>
    <n v="1834"/>
    <n v="1813"/>
  </r>
  <r>
    <m/>
    <s v="201102"/>
    <x v="0"/>
    <s v="00088986001001"/>
    <n v="-35.369999999999997"/>
    <n v="2067"/>
    <n v="1"/>
    <n v="1"/>
  </r>
  <r>
    <m/>
    <m/>
    <x v="1"/>
    <s v="00277098001001"/>
    <n v="-8.98"/>
    <n v="525"/>
    <n v="1"/>
    <n v="1"/>
  </r>
  <r>
    <m/>
    <m/>
    <x v="1"/>
    <s v="00756296002002"/>
    <n v="-27.77"/>
    <n v="1623"/>
    <n v="1"/>
    <n v="1"/>
  </r>
  <r>
    <m/>
    <m/>
    <x v="1"/>
    <s v="00964949001001"/>
    <n v="-22.84"/>
    <n v="1335"/>
    <n v="1"/>
    <n v="1"/>
  </r>
  <r>
    <m/>
    <m/>
    <x v="1"/>
    <s v="01734407003001"/>
    <n v="-8.9"/>
    <n v="520"/>
    <n v="1"/>
    <n v="1"/>
  </r>
  <r>
    <m/>
    <m/>
    <x v="1"/>
    <s v="01772343001001"/>
    <n v="-45.43"/>
    <n v="2655"/>
    <n v="1"/>
    <n v="1"/>
  </r>
  <r>
    <m/>
    <m/>
    <x v="1"/>
    <s v="01782458001001"/>
    <n v="-17.73"/>
    <n v="1036"/>
    <n v="1"/>
    <n v="1"/>
  </r>
  <r>
    <m/>
    <m/>
    <x v="1"/>
    <s v="02113749002001"/>
    <n v="-31.33"/>
    <n v="1831"/>
    <n v="1"/>
    <n v="1"/>
  </r>
  <r>
    <m/>
    <m/>
    <x v="1"/>
    <s v="02157263001003"/>
    <n v="-24.79"/>
    <n v="1449"/>
    <n v="1"/>
    <n v="1"/>
  </r>
  <r>
    <m/>
    <m/>
    <x v="1"/>
    <s v="02160615003007"/>
    <n v="-68.83"/>
    <n v="4023"/>
    <n v="1"/>
    <n v="1"/>
  </r>
  <r>
    <m/>
    <m/>
    <x v="1"/>
    <s v="02201812001003"/>
    <n v="-19.39"/>
    <n v="1133"/>
    <n v="1"/>
    <n v="1"/>
  </r>
  <r>
    <m/>
    <m/>
    <x v="1"/>
    <s v="02367690001003"/>
    <n v="-27.34"/>
    <n v="1598"/>
    <n v="1"/>
    <n v="1"/>
  </r>
  <r>
    <m/>
    <m/>
    <x v="1"/>
    <s v="02447419003010"/>
    <n v="-9.48"/>
    <n v="554"/>
    <n v="1"/>
    <n v="1"/>
  </r>
  <r>
    <m/>
    <m/>
    <x v="1"/>
    <s v="02474190002001"/>
    <n v="-18.68"/>
    <n v="1092"/>
    <n v="1"/>
    <n v="1"/>
  </r>
  <r>
    <m/>
    <m/>
    <x v="1"/>
    <s v="02653483001002"/>
    <n v="-36.82"/>
    <n v="2152"/>
    <n v="1"/>
    <n v="1"/>
  </r>
  <r>
    <m/>
    <m/>
    <x v="1"/>
    <s v="02669962002001"/>
    <n v="-7.32"/>
    <n v="428"/>
    <n v="1"/>
    <n v="1"/>
  </r>
  <r>
    <m/>
    <m/>
    <x v="1"/>
    <s v="02962892003001"/>
    <n v="-6.79"/>
    <n v="397"/>
    <n v="1"/>
    <n v="1"/>
  </r>
  <r>
    <m/>
    <m/>
    <x v="1"/>
    <s v="03222937001003"/>
    <n v="-14.83"/>
    <n v="867"/>
    <n v="1"/>
    <n v="1"/>
  </r>
  <r>
    <m/>
    <m/>
    <x v="1"/>
    <s v="03485380001003"/>
    <n v="-2.87"/>
    <n v="168"/>
    <n v="1"/>
    <n v="1"/>
  </r>
  <r>
    <m/>
    <m/>
    <x v="1"/>
    <s v="03563664001001"/>
    <n v="-19.809999999999999"/>
    <n v="1158"/>
    <n v="1"/>
    <n v="1"/>
  </r>
  <r>
    <m/>
    <m/>
    <x v="1"/>
    <s v="04274208001003"/>
    <n v="-2.2400000000000002"/>
    <n v="131"/>
    <n v="1"/>
    <n v="1"/>
  </r>
  <r>
    <m/>
    <m/>
    <x v="1"/>
    <s v="04454218002003"/>
    <n v="-4"/>
    <n v="234"/>
    <n v="1"/>
    <n v="1"/>
  </r>
  <r>
    <m/>
    <m/>
    <x v="1"/>
    <s v="04813613001001"/>
    <n v="-38.479999999999997"/>
    <n v="2249"/>
    <n v="1"/>
    <n v="1"/>
  </r>
  <r>
    <m/>
    <m/>
    <x v="1"/>
    <s v="04842107001001"/>
    <n v="-36.58"/>
    <n v="2138"/>
    <n v="1"/>
    <n v="1"/>
  </r>
  <r>
    <m/>
    <m/>
    <x v="1"/>
    <s v="04918256001001"/>
    <n v="-9.8000000000000007"/>
    <n v="573"/>
    <n v="1"/>
    <n v="1"/>
  </r>
  <r>
    <m/>
    <m/>
    <x v="1"/>
    <s v="05105357001001"/>
    <n v="-2.46"/>
    <n v="144"/>
    <n v="1"/>
    <n v="1"/>
  </r>
  <r>
    <m/>
    <m/>
    <x v="1"/>
    <s v="05432665003001"/>
    <n v="-1.83"/>
    <n v="107"/>
    <n v="1"/>
    <n v="1"/>
  </r>
  <r>
    <m/>
    <m/>
    <x v="1"/>
    <s v="05495875001001"/>
    <n v="-50.06"/>
    <n v="2926"/>
    <n v="1"/>
    <n v="1"/>
  </r>
  <r>
    <m/>
    <m/>
    <x v="1"/>
    <s v="05589577002005"/>
    <n v="-23.71"/>
    <n v="1386"/>
    <n v="1"/>
    <n v="1"/>
  </r>
  <r>
    <m/>
    <m/>
    <x v="1"/>
    <s v="05867332001001"/>
    <n v="-22.28"/>
    <n v="1302"/>
    <n v="1"/>
    <n v="1"/>
  </r>
  <r>
    <m/>
    <m/>
    <x v="1"/>
    <s v="05955645001001"/>
    <n v="-33.28"/>
    <n v="1945"/>
    <n v="1"/>
    <n v="1"/>
  </r>
  <r>
    <m/>
    <m/>
    <x v="1"/>
    <s v="06477303002003"/>
    <n v="-31.77"/>
    <n v="1857"/>
    <n v="1"/>
    <n v="1"/>
  </r>
  <r>
    <m/>
    <m/>
    <x v="1"/>
    <s v="06507249001002"/>
    <n v="-11.29"/>
    <n v="660"/>
    <n v="1"/>
    <n v="1"/>
  </r>
  <r>
    <m/>
    <m/>
    <x v="1"/>
    <s v="06580144002007"/>
    <n v="-9.14"/>
    <n v="534"/>
    <n v="1"/>
    <n v="1"/>
  </r>
  <r>
    <m/>
    <m/>
    <x v="1"/>
    <s v="06650635001001"/>
    <n v="-22.67"/>
    <n v="1325"/>
    <n v="1"/>
    <n v="1"/>
  </r>
  <r>
    <m/>
    <m/>
    <x v="1"/>
    <s v="07225170001003"/>
    <n v="-20.07"/>
    <n v="1173"/>
    <n v="1"/>
    <n v="1"/>
  </r>
  <r>
    <m/>
    <m/>
    <x v="1"/>
    <s v="07255514002001"/>
    <n v="-37.369999999999997"/>
    <n v="2184"/>
    <n v="1"/>
    <n v="1"/>
  </r>
  <r>
    <m/>
    <m/>
    <x v="1"/>
    <s v="07402103002007"/>
    <n v="-32.36"/>
    <n v="1891"/>
    <n v="1"/>
    <n v="1"/>
  </r>
  <r>
    <m/>
    <m/>
    <x v="1"/>
    <s v="07453783001001"/>
    <n v="-4.9400000000000004"/>
    <n v="289"/>
    <n v="1"/>
    <n v="1"/>
  </r>
  <r>
    <m/>
    <m/>
    <x v="1"/>
    <s v="07510350001001"/>
    <n v="-27.62"/>
    <n v="1614"/>
    <n v="1"/>
    <n v="1"/>
  </r>
  <r>
    <m/>
    <m/>
    <x v="1"/>
    <s v="08205707001001"/>
    <n v="-25.51"/>
    <n v="1491"/>
    <n v="1"/>
    <n v="1"/>
  </r>
  <r>
    <m/>
    <m/>
    <x v="1"/>
    <s v="08515494002001"/>
    <n v="-46.66"/>
    <n v="2727"/>
    <n v="1"/>
    <n v="1"/>
  </r>
  <r>
    <m/>
    <m/>
    <x v="1"/>
    <s v="08622895001001"/>
    <n v="-8.67"/>
    <n v="507"/>
    <n v="1"/>
    <n v="1"/>
  </r>
  <r>
    <m/>
    <m/>
    <x v="1"/>
    <s v="08747776001001"/>
    <n v="-29.62"/>
    <n v="1731"/>
    <n v="1"/>
    <n v="1"/>
  </r>
  <r>
    <m/>
    <m/>
    <x v="1"/>
    <s v="08937879001001"/>
    <n v="-9.48"/>
    <n v="554"/>
    <n v="1"/>
    <n v="1"/>
  </r>
  <r>
    <m/>
    <m/>
    <x v="1"/>
    <s v="08988845001001"/>
    <n v="-12.22"/>
    <n v="714"/>
    <n v="1"/>
    <n v="1"/>
  </r>
  <r>
    <m/>
    <m/>
    <x v="1"/>
    <s v="09136104001001"/>
    <n v="-0.31"/>
    <n v="18"/>
    <n v="1"/>
    <n v="1"/>
  </r>
  <r>
    <m/>
    <m/>
    <x v="1"/>
    <s v="09136354002001"/>
    <n v="-14.08"/>
    <n v="823"/>
    <n v="1"/>
    <n v="1"/>
  </r>
  <r>
    <m/>
    <m/>
    <x v="1"/>
    <s v="09433245001001"/>
    <n v="-15.86"/>
    <n v="927"/>
    <n v="1"/>
    <n v="1"/>
  </r>
  <r>
    <m/>
    <m/>
    <x v="1"/>
    <s v="09649899001003"/>
    <n v="-44.16"/>
    <n v="2581"/>
    <n v="1"/>
    <n v="1"/>
  </r>
  <r>
    <m/>
    <m/>
    <x v="1"/>
    <s v="09788113001001"/>
    <n v="-30.92"/>
    <n v="1807"/>
    <n v="1"/>
    <n v="1"/>
  </r>
  <r>
    <m/>
    <m/>
    <x v="1"/>
    <s v="10120469001003"/>
    <n v="-19.3"/>
    <n v="1128"/>
    <n v="1"/>
    <n v="1"/>
  </r>
  <r>
    <m/>
    <m/>
    <x v="1"/>
    <s v="10634230001001"/>
    <n v="-6.71"/>
    <n v="392"/>
    <n v="1"/>
    <n v="1"/>
  </r>
  <r>
    <m/>
    <m/>
    <x v="1"/>
    <s v="10783993001001"/>
    <n v="-9.34"/>
    <n v="546"/>
    <n v="1"/>
    <n v="1"/>
  </r>
  <r>
    <m/>
    <m/>
    <x v="1"/>
    <s v="10863812009001"/>
    <n v="-29.94"/>
    <n v="1750"/>
    <n v="1"/>
    <n v="1"/>
  </r>
  <r>
    <m/>
    <m/>
    <x v="1"/>
    <s v="10870119001001"/>
    <n v="-15.93"/>
    <n v="931"/>
    <n v="1"/>
    <n v="1"/>
  </r>
  <r>
    <m/>
    <m/>
    <x v="1"/>
    <s v="10948443001012"/>
    <n v="-20.309999999999999"/>
    <n v="1187"/>
    <n v="1"/>
    <n v="1"/>
  </r>
  <r>
    <m/>
    <m/>
    <x v="1"/>
    <s v="11039539001001"/>
    <n v="-34.799999999999997"/>
    <n v="2034"/>
    <n v="1"/>
    <n v="1"/>
  </r>
  <r>
    <m/>
    <m/>
    <x v="1"/>
    <s v="11407277001001"/>
    <n v="-25.01"/>
    <n v="1462"/>
    <n v="1"/>
    <n v="1"/>
  </r>
  <r>
    <m/>
    <m/>
    <x v="1"/>
    <s v="11542110001001"/>
    <n v="-7.51"/>
    <n v="439"/>
    <n v="1"/>
    <n v="1"/>
  </r>
  <r>
    <m/>
    <m/>
    <x v="1"/>
    <s v="12053528001002"/>
    <n v="-28.01"/>
    <n v="1637"/>
    <n v="1"/>
    <n v="1"/>
  </r>
  <r>
    <m/>
    <m/>
    <x v="1"/>
    <s v="12112131001001"/>
    <n v="-39.520000000000003"/>
    <n v="2310"/>
    <n v="1"/>
    <n v="1"/>
  </r>
  <r>
    <m/>
    <m/>
    <x v="1"/>
    <s v="12120157001003"/>
    <n v="-20.82"/>
    <n v="1217"/>
    <n v="1"/>
    <n v="1"/>
  </r>
  <r>
    <m/>
    <m/>
    <x v="1"/>
    <s v="12243987001001"/>
    <n v="-39.61"/>
    <n v="2315"/>
    <n v="1"/>
    <n v="1"/>
  </r>
  <r>
    <m/>
    <m/>
    <x v="1"/>
    <s v="12351030001001"/>
    <n v="-34.32"/>
    <n v="2006"/>
    <n v="1"/>
    <n v="1"/>
  </r>
  <r>
    <m/>
    <m/>
    <x v="1"/>
    <s v="12738579001003"/>
    <n v="-22.91"/>
    <n v="1339"/>
    <n v="1"/>
    <n v="1"/>
  </r>
  <r>
    <m/>
    <m/>
    <x v="1"/>
    <s v="12902462003001"/>
    <n v="-22.19"/>
    <n v="1297"/>
    <n v="1"/>
    <n v="1"/>
  </r>
  <r>
    <m/>
    <m/>
    <x v="1"/>
    <s v="13302962002001"/>
    <n v="-22.7"/>
    <n v="1327"/>
    <n v="1"/>
    <n v="1"/>
  </r>
  <r>
    <m/>
    <m/>
    <x v="1"/>
    <s v="13424163002001"/>
    <n v="-46.92"/>
    <n v="2742"/>
    <n v="1"/>
    <n v="1"/>
  </r>
  <r>
    <m/>
    <m/>
    <x v="1"/>
    <s v="13950661003001"/>
    <n v="-8.44"/>
    <n v="493"/>
    <n v="1"/>
    <n v="1"/>
  </r>
  <r>
    <m/>
    <m/>
    <x v="1"/>
    <s v="15044806001002"/>
    <n v="-25.56"/>
    <n v="1494"/>
    <n v="1"/>
    <n v="1"/>
  </r>
  <r>
    <m/>
    <m/>
    <x v="1"/>
    <s v="15171884001001"/>
    <n v="-23.95"/>
    <n v="1400"/>
    <n v="1"/>
    <n v="1"/>
  </r>
  <r>
    <m/>
    <m/>
    <x v="1"/>
    <s v="15206754001005"/>
    <n v="-12.97"/>
    <n v="758"/>
    <n v="1"/>
    <n v="1"/>
  </r>
  <r>
    <m/>
    <m/>
    <x v="1"/>
    <s v="15488061001002"/>
    <n v="-23.89"/>
    <n v="1396"/>
    <n v="1"/>
    <n v="1"/>
  </r>
  <r>
    <m/>
    <m/>
    <x v="1"/>
    <s v="15663563001002"/>
    <n v="-15.02"/>
    <n v="878"/>
    <n v="1"/>
    <n v="1"/>
  </r>
  <r>
    <m/>
    <m/>
    <x v="1"/>
    <s v="15801491001003"/>
    <n v="-19.3"/>
    <n v="1128"/>
    <n v="1"/>
    <n v="1"/>
  </r>
  <r>
    <m/>
    <m/>
    <x v="1"/>
    <s v="15816206001008"/>
    <n v="-19.3"/>
    <n v="1128"/>
    <n v="1"/>
    <n v="1"/>
  </r>
  <r>
    <m/>
    <m/>
    <x v="1"/>
    <s v="15894543001001"/>
    <n v="-1.2"/>
    <n v="70"/>
    <n v="1"/>
    <n v="1"/>
  </r>
  <r>
    <m/>
    <m/>
    <x v="1"/>
    <s v="15896167001003"/>
    <n v="-34.53"/>
    <n v="2018"/>
    <n v="1"/>
    <n v="1"/>
  </r>
  <r>
    <m/>
    <m/>
    <x v="1"/>
    <s v="16309419001005"/>
    <n v="-4.43"/>
    <n v="259"/>
    <n v="1"/>
    <n v="1"/>
  </r>
  <r>
    <m/>
    <m/>
    <x v="1"/>
    <s v="16343113001003"/>
    <n v="-25.49"/>
    <n v="1490"/>
    <n v="1"/>
    <n v="1"/>
  </r>
  <r>
    <m/>
    <m/>
    <x v="1"/>
    <s v="16948232007001"/>
    <n v="-1.85"/>
    <n v="108"/>
    <n v="1"/>
    <n v="1"/>
  </r>
  <r>
    <m/>
    <m/>
    <x v="1"/>
    <s v="16965265001001"/>
    <n v="-19.329999999999998"/>
    <n v="1130"/>
    <n v="1"/>
    <n v="1"/>
  </r>
  <r>
    <m/>
    <m/>
    <x v="1"/>
    <s v="17002950001001"/>
    <n v="-45.63"/>
    <n v="2667"/>
    <n v="1"/>
    <n v="1"/>
  </r>
  <r>
    <m/>
    <m/>
    <x v="1"/>
    <s v="17078399001001"/>
    <n v="-31.47"/>
    <n v="1839"/>
    <n v="1"/>
    <n v="1"/>
  </r>
  <r>
    <m/>
    <m/>
    <x v="1"/>
    <s v="17695560001001"/>
    <n v="-14.41"/>
    <n v="842"/>
    <n v="1"/>
    <n v="1"/>
  </r>
  <r>
    <m/>
    <m/>
    <x v="1"/>
    <s v="17700255001003"/>
    <n v="-21.13"/>
    <n v="1235"/>
    <n v="1"/>
    <n v="1"/>
  </r>
  <r>
    <m/>
    <m/>
    <x v="1"/>
    <s v="17836081001001"/>
    <n v="-21.2"/>
    <n v="1239"/>
    <n v="1"/>
    <n v="1"/>
  </r>
  <r>
    <m/>
    <m/>
    <x v="1"/>
    <s v="17879957002001"/>
    <n v="-6.72"/>
    <n v="393"/>
    <n v="1"/>
    <n v="1"/>
  </r>
  <r>
    <m/>
    <m/>
    <x v="1"/>
    <s v="17915609001002"/>
    <n v="-34.130000000000003"/>
    <n v="1995"/>
    <n v="1"/>
    <n v="1"/>
  </r>
  <r>
    <m/>
    <m/>
    <x v="1"/>
    <s v="17975956002001"/>
    <n v="-11.62"/>
    <n v="679"/>
    <n v="1"/>
    <n v="1"/>
  </r>
  <r>
    <m/>
    <m/>
    <x v="1"/>
    <s v="18165838001002"/>
    <n v="-17.62"/>
    <n v="1030"/>
    <n v="1"/>
    <n v="1"/>
  </r>
  <r>
    <m/>
    <m/>
    <x v="1"/>
    <s v="18339543001003"/>
    <n v="-27.63"/>
    <n v="1615"/>
    <n v="1"/>
    <n v="1"/>
  </r>
  <r>
    <m/>
    <m/>
    <x v="1"/>
    <s v="18342361001001"/>
    <n v="-1.64"/>
    <n v="96"/>
    <n v="1"/>
    <n v="1"/>
  </r>
  <r>
    <m/>
    <m/>
    <x v="1"/>
    <s v="19248493001003"/>
    <n v="-10.08"/>
    <n v="589"/>
    <n v="1"/>
    <n v="1"/>
  </r>
  <r>
    <m/>
    <m/>
    <x v="1"/>
    <s v="19938960001001"/>
    <n v="-26.74"/>
    <n v="1563"/>
    <n v="1"/>
    <n v="1"/>
  </r>
  <r>
    <m/>
    <m/>
    <x v="1"/>
    <s v="20011333001001"/>
    <n v="-3.54"/>
    <n v="207"/>
    <n v="1"/>
    <n v="1"/>
  </r>
  <r>
    <m/>
    <m/>
    <x v="1"/>
    <s v="20180113003001"/>
    <n v="-33.21"/>
    <n v="1941"/>
    <n v="1"/>
    <n v="1"/>
  </r>
  <r>
    <m/>
    <m/>
    <x v="1"/>
    <s v="20449624001005"/>
    <n v="-14.22"/>
    <n v="831"/>
    <n v="1"/>
    <n v="1"/>
  </r>
  <r>
    <m/>
    <m/>
    <x v="1"/>
    <s v="20731964001001"/>
    <n v="-45.99"/>
    <n v="2688"/>
    <n v="1"/>
    <n v="1"/>
  </r>
  <r>
    <m/>
    <m/>
    <x v="1"/>
    <s v="20938987001003"/>
    <n v="-9.6199999999999992"/>
    <n v="562"/>
    <n v="1"/>
    <n v="1"/>
  </r>
  <r>
    <m/>
    <m/>
    <x v="1"/>
    <s v="21126918001001"/>
    <n v="-17.14"/>
    <n v="1002"/>
    <n v="1"/>
    <n v="1"/>
  </r>
  <r>
    <m/>
    <m/>
    <x v="1"/>
    <s v="21343250001003"/>
    <n v="-18.68"/>
    <n v="1092"/>
    <n v="1"/>
    <n v="1"/>
  </r>
  <r>
    <m/>
    <m/>
    <x v="1"/>
    <s v="21753313001007"/>
    <n v="-1.64"/>
    <n v="96"/>
    <n v="1"/>
    <n v="1"/>
  </r>
  <r>
    <m/>
    <m/>
    <x v="1"/>
    <s v="21883954001003"/>
    <n v="-7.17"/>
    <n v="419"/>
    <n v="1"/>
    <n v="1"/>
  </r>
  <r>
    <m/>
    <m/>
    <x v="1"/>
    <s v="22006059001003"/>
    <n v="-14.49"/>
    <n v="847"/>
    <n v="1"/>
    <n v="1"/>
  </r>
  <r>
    <m/>
    <m/>
    <x v="1"/>
    <s v="22249935001008"/>
    <n v="-10.76"/>
    <n v="629"/>
    <n v="1"/>
    <n v="1"/>
  </r>
  <r>
    <m/>
    <m/>
    <x v="1"/>
    <s v="22361013001001"/>
    <n v="-47.29"/>
    <n v="2764"/>
    <n v="1"/>
    <n v="1"/>
  </r>
  <r>
    <m/>
    <m/>
    <x v="1"/>
    <s v="22479204001001"/>
    <n v="-7.79"/>
    <n v="455"/>
    <n v="1"/>
    <n v="1"/>
  </r>
  <r>
    <m/>
    <m/>
    <x v="1"/>
    <s v="22544985001001"/>
    <n v="-18.82"/>
    <n v="1100"/>
    <n v="1"/>
    <n v="1"/>
  </r>
  <r>
    <m/>
    <m/>
    <x v="1"/>
    <s v="22786239001001"/>
    <n v="-13"/>
    <n v="760"/>
    <n v="1"/>
    <n v="1"/>
  </r>
  <r>
    <m/>
    <m/>
    <x v="1"/>
    <s v="23045379001003"/>
    <n v="-16.53"/>
    <n v="966"/>
    <n v="1"/>
    <n v="1"/>
  </r>
  <r>
    <m/>
    <m/>
    <x v="1"/>
    <s v="23072089004002"/>
    <n v="-18.63"/>
    <n v="1089"/>
    <n v="1"/>
    <n v="1"/>
  </r>
  <r>
    <m/>
    <m/>
    <x v="1"/>
    <s v="23397291001002"/>
    <n v="-30.32"/>
    <n v="1772"/>
    <n v="1"/>
    <n v="1"/>
  </r>
  <r>
    <m/>
    <m/>
    <x v="1"/>
    <s v="23582904002001"/>
    <n v="-18.48"/>
    <n v="1080"/>
    <n v="1"/>
    <n v="1"/>
  </r>
  <r>
    <m/>
    <m/>
    <x v="1"/>
    <s v="23798048001001"/>
    <n v="-22.57"/>
    <n v="1319"/>
    <n v="1"/>
    <n v="1"/>
  </r>
  <r>
    <m/>
    <m/>
    <x v="1"/>
    <s v="23964769001001"/>
    <n v="-47.55"/>
    <n v="2779"/>
    <n v="1"/>
    <n v="1"/>
  </r>
  <r>
    <m/>
    <m/>
    <x v="1"/>
    <s v="24117411001001"/>
    <n v="-10.45"/>
    <n v="611"/>
    <n v="1"/>
    <n v="1"/>
  </r>
  <r>
    <m/>
    <m/>
    <x v="1"/>
    <s v="24211542001006"/>
    <n v="-22"/>
    <n v="1286"/>
    <n v="1"/>
    <n v="1"/>
  </r>
  <r>
    <m/>
    <m/>
    <x v="1"/>
    <s v="24367594001003"/>
    <n v="-27.96"/>
    <n v="1634"/>
    <n v="1"/>
    <n v="1"/>
  </r>
  <r>
    <m/>
    <m/>
    <x v="1"/>
    <s v="24379908001001"/>
    <n v="-22.81"/>
    <n v="1333"/>
    <n v="1"/>
    <n v="1"/>
  </r>
  <r>
    <m/>
    <m/>
    <x v="1"/>
    <s v="24700366001005"/>
    <n v="-10.06"/>
    <n v="588"/>
    <n v="1"/>
    <n v="1"/>
  </r>
  <r>
    <m/>
    <m/>
    <x v="1"/>
    <s v="24878853001001"/>
    <n v="-31.5"/>
    <n v="1841"/>
    <n v="1"/>
    <n v="1"/>
  </r>
  <r>
    <m/>
    <m/>
    <x v="1"/>
    <s v="25145853004001"/>
    <n v="-12.94"/>
    <n v="756"/>
    <n v="1"/>
    <n v="1"/>
  </r>
  <r>
    <m/>
    <m/>
    <x v="1"/>
    <s v="25212072001001"/>
    <n v="-26.52"/>
    <n v="1550"/>
    <n v="1"/>
    <n v="1"/>
  </r>
  <r>
    <m/>
    <m/>
    <x v="1"/>
    <s v="25251414001001"/>
    <n v="-20.63"/>
    <n v="1206"/>
    <n v="1"/>
    <n v="1"/>
  </r>
  <r>
    <m/>
    <m/>
    <x v="1"/>
    <s v="25543231001002"/>
    <n v="-37.130000000000003"/>
    <n v="2170"/>
    <n v="1"/>
    <n v="1"/>
  </r>
  <r>
    <m/>
    <m/>
    <x v="1"/>
    <s v="25645147002001"/>
    <n v="-13.14"/>
    <n v="768"/>
    <n v="1"/>
    <n v="1"/>
  </r>
  <r>
    <m/>
    <m/>
    <x v="1"/>
    <s v="25664446001001"/>
    <n v="-30.78"/>
    <n v="1799"/>
    <n v="1"/>
    <n v="1"/>
  </r>
  <r>
    <m/>
    <m/>
    <x v="1"/>
    <s v="25768900001001"/>
    <n v="-17.329999999999998"/>
    <n v="1013"/>
    <n v="1"/>
    <n v="1"/>
  </r>
  <r>
    <m/>
    <m/>
    <x v="1"/>
    <s v="25934033002010"/>
    <n v="-11.98"/>
    <n v="700"/>
    <n v="1"/>
    <n v="1"/>
  </r>
  <r>
    <m/>
    <m/>
    <x v="1"/>
    <s v="26192550001001"/>
    <n v="-47.51"/>
    <n v="2777"/>
    <n v="1"/>
    <n v="1"/>
  </r>
  <r>
    <m/>
    <m/>
    <x v="1"/>
    <s v="26293541004003"/>
    <n v="-52.9"/>
    <n v="3092"/>
    <n v="1"/>
    <n v="1"/>
  </r>
  <r>
    <m/>
    <m/>
    <x v="1"/>
    <s v="26311764001002"/>
    <n v="-26.37"/>
    <n v="1541"/>
    <n v="1"/>
    <n v="1"/>
  </r>
  <r>
    <m/>
    <m/>
    <x v="1"/>
    <s v="26366881002001"/>
    <n v="-12.94"/>
    <n v="756"/>
    <n v="1"/>
    <n v="1"/>
  </r>
  <r>
    <m/>
    <m/>
    <x v="1"/>
    <s v="26628965001001"/>
    <n v="-19.559999999999999"/>
    <n v="1143"/>
    <n v="1"/>
    <n v="1"/>
  </r>
  <r>
    <m/>
    <m/>
    <x v="1"/>
    <s v="26683813001011"/>
    <n v="-7.17"/>
    <n v="419"/>
    <n v="1"/>
    <n v="1"/>
  </r>
  <r>
    <m/>
    <m/>
    <x v="1"/>
    <s v="26869084007001"/>
    <n v="-16.84"/>
    <n v="984"/>
    <n v="1"/>
    <n v="1"/>
  </r>
  <r>
    <m/>
    <m/>
    <x v="1"/>
    <s v="27171158002003"/>
    <n v="-32.270000000000003"/>
    <n v="1886"/>
    <n v="1"/>
    <n v="1"/>
  </r>
  <r>
    <m/>
    <m/>
    <x v="1"/>
    <s v="27353470003003"/>
    <n v="-46.98"/>
    <n v="2746"/>
    <n v="1"/>
    <n v="1"/>
  </r>
  <r>
    <m/>
    <m/>
    <x v="1"/>
    <s v="27532629001001"/>
    <n v="-5.99"/>
    <n v="350"/>
    <n v="1"/>
    <n v="1"/>
  </r>
  <r>
    <m/>
    <m/>
    <x v="1"/>
    <s v="27696108001012"/>
    <n v="-34.49"/>
    <n v="2016"/>
    <n v="1"/>
    <n v="1"/>
  </r>
  <r>
    <m/>
    <m/>
    <x v="1"/>
    <s v="28006021003005"/>
    <n v="-33.33"/>
    <n v="1948"/>
    <n v="1"/>
    <n v="1"/>
  </r>
  <r>
    <m/>
    <m/>
    <x v="1"/>
    <s v="28014351004008"/>
    <n v="-33.18"/>
    <n v="1939"/>
    <n v="1"/>
    <n v="1"/>
  </r>
  <r>
    <m/>
    <m/>
    <x v="1"/>
    <s v="28065736001004"/>
    <n v="-36.32"/>
    <n v="2123"/>
    <n v="1"/>
    <n v="1"/>
  </r>
  <r>
    <m/>
    <m/>
    <x v="1"/>
    <s v="28282482001001"/>
    <n v="-15.71"/>
    <n v="918"/>
    <n v="1"/>
    <n v="1"/>
  </r>
  <r>
    <m/>
    <m/>
    <x v="1"/>
    <s v="28547557001008"/>
    <n v="-5.23"/>
    <n v="306"/>
    <n v="2"/>
    <n v="1"/>
  </r>
  <r>
    <m/>
    <m/>
    <x v="1"/>
    <s v="28645126001006"/>
    <n v="-26.98"/>
    <n v="1577"/>
    <n v="1"/>
    <n v="1"/>
  </r>
  <r>
    <m/>
    <m/>
    <x v="1"/>
    <s v="28726471002003"/>
    <n v="-9.8000000000000007"/>
    <n v="573"/>
    <n v="1"/>
    <n v="1"/>
  </r>
  <r>
    <m/>
    <m/>
    <x v="1"/>
    <s v="28925131001001"/>
    <n v="-0.68"/>
    <n v="40"/>
    <n v="1"/>
    <n v="1"/>
  </r>
  <r>
    <m/>
    <m/>
    <x v="1"/>
    <s v="29641026001003"/>
    <n v="-44.79"/>
    <n v="2618"/>
    <n v="1"/>
    <n v="1"/>
  </r>
  <r>
    <m/>
    <m/>
    <x v="1"/>
    <s v="29907188001008"/>
    <n v="-18.75"/>
    <n v="1096"/>
    <n v="1"/>
    <n v="1"/>
  </r>
  <r>
    <m/>
    <m/>
    <x v="1"/>
    <s v="29966739001002"/>
    <n v="-46.42"/>
    <n v="2713"/>
    <n v="1"/>
    <n v="1"/>
  </r>
  <r>
    <m/>
    <m/>
    <x v="1"/>
    <s v="30315366001001"/>
    <n v="-52.46"/>
    <n v="3066"/>
    <n v="1"/>
    <n v="1"/>
  </r>
  <r>
    <m/>
    <m/>
    <x v="1"/>
    <s v="30326468002004"/>
    <n v="-34.58"/>
    <n v="2021"/>
    <n v="1"/>
    <n v="1"/>
  </r>
  <r>
    <m/>
    <m/>
    <x v="1"/>
    <s v="30360605008001"/>
    <n v="-31.07"/>
    <n v="1816"/>
    <n v="1"/>
    <n v="1"/>
  </r>
  <r>
    <m/>
    <m/>
    <x v="1"/>
    <s v="30361706001001"/>
    <n v="-43.32"/>
    <n v="2532"/>
    <n v="1"/>
    <n v="1"/>
  </r>
  <r>
    <m/>
    <m/>
    <x v="1"/>
    <s v="30618491001003"/>
    <n v="-46.66"/>
    <n v="2727"/>
    <n v="1"/>
    <n v="1"/>
  </r>
  <r>
    <m/>
    <m/>
    <x v="1"/>
    <s v="30897668001001"/>
    <n v="-28.03"/>
    <n v="1638"/>
    <n v="1"/>
    <n v="1"/>
  </r>
  <r>
    <m/>
    <m/>
    <x v="1"/>
    <s v="30975210001001"/>
    <n v="-35.590000000000003"/>
    <n v="2080"/>
    <n v="1"/>
    <n v="1"/>
  </r>
  <r>
    <m/>
    <m/>
    <x v="1"/>
    <s v="31016219001003"/>
    <n v="-6.93"/>
    <n v="405"/>
    <n v="1"/>
    <n v="1"/>
  </r>
  <r>
    <m/>
    <m/>
    <x v="1"/>
    <s v="31135369004005"/>
    <n v="-18.48"/>
    <n v="1080"/>
    <n v="1"/>
    <n v="1"/>
  </r>
  <r>
    <m/>
    <m/>
    <x v="1"/>
    <s v="31310853002001"/>
    <n v="-35.81"/>
    <n v="2093"/>
    <n v="1"/>
    <n v="1"/>
  </r>
  <r>
    <m/>
    <m/>
    <x v="1"/>
    <s v="31452473001001"/>
    <n v="-9.6199999999999992"/>
    <n v="562"/>
    <n v="1"/>
    <n v="1"/>
  </r>
  <r>
    <m/>
    <m/>
    <x v="1"/>
    <s v="31590004001001"/>
    <n v="-34.630000000000003"/>
    <n v="2024"/>
    <n v="1"/>
    <n v="1"/>
  </r>
  <r>
    <m/>
    <m/>
    <x v="1"/>
    <s v="32135273002001"/>
    <n v="-21.64"/>
    <n v="1265"/>
    <n v="1"/>
    <n v="1"/>
  </r>
  <r>
    <m/>
    <m/>
    <x v="1"/>
    <s v="32636395001001"/>
    <n v="-37.619999999999997"/>
    <n v="2199"/>
    <n v="1"/>
    <n v="1"/>
  </r>
  <r>
    <m/>
    <m/>
    <x v="1"/>
    <s v="32666126001001"/>
    <n v="-19.63"/>
    <n v="1147"/>
    <n v="1"/>
    <n v="1"/>
  </r>
  <r>
    <m/>
    <m/>
    <x v="1"/>
    <s v="32759956001001"/>
    <n v="-15.88"/>
    <n v="928"/>
    <n v="1"/>
    <n v="1"/>
  </r>
  <r>
    <m/>
    <m/>
    <x v="1"/>
    <s v="32804453001009"/>
    <n v="-22.48"/>
    <n v="1314"/>
    <n v="1"/>
    <n v="1"/>
  </r>
  <r>
    <m/>
    <m/>
    <x v="1"/>
    <s v="33292898001002"/>
    <n v="-27.27"/>
    <n v="1594"/>
    <n v="1"/>
    <n v="1"/>
  </r>
  <r>
    <m/>
    <m/>
    <x v="1"/>
    <s v="33579124001002"/>
    <n v="-15.25"/>
    <n v="891"/>
    <n v="1"/>
    <n v="1"/>
  </r>
  <r>
    <m/>
    <m/>
    <x v="1"/>
    <s v="34088818001004"/>
    <n v="-53.67"/>
    <n v="3137"/>
    <n v="1"/>
    <n v="1"/>
  </r>
  <r>
    <m/>
    <m/>
    <x v="1"/>
    <s v="34099616001006"/>
    <n v="-26.18"/>
    <n v="1530"/>
    <n v="1"/>
    <n v="1"/>
  </r>
  <r>
    <m/>
    <m/>
    <x v="1"/>
    <s v="34329415001002"/>
    <n v="-6.07"/>
    <n v="355"/>
    <n v="1"/>
    <n v="1"/>
  </r>
  <r>
    <m/>
    <m/>
    <x v="1"/>
    <s v="34892207001001"/>
    <n v="-23.56"/>
    <n v="1377"/>
    <n v="1"/>
    <n v="1"/>
  </r>
  <r>
    <m/>
    <m/>
    <x v="1"/>
    <s v="34902092001003"/>
    <n v="-8.33"/>
    <n v="487"/>
    <n v="1"/>
    <n v="1"/>
  </r>
  <r>
    <m/>
    <m/>
    <x v="1"/>
    <s v="35235596002001"/>
    <n v="-31"/>
    <n v="1812"/>
    <n v="1"/>
    <n v="1"/>
  </r>
  <r>
    <m/>
    <m/>
    <x v="1"/>
    <s v="35256283001003"/>
    <n v="-27.12"/>
    <n v="1585"/>
    <n v="1"/>
    <n v="1"/>
  </r>
  <r>
    <m/>
    <m/>
    <x v="1"/>
    <s v="35490120001003"/>
    <n v="-22.35"/>
    <n v="1306"/>
    <n v="1"/>
    <n v="1"/>
  </r>
  <r>
    <m/>
    <m/>
    <x v="1"/>
    <s v="35523656001007"/>
    <n v="-11.93"/>
    <n v="697"/>
    <n v="1"/>
    <n v="1"/>
  </r>
  <r>
    <m/>
    <m/>
    <x v="1"/>
    <s v="35560202007001"/>
    <n v="-55.09"/>
    <n v="3220"/>
    <n v="1"/>
    <n v="1"/>
  </r>
  <r>
    <m/>
    <m/>
    <x v="1"/>
    <s v="35588099002003"/>
    <n v="-31.6"/>
    <n v="1847"/>
    <n v="1"/>
    <n v="1"/>
  </r>
  <r>
    <m/>
    <m/>
    <x v="1"/>
    <s v="36065414001009"/>
    <n v="-3.2"/>
    <n v="187"/>
    <n v="1"/>
    <n v="1"/>
  </r>
  <r>
    <m/>
    <m/>
    <x v="1"/>
    <s v="36145080002001"/>
    <n v="-1.27"/>
    <n v="74"/>
    <n v="1"/>
    <n v="1"/>
  </r>
  <r>
    <m/>
    <m/>
    <x v="1"/>
    <s v="36178447001001"/>
    <n v="-12.92"/>
    <n v="755"/>
    <n v="1"/>
    <n v="1"/>
  </r>
  <r>
    <m/>
    <m/>
    <x v="1"/>
    <s v="36405191001001"/>
    <n v="-12.95"/>
    <n v="757"/>
    <n v="1"/>
    <n v="1"/>
  </r>
  <r>
    <m/>
    <m/>
    <x v="1"/>
    <s v="36459596001003"/>
    <n v="-14.44"/>
    <n v="844"/>
    <n v="1"/>
    <n v="1"/>
  </r>
  <r>
    <m/>
    <m/>
    <x v="1"/>
    <s v="36990379002001"/>
    <n v="-14.13"/>
    <n v="826"/>
    <n v="1"/>
    <n v="1"/>
  </r>
  <r>
    <m/>
    <m/>
    <x v="1"/>
    <s v="36993606001001"/>
    <n v="-30.85"/>
    <n v="1803"/>
    <n v="1"/>
    <n v="1"/>
  </r>
  <r>
    <m/>
    <m/>
    <x v="1"/>
    <s v="37072302001005"/>
    <n v="-20.58"/>
    <n v="1203"/>
    <n v="1"/>
    <n v="1"/>
  </r>
  <r>
    <m/>
    <m/>
    <x v="1"/>
    <s v="37250462001001"/>
    <n v="-38.380000000000003"/>
    <n v="2243"/>
    <n v="1"/>
    <n v="1"/>
  </r>
  <r>
    <m/>
    <m/>
    <x v="1"/>
    <s v="37420592003001"/>
    <n v="-16.03"/>
    <n v="937"/>
    <n v="1"/>
    <n v="1"/>
  </r>
  <r>
    <m/>
    <m/>
    <x v="1"/>
    <s v="37463674001001"/>
    <n v="-34.36"/>
    <n v="2008"/>
    <n v="1"/>
    <n v="1"/>
  </r>
  <r>
    <m/>
    <m/>
    <x v="1"/>
    <s v="37494438002001"/>
    <n v="-28.64"/>
    <n v="1674"/>
    <n v="1"/>
    <n v="1"/>
  </r>
  <r>
    <m/>
    <m/>
    <x v="1"/>
    <s v="38653947001005"/>
    <n v="-25.96"/>
    <n v="1517"/>
    <n v="1"/>
    <n v="1"/>
  </r>
  <r>
    <m/>
    <m/>
    <x v="1"/>
    <s v="38665012002003"/>
    <n v="-28.39"/>
    <n v="1659"/>
    <n v="1"/>
    <n v="1"/>
  </r>
  <r>
    <m/>
    <m/>
    <x v="1"/>
    <s v="38666511001005"/>
    <n v="-41.35"/>
    <n v="2417"/>
    <n v="1"/>
    <n v="1"/>
  </r>
  <r>
    <m/>
    <m/>
    <x v="1"/>
    <s v="38677583001001"/>
    <n v="-25.84"/>
    <n v="1510"/>
    <n v="1"/>
    <n v="1"/>
  </r>
  <r>
    <m/>
    <m/>
    <x v="1"/>
    <s v="38860694001003"/>
    <n v="-42.54"/>
    <n v="2486"/>
    <n v="1"/>
    <n v="1"/>
  </r>
  <r>
    <m/>
    <m/>
    <x v="1"/>
    <s v="39658784002001"/>
    <n v="-8.02"/>
    <n v="469"/>
    <n v="1"/>
    <n v="1"/>
  </r>
  <r>
    <m/>
    <m/>
    <x v="1"/>
    <s v="39662471001003"/>
    <n v="-42.01"/>
    <n v="2455"/>
    <n v="1"/>
    <n v="1"/>
  </r>
  <r>
    <m/>
    <m/>
    <x v="1"/>
    <s v="39954610002010"/>
    <n v="-9.02"/>
    <n v="527"/>
    <n v="1"/>
    <n v="1"/>
  </r>
  <r>
    <m/>
    <m/>
    <x v="1"/>
    <s v="39955820001001"/>
    <n v="-19.829999999999998"/>
    <n v="1159"/>
    <n v="1"/>
    <n v="1"/>
  </r>
  <r>
    <m/>
    <m/>
    <x v="1"/>
    <s v="40304373001005"/>
    <n v="-13.76"/>
    <n v="804"/>
    <n v="1"/>
    <n v="1"/>
  </r>
  <r>
    <m/>
    <m/>
    <x v="1"/>
    <s v="40315241001004"/>
    <n v="-12.92"/>
    <n v="755"/>
    <n v="2"/>
    <n v="1"/>
  </r>
  <r>
    <m/>
    <m/>
    <x v="1"/>
    <s v="40366913001001"/>
    <n v="-15.13"/>
    <n v="884"/>
    <n v="1"/>
    <n v="1"/>
  </r>
  <r>
    <m/>
    <m/>
    <x v="1"/>
    <s v="40492100002001"/>
    <n v="-3.75"/>
    <n v="219"/>
    <n v="1"/>
    <n v="1"/>
  </r>
  <r>
    <m/>
    <m/>
    <x v="1"/>
    <s v="40602210001001"/>
    <n v="-5.83"/>
    <n v="341"/>
    <n v="1"/>
    <n v="1"/>
  </r>
  <r>
    <m/>
    <m/>
    <x v="1"/>
    <s v="41254471001004"/>
    <n v="-26.97"/>
    <n v="1576"/>
    <n v="1"/>
    <n v="1"/>
  </r>
  <r>
    <m/>
    <m/>
    <x v="1"/>
    <s v="41419799002001"/>
    <n v="-4.16"/>
    <n v="243"/>
    <n v="1"/>
    <n v="1"/>
  </r>
  <r>
    <m/>
    <m/>
    <x v="1"/>
    <s v="41938265001001"/>
    <n v="-24.72"/>
    <n v="1445"/>
    <n v="1"/>
    <n v="1"/>
  </r>
  <r>
    <m/>
    <m/>
    <x v="1"/>
    <s v="42014470001005"/>
    <n v="-39.799999999999997"/>
    <n v="2326"/>
    <n v="1"/>
    <n v="1"/>
  </r>
  <r>
    <m/>
    <m/>
    <x v="1"/>
    <s v="42066880001001"/>
    <n v="-9.8699999999999992"/>
    <n v="577"/>
    <n v="1"/>
    <n v="1"/>
  </r>
  <r>
    <m/>
    <m/>
    <x v="1"/>
    <s v="42508761002002"/>
    <n v="-16.649999999999999"/>
    <n v="973"/>
    <n v="1"/>
    <n v="1"/>
  </r>
  <r>
    <m/>
    <m/>
    <x v="1"/>
    <s v="42515901001002"/>
    <n v="-27.19"/>
    <n v="1589"/>
    <n v="1"/>
    <n v="1"/>
  </r>
  <r>
    <m/>
    <m/>
    <x v="1"/>
    <s v="42524441001002"/>
    <n v="-39.99"/>
    <n v="2337"/>
    <n v="1"/>
    <n v="1"/>
  </r>
  <r>
    <m/>
    <m/>
    <x v="1"/>
    <s v="42528501001002"/>
    <n v="-20.55"/>
    <n v="1201"/>
    <n v="1"/>
    <n v="1"/>
  </r>
  <r>
    <m/>
    <m/>
    <x v="1"/>
    <s v="42576676002001"/>
    <n v="-23.8"/>
    <n v="1391"/>
    <n v="1"/>
    <n v="1"/>
  </r>
  <r>
    <m/>
    <m/>
    <x v="1"/>
    <s v="42586041002001"/>
    <n v="-17.420000000000002"/>
    <n v="1018"/>
    <n v="1"/>
    <n v="1"/>
  </r>
  <r>
    <m/>
    <m/>
    <x v="1"/>
    <s v="42613341001001"/>
    <n v="-4.3499999999999996"/>
    <n v="254"/>
    <n v="1"/>
    <n v="1"/>
  </r>
  <r>
    <m/>
    <m/>
    <x v="1"/>
    <s v="42620271001001"/>
    <n v="-9.6"/>
    <n v="561"/>
    <n v="1"/>
    <n v="1"/>
  </r>
  <r>
    <m/>
    <m/>
    <x v="1"/>
    <s v="42624051001002"/>
    <n v="-4.8899999999999997"/>
    <n v="286"/>
    <n v="1"/>
    <n v="1"/>
  </r>
  <r>
    <m/>
    <m/>
    <x v="1"/>
    <s v="42649321001001"/>
    <n v="-1.78"/>
    <n v="104"/>
    <n v="1"/>
    <n v="1"/>
  </r>
  <r>
    <m/>
    <m/>
    <x v="1"/>
    <s v="42659261001004"/>
    <n v="-37.950000000000003"/>
    <n v="2218"/>
    <n v="1"/>
    <n v="1"/>
  </r>
  <r>
    <m/>
    <m/>
    <x v="1"/>
    <s v="42660451001005"/>
    <n v="-1.49"/>
    <n v="87"/>
    <n v="1"/>
    <n v="1"/>
  </r>
  <r>
    <m/>
    <m/>
    <x v="1"/>
    <s v="42662971001011"/>
    <n v="-30.18"/>
    <n v="1764"/>
    <n v="1"/>
    <n v="1"/>
  </r>
  <r>
    <m/>
    <m/>
    <x v="1"/>
    <s v="42725901002002"/>
    <n v="-19.399999999999999"/>
    <n v="1134"/>
    <n v="1"/>
    <n v="1"/>
  </r>
  <r>
    <m/>
    <m/>
    <x v="1"/>
    <s v="42743757001001"/>
    <n v="-14.59"/>
    <n v="853"/>
    <n v="1"/>
    <n v="1"/>
  </r>
  <r>
    <m/>
    <m/>
    <x v="1"/>
    <s v="42776931001001"/>
    <n v="-33.93"/>
    <n v="1983"/>
    <n v="1"/>
    <n v="1"/>
  </r>
  <r>
    <m/>
    <m/>
    <x v="1"/>
    <s v="42785681001001"/>
    <n v="-38.19"/>
    <n v="2232"/>
    <n v="1"/>
    <n v="1"/>
  </r>
  <r>
    <m/>
    <m/>
    <x v="1"/>
    <s v="42812881002001"/>
    <n v="-17.04"/>
    <n v="996"/>
    <n v="1"/>
    <n v="1"/>
  </r>
  <r>
    <m/>
    <m/>
    <x v="1"/>
    <s v="42816621001001"/>
    <n v="-13.47"/>
    <n v="787"/>
    <n v="1"/>
    <n v="1"/>
  </r>
  <r>
    <m/>
    <m/>
    <x v="1"/>
    <s v="42926275001002"/>
    <n v="-31.52"/>
    <n v="1842"/>
    <n v="1"/>
    <n v="1"/>
  </r>
  <r>
    <m/>
    <m/>
    <x v="1"/>
    <s v="42954661002001"/>
    <n v="-14.44"/>
    <n v="844"/>
    <n v="1"/>
    <n v="1"/>
  </r>
  <r>
    <m/>
    <m/>
    <x v="1"/>
    <s v="43033085001001"/>
    <n v="-7.15"/>
    <n v="418"/>
    <n v="1"/>
    <n v="1"/>
  </r>
  <r>
    <m/>
    <m/>
    <x v="1"/>
    <s v="43045241001001"/>
    <n v="-0.91"/>
    <n v="53"/>
    <n v="1"/>
    <n v="1"/>
  </r>
  <r>
    <m/>
    <m/>
    <x v="1"/>
    <s v="43133021001001"/>
    <n v="-0.6"/>
    <n v="35"/>
    <n v="1"/>
    <n v="1"/>
  </r>
  <r>
    <m/>
    <m/>
    <x v="1"/>
    <s v="43137151001001"/>
    <n v="-32.39"/>
    <n v="1893"/>
    <n v="1"/>
    <n v="1"/>
  </r>
  <r>
    <m/>
    <m/>
    <x v="1"/>
    <s v="43138901003007"/>
    <n v="-0.87"/>
    <n v="51"/>
    <n v="1"/>
    <n v="1"/>
  </r>
  <r>
    <m/>
    <m/>
    <x v="1"/>
    <s v="43163261002001"/>
    <n v="-40.65"/>
    <n v="2376"/>
    <n v="1"/>
    <n v="1"/>
  </r>
  <r>
    <m/>
    <m/>
    <x v="1"/>
    <s v="43192521002006"/>
    <n v="-12.03"/>
    <n v="703"/>
    <n v="1"/>
    <n v="1"/>
  </r>
  <r>
    <m/>
    <m/>
    <x v="1"/>
    <s v="43234101001001"/>
    <n v="-17.52"/>
    <n v="1024"/>
    <n v="1"/>
    <n v="1"/>
  </r>
  <r>
    <m/>
    <m/>
    <x v="1"/>
    <s v="43254471002001"/>
    <n v="-27.02"/>
    <n v="1579"/>
    <n v="1"/>
    <n v="1"/>
  </r>
  <r>
    <m/>
    <m/>
    <x v="1"/>
    <s v="43259441001002"/>
    <n v="-2.75"/>
    <n v="161"/>
    <n v="1"/>
    <n v="1"/>
  </r>
  <r>
    <m/>
    <m/>
    <x v="1"/>
    <s v="43267071001006"/>
    <n v="-16.77"/>
    <n v="980"/>
    <n v="1"/>
    <n v="1"/>
  </r>
  <r>
    <m/>
    <m/>
    <x v="1"/>
    <s v="43297591001002"/>
    <n v="-36.68"/>
    <n v="2144"/>
    <n v="1"/>
    <n v="1"/>
  </r>
  <r>
    <m/>
    <m/>
    <x v="1"/>
    <s v="43299411003001"/>
    <n v="-24.52"/>
    <n v="1433"/>
    <n v="1"/>
    <n v="1"/>
  </r>
  <r>
    <m/>
    <m/>
    <x v="1"/>
    <s v="43333711001002"/>
    <n v="-8.74"/>
    <n v="511"/>
    <n v="1"/>
    <n v="1"/>
  </r>
  <r>
    <m/>
    <m/>
    <x v="1"/>
    <s v="43341691001008"/>
    <n v="-20.46"/>
    <n v="1196"/>
    <n v="1"/>
    <n v="1"/>
  </r>
  <r>
    <m/>
    <m/>
    <x v="1"/>
    <s v="43399301001003"/>
    <n v="-22.38"/>
    <n v="1308"/>
    <n v="1"/>
    <n v="1"/>
  </r>
  <r>
    <m/>
    <m/>
    <x v="1"/>
    <s v="43411551001012"/>
    <n v="-11.93"/>
    <n v="697"/>
    <n v="1"/>
    <n v="1"/>
  </r>
  <r>
    <m/>
    <m/>
    <x v="1"/>
    <s v="43445991001003"/>
    <n v="-22.29"/>
    <n v="1303"/>
    <n v="1"/>
    <n v="1"/>
  </r>
  <r>
    <m/>
    <m/>
    <x v="1"/>
    <s v="43629601001002"/>
    <n v="-21.37"/>
    <n v="1249"/>
    <n v="1"/>
    <n v="1"/>
  </r>
  <r>
    <m/>
    <m/>
    <x v="1"/>
    <s v="43717941001003"/>
    <n v="-12.13"/>
    <n v="709"/>
    <n v="1"/>
    <n v="1"/>
  </r>
  <r>
    <m/>
    <m/>
    <x v="1"/>
    <s v="43736211001004"/>
    <n v="-11.62"/>
    <n v="679"/>
    <n v="1"/>
    <n v="1"/>
  </r>
  <r>
    <m/>
    <m/>
    <x v="1"/>
    <s v="43777301002001"/>
    <n v="-17.37"/>
    <n v="1015"/>
    <n v="1"/>
    <n v="1"/>
  </r>
  <r>
    <m/>
    <m/>
    <x v="1"/>
    <s v="43805161001001"/>
    <n v="-10.52"/>
    <n v="615"/>
    <n v="1"/>
    <n v="1"/>
  </r>
  <r>
    <m/>
    <m/>
    <x v="1"/>
    <s v="43823991001001"/>
    <n v="-15.93"/>
    <n v="931"/>
    <n v="1"/>
    <n v="1"/>
  </r>
  <r>
    <m/>
    <m/>
    <x v="1"/>
    <s v="43829235001002"/>
    <n v="-22.53"/>
    <n v="1317"/>
    <n v="1"/>
    <n v="1"/>
  </r>
  <r>
    <m/>
    <m/>
    <x v="1"/>
    <s v="43829871002001"/>
    <n v="-17.97"/>
    <n v="1050"/>
    <n v="1"/>
    <n v="1"/>
  </r>
  <r>
    <m/>
    <m/>
    <x v="1"/>
    <s v="43835420001001"/>
    <n v="-14.82"/>
    <n v="866"/>
    <n v="1"/>
    <n v="1"/>
  </r>
  <r>
    <m/>
    <m/>
    <x v="1"/>
    <s v="43881111001003"/>
    <n v="-9.1199999999999992"/>
    <n v="533"/>
    <n v="1"/>
    <n v="1"/>
  </r>
  <r>
    <m/>
    <m/>
    <x v="1"/>
    <s v="43883841001001"/>
    <n v="-13.47"/>
    <n v="787"/>
    <n v="1"/>
    <n v="1"/>
  </r>
  <r>
    <m/>
    <m/>
    <x v="1"/>
    <s v="43890421001006"/>
    <n v="-37.950000000000003"/>
    <n v="2218"/>
    <n v="1"/>
    <n v="1"/>
  </r>
  <r>
    <m/>
    <m/>
    <x v="1"/>
    <s v="43937246004001"/>
    <n v="-34.770000000000003"/>
    <n v="2032"/>
    <n v="1"/>
    <n v="1"/>
  </r>
  <r>
    <m/>
    <m/>
    <x v="1"/>
    <s v="44009911001014"/>
    <n v="-4.47"/>
    <n v="261"/>
    <n v="1"/>
    <n v="1"/>
  </r>
  <r>
    <m/>
    <m/>
    <x v="1"/>
    <s v="44032311001001"/>
    <n v="-12.32"/>
    <n v="720"/>
    <n v="1"/>
    <n v="1"/>
  </r>
  <r>
    <m/>
    <m/>
    <x v="1"/>
    <s v="44070041001001"/>
    <n v="-66.349999999999994"/>
    <n v="3878"/>
    <n v="1"/>
    <n v="1"/>
  </r>
  <r>
    <m/>
    <m/>
    <x v="1"/>
    <s v="44114631002002"/>
    <n v="-29.05"/>
    <n v="1698"/>
    <n v="1"/>
    <n v="1"/>
  </r>
  <r>
    <m/>
    <m/>
    <x v="1"/>
    <s v="44225511001001"/>
    <n v="-40.93"/>
    <n v="2392"/>
    <n v="1"/>
    <n v="1"/>
  </r>
  <r>
    <m/>
    <m/>
    <x v="1"/>
    <s v="44254071001001"/>
    <n v="-19.47"/>
    <n v="1138"/>
    <n v="1"/>
    <n v="1"/>
  </r>
  <r>
    <m/>
    <m/>
    <x v="1"/>
    <s v="44271641001001"/>
    <n v="-4.83"/>
    <n v="282"/>
    <n v="1"/>
    <n v="1"/>
  </r>
  <r>
    <m/>
    <m/>
    <x v="1"/>
    <s v="44271711001001"/>
    <n v="-1.76"/>
    <n v="103"/>
    <n v="1"/>
    <n v="1"/>
  </r>
  <r>
    <m/>
    <m/>
    <x v="1"/>
    <s v="44285361001001"/>
    <n v="-6.67"/>
    <n v="390"/>
    <n v="1"/>
    <n v="1"/>
  </r>
  <r>
    <m/>
    <m/>
    <x v="1"/>
    <s v="44315321002001"/>
    <n v="-27.74"/>
    <n v="1621"/>
    <n v="1"/>
    <n v="1"/>
  </r>
  <r>
    <m/>
    <m/>
    <x v="1"/>
    <s v="44339401001001"/>
    <n v="-21.42"/>
    <n v="1252"/>
    <n v="1"/>
    <n v="1"/>
  </r>
  <r>
    <m/>
    <m/>
    <x v="1"/>
    <s v="44351795001005"/>
    <n v="-20.309999999999999"/>
    <n v="1187"/>
    <n v="1"/>
    <n v="1"/>
  </r>
  <r>
    <m/>
    <m/>
    <x v="1"/>
    <s v="44353961001003"/>
    <n v="-32.51"/>
    <n v="1900"/>
    <n v="1"/>
    <n v="1"/>
  </r>
  <r>
    <m/>
    <m/>
    <x v="1"/>
    <s v="44355501001004"/>
    <n v="-18.170000000000002"/>
    <n v="1062"/>
    <n v="1"/>
    <n v="1"/>
  </r>
  <r>
    <m/>
    <m/>
    <x v="1"/>
    <s v="44387071001001"/>
    <n v="-4.1100000000000003"/>
    <n v="240"/>
    <n v="1"/>
    <n v="1"/>
  </r>
  <r>
    <m/>
    <m/>
    <x v="1"/>
    <s v="44413951001005"/>
    <n v="-2.2799999999999998"/>
    <n v="133"/>
    <n v="1"/>
    <n v="1"/>
  </r>
  <r>
    <m/>
    <m/>
    <x v="1"/>
    <s v="44432151001001"/>
    <n v="-11.24"/>
    <n v="657"/>
    <n v="1"/>
    <n v="1"/>
  </r>
  <r>
    <m/>
    <m/>
    <x v="1"/>
    <s v="44449861003001"/>
    <n v="-49.67"/>
    <n v="2903"/>
    <n v="1"/>
    <n v="1"/>
  </r>
  <r>
    <m/>
    <m/>
    <x v="1"/>
    <s v="44452381001001"/>
    <n v="-21.92"/>
    <n v="1281"/>
    <n v="1"/>
    <n v="1"/>
  </r>
  <r>
    <m/>
    <m/>
    <x v="1"/>
    <s v="44480241001005"/>
    <n v="-20.98"/>
    <n v="1226"/>
    <n v="1"/>
    <n v="1"/>
  </r>
  <r>
    <m/>
    <m/>
    <x v="1"/>
    <s v="44487381001001"/>
    <n v="-41.39"/>
    <n v="2419"/>
    <n v="1"/>
    <n v="1"/>
  </r>
  <r>
    <m/>
    <m/>
    <x v="1"/>
    <s v="44550311001001"/>
    <n v="-13.45"/>
    <n v="786"/>
    <n v="1"/>
    <n v="1"/>
  </r>
  <r>
    <m/>
    <m/>
    <x v="1"/>
    <s v="44553531002003"/>
    <n v="-52.27"/>
    <n v="3055"/>
    <n v="1"/>
    <n v="1"/>
  </r>
  <r>
    <m/>
    <m/>
    <x v="1"/>
    <s v="44562771002001"/>
    <n v="-9.51"/>
    <n v="556"/>
    <n v="1"/>
    <n v="1"/>
  </r>
  <r>
    <m/>
    <m/>
    <x v="1"/>
    <s v="44569071002001"/>
    <n v="-29.48"/>
    <n v="1723"/>
    <n v="1"/>
    <n v="1"/>
  </r>
  <r>
    <m/>
    <m/>
    <x v="1"/>
    <s v="44698571001002"/>
    <n v="-6.06"/>
    <n v="354"/>
    <n v="1"/>
    <n v="1"/>
  </r>
  <r>
    <m/>
    <m/>
    <x v="1"/>
    <s v="44702771001003"/>
    <n v="-43.12"/>
    <n v="2520"/>
    <n v="1"/>
    <n v="1"/>
  </r>
  <r>
    <m/>
    <m/>
    <x v="1"/>
    <s v="44719431001001"/>
    <n v="-24.64"/>
    <n v="1440"/>
    <n v="1"/>
    <n v="1"/>
  </r>
  <r>
    <m/>
    <m/>
    <x v="1"/>
    <s v="44775641001002"/>
    <n v="-26.33"/>
    <n v="1539"/>
    <n v="1"/>
    <n v="1"/>
  </r>
  <r>
    <m/>
    <m/>
    <x v="1"/>
    <s v="44775991001002"/>
    <n v="-18.440000000000001"/>
    <n v="1078"/>
    <n v="1"/>
    <n v="1"/>
  </r>
  <r>
    <m/>
    <m/>
    <x v="1"/>
    <s v="44796081001002"/>
    <n v="-2.09"/>
    <n v="122"/>
    <n v="1"/>
    <n v="1"/>
  </r>
  <r>
    <m/>
    <m/>
    <x v="1"/>
    <s v="44797411005020"/>
    <n v="-19.329999999999998"/>
    <n v="1130"/>
    <n v="1"/>
    <n v="1"/>
  </r>
  <r>
    <m/>
    <m/>
    <x v="1"/>
    <s v="44800281002001"/>
    <n v="-52.7"/>
    <n v="3080"/>
    <n v="1"/>
    <n v="1"/>
  </r>
  <r>
    <m/>
    <m/>
    <x v="1"/>
    <s v="44801121001009"/>
    <n v="-19.850000000000001"/>
    <n v="1160"/>
    <n v="1"/>
    <n v="1"/>
  </r>
  <r>
    <m/>
    <m/>
    <x v="1"/>
    <s v="44805881002002"/>
    <n v="-35.97"/>
    <n v="2102"/>
    <n v="1"/>
    <n v="1"/>
  </r>
  <r>
    <m/>
    <m/>
    <x v="1"/>
    <s v="44819842001003"/>
    <n v="-30.87"/>
    <n v="1804"/>
    <n v="1"/>
    <n v="1"/>
  </r>
  <r>
    <m/>
    <m/>
    <x v="1"/>
    <s v="44844661001002"/>
    <n v="-34.03"/>
    <n v="1989"/>
    <n v="1"/>
    <n v="1"/>
  </r>
  <r>
    <m/>
    <m/>
    <x v="1"/>
    <s v="44847951001001"/>
    <n v="-35.520000000000003"/>
    <n v="2076"/>
    <n v="1"/>
    <n v="1"/>
  </r>
  <r>
    <m/>
    <m/>
    <x v="1"/>
    <s v="44858844001002"/>
    <n v="-38.5"/>
    <n v="2250"/>
    <n v="1"/>
    <n v="1"/>
  </r>
  <r>
    <m/>
    <m/>
    <x v="1"/>
    <s v="44861671002001"/>
    <n v="-14.34"/>
    <n v="838"/>
    <n v="1"/>
    <n v="1"/>
  </r>
  <r>
    <m/>
    <m/>
    <x v="1"/>
    <s v="44882082003001"/>
    <n v="-29.24"/>
    <n v="1709"/>
    <n v="1"/>
    <n v="1"/>
  </r>
  <r>
    <m/>
    <m/>
    <x v="1"/>
    <s v="44885681001001"/>
    <n v="-17.37"/>
    <n v="1015"/>
    <n v="1"/>
    <n v="1"/>
  </r>
  <r>
    <m/>
    <m/>
    <x v="1"/>
    <s v="44905001001001"/>
    <n v="-21.35"/>
    <n v="1248"/>
    <n v="1"/>
    <n v="1"/>
  </r>
  <r>
    <m/>
    <m/>
    <x v="1"/>
    <s v="44907758001001"/>
    <n v="-27.94"/>
    <n v="1633"/>
    <n v="1"/>
    <n v="1"/>
  </r>
  <r>
    <m/>
    <m/>
    <x v="1"/>
    <s v="44909201001001"/>
    <n v="-2.2400000000000002"/>
    <n v="131"/>
    <n v="1"/>
    <n v="1"/>
  </r>
  <r>
    <m/>
    <m/>
    <x v="1"/>
    <s v="44935424001003"/>
    <n v="-9.65"/>
    <n v="564"/>
    <n v="1"/>
    <n v="1"/>
  </r>
  <r>
    <m/>
    <m/>
    <x v="1"/>
    <s v="44983121001001"/>
    <n v="-21.08"/>
    <n v="1232"/>
    <n v="1"/>
    <n v="1"/>
  </r>
  <r>
    <m/>
    <m/>
    <x v="1"/>
    <s v="44992711001001"/>
    <n v="-23.49"/>
    <n v="1373"/>
    <n v="1"/>
    <n v="1"/>
  </r>
  <r>
    <m/>
    <m/>
    <x v="1"/>
    <s v="45041431001002"/>
    <n v="-27.97"/>
    <n v="1635"/>
    <n v="1"/>
    <n v="1"/>
  </r>
  <r>
    <m/>
    <m/>
    <x v="1"/>
    <s v="45060821001003"/>
    <n v="-34.840000000000003"/>
    <n v="2036"/>
    <n v="1"/>
    <n v="1"/>
  </r>
  <r>
    <m/>
    <m/>
    <x v="1"/>
    <s v="45073281001004"/>
    <n v="-19.54"/>
    <n v="1142"/>
    <n v="1"/>
    <n v="1"/>
  </r>
  <r>
    <m/>
    <m/>
    <x v="1"/>
    <s v="45126691002004"/>
    <n v="-37.83"/>
    <n v="2211"/>
    <n v="1"/>
    <n v="1"/>
  </r>
  <r>
    <m/>
    <m/>
    <x v="1"/>
    <s v="45137401001003"/>
    <n v="-38.99"/>
    <n v="2279"/>
    <n v="1"/>
    <n v="1"/>
  </r>
  <r>
    <m/>
    <m/>
    <x v="1"/>
    <s v="45146851001006"/>
    <n v="-6.83"/>
    <n v="399"/>
    <n v="1"/>
    <n v="1"/>
  </r>
  <r>
    <m/>
    <m/>
    <x v="1"/>
    <s v="45170721001001"/>
    <n v="-37.659999999999997"/>
    <n v="2201"/>
    <n v="1"/>
    <n v="1"/>
  </r>
  <r>
    <m/>
    <m/>
    <x v="1"/>
    <s v="45182201001001"/>
    <n v="-17.260000000000002"/>
    <n v="1009"/>
    <n v="1"/>
    <n v="1"/>
  </r>
  <r>
    <m/>
    <m/>
    <x v="1"/>
    <s v="45200471001003"/>
    <n v="-24.69"/>
    <n v="1443"/>
    <n v="1"/>
    <n v="1"/>
  </r>
  <r>
    <m/>
    <m/>
    <x v="1"/>
    <s v="45272991001001"/>
    <n v="-2.52"/>
    <n v="147"/>
    <n v="1"/>
    <n v="1"/>
  </r>
  <r>
    <m/>
    <m/>
    <x v="1"/>
    <s v="45275791001001"/>
    <n v="-16.670000000000002"/>
    <n v="974"/>
    <n v="1"/>
    <n v="1"/>
  </r>
  <r>
    <m/>
    <m/>
    <x v="1"/>
    <s v="45290141001001"/>
    <n v="-21.66"/>
    <n v="1266"/>
    <n v="1"/>
    <n v="1"/>
  </r>
  <r>
    <m/>
    <m/>
    <x v="1"/>
    <s v="45332981001003"/>
    <n v="-7.75"/>
    <n v="453"/>
    <n v="1"/>
    <n v="1"/>
  </r>
  <r>
    <m/>
    <m/>
    <x v="1"/>
    <s v="45371411001001"/>
    <n v="-15.98"/>
    <n v="934"/>
    <n v="1"/>
    <n v="1"/>
  </r>
  <r>
    <m/>
    <m/>
    <x v="1"/>
    <s v="45384011001002"/>
    <n v="-33.28"/>
    <n v="1945"/>
    <n v="1"/>
    <n v="1"/>
  </r>
  <r>
    <m/>
    <m/>
    <x v="1"/>
    <s v="45440641002001"/>
    <n v="-15.6"/>
    <n v="912"/>
    <n v="1"/>
    <n v="1"/>
  </r>
  <r>
    <m/>
    <m/>
    <x v="1"/>
    <s v="45445432002001"/>
    <n v="-35.520000000000003"/>
    <n v="2076"/>
    <n v="1"/>
    <n v="1"/>
  </r>
  <r>
    <m/>
    <m/>
    <x v="1"/>
    <s v="45451631001001"/>
    <n v="-11.45"/>
    <n v="669"/>
    <n v="1"/>
    <n v="1"/>
  </r>
  <r>
    <m/>
    <m/>
    <x v="1"/>
    <s v="45524858001001"/>
    <n v="-20.87"/>
    <n v="1220"/>
    <n v="1"/>
    <n v="1"/>
  </r>
  <r>
    <m/>
    <m/>
    <x v="1"/>
    <s v="45525621001001"/>
    <n v="-29.98"/>
    <n v="1752"/>
    <n v="1"/>
    <n v="1"/>
  </r>
  <r>
    <m/>
    <m/>
    <x v="1"/>
    <s v="45526041001005"/>
    <n v="-28.03"/>
    <n v="1638"/>
    <n v="1"/>
    <n v="1"/>
  </r>
  <r>
    <m/>
    <m/>
    <x v="1"/>
    <s v="45546971002001"/>
    <n v="-5.42"/>
    <n v="317"/>
    <n v="1"/>
    <n v="1"/>
  </r>
  <r>
    <m/>
    <m/>
    <x v="1"/>
    <s v="45609201003001"/>
    <n v="-2.4500000000000002"/>
    <n v="143"/>
    <n v="1"/>
    <n v="1"/>
  </r>
  <r>
    <m/>
    <m/>
    <x v="1"/>
    <s v="45628101001001"/>
    <n v="-37.450000000000003"/>
    <n v="2189"/>
    <n v="1"/>
    <n v="1"/>
  </r>
  <r>
    <m/>
    <m/>
    <x v="1"/>
    <s v="45707786001004"/>
    <n v="-21.63"/>
    <n v="1264"/>
    <n v="1"/>
    <n v="1"/>
  </r>
  <r>
    <m/>
    <m/>
    <x v="1"/>
    <s v="45708595001003"/>
    <n v="-22.21"/>
    <n v="1298"/>
    <n v="1"/>
    <n v="1"/>
  </r>
  <r>
    <m/>
    <m/>
    <x v="1"/>
    <s v="45765931005001"/>
    <n v="-34.08"/>
    <n v="1992"/>
    <n v="1"/>
    <n v="1"/>
  </r>
  <r>
    <m/>
    <m/>
    <x v="1"/>
    <s v="45771181001001"/>
    <n v="-36.26"/>
    <n v="2119"/>
    <n v="1"/>
    <n v="1"/>
  </r>
  <r>
    <m/>
    <m/>
    <x v="1"/>
    <s v="45788681002001"/>
    <n v="-9.86"/>
    <n v="576"/>
    <n v="1"/>
    <n v="1"/>
  </r>
  <r>
    <m/>
    <m/>
    <x v="1"/>
    <s v="45805966004001"/>
    <n v="-17.59"/>
    <n v="1028"/>
    <n v="1"/>
    <n v="1"/>
  </r>
  <r>
    <m/>
    <m/>
    <x v="1"/>
    <s v="45842301001002"/>
    <n v="-26.13"/>
    <n v="1527"/>
    <n v="1"/>
    <n v="1"/>
  </r>
  <r>
    <m/>
    <m/>
    <x v="1"/>
    <s v="45845101001001"/>
    <n v="-24.55"/>
    <n v="1435"/>
    <n v="1"/>
    <n v="1"/>
  </r>
  <r>
    <m/>
    <m/>
    <x v="1"/>
    <s v="45848041001001"/>
    <n v="-45.24"/>
    <n v="2644"/>
    <n v="1"/>
    <n v="1"/>
  </r>
  <r>
    <m/>
    <m/>
    <x v="1"/>
    <s v="45851261001001"/>
    <n v="-28.37"/>
    <n v="1658"/>
    <n v="1"/>
    <n v="1"/>
  </r>
  <r>
    <m/>
    <m/>
    <x v="1"/>
    <s v="45924481001001"/>
    <n v="-11.45"/>
    <n v="669"/>
    <n v="1"/>
    <n v="1"/>
  </r>
  <r>
    <m/>
    <m/>
    <x v="1"/>
    <s v="46000571001002"/>
    <n v="-37.369999999999997"/>
    <n v="2184"/>
    <n v="1"/>
    <n v="1"/>
  </r>
  <r>
    <m/>
    <m/>
    <x v="1"/>
    <s v="46005261001001"/>
    <n v="-21.61"/>
    <n v="1263"/>
    <n v="1"/>
    <n v="1"/>
  </r>
  <r>
    <m/>
    <m/>
    <x v="1"/>
    <s v="46040191001001"/>
    <n v="-0.38"/>
    <n v="22"/>
    <n v="1"/>
    <n v="1"/>
  </r>
  <r>
    <m/>
    <m/>
    <x v="1"/>
    <s v="46061541001001"/>
    <n v="-9.86"/>
    <n v="576"/>
    <n v="1"/>
    <n v="1"/>
  </r>
  <r>
    <m/>
    <m/>
    <x v="1"/>
    <s v="46087791001001"/>
    <n v="-50.85"/>
    <n v="2972"/>
    <n v="1"/>
    <n v="1"/>
  </r>
  <r>
    <m/>
    <m/>
    <x v="1"/>
    <s v="46125801001001"/>
    <n v="-29.79"/>
    <n v="1741"/>
    <n v="1"/>
    <n v="1"/>
  </r>
  <r>
    <m/>
    <m/>
    <x v="1"/>
    <s v="46156461002003"/>
    <n v="-29.82"/>
    <n v="1743"/>
    <n v="1"/>
    <n v="1"/>
  </r>
  <r>
    <m/>
    <m/>
    <x v="1"/>
    <s v="46220931001002"/>
    <n v="-32.06"/>
    <n v="1874"/>
    <n v="1"/>
    <n v="1"/>
  </r>
  <r>
    <m/>
    <m/>
    <x v="1"/>
    <s v="46227600003001"/>
    <n v="-15.07"/>
    <n v="881"/>
    <n v="1"/>
    <n v="1"/>
  </r>
  <r>
    <m/>
    <m/>
    <x v="1"/>
    <s v="46235281001001"/>
    <n v="-41.49"/>
    <n v="2425"/>
    <n v="1"/>
    <n v="1"/>
  </r>
  <r>
    <m/>
    <m/>
    <x v="1"/>
    <s v="46279171001001"/>
    <n v="-17.64"/>
    <n v="1031"/>
    <n v="1"/>
    <n v="1"/>
  </r>
  <r>
    <m/>
    <m/>
    <x v="1"/>
    <s v="46289181004001"/>
    <n v="-24.24"/>
    <n v="1417"/>
    <n v="1"/>
    <n v="1"/>
  </r>
  <r>
    <m/>
    <m/>
    <x v="1"/>
    <s v="46341751001001"/>
    <n v="-40.049999999999997"/>
    <n v="2341"/>
    <n v="1"/>
    <n v="1"/>
  </r>
  <r>
    <m/>
    <m/>
    <x v="1"/>
    <s v="46350571001003"/>
    <n v="-13.02"/>
    <n v="761"/>
    <n v="1"/>
    <n v="1"/>
  </r>
  <r>
    <m/>
    <m/>
    <x v="1"/>
    <s v="46361701013001"/>
    <n v="-20.58"/>
    <n v="1203"/>
    <n v="1"/>
    <n v="1"/>
  </r>
  <r>
    <m/>
    <m/>
    <x v="1"/>
    <s v="46372481001002"/>
    <n v="-8.56"/>
    <n v="500"/>
    <n v="1"/>
    <n v="1"/>
  </r>
  <r>
    <m/>
    <m/>
    <x v="1"/>
    <s v="46392431004003"/>
    <n v="-22.14"/>
    <n v="1294"/>
    <n v="1"/>
    <n v="1"/>
  </r>
  <r>
    <m/>
    <m/>
    <x v="1"/>
    <s v="46412521001006"/>
    <n v="-19.489999999999998"/>
    <n v="1139"/>
    <n v="1"/>
    <n v="1"/>
  </r>
  <r>
    <m/>
    <m/>
    <x v="1"/>
    <s v="46438351001002"/>
    <n v="-4.24"/>
    <n v="248"/>
    <n v="1"/>
    <n v="1"/>
  </r>
  <r>
    <m/>
    <m/>
    <x v="1"/>
    <s v="46445281001003"/>
    <n v="-34.61"/>
    <n v="2023"/>
    <n v="1"/>
    <n v="1"/>
  </r>
  <r>
    <m/>
    <m/>
    <x v="1"/>
    <s v="46447731001002"/>
    <n v="-29.1"/>
    <n v="1701"/>
    <n v="1"/>
    <n v="1"/>
  </r>
  <r>
    <m/>
    <m/>
    <x v="1"/>
    <s v="46459421003005"/>
    <n v="-24.38"/>
    <n v="1425"/>
    <n v="1"/>
    <n v="1"/>
  </r>
  <r>
    <m/>
    <m/>
    <x v="1"/>
    <s v="46480981001002"/>
    <n v="-30.76"/>
    <n v="1798"/>
    <n v="1"/>
    <n v="1"/>
  </r>
  <r>
    <m/>
    <m/>
    <x v="1"/>
    <s v="46504501001001"/>
    <n v="-11.33"/>
    <n v="662"/>
    <n v="1"/>
    <n v="1"/>
  </r>
  <r>
    <m/>
    <m/>
    <x v="1"/>
    <s v="46525379001005"/>
    <n v="-11"/>
    <n v="643"/>
    <n v="1"/>
    <n v="1"/>
  </r>
  <r>
    <m/>
    <m/>
    <x v="1"/>
    <s v="46595026001001"/>
    <n v="-30.11"/>
    <n v="1760"/>
    <n v="1"/>
    <n v="1"/>
  </r>
  <r>
    <m/>
    <m/>
    <x v="1"/>
    <s v="46613701001001"/>
    <n v="-26.26"/>
    <n v="1535"/>
    <n v="1"/>
    <n v="1"/>
  </r>
  <r>
    <m/>
    <m/>
    <x v="1"/>
    <s v="46663679001002"/>
    <n v="-27.48"/>
    <n v="1606"/>
    <n v="1"/>
    <n v="1"/>
  </r>
  <r>
    <m/>
    <m/>
    <x v="1"/>
    <s v="46767211003001"/>
    <n v="-15.25"/>
    <n v="891"/>
    <n v="1"/>
    <n v="1"/>
  </r>
  <r>
    <m/>
    <m/>
    <x v="1"/>
    <s v="46786251002001"/>
    <n v="-24.83"/>
    <n v="1451"/>
    <n v="1"/>
    <n v="1"/>
  </r>
  <r>
    <m/>
    <m/>
    <x v="1"/>
    <s v="46791361001012"/>
    <n v="-8.4700000000000006"/>
    <n v="495"/>
    <n v="1"/>
    <n v="1"/>
  </r>
  <r>
    <m/>
    <m/>
    <x v="1"/>
    <s v="46794861003003"/>
    <n v="-3.71"/>
    <n v="217"/>
    <n v="1"/>
    <n v="1"/>
  </r>
  <r>
    <m/>
    <m/>
    <x v="1"/>
    <s v="46836751001001"/>
    <n v="-23.47"/>
    <n v="1372"/>
    <n v="1"/>
    <n v="1"/>
  </r>
  <r>
    <m/>
    <m/>
    <x v="1"/>
    <s v="46841272001001"/>
    <n v="-15.69"/>
    <n v="917"/>
    <n v="1"/>
    <n v="1"/>
  </r>
  <r>
    <m/>
    <m/>
    <x v="1"/>
    <s v="46866051008003"/>
    <n v="-11.63"/>
    <n v="680"/>
    <n v="1"/>
    <n v="1"/>
  </r>
  <r>
    <m/>
    <m/>
    <x v="1"/>
    <s v="46866331001002"/>
    <n v="-25.15"/>
    <n v="1470"/>
    <n v="1"/>
    <n v="1"/>
  </r>
  <r>
    <m/>
    <m/>
    <x v="1"/>
    <s v="46866401001007"/>
    <n v="-64.98"/>
    <n v="3798"/>
    <n v="1"/>
    <n v="1"/>
  </r>
  <r>
    <m/>
    <m/>
    <x v="1"/>
    <s v="46866681001004"/>
    <n v="-67.55"/>
    <n v="3948"/>
    <n v="1"/>
    <n v="1"/>
  </r>
  <r>
    <m/>
    <m/>
    <x v="1"/>
    <s v="46867241001005"/>
    <n v="-16.079999999999998"/>
    <n v="940"/>
    <n v="1"/>
    <n v="1"/>
  </r>
  <r>
    <m/>
    <m/>
    <x v="1"/>
    <s v="46905092001001"/>
    <n v="-33.020000000000003"/>
    <n v="1930"/>
    <n v="1"/>
    <n v="1"/>
  </r>
  <r>
    <m/>
    <m/>
    <x v="1"/>
    <s v="46933740002001"/>
    <n v="-28.68"/>
    <n v="1676"/>
    <n v="1"/>
    <n v="1"/>
  </r>
  <r>
    <m/>
    <m/>
    <x v="1"/>
    <s v="46951731001001"/>
    <n v="-4.74"/>
    <n v="277"/>
    <n v="1"/>
    <n v="1"/>
  </r>
  <r>
    <m/>
    <m/>
    <x v="1"/>
    <s v="47140101001006"/>
    <n v="-32.06"/>
    <n v="1874"/>
    <n v="1"/>
    <n v="1"/>
  </r>
  <r>
    <m/>
    <m/>
    <x v="1"/>
    <s v="47162081002004"/>
    <n v="-15.06"/>
    <n v="880"/>
    <n v="1"/>
    <n v="1"/>
  </r>
  <r>
    <m/>
    <m/>
    <x v="1"/>
    <s v="47168661001006"/>
    <n v="-1.21"/>
    <n v="71"/>
    <n v="1"/>
    <n v="1"/>
  </r>
  <r>
    <m/>
    <m/>
    <x v="1"/>
    <s v="47176711002001"/>
    <n v="-14.42"/>
    <n v="843"/>
    <n v="1"/>
    <n v="1"/>
  </r>
  <r>
    <m/>
    <m/>
    <x v="1"/>
    <s v="47208771001002"/>
    <n v="-31.47"/>
    <n v="1839"/>
    <n v="1"/>
    <n v="1"/>
  </r>
  <r>
    <m/>
    <m/>
    <x v="1"/>
    <s v="47210381001002"/>
    <n v="-6.11"/>
    <n v="357"/>
    <n v="1"/>
    <n v="1"/>
  </r>
  <r>
    <m/>
    <m/>
    <x v="1"/>
    <s v="47222141001002"/>
    <n v="-5.89"/>
    <n v="344"/>
    <n v="1"/>
    <n v="1"/>
  </r>
  <r>
    <m/>
    <m/>
    <x v="1"/>
    <s v="47229141003012"/>
    <n v="-31.79"/>
    <n v="1858"/>
    <n v="1"/>
    <n v="1"/>
  </r>
  <r>
    <m/>
    <m/>
    <x v="1"/>
    <s v="47244331002001"/>
    <n v="-19.23"/>
    <n v="1124"/>
    <n v="1"/>
    <n v="1"/>
  </r>
  <r>
    <m/>
    <m/>
    <x v="1"/>
    <s v="47282621001001"/>
    <n v="-17.420000000000002"/>
    <n v="1018"/>
    <n v="1"/>
    <n v="1"/>
  </r>
  <r>
    <m/>
    <m/>
    <x v="1"/>
    <s v="47302081008001"/>
    <n v="-52.31"/>
    <n v="3057"/>
    <n v="1"/>
    <n v="1"/>
  </r>
  <r>
    <m/>
    <m/>
    <x v="1"/>
    <s v="47309711002003"/>
    <n v="-23.58"/>
    <n v="1378"/>
    <n v="1"/>
    <n v="1"/>
  </r>
  <r>
    <m/>
    <m/>
    <x v="1"/>
    <s v="47323011001001"/>
    <n v="-26.71"/>
    <n v="1561"/>
    <n v="1"/>
    <n v="1"/>
  </r>
  <r>
    <m/>
    <m/>
    <x v="1"/>
    <s v="47328821001007"/>
    <n v="-15.33"/>
    <n v="896"/>
    <n v="1"/>
    <n v="1"/>
  </r>
  <r>
    <m/>
    <m/>
    <x v="1"/>
    <s v="47345831001004"/>
    <n v="-18.27"/>
    <n v="1068"/>
    <n v="1"/>
    <n v="1"/>
  </r>
  <r>
    <m/>
    <m/>
    <x v="1"/>
    <s v="47372921003003"/>
    <n v="-17.37"/>
    <n v="1015"/>
    <n v="1"/>
    <n v="1"/>
  </r>
  <r>
    <m/>
    <m/>
    <x v="1"/>
    <s v="47379221001002"/>
    <n v="-32.25"/>
    <n v="1885"/>
    <n v="1"/>
    <n v="1"/>
  </r>
  <r>
    <m/>
    <m/>
    <x v="1"/>
    <s v="47382161001005"/>
    <n v="-21.23"/>
    <n v="1241"/>
    <n v="1"/>
    <n v="1"/>
  </r>
  <r>
    <m/>
    <m/>
    <x v="1"/>
    <s v="47385661002002"/>
    <n v="-25.84"/>
    <n v="1510"/>
    <n v="1"/>
    <n v="1"/>
  </r>
  <r>
    <m/>
    <m/>
    <x v="1"/>
    <s v="47386711001003"/>
    <n v="-31.52"/>
    <n v="1842"/>
    <n v="1"/>
    <n v="1"/>
  </r>
  <r>
    <m/>
    <m/>
    <x v="1"/>
    <s v="47387061005001"/>
    <n v="-23.9"/>
    <n v="1397"/>
    <n v="1"/>
    <n v="1"/>
  </r>
  <r>
    <m/>
    <m/>
    <x v="1"/>
    <s v="47403091001002"/>
    <n v="-28.06"/>
    <n v="1640"/>
    <n v="1"/>
    <n v="1"/>
  </r>
  <r>
    <m/>
    <m/>
    <x v="1"/>
    <s v="47414851002001"/>
    <n v="-20.43"/>
    <n v="1194"/>
    <n v="1"/>
    <n v="1"/>
  </r>
  <r>
    <m/>
    <m/>
    <x v="1"/>
    <s v="47445167002001"/>
    <n v="-30.06"/>
    <n v="1757"/>
    <n v="1"/>
    <n v="1"/>
  </r>
  <r>
    <m/>
    <m/>
    <x v="1"/>
    <s v="47515391001003"/>
    <n v="-15.43"/>
    <n v="902"/>
    <n v="1"/>
    <n v="1"/>
  </r>
  <r>
    <m/>
    <m/>
    <x v="1"/>
    <s v="47526431005001"/>
    <n v="-19.39"/>
    <n v="1133"/>
    <n v="1"/>
    <n v="1"/>
  </r>
  <r>
    <m/>
    <m/>
    <x v="1"/>
    <s v="47550301001001"/>
    <n v="-24.72"/>
    <n v="1445"/>
    <n v="1"/>
    <n v="1"/>
  </r>
  <r>
    <m/>
    <m/>
    <x v="1"/>
    <s v="47555411002001"/>
    <n v="-30.27"/>
    <n v="1769"/>
    <n v="1"/>
    <n v="1"/>
  </r>
  <r>
    <m/>
    <m/>
    <x v="1"/>
    <s v="47558607001001"/>
    <n v="-32.65"/>
    <n v="1908"/>
    <n v="1"/>
    <n v="1"/>
  </r>
  <r>
    <m/>
    <m/>
    <x v="1"/>
    <s v="47651311002005"/>
    <n v="-14.54"/>
    <n v="850"/>
    <n v="1"/>
    <n v="1"/>
  </r>
  <r>
    <m/>
    <m/>
    <x v="1"/>
    <s v="47675111001001"/>
    <n v="-26.42"/>
    <n v="1544"/>
    <n v="1"/>
    <n v="1"/>
  </r>
  <r>
    <m/>
    <m/>
    <x v="1"/>
    <s v="47755961001002"/>
    <n v="-53.28"/>
    <n v="3114"/>
    <n v="1"/>
    <n v="1"/>
  </r>
  <r>
    <m/>
    <m/>
    <x v="1"/>
    <s v="47821691003001"/>
    <n v="-31.36"/>
    <n v="1833"/>
    <n v="1"/>
    <n v="1"/>
  </r>
  <r>
    <m/>
    <m/>
    <x v="1"/>
    <s v="47836531001002"/>
    <n v="-37.76"/>
    <n v="2207"/>
    <n v="1"/>
    <n v="1"/>
  </r>
  <r>
    <m/>
    <m/>
    <x v="1"/>
    <s v="47849621001003"/>
    <n v="-33.43"/>
    <n v="1954"/>
    <n v="1"/>
    <n v="1"/>
  </r>
  <r>
    <m/>
    <m/>
    <x v="1"/>
    <s v="47852771008001"/>
    <n v="-15.25"/>
    <n v="891"/>
    <n v="1"/>
    <n v="1"/>
  </r>
  <r>
    <m/>
    <m/>
    <x v="1"/>
    <s v="47884691002003"/>
    <n v="-28.68"/>
    <n v="1676"/>
    <n v="1"/>
    <n v="1"/>
  </r>
  <r>
    <m/>
    <m/>
    <x v="1"/>
    <s v="47902401001001"/>
    <n v="-26.43"/>
    <n v="1545"/>
    <n v="1"/>
    <n v="1"/>
  </r>
  <r>
    <m/>
    <m/>
    <x v="1"/>
    <s v="47907721006005"/>
    <n v="-28.39"/>
    <n v="1659"/>
    <n v="1"/>
    <n v="1"/>
  </r>
  <r>
    <m/>
    <m/>
    <x v="1"/>
    <s v="47909401001001"/>
    <n v="-6.86"/>
    <n v="401"/>
    <n v="1"/>
    <n v="1"/>
  </r>
  <r>
    <m/>
    <m/>
    <x v="1"/>
    <s v="47930051002001"/>
    <n v="-11.87"/>
    <n v="694"/>
    <n v="1"/>
    <n v="1"/>
  </r>
  <r>
    <m/>
    <m/>
    <x v="1"/>
    <s v="47944401002002"/>
    <n v="-24.93"/>
    <n v="1457"/>
    <n v="1"/>
    <n v="1"/>
  </r>
  <r>
    <m/>
    <m/>
    <x v="1"/>
    <s v="47950841001006"/>
    <n v="-19.760000000000002"/>
    <n v="1155"/>
    <n v="1"/>
    <n v="1"/>
  </r>
  <r>
    <m/>
    <m/>
    <x v="1"/>
    <s v="47977511001001"/>
    <n v="-34.36"/>
    <n v="2008"/>
    <n v="1"/>
    <n v="1"/>
  </r>
  <r>
    <m/>
    <m/>
    <x v="1"/>
    <s v="47982271001004"/>
    <n v="-7.43"/>
    <n v="434"/>
    <n v="1"/>
    <n v="1"/>
  </r>
  <r>
    <m/>
    <m/>
    <x v="1"/>
    <s v="48048211001001"/>
    <n v="-18.12"/>
    <n v="1059"/>
    <n v="1"/>
    <n v="1"/>
  </r>
  <r>
    <m/>
    <m/>
    <x v="1"/>
    <s v="48055981001001"/>
    <n v="-20.91"/>
    <n v="1222"/>
    <n v="1"/>
    <n v="1"/>
  </r>
  <r>
    <m/>
    <m/>
    <x v="1"/>
    <s v="48259891001001"/>
    <n v="-12.27"/>
    <n v="717"/>
    <n v="1"/>
    <n v="1"/>
  </r>
  <r>
    <m/>
    <m/>
    <x v="1"/>
    <s v="48314239001001"/>
    <n v="-0.98"/>
    <n v="57"/>
    <n v="1"/>
    <n v="1"/>
  </r>
  <r>
    <m/>
    <m/>
    <x v="1"/>
    <s v="48438811004001"/>
    <n v="-23.01"/>
    <n v="1345"/>
    <n v="1"/>
    <n v="1"/>
  </r>
  <r>
    <m/>
    <m/>
    <x v="1"/>
    <s v="48445138001003"/>
    <n v="-18.600000000000001"/>
    <n v="1087"/>
    <n v="1"/>
    <n v="1"/>
  </r>
  <r>
    <m/>
    <m/>
    <x v="1"/>
    <s v="48516511001001"/>
    <n v="-50.37"/>
    <n v="2944"/>
    <n v="1"/>
    <n v="1"/>
  </r>
  <r>
    <m/>
    <m/>
    <x v="1"/>
    <s v="48532611001001"/>
    <n v="-29.79"/>
    <n v="1741"/>
    <n v="1"/>
    <n v="1"/>
  </r>
  <r>
    <m/>
    <m/>
    <x v="1"/>
    <s v="48540941003001"/>
    <n v="-24.3"/>
    <n v="1420"/>
    <n v="1"/>
    <n v="1"/>
  </r>
  <r>
    <m/>
    <m/>
    <x v="1"/>
    <s v="48617101001002"/>
    <n v="-42.88"/>
    <n v="2506"/>
    <n v="1"/>
    <n v="1"/>
  </r>
  <r>
    <m/>
    <m/>
    <x v="1"/>
    <s v="48622948001002"/>
    <n v="-22.04"/>
    <n v="1288"/>
    <n v="1"/>
    <n v="1"/>
  </r>
  <r>
    <m/>
    <m/>
    <x v="1"/>
    <s v="48661431001005"/>
    <n v="-26.71"/>
    <n v="1561"/>
    <n v="1"/>
    <n v="1"/>
  </r>
  <r>
    <m/>
    <m/>
    <x v="1"/>
    <s v="48681659001003"/>
    <n v="-2.74"/>
    <n v="160"/>
    <n v="1"/>
    <n v="1"/>
  </r>
  <r>
    <m/>
    <m/>
    <x v="1"/>
    <s v="48684021001001"/>
    <n v="-45.85"/>
    <n v="2680"/>
    <n v="1"/>
    <n v="1"/>
  </r>
  <r>
    <m/>
    <m/>
    <x v="1"/>
    <s v="48802881001001"/>
    <n v="-5.9"/>
    <n v="345"/>
    <n v="1"/>
    <n v="1"/>
  </r>
  <r>
    <m/>
    <m/>
    <x v="1"/>
    <s v="48944491003004"/>
    <n v="-29.53"/>
    <n v="1726"/>
    <n v="1"/>
    <n v="1"/>
  </r>
  <r>
    <m/>
    <m/>
    <x v="1"/>
    <s v="49040181002004"/>
    <n v="-9.89"/>
    <n v="578"/>
    <n v="1"/>
    <n v="1"/>
  </r>
  <r>
    <m/>
    <m/>
    <x v="1"/>
    <s v="49078891001002"/>
    <n v="-4.7699999999999996"/>
    <n v="279"/>
    <n v="1"/>
    <n v="1"/>
  </r>
  <r>
    <m/>
    <m/>
    <x v="1"/>
    <s v="49187126001001"/>
    <n v="-39.01"/>
    <n v="2280"/>
    <n v="1"/>
    <n v="1"/>
  </r>
  <r>
    <m/>
    <m/>
    <x v="1"/>
    <s v="49277102003001"/>
    <n v="-7.82"/>
    <n v="457"/>
    <n v="1"/>
    <n v="1"/>
  </r>
  <r>
    <m/>
    <m/>
    <x v="1"/>
    <s v="49283851001002"/>
    <n v="-29.21"/>
    <n v="1707"/>
    <n v="1"/>
    <n v="1"/>
  </r>
  <r>
    <m/>
    <m/>
    <x v="1"/>
    <s v="49301721001001"/>
    <n v="-27.19"/>
    <n v="1589"/>
    <n v="1"/>
    <n v="1"/>
  </r>
  <r>
    <m/>
    <m/>
    <x v="1"/>
    <s v="49365331001001"/>
    <n v="-36.270000000000003"/>
    <n v="2120"/>
    <n v="1"/>
    <n v="1"/>
  </r>
  <r>
    <m/>
    <m/>
    <x v="1"/>
    <s v="49393121003003"/>
    <n v="-15.31"/>
    <n v="895"/>
    <n v="1"/>
    <n v="1"/>
  </r>
  <r>
    <m/>
    <m/>
    <x v="1"/>
    <s v="49399211004004"/>
    <n v="-24.28"/>
    <n v="1419"/>
    <n v="1"/>
    <n v="1"/>
  </r>
  <r>
    <m/>
    <m/>
    <x v="1"/>
    <s v="49419650001003"/>
    <n v="-22.19"/>
    <n v="1297"/>
    <n v="1"/>
    <n v="1"/>
  </r>
  <r>
    <m/>
    <m/>
    <x v="1"/>
    <s v="49429043003003"/>
    <n v="-34.270000000000003"/>
    <n v="2003"/>
    <n v="1"/>
    <n v="1"/>
  </r>
  <r>
    <m/>
    <m/>
    <x v="1"/>
    <s v="49473341001001"/>
    <n v="-24.64"/>
    <n v="1440"/>
    <n v="1"/>
    <n v="1"/>
  </r>
  <r>
    <m/>
    <m/>
    <x v="1"/>
    <s v="49494020001001"/>
    <n v="-40.93"/>
    <n v="2392"/>
    <n v="1"/>
    <n v="1"/>
  </r>
  <r>
    <m/>
    <m/>
    <x v="1"/>
    <s v="49508621001001"/>
    <n v="-22.52"/>
    <n v="1316"/>
    <n v="1"/>
    <n v="1"/>
  </r>
  <r>
    <m/>
    <m/>
    <x v="1"/>
    <s v="49557341001001"/>
    <n v="-27.36"/>
    <n v="1599"/>
    <n v="1"/>
    <n v="1"/>
  </r>
  <r>
    <m/>
    <m/>
    <x v="1"/>
    <s v="49565145002005"/>
    <n v="-25.92"/>
    <n v="1515"/>
    <n v="1"/>
    <n v="1"/>
  </r>
  <r>
    <m/>
    <m/>
    <x v="1"/>
    <s v="49566231001001"/>
    <n v="-15.86"/>
    <n v="927"/>
    <n v="1"/>
    <n v="1"/>
  </r>
  <r>
    <m/>
    <m/>
    <x v="1"/>
    <s v="49577991001002"/>
    <n v="-16.190000000000001"/>
    <n v="946"/>
    <n v="1"/>
    <n v="1"/>
  </r>
  <r>
    <m/>
    <m/>
    <x v="1"/>
    <s v="49577991001003"/>
    <n v="-15.76"/>
    <n v="921"/>
    <n v="1"/>
    <n v="1"/>
  </r>
  <r>
    <m/>
    <m/>
    <x v="1"/>
    <s v="49588421001001"/>
    <n v="-5.63"/>
    <n v="329"/>
    <n v="1"/>
    <n v="1"/>
  </r>
  <r>
    <m/>
    <m/>
    <x v="1"/>
    <s v="49595561001001"/>
    <n v="-21.27"/>
    <n v="1243"/>
    <n v="1"/>
    <n v="1"/>
  </r>
  <r>
    <m/>
    <m/>
    <x v="1"/>
    <s v="49606131001005"/>
    <n v="-10.9"/>
    <n v="637"/>
    <n v="1"/>
    <n v="1"/>
  </r>
  <r>
    <m/>
    <m/>
    <x v="1"/>
    <s v="49608381001001"/>
    <n v="-16.46"/>
    <n v="962"/>
    <n v="1"/>
    <n v="1"/>
  </r>
  <r>
    <m/>
    <m/>
    <x v="1"/>
    <s v="49617249001009"/>
    <n v="-29.65"/>
    <n v="1733"/>
    <n v="1"/>
    <n v="1"/>
  </r>
  <r>
    <m/>
    <m/>
    <x v="1"/>
    <s v="49617401001005"/>
    <n v="-53.9"/>
    <n v="3150"/>
    <n v="1"/>
    <n v="1"/>
  </r>
  <r>
    <m/>
    <m/>
    <x v="1"/>
    <s v="49629854001004"/>
    <n v="-24.14"/>
    <n v="1411"/>
    <n v="1"/>
    <n v="1"/>
  </r>
  <r>
    <m/>
    <m/>
    <x v="1"/>
    <s v="49691401001003"/>
    <n v="-42.6"/>
    <n v="2490"/>
    <n v="1"/>
    <n v="1"/>
  </r>
  <r>
    <m/>
    <m/>
    <x v="1"/>
    <s v="49743471001001"/>
    <n v="-2.2400000000000002"/>
    <n v="131"/>
    <n v="1"/>
    <n v="1"/>
  </r>
  <r>
    <m/>
    <m/>
    <x v="1"/>
    <s v="49751381001006"/>
    <n v="-11.53"/>
    <n v="674"/>
    <n v="1"/>
    <n v="1"/>
  </r>
  <r>
    <m/>
    <m/>
    <x v="1"/>
    <s v="49761531001001"/>
    <n v="-22.45"/>
    <n v="1312"/>
    <n v="1"/>
    <n v="1"/>
  </r>
  <r>
    <m/>
    <m/>
    <x v="1"/>
    <s v="49809621001003"/>
    <n v="-14.34"/>
    <n v="838"/>
    <n v="1"/>
    <n v="1"/>
  </r>
  <r>
    <m/>
    <m/>
    <x v="1"/>
    <s v="49876031001002"/>
    <n v="-56.34"/>
    <n v="3293"/>
    <n v="1"/>
    <n v="1"/>
  </r>
  <r>
    <m/>
    <m/>
    <x v="1"/>
    <s v="49929881001003"/>
    <n v="-49.04"/>
    <n v="2866"/>
    <n v="1"/>
    <n v="1"/>
  </r>
  <r>
    <m/>
    <m/>
    <x v="1"/>
    <s v="49930301001001"/>
    <n v="-32"/>
    <n v="1870"/>
    <n v="1"/>
    <n v="1"/>
  </r>
  <r>
    <m/>
    <m/>
    <x v="1"/>
    <s v="49949551002003"/>
    <n v="-7.0000000000000007E-2"/>
    <n v="4"/>
    <n v="1"/>
    <n v="1"/>
  </r>
  <r>
    <m/>
    <m/>
    <x v="1"/>
    <s v="49950881001002"/>
    <n v="-6.11"/>
    <n v="357"/>
    <n v="1"/>
    <n v="1"/>
  </r>
  <r>
    <m/>
    <m/>
    <x v="1"/>
    <s v="49951931001004"/>
    <n v="-21.85"/>
    <n v="1277"/>
    <n v="1"/>
    <n v="1"/>
  </r>
  <r>
    <m/>
    <m/>
    <x v="1"/>
    <s v="49975801002002"/>
    <n v="-33.14"/>
    <n v="1937"/>
    <n v="1"/>
    <n v="1"/>
  </r>
  <r>
    <m/>
    <m/>
    <x v="1"/>
    <s v="50072891002002"/>
    <n v="-33.119999999999997"/>
    <n v="1936"/>
    <n v="1"/>
    <n v="1"/>
  </r>
  <r>
    <m/>
    <m/>
    <x v="1"/>
    <s v="50097461001002"/>
    <n v="-19.829999999999998"/>
    <n v="1159"/>
    <n v="1"/>
    <n v="1"/>
  </r>
  <r>
    <m/>
    <m/>
    <x v="1"/>
    <s v="50159341001001"/>
    <n v="-20.260000000000002"/>
    <n v="1184"/>
    <n v="1"/>
    <n v="1"/>
  </r>
  <r>
    <m/>
    <m/>
    <x v="1"/>
    <s v="50160321001001"/>
    <n v="-6.71"/>
    <n v="392"/>
    <n v="1"/>
    <n v="1"/>
  </r>
  <r>
    <m/>
    <m/>
    <x v="1"/>
    <s v="50181601002005"/>
    <n v="-13.45"/>
    <n v="786"/>
    <n v="1"/>
    <n v="1"/>
  </r>
  <r>
    <m/>
    <m/>
    <x v="1"/>
    <s v="50185311001007"/>
    <n v="-22.47"/>
    <n v="1313"/>
    <n v="1"/>
    <n v="1"/>
  </r>
  <r>
    <m/>
    <m/>
    <x v="1"/>
    <s v="50193571001001"/>
    <n v="-23.54"/>
    <n v="1376"/>
    <n v="1"/>
    <n v="1"/>
  </r>
  <r>
    <m/>
    <m/>
    <x v="1"/>
    <s v="50228781001003"/>
    <n v="-20.6"/>
    <n v="1204"/>
    <n v="1"/>
    <n v="1"/>
  </r>
  <r>
    <m/>
    <m/>
    <x v="1"/>
    <s v="50266931001001"/>
    <n v="-18.62"/>
    <n v="1088"/>
    <n v="1"/>
    <n v="1"/>
  </r>
  <r>
    <m/>
    <m/>
    <x v="1"/>
    <s v="50315231001002"/>
    <n v="-48.35"/>
    <n v="2826"/>
    <n v="1"/>
    <n v="1"/>
  </r>
  <r>
    <m/>
    <m/>
    <x v="1"/>
    <s v="50378091011001"/>
    <n v="-12.76"/>
    <n v="746"/>
    <n v="1"/>
    <n v="1"/>
  </r>
  <r>
    <m/>
    <m/>
    <x v="1"/>
    <s v="50402241001002"/>
    <n v="-20"/>
    <n v="1169"/>
    <n v="1"/>
    <n v="1"/>
  </r>
  <r>
    <m/>
    <m/>
    <x v="1"/>
    <s v="50450191002001"/>
    <n v="-32.83"/>
    <n v="1919"/>
    <n v="1"/>
    <n v="1"/>
  </r>
  <r>
    <m/>
    <m/>
    <x v="1"/>
    <s v="50492401002001"/>
    <n v="-43.13"/>
    <n v="2521"/>
    <n v="1"/>
    <n v="1"/>
  </r>
  <r>
    <m/>
    <m/>
    <x v="1"/>
    <s v="50499961001001"/>
    <n v="-27.12"/>
    <n v="1585"/>
    <n v="1"/>
    <n v="1"/>
  </r>
  <r>
    <m/>
    <m/>
    <x v="1"/>
    <s v="50517716001001"/>
    <n v="-17.57"/>
    <n v="1027"/>
    <n v="1"/>
    <n v="1"/>
  </r>
  <r>
    <m/>
    <m/>
    <x v="1"/>
    <s v="50537633001001"/>
    <n v="-39.880000000000003"/>
    <n v="2331"/>
    <n v="1"/>
    <n v="1"/>
  </r>
  <r>
    <m/>
    <m/>
    <x v="1"/>
    <s v="50539651002001"/>
    <n v="-28.97"/>
    <n v="1693"/>
    <n v="1"/>
    <n v="1"/>
  </r>
  <r>
    <m/>
    <m/>
    <x v="1"/>
    <s v="50587853001001"/>
    <n v="-22.79"/>
    <n v="1332"/>
    <n v="1"/>
    <n v="1"/>
  </r>
  <r>
    <m/>
    <m/>
    <x v="1"/>
    <s v="50630930001002"/>
    <n v="-16.32"/>
    <n v="954"/>
    <n v="1"/>
    <n v="1"/>
  </r>
  <r>
    <m/>
    <m/>
    <x v="1"/>
    <s v="50652701001002"/>
    <n v="-47.67"/>
    <n v="2786"/>
    <n v="1"/>
    <n v="1"/>
  </r>
  <r>
    <m/>
    <m/>
    <x v="1"/>
    <s v="50704851001003"/>
    <n v="-20.62"/>
    <n v="1205"/>
    <n v="1"/>
    <n v="1"/>
  </r>
  <r>
    <m/>
    <m/>
    <x v="1"/>
    <s v="50727391001001"/>
    <n v="-40.020000000000003"/>
    <n v="2339"/>
    <n v="1"/>
    <n v="1"/>
  </r>
  <r>
    <m/>
    <m/>
    <x v="1"/>
    <s v="50791002001001"/>
    <n v="-9.6199999999999992"/>
    <n v="562"/>
    <n v="1"/>
    <n v="1"/>
  </r>
  <r>
    <m/>
    <m/>
    <x v="1"/>
    <s v="50831131004004"/>
    <n v="-20.86"/>
    <n v="1219"/>
    <n v="1"/>
    <n v="1"/>
  </r>
  <r>
    <m/>
    <m/>
    <x v="1"/>
    <s v="50835751002001"/>
    <n v="-30.63"/>
    <n v="1790"/>
    <n v="1"/>
    <n v="1"/>
  </r>
  <r>
    <m/>
    <m/>
    <x v="1"/>
    <s v="50839041003008"/>
    <n v="-38.090000000000003"/>
    <n v="2226"/>
    <n v="1"/>
    <n v="1"/>
  </r>
  <r>
    <m/>
    <m/>
    <x v="1"/>
    <s v="50860461001005"/>
    <n v="-12.83"/>
    <n v="750"/>
    <n v="1"/>
    <n v="1"/>
  </r>
  <r>
    <m/>
    <m/>
    <x v="1"/>
    <s v="50866831003001"/>
    <n v="-42.23"/>
    <n v="2468"/>
    <n v="1"/>
    <n v="1"/>
  </r>
  <r>
    <m/>
    <m/>
    <x v="1"/>
    <s v="50901131002003"/>
    <n v="-26.97"/>
    <n v="1576"/>
    <n v="1"/>
    <n v="1"/>
  </r>
  <r>
    <m/>
    <m/>
    <x v="1"/>
    <s v="50903441001001"/>
    <n v="-89.98"/>
    <n v="5259"/>
    <n v="1"/>
    <n v="1"/>
  </r>
  <r>
    <m/>
    <m/>
    <x v="1"/>
    <s v="50914361001001"/>
    <n v="-27.27"/>
    <n v="1594"/>
    <n v="1"/>
    <n v="1"/>
  </r>
  <r>
    <m/>
    <m/>
    <x v="1"/>
    <s v="50924581001001"/>
    <n v="-34.44"/>
    <n v="2013"/>
    <n v="1"/>
    <n v="1"/>
  </r>
  <r>
    <m/>
    <m/>
    <x v="1"/>
    <s v="50978201001001"/>
    <n v="-27.31"/>
    <n v="1596"/>
    <n v="1"/>
    <n v="1"/>
  </r>
  <r>
    <m/>
    <m/>
    <x v="1"/>
    <s v="50996471001001"/>
    <n v="-23.99"/>
    <n v="1402"/>
    <n v="1"/>
    <n v="1"/>
  </r>
  <r>
    <m/>
    <m/>
    <x v="1"/>
    <s v="51011661001002"/>
    <n v="-14.18"/>
    <n v="829"/>
    <n v="1"/>
    <n v="1"/>
  </r>
  <r>
    <m/>
    <m/>
    <x v="1"/>
    <s v="51040081001001"/>
    <n v="-23.8"/>
    <n v="1391"/>
    <n v="1"/>
    <n v="1"/>
  </r>
  <r>
    <m/>
    <m/>
    <x v="1"/>
    <s v="51060731007001"/>
    <n v="-22.45"/>
    <n v="1312"/>
    <n v="1"/>
    <n v="1"/>
  </r>
  <r>
    <m/>
    <m/>
    <x v="1"/>
    <s v="51084041002005"/>
    <n v="-27.12"/>
    <n v="1585"/>
    <n v="1"/>
    <n v="1"/>
  </r>
  <r>
    <m/>
    <m/>
    <x v="1"/>
    <s v="51086071003003"/>
    <n v="-35.81"/>
    <n v="2093"/>
    <n v="1"/>
    <n v="1"/>
  </r>
  <r>
    <m/>
    <m/>
    <x v="1"/>
    <s v="51088381003003"/>
    <n v="-8.9"/>
    <n v="520"/>
    <n v="1"/>
    <n v="1"/>
  </r>
  <r>
    <m/>
    <m/>
    <x v="1"/>
    <s v="51094401003001"/>
    <n v="-9.02"/>
    <n v="527"/>
    <n v="1"/>
    <n v="1"/>
  </r>
  <r>
    <m/>
    <m/>
    <x v="1"/>
    <s v="51094611001002"/>
    <n v="-11.63"/>
    <n v="680"/>
    <n v="1"/>
    <n v="1"/>
  </r>
  <r>
    <m/>
    <m/>
    <x v="1"/>
    <s v="51099441002001"/>
    <n v="-21.46"/>
    <n v="1254"/>
    <n v="1"/>
    <n v="1"/>
  </r>
  <r>
    <m/>
    <m/>
    <x v="1"/>
    <s v="51136541001001"/>
    <n v="-29.55"/>
    <n v="1727"/>
    <n v="1"/>
    <n v="1"/>
  </r>
  <r>
    <m/>
    <m/>
    <x v="1"/>
    <s v="51150051001001"/>
    <n v="-34.31"/>
    <n v="2005"/>
    <n v="1"/>
    <n v="1"/>
  </r>
  <r>
    <m/>
    <m/>
    <x v="1"/>
    <s v="51151101001003"/>
    <n v="-35.590000000000003"/>
    <n v="2080"/>
    <n v="1"/>
    <n v="1"/>
  </r>
  <r>
    <m/>
    <m/>
    <x v="1"/>
    <s v="51156701001001"/>
    <n v="-4.0199999999999996"/>
    <n v="235"/>
    <n v="1"/>
    <n v="1"/>
  </r>
  <r>
    <m/>
    <m/>
    <x v="1"/>
    <s v="51159431001001"/>
    <n v="-41.63"/>
    <n v="2433"/>
    <n v="1"/>
    <n v="1"/>
  </r>
  <r>
    <m/>
    <m/>
    <x v="1"/>
    <s v="51159641001002"/>
    <n v="-6.23"/>
    <n v="364"/>
    <n v="1"/>
    <n v="1"/>
  </r>
  <r>
    <m/>
    <m/>
    <x v="1"/>
    <s v="51163071001001"/>
    <n v="-16.8"/>
    <n v="982"/>
    <n v="1"/>
    <n v="1"/>
  </r>
  <r>
    <m/>
    <m/>
    <x v="1"/>
    <s v="51193241002001"/>
    <n v="-26.59"/>
    <n v="1554"/>
    <n v="1"/>
    <n v="1"/>
  </r>
  <r>
    <m/>
    <m/>
    <x v="1"/>
    <s v="51206961001001"/>
    <n v="-18.09"/>
    <n v="1057"/>
    <n v="1"/>
    <n v="1"/>
  </r>
  <r>
    <m/>
    <m/>
    <x v="1"/>
    <s v="51210671002001"/>
    <n v="-25.65"/>
    <n v="1499"/>
    <n v="1"/>
    <n v="1"/>
  </r>
  <r>
    <m/>
    <m/>
    <x v="1"/>
    <s v="51219771005001"/>
    <n v="-11.65"/>
    <n v="681"/>
    <n v="1"/>
    <n v="1"/>
  </r>
  <r>
    <m/>
    <m/>
    <x v="1"/>
    <s v="51315674001002"/>
    <n v="-16.8"/>
    <n v="982"/>
    <n v="1"/>
    <n v="1"/>
  </r>
  <r>
    <m/>
    <m/>
    <x v="1"/>
    <s v="51386861002001"/>
    <n v="-24.38"/>
    <n v="1425"/>
    <n v="1"/>
    <n v="1"/>
  </r>
  <r>
    <m/>
    <m/>
    <x v="1"/>
    <s v="51441601002001"/>
    <n v="-52.1"/>
    <n v="3045"/>
    <n v="1"/>
    <n v="1"/>
  </r>
  <r>
    <m/>
    <m/>
    <x v="1"/>
    <s v="51505861001001"/>
    <n v="-10.08"/>
    <n v="589"/>
    <n v="1"/>
    <n v="1"/>
  </r>
  <r>
    <m/>
    <m/>
    <x v="1"/>
    <s v="51550311003001"/>
    <n v="-25.44"/>
    <n v="1487"/>
    <n v="1"/>
    <n v="1"/>
  </r>
  <r>
    <m/>
    <m/>
    <x v="1"/>
    <s v="51568021003007"/>
    <n v="-10.44"/>
    <n v="610"/>
    <n v="1"/>
    <n v="1"/>
  </r>
  <r>
    <m/>
    <m/>
    <x v="1"/>
    <s v="51593501001001"/>
    <n v="-23.46"/>
    <n v="1371"/>
    <n v="1"/>
    <n v="1"/>
  </r>
  <r>
    <m/>
    <m/>
    <x v="1"/>
    <s v="51596301001003"/>
    <n v="-23.3"/>
    <n v="1362"/>
    <n v="1"/>
    <n v="1"/>
  </r>
  <r>
    <m/>
    <m/>
    <x v="1"/>
    <s v="51596441002007"/>
    <n v="-7.68"/>
    <n v="449"/>
    <n v="1"/>
    <n v="1"/>
  </r>
  <r>
    <m/>
    <m/>
    <x v="1"/>
    <s v="51603721001003"/>
    <n v="-40.28"/>
    <n v="2354"/>
    <n v="1"/>
    <n v="1"/>
  </r>
  <r>
    <m/>
    <m/>
    <x v="1"/>
    <s v="51607711002002"/>
    <n v="-16.510000000000002"/>
    <n v="965"/>
    <n v="1"/>
    <n v="1"/>
  </r>
  <r>
    <m/>
    <m/>
    <x v="1"/>
    <s v="51609951002002"/>
    <n v="-34.17"/>
    <n v="1997"/>
    <n v="1"/>
    <n v="1"/>
  </r>
  <r>
    <m/>
    <m/>
    <x v="1"/>
    <s v="51614221001001"/>
    <n v="-36.79"/>
    <n v="2150"/>
    <n v="1"/>
    <n v="1"/>
  </r>
  <r>
    <m/>
    <m/>
    <x v="1"/>
    <s v="51615621001002"/>
    <n v="-25.61"/>
    <n v="1497"/>
    <n v="1"/>
    <n v="1"/>
  </r>
  <r>
    <m/>
    <m/>
    <x v="1"/>
    <s v="51635221006001"/>
    <n v="-73.64"/>
    <n v="4304"/>
    <n v="1"/>
    <n v="1"/>
  </r>
  <r>
    <m/>
    <m/>
    <x v="1"/>
    <s v="51655896001002"/>
    <n v="-13.19"/>
    <n v="771"/>
    <n v="1"/>
    <n v="1"/>
  </r>
  <r>
    <m/>
    <m/>
    <x v="1"/>
    <s v="51696711001001"/>
    <n v="-36.840000000000003"/>
    <n v="2153"/>
    <n v="1"/>
    <n v="1"/>
  </r>
  <r>
    <m/>
    <m/>
    <x v="1"/>
    <s v="51710411001001"/>
    <n v="-36.270000000000003"/>
    <n v="2120"/>
    <n v="1"/>
    <n v="1"/>
  </r>
  <r>
    <m/>
    <m/>
    <x v="1"/>
    <s v="51943401001002"/>
    <n v="-25.31"/>
    <n v="1479"/>
    <n v="1"/>
    <n v="1"/>
  </r>
  <r>
    <m/>
    <m/>
    <x v="1"/>
    <s v="51961148002001"/>
    <n v="-28.52"/>
    <n v="1667"/>
    <n v="1"/>
    <n v="1"/>
  </r>
  <r>
    <m/>
    <m/>
    <x v="1"/>
    <s v="52179797002001"/>
    <n v="-56.22"/>
    <n v="3286"/>
    <n v="1"/>
    <n v="1"/>
  </r>
  <r>
    <m/>
    <m/>
    <x v="1"/>
    <s v="52231893001002"/>
    <n v="-13.74"/>
    <n v="803"/>
    <n v="1"/>
    <n v="1"/>
  </r>
  <r>
    <m/>
    <m/>
    <x v="1"/>
    <s v="52507741001001"/>
    <n v="-32.32"/>
    <n v="1889"/>
    <n v="1"/>
    <n v="1"/>
  </r>
  <r>
    <m/>
    <m/>
    <x v="1"/>
    <s v="52743980001001"/>
    <n v="-20.77"/>
    <n v="1214"/>
    <n v="1"/>
    <n v="1"/>
  </r>
  <r>
    <m/>
    <m/>
    <x v="1"/>
    <s v="52773305001001"/>
    <n v="-12.71"/>
    <n v="743"/>
    <n v="1"/>
    <n v="1"/>
  </r>
  <r>
    <m/>
    <m/>
    <x v="1"/>
    <s v="52839681001001"/>
    <n v="-30.75"/>
    <n v="1797"/>
    <n v="1"/>
    <n v="1"/>
  </r>
  <r>
    <m/>
    <m/>
    <x v="1"/>
    <s v="52989782005001"/>
    <n v="-40.21"/>
    <n v="2350"/>
    <n v="1"/>
    <n v="1"/>
  </r>
  <r>
    <m/>
    <m/>
    <x v="1"/>
    <s v="53096079004003"/>
    <n v="-18.14"/>
    <n v="1060"/>
    <n v="1"/>
    <n v="1"/>
  </r>
  <r>
    <m/>
    <m/>
    <x v="1"/>
    <s v="53444975001003"/>
    <n v="-48.37"/>
    <n v="2827"/>
    <n v="1"/>
    <n v="1"/>
  </r>
  <r>
    <m/>
    <m/>
    <x v="1"/>
    <s v="53498836001001"/>
    <n v="-24.18"/>
    <n v="1413"/>
    <n v="1"/>
    <n v="1"/>
  </r>
  <r>
    <m/>
    <m/>
    <x v="1"/>
    <s v="53854476001004"/>
    <n v="-41.17"/>
    <n v="2406"/>
    <n v="1"/>
    <n v="1"/>
  </r>
  <r>
    <m/>
    <m/>
    <x v="1"/>
    <s v="54028064001002"/>
    <n v="-29.48"/>
    <n v="1723"/>
    <n v="1"/>
    <n v="1"/>
  </r>
  <r>
    <m/>
    <m/>
    <x v="1"/>
    <s v="54088357001001"/>
    <n v="-19.510000000000002"/>
    <n v="1140"/>
    <n v="1"/>
    <n v="1"/>
  </r>
  <r>
    <m/>
    <m/>
    <x v="1"/>
    <s v="54213868001001"/>
    <n v="-49.48"/>
    <n v="2892"/>
    <n v="1"/>
    <n v="1"/>
  </r>
  <r>
    <m/>
    <m/>
    <x v="1"/>
    <s v="54338530001001"/>
    <n v="-43.08"/>
    <n v="2518"/>
    <n v="1"/>
    <n v="1"/>
  </r>
  <r>
    <m/>
    <m/>
    <x v="1"/>
    <s v="54362749001005"/>
    <n v="-22.21"/>
    <n v="1298"/>
    <n v="1"/>
    <n v="1"/>
  </r>
  <r>
    <m/>
    <m/>
    <x v="1"/>
    <s v="54867100001005"/>
    <n v="-24.21"/>
    <n v="1415"/>
    <n v="1"/>
    <n v="1"/>
  </r>
  <r>
    <m/>
    <m/>
    <x v="1"/>
    <s v="55096000001001"/>
    <n v="-17.25"/>
    <n v="1008"/>
    <n v="1"/>
    <n v="1"/>
  </r>
  <r>
    <m/>
    <m/>
    <x v="1"/>
    <s v="55174948001001"/>
    <n v="-15.3"/>
    <n v="894"/>
    <n v="1"/>
    <n v="1"/>
  </r>
  <r>
    <m/>
    <m/>
    <x v="1"/>
    <s v="55208319002001"/>
    <n v="-40.93"/>
    <n v="2392"/>
    <n v="1"/>
    <n v="1"/>
  </r>
  <r>
    <m/>
    <m/>
    <x v="1"/>
    <s v="55654237001001"/>
    <n v="-15.83"/>
    <n v="925"/>
    <n v="1"/>
    <n v="1"/>
  </r>
  <r>
    <m/>
    <m/>
    <x v="1"/>
    <s v="55780956001003"/>
    <n v="-7.65"/>
    <n v="447"/>
    <n v="1"/>
    <n v="1"/>
  </r>
  <r>
    <m/>
    <m/>
    <x v="1"/>
    <s v="55782975001001"/>
    <n v="-22.02"/>
    <n v="1287"/>
    <n v="1"/>
    <n v="1"/>
  </r>
  <r>
    <m/>
    <m/>
    <x v="1"/>
    <s v="55843209001001"/>
    <n v="-24.98"/>
    <n v="1460"/>
    <n v="1"/>
    <n v="1"/>
  </r>
  <r>
    <m/>
    <m/>
    <x v="1"/>
    <s v="55999268001005"/>
    <n v="-19.78"/>
    <n v="1156"/>
    <n v="1"/>
    <n v="1"/>
  </r>
  <r>
    <m/>
    <m/>
    <x v="1"/>
    <s v="56315778001004"/>
    <n v="-36.72"/>
    <n v="2146"/>
    <n v="1"/>
    <n v="1"/>
  </r>
  <r>
    <m/>
    <m/>
    <x v="1"/>
    <s v="56776164001008"/>
    <n v="-26.85"/>
    <n v="1569"/>
    <n v="1"/>
    <n v="1"/>
  </r>
  <r>
    <m/>
    <m/>
    <x v="1"/>
    <s v="56847828001005"/>
    <n v="-15.42"/>
    <n v="901"/>
    <n v="1"/>
    <n v="1"/>
  </r>
  <r>
    <m/>
    <m/>
    <x v="1"/>
    <s v="57144962001002"/>
    <n v="-25.89"/>
    <n v="1513"/>
    <n v="1"/>
    <n v="1"/>
  </r>
  <r>
    <m/>
    <m/>
    <x v="1"/>
    <s v="57165863001001"/>
    <n v="-51.64"/>
    <n v="3018"/>
    <n v="1"/>
    <n v="1"/>
  </r>
  <r>
    <m/>
    <m/>
    <x v="1"/>
    <s v="57271203001001"/>
    <n v="-15.47"/>
    <n v="904"/>
    <n v="1"/>
    <n v="1"/>
  </r>
  <r>
    <m/>
    <m/>
    <x v="1"/>
    <s v="57356716001002"/>
    <n v="-18.38"/>
    <n v="1074"/>
    <n v="1"/>
    <n v="1"/>
  </r>
  <r>
    <m/>
    <m/>
    <x v="1"/>
    <s v="57690835002001"/>
    <n v="-6.69"/>
    <n v="391"/>
    <n v="1"/>
    <n v="1"/>
  </r>
  <r>
    <m/>
    <m/>
    <x v="1"/>
    <s v="57834181001001"/>
    <n v="-22.04"/>
    <n v="1288"/>
    <n v="1"/>
    <n v="1"/>
  </r>
  <r>
    <m/>
    <m/>
    <x v="1"/>
    <s v="58010908001002"/>
    <n v="-48.56"/>
    <n v="2838"/>
    <n v="1"/>
    <n v="1"/>
  </r>
  <r>
    <m/>
    <m/>
    <x v="1"/>
    <s v="58133349001003"/>
    <n v="-34.08"/>
    <n v="1992"/>
    <n v="1"/>
    <n v="1"/>
  </r>
  <r>
    <m/>
    <m/>
    <x v="1"/>
    <s v="58619499001001"/>
    <n v="-53.06"/>
    <n v="3101"/>
    <n v="1"/>
    <n v="1"/>
  </r>
  <r>
    <m/>
    <m/>
    <x v="1"/>
    <s v="59268197006001"/>
    <n v="-64.03"/>
    <n v="3742"/>
    <n v="1"/>
    <n v="1"/>
  </r>
  <r>
    <m/>
    <m/>
    <x v="1"/>
    <s v="59498637001004"/>
    <n v="-31.57"/>
    <n v="1845"/>
    <n v="1"/>
    <n v="1"/>
  </r>
  <r>
    <m/>
    <m/>
    <x v="1"/>
    <s v="59549396001001"/>
    <n v="-15.3"/>
    <n v="894"/>
    <n v="1"/>
    <n v="1"/>
  </r>
  <r>
    <m/>
    <m/>
    <x v="1"/>
    <s v="59742745001005"/>
    <n v="-46.52"/>
    <n v="2719"/>
    <n v="1"/>
    <n v="1"/>
  </r>
  <r>
    <m/>
    <m/>
    <x v="1"/>
    <s v="59804283001007"/>
    <n v="-31.16"/>
    <n v="1821"/>
    <n v="1"/>
    <n v="1"/>
  </r>
  <r>
    <m/>
    <m/>
    <x v="1"/>
    <s v="60058247006001"/>
    <n v="-15.59"/>
    <n v="911"/>
    <n v="1"/>
    <n v="1"/>
  </r>
  <r>
    <m/>
    <m/>
    <x v="1"/>
    <s v="60292201001002"/>
    <n v="-24.14"/>
    <n v="1411"/>
    <n v="1"/>
    <n v="1"/>
  </r>
  <r>
    <m/>
    <m/>
    <x v="1"/>
    <s v="60682907001001"/>
    <n v="-26.42"/>
    <n v="1544"/>
    <n v="1"/>
    <n v="1"/>
  </r>
  <r>
    <m/>
    <m/>
    <x v="1"/>
    <s v="60891092001002"/>
    <n v="-33.11"/>
    <n v="1935"/>
    <n v="1"/>
    <n v="1"/>
  </r>
  <r>
    <m/>
    <m/>
    <x v="1"/>
    <s v="60944617001001"/>
    <n v="-26.71"/>
    <n v="1561"/>
    <n v="1"/>
    <n v="1"/>
  </r>
  <r>
    <m/>
    <m/>
    <x v="1"/>
    <s v="61431302001001"/>
    <n v="-12.75"/>
    <n v="745"/>
    <n v="1"/>
    <n v="1"/>
  </r>
  <r>
    <m/>
    <m/>
    <x v="1"/>
    <s v="61432189003001"/>
    <n v="-10.81"/>
    <n v="632"/>
    <n v="1"/>
    <n v="1"/>
  </r>
  <r>
    <m/>
    <m/>
    <x v="1"/>
    <s v="61618913001001"/>
    <n v="-24.11"/>
    <n v="1409"/>
    <n v="1"/>
    <n v="1"/>
  </r>
  <r>
    <m/>
    <m/>
    <x v="1"/>
    <s v="61677240001009"/>
    <n v="-29.28"/>
    <n v="1711"/>
    <n v="1"/>
    <n v="1"/>
  </r>
  <r>
    <m/>
    <m/>
    <x v="1"/>
    <s v="62003086001001"/>
    <n v="-25.15"/>
    <n v="1470"/>
    <n v="1"/>
    <n v="1"/>
  </r>
  <r>
    <m/>
    <m/>
    <x v="1"/>
    <s v="62112959003001"/>
    <n v="-25"/>
    <n v="1461"/>
    <n v="1"/>
    <n v="1"/>
  </r>
  <r>
    <m/>
    <m/>
    <x v="1"/>
    <s v="62125470001002"/>
    <n v="-27.6"/>
    <n v="1613"/>
    <n v="1"/>
    <n v="1"/>
  </r>
  <r>
    <m/>
    <m/>
    <x v="1"/>
    <s v="62139312001006"/>
    <n v="-17.86"/>
    <n v="1044"/>
    <n v="1"/>
    <n v="1"/>
  </r>
  <r>
    <m/>
    <m/>
    <x v="1"/>
    <s v="62235479001001"/>
    <n v="-8.52"/>
    <n v="498"/>
    <n v="1"/>
    <n v="1"/>
  </r>
  <r>
    <m/>
    <m/>
    <x v="1"/>
    <s v="62334129001003"/>
    <n v="-23.46"/>
    <n v="1371"/>
    <n v="1"/>
    <n v="1"/>
  </r>
  <r>
    <m/>
    <m/>
    <x v="1"/>
    <s v="62495514001001"/>
    <n v="-23.7"/>
    <n v="1385"/>
    <n v="1"/>
    <n v="1"/>
  </r>
  <r>
    <m/>
    <m/>
    <x v="1"/>
    <s v="62826325002002"/>
    <n v="-12.88"/>
    <n v="753"/>
    <n v="1"/>
    <n v="1"/>
  </r>
  <r>
    <m/>
    <m/>
    <x v="1"/>
    <s v="62852130001002"/>
    <n v="-1.83"/>
    <n v="107"/>
    <n v="1"/>
    <n v="1"/>
  </r>
  <r>
    <m/>
    <m/>
    <x v="1"/>
    <s v="62941252001003"/>
    <n v="-34.270000000000003"/>
    <n v="2003"/>
    <n v="1"/>
    <n v="1"/>
  </r>
  <r>
    <m/>
    <m/>
    <x v="1"/>
    <s v="63101970001001"/>
    <n v="-3.99"/>
    <n v="233"/>
    <n v="1"/>
    <n v="1"/>
  </r>
  <r>
    <m/>
    <m/>
    <x v="1"/>
    <s v="63189646005005"/>
    <n v="-17.670000000000002"/>
    <n v="1033"/>
    <n v="1"/>
    <n v="1"/>
  </r>
  <r>
    <m/>
    <m/>
    <x v="1"/>
    <s v="63462936001004"/>
    <n v="-19.59"/>
    <n v="1145"/>
    <n v="1"/>
    <n v="1"/>
  </r>
  <r>
    <m/>
    <m/>
    <x v="1"/>
    <s v="63473427001003"/>
    <n v="-31.52"/>
    <n v="1842"/>
    <n v="1"/>
    <n v="1"/>
  </r>
  <r>
    <m/>
    <m/>
    <x v="1"/>
    <s v="63697179001006"/>
    <n v="-30.8"/>
    <n v="1800"/>
    <n v="1"/>
    <n v="1"/>
  </r>
  <r>
    <m/>
    <m/>
    <x v="1"/>
    <s v="64727466001005"/>
    <n v="-36.92"/>
    <n v="2158"/>
    <n v="1"/>
    <n v="1"/>
  </r>
  <r>
    <m/>
    <m/>
    <x v="1"/>
    <s v="64729708001001"/>
    <n v="-13.84"/>
    <n v="809"/>
    <n v="1"/>
    <n v="1"/>
  </r>
  <r>
    <m/>
    <m/>
    <x v="1"/>
    <s v="65288119001001"/>
    <n v="-1.33"/>
    <n v="78"/>
    <n v="1"/>
    <n v="1"/>
  </r>
  <r>
    <m/>
    <m/>
    <x v="1"/>
    <s v="65349971001003"/>
    <n v="-20.67"/>
    <n v="1208"/>
    <n v="1"/>
    <n v="1"/>
  </r>
  <r>
    <m/>
    <m/>
    <x v="1"/>
    <s v="66083905003003"/>
    <n v="-16.97"/>
    <n v="992"/>
    <n v="1"/>
    <n v="1"/>
  </r>
  <r>
    <m/>
    <m/>
    <x v="1"/>
    <s v="66442112001001"/>
    <n v="-9"/>
    <n v="526"/>
    <n v="1"/>
    <n v="1"/>
  </r>
  <r>
    <m/>
    <m/>
    <x v="1"/>
    <s v="67059049001002"/>
    <n v="-25.01"/>
    <n v="1462"/>
    <n v="1"/>
    <n v="1"/>
  </r>
  <r>
    <m/>
    <m/>
    <x v="1"/>
    <s v="67084260003001"/>
    <n v="-0.68"/>
    <n v="40"/>
    <n v="1"/>
    <n v="1"/>
  </r>
  <r>
    <m/>
    <m/>
    <x v="1"/>
    <s v="67090070001001"/>
    <n v="-19.16"/>
    <n v="1120"/>
    <n v="1"/>
    <n v="1"/>
  </r>
  <r>
    <m/>
    <m/>
    <x v="1"/>
    <s v="67118226001001"/>
    <n v="-9.1"/>
    <n v="532"/>
    <n v="1"/>
    <n v="1"/>
  </r>
  <r>
    <m/>
    <m/>
    <x v="1"/>
    <s v="67456537001003"/>
    <n v="-19.97"/>
    <n v="1167"/>
    <n v="1"/>
    <n v="1"/>
  </r>
  <r>
    <m/>
    <m/>
    <x v="1"/>
    <s v="67565406001001"/>
    <n v="-24.84"/>
    <n v="1452"/>
    <n v="1"/>
    <n v="1"/>
  </r>
  <r>
    <m/>
    <m/>
    <x v="1"/>
    <s v="67580955001002"/>
    <n v="-25.51"/>
    <n v="1491"/>
    <n v="1"/>
    <n v="1"/>
  </r>
  <r>
    <m/>
    <m/>
    <x v="1"/>
    <s v="67993777004001"/>
    <n v="-57.16"/>
    <n v="3341"/>
    <n v="1"/>
    <n v="1"/>
  </r>
  <r>
    <m/>
    <m/>
    <x v="1"/>
    <s v="68002987001001"/>
    <n v="-9.5"/>
    <n v="555"/>
    <n v="1"/>
    <n v="1"/>
  </r>
  <r>
    <m/>
    <m/>
    <x v="1"/>
    <s v="68146157001004"/>
    <n v="-7.79"/>
    <n v="455"/>
    <n v="1"/>
    <n v="1"/>
  </r>
  <r>
    <m/>
    <m/>
    <x v="1"/>
    <s v="68156471001004"/>
    <n v="-8.3699999999999992"/>
    <n v="489"/>
    <n v="1"/>
    <n v="1"/>
  </r>
  <r>
    <m/>
    <m/>
    <x v="1"/>
    <s v="68186045001001"/>
    <n v="-20.96"/>
    <n v="1225"/>
    <n v="1"/>
    <n v="1"/>
  </r>
  <r>
    <m/>
    <m/>
    <x v="1"/>
    <s v="68461671002003"/>
    <n v="-35.520000000000003"/>
    <n v="2076"/>
    <n v="1"/>
    <n v="1"/>
  </r>
  <r>
    <m/>
    <m/>
    <x v="1"/>
    <s v="68565772001001"/>
    <n v="-6.84"/>
    <n v="400"/>
    <n v="1"/>
    <n v="1"/>
  </r>
  <r>
    <m/>
    <m/>
    <x v="1"/>
    <s v="69194019001003"/>
    <n v="-31.31"/>
    <n v="1830"/>
    <n v="1"/>
    <n v="1"/>
  </r>
  <r>
    <m/>
    <m/>
    <x v="1"/>
    <s v="69567080001004"/>
    <n v="-8.32"/>
    <n v="486"/>
    <n v="1"/>
    <n v="1"/>
  </r>
  <r>
    <m/>
    <m/>
    <x v="1"/>
    <s v="69589294001001"/>
    <n v="-12.64"/>
    <n v="739"/>
    <n v="1"/>
    <n v="1"/>
  </r>
  <r>
    <m/>
    <m/>
    <x v="1"/>
    <s v="70119713001003"/>
    <n v="-18.579999999999998"/>
    <n v="1086"/>
    <n v="1"/>
    <n v="1"/>
  </r>
  <r>
    <m/>
    <m/>
    <x v="1"/>
    <s v="70262426002001"/>
    <n v="-17.16"/>
    <n v="1003"/>
    <n v="1"/>
    <n v="1"/>
  </r>
  <r>
    <m/>
    <m/>
    <x v="1"/>
    <s v="70262974001001"/>
    <n v="-11.28"/>
    <n v="659"/>
    <n v="1"/>
    <n v="1"/>
  </r>
  <r>
    <m/>
    <m/>
    <x v="1"/>
    <s v="70498831001001"/>
    <n v="-26.69"/>
    <n v="1560"/>
    <n v="1"/>
    <n v="1"/>
  </r>
  <r>
    <m/>
    <m/>
    <x v="1"/>
    <s v="70529428001001"/>
    <n v="-29.79"/>
    <n v="1741"/>
    <n v="1"/>
    <n v="1"/>
  </r>
  <r>
    <m/>
    <m/>
    <x v="1"/>
    <s v="70530404003001"/>
    <n v="-35.450000000000003"/>
    <n v="2072"/>
    <n v="1"/>
    <n v="1"/>
  </r>
  <r>
    <m/>
    <m/>
    <x v="1"/>
    <s v="70925378002003"/>
    <n v="-19.16"/>
    <n v="1120"/>
    <n v="1"/>
    <n v="1"/>
  </r>
  <r>
    <m/>
    <m/>
    <x v="1"/>
    <s v="71181295001001"/>
    <n v="-12.32"/>
    <n v="720"/>
    <n v="1"/>
    <n v="1"/>
  </r>
  <r>
    <m/>
    <m/>
    <x v="1"/>
    <s v="71297342003003"/>
    <n v="-25.44"/>
    <n v="1487"/>
    <n v="1"/>
    <n v="1"/>
  </r>
  <r>
    <m/>
    <m/>
    <x v="1"/>
    <s v="71338480001002"/>
    <n v="-11.81"/>
    <n v="690"/>
    <n v="1"/>
    <n v="1"/>
  </r>
  <r>
    <m/>
    <m/>
    <x v="1"/>
    <s v="71361970001005"/>
    <n v="-10.81"/>
    <n v="632"/>
    <n v="1"/>
    <n v="1"/>
  </r>
  <r>
    <m/>
    <m/>
    <x v="1"/>
    <s v="71508543001001"/>
    <n v="-5.27"/>
    <n v="308"/>
    <n v="1"/>
    <n v="1"/>
  </r>
  <r>
    <m/>
    <m/>
    <x v="1"/>
    <s v="71751256001002"/>
    <n v="-20.399999999999999"/>
    <n v="1192"/>
    <n v="1"/>
    <n v="1"/>
  </r>
  <r>
    <m/>
    <m/>
    <x v="1"/>
    <s v="71822800001001"/>
    <n v="-46.13"/>
    <n v="2696"/>
    <n v="1"/>
    <n v="1"/>
  </r>
  <r>
    <m/>
    <m/>
    <x v="1"/>
    <s v="72327193001003"/>
    <n v="-24.14"/>
    <n v="1411"/>
    <n v="1"/>
    <n v="1"/>
  </r>
  <r>
    <m/>
    <m/>
    <x v="1"/>
    <s v="72330780003005"/>
    <n v="-11.84"/>
    <n v="692"/>
    <n v="1"/>
    <n v="1"/>
  </r>
  <r>
    <m/>
    <m/>
    <x v="1"/>
    <s v="72332635001005"/>
    <n v="-32.61"/>
    <n v="1906"/>
    <n v="1"/>
    <n v="1"/>
  </r>
  <r>
    <m/>
    <m/>
    <x v="1"/>
    <s v="72706041002001"/>
    <n v="-18.920000000000002"/>
    <n v="1106"/>
    <n v="1"/>
    <n v="1"/>
  </r>
  <r>
    <m/>
    <m/>
    <x v="1"/>
    <s v="73001153001001"/>
    <n v="-7.12"/>
    <n v="416"/>
    <n v="1"/>
    <n v="1"/>
  </r>
  <r>
    <m/>
    <m/>
    <x v="1"/>
    <s v="73220801001001"/>
    <n v="-17.71"/>
    <n v="1035"/>
    <n v="1"/>
    <n v="1"/>
  </r>
  <r>
    <m/>
    <m/>
    <x v="1"/>
    <s v="73477303001003"/>
    <n v="-14.89"/>
    <n v="870"/>
    <n v="1"/>
    <n v="1"/>
  </r>
  <r>
    <m/>
    <m/>
    <x v="1"/>
    <s v="73558422001001"/>
    <n v="-7.17"/>
    <n v="419"/>
    <n v="1"/>
    <n v="1"/>
  </r>
  <r>
    <m/>
    <m/>
    <x v="1"/>
    <s v="73642053002003"/>
    <n v="-12.87"/>
    <n v="752"/>
    <n v="1"/>
    <n v="1"/>
  </r>
  <r>
    <m/>
    <m/>
    <x v="1"/>
    <s v="73743305001005"/>
    <n v="-38.450000000000003"/>
    <n v="2247"/>
    <n v="1"/>
    <n v="1"/>
  </r>
  <r>
    <m/>
    <m/>
    <x v="1"/>
    <s v="74039552001001"/>
    <n v="-13.71"/>
    <n v="801"/>
    <n v="1"/>
    <n v="1"/>
  </r>
  <r>
    <m/>
    <m/>
    <x v="1"/>
    <s v="74101362001001"/>
    <n v="-30.8"/>
    <n v="1800"/>
    <n v="1"/>
    <n v="1"/>
  </r>
  <r>
    <m/>
    <m/>
    <x v="1"/>
    <s v="74632852001001"/>
    <n v="-23.3"/>
    <n v="1362"/>
    <n v="1"/>
    <n v="1"/>
  </r>
  <r>
    <m/>
    <m/>
    <x v="1"/>
    <s v="74916061001001"/>
    <n v="-24.54"/>
    <n v="1434"/>
    <n v="1"/>
    <n v="1"/>
  </r>
  <r>
    <m/>
    <m/>
    <x v="1"/>
    <s v="75178826001001"/>
    <n v="-2.04"/>
    <n v="119"/>
    <n v="1"/>
    <n v="1"/>
  </r>
  <r>
    <m/>
    <m/>
    <x v="1"/>
    <s v="75448417001001"/>
    <n v="-7.75"/>
    <n v="453"/>
    <n v="1"/>
    <n v="1"/>
  </r>
  <r>
    <m/>
    <m/>
    <x v="1"/>
    <s v="75492701001001"/>
    <n v="-19.329999999999998"/>
    <n v="1130"/>
    <n v="1"/>
    <n v="1"/>
  </r>
  <r>
    <m/>
    <m/>
    <x v="1"/>
    <s v="75544198001002"/>
    <n v="-22.65"/>
    <n v="1324"/>
    <n v="1"/>
    <n v="1"/>
  </r>
  <r>
    <m/>
    <m/>
    <x v="1"/>
    <s v="75558866002001"/>
    <n v="-32.700000000000003"/>
    <n v="1911"/>
    <n v="1"/>
    <n v="1"/>
  </r>
  <r>
    <m/>
    <m/>
    <x v="1"/>
    <s v="76017664001001"/>
    <n v="-10.86"/>
    <n v="635"/>
    <n v="1"/>
    <n v="1"/>
  </r>
  <r>
    <m/>
    <m/>
    <x v="1"/>
    <s v="76068750001001"/>
    <n v="-7.51"/>
    <n v="439"/>
    <n v="1"/>
    <n v="1"/>
  </r>
  <r>
    <m/>
    <m/>
    <x v="1"/>
    <s v="76170368001004"/>
    <n v="-7.24"/>
    <n v="423"/>
    <n v="1"/>
    <n v="1"/>
  </r>
  <r>
    <m/>
    <m/>
    <x v="1"/>
    <s v="76242332001003"/>
    <n v="-38.119999999999997"/>
    <n v="2228"/>
    <n v="1"/>
    <n v="1"/>
  </r>
  <r>
    <m/>
    <m/>
    <x v="1"/>
    <s v="76297115001001"/>
    <n v="-13.76"/>
    <n v="804"/>
    <n v="1"/>
    <n v="1"/>
  </r>
  <r>
    <m/>
    <m/>
    <x v="1"/>
    <s v="76559936001004"/>
    <n v="-8.67"/>
    <n v="507"/>
    <n v="1"/>
    <n v="1"/>
  </r>
  <r>
    <m/>
    <m/>
    <x v="1"/>
    <s v="76590700001002"/>
    <n v="-2.33"/>
    <n v="136"/>
    <n v="1"/>
    <n v="1"/>
  </r>
  <r>
    <m/>
    <m/>
    <x v="1"/>
    <s v="76670454001001"/>
    <n v="-36.380000000000003"/>
    <n v="2126"/>
    <n v="1"/>
    <n v="1"/>
  </r>
  <r>
    <m/>
    <m/>
    <x v="1"/>
    <s v="77153785002001"/>
    <n v="-37.85"/>
    <n v="2212"/>
    <n v="1"/>
    <n v="1"/>
  </r>
  <r>
    <m/>
    <m/>
    <x v="1"/>
    <s v="77587631001002"/>
    <n v="-31.48"/>
    <n v="1840"/>
    <n v="1"/>
    <n v="1"/>
  </r>
  <r>
    <m/>
    <m/>
    <x v="1"/>
    <s v="77633291001003"/>
    <n v="-24.18"/>
    <n v="1413"/>
    <n v="1"/>
    <n v="1"/>
  </r>
  <r>
    <m/>
    <m/>
    <x v="1"/>
    <s v="77810743001005"/>
    <n v="-27.55"/>
    <n v="1610"/>
    <n v="1"/>
    <n v="1"/>
  </r>
  <r>
    <m/>
    <m/>
    <x v="1"/>
    <s v="78040116001001"/>
    <n v="-19.420000000000002"/>
    <n v="1135"/>
    <n v="1"/>
    <n v="1"/>
  </r>
  <r>
    <m/>
    <m/>
    <x v="1"/>
    <s v="78306458001001"/>
    <n v="-19.04"/>
    <n v="1113"/>
    <n v="1"/>
    <n v="1"/>
  </r>
  <r>
    <m/>
    <m/>
    <x v="1"/>
    <s v="78817750001002"/>
    <n v="-28.09"/>
    <n v="1642"/>
    <n v="1"/>
    <n v="1"/>
  </r>
  <r>
    <m/>
    <m/>
    <x v="1"/>
    <s v="78978822002001"/>
    <n v="-16.899999999999999"/>
    <n v="988"/>
    <n v="1"/>
    <n v="1"/>
  </r>
  <r>
    <m/>
    <m/>
    <x v="1"/>
    <s v="79582962004003"/>
    <n v="-36.96"/>
    <n v="2160"/>
    <n v="1"/>
    <n v="1"/>
  </r>
  <r>
    <m/>
    <m/>
    <x v="1"/>
    <s v="79620926001001"/>
    <n v="-33.57"/>
    <n v="1962"/>
    <n v="1"/>
    <n v="1"/>
  </r>
  <r>
    <m/>
    <m/>
    <x v="1"/>
    <s v="79989931001001"/>
    <n v="-12.7"/>
    <n v="742"/>
    <n v="1"/>
    <n v="1"/>
  </r>
  <r>
    <m/>
    <m/>
    <x v="1"/>
    <s v="80116530001006"/>
    <n v="-74.98"/>
    <n v="4382"/>
    <n v="1"/>
    <n v="1"/>
  </r>
  <r>
    <m/>
    <m/>
    <x v="1"/>
    <s v="80270144001001"/>
    <n v="-20.82"/>
    <n v="1217"/>
    <n v="1"/>
    <n v="1"/>
  </r>
  <r>
    <m/>
    <m/>
    <x v="1"/>
    <s v="80293559001001"/>
    <n v="-18.649999999999999"/>
    <n v="1090"/>
    <n v="1"/>
    <n v="1"/>
  </r>
  <r>
    <m/>
    <m/>
    <x v="1"/>
    <s v="80509039001001"/>
    <n v="-4.12"/>
    <n v="241"/>
    <n v="1"/>
    <n v="1"/>
  </r>
  <r>
    <m/>
    <m/>
    <x v="1"/>
    <s v="80867382002003"/>
    <n v="-23.77"/>
    <n v="1389"/>
    <n v="1"/>
    <n v="1"/>
  </r>
  <r>
    <m/>
    <m/>
    <x v="1"/>
    <s v="81331550002001"/>
    <n v="-1.64"/>
    <n v="96"/>
    <n v="1"/>
    <n v="1"/>
  </r>
  <r>
    <m/>
    <m/>
    <x v="1"/>
    <s v="81635154007001"/>
    <n v="-67.58"/>
    <n v="3950"/>
    <n v="1"/>
    <n v="1"/>
  </r>
  <r>
    <m/>
    <m/>
    <x v="1"/>
    <s v="81964610001001"/>
    <n v="-34.96"/>
    <n v="2043"/>
    <n v="1"/>
    <n v="1"/>
  </r>
  <r>
    <m/>
    <m/>
    <x v="1"/>
    <s v="82225464001008"/>
    <n v="-27.32"/>
    <n v="1597"/>
    <n v="1"/>
    <n v="1"/>
  </r>
  <r>
    <m/>
    <m/>
    <x v="1"/>
    <s v="82247199001001"/>
    <n v="-7.89"/>
    <n v="461"/>
    <n v="1"/>
    <n v="1"/>
  </r>
  <r>
    <m/>
    <m/>
    <x v="1"/>
    <s v="82480022001002"/>
    <n v="-15.43"/>
    <n v="902"/>
    <n v="1"/>
    <n v="1"/>
  </r>
  <r>
    <m/>
    <m/>
    <x v="1"/>
    <s v="82689503003001"/>
    <n v="-69.12"/>
    <n v="4040"/>
    <n v="1"/>
    <n v="1"/>
  </r>
  <r>
    <m/>
    <m/>
    <x v="1"/>
    <s v="82844671001002"/>
    <n v="-67.67"/>
    <n v="3955"/>
    <n v="1"/>
    <n v="1"/>
  </r>
  <r>
    <m/>
    <m/>
    <x v="1"/>
    <s v="82916281002001"/>
    <n v="-15.79"/>
    <n v="923"/>
    <n v="1"/>
    <n v="1"/>
  </r>
  <r>
    <m/>
    <m/>
    <x v="1"/>
    <s v="83010955001001"/>
    <n v="-3.94"/>
    <n v="230"/>
    <n v="1"/>
    <n v="1"/>
  </r>
  <r>
    <m/>
    <m/>
    <x v="1"/>
    <s v="83624396002001"/>
    <n v="-31.28"/>
    <n v="1828"/>
    <n v="1"/>
    <n v="1"/>
  </r>
  <r>
    <m/>
    <m/>
    <x v="1"/>
    <s v="83648881001001"/>
    <n v="-32.25"/>
    <n v="1885"/>
    <n v="1"/>
    <n v="1"/>
  </r>
  <r>
    <m/>
    <m/>
    <x v="1"/>
    <s v="83700495001001"/>
    <n v="-21.18"/>
    <n v="1238"/>
    <n v="1"/>
    <n v="1"/>
  </r>
  <r>
    <m/>
    <m/>
    <x v="1"/>
    <s v="84001278001001"/>
    <n v="-5.0999999999999996"/>
    <n v="298"/>
    <n v="1"/>
    <n v="1"/>
  </r>
  <r>
    <m/>
    <m/>
    <x v="1"/>
    <s v="84301238001003"/>
    <n v="-41.68"/>
    <n v="2436"/>
    <n v="1"/>
    <n v="1"/>
  </r>
  <r>
    <m/>
    <m/>
    <x v="1"/>
    <s v="84586349003003"/>
    <n v="-25.84"/>
    <n v="1510"/>
    <n v="1"/>
    <n v="1"/>
  </r>
  <r>
    <m/>
    <m/>
    <x v="1"/>
    <s v="84749539001001"/>
    <n v="-17.25"/>
    <n v="1008"/>
    <n v="1"/>
    <n v="1"/>
  </r>
  <r>
    <m/>
    <m/>
    <x v="1"/>
    <s v="84764694001005"/>
    <n v="-8.64"/>
    <n v="505"/>
    <n v="1"/>
    <n v="1"/>
  </r>
  <r>
    <m/>
    <m/>
    <x v="1"/>
    <s v="84768096001002"/>
    <n v="-49.79"/>
    <n v="2910"/>
    <n v="1"/>
    <n v="1"/>
  </r>
  <r>
    <m/>
    <m/>
    <x v="1"/>
    <s v="84934447001001"/>
    <n v="-19.489999999999998"/>
    <n v="1139"/>
    <n v="1"/>
    <n v="1"/>
  </r>
  <r>
    <m/>
    <m/>
    <x v="1"/>
    <s v="85004567002008"/>
    <n v="-33.96"/>
    <n v="1985"/>
    <n v="1"/>
    <n v="1"/>
  </r>
  <r>
    <m/>
    <m/>
    <x v="1"/>
    <s v="85155127001002"/>
    <n v="-23.2"/>
    <n v="1356"/>
    <n v="1"/>
    <n v="1"/>
  </r>
  <r>
    <m/>
    <m/>
    <x v="1"/>
    <s v="85419820001002"/>
    <n v="-33.89"/>
    <n v="1981"/>
    <n v="1"/>
    <n v="1"/>
  </r>
  <r>
    <m/>
    <m/>
    <x v="1"/>
    <s v="85581047001001"/>
    <n v="-37.200000000000003"/>
    <n v="2174"/>
    <n v="1"/>
    <n v="1"/>
  </r>
  <r>
    <m/>
    <m/>
    <x v="1"/>
    <s v="85785045001005"/>
    <n v="-67"/>
    <n v="3916"/>
    <n v="1"/>
    <n v="1"/>
  </r>
  <r>
    <m/>
    <m/>
    <x v="1"/>
    <s v="85839072001001"/>
    <n v="-53.06"/>
    <n v="3101"/>
    <n v="1"/>
    <n v="1"/>
  </r>
  <r>
    <m/>
    <m/>
    <x v="1"/>
    <s v="86168663001003"/>
    <n v="-2.91"/>
    <n v="170"/>
    <n v="1"/>
    <n v="1"/>
  </r>
  <r>
    <m/>
    <m/>
    <x v="1"/>
    <s v="86296772001001"/>
    <n v="-27.03"/>
    <n v="1580"/>
    <n v="1"/>
    <n v="1"/>
  </r>
  <r>
    <m/>
    <m/>
    <x v="1"/>
    <s v="86363752001001"/>
    <n v="-15.4"/>
    <n v="900"/>
    <n v="1"/>
    <n v="1"/>
  </r>
  <r>
    <m/>
    <m/>
    <x v="1"/>
    <s v="86381411001001"/>
    <n v="-26.42"/>
    <n v="1544"/>
    <n v="1"/>
    <n v="1"/>
  </r>
  <r>
    <m/>
    <m/>
    <x v="1"/>
    <s v="86518069001001"/>
    <n v="-13.84"/>
    <n v="809"/>
    <n v="1"/>
    <n v="1"/>
  </r>
  <r>
    <m/>
    <m/>
    <x v="1"/>
    <s v="87452134001003"/>
    <n v="-31.17"/>
    <n v="1822"/>
    <n v="1"/>
    <n v="1"/>
  </r>
  <r>
    <m/>
    <m/>
    <x v="1"/>
    <s v="87885809001004"/>
    <n v="-38.86"/>
    <n v="2271"/>
    <n v="1"/>
    <n v="1"/>
  </r>
  <r>
    <m/>
    <m/>
    <x v="1"/>
    <s v="87989600001003"/>
    <n v="-41.59"/>
    <n v="2431"/>
    <n v="1"/>
    <n v="1"/>
  </r>
  <r>
    <m/>
    <m/>
    <x v="1"/>
    <s v="88101027001008"/>
    <n v="-15.59"/>
    <n v="911"/>
    <n v="1"/>
    <n v="1"/>
  </r>
  <r>
    <m/>
    <m/>
    <x v="1"/>
    <s v="88233884001001"/>
    <n v="-3.44"/>
    <n v="201"/>
    <n v="1"/>
    <n v="1"/>
  </r>
  <r>
    <m/>
    <m/>
    <x v="1"/>
    <s v="88770508001006"/>
    <n v="-10.88"/>
    <n v="636"/>
    <n v="1"/>
    <n v="1"/>
  </r>
  <r>
    <m/>
    <m/>
    <x v="1"/>
    <s v="88777401001007"/>
    <n v="-27.43"/>
    <n v="1603"/>
    <n v="1"/>
    <n v="1"/>
  </r>
  <r>
    <m/>
    <m/>
    <x v="1"/>
    <s v="88847370001001"/>
    <n v="-3.71"/>
    <n v="217"/>
    <n v="1"/>
    <n v="1"/>
  </r>
  <r>
    <m/>
    <m/>
    <x v="1"/>
    <s v="89520809001009"/>
    <n v="-17.59"/>
    <n v="1028"/>
    <n v="1"/>
    <n v="1"/>
  </r>
  <r>
    <m/>
    <m/>
    <x v="1"/>
    <s v="89599726001001"/>
    <n v="-23.75"/>
    <n v="1388"/>
    <n v="1"/>
    <n v="1"/>
  </r>
  <r>
    <m/>
    <m/>
    <x v="1"/>
    <s v="89709361001001"/>
    <n v="-26.3"/>
    <n v="1537"/>
    <n v="1"/>
    <n v="1"/>
  </r>
  <r>
    <m/>
    <m/>
    <x v="1"/>
    <s v="89718018001006"/>
    <n v="-2.82"/>
    <n v="165"/>
    <n v="1"/>
    <n v="1"/>
  </r>
  <r>
    <m/>
    <m/>
    <x v="1"/>
    <s v="89987541001001"/>
    <n v="-8.2799999999999994"/>
    <n v="484"/>
    <n v="1"/>
    <n v="1"/>
  </r>
  <r>
    <m/>
    <m/>
    <x v="1"/>
    <s v="90516824001003"/>
    <n v="-27.91"/>
    <n v="1631"/>
    <n v="1"/>
    <n v="1"/>
  </r>
  <r>
    <m/>
    <m/>
    <x v="1"/>
    <s v="90651605001001"/>
    <n v="-21.54"/>
    <n v="1259"/>
    <n v="1"/>
    <n v="1"/>
  </r>
  <r>
    <m/>
    <m/>
    <x v="1"/>
    <s v="90805481002003"/>
    <n v="-44.49"/>
    <n v="2600"/>
    <n v="1"/>
    <n v="1"/>
  </r>
  <r>
    <m/>
    <m/>
    <x v="1"/>
    <s v="90958989001001"/>
    <n v="-38.75"/>
    <n v="2265"/>
    <n v="1"/>
    <n v="1"/>
  </r>
  <r>
    <m/>
    <m/>
    <x v="1"/>
    <s v="91095063001001"/>
    <n v="-2.21"/>
    <n v="129"/>
    <n v="1"/>
    <n v="1"/>
  </r>
  <r>
    <m/>
    <m/>
    <x v="1"/>
    <s v="91666691002003"/>
    <n v="-56.96"/>
    <n v="3329"/>
    <n v="1"/>
    <n v="1"/>
  </r>
  <r>
    <m/>
    <m/>
    <x v="1"/>
    <s v="91750195001001"/>
    <n v="-21.01"/>
    <n v="1228"/>
    <n v="1"/>
    <n v="1"/>
  </r>
  <r>
    <m/>
    <m/>
    <x v="1"/>
    <s v="91817189001007"/>
    <n v="-21.25"/>
    <n v="1242"/>
    <n v="1"/>
    <n v="1"/>
  </r>
  <r>
    <m/>
    <m/>
    <x v="1"/>
    <s v="91907331002001"/>
    <n v="-7.44"/>
    <n v="435"/>
    <n v="1"/>
    <n v="1"/>
  </r>
  <r>
    <m/>
    <m/>
    <x v="1"/>
    <s v="91939028001001"/>
    <n v="-1.1000000000000001"/>
    <n v="64"/>
    <n v="1"/>
    <n v="1"/>
  </r>
  <r>
    <m/>
    <m/>
    <x v="1"/>
    <s v="92573504001002"/>
    <n v="-16.899999999999999"/>
    <n v="988"/>
    <n v="1"/>
    <n v="1"/>
  </r>
  <r>
    <m/>
    <m/>
    <x v="1"/>
    <s v="92602233001001"/>
    <n v="-40.31"/>
    <n v="2356"/>
    <n v="1"/>
    <n v="1"/>
  </r>
  <r>
    <m/>
    <m/>
    <x v="1"/>
    <s v="92711390001001"/>
    <n v="-23.12"/>
    <n v="1351"/>
    <n v="1"/>
    <n v="1"/>
  </r>
  <r>
    <m/>
    <m/>
    <x v="1"/>
    <s v="92914807001001"/>
    <n v="-9.5500000000000007"/>
    <n v="558"/>
    <n v="1"/>
    <n v="1"/>
  </r>
  <r>
    <m/>
    <m/>
    <x v="1"/>
    <s v="93208083001001"/>
    <n v="-33.04"/>
    <n v="1931"/>
    <n v="1"/>
    <n v="1"/>
  </r>
  <r>
    <m/>
    <m/>
    <x v="1"/>
    <s v="93596601001001"/>
    <n v="-35.43"/>
    <n v="2071"/>
    <n v="1"/>
    <n v="1"/>
  </r>
  <r>
    <m/>
    <m/>
    <x v="1"/>
    <s v="93767754001003"/>
    <n v="-23.73"/>
    <n v="1387"/>
    <n v="1"/>
    <n v="1"/>
  </r>
  <r>
    <m/>
    <m/>
    <x v="1"/>
    <s v="93793236001001"/>
    <n v="-39.01"/>
    <n v="2280"/>
    <n v="1"/>
    <n v="1"/>
  </r>
  <r>
    <m/>
    <m/>
    <x v="1"/>
    <s v="94236722001001"/>
    <n v="-34.51"/>
    <n v="2017"/>
    <n v="1"/>
    <n v="1"/>
  </r>
  <r>
    <m/>
    <m/>
    <x v="1"/>
    <s v="94634126001001"/>
    <n v="-22.05"/>
    <n v="1289"/>
    <n v="1"/>
    <n v="1"/>
  </r>
  <r>
    <m/>
    <m/>
    <x v="1"/>
    <s v="94684058001001"/>
    <n v="-14.2"/>
    <n v="830"/>
    <n v="1"/>
    <n v="1"/>
  </r>
  <r>
    <m/>
    <m/>
    <x v="1"/>
    <s v="94938062001001"/>
    <n v="-34.68"/>
    <n v="2027"/>
    <n v="1"/>
    <n v="1"/>
  </r>
  <r>
    <m/>
    <m/>
    <x v="1"/>
    <s v="95342054001001"/>
    <n v="-46.81"/>
    <n v="2736"/>
    <n v="1"/>
    <n v="1"/>
  </r>
  <r>
    <m/>
    <m/>
    <x v="1"/>
    <s v="95347210001001"/>
    <n v="-15.45"/>
    <n v="903"/>
    <n v="1"/>
    <n v="1"/>
  </r>
  <r>
    <m/>
    <m/>
    <x v="1"/>
    <s v="95431402002004"/>
    <n v="-6.36"/>
    <n v="372"/>
    <n v="1"/>
    <n v="1"/>
  </r>
  <r>
    <m/>
    <m/>
    <x v="1"/>
    <s v="95527245001004"/>
    <n v="-17.5"/>
    <n v="1023"/>
    <n v="1"/>
    <n v="1"/>
  </r>
  <r>
    <m/>
    <m/>
    <x v="1"/>
    <s v="95581312001002"/>
    <n v="-34.03"/>
    <n v="1989"/>
    <n v="1"/>
    <n v="1"/>
  </r>
  <r>
    <m/>
    <m/>
    <x v="1"/>
    <s v="95646960001001"/>
    <n v="-27.27"/>
    <n v="1594"/>
    <n v="1"/>
    <n v="1"/>
  </r>
  <r>
    <m/>
    <m/>
    <x v="1"/>
    <s v="95952271001001"/>
    <n v="-15.42"/>
    <n v="901"/>
    <n v="1"/>
    <n v="1"/>
  </r>
  <r>
    <m/>
    <m/>
    <x v="1"/>
    <s v="95991535001001"/>
    <n v="-15.02"/>
    <n v="878"/>
    <n v="1"/>
    <n v="1"/>
  </r>
  <r>
    <m/>
    <m/>
    <x v="1"/>
    <s v="96042645001001"/>
    <n v="-4.72"/>
    <n v="276"/>
    <n v="1"/>
    <n v="1"/>
  </r>
  <r>
    <m/>
    <m/>
    <x v="1"/>
    <s v="96186430001005"/>
    <n v="-8.2100000000000009"/>
    <n v="480"/>
    <n v="1"/>
    <n v="1"/>
  </r>
  <r>
    <m/>
    <m/>
    <x v="1"/>
    <s v="96258552001004"/>
    <n v="-9.68"/>
    <n v="566"/>
    <n v="1"/>
    <n v="1"/>
  </r>
  <r>
    <m/>
    <m/>
    <x v="1"/>
    <s v="96306013001003"/>
    <n v="-7.08"/>
    <n v="414"/>
    <n v="1"/>
    <n v="1"/>
  </r>
  <r>
    <m/>
    <m/>
    <x v="1"/>
    <s v="96369039001001"/>
    <n v="-37.92"/>
    <n v="2216"/>
    <n v="1"/>
    <n v="1"/>
  </r>
  <r>
    <m/>
    <m/>
    <x v="1"/>
    <s v="96386777001002"/>
    <n v="-34.659999999999997"/>
    <n v="2026"/>
    <n v="1"/>
    <n v="1"/>
  </r>
  <r>
    <m/>
    <m/>
    <x v="1"/>
    <s v="96472741002003"/>
    <n v="-14.44"/>
    <n v="844"/>
    <n v="1"/>
    <n v="1"/>
  </r>
  <r>
    <m/>
    <m/>
    <x v="1"/>
    <s v="96478184001006"/>
    <n v="-6.04"/>
    <n v="353"/>
    <n v="1"/>
    <n v="1"/>
  </r>
  <r>
    <m/>
    <m/>
    <x v="1"/>
    <s v="96898983001001"/>
    <n v="-13.85"/>
    <n v="809"/>
    <n v="2"/>
    <n v="1"/>
  </r>
  <r>
    <m/>
    <m/>
    <x v="1"/>
    <s v="96949041001001"/>
    <n v="-11.7"/>
    <n v="684"/>
    <n v="1"/>
    <n v="1"/>
  </r>
  <r>
    <m/>
    <m/>
    <x v="1"/>
    <s v="96986090001001"/>
    <n v="-28.52"/>
    <n v="1667"/>
    <n v="1"/>
    <n v="1"/>
  </r>
  <r>
    <m/>
    <m/>
    <x v="1"/>
    <s v="97005215001001"/>
    <n v="-23.75"/>
    <n v="1388"/>
    <n v="1"/>
    <n v="1"/>
  </r>
  <r>
    <m/>
    <m/>
    <x v="1"/>
    <s v="97071150001005"/>
    <n v="-2.17"/>
    <n v="127"/>
    <n v="1"/>
    <n v="1"/>
  </r>
  <r>
    <m/>
    <m/>
    <x v="1"/>
    <s v="97521847001001"/>
    <n v="-17.78"/>
    <n v="1039"/>
    <n v="1"/>
    <n v="1"/>
  </r>
  <r>
    <m/>
    <m/>
    <x v="1"/>
    <s v="97919016001004"/>
    <n v="-25.03"/>
    <n v="1463"/>
    <n v="1"/>
    <n v="1"/>
  </r>
  <r>
    <m/>
    <m/>
    <x v="1"/>
    <s v="98004963001002"/>
    <n v="-31.16"/>
    <n v="1821"/>
    <n v="1"/>
    <n v="1"/>
  </r>
  <r>
    <m/>
    <m/>
    <x v="1"/>
    <s v="98150139003001"/>
    <n v="-17.37"/>
    <n v="1015"/>
    <n v="1"/>
    <n v="1"/>
  </r>
  <r>
    <m/>
    <m/>
    <x v="1"/>
    <s v="98185698002001"/>
    <n v="-40.159999999999997"/>
    <n v="2347"/>
    <n v="1"/>
    <n v="1"/>
  </r>
  <r>
    <m/>
    <m/>
    <x v="1"/>
    <s v="98256974001001"/>
    <n v="-18.170000000000002"/>
    <n v="1062"/>
    <n v="1"/>
    <n v="1"/>
  </r>
  <r>
    <m/>
    <m/>
    <x v="1"/>
    <s v="98323580001002"/>
    <n v="-16"/>
    <n v="935"/>
    <n v="1"/>
    <n v="1"/>
  </r>
  <r>
    <m/>
    <m/>
    <x v="1"/>
    <s v="98330170002001"/>
    <n v="-4.0599999999999996"/>
    <n v="237"/>
    <n v="1"/>
    <n v="1"/>
  </r>
  <r>
    <m/>
    <m/>
    <x v="1"/>
    <s v="98514689005003"/>
    <n v="-23.34"/>
    <n v="1364"/>
    <n v="1"/>
    <n v="1"/>
  </r>
  <r>
    <m/>
    <m/>
    <x v="1"/>
    <s v="98734416001003"/>
    <n v="-4.28"/>
    <n v="250"/>
    <n v="1"/>
    <n v="1"/>
  </r>
  <r>
    <m/>
    <m/>
    <x v="1"/>
    <s v="98928729005009"/>
    <n v="-19.079999999999998"/>
    <n v="1115"/>
    <n v="1"/>
    <n v="1"/>
  </r>
  <r>
    <m/>
    <m/>
    <x v="1"/>
    <s v="98994107001001"/>
    <n v="-1.57"/>
    <n v="92"/>
    <n v="1"/>
    <n v="1"/>
  </r>
  <r>
    <m/>
    <m/>
    <x v="1"/>
    <s v="99045043001003"/>
    <n v="-18.21"/>
    <n v="1064"/>
    <n v="1"/>
    <n v="1"/>
  </r>
  <r>
    <m/>
    <m/>
    <x v="1"/>
    <s v="99088785001001"/>
    <n v="-29.86"/>
    <n v="1745"/>
    <n v="1"/>
    <n v="1"/>
  </r>
  <r>
    <m/>
    <m/>
    <x v="1"/>
    <s v="99558695001002"/>
    <n v="-29.12"/>
    <n v="1702"/>
    <n v="1"/>
    <n v="1"/>
  </r>
  <r>
    <m/>
    <m/>
    <x v="1"/>
    <s v="99831171001001"/>
    <n v="-55.16"/>
    <n v="3224"/>
    <n v="1"/>
    <n v="1"/>
  </r>
  <r>
    <m/>
    <m/>
    <x v="1"/>
    <s v="99960737001001"/>
    <n v="-21.75"/>
    <n v="1271"/>
    <n v="1"/>
    <n v="1"/>
  </r>
  <r>
    <m/>
    <m/>
    <x v="2"/>
    <m/>
    <n v="-18847.059999999983"/>
    <n v="1101522"/>
    <n v="818"/>
    <n v="815"/>
  </r>
  <r>
    <m/>
    <m/>
    <x v="3"/>
    <s v="00416718001001"/>
    <n v="-50.54"/>
    <n v="1846"/>
    <n v="1"/>
    <n v="1"/>
  </r>
  <r>
    <m/>
    <m/>
    <x v="1"/>
    <s v="00438452001003"/>
    <n v="-3.53"/>
    <n v="129"/>
    <n v="1"/>
    <n v="1"/>
  </r>
  <r>
    <m/>
    <m/>
    <x v="1"/>
    <s v="00573765002001"/>
    <n v="-57.17"/>
    <n v="2088"/>
    <n v="1"/>
    <n v="1"/>
  </r>
  <r>
    <m/>
    <m/>
    <x v="1"/>
    <s v="00595168001001"/>
    <n v="-13.06"/>
    <n v="477"/>
    <n v="1"/>
    <n v="1"/>
  </r>
  <r>
    <m/>
    <m/>
    <x v="1"/>
    <s v="00620929001002"/>
    <n v="-29.63"/>
    <n v="1082"/>
    <n v="1"/>
    <n v="1"/>
  </r>
  <r>
    <m/>
    <m/>
    <x v="1"/>
    <s v="01423270002001"/>
    <n v="-28.75"/>
    <n v="1050"/>
    <n v="1"/>
    <n v="1"/>
  </r>
  <r>
    <m/>
    <m/>
    <x v="1"/>
    <s v="01775038001002"/>
    <n v="-50.3"/>
    <n v="1837"/>
    <n v="1"/>
    <n v="1"/>
  </r>
  <r>
    <m/>
    <m/>
    <x v="1"/>
    <s v="01883451001001"/>
    <n v="-50.87"/>
    <n v="1858"/>
    <n v="1"/>
    <n v="1"/>
  </r>
  <r>
    <m/>
    <m/>
    <x v="1"/>
    <s v="01911223001001"/>
    <n v="-25.79"/>
    <n v="942"/>
    <n v="1"/>
    <n v="1"/>
  </r>
  <r>
    <m/>
    <m/>
    <x v="1"/>
    <s v="01933876002003"/>
    <n v="-38.82"/>
    <n v="1418"/>
    <n v="1"/>
    <n v="1"/>
  </r>
  <r>
    <m/>
    <m/>
    <x v="1"/>
    <s v="02249862002005"/>
    <n v="-33.79"/>
    <n v="1234"/>
    <n v="1"/>
    <n v="1"/>
  </r>
  <r>
    <m/>
    <m/>
    <x v="1"/>
    <s v="02309710001002"/>
    <n v="-15.28"/>
    <n v="558"/>
    <n v="1"/>
    <n v="1"/>
  </r>
  <r>
    <m/>
    <m/>
    <x v="1"/>
    <s v="02319140001001"/>
    <n v="-6.13"/>
    <n v="224"/>
    <n v="1"/>
    <n v="1"/>
  </r>
  <r>
    <m/>
    <m/>
    <x v="1"/>
    <s v="02382323002001"/>
    <n v="-41.86"/>
    <n v="1529"/>
    <n v="1"/>
    <n v="1"/>
  </r>
  <r>
    <m/>
    <m/>
    <x v="1"/>
    <s v="02483331001001"/>
    <n v="-22.7"/>
    <n v="829"/>
    <n v="1"/>
    <n v="1"/>
  </r>
  <r>
    <m/>
    <m/>
    <x v="1"/>
    <s v="02489977001002"/>
    <n v="-26.64"/>
    <n v="973"/>
    <n v="1"/>
    <n v="1"/>
  </r>
  <r>
    <m/>
    <m/>
    <x v="1"/>
    <s v="02523107001004"/>
    <n v="-19.41"/>
    <n v="709"/>
    <n v="1"/>
    <n v="1"/>
  </r>
  <r>
    <m/>
    <m/>
    <x v="1"/>
    <s v="02596530001006"/>
    <n v="-26.48"/>
    <n v="967"/>
    <n v="1"/>
    <n v="1"/>
  </r>
  <r>
    <m/>
    <m/>
    <x v="1"/>
    <s v="02622939001003"/>
    <n v="-41.48"/>
    <n v="1515"/>
    <n v="1"/>
    <n v="1"/>
  </r>
  <r>
    <m/>
    <m/>
    <x v="1"/>
    <s v="02625530001001"/>
    <n v="-10.32"/>
    <n v="377"/>
    <n v="1"/>
    <n v="1"/>
  </r>
  <r>
    <m/>
    <m/>
    <x v="1"/>
    <s v="02761318001001"/>
    <n v="-28.23"/>
    <n v="1031"/>
    <n v="1"/>
    <n v="1"/>
  </r>
  <r>
    <m/>
    <m/>
    <x v="1"/>
    <s v="02788965005001"/>
    <n v="-104.78"/>
    <n v="3827"/>
    <n v="1"/>
    <n v="1"/>
  </r>
  <r>
    <m/>
    <m/>
    <x v="1"/>
    <s v="02975140001002"/>
    <n v="-5.07"/>
    <n v="185"/>
    <n v="1"/>
    <n v="1"/>
  </r>
  <r>
    <m/>
    <m/>
    <x v="1"/>
    <s v="03289754002001"/>
    <n v="-63.22"/>
    <n v="2309"/>
    <n v="1"/>
    <n v="1"/>
  </r>
  <r>
    <m/>
    <m/>
    <x v="1"/>
    <s v="03351704002008"/>
    <n v="-24.29"/>
    <n v="887"/>
    <n v="1"/>
    <n v="1"/>
  </r>
  <r>
    <m/>
    <m/>
    <x v="1"/>
    <s v="03379746001001"/>
    <n v="-34.14"/>
    <n v="1247"/>
    <n v="1"/>
    <n v="1"/>
  </r>
  <r>
    <m/>
    <m/>
    <x v="1"/>
    <s v="03428866001001"/>
    <n v="-33.81"/>
    <n v="1235"/>
    <n v="1"/>
    <n v="1"/>
  </r>
  <r>
    <m/>
    <m/>
    <x v="1"/>
    <s v="03494646001002"/>
    <n v="-10.87"/>
    <n v="397"/>
    <n v="1"/>
    <n v="1"/>
  </r>
  <r>
    <m/>
    <m/>
    <x v="1"/>
    <s v="03747754003001"/>
    <n v="-8.1"/>
    <n v="296"/>
    <n v="1"/>
    <n v="1"/>
  </r>
  <r>
    <m/>
    <m/>
    <x v="1"/>
    <s v="03765771001003"/>
    <n v="-53.88"/>
    <n v="1968"/>
    <n v="1"/>
    <n v="1"/>
  </r>
  <r>
    <m/>
    <m/>
    <x v="1"/>
    <s v="03931679001001"/>
    <n v="-48.49"/>
    <n v="1771"/>
    <n v="1"/>
    <n v="1"/>
  </r>
  <r>
    <m/>
    <m/>
    <x v="1"/>
    <s v="03953360002003"/>
    <n v="-7.23"/>
    <n v="264"/>
    <n v="1"/>
    <n v="1"/>
  </r>
  <r>
    <m/>
    <m/>
    <x v="1"/>
    <s v="04036291001005"/>
    <n v="-21.52"/>
    <n v="786"/>
    <n v="1"/>
    <n v="1"/>
  </r>
  <r>
    <m/>
    <m/>
    <x v="1"/>
    <s v="04139605001002"/>
    <n v="-23.93"/>
    <n v="874"/>
    <n v="1"/>
    <n v="1"/>
  </r>
  <r>
    <m/>
    <m/>
    <x v="1"/>
    <s v="04235477001011"/>
    <n v="-29.13"/>
    <n v="1064"/>
    <n v="1"/>
    <n v="1"/>
  </r>
  <r>
    <m/>
    <m/>
    <x v="1"/>
    <s v="04330395001006"/>
    <n v="-38.14"/>
    <n v="1393"/>
    <n v="1"/>
    <n v="1"/>
  </r>
  <r>
    <m/>
    <m/>
    <x v="1"/>
    <s v="04587647002001"/>
    <n v="-38.69"/>
    <n v="1413"/>
    <n v="1"/>
    <n v="1"/>
  </r>
  <r>
    <m/>
    <m/>
    <x v="1"/>
    <s v="04668888001001"/>
    <n v="-28.09"/>
    <n v="1026"/>
    <n v="1"/>
    <n v="1"/>
  </r>
  <r>
    <m/>
    <m/>
    <x v="1"/>
    <s v="04767750001002"/>
    <n v="-29.27"/>
    <n v="1069"/>
    <n v="1"/>
    <n v="1"/>
  </r>
  <r>
    <m/>
    <m/>
    <x v="1"/>
    <s v="04891223001003"/>
    <n v="-34.36"/>
    <n v="1255"/>
    <n v="1"/>
    <n v="1"/>
  </r>
  <r>
    <m/>
    <m/>
    <x v="1"/>
    <s v="05077769001001"/>
    <n v="-21.3"/>
    <n v="778"/>
    <n v="1"/>
    <n v="1"/>
  </r>
  <r>
    <m/>
    <m/>
    <x v="1"/>
    <s v="05133842001004"/>
    <n v="-0.96"/>
    <n v="35"/>
    <n v="1"/>
    <n v="1"/>
  </r>
  <r>
    <m/>
    <m/>
    <x v="1"/>
    <s v="05169515001001"/>
    <n v="-16.559999999999999"/>
    <n v="605"/>
    <n v="1"/>
    <n v="1"/>
  </r>
  <r>
    <m/>
    <m/>
    <x v="1"/>
    <s v="05415666001005"/>
    <n v="-30.47"/>
    <n v="1113"/>
    <n v="1"/>
    <n v="1"/>
  </r>
  <r>
    <m/>
    <m/>
    <x v="1"/>
    <s v="05776636001001"/>
    <n v="-56.51"/>
    <n v="2064"/>
    <n v="1"/>
    <n v="1"/>
  </r>
  <r>
    <m/>
    <m/>
    <x v="1"/>
    <s v="05861722001003"/>
    <n v="-38.44"/>
    <n v="1404"/>
    <n v="1"/>
    <n v="1"/>
  </r>
  <r>
    <m/>
    <m/>
    <x v="1"/>
    <s v="05896822001001"/>
    <n v="-94.76"/>
    <n v="3461"/>
    <n v="1"/>
    <n v="1"/>
  </r>
  <r>
    <m/>
    <m/>
    <x v="1"/>
    <s v="06014943001001"/>
    <n v="-38.909999999999997"/>
    <n v="1421"/>
    <n v="1"/>
    <n v="1"/>
  </r>
  <r>
    <m/>
    <m/>
    <x v="1"/>
    <s v="06437475001006"/>
    <n v="-32.200000000000003"/>
    <n v="1176"/>
    <n v="1"/>
    <n v="1"/>
  </r>
  <r>
    <m/>
    <m/>
    <x v="1"/>
    <s v="06563369001001"/>
    <n v="-43.34"/>
    <n v="1583"/>
    <n v="1"/>
    <n v="1"/>
  </r>
  <r>
    <m/>
    <m/>
    <x v="1"/>
    <s v="06651048001002"/>
    <n v="-59.63"/>
    <n v="2178"/>
    <n v="1"/>
    <n v="1"/>
  </r>
  <r>
    <m/>
    <m/>
    <x v="1"/>
    <s v="06659459001005"/>
    <n v="-35.54"/>
    <n v="1298"/>
    <n v="1"/>
    <n v="1"/>
  </r>
  <r>
    <m/>
    <m/>
    <x v="1"/>
    <s v="06740214001001"/>
    <n v="-19.63"/>
    <n v="717"/>
    <n v="1"/>
    <n v="1"/>
  </r>
  <r>
    <m/>
    <m/>
    <x v="1"/>
    <s v="06785690001004"/>
    <n v="-2.4900000000000002"/>
    <n v="91"/>
    <n v="1"/>
    <n v="1"/>
  </r>
  <r>
    <m/>
    <m/>
    <x v="1"/>
    <s v="06840429001001"/>
    <n v="-20.07"/>
    <n v="733"/>
    <n v="1"/>
    <n v="1"/>
  </r>
  <r>
    <m/>
    <m/>
    <x v="1"/>
    <s v="06870862001001"/>
    <n v="-37.67"/>
    <n v="1376"/>
    <n v="1"/>
    <n v="1"/>
  </r>
  <r>
    <m/>
    <m/>
    <x v="1"/>
    <s v="07031800001002"/>
    <n v="-16.920000000000002"/>
    <n v="618"/>
    <n v="1"/>
    <n v="1"/>
  </r>
  <r>
    <m/>
    <m/>
    <x v="1"/>
    <s v="07270859001004"/>
    <n v="-26.09"/>
    <n v="953"/>
    <n v="1"/>
    <n v="1"/>
  </r>
  <r>
    <m/>
    <m/>
    <x v="1"/>
    <s v="07299621001001"/>
    <n v="-17.989999999999998"/>
    <n v="657"/>
    <n v="1"/>
    <n v="1"/>
  </r>
  <r>
    <m/>
    <m/>
    <x v="1"/>
    <s v="07528182001004"/>
    <n v="-36.36"/>
    <n v="1328"/>
    <n v="1"/>
    <n v="1"/>
  </r>
  <r>
    <m/>
    <m/>
    <x v="1"/>
    <s v="07782109001001"/>
    <n v="-41.07"/>
    <n v="1500"/>
    <n v="1"/>
    <n v="1"/>
  </r>
  <r>
    <m/>
    <m/>
    <x v="1"/>
    <s v="08005911001002"/>
    <n v="-47.59"/>
    <n v="1738"/>
    <n v="1"/>
    <n v="1"/>
  </r>
  <r>
    <m/>
    <m/>
    <x v="1"/>
    <s v="08008932001009"/>
    <n v="-59.06"/>
    <n v="2157"/>
    <n v="1"/>
    <n v="1"/>
  </r>
  <r>
    <m/>
    <m/>
    <x v="1"/>
    <s v="08263254001001"/>
    <n v="-23.57"/>
    <n v="861"/>
    <n v="1"/>
    <n v="1"/>
  </r>
  <r>
    <m/>
    <m/>
    <x v="1"/>
    <s v="08352681002008"/>
    <n v="-30.15"/>
    <n v="1101"/>
    <n v="1"/>
    <n v="1"/>
  </r>
  <r>
    <m/>
    <m/>
    <x v="1"/>
    <s v="08567574001005"/>
    <n v="-24.7"/>
    <n v="902"/>
    <n v="1"/>
    <n v="1"/>
  </r>
  <r>
    <m/>
    <m/>
    <x v="1"/>
    <s v="08598891001001"/>
    <n v="-12.59"/>
    <n v="460"/>
    <n v="1"/>
    <n v="1"/>
  </r>
  <r>
    <m/>
    <m/>
    <x v="1"/>
    <s v="08606353001001"/>
    <n v="-36.549999999999997"/>
    <n v="1335"/>
    <n v="1"/>
    <n v="1"/>
  </r>
  <r>
    <m/>
    <m/>
    <x v="1"/>
    <s v="08685884001001"/>
    <n v="-9.36"/>
    <n v="342"/>
    <n v="1"/>
    <n v="1"/>
  </r>
  <r>
    <m/>
    <m/>
    <x v="1"/>
    <s v="08985843002001"/>
    <n v="-80.09"/>
    <n v="2925"/>
    <n v="1"/>
    <n v="1"/>
  </r>
  <r>
    <m/>
    <m/>
    <x v="1"/>
    <s v="09159151001002"/>
    <n v="-61"/>
    <n v="2228"/>
    <n v="1"/>
    <n v="1"/>
  </r>
  <r>
    <m/>
    <m/>
    <x v="1"/>
    <s v="09321662001006"/>
    <n v="-39.450000000000003"/>
    <n v="1441"/>
    <n v="1"/>
    <n v="1"/>
  </r>
  <r>
    <m/>
    <m/>
    <x v="1"/>
    <s v="09554541001001"/>
    <n v="-29.16"/>
    <n v="1065"/>
    <n v="1"/>
    <n v="1"/>
  </r>
  <r>
    <m/>
    <m/>
    <x v="1"/>
    <s v="09912352001004"/>
    <n v="-18.7"/>
    <n v="683"/>
    <n v="1"/>
    <n v="1"/>
  </r>
  <r>
    <m/>
    <m/>
    <x v="1"/>
    <s v="10182549001001"/>
    <n v="-47.04"/>
    <n v="1718"/>
    <n v="1"/>
    <n v="1"/>
  </r>
  <r>
    <m/>
    <m/>
    <x v="1"/>
    <s v="10301176001001"/>
    <n v="-8.35"/>
    <n v="305"/>
    <n v="1"/>
    <n v="1"/>
  </r>
  <r>
    <m/>
    <m/>
    <x v="1"/>
    <s v="10344859001004"/>
    <n v="-2.0299999999999998"/>
    <n v="74"/>
    <n v="1"/>
    <n v="1"/>
  </r>
  <r>
    <m/>
    <m/>
    <x v="1"/>
    <s v="10394731002001"/>
    <n v="-9.8800000000000008"/>
    <n v="361"/>
    <n v="1"/>
    <n v="1"/>
  </r>
  <r>
    <m/>
    <m/>
    <x v="1"/>
    <s v="10559503001001"/>
    <n v="-33.51"/>
    <n v="1224"/>
    <n v="1"/>
    <n v="1"/>
  </r>
  <r>
    <m/>
    <m/>
    <x v="1"/>
    <s v="10636126001004"/>
    <n v="-22.78"/>
    <n v="832"/>
    <n v="1"/>
    <n v="1"/>
  </r>
  <r>
    <m/>
    <m/>
    <x v="1"/>
    <s v="10678960001002"/>
    <n v="-21.88"/>
    <n v="799"/>
    <n v="1"/>
    <n v="1"/>
  </r>
  <r>
    <m/>
    <m/>
    <x v="1"/>
    <s v="10818393001003"/>
    <n v="-9.5299999999999994"/>
    <n v="348"/>
    <n v="1"/>
    <n v="1"/>
  </r>
  <r>
    <m/>
    <m/>
    <x v="1"/>
    <s v="11044266002005"/>
    <n v="-58.16"/>
    <n v="2124"/>
    <n v="1"/>
    <n v="1"/>
  </r>
  <r>
    <m/>
    <m/>
    <x v="1"/>
    <s v="11073517001003"/>
    <n v="-15.17"/>
    <n v="554"/>
    <n v="1"/>
    <n v="1"/>
  </r>
  <r>
    <m/>
    <m/>
    <x v="1"/>
    <s v="11266870001001"/>
    <n v="-2.44"/>
    <n v="89"/>
    <n v="1"/>
    <n v="1"/>
  </r>
  <r>
    <m/>
    <m/>
    <x v="1"/>
    <s v="11438471001002"/>
    <n v="-34.42"/>
    <n v="1257"/>
    <n v="1"/>
    <n v="1"/>
  </r>
  <r>
    <m/>
    <m/>
    <x v="1"/>
    <s v="11905162001002"/>
    <n v="-3.53"/>
    <n v="129"/>
    <n v="1"/>
    <n v="1"/>
  </r>
  <r>
    <m/>
    <m/>
    <x v="1"/>
    <s v="11917791001004"/>
    <n v="-27.76"/>
    <n v="1014"/>
    <n v="1"/>
    <n v="1"/>
  </r>
  <r>
    <m/>
    <m/>
    <x v="1"/>
    <s v="11918881001001"/>
    <n v="-23.08"/>
    <n v="843"/>
    <n v="1"/>
    <n v="1"/>
  </r>
  <r>
    <m/>
    <m/>
    <x v="1"/>
    <s v="11937030001007"/>
    <n v="-21.66"/>
    <n v="791"/>
    <n v="1"/>
    <n v="1"/>
  </r>
  <r>
    <m/>
    <m/>
    <x v="1"/>
    <s v="11968828001003"/>
    <n v="-25.85"/>
    <n v="944"/>
    <n v="1"/>
    <n v="1"/>
  </r>
  <r>
    <m/>
    <m/>
    <x v="1"/>
    <s v="12157176001003"/>
    <n v="-7.45"/>
    <n v="272"/>
    <n v="1"/>
    <n v="1"/>
  </r>
  <r>
    <m/>
    <m/>
    <x v="1"/>
    <s v="12325069001003"/>
    <n v="-31.05"/>
    <n v="1134"/>
    <n v="1"/>
    <n v="1"/>
  </r>
  <r>
    <m/>
    <m/>
    <x v="1"/>
    <s v="12455414001003"/>
    <n v="-32.61"/>
    <n v="1191"/>
    <n v="1"/>
    <n v="1"/>
  </r>
  <r>
    <m/>
    <m/>
    <x v="1"/>
    <s v="12568170001002"/>
    <n v="-40.08"/>
    <n v="1464"/>
    <n v="1"/>
    <n v="1"/>
  </r>
  <r>
    <m/>
    <m/>
    <x v="1"/>
    <s v="12823849001003"/>
    <n v="-38.93"/>
    <n v="1422"/>
    <n v="1"/>
    <n v="1"/>
  </r>
  <r>
    <m/>
    <m/>
    <x v="1"/>
    <s v="12836175001001"/>
    <n v="-75.02"/>
    <n v="2740"/>
    <n v="1"/>
    <n v="1"/>
  </r>
  <r>
    <m/>
    <m/>
    <x v="1"/>
    <s v="12968693001002"/>
    <n v="-20.34"/>
    <n v="743"/>
    <n v="1"/>
    <n v="1"/>
  </r>
  <r>
    <m/>
    <m/>
    <x v="1"/>
    <s v="13033808001005"/>
    <n v="-14.73"/>
    <n v="538"/>
    <n v="1"/>
    <n v="1"/>
  </r>
  <r>
    <m/>
    <m/>
    <x v="1"/>
    <s v="13064786005003"/>
    <n v="-17.28"/>
    <n v="631"/>
    <n v="1"/>
    <n v="1"/>
  </r>
  <r>
    <m/>
    <m/>
    <x v="1"/>
    <s v="13074980001004"/>
    <n v="-3.78"/>
    <n v="138"/>
    <n v="1"/>
    <n v="1"/>
  </r>
  <r>
    <m/>
    <m/>
    <x v="1"/>
    <s v="13184132001003"/>
    <n v="-32.909999999999997"/>
    <n v="1202"/>
    <n v="1"/>
    <n v="1"/>
  </r>
  <r>
    <m/>
    <m/>
    <x v="1"/>
    <s v="13343334001004"/>
    <n v="-5.75"/>
    <n v="210"/>
    <n v="1"/>
    <n v="1"/>
  </r>
  <r>
    <m/>
    <m/>
    <x v="1"/>
    <s v="13573194001001"/>
    <n v="-48.38"/>
    <n v="1767"/>
    <n v="1"/>
    <n v="1"/>
  </r>
  <r>
    <m/>
    <m/>
    <x v="1"/>
    <s v="13623153001006"/>
    <n v="-85.29"/>
    <n v="3115"/>
    <n v="1"/>
    <n v="1"/>
  </r>
  <r>
    <m/>
    <m/>
    <x v="1"/>
    <s v="13653453001001"/>
    <n v="-43.89"/>
    <n v="1603"/>
    <n v="1"/>
    <n v="1"/>
  </r>
  <r>
    <m/>
    <m/>
    <x v="1"/>
    <s v="13942590001005"/>
    <n v="-28.17"/>
    <n v="1029"/>
    <n v="1"/>
    <n v="1"/>
  </r>
  <r>
    <m/>
    <m/>
    <x v="1"/>
    <s v="14223962001009"/>
    <n v="-20.149999999999999"/>
    <n v="736"/>
    <n v="1"/>
    <n v="1"/>
  </r>
  <r>
    <m/>
    <m/>
    <x v="1"/>
    <s v="14533471002003"/>
    <n v="-5.64"/>
    <n v="206"/>
    <n v="1"/>
    <n v="1"/>
  </r>
  <r>
    <m/>
    <m/>
    <x v="1"/>
    <s v="14986800001003"/>
    <n v="-27.63"/>
    <n v="1009"/>
    <n v="1"/>
    <n v="1"/>
  </r>
  <r>
    <m/>
    <m/>
    <x v="1"/>
    <s v="15113741003003"/>
    <n v="-19.059999999999999"/>
    <n v="696"/>
    <n v="1"/>
    <n v="1"/>
  </r>
  <r>
    <m/>
    <m/>
    <x v="1"/>
    <s v="15120810001001"/>
    <n v="-6.08"/>
    <n v="222"/>
    <n v="1"/>
    <n v="1"/>
  </r>
  <r>
    <m/>
    <m/>
    <x v="1"/>
    <s v="15150196001001"/>
    <n v="-33.29"/>
    <n v="1216"/>
    <n v="1"/>
    <n v="1"/>
  </r>
  <r>
    <m/>
    <m/>
    <x v="1"/>
    <s v="15171809001001"/>
    <n v="-35.270000000000003"/>
    <n v="1288"/>
    <n v="1"/>
    <n v="1"/>
  </r>
  <r>
    <m/>
    <m/>
    <x v="1"/>
    <s v="15330418003001"/>
    <n v="-33.32"/>
    <n v="1217"/>
    <n v="1"/>
    <n v="1"/>
  </r>
  <r>
    <m/>
    <m/>
    <x v="1"/>
    <s v="15433507001001"/>
    <n v="-6.05"/>
    <n v="221"/>
    <n v="1"/>
    <n v="1"/>
  </r>
  <r>
    <m/>
    <m/>
    <x v="1"/>
    <s v="15503453001003"/>
    <n v="-128.03"/>
    <n v="4676"/>
    <n v="1"/>
    <n v="1"/>
  </r>
  <r>
    <m/>
    <m/>
    <x v="1"/>
    <s v="15572981001001"/>
    <n v="-25.11"/>
    <n v="917"/>
    <n v="1"/>
    <n v="1"/>
  </r>
  <r>
    <m/>
    <m/>
    <x v="1"/>
    <s v="15769056001001"/>
    <n v="-25.63"/>
    <n v="936"/>
    <n v="1"/>
    <n v="1"/>
  </r>
  <r>
    <m/>
    <m/>
    <x v="1"/>
    <s v="15908468001001"/>
    <n v="-48.74"/>
    <n v="1780"/>
    <n v="1"/>
    <n v="1"/>
  </r>
  <r>
    <m/>
    <m/>
    <x v="1"/>
    <s v="15945184001001"/>
    <n v="-15.69"/>
    <n v="573"/>
    <n v="1"/>
    <n v="1"/>
  </r>
  <r>
    <m/>
    <m/>
    <x v="1"/>
    <s v="16709268001002"/>
    <n v="-29.87"/>
    <n v="1091"/>
    <n v="1"/>
    <n v="1"/>
  </r>
  <r>
    <m/>
    <m/>
    <x v="1"/>
    <s v="16954651006001"/>
    <n v="-8.4600000000000009"/>
    <n v="309"/>
    <n v="1"/>
    <n v="1"/>
  </r>
  <r>
    <m/>
    <m/>
    <x v="1"/>
    <s v="16955898001003"/>
    <n v="-31.46"/>
    <n v="1149"/>
    <n v="1"/>
    <n v="1"/>
  </r>
  <r>
    <m/>
    <m/>
    <x v="1"/>
    <s v="17064549001001"/>
    <n v="-56.35"/>
    <n v="2058"/>
    <n v="1"/>
    <n v="1"/>
  </r>
  <r>
    <m/>
    <m/>
    <x v="1"/>
    <s v="17540542001001"/>
    <n v="-69.3"/>
    <n v="2531"/>
    <n v="1"/>
    <n v="1"/>
  </r>
  <r>
    <m/>
    <m/>
    <x v="1"/>
    <s v="17581646001002"/>
    <n v="-7.37"/>
    <n v="269"/>
    <n v="1"/>
    <n v="1"/>
  </r>
  <r>
    <m/>
    <m/>
    <x v="1"/>
    <s v="18002664001003"/>
    <n v="-27.3"/>
    <n v="997"/>
    <n v="1"/>
    <n v="1"/>
  </r>
  <r>
    <m/>
    <m/>
    <x v="1"/>
    <s v="18140709001008"/>
    <n v="-50.79"/>
    <n v="1855"/>
    <n v="1"/>
    <n v="1"/>
  </r>
  <r>
    <m/>
    <m/>
    <x v="1"/>
    <s v="18387937001003"/>
    <n v="-36.22"/>
    <n v="1323"/>
    <n v="1"/>
    <n v="1"/>
  </r>
  <r>
    <m/>
    <m/>
    <x v="1"/>
    <s v="18508809001007"/>
    <n v="-53.91"/>
    <n v="1969"/>
    <n v="1"/>
    <n v="1"/>
  </r>
  <r>
    <m/>
    <m/>
    <x v="1"/>
    <s v="18519490001001"/>
    <n v="-64.84"/>
    <n v="2368"/>
    <n v="1"/>
    <n v="1"/>
  </r>
  <r>
    <m/>
    <m/>
    <x v="1"/>
    <s v="18598550001004"/>
    <n v="-12.27"/>
    <n v="448"/>
    <n v="1"/>
    <n v="1"/>
  </r>
  <r>
    <m/>
    <m/>
    <x v="1"/>
    <s v="18733572001003"/>
    <n v="-46.68"/>
    <n v="1705"/>
    <n v="1"/>
    <n v="1"/>
  </r>
  <r>
    <m/>
    <m/>
    <x v="1"/>
    <s v="18997905001003"/>
    <n v="-30.12"/>
    <n v="1100"/>
    <n v="1"/>
    <n v="1"/>
  </r>
  <r>
    <m/>
    <m/>
    <x v="1"/>
    <s v="19092898002001"/>
    <n v="-7.75"/>
    <n v="283"/>
    <n v="1"/>
    <n v="1"/>
  </r>
  <r>
    <m/>
    <m/>
    <x v="1"/>
    <s v="19156129001001"/>
    <n v="-33.6"/>
    <n v="1227"/>
    <n v="1"/>
    <n v="1"/>
  </r>
  <r>
    <m/>
    <m/>
    <x v="1"/>
    <s v="19264796002001"/>
    <n v="-28.97"/>
    <n v="1058"/>
    <n v="1"/>
    <n v="1"/>
  </r>
  <r>
    <m/>
    <m/>
    <x v="1"/>
    <s v="19625257001005"/>
    <n v="-94.21"/>
    <n v="3441"/>
    <n v="1"/>
    <n v="1"/>
  </r>
  <r>
    <m/>
    <m/>
    <x v="1"/>
    <s v="20242520001001"/>
    <n v="-14.92"/>
    <n v="545"/>
    <n v="1"/>
    <n v="1"/>
  </r>
  <r>
    <m/>
    <m/>
    <x v="1"/>
    <s v="20263571001001"/>
    <n v="-21.66"/>
    <n v="791"/>
    <n v="1"/>
    <n v="1"/>
  </r>
  <r>
    <m/>
    <m/>
    <x v="1"/>
    <s v="20283219003003"/>
    <n v="-55.17"/>
    <n v="2015"/>
    <n v="1"/>
    <n v="1"/>
  </r>
  <r>
    <m/>
    <m/>
    <x v="1"/>
    <s v="20367566001001"/>
    <n v="-73.73"/>
    <n v="2693"/>
    <n v="1"/>
    <n v="1"/>
  </r>
  <r>
    <m/>
    <m/>
    <x v="1"/>
    <s v="20416812001003"/>
    <n v="-37.92"/>
    <n v="1385"/>
    <n v="1"/>
    <n v="1"/>
  </r>
  <r>
    <m/>
    <m/>
    <x v="1"/>
    <s v="20480851001001"/>
    <n v="-22.62"/>
    <n v="826"/>
    <n v="1"/>
    <n v="1"/>
  </r>
  <r>
    <m/>
    <m/>
    <x v="1"/>
    <s v="20683934001002"/>
    <n v="-52.08"/>
    <n v="1902"/>
    <n v="1"/>
    <n v="1"/>
  </r>
  <r>
    <m/>
    <m/>
    <x v="1"/>
    <s v="20802406001001"/>
    <n v="-28.34"/>
    <n v="1035"/>
    <n v="1"/>
    <n v="1"/>
  </r>
  <r>
    <m/>
    <m/>
    <x v="1"/>
    <s v="21045838003008"/>
    <n v="-28.8"/>
    <n v="1052"/>
    <n v="1"/>
    <n v="1"/>
  </r>
  <r>
    <m/>
    <m/>
    <x v="1"/>
    <s v="21046205001001"/>
    <n v="-8.52"/>
    <n v="311"/>
    <n v="1"/>
    <n v="1"/>
  </r>
  <r>
    <m/>
    <m/>
    <x v="1"/>
    <s v="21219326001001"/>
    <n v="-116.12"/>
    <n v="4241"/>
    <n v="1"/>
    <n v="1"/>
  </r>
  <r>
    <m/>
    <m/>
    <x v="1"/>
    <s v="21418321004001"/>
    <n v="-3.31"/>
    <n v="121"/>
    <n v="1"/>
    <n v="1"/>
  </r>
  <r>
    <m/>
    <m/>
    <x v="1"/>
    <s v="21429755001006"/>
    <n v="-10.92"/>
    <n v="399"/>
    <n v="1"/>
    <n v="1"/>
  </r>
  <r>
    <m/>
    <m/>
    <x v="1"/>
    <s v="21530313001003"/>
    <n v="-19.25"/>
    <n v="703"/>
    <n v="1"/>
    <n v="1"/>
  </r>
  <r>
    <m/>
    <m/>
    <x v="1"/>
    <s v="21555911001001"/>
    <n v="-44.96"/>
    <n v="1642"/>
    <n v="1"/>
    <n v="1"/>
  </r>
  <r>
    <m/>
    <m/>
    <x v="1"/>
    <s v="21809926001003"/>
    <n v="-21.79"/>
    <n v="796"/>
    <n v="1"/>
    <n v="1"/>
  </r>
  <r>
    <m/>
    <m/>
    <x v="1"/>
    <s v="21943625001001"/>
    <n v="-16.399999999999999"/>
    <n v="599"/>
    <n v="1"/>
    <n v="1"/>
  </r>
  <r>
    <m/>
    <m/>
    <x v="1"/>
    <s v="22064595001002"/>
    <n v="-7.58"/>
    <n v="277"/>
    <n v="1"/>
    <n v="1"/>
  </r>
  <r>
    <m/>
    <m/>
    <x v="1"/>
    <s v="22106063002001"/>
    <n v="-34.659999999999997"/>
    <n v="1266"/>
    <n v="1"/>
    <n v="1"/>
  </r>
  <r>
    <m/>
    <m/>
    <x v="1"/>
    <s v="22380133001001"/>
    <n v="-48.96"/>
    <n v="1788"/>
    <n v="1"/>
    <n v="1"/>
  </r>
  <r>
    <m/>
    <m/>
    <x v="1"/>
    <s v="22617306001001"/>
    <n v="-21.99"/>
    <n v="803"/>
    <n v="1"/>
    <n v="1"/>
  </r>
  <r>
    <m/>
    <m/>
    <x v="1"/>
    <s v="22642605006001"/>
    <n v="-83.4"/>
    <n v="3046"/>
    <n v="1"/>
    <n v="1"/>
  </r>
  <r>
    <m/>
    <m/>
    <x v="1"/>
    <s v="22784555001001"/>
    <n v="-29.82"/>
    <n v="1089"/>
    <n v="1"/>
    <n v="1"/>
  </r>
  <r>
    <m/>
    <m/>
    <x v="1"/>
    <s v="22793293001002"/>
    <n v="-12.49"/>
    <n v="456"/>
    <n v="1"/>
    <n v="1"/>
  </r>
  <r>
    <m/>
    <m/>
    <x v="1"/>
    <s v="22837225001002"/>
    <n v="-37.29"/>
    <n v="1362"/>
    <n v="1"/>
    <n v="1"/>
  </r>
  <r>
    <m/>
    <m/>
    <x v="1"/>
    <s v="22849605001001"/>
    <n v="-88.63"/>
    <n v="3237"/>
    <n v="1"/>
    <n v="1"/>
  </r>
  <r>
    <m/>
    <m/>
    <x v="1"/>
    <s v="23407345001001"/>
    <n v="-25.27"/>
    <n v="923"/>
    <n v="1"/>
    <n v="1"/>
  </r>
  <r>
    <m/>
    <m/>
    <x v="1"/>
    <s v="23572773001002"/>
    <n v="-27.16"/>
    <n v="992"/>
    <n v="1"/>
    <n v="1"/>
  </r>
  <r>
    <m/>
    <m/>
    <x v="1"/>
    <s v="24288214001003"/>
    <n v="-29.9"/>
    <n v="1092"/>
    <n v="1"/>
    <n v="1"/>
  </r>
  <r>
    <m/>
    <m/>
    <x v="1"/>
    <s v="24488041001001"/>
    <n v="-41.62"/>
    <n v="1520"/>
    <n v="1"/>
    <n v="1"/>
  </r>
  <r>
    <m/>
    <m/>
    <x v="1"/>
    <s v="24497890004003"/>
    <n v="-9.8000000000000007"/>
    <n v="358"/>
    <n v="1"/>
    <n v="1"/>
  </r>
  <r>
    <m/>
    <m/>
    <x v="1"/>
    <s v="24516542001001"/>
    <n v="-10.54"/>
    <n v="385"/>
    <n v="1"/>
    <n v="1"/>
  </r>
  <r>
    <m/>
    <m/>
    <x v="1"/>
    <s v="24596484001001"/>
    <n v="-7.86"/>
    <n v="287"/>
    <n v="1"/>
    <n v="1"/>
  </r>
  <r>
    <m/>
    <m/>
    <x v="1"/>
    <s v="24717192001004"/>
    <n v="-31.13"/>
    <n v="1137"/>
    <n v="1"/>
    <n v="1"/>
  </r>
  <r>
    <m/>
    <m/>
    <x v="1"/>
    <s v="24897958001001"/>
    <n v="-25.24"/>
    <n v="922"/>
    <n v="1"/>
    <n v="1"/>
  </r>
  <r>
    <m/>
    <m/>
    <x v="1"/>
    <s v="25004556001001"/>
    <n v="-49.15"/>
    <n v="1795"/>
    <n v="1"/>
    <n v="1"/>
  </r>
  <r>
    <m/>
    <m/>
    <x v="1"/>
    <s v="25126731001002"/>
    <n v="-28.09"/>
    <n v="1026"/>
    <n v="1"/>
    <n v="1"/>
  </r>
  <r>
    <m/>
    <m/>
    <x v="1"/>
    <s v="25549425001001"/>
    <n v="-58.16"/>
    <n v="2124"/>
    <n v="1"/>
    <n v="1"/>
  </r>
  <r>
    <m/>
    <m/>
    <x v="1"/>
    <s v="25577769001001"/>
    <n v="-10.57"/>
    <n v="386"/>
    <n v="1"/>
    <n v="1"/>
  </r>
  <r>
    <m/>
    <m/>
    <x v="1"/>
    <s v="25747866004001"/>
    <n v="-4.3499999999999996"/>
    <n v="159"/>
    <n v="1"/>
    <n v="1"/>
  </r>
  <r>
    <m/>
    <m/>
    <x v="1"/>
    <s v="25782349001008"/>
    <n v="-3.64"/>
    <n v="133"/>
    <n v="1"/>
    <n v="1"/>
  </r>
  <r>
    <m/>
    <m/>
    <x v="1"/>
    <s v="25810340001001"/>
    <n v="-59.96"/>
    <n v="2190"/>
    <n v="1"/>
    <n v="1"/>
  </r>
  <r>
    <m/>
    <m/>
    <x v="1"/>
    <s v="25915661001001"/>
    <n v="-49.37"/>
    <n v="1803"/>
    <n v="1"/>
    <n v="1"/>
  </r>
  <r>
    <m/>
    <m/>
    <x v="1"/>
    <s v="26054021001002"/>
    <n v="-21.41"/>
    <n v="782"/>
    <n v="1"/>
    <n v="1"/>
  </r>
  <r>
    <m/>
    <m/>
    <x v="1"/>
    <s v="26083422001005"/>
    <n v="-10.32"/>
    <n v="377"/>
    <n v="1"/>
    <n v="1"/>
  </r>
  <r>
    <m/>
    <m/>
    <x v="1"/>
    <s v="26176102001007"/>
    <n v="-9.61"/>
    <n v="351"/>
    <n v="1"/>
    <n v="1"/>
  </r>
  <r>
    <m/>
    <m/>
    <x v="1"/>
    <s v="26300310001002"/>
    <n v="-2.11"/>
    <n v="77"/>
    <n v="1"/>
    <n v="1"/>
  </r>
  <r>
    <m/>
    <m/>
    <x v="1"/>
    <s v="26406770002001"/>
    <n v="-41.45"/>
    <n v="1514"/>
    <n v="1"/>
    <n v="1"/>
  </r>
  <r>
    <m/>
    <m/>
    <x v="1"/>
    <s v="26564429001001"/>
    <n v="-2"/>
    <n v="73"/>
    <n v="1"/>
    <n v="1"/>
  </r>
  <r>
    <m/>
    <m/>
    <x v="1"/>
    <s v="26702999001001"/>
    <n v="-44.14"/>
    <n v="1612"/>
    <n v="1"/>
    <n v="1"/>
  </r>
  <r>
    <m/>
    <m/>
    <x v="1"/>
    <s v="26826704001001"/>
    <n v="-75.3"/>
    <n v="2750"/>
    <n v="1"/>
    <n v="1"/>
  </r>
  <r>
    <m/>
    <m/>
    <x v="1"/>
    <s v="27035079002007"/>
    <n v="-13.72"/>
    <n v="501"/>
    <n v="1"/>
    <n v="1"/>
  </r>
  <r>
    <m/>
    <m/>
    <x v="1"/>
    <s v="27279459006007"/>
    <n v="-0.08"/>
    <n v="3"/>
    <n v="1"/>
    <n v="1"/>
  </r>
  <r>
    <m/>
    <m/>
    <x v="1"/>
    <s v="27356342001008"/>
    <n v="-22.15"/>
    <n v="809"/>
    <n v="1"/>
    <n v="1"/>
  </r>
  <r>
    <m/>
    <m/>
    <x v="1"/>
    <s v="27378709001002"/>
    <n v="-56.07"/>
    <n v="2048"/>
    <n v="1"/>
    <n v="1"/>
  </r>
  <r>
    <m/>
    <m/>
    <x v="1"/>
    <s v="27457180001003"/>
    <n v="-49.69"/>
    <n v="1815"/>
    <n v="1"/>
    <n v="1"/>
  </r>
  <r>
    <m/>
    <m/>
    <x v="1"/>
    <s v="27492583001002"/>
    <n v="-11.99"/>
    <n v="438"/>
    <n v="1"/>
    <n v="1"/>
  </r>
  <r>
    <m/>
    <m/>
    <x v="1"/>
    <s v="27623010002002"/>
    <n v="-35.92"/>
    <n v="1312"/>
    <n v="1"/>
    <n v="1"/>
  </r>
  <r>
    <m/>
    <m/>
    <x v="1"/>
    <s v="27757021006001"/>
    <n v="-29.19"/>
    <n v="1066"/>
    <n v="1"/>
    <n v="1"/>
  </r>
  <r>
    <m/>
    <m/>
    <x v="1"/>
    <s v="27759845001003"/>
    <n v="-47.86"/>
    <n v="1748"/>
    <n v="1"/>
    <n v="1"/>
  </r>
  <r>
    <m/>
    <m/>
    <x v="1"/>
    <s v="27949688001001"/>
    <n v="-27.11"/>
    <n v="990"/>
    <n v="1"/>
    <n v="1"/>
  </r>
  <r>
    <m/>
    <m/>
    <x v="1"/>
    <s v="27986038001001"/>
    <n v="-77.209999999999994"/>
    <n v="2820"/>
    <n v="1"/>
    <n v="1"/>
  </r>
  <r>
    <m/>
    <m/>
    <x v="1"/>
    <s v="27991196001001"/>
    <n v="-29.6"/>
    <n v="1081"/>
    <n v="1"/>
    <n v="1"/>
  </r>
  <r>
    <m/>
    <m/>
    <x v="1"/>
    <s v="28227700001002"/>
    <n v="-30.64"/>
    <n v="1119"/>
    <n v="1"/>
    <n v="1"/>
  </r>
  <r>
    <m/>
    <m/>
    <x v="1"/>
    <s v="28293045001006"/>
    <n v="-14.29"/>
    <n v="522"/>
    <n v="1"/>
    <n v="1"/>
  </r>
  <r>
    <m/>
    <m/>
    <x v="1"/>
    <s v="28477040001004"/>
    <n v="-13.12"/>
    <n v="479"/>
    <n v="1"/>
    <n v="1"/>
  </r>
  <r>
    <m/>
    <m/>
    <x v="1"/>
    <s v="28758621002006"/>
    <n v="-19.690000000000001"/>
    <n v="719"/>
    <n v="1"/>
    <n v="1"/>
  </r>
  <r>
    <m/>
    <m/>
    <x v="1"/>
    <s v="28937856003001"/>
    <n v="-35.51"/>
    <n v="1297"/>
    <n v="1"/>
    <n v="1"/>
  </r>
  <r>
    <m/>
    <m/>
    <x v="1"/>
    <s v="29786462001001"/>
    <n v="-32.72"/>
    <n v="1195"/>
    <n v="1"/>
    <n v="1"/>
  </r>
  <r>
    <m/>
    <m/>
    <x v="1"/>
    <s v="30127101002001"/>
    <n v="-10.68"/>
    <n v="390"/>
    <n v="1"/>
    <n v="1"/>
  </r>
  <r>
    <m/>
    <m/>
    <x v="1"/>
    <s v="30133433001001"/>
    <n v="-26.81"/>
    <n v="979"/>
    <n v="1"/>
    <n v="1"/>
  </r>
  <r>
    <m/>
    <m/>
    <x v="1"/>
    <s v="30249803005001"/>
    <n v="-51.94"/>
    <n v="1897"/>
    <n v="1"/>
    <n v="1"/>
  </r>
  <r>
    <m/>
    <m/>
    <x v="1"/>
    <s v="30842696001001"/>
    <n v="-29.76"/>
    <n v="1087"/>
    <n v="1"/>
    <n v="1"/>
  </r>
  <r>
    <m/>
    <m/>
    <x v="1"/>
    <s v="30947723001004"/>
    <n v="-41.95"/>
    <n v="1532"/>
    <n v="1"/>
    <n v="1"/>
  </r>
  <r>
    <m/>
    <m/>
    <x v="1"/>
    <s v="31266211001004"/>
    <n v="-34.94"/>
    <n v="1276"/>
    <n v="1"/>
    <n v="1"/>
  </r>
  <r>
    <m/>
    <m/>
    <x v="1"/>
    <s v="31309940001001"/>
    <n v="-35.869999999999997"/>
    <n v="1310"/>
    <n v="1"/>
    <n v="1"/>
  </r>
  <r>
    <m/>
    <m/>
    <x v="1"/>
    <s v="31641990001004"/>
    <n v="-55.72"/>
    <n v="2035"/>
    <n v="1"/>
    <n v="1"/>
  </r>
  <r>
    <m/>
    <m/>
    <x v="1"/>
    <s v="31945371001001"/>
    <n v="-22.81"/>
    <n v="833"/>
    <n v="1"/>
    <n v="1"/>
  </r>
  <r>
    <m/>
    <m/>
    <x v="1"/>
    <s v="32202242001001"/>
    <n v="-7.99"/>
    <n v="292"/>
    <n v="1"/>
    <n v="1"/>
  </r>
  <r>
    <m/>
    <m/>
    <x v="1"/>
    <s v="32579187001001"/>
    <n v="-28.01"/>
    <n v="1023"/>
    <n v="1"/>
    <n v="1"/>
  </r>
  <r>
    <m/>
    <m/>
    <x v="1"/>
    <s v="32822815001001"/>
    <n v="-37.65"/>
    <n v="1375"/>
    <n v="1"/>
    <n v="1"/>
  </r>
  <r>
    <m/>
    <m/>
    <x v="1"/>
    <s v="33406654004008"/>
    <n v="-41.1"/>
    <n v="1501"/>
    <n v="1"/>
    <n v="1"/>
  </r>
  <r>
    <m/>
    <m/>
    <x v="1"/>
    <s v="33550060001001"/>
    <n v="-23.16"/>
    <n v="846"/>
    <n v="1"/>
    <n v="1"/>
  </r>
  <r>
    <m/>
    <m/>
    <x v="1"/>
    <s v="33599323001007"/>
    <n v="-32.61"/>
    <n v="1191"/>
    <n v="1"/>
    <n v="1"/>
  </r>
  <r>
    <m/>
    <m/>
    <x v="1"/>
    <s v="33610753004001"/>
    <n v="-87.78"/>
    <n v="3206"/>
    <n v="1"/>
    <n v="1"/>
  </r>
  <r>
    <m/>
    <m/>
    <x v="1"/>
    <s v="33642246001005"/>
    <n v="-18.43"/>
    <n v="673"/>
    <n v="1"/>
    <n v="1"/>
  </r>
  <r>
    <m/>
    <m/>
    <x v="1"/>
    <s v="33687453001001"/>
    <n v="-48.41"/>
    <n v="1768"/>
    <n v="1"/>
    <n v="1"/>
  </r>
  <r>
    <m/>
    <m/>
    <x v="1"/>
    <s v="33784073004004"/>
    <n v="-64.12"/>
    <n v="2342"/>
    <n v="1"/>
    <n v="1"/>
  </r>
  <r>
    <m/>
    <m/>
    <x v="1"/>
    <s v="33824960001003"/>
    <n v="-45.7"/>
    <n v="1669"/>
    <n v="1"/>
    <n v="1"/>
  </r>
  <r>
    <m/>
    <m/>
    <x v="1"/>
    <s v="33829956002003"/>
    <n v="-33.24"/>
    <n v="1214"/>
    <n v="1"/>
    <n v="1"/>
  </r>
  <r>
    <m/>
    <m/>
    <x v="1"/>
    <s v="33918140005001"/>
    <n v="-49.78"/>
    <n v="1818"/>
    <n v="1"/>
    <n v="1"/>
  </r>
  <r>
    <m/>
    <m/>
    <x v="1"/>
    <s v="34024657001003"/>
    <n v="-105.17"/>
    <n v="3841"/>
    <n v="1"/>
    <n v="1"/>
  </r>
  <r>
    <m/>
    <m/>
    <x v="1"/>
    <s v="34181343001001"/>
    <n v="-43.18"/>
    <n v="1577"/>
    <n v="1"/>
    <n v="1"/>
  </r>
  <r>
    <m/>
    <m/>
    <x v="1"/>
    <s v="34494485004001"/>
    <n v="-61.03"/>
    <n v="2229"/>
    <n v="1"/>
    <n v="1"/>
  </r>
  <r>
    <m/>
    <m/>
    <x v="1"/>
    <s v="34671364002001"/>
    <n v="-17.329999999999998"/>
    <n v="633"/>
    <n v="1"/>
    <n v="1"/>
  </r>
  <r>
    <m/>
    <m/>
    <x v="1"/>
    <s v="34758238001001"/>
    <n v="-21.16"/>
    <n v="773"/>
    <n v="1"/>
    <n v="1"/>
  </r>
  <r>
    <m/>
    <m/>
    <x v="1"/>
    <s v="34795801001004"/>
    <n v="-2.41"/>
    <n v="88"/>
    <n v="1"/>
    <n v="1"/>
  </r>
  <r>
    <m/>
    <m/>
    <x v="1"/>
    <s v="34861184002001"/>
    <n v="-83.65"/>
    <n v="3055"/>
    <n v="1"/>
    <n v="1"/>
  </r>
  <r>
    <m/>
    <m/>
    <x v="1"/>
    <s v="34874155001002"/>
    <n v="-12.57"/>
    <n v="459"/>
    <n v="1"/>
    <n v="1"/>
  </r>
  <r>
    <m/>
    <m/>
    <x v="1"/>
    <s v="35345438001001"/>
    <n v="-30.36"/>
    <n v="1109"/>
    <n v="1"/>
    <n v="1"/>
  </r>
  <r>
    <m/>
    <m/>
    <x v="1"/>
    <s v="35508083001003"/>
    <n v="-0.05"/>
    <n v="2"/>
    <n v="1"/>
    <n v="1"/>
  </r>
  <r>
    <m/>
    <m/>
    <x v="1"/>
    <s v="35696004001001"/>
    <n v="-64.400000000000006"/>
    <n v="2352"/>
    <n v="1"/>
    <n v="1"/>
  </r>
  <r>
    <m/>
    <m/>
    <x v="1"/>
    <s v="35934041001007"/>
    <n v="-6.82"/>
    <n v="249"/>
    <n v="1"/>
    <n v="1"/>
  </r>
  <r>
    <m/>
    <m/>
    <x v="1"/>
    <s v="35958850001005"/>
    <n v="-10.210000000000001"/>
    <n v="373"/>
    <n v="1"/>
    <n v="1"/>
  </r>
  <r>
    <m/>
    <m/>
    <x v="1"/>
    <s v="35994242001002"/>
    <n v="-48.33"/>
    <n v="1765"/>
    <n v="1"/>
    <n v="1"/>
  </r>
  <r>
    <m/>
    <m/>
    <x v="1"/>
    <s v="36008083001001"/>
    <n v="-33.92"/>
    <n v="1239"/>
    <n v="1"/>
    <n v="1"/>
  </r>
  <r>
    <m/>
    <m/>
    <x v="1"/>
    <s v="36103245002011"/>
    <n v="-74.17"/>
    <n v="2709"/>
    <n v="1"/>
    <n v="1"/>
  </r>
  <r>
    <m/>
    <m/>
    <x v="1"/>
    <s v="36557126001001"/>
    <n v="-10.38"/>
    <n v="379"/>
    <n v="1"/>
    <n v="1"/>
  </r>
  <r>
    <m/>
    <m/>
    <x v="1"/>
    <s v="36713764001001"/>
    <n v="-31.35"/>
    <n v="1145"/>
    <n v="1"/>
    <n v="1"/>
  </r>
  <r>
    <m/>
    <m/>
    <x v="1"/>
    <s v="37389778001008"/>
    <n v="-6.82"/>
    <n v="249"/>
    <n v="1"/>
    <n v="1"/>
  </r>
  <r>
    <m/>
    <m/>
    <x v="1"/>
    <s v="37403625004001"/>
    <n v="-85.92"/>
    <n v="3138"/>
    <n v="1"/>
    <n v="1"/>
  </r>
  <r>
    <m/>
    <m/>
    <x v="1"/>
    <s v="37546855001001"/>
    <n v="-31.79"/>
    <n v="1161"/>
    <n v="1"/>
    <n v="1"/>
  </r>
  <r>
    <m/>
    <m/>
    <x v="1"/>
    <s v="37562851001001"/>
    <n v="-32.42"/>
    <n v="1184"/>
    <n v="1"/>
    <n v="1"/>
  </r>
  <r>
    <m/>
    <m/>
    <x v="1"/>
    <s v="37568875001003"/>
    <n v="-20.67"/>
    <n v="755"/>
    <n v="1"/>
    <n v="1"/>
  </r>
  <r>
    <m/>
    <m/>
    <x v="1"/>
    <s v="37597820001001"/>
    <n v="-37.020000000000003"/>
    <n v="1352"/>
    <n v="1"/>
    <n v="1"/>
  </r>
  <r>
    <m/>
    <m/>
    <x v="1"/>
    <s v="37726680001001"/>
    <n v="-66.040000000000006"/>
    <n v="2412"/>
    <n v="1"/>
    <n v="1"/>
  </r>
  <r>
    <m/>
    <m/>
    <x v="1"/>
    <s v="37921865001003"/>
    <n v="-6.98"/>
    <n v="255"/>
    <n v="1"/>
    <n v="1"/>
  </r>
  <r>
    <m/>
    <m/>
    <x v="1"/>
    <s v="38003358004003"/>
    <n v="-26.26"/>
    <n v="959"/>
    <n v="1"/>
    <n v="1"/>
  </r>
  <r>
    <m/>
    <m/>
    <x v="1"/>
    <s v="38014563001003"/>
    <n v="-49.26"/>
    <n v="1799"/>
    <n v="1"/>
    <n v="1"/>
  </r>
  <r>
    <m/>
    <m/>
    <x v="1"/>
    <s v="38075496001014"/>
    <n v="-60.43"/>
    <n v="2207"/>
    <n v="1"/>
    <n v="1"/>
  </r>
  <r>
    <m/>
    <m/>
    <x v="1"/>
    <s v="38132797001001"/>
    <n v="-81.540000000000006"/>
    <n v="2978"/>
    <n v="1"/>
    <n v="1"/>
  </r>
  <r>
    <m/>
    <m/>
    <x v="1"/>
    <s v="38169778001001"/>
    <n v="-54.84"/>
    <n v="2003"/>
    <n v="1"/>
    <n v="1"/>
  </r>
  <r>
    <m/>
    <m/>
    <x v="1"/>
    <s v="38245625004003"/>
    <n v="-72.56"/>
    <n v="2650"/>
    <n v="1"/>
    <n v="1"/>
  </r>
  <r>
    <m/>
    <m/>
    <x v="1"/>
    <s v="38301543001001"/>
    <n v="-46.11"/>
    <n v="1684"/>
    <n v="1"/>
    <n v="1"/>
  </r>
  <r>
    <m/>
    <m/>
    <x v="1"/>
    <s v="38375971001010"/>
    <n v="-0.27"/>
    <n v="10"/>
    <n v="1"/>
    <n v="1"/>
  </r>
  <r>
    <m/>
    <m/>
    <x v="1"/>
    <s v="38431217001001"/>
    <n v="-44.93"/>
    <n v="1641"/>
    <n v="1"/>
    <n v="1"/>
  </r>
  <r>
    <m/>
    <m/>
    <x v="1"/>
    <s v="38815004001003"/>
    <n v="-48.68"/>
    <n v="1778"/>
    <n v="1"/>
    <n v="1"/>
  </r>
  <r>
    <m/>
    <m/>
    <x v="1"/>
    <s v="39306286001005"/>
    <n v="-18.29"/>
    <n v="668"/>
    <n v="1"/>
    <n v="1"/>
  </r>
  <r>
    <m/>
    <m/>
    <x v="1"/>
    <s v="39314816001001"/>
    <n v="-0.52"/>
    <n v="19"/>
    <n v="1"/>
    <n v="1"/>
  </r>
  <r>
    <m/>
    <m/>
    <x v="1"/>
    <s v="39322194001002"/>
    <n v="-51.72"/>
    <n v="1889"/>
    <n v="1"/>
    <n v="1"/>
  </r>
  <r>
    <m/>
    <m/>
    <x v="1"/>
    <s v="39860007001003"/>
    <n v="-34.44"/>
    <n v="1258"/>
    <n v="1"/>
    <n v="1"/>
  </r>
  <r>
    <m/>
    <m/>
    <x v="1"/>
    <s v="40054017001004"/>
    <n v="-24.83"/>
    <n v="907"/>
    <n v="1"/>
    <n v="1"/>
  </r>
  <r>
    <m/>
    <m/>
    <x v="1"/>
    <s v="40139824001001"/>
    <n v="-23.68"/>
    <n v="865"/>
    <n v="1"/>
    <n v="1"/>
  </r>
  <r>
    <m/>
    <m/>
    <x v="1"/>
    <s v="40187844001001"/>
    <n v="-8.57"/>
    <n v="313"/>
    <n v="1"/>
    <n v="1"/>
  </r>
  <r>
    <m/>
    <m/>
    <x v="1"/>
    <s v="40302520001002"/>
    <n v="-8.82"/>
    <n v="322"/>
    <n v="1"/>
    <n v="1"/>
  </r>
  <r>
    <m/>
    <m/>
    <x v="1"/>
    <s v="40601469001003"/>
    <n v="-47.04"/>
    <n v="1718"/>
    <n v="1"/>
    <n v="1"/>
  </r>
  <r>
    <m/>
    <m/>
    <x v="1"/>
    <s v="40694900001003"/>
    <n v="-25.85"/>
    <n v="944"/>
    <n v="1"/>
    <n v="1"/>
  </r>
  <r>
    <m/>
    <m/>
    <x v="1"/>
    <s v="40702084001003"/>
    <n v="-32.31"/>
    <n v="1180"/>
    <n v="1"/>
    <n v="1"/>
  </r>
  <r>
    <m/>
    <m/>
    <x v="1"/>
    <s v="40821513003001"/>
    <n v="-28.58"/>
    <n v="1044"/>
    <n v="1"/>
    <n v="1"/>
  </r>
  <r>
    <m/>
    <m/>
    <x v="1"/>
    <s v="40913214001003"/>
    <n v="-0.85"/>
    <n v="31"/>
    <n v="1"/>
    <n v="1"/>
  </r>
  <r>
    <m/>
    <m/>
    <x v="1"/>
    <s v="40940003001003"/>
    <n v="-59.52"/>
    <n v="2174"/>
    <n v="1"/>
    <n v="1"/>
  </r>
  <r>
    <m/>
    <m/>
    <x v="1"/>
    <s v="41147142001001"/>
    <n v="-43.75"/>
    <n v="1598"/>
    <n v="1"/>
    <n v="1"/>
  </r>
  <r>
    <m/>
    <m/>
    <x v="1"/>
    <s v="41291991001001"/>
    <n v="-42.79"/>
    <n v="1563"/>
    <n v="1"/>
    <n v="1"/>
  </r>
  <r>
    <m/>
    <m/>
    <x v="1"/>
    <s v="41541188001001"/>
    <n v="-37.07"/>
    <n v="1354"/>
    <n v="1"/>
    <n v="1"/>
  </r>
  <r>
    <m/>
    <m/>
    <x v="1"/>
    <s v="41547054001001"/>
    <n v="-14.68"/>
    <n v="536"/>
    <n v="1"/>
    <n v="1"/>
  </r>
  <r>
    <m/>
    <m/>
    <x v="1"/>
    <s v="41547810001001"/>
    <n v="-9.0399999999999991"/>
    <n v="330"/>
    <n v="1"/>
    <n v="1"/>
  </r>
  <r>
    <m/>
    <m/>
    <x v="1"/>
    <s v="41580871001004"/>
    <n v="-65.709999999999994"/>
    <n v="2400"/>
    <n v="1"/>
    <n v="1"/>
  </r>
  <r>
    <m/>
    <m/>
    <x v="1"/>
    <s v="41605082002003"/>
    <n v="-19.850000000000001"/>
    <n v="725"/>
    <n v="1"/>
    <n v="1"/>
  </r>
  <r>
    <m/>
    <m/>
    <x v="1"/>
    <s v="42015855001008"/>
    <n v="-14.26"/>
    <n v="521"/>
    <n v="1"/>
    <n v="1"/>
  </r>
  <r>
    <m/>
    <m/>
    <x v="1"/>
    <s v="42053353001001"/>
    <n v="-25.79"/>
    <n v="942"/>
    <n v="1"/>
    <n v="1"/>
  </r>
  <r>
    <m/>
    <m/>
    <x v="1"/>
    <s v="42073484003001"/>
    <n v="-46.3"/>
    <n v="1691"/>
    <n v="1"/>
    <n v="1"/>
  </r>
  <r>
    <m/>
    <m/>
    <x v="1"/>
    <s v="42099598001001"/>
    <n v="-24.42"/>
    <n v="892"/>
    <n v="1"/>
    <n v="1"/>
  </r>
  <r>
    <m/>
    <m/>
    <x v="1"/>
    <s v="42453517001001"/>
    <n v="-22.45"/>
    <n v="820"/>
    <n v="1"/>
    <n v="1"/>
  </r>
  <r>
    <m/>
    <m/>
    <x v="1"/>
    <s v="42490701001001"/>
    <n v="-3.67"/>
    <n v="134"/>
    <n v="1"/>
    <n v="1"/>
  </r>
  <r>
    <m/>
    <m/>
    <x v="1"/>
    <s v="42502321001005"/>
    <n v="-13.42"/>
    <n v="490"/>
    <n v="1"/>
    <n v="1"/>
  </r>
  <r>
    <m/>
    <m/>
    <x v="1"/>
    <s v="42503511001002"/>
    <n v="-22.1"/>
    <n v="807"/>
    <n v="1"/>
    <n v="1"/>
  </r>
  <r>
    <m/>
    <m/>
    <x v="1"/>
    <s v="42503651001002"/>
    <n v="-73.680000000000007"/>
    <n v="2691"/>
    <n v="1"/>
    <n v="1"/>
  </r>
  <r>
    <m/>
    <m/>
    <x v="1"/>
    <s v="42503721001001"/>
    <n v="-28.97"/>
    <n v="1058"/>
    <n v="1"/>
    <n v="1"/>
  </r>
  <r>
    <m/>
    <m/>
    <x v="1"/>
    <s v="42514151001004"/>
    <n v="-3.67"/>
    <n v="134"/>
    <n v="1"/>
    <n v="1"/>
  </r>
  <r>
    <m/>
    <m/>
    <x v="1"/>
    <s v="42523951001001"/>
    <n v="-12.73"/>
    <n v="465"/>
    <n v="1"/>
    <n v="1"/>
  </r>
  <r>
    <m/>
    <m/>
    <x v="1"/>
    <s v="42539421001001"/>
    <n v="-14.21"/>
    <n v="519"/>
    <n v="1"/>
    <n v="1"/>
  </r>
  <r>
    <m/>
    <m/>
    <x v="1"/>
    <s v="42543901001001"/>
    <n v="-34.01"/>
    <n v="1242"/>
    <n v="1"/>
    <n v="1"/>
  </r>
  <r>
    <m/>
    <m/>
    <x v="1"/>
    <s v="42546041001002"/>
    <n v="-12.73"/>
    <n v="465"/>
    <n v="1"/>
    <n v="1"/>
  </r>
  <r>
    <m/>
    <m/>
    <x v="1"/>
    <s v="42569591004003"/>
    <n v="-3.5"/>
    <n v="128"/>
    <n v="1"/>
    <n v="1"/>
  </r>
  <r>
    <m/>
    <m/>
    <x v="1"/>
    <s v="42580441001002"/>
    <n v="-22.86"/>
    <n v="835"/>
    <n v="1"/>
    <n v="1"/>
  </r>
  <r>
    <m/>
    <m/>
    <x v="1"/>
    <s v="42585551001002"/>
    <n v="-34.47"/>
    <n v="1259"/>
    <n v="1"/>
    <n v="1"/>
  </r>
  <r>
    <m/>
    <m/>
    <x v="1"/>
    <s v="42591011001001"/>
    <n v="-41.32"/>
    <n v="1509"/>
    <n v="1"/>
    <n v="1"/>
  </r>
  <r>
    <m/>
    <m/>
    <x v="1"/>
    <s v="42633571002001"/>
    <n v="-10.73"/>
    <n v="392"/>
    <n v="1"/>
    <n v="1"/>
  </r>
  <r>
    <m/>
    <m/>
    <x v="1"/>
    <s v="42637141001007"/>
    <n v="-28.01"/>
    <n v="1023"/>
    <n v="1"/>
    <n v="1"/>
  </r>
  <r>
    <m/>
    <m/>
    <x v="1"/>
    <s v="42646171001006"/>
    <n v="-19.52"/>
    <n v="713"/>
    <n v="1"/>
    <n v="1"/>
  </r>
  <r>
    <m/>
    <m/>
    <x v="1"/>
    <s v="42649951003006"/>
    <n v="-22.1"/>
    <n v="807"/>
    <n v="1"/>
    <n v="1"/>
  </r>
  <r>
    <m/>
    <m/>
    <x v="1"/>
    <s v="42653101001002"/>
    <n v="-13.39"/>
    <n v="489"/>
    <n v="1"/>
    <n v="1"/>
  </r>
  <r>
    <m/>
    <m/>
    <x v="1"/>
    <s v="42653661001001"/>
    <n v="-8.68"/>
    <n v="317"/>
    <n v="1"/>
    <n v="1"/>
  </r>
  <r>
    <m/>
    <m/>
    <x v="1"/>
    <s v="42654081001004"/>
    <n v="-27.41"/>
    <n v="1001"/>
    <n v="1"/>
    <n v="1"/>
  </r>
  <r>
    <m/>
    <m/>
    <x v="1"/>
    <s v="42671651001003"/>
    <n v="-7.78"/>
    <n v="284"/>
    <n v="1"/>
    <n v="1"/>
  </r>
  <r>
    <m/>
    <m/>
    <x v="1"/>
    <s v="42678651001002"/>
    <n v="-48.02"/>
    <n v="1754"/>
    <n v="1"/>
    <n v="1"/>
  </r>
  <r>
    <m/>
    <m/>
    <x v="1"/>
    <s v="42712111003004"/>
    <n v="-34.14"/>
    <n v="1247"/>
    <n v="1"/>
    <n v="1"/>
  </r>
  <r>
    <m/>
    <m/>
    <x v="1"/>
    <s v="42811861001001"/>
    <n v="-80.14"/>
    <n v="2927"/>
    <n v="1"/>
    <n v="1"/>
  </r>
  <r>
    <m/>
    <m/>
    <x v="1"/>
    <s v="42812561001002"/>
    <n v="-35.57"/>
    <n v="1299"/>
    <n v="1"/>
    <n v="1"/>
  </r>
  <r>
    <m/>
    <m/>
    <x v="1"/>
    <s v="42837831001001"/>
    <n v="-0.52"/>
    <n v="19"/>
    <n v="1"/>
    <n v="1"/>
  </r>
  <r>
    <m/>
    <m/>
    <x v="1"/>
    <s v="42888441001001"/>
    <n v="-0.03"/>
    <n v="1"/>
    <n v="1"/>
    <n v="1"/>
  </r>
  <r>
    <m/>
    <m/>
    <x v="1"/>
    <s v="42898451001001"/>
    <n v="-5.5"/>
    <n v="201"/>
    <n v="1"/>
    <n v="1"/>
  </r>
  <r>
    <m/>
    <m/>
    <x v="1"/>
    <s v="42972511001003"/>
    <n v="-16.13"/>
    <n v="589"/>
    <n v="1"/>
    <n v="1"/>
  </r>
  <r>
    <m/>
    <m/>
    <x v="1"/>
    <s v="43016751001009"/>
    <n v="-19.03"/>
    <n v="695"/>
    <n v="1"/>
    <n v="1"/>
  </r>
  <r>
    <m/>
    <m/>
    <x v="1"/>
    <s v="43029771001001"/>
    <n v="-1.1499999999999999"/>
    <n v="42"/>
    <n v="1"/>
    <n v="1"/>
  </r>
  <r>
    <m/>
    <m/>
    <x v="1"/>
    <s v="43036071001003"/>
    <n v="-19.11"/>
    <n v="698"/>
    <n v="1"/>
    <n v="1"/>
  </r>
  <r>
    <m/>
    <m/>
    <x v="1"/>
    <s v="43037331002001"/>
    <n v="-32.880000000000003"/>
    <n v="1201"/>
    <n v="1"/>
    <n v="1"/>
  </r>
  <r>
    <m/>
    <m/>
    <x v="1"/>
    <s v="43067921001001"/>
    <n v="-41.21"/>
    <n v="1505"/>
    <n v="1"/>
    <n v="1"/>
  </r>
  <r>
    <m/>
    <m/>
    <x v="1"/>
    <s v="43081641001002"/>
    <n v="-7.17"/>
    <n v="262"/>
    <n v="1"/>
    <n v="1"/>
  </r>
  <r>
    <m/>
    <m/>
    <x v="1"/>
    <s v="43084721005001"/>
    <n v="-42.25"/>
    <n v="1543"/>
    <n v="1"/>
    <n v="1"/>
  </r>
  <r>
    <m/>
    <m/>
    <x v="1"/>
    <s v="43103551001002"/>
    <n v="-9.91"/>
    <n v="362"/>
    <n v="1"/>
    <n v="1"/>
  </r>
  <r>
    <m/>
    <m/>
    <x v="1"/>
    <s v="43110271002002"/>
    <n v="-9.91"/>
    <n v="362"/>
    <n v="1"/>
    <n v="1"/>
  </r>
  <r>
    <m/>
    <m/>
    <x v="1"/>
    <s v="43191121002003"/>
    <n v="-59.77"/>
    <n v="2183"/>
    <n v="1"/>
    <n v="1"/>
  </r>
  <r>
    <m/>
    <m/>
    <x v="1"/>
    <s v="43201271002001"/>
    <n v="-30.12"/>
    <n v="1100"/>
    <n v="1"/>
    <n v="1"/>
  </r>
  <r>
    <m/>
    <m/>
    <x v="1"/>
    <s v="43210791001004"/>
    <n v="-1.34"/>
    <n v="49"/>
    <n v="1"/>
    <n v="1"/>
  </r>
  <r>
    <m/>
    <m/>
    <x v="1"/>
    <s v="43218351001006"/>
    <n v="-5.59"/>
    <n v="204"/>
    <n v="1"/>
    <n v="1"/>
  </r>
  <r>
    <m/>
    <m/>
    <x v="1"/>
    <s v="43224441001007"/>
    <n v="-29.87"/>
    <n v="1091"/>
    <n v="1"/>
    <n v="1"/>
  </r>
  <r>
    <m/>
    <m/>
    <x v="1"/>
    <s v="43225001001001"/>
    <n v="-31.57"/>
    <n v="1153"/>
    <n v="1"/>
    <n v="1"/>
  </r>
  <r>
    <m/>
    <m/>
    <x v="1"/>
    <s v="43245091005003"/>
    <n v="-26.78"/>
    <n v="978"/>
    <n v="1"/>
    <n v="1"/>
  </r>
  <r>
    <m/>
    <m/>
    <x v="1"/>
    <s v="43257481001001"/>
    <n v="-1.53"/>
    <n v="56"/>
    <n v="1"/>
    <n v="1"/>
  </r>
  <r>
    <m/>
    <m/>
    <x v="1"/>
    <s v="43262451002003"/>
    <n v="-24.94"/>
    <n v="911"/>
    <n v="1"/>
    <n v="1"/>
  </r>
  <r>
    <m/>
    <m/>
    <x v="1"/>
    <s v="43282051003001"/>
    <n v="-17.93"/>
    <n v="655"/>
    <n v="1"/>
    <n v="1"/>
  </r>
  <r>
    <m/>
    <m/>
    <x v="1"/>
    <s v="43282821001002"/>
    <n v="-60.67"/>
    <n v="2216"/>
    <n v="1"/>
    <n v="1"/>
  </r>
  <r>
    <m/>
    <m/>
    <x v="1"/>
    <s v="43291711002001"/>
    <n v="-5.75"/>
    <n v="210"/>
    <n v="1"/>
    <n v="1"/>
  </r>
  <r>
    <m/>
    <m/>
    <x v="1"/>
    <s v="43301912001003"/>
    <n v="-8.08"/>
    <n v="295"/>
    <n v="1"/>
    <n v="1"/>
  </r>
  <r>
    <m/>
    <m/>
    <x v="1"/>
    <s v="43334201001001"/>
    <n v="-28.09"/>
    <n v="1026"/>
    <n v="1"/>
    <n v="1"/>
  </r>
  <r>
    <m/>
    <m/>
    <x v="1"/>
    <s v="43346241001002"/>
    <n v="-22.01"/>
    <n v="804"/>
    <n v="1"/>
    <n v="1"/>
  </r>
  <r>
    <m/>
    <m/>
    <x v="1"/>
    <s v="43347711001001"/>
    <n v="-48.54"/>
    <n v="1773"/>
    <n v="1"/>
    <n v="1"/>
  </r>
  <r>
    <m/>
    <m/>
    <x v="1"/>
    <s v="43363111001003"/>
    <n v="-71.569999999999993"/>
    <n v="2614"/>
    <n v="1"/>
    <n v="1"/>
  </r>
  <r>
    <m/>
    <m/>
    <x v="1"/>
    <s v="43430451001001"/>
    <n v="-12.62"/>
    <n v="461"/>
    <n v="1"/>
    <n v="1"/>
  </r>
  <r>
    <m/>
    <m/>
    <x v="1"/>
    <s v="43485650001007"/>
    <n v="-44.96"/>
    <n v="1642"/>
    <n v="1"/>
    <n v="1"/>
  </r>
  <r>
    <m/>
    <m/>
    <x v="1"/>
    <s v="43530621001001"/>
    <n v="-70.45"/>
    <n v="2573"/>
    <n v="1"/>
    <n v="1"/>
  </r>
  <r>
    <m/>
    <m/>
    <x v="1"/>
    <s v="43581441001001"/>
    <n v="-39.15"/>
    <n v="1430"/>
    <n v="1"/>
    <n v="1"/>
  </r>
  <r>
    <m/>
    <m/>
    <x v="1"/>
    <s v="43586831001002"/>
    <n v="-38.03"/>
    <n v="1389"/>
    <n v="1"/>
    <n v="1"/>
  </r>
  <r>
    <m/>
    <m/>
    <x v="1"/>
    <s v="43611771001002"/>
    <n v="-38.72"/>
    <n v="1414"/>
    <n v="1"/>
    <n v="1"/>
  </r>
  <r>
    <m/>
    <m/>
    <x v="1"/>
    <s v="43678461001003"/>
    <n v="-3.86"/>
    <n v="141"/>
    <n v="1"/>
    <n v="1"/>
  </r>
  <r>
    <m/>
    <m/>
    <x v="1"/>
    <s v="43688479001001"/>
    <n v="-22.97"/>
    <n v="839"/>
    <n v="1"/>
    <n v="1"/>
  </r>
  <r>
    <m/>
    <m/>
    <x v="1"/>
    <s v="43696731001001"/>
    <n v="-40.17"/>
    <n v="1467"/>
    <n v="1"/>
    <n v="1"/>
  </r>
  <r>
    <m/>
    <m/>
    <x v="1"/>
    <s v="43721161001001"/>
    <n v="-46.79"/>
    <n v="1709"/>
    <n v="1"/>
    <n v="1"/>
  </r>
  <r>
    <m/>
    <m/>
    <x v="1"/>
    <s v="43769391008001"/>
    <n v="-6.32"/>
    <n v="231"/>
    <n v="1"/>
    <n v="1"/>
  </r>
  <r>
    <m/>
    <m/>
    <x v="1"/>
    <s v="43801381001001"/>
    <n v="-42.27"/>
    <n v="1544"/>
    <n v="1"/>
    <n v="1"/>
  </r>
  <r>
    <m/>
    <m/>
    <x v="1"/>
    <s v="43856891001002"/>
    <n v="-51.28"/>
    <n v="1873"/>
    <n v="1"/>
    <n v="1"/>
  </r>
  <r>
    <m/>
    <m/>
    <x v="1"/>
    <s v="43903791001001"/>
    <n v="-3.89"/>
    <n v="142"/>
    <n v="1"/>
    <n v="1"/>
  </r>
  <r>
    <m/>
    <m/>
    <x v="1"/>
    <s v="43914851001001"/>
    <n v="-16.32"/>
    <n v="596"/>
    <n v="1"/>
    <n v="1"/>
  </r>
  <r>
    <m/>
    <m/>
    <x v="1"/>
    <s v="43928151001002"/>
    <n v="-34.119999999999997"/>
    <n v="1246"/>
    <n v="1"/>
    <n v="1"/>
  </r>
  <r>
    <m/>
    <m/>
    <x v="1"/>
    <s v="43950201001004"/>
    <n v="-35.65"/>
    <n v="1302"/>
    <n v="1"/>
    <n v="1"/>
  </r>
  <r>
    <m/>
    <m/>
    <x v="1"/>
    <s v="44017401001003"/>
    <n v="-25.33"/>
    <n v="925"/>
    <n v="1"/>
    <n v="1"/>
  </r>
  <r>
    <m/>
    <m/>
    <x v="1"/>
    <s v="44035671002001"/>
    <n v="-27.41"/>
    <n v="1001"/>
    <n v="1"/>
    <n v="1"/>
  </r>
  <r>
    <m/>
    <m/>
    <x v="1"/>
    <s v="44095871001001"/>
    <n v="-89.64"/>
    <n v="3274"/>
    <n v="1"/>
    <n v="1"/>
  </r>
  <r>
    <m/>
    <m/>
    <x v="1"/>
    <s v="44198701001002"/>
    <n v="-62.89"/>
    <n v="2297"/>
    <n v="1"/>
    <n v="1"/>
  </r>
  <r>
    <m/>
    <m/>
    <x v="1"/>
    <s v="44200871001009"/>
    <n v="-23.16"/>
    <n v="846"/>
    <n v="1"/>
    <n v="1"/>
  </r>
  <r>
    <m/>
    <m/>
    <x v="1"/>
    <s v="44217531004001"/>
    <n v="-54.49"/>
    <n v="1990"/>
    <n v="1"/>
    <n v="1"/>
  </r>
  <r>
    <m/>
    <m/>
    <x v="1"/>
    <s v="44235381001002"/>
    <n v="-56.13"/>
    <n v="2050"/>
    <n v="1"/>
    <n v="1"/>
  </r>
  <r>
    <m/>
    <m/>
    <x v="1"/>
    <s v="44237551001002"/>
    <n v="-40.19"/>
    <n v="1468"/>
    <n v="1"/>
    <n v="1"/>
  </r>
  <r>
    <m/>
    <m/>
    <x v="1"/>
    <s v="44286551002002"/>
    <n v="-39.369999999999997"/>
    <n v="1438"/>
    <n v="1"/>
    <n v="1"/>
  </r>
  <r>
    <m/>
    <m/>
    <x v="1"/>
    <s v="44296841001008"/>
    <n v="-15.72"/>
    <n v="574"/>
    <n v="1"/>
    <n v="1"/>
  </r>
  <r>
    <m/>
    <m/>
    <x v="1"/>
    <s v="44327781001003"/>
    <n v="-9.69"/>
    <n v="354"/>
    <n v="1"/>
    <n v="1"/>
  </r>
  <r>
    <m/>
    <m/>
    <x v="1"/>
    <s v="44340381001001"/>
    <n v="-48.05"/>
    <n v="1755"/>
    <n v="1"/>
    <n v="1"/>
  </r>
  <r>
    <m/>
    <m/>
    <x v="1"/>
    <s v="44342831002003"/>
    <n v="-18.45"/>
    <n v="674"/>
    <n v="1"/>
    <n v="1"/>
  </r>
  <r>
    <m/>
    <m/>
    <x v="1"/>
    <s v="44379371001001"/>
    <n v="-10.46"/>
    <n v="382"/>
    <n v="1"/>
    <n v="1"/>
  </r>
  <r>
    <m/>
    <m/>
    <x v="1"/>
    <s v="44390781002001"/>
    <n v="-16.649999999999999"/>
    <n v="608"/>
    <n v="1"/>
    <n v="1"/>
  </r>
  <r>
    <m/>
    <m/>
    <x v="1"/>
    <s v="44416401001001"/>
    <n v="-30.83"/>
    <n v="1126"/>
    <n v="1"/>
    <n v="1"/>
  </r>
  <r>
    <m/>
    <m/>
    <x v="1"/>
    <s v="44422491002001"/>
    <n v="-10.92"/>
    <n v="399"/>
    <n v="1"/>
    <n v="1"/>
  </r>
  <r>
    <m/>
    <m/>
    <x v="1"/>
    <s v="44423891001003"/>
    <n v="-32.770000000000003"/>
    <n v="1197"/>
    <n v="1"/>
    <n v="1"/>
  </r>
  <r>
    <m/>
    <m/>
    <x v="1"/>
    <s v="44424535001002"/>
    <n v="-44.44"/>
    <n v="1623"/>
    <n v="1"/>
    <n v="1"/>
  </r>
  <r>
    <m/>
    <m/>
    <x v="1"/>
    <s v="44431101001001"/>
    <n v="-28.56"/>
    <n v="1043"/>
    <n v="1"/>
    <n v="1"/>
  </r>
  <r>
    <m/>
    <m/>
    <x v="1"/>
    <s v="44463861001002"/>
    <n v="-79.89"/>
    <n v="2918"/>
    <n v="1"/>
    <n v="1"/>
  </r>
  <r>
    <m/>
    <m/>
    <x v="1"/>
    <s v="44481781001004"/>
    <n v="-25.38"/>
    <n v="927"/>
    <n v="1"/>
    <n v="1"/>
  </r>
  <r>
    <m/>
    <m/>
    <x v="1"/>
    <s v="44484511001002"/>
    <n v="-22.12"/>
    <n v="808"/>
    <n v="1"/>
    <n v="1"/>
  </r>
  <r>
    <m/>
    <m/>
    <x v="1"/>
    <s v="44496438001001"/>
    <n v="-42.6"/>
    <n v="1556"/>
    <n v="1"/>
    <n v="1"/>
  </r>
  <r>
    <m/>
    <m/>
    <x v="1"/>
    <s v="44501801003005"/>
    <n v="-38.93"/>
    <n v="1422"/>
    <n v="1"/>
    <n v="1"/>
  </r>
  <r>
    <m/>
    <m/>
    <x v="1"/>
    <s v="44502641001003"/>
    <n v="-58.78"/>
    <n v="2147"/>
    <n v="1"/>
    <n v="1"/>
  </r>
  <r>
    <m/>
    <m/>
    <x v="1"/>
    <s v="44522731001001"/>
    <n v="-5.17"/>
    <n v="189"/>
    <n v="1"/>
    <n v="1"/>
  </r>
  <r>
    <m/>
    <m/>
    <x v="1"/>
    <s v="44545061002001"/>
    <n v="-19.600000000000001"/>
    <n v="716"/>
    <n v="1"/>
    <n v="1"/>
  </r>
  <r>
    <m/>
    <m/>
    <x v="1"/>
    <s v="44560811001004"/>
    <n v="-17.5"/>
    <n v="639"/>
    <n v="1"/>
    <n v="1"/>
  </r>
  <r>
    <m/>
    <m/>
    <x v="1"/>
    <s v="44603651002001"/>
    <n v="-43.32"/>
    <n v="1582"/>
    <n v="1"/>
    <n v="1"/>
  </r>
  <r>
    <m/>
    <m/>
    <x v="1"/>
    <s v="44628151002001"/>
    <n v="-15.99"/>
    <n v="584"/>
    <n v="1"/>
    <n v="1"/>
  </r>
  <r>
    <m/>
    <m/>
    <x v="1"/>
    <s v="44640401002001"/>
    <n v="-44.96"/>
    <n v="1642"/>
    <n v="1"/>
    <n v="1"/>
  </r>
  <r>
    <m/>
    <m/>
    <x v="1"/>
    <s v="44654191001001"/>
    <n v="-6.82"/>
    <n v="249"/>
    <n v="1"/>
    <n v="1"/>
  </r>
  <r>
    <m/>
    <m/>
    <x v="1"/>
    <s v="44686531002001"/>
    <n v="-7.83"/>
    <n v="286"/>
    <n v="1"/>
    <n v="1"/>
  </r>
  <r>
    <m/>
    <m/>
    <x v="1"/>
    <s v="44688351001001"/>
    <n v="-21.52"/>
    <n v="786"/>
    <n v="1"/>
    <n v="1"/>
  </r>
  <r>
    <m/>
    <m/>
    <x v="1"/>
    <s v="44717961001001"/>
    <n v="-9.23"/>
    <n v="337"/>
    <n v="1"/>
    <n v="1"/>
  </r>
  <r>
    <m/>
    <m/>
    <x v="1"/>
    <s v="44737281001001"/>
    <n v="-41.7"/>
    <n v="1523"/>
    <n v="1"/>
    <n v="1"/>
  </r>
  <r>
    <m/>
    <m/>
    <x v="1"/>
    <s v="44760031004001"/>
    <n v="-52.73"/>
    <n v="1926"/>
    <n v="1"/>
    <n v="1"/>
  </r>
  <r>
    <m/>
    <m/>
    <x v="1"/>
    <s v="44770041002001"/>
    <n v="-22.34"/>
    <n v="816"/>
    <n v="1"/>
    <n v="1"/>
  </r>
  <r>
    <m/>
    <m/>
    <x v="1"/>
    <s v="44775221002003"/>
    <n v="-27.33"/>
    <n v="998"/>
    <n v="1"/>
    <n v="1"/>
  </r>
  <r>
    <m/>
    <m/>
    <x v="1"/>
    <s v="44781871001001"/>
    <n v="-42.06"/>
    <n v="1536"/>
    <n v="1"/>
    <n v="1"/>
  </r>
  <r>
    <m/>
    <m/>
    <x v="1"/>
    <s v="44784741001002"/>
    <n v="-34.75"/>
    <n v="1269"/>
    <n v="1"/>
    <n v="1"/>
  </r>
  <r>
    <m/>
    <m/>
    <x v="1"/>
    <s v="44804971001001"/>
    <n v="-6.35"/>
    <n v="232"/>
    <n v="1"/>
    <n v="1"/>
  </r>
  <r>
    <m/>
    <m/>
    <x v="1"/>
    <s v="44811481003005"/>
    <n v="-27.22"/>
    <n v="994"/>
    <n v="1"/>
    <n v="1"/>
  </r>
  <r>
    <m/>
    <m/>
    <x v="1"/>
    <s v="44827301001001"/>
    <n v="-38.36"/>
    <n v="1401"/>
    <n v="1"/>
    <n v="1"/>
  </r>
  <r>
    <m/>
    <m/>
    <x v="1"/>
    <s v="44828701001004"/>
    <n v="-47.07"/>
    <n v="1719"/>
    <n v="1"/>
    <n v="1"/>
  </r>
  <r>
    <m/>
    <m/>
    <x v="1"/>
    <s v="44828911003009"/>
    <n v="-19.850000000000001"/>
    <n v="725"/>
    <n v="1"/>
    <n v="1"/>
  </r>
  <r>
    <m/>
    <m/>
    <x v="1"/>
    <s v="44839691002002"/>
    <n v="-6.74"/>
    <n v="246"/>
    <n v="1"/>
    <n v="1"/>
  </r>
  <r>
    <m/>
    <m/>
    <x v="1"/>
    <s v="44856771002005"/>
    <n v="-39.450000000000003"/>
    <n v="1441"/>
    <n v="1"/>
    <n v="1"/>
  </r>
  <r>
    <m/>
    <m/>
    <x v="1"/>
    <s v="44875461001001"/>
    <n v="-9.39"/>
    <n v="343"/>
    <n v="1"/>
    <n v="1"/>
  </r>
  <r>
    <m/>
    <m/>
    <x v="1"/>
    <s v="44877561001002"/>
    <n v="-21.79"/>
    <n v="796"/>
    <n v="1"/>
    <n v="1"/>
  </r>
  <r>
    <m/>
    <m/>
    <x v="1"/>
    <s v="44881621001001"/>
    <n v="-44.49"/>
    <n v="1625"/>
    <n v="1"/>
    <n v="1"/>
  </r>
  <r>
    <m/>
    <m/>
    <x v="1"/>
    <s v="44889251001002"/>
    <n v="-11.14"/>
    <n v="407"/>
    <n v="1"/>
    <n v="1"/>
  </r>
  <r>
    <m/>
    <m/>
    <x v="1"/>
    <s v="44901221001004"/>
    <n v="-75.08"/>
    <n v="2742"/>
    <n v="1"/>
    <n v="1"/>
  </r>
  <r>
    <m/>
    <m/>
    <x v="1"/>
    <s v="44902061004001"/>
    <n v="-45.94"/>
    <n v="1678"/>
    <n v="1"/>
    <n v="1"/>
  </r>
  <r>
    <m/>
    <m/>
    <x v="1"/>
    <s v="44906681002005"/>
    <n v="-27.13"/>
    <n v="991"/>
    <n v="1"/>
    <n v="1"/>
  </r>
  <r>
    <m/>
    <m/>
    <x v="1"/>
    <s v="44908781005001"/>
    <n v="-43.45"/>
    <n v="1587"/>
    <n v="1"/>
    <n v="1"/>
  </r>
  <r>
    <m/>
    <m/>
    <x v="1"/>
    <s v="44919565001001"/>
    <n v="-8.7899999999999991"/>
    <n v="321"/>
    <n v="1"/>
    <n v="1"/>
  </r>
  <r>
    <m/>
    <m/>
    <x v="1"/>
    <s v="44939791001001"/>
    <n v="-21.55"/>
    <n v="787"/>
    <n v="1"/>
    <n v="1"/>
  </r>
  <r>
    <m/>
    <m/>
    <x v="1"/>
    <s v="44951971004001"/>
    <n v="-35.24"/>
    <n v="1287"/>
    <n v="1"/>
    <n v="1"/>
  </r>
  <r>
    <m/>
    <m/>
    <x v="1"/>
    <s v="44955261001002"/>
    <n v="-87.34"/>
    <n v="3190"/>
    <n v="1"/>
    <n v="1"/>
  </r>
  <r>
    <m/>
    <m/>
    <x v="1"/>
    <s v="44959251002002"/>
    <n v="-35.46"/>
    <n v="1295"/>
    <n v="1"/>
    <n v="1"/>
  </r>
  <r>
    <m/>
    <m/>
    <x v="1"/>
    <s v="44970917001001"/>
    <n v="-28.09"/>
    <n v="1026"/>
    <n v="1"/>
    <n v="1"/>
  </r>
  <r>
    <m/>
    <m/>
    <x v="1"/>
    <s v="44978221001001"/>
    <n v="-60.87"/>
    <n v="2223"/>
    <n v="1"/>
    <n v="1"/>
  </r>
  <r>
    <m/>
    <m/>
    <x v="1"/>
    <s v="44987951001006"/>
    <n v="-55.66"/>
    <n v="2033"/>
    <n v="1"/>
    <n v="1"/>
  </r>
  <r>
    <m/>
    <m/>
    <x v="1"/>
    <s v="44995807001001"/>
    <n v="-12.29"/>
    <n v="449"/>
    <n v="1"/>
    <n v="1"/>
  </r>
  <r>
    <m/>
    <m/>
    <x v="1"/>
    <s v="45034711001003"/>
    <n v="-98.13"/>
    <n v="3584"/>
    <n v="1"/>
    <n v="1"/>
  </r>
  <r>
    <m/>
    <m/>
    <x v="1"/>
    <s v="45037931001001"/>
    <n v="-41.7"/>
    <n v="1523"/>
    <n v="1"/>
    <n v="1"/>
  </r>
  <r>
    <m/>
    <m/>
    <x v="1"/>
    <s v="45047591003001"/>
    <n v="-28.39"/>
    <n v="1037"/>
    <n v="1"/>
    <n v="1"/>
  </r>
  <r>
    <m/>
    <m/>
    <x v="1"/>
    <s v="45048081001001"/>
    <n v="-70.150000000000006"/>
    <n v="2562"/>
    <n v="1"/>
    <n v="1"/>
  </r>
  <r>
    <m/>
    <m/>
    <x v="1"/>
    <s v="45048221001001"/>
    <n v="-26.5"/>
    <n v="968"/>
    <n v="1"/>
    <n v="1"/>
  </r>
  <r>
    <m/>
    <m/>
    <x v="1"/>
    <s v="45049061001001"/>
    <n v="-7.97"/>
    <n v="291"/>
    <n v="1"/>
    <n v="1"/>
  </r>
  <r>
    <m/>
    <m/>
    <x v="1"/>
    <s v="45055431001001"/>
    <n v="-38.520000000000003"/>
    <n v="1407"/>
    <n v="1"/>
    <n v="1"/>
  </r>
  <r>
    <m/>
    <m/>
    <x v="1"/>
    <s v="45057251001005"/>
    <n v="-78.91"/>
    <n v="2882"/>
    <n v="1"/>
    <n v="1"/>
  </r>
  <r>
    <m/>
    <m/>
    <x v="1"/>
    <s v="45058021001005"/>
    <n v="-43.12"/>
    <n v="1575"/>
    <n v="1"/>
    <n v="1"/>
  </r>
  <r>
    <m/>
    <m/>
    <x v="1"/>
    <s v="45072511001002"/>
    <n v="-36.520000000000003"/>
    <n v="1334"/>
    <n v="1"/>
    <n v="1"/>
  </r>
  <r>
    <m/>
    <m/>
    <x v="1"/>
    <s v="45081401001004"/>
    <n v="-10.57"/>
    <n v="386"/>
    <n v="1"/>
    <n v="1"/>
  </r>
  <r>
    <m/>
    <m/>
    <x v="1"/>
    <s v="45097221001001"/>
    <n v="-47.42"/>
    <n v="1732"/>
    <n v="1"/>
    <n v="1"/>
  </r>
  <r>
    <m/>
    <m/>
    <x v="1"/>
    <s v="45120321002003"/>
    <n v="-11.39"/>
    <n v="416"/>
    <n v="1"/>
    <n v="1"/>
  </r>
  <r>
    <m/>
    <m/>
    <x v="1"/>
    <s v="45125151005001"/>
    <n v="-4.22"/>
    <n v="154"/>
    <n v="1"/>
    <n v="1"/>
  </r>
  <r>
    <m/>
    <m/>
    <x v="1"/>
    <s v="45128441001005"/>
    <n v="-8.73"/>
    <n v="319"/>
    <n v="1"/>
    <n v="1"/>
  </r>
  <r>
    <m/>
    <m/>
    <x v="1"/>
    <s v="45130821001001"/>
    <n v="-19.3"/>
    <n v="705"/>
    <n v="1"/>
    <n v="1"/>
  </r>
  <r>
    <m/>
    <m/>
    <x v="1"/>
    <s v="45135453001001"/>
    <n v="-20.34"/>
    <n v="743"/>
    <n v="1"/>
    <n v="1"/>
  </r>
  <r>
    <m/>
    <m/>
    <x v="1"/>
    <s v="45136421001001"/>
    <n v="-64.59"/>
    <n v="2359"/>
    <n v="1"/>
    <n v="1"/>
  </r>
  <r>
    <m/>
    <m/>
    <x v="1"/>
    <s v="45143631001001"/>
    <n v="-3.4"/>
    <n v="124"/>
    <n v="1"/>
    <n v="1"/>
  </r>
  <r>
    <m/>
    <m/>
    <x v="1"/>
    <s v="45155461001001"/>
    <n v="-108.67"/>
    <n v="3969"/>
    <n v="1"/>
    <n v="1"/>
  </r>
  <r>
    <m/>
    <m/>
    <x v="1"/>
    <s v="45162811004003"/>
    <n v="-43.53"/>
    <n v="1590"/>
    <n v="1"/>
    <n v="1"/>
  </r>
  <r>
    <m/>
    <m/>
    <x v="1"/>
    <s v="45171701001001"/>
    <n v="-38.69"/>
    <n v="1413"/>
    <n v="1"/>
    <n v="1"/>
  </r>
  <r>
    <m/>
    <m/>
    <x v="1"/>
    <s v="45174711001001"/>
    <n v="-43.29"/>
    <n v="1581"/>
    <n v="1"/>
    <n v="1"/>
  </r>
  <r>
    <m/>
    <m/>
    <x v="1"/>
    <s v="45177021001002"/>
    <n v="-12.87"/>
    <n v="470"/>
    <n v="1"/>
    <n v="1"/>
  </r>
  <r>
    <m/>
    <m/>
    <x v="1"/>
    <s v="45188011001001"/>
    <n v="-21.36"/>
    <n v="780"/>
    <n v="1"/>
    <n v="1"/>
  </r>
  <r>
    <m/>
    <m/>
    <x v="1"/>
    <s v="45191721001004"/>
    <n v="-22.21"/>
    <n v="811"/>
    <n v="1"/>
    <n v="1"/>
  </r>
  <r>
    <m/>
    <m/>
    <x v="1"/>
    <s v="45192001001001"/>
    <n v="-46.16"/>
    <n v="1686"/>
    <n v="1"/>
    <n v="1"/>
  </r>
  <r>
    <m/>
    <m/>
    <x v="1"/>
    <s v="45199631002001"/>
    <n v="-35.92"/>
    <n v="1312"/>
    <n v="1"/>
    <n v="1"/>
  </r>
  <r>
    <m/>
    <m/>
    <x v="1"/>
    <s v="45206841001001"/>
    <n v="-48.05"/>
    <n v="1755"/>
    <n v="1"/>
    <n v="1"/>
  </r>
  <r>
    <m/>
    <m/>
    <x v="1"/>
    <s v="45210061001001"/>
    <n v="-79.98"/>
    <n v="2921"/>
    <n v="1"/>
    <n v="1"/>
  </r>
  <r>
    <m/>
    <m/>
    <x v="1"/>
    <s v="45215369002003"/>
    <n v="-35.57"/>
    <n v="1299"/>
    <n v="1"/>
    <n v="1"/>
  </r>
  <r>
    <m/>
    <m/>
    <x v="1"/>
    <s v="45253671001001"/>
    <n v="-48.08"/>
    <n v="1756"/>
    <n v="1"/>
    <n v="1"/>
  </r>
  <r>
    <m/>
    <m/>
    <x v="1"/>
    <s v="45259201001001"/>
    <n v="-35.020000000000003"/>
    <n v="1279"/>
    <n v="1"/>
    <n v="1"/>
  </r>
  <r>
    <m/>
    <m/>
    <x v="1"/>
    <s v="45259341001001"/>
    <n v="-13.69"/>
    <n v="500"/>
    <n v="1"/>
    <n v="1"/>
  </r>
  <r>
    <m/>
    <m/>
    <x v="1"/>
    <s v="45324791001001"/>
    <n v="-86.25"/>
    <n v="3150"/>
    <n v="1"/>
    <n v="1"/>
  </r>
  <r>
    <m/>
    <m/>
    <x v="1"/>
    <s v="45353911001001"/>
    <n v="-23.82"/>
    <n v="870"/>
    <n v="1"/>
    <n v="1"/>
  </r>
  <r>
    <m/>
    <m/>
    <x v="1"/>
    <s v="45356011003001"/>
    <n v="-72.97"/>
    <n v="2665"/>
    <n v="1"/>
    <n v="1"/>
  </r>
  <r>
    <m/>
    <m/>
    <x v="1"/>
    <s v="45361541002001"/>
    <n v="-61"/>
    <n v="2228"/>
    <n v="1"/>
    <n v="1"/>
  </r>
  <r>
    <m/>
    <m/>
    <x v="1"/>
    <s v="45382261001001"/>
    <n v="-56.79"/>
    <n v="2074"/>
    <n v="1"/>
    <n v="1"/>
  </r>
  <r>
    <m/>
    <m/>
    <x v="1"/>
    <s v="45403331001002"/>
    <n v="-87.62"/>
    <n v="3200"/>
    <n v="1"/>
    <n v="1"/>
  </r>
  <r>
    <m/>
    <m/>
    <x v="1"/>
    <s v="45420831002002"/>
    <n v="-71.22"/>
    <n v="2601"/>
    <n v="1"/>
    <n v="1"/>
  </r>
  <r>
    <m/>
    <m/>
    <x v="1"/>
    <s v="45443161001003"/>
    <n v="-33.380000000000003"/>
    <n v="1219"/>
    <n v="1"/>
    <n v="1"/>
  </r>
  <r>
    <m/>
    <m/>
    <x v="1"/>
    <s v="45469341006001"/>
    <n v="-61.85"/>
    <n v="2259"/>
    <n v="1"/>
    <n v="1"/>
  </r>
  <r>
    <m/>
    <m/>
    <x v="1"/>
    <s v="45473261001002"/>
    <n v="-38.61"/>
    <n v="1410"/>
    <n v="1"/>
    <n v="1"/>
  </r>
  <r>
    <m/>
    <m/>
    <x v="1"/>
    <s v="45487611001002"/>
    <n v="-41.89"/>
    <n v="1530"/>
    <n v="1"/>
    <n v="1"/>
  </r>
  <r>
    <m/>
    <m/>
    <x v="1"/>
    <s v="45503921006001"/>
    <n v="-33.65"/>
    <n v="1229"/>
    <n v="1"/>
    <n v="1"/>
  </r>
  <r>
    <m/>
    <m/>
    <x v="1"/>
    <s v="45512671001001"/>
    <n v="-60.65"/>
    <n v="2215"/>
    <n v="1"/>
    <n v="1"/>
  </r>
  <r>
    <m/>
    <m/>
    <x v="1"/>
    <s v="45514281001001"/>
    <n v="-24.01"/>
    <n v="877"/>
    <n v="1"/>
    <n v="1"/>
  </r>
  <r>
    <m/>
    <m/>
    <x v="1"/>
    <s v="45519246001001"/>
    <n v="-62.73"/>
    <n v="2291"/>
    <n v="1"/>
    <n v="1"/>
  </r>
  <r>
    <m/>
    <m/>
    <x v="1"/>
    <s v="45528841001004"/>
    <n v="-36.659999999999997"/>
    <n v="1339"/>
    <n v="1"/>
    <n v="1"/>
  </r>
  <r>
    <m/>
    <m/>
    <x v="1"/>
    <s v="45529821001003"/>
    <n v="-4.41"/>
    <n v="161"/>
    <n v="1"/>
    <n v="1"/>
  </r>
  <r>
    <m/>
    <m/>
    <x v="1"/>
    <s v="45555091001004"/>
    <n v="-56.43"/>
    <n v="2061"/>
    <n v="1"/>
    <n v="1"/>
  </r>
  <r>
    <m/>
    <m/>
    <x v="1"/>
    <s v="45575065001004"/>
    <n v="-23.05"/>
    <n v="842"/>
    <n v="1"/>
    <n v="1"/>
  </r>
  <r>
    <m/>
    <m/>
    <x v="1"/>
    <s v="45597371001001"/>
    <n v="-27.46"/>
    <n v="1003"/>
    <n v="1"/>
    <n v="1"/>
  </r>
  <r>
    <m/>
    <m/>
    <x v="1"/>
    <s v="45629221001003"/>
    <n v="-43.56"/>
    <n v="1591"/>
    <n v="1"/>
    <n v="1"/>
  </r>
  <r>
    <m/>
    <m/>
    <x v="1"/>
    <s v="45644831001001"/>
    <n v="-24.42"/>
    <n v="892"/>
    <n v="1"/>
    <n v="1"/>
  </r>
  <r>
    <m/>
    <m/>
    <x v="1"/>
    <s v="45645881001002"/>
    <n v="-150.59"/>
    <n v="5500"/>
    <n v="1"/>
    <n v="1"/>
  </r>
  <r>
    <m/>
    <m/>
    <x v="1"/>
    <s v="45665201001006"/>
    <n v="-14.98"/>
    <n v="547"/>
    <n v="1"/>
    <n v="1"/>
  </r>
  <r>
    <m/>
    <m/>
    <x v="1"/>
    <s v="45692851001001"/>
    <n v="-61.3"/>
    <n v="2239"/>
    <n v="1"/>
    <n v="1"/>
  </r>
  <r>
    <m/>
    <m/>
    <x v="1"/>
    <s v="45694601001001"/>
    <n v="-47.12"/>
    <n v="1721"/>
    <n v="1"/>
    <n v="1"/>
  </r>
  <r>
    <m/>
    <m/>
    <x v="1"/>
    <s v="45725261001001"/>
    <n v="-67.27"/>
    <n v="2457"/>
    <n v="1"/>
    <n v="1"/>
  </r>
  <r>
    <m/>
    <m/>
    <x v="1"/>
    <s v="45742621001001"/>
    <n v="-48.76"/>
    <n v="1781"/>
    <n v="1"/>
    <n v="1"/>
  </r>
  <r>
    <m/>
    <m/>
    <x v="1"/>
    <s v="45751371001001"/>
    <n v="-21.27"/>
    <n v="777"/>
    <n v="1"/>
    <n v="1"/>
  </r>
  <r>
    <m/>
    <m/>
    <x v="1"/>
    <s v="45768031001001"/>
    <n v="-32.01"/>
    <n v="1169"/>
    <n v="1"/>
    <n v="1"/>
  </r>
  <r>
    <m/>
    <m/>
    <x v="1"/>
    <s v="45785601001001"/>
    <n v="-11.44"/>
    <n v="418"/>
    <n v="1"/>
    <n v="1"/>
  </r>
  <r>
    <m/>
    <m/>
    <x v="1"/>
    <s v="45787701001001"/>
    <n v="-10.16"/>
    <n v="371"/>
    <n v="1"/>
    <n v="1"/>
  </r>
  <r>
    <m/>
    <m/>
    <x v="1"/>
    <s v="45846991001001"/>
    <n v="-37.35"/>
    <n v="1364"/>
    <n v="1"/>
    <n v="1"/>
  </r>
  <r>
    <m/>
    <m/>
    <x v="1"/>
    <s v="45878001001001"/>
    <n v="-36.83"/>
    <n v="1345"/>
    <n v="1"/>
    <n v="1"/>
  </r>
  <r>
    <m/>
    <m/>
    <x v="1"/>
    <s v="45884231001001"/>
    <n v="-77.73"/>
    <n v="2839"/>
    <n v="1"/>
    <n v="1"/>
  </r>
  <r>
    <m/>
    <m/>
    <x v="1"/>
    <s v="45930081004001"/>
    <n v="-24.23"/>
    <n v="885"/>
    <n v="1"/>
    <n v="1"/>
  </r>
  <r>
    <m/>
    <m/>
    <x v="1"/>
    <s v="45934211002001"/>
    <n v="-50.98"/>
    <n v="1862"/>
    <n v="1"/>
    <n v="1"/>
  </r>
  <r>
    <m/>
    <m/>
    <x v="1"/>
    <s v="45934561001007"/>
    <n v="-22.67"/>
    <n v="828"/>
    <n v="1"/>
    <n v="1"/>
  </r>
  <r>
    <m/>
    <m/>
    <x v="1"/>
    <s v="45935331001004"/>
    <n v="-9.0399999999999991"/>
    <n v="330"/>
    <n v="1"/>
    <n v="1"/>
  </r>
  <r>
    <m/>
    <m/>
    <x v="1"/>
    <s v="46014571002003"/>
    <n v="-34.200000000000003"/>
    <n v="1249"/>
    <n v="1"/>
    <n v="1"/>
  </r>
  <r>
    <m/>
    <m/>
    <x v="1"/>
    <s v="46041661001003"/>
    <n v="-105.63"/>
    <n v="3858"/>
    <n v="1"/>
    <n v="1"/>
  </r>
  <r>
    <m/>
    <m/>
    <x v="1"/>
    <s v="46074016001001"/>
    <n v="-17.8"/>
    <n v="650"/>
    <n v="1"/>
    <n v="1"/>
  </r>
  <r>
    <m/>
    <m/>
    <x v="1"/>
    <s v="46098781002001"/>
    <n v="-50.05"/>
    <n v="1828"/>
    <n v="1"/>
    <n v="1"/>
  </r>
  <r>
    <m/>
    <m/>
    <x v="1"/>
    <s v="46112081001002"/>
    <n v="-68.72"/>
    <n v="2510"/>
    <n v="1"/>
    <n v="1"/>
  </r>
  <r>
    <m/>
    <m/>
    <x v="1"/>
    <s v="46120971001001"/>
    <n v="-26.61"/>
    <n v="972"/>
    <n v="1"/>
    <n v="1"/>
  </r>
  <r>
    <m/>
    <m/>
    <x v="1"/>
    <s v="46135041001002"/>
    <n v="-74.39"/>
    <n v="2717"/>
    <n v="1"/>
    <n v="1"/>
  </r>
  <r>
    <m/>
    <m/>
    <x v="1"/>
    <s v="46146381001003"/>
    <n v="-60.65"/>
    <n v="2215"/>
    <n v="1"/>
    <n v="1"/>
  </r>
  <r>
    <m/>
    <m/>
    <x v="1"/>
    <s v="46153451002001"/>
    <n v="-26.59"/>
    <n v="971"/>
    <n v="1"/>
    <n v="1"/>
  </r>
  <r>
    <m/>
    <m/>
    <x v="1"/>
    <s v="46168151004003"/>
    <n v="-21.55"/>
    <n v="787"/>
    <n v="1"/>
    <n v="1"/>
  </r>
  <r>
    <m/>
    <m/>
    <x v="1"/>
    <s v="46205811013001"/>
    <n v="-112.07"/>
    <n v="4093"/>
    <n v="1"/>
    <n v="1"/>
  </r>
  <r>
    <m/>
    <m/>
    <x v="1"/>
    <s v="46246971001001"/>
    <n v="-107.11"/>
    <n v="3912"/>
    <n v="1"/>
    <n v="1"/>
  </r>
  <r>
    <m/>
    <m/>
    <x v="1"/>
    <s v="46289951001001"/>
    <n v="-41.02"/>
    <n v="1498"/>
    <n v="1"/>
    <n v="1"/>
  </r>
  <r>
    <m/>
    <m/>
    <x v="1"/>
    <s v="46336781001001"/>
    <n v="-32.47"/>
    <n v="1186"/>
    <n v="1"/>
    <n v="1"/>
  </r>
  <r>
    <m/>
    <m/>
    <x v="1"/>
    <s v="46337411001001"/>
    <n v="-5.53"/>
    <n v="202"/>
    <n v="1"/>
    <n v="1"/>
  </r>
  <r>
    <m/>
    <m/>
    <x v="1"/>
    <s v="46339021001001"/>
    <n v="-54.16"/>
    <n v="1978"/>
    <n v="1"/>
    <n v="1"/>
  </r>
  <r>
    <m/>
    <m/>
    <x v="1"/>
    <s v="46341891001007"/>
    <n v="-39.43"/>
    <n v="1440"/>
    <n v="1"/>
    <n v="1"/>
  </r>
  <r>
    <m/>
    <m/>
    <x v="1"/>
    <s v="46350221006001"/>
    <n v="-5.56"/>
    <n v="203"/>
    <n v="1"/>
    <n v="1"/>
  </r>
  <r>
    <m/>
    <m/>
    <x v="1"/>
    <s v="46365691001001"/>
    <n v="-46"/>
    <n v="1680"/>
    <n v="1"/>
    <n v="1"/>
  </r>
  <r>
    <m/>
    <m/>
    <x v="1"/>
    <s v="46367511001005"/>
    <n v="-3.04"/>
    <n v="111"/>
    <n v="1"/>
    <n v="1"/>
  </r>
  <r>
    <m/>
    <m/>
    <x v="1"/>
    <s v="46370031001001"/>
    <n v="-47.31"/>
    <n v="1728"/>
    <n v="1"/>
    <n v="1"/>
  </r>
  <r>
    <m/>
    <m/>
    <x v="1"/>
    <s v="46403001005001"/>
    <n v="-95.8"/>
    <n v="3499"/>
    <n v="1"/>
    <n v="1"/>
  </r>
  <r>
    <m/>
    <m/>
    <x v="1"/>
    <s v="46438981001002"/>
    <n v="-89.07"/>
    <n v="3253"/>
    <n v="1"/>
    <n v="1"/>
  </r>
  <r>
    <m/>
    <m/>
    <x v="1"/>
    <s v="46461591002001"/>
    <n v="-21.16"/>
    <n v="773"/>
    <n v="1"/>
    <n v="1"/>
  </r>
  <r>
    <m/>
    <m/>
    <x v="1"/>
    <s v="46462501001003"/>
    <n v="-69.02"/>
    <n v="2521"/>
    <n v="1"/>
    <n v="1"/>
  </r>
  <r>
    <m/>
    <m/>
    <x v="1"/>
    <s v="46469081002006"/>
    <n v="-19.850000000000001"/>
    <n v="725"/>
    <n v="1"/>
    <n v="1"/>
  </r>
  <r>
    <m/>
    <m/>
    <x v="1"/>
    <s v="46475241001003"/>
    <n v="-47.18"/>
    <n v="1723"/>
    <n v="1"/>
    <n v="1"/>
  </r>
  <r>
    <m/>
    <m/>
    <x v="1"/>
    <s v="46482661001005"/>
    <n v="-84.41"/>
    <n v="3083"/>
    <n v="1"/>
    <n v="1"/>
  </r>
  <r>
    <m/>
    <m/>
    <x v="1"/>
    <s v="46581641003003"/>
    <n v="-21.74"/>
    <n v="794"/>
    <n v="1"/>
    <n v="1"/>
  </r>
  <r>
    <m/>
    <m/>
    <x v="1"/>
    <s v="46605651001001"/>
    <n v="-42.6"/>
    <n v="1556"/>
    <n v="1"/>
    <n v="1"/>
  </r>
  <r>
    <m/>
    <m/>
    <x v="1"/>
    <s v="46666481001001"/>
    <n v="-64.86"/>
    <n v="2369"/>
    <n v="1"/>
    <n v="1"/>
  </r>
  <r>
    <m/>
    <m/>
    <x v="1"/>
    <s v="46684121001001"/>
    <n v="-78.61"/>
    <n v="2871"/>
    <n v="1"/>
    <n v="1"/>
  </r>
  <r>
    <m/>
    <m/>
    <x v="1"/>
    <s v="46763571002001"/>
    <n v="-9.5"/>
    <n v="347"/>
    <n v="1"/>
    <n v="1"/>
  </r>
  <r>
    <m/>
    <m/>
    <x v="1"/>
    <s v="46774841003005"/>
    <n v="-9.94"/>
    <n v="363"/>
    <n v="1"/>
    <n v="1"/>
  </r>
  <r>
    <m/>
    <m/>
    <x v="1"/>
    <s v="46786380002003"/>
    <n v="-71.760000000000005"/>
    <n v="2621"/>
    <n v="1"/>
    <n v="1"/>
  </r>
  <r>
    <m/>
    <m/>
    <x v="1"/>
    <s v="46799243001001"/>
    <n v="-50.35"/>
    <n v="1839"/>
    <n v="1"/>
    <n v="1"/>
  </r>
  <r>
    <m/>
    <m/>
    <x v="1"/>
    <s v="46818031002001"/>
    <n v="-142.70999999999998"/>
    <n v="5212"/>
    <n v="3"/>
    <n v="1"/>
  </r>
  <r>
    <m/>
    <m/>
    <x v="1"/>
    <s v="46827201001001"/>
    <n v="-32.94"/>
    <n v="1203"/>
    <n v="1"/>
    <n v="1"/>
  </r>
  <r>
    <m/>
    <m/>
    <x v="1"/>
    <s v="46829091001001"/>
    <n v="-28.28"/>
    <n v="1033"/>
    <n v="1"/>
    <n v="1"/>
  </r>
  <r>
    <m/>
    <m/>
    <x v="1"/>
    <s v="46831051002001"/>
    <n v="-44.79"/>
    <n v="1636"/>
    <n v="1"/>
    <n v="1"/>
  </r>
  <r>
    <m/>
    <m/>
    <x v="1"/>
    <s v="46834201001001"/>
    <n v="-85.32"/>
    <n v="3116"/>
    <n v="1"/>
    <n v="1"/>
  </r>
  <r>
    <m/>
    <m/>
    <x v="1"/>
    <s v="46847221001002"/>
    <n v="-4.6500000000000004"/>
    <n v="170"/>
    <n v="1"/>
    <n v="1"/>
  </r>
  <r>
    <m/>
    <m/>
    <x v="1"/>
    <s v="46861661001001"/>
    <n v="-45.45"/>
    <n v="1660"/>
    <n v="1"/>
    <n v="1"/>
  </r>
  <r>
    <m/>
    <m/>
    <x v="1"/>
    <s v="46948371001001"/>
    <n v="-19.329999999999998"/>
    <n v="706"/>
    <n v="1"/>
    <n v="1"/>
  </r>
  <r>
    <m/>
    <m/>
    <x v="1"/>
    <s v="46962301001002"/>
    <n v="-8.41"/>
    <n v="307"/>
    <n v="1"/>
    <n v="1"/>
  </r>
  <r>
    <m/>
    <m/>
    <x v="1"/>
    <s v="46966151001003"/>
    <n v="-24.83"/>
    <n v="907"/>
    <n v="1"/>
    <n v="1"/>
  </r>
  <r>
    <m/>
    <m/>
    <x v="1"/>
    <s v="47113431001001"/>
    <n v="-50.43"/>
    <n v="1842"/>
    <n v="1"/>
    <n v="1"/>
  </r>
  <r>
    <m/>
    <m/>
    <x v="1"/>
    <s v="47161241001003"/>
    <n v="-34.909999999999997"/>
    <n v="1275"/>
    <n v="1"/>
    <n v="1"/>
  </r>
  <r>
    <m/>
    <m/>
    <x v="1"/>
    <s v="47179931001006"/>
    <n v="-46"/>
    <n v="1680"/>
    <n v="1"/>
    <n v="1"/>
  </r>
  <r>
    <m/>
    <m/>
    <x v="1"/>
    <s v="47194351001001"/>
    <n v="-28.83"/>
    <n v="1053"/>
    <n v="1"/>
    <n v="1"/>
  </r>
  <r>
    <m/>
    <m/>
    <x v="1"/>
    <s v="47199424001002"/>
    <n v="-36.22"/>
    <n v="1323"/>
    <n v="1"/>
    <n v="1"/>
  </r>
  <r>
    <m/>
    <m/>
    <x v="1"/>
    <s v="47230121003006"/>
    <n v="-9.69"/>
    <n v="354"/>
    <n v="1"/>
    <n v="1"/>
  </r>
  <r>
    <m/>
    <m/>
    <x v="1"/>
    <s v="47260062001002"/>
    <n v="-7.97"/>
    <n v="291"/>
    <n v="1"/>
    <n v="1"/>
  </r>
  <r>
    <m/>
    <m/>
    <x v="1"/>
    <s v="47321401002002"/>
    <n v="-51.01"/>
    <n v="1863"/>
    <n v="1"/>
    <n v="1"/>
  </r>
  <r>
    <m/>
    <m/>
    <x v="1"/>
    <s v="47354441001003"/>
    <n v="-97.66"/>
    <n v="3567"/>
    <n v="1"/>
    <n v="1"/>
  </r>
  <r>
    <m/>
    <m/>
    <x v="1"/>
    <s v="47354861004001"/>
    <n v="-5.56"/>
    <n v="203"/>
    <n v="1"/>
    <n v="1"/>
  </r>
  <r>
    <m/>
    <m/>
    <x v="1"/>
    <s v="47356829001002"/>
    <n v="-9.0399999999999991"/>
    <n v="330"/>
    <n v="1"/>
    <n v="1"/>
  </r>
  <r>
    <m/>
    <m/>
    <x v="1"/>
    <s v="47382371002004"/>
    <n v="-3.5"/>
    <n v="128"/>
    <n v="1"/>
    <n v="1"/>
  </r>
  <r>
    <m/>
    <m/>
    <x v="1"/>
    <s v="47409041001014"/>
    <n v="-11.91"/>
    <n v="435"/>
    <n v="1"/>
    <n v="1"/>
  </r>
  <r>
    <m/>
    <m/>
    <x v="1"/>
    <s v="47484221001003"/>
    <n v="-13.28"/>
    <n v="485"/>
    <n v="1"/>
    <n v="1"/>
  </r>
  <r>
    <m/>
    <m/>
    <x v="1"/>
    <s v="47501091001002"/>
    <n v="-48.57"/>
    <n v="1774"/>
    <n v="1"/>
    <n v="1"/>
  </r>
  <r>
    <m/>
    <m/>
    <x v="1"/>
    <s v="47600631003001"/>
    <n v="-36.94"/>
    <n v="1349"/>
    <n v="1"/>
    <n v="1"/>
  </r>
  <r>
    <m/>
    <m/>
    <x v="1"/>
    <s v="47605461003004"/>
    <n v="-31.13"/>
    <n v="1137"/>
    <n v="1"/>
    <n v="1"/>
  </r>
  <r>
    <m/>
    <m/>
    <x v="1"/>
    <s v="47618411003003"/>
    <n v="-67.790000000000006"/>
    <n v="2476"/>
    <n v="1"/>
    <n v="1"/>
  </r>
  <r>
    <m/>
    <m/>
    <x v="1"/>
    <s v="47625755003001"/>
    <n v="-3.56"/>
    <n v="130"/>
    <n v="1"/>
    <n v="1"/>
  </r>
  <r>
    <m/>
    <m/>
    <x v="1"/>
    <s v="47670141001007"/>
    <n v="-15.8"/>
    <n v="577"/>
    <n v="1"/>
    <n v="1"/>
  </r>
  <r>
    <m/>
    <m/>
    <x v="1"/>
    <s v="47673221001005"/>
    <n v="-38.33"/>
    <n v="1400"/>
    <n v="1"/>
    <n v="1"/>
  </r>
  <r>
    <m/>
    <m/>
    <x v="1"/>
    <s v="47682181001016"/>
    <n v="-21.49"/>
    <n v="785"/>
    <n v="1"/>
    <n v="1"/>
  </r>
  <r>
    <m/>
    <m/>
    <x v="1"/>
    <s v="47759881007003"/>
    <n v="-29.52"/>
    <n v="1078"/>
    <n v="1"/>
    <n v="1"/>
  </r>
  <r>
    <m/>
    <m/>
    <x v="1"/>
    <s v="47770871001001"/>
    <n v="-40.299999999999997"/>
    <n v="1472"/>
    <n v="1"/>
    <n v="1"/>
  </r>
  <r>
    <m/>
    <m/>
    <x v="1"/>
    <s v="47821341001001"/>
    <n v="-54.54"/>
    <n v="1992"/>
    <n v="1"/>
    <n v="1"/>
  </r>
  <r>
    <m/>
    <m/>
    <x v="1"/>
    <s v="47822951004003"/>
    <n v="-1.4"/>
    <n v="51"/>
    <n v="1"/>
    <n v="1"/>
  </r>
  <r>
    <m/>
    <m/>
    <x v="1"/>
    <s v="47830721003001"/>
    <n v="-35.24"/>
    <n v="1287"/>
    <n v="1"/>
    <n v="1"/>
  </r>
  <r>
    <m/>
    <m/>
    <x v="1"/>
    <s v="47837581001001"/>
    <n v="-32.61"/>
    <n v="1191"/>
    <n v="1"/>
    <n v="1"/>
  </r>
  <r>
    <m/>
    <m/>
    <x v="1"/>
    <s v="47854171001002"/>
    <n v="-61.52"/>
    <n v="2247"/>
    <n v="1"/>
    <n v="1"/>
  </r>
  <r>
    <m/>
    <m/>
    <x v="1"/>
    <s v="47883851001004"/>
    <n v="-57.69"/>
    <n v="2107"/>
    <n v="1"/>
    <n v="1"/>
  </r>
  <r>
    <m/>
    <m/>
    <x v="1"/>
    <s v="47943771004001"/>
    <n v="-59.09"/>
    <n v="2158"/>
    <n v="1"/>
    <n v="1"/>
  </r>
  <r>
    <m/>
    <m/>
    <x v="1"/>
    <s v="47943981001003"/>
    <n v="-34.61"/>
    <n v="1264"/>
    <n v="1"/>
    <n v="1"/>
  </r>
  <r>
    <m/>
    <m/>
    <x v="1"/>
    <s v="47945381004001"/>
    <n v="-67.3"/>
    <n v="2458"/>
    <n v="1"/>
    <n v="1"/>
  </r>
  <r>
    <m/>
    <m/>
    <x v="1"/>
    <s v="47971841001005"/>
    <n v="-44.93"/>
    <n v="1641"/>
    <n v="1"/>
    <n v="1"/>
  </r>
  <r>
    <m/>
    <m/>
    <x v="1"/>
    <s v="48036521001001"/>
    <n v="-32.01"/>
    <n v="1169"/>
    <n v="1"/>
    <n v="1"/>
  </r>
  <r>
    <m/>
    <m/>
    <x v="1"/>
    <s v="48037781001001"/>
    <n v="-34.14"/>
    <n v="1247"/>
    <n v="1"/>
    <n v="1"/>
  </r>
  <r>
    <m/>
    <m/>
    <x v="1"/>
    <s v="48109251001002"/>
    <n v="-17.36"/>
    <n v="634"/>
    <n v="1"/>
    <n v="1"/>
  </r>
  <r>
    <m/>
    <m/>
    <x v="1"/>
    <s v="48115691001003"/>
    <n v="-16.73"/>
    <n v="611"/>
    <n v="1"/>
    <n v="1"/>
  </r>
  <r>
    <m/>
    <m/>
    <x v="1"/>
    <s v="48124752001001"/>
    <n v="-38.880000000000003"/>
    <n v="1420"/>
    <n v="1"/>
    <n v="1"/>
  </r>
  <r>
    <m/>
    <m/>
    <x v="1"/>
    <s v="48168055001001"/>
    <n v="-70.8"/>
    <n v="2586"/>
    <n v="1"/>
    <n v="1"/>
  </r>
  <r>
    <m/>
    <m/>
    <x v="1"/>
    <s v="48194791003001"/>
    <n v="-39.18"/>
    <n v="1431"/>
    <n v="1"/>
    <n v="1"/>
  </r>
  <r>
    <m/>
    <m/>
    <x v="1"/>
    <s v="48214181001001"/>
    <n v="-42.93"/>
    <n v="1568"/>
    <n v="1"/>
    <n v="1"/>
  </r>
  <r>
    <m/>
    <m/>
    <x v="1"/>
    <s v="48215861001001"/>
    <n v="-42.9"/>
    <n v="1567"/>
    <n v="1"/>
    <n v="1"/>
  </r>
  <r>
    <m/>
    <m/>
    <x v="1"/>
    <s v="48278021001002"/>
    <n v="-11.31"/>
    <n v="413"/>
    <n v="1"/>
    <n v="1"/>
  </r>
  <r>
    <m/>
    <m/>
    <x v="1"/>
    <s v="48448751001002"/>
    <n v="-1.72"/>
    <n v="63"/>
    <n v="1"/>
    <n v="1"/>
  </r>
  <r>
    <m/>
    <m/>
    <x v="1"/>
    <s v="48474794001001"/>
    <n v="-53.69"/>
    <n v="1961"/>
    <n v="1"/>
    <n v="1"/>
  </r>
  <r>
    <m/>
    <m/>
    <x v="1"/>
    <s v="48524754001001"/>
    <n v="-47.34"/>
    <n v="1729"/>
    <n v="1"/>
    <n v="1"/>
  </r>
  <r>
    <m/>
    <m/>
    <x v="1"/>
    <s v="48561381001003"/>
    <n v="-43.48"/>
    <n v="1588"/>
    <n v="1"/>
    <n v="1"/>
  </r>
  <r>
    <m/>
    <m/>
    <x v="1"/>
    <s v="48584515001010"/>
    <n v="-33.020000000000003"/>
    <n v="1206"/>
    <n v="1"/>
    <n v="1"/>
  </r>
  <r>
    <m/>
    <m/>
    <x v="1"/>
    <s v="48629818001001"/>
    <n v="-28.45"/>
    <n v="1039"/>
    <n v="1"/>
    <n v="1"/>
  </r>
  <r>
    <m/>
    <m/>
    <x v="1"/>
    <s v="48660341001001"/>
    <n v="-4.22"/>
    <n v="154"/>
    <n v="1"/>
    <n v="1"/>
  </r>
  <r>
    <m/>
    <m/>
    <x v="1"/>
    <s v="48752136001002"/>
    <n v="-7.45"/>
    <n v="272"/>
    <n v="1"/>
    <n v="1"/>
  </r>
  <r>
    <m/>
    <m/>
    <x v="1"/>
    <s v="48754161004001"/>
    <n v="-56.57"/>
    <n v="2066"/>
    <n v="1"/>
    <n v="1"/>
  </r>
  <r>
    <m/>
    <m/>
    <x v="1"/>
    <s v="48762278001001"/>
    <n v="-50.82"/>
    <n v="1856"/>
    <n v="1"/>
    <n v="1"/>
  </r>
  <r>
    <m/>
    <m/>
    <x v="1"/>
    <s v="48765518001002"/>
    <n v="-41.4"/>
    <n v="1512"/>
    <n v="1"/>
    <n v="1"/>
  </r>
  <r>
    <m/>
    <m/>
    <x v="1"/>
    <s v="48813381002001"/>
    <n v="-61.41"/>
    <n v="2243"/>
    <n v="1"/>
    <n v="1"/>
  </r>
  <r>
    <m/>
    <m/>
    <x v="1"/>
    <s v="48949115001001"/>
    <n v="-47.37"/>
    <n v="1730"/>
    <n v="1"/>
    <n v="1"/>
  </r>
  <r>
    <m/>
    <m/>
    <x v="1"/>
    <s v="49145181001005"/>
    <n v="-34.72"/>
    <n v="1268"/>
    <n v="1"/>
    <n v="1"/>
  </r>
  <r>
    <m/>
    <m/>
    <x v="1"/>
    <s v="49211191004006"/>
    <n v="-99.33"/>
    <n v="3628"/>
    <n v="1"/>
    <n v="1"/>
  </r>
  <r>
    <m/>
    <m/>
    <x v="1"/>
    <s v="49262361003001"/>
    <n v="-57.14"/>
    <n v="2087"/>
    <n v="1"/>
    <n v="1"/>
  </r>
  <r>
    <m/>
    <m/>
    <x v="1"/>
    <s v="49267961004003"/>
    <n v="-22.45"/>
    <n v="820"/>
    <n v="1"/>
    <n v="1"/>
  </r>
  <r>
    <m/>
    <m/>
    <x v="1"/>
    <s v="49276056001005"/>
    <n v="-80.22"/>
    <n v="2930"/>
    <n v="1"/>
    <n v="1"/>
  </r>
  <r>
    <m/>
    <m/>
    <x v="1"/>
    <s v="49298970001001"/>
    <n v="-33.46"/>
    <n v="1222"/>
    <n v="1"/>
    <n v="1"/>
  </r>
  <r>
    <m/>
    <m/>
    <x v="1"/>
    <s v="49315865001001"/>
    <n v="-16.100000000000001"/>
    <n v="588"/>
    <n v="1"/>
    <n v="1"/>
  </r>
  <r>
    <m/>
    <m/>
    <x v="1"/>
    <s v="49334601005001"/>
    <n v="-19.96"/>
    <n v="729"/>
    <n v="1"/>
    <n v="1"/>
  </r>
  <r>
    <m/>
    <m/>
    <x v="1"/>
    <s v="49371491001002"/>
    <n v="-56.02"/>
    <n v="2046"/>
    <n v="1"/>
    <n v="1"/>
  </r>
  <r>
    <m/>
    <m/>
    <x v="1"/>
    <s v="49436870001001"/>
    <n v="-37.1"/>
    <n v="1355"/>
    <n v="1"/>
    <n v="1"/>
  </r>
  <r>
    <m/>
    <m/>
    <x v="1"/>
    <s v="49448561001001"/>
    <n v="-64.319999999999993"/>
    <n v="2349"/>
    <n v="1"/>
    <n v="1"/>
  </r>
  <r>
    <m/>
    <m/>
    <x v="1"/>
    <s v="49495461002007"/>
    <n v="-17.36"/>
    <n v="634"/>
    <n v="1"/>
    <n v="1"/>
  </r>
  <r>
    <m/>
    <m/>
    <x v="1"/>
    <s v="49495741001001"/>
    <n v="-39.67"/>
    <n v="1449"/>
    <n v="1"/>
    <n v="1"/>
  </r>
  <r>
    <m/>
    <m/>
    <x v="1"/>
    <s v="49528221002003"/>
    <n v="-61.17"/>
    <n v="2234"/>
    <n v="1"/>
    <n v="1"/>
  </r>
  <r>
    <m/>
    <m/>
    <x v="1"/>
    <s v="49549801001003"/>
    <n v="-43.64"/>
    <n v="1594"/>
    <n v="1"/>
    <n v="1"/>
  </r>
  <r>
    <m/>
    <m/>
    <x v="1"/>
    <s v="49580313001008"/>
    <n v="-32.28"/>
    <n v="1179"/>
    <n v="1"/>
    <n v="1"/>
  </r>
  <r>
    <m/>
    <m/>
    <x v="1"/>
    <s v="49600181003002"/>
    <n v="-44.93"/>
    <n v="1641"/>
    <n v="1"/>
    <n v="1"/>
  </r>
  <r>
    <m/>
    <m/>
    <x v="1"/>
    <s v="49613481002001"/>
    <n v="-62.97"/>
    <n v="2300"/>
    <n v="1"/>
    <n v="1"/>
  </r>
  <r>
    <m/>
    <m/>
    <x v="1"/>
    <s v="49649391002003"/>
    <n v="-49.89"/>
    <n v="1822"/>
    <n v="1"/>
    <n v="1"/>
  </r>
  <r>
    <m/>
    <m/>
    <x v="1"/>
    <s v="49702654001002"/>
    <n v="-12.65"/>
    <n v="462"/>
    <n v="1"/>
    <n v="1"/>
  </r>
  <r>
    <m/>
    <m/>
    <x v="1"/>
    <s v="49705321003001"/>
    <n v="-52.79"/>
    <n v="1928"/>
    <n v="1"/>
    <n v="1"/>
  </r>
  <r>
    <m/>
    <m/>
    <x v="1"/>
    <s v="49717151001001"/>
    <n v="-53.99"/>
    <n v="1972"/>
    <n v="1"/>
    <n v="1"/>
  </r>
  <r>
    <m/>
    <m/>
    <x v="1"/>
    <s v="49762441001002"/>
    <n v="-6"/>
    <n v="219"/>
    <n v="1"/>
    <n v="1"/>
  </r>
  <r>
    <m/>
    <m/>
    <x v="1"/>
    <s v="49866391001002"/>
    <n v="-27.71"/>
    <n v="1012"/>
    <n v="1"/>
    <n v="1"/>
  </r>
  <r>
    <m/>
    <m/>
    <x v="1"/>
    <s v="49916861001001"/>
    <n v="-34.53"/>
    <n v="1261"/>
    <n v="1"/>
    <n v="1"/>
  </r>
  <r>
    <m/>
    <m/>
    <x v="1"/>
    <s v="49949341001003"/>
    <n v="-7.15"/>
    <n v="261"/>
    <n v="1"/>
    <n v="1"/>
  </r>
  <r>
    <m/>
    <m/>
    <x v="1"/>
    <s v="49950321001002"/>
    <n v="-6.08"/>
    <n v="222"/>
    <n v="1"/>
    <n v="1"/>
  </r>
  <r>
    <m/>
    <m/>
    <x v="1"/>
    <s v="49987071002003"/>
    <n v="-18.34"/>
    <n v="670"/>
    <n v="1"/>
    <n v="1"/>
  </r>
  <r>
    <m/>
    <m/>
    <x v="1"/>
    <s v="49992415001001"/>
    <n v="-22.89"/>
    <n v="836"/>
    <n v="1"/>
    <n v="1"/>
  </r>
  <r>
    <m/>
    <m/>
    <x v="1"/>
    <s v="50032081001001"/>
    <n v="-67.459999999999994"/>
    <n v="2464"/>
    <n v="1"/>
    <n v="1"/>
  </r>
  <r>
    <m/>
    <m/>
    <x v="1"/>
    <s v="50034111002001"/>
    <n v="-46.79"/>
    <n v="1709"/>
    <n v="1"/>
    <n v="1"/>
  </r>
  <r>
    <m/>
    <m/>
    <x v="1"/>
    <s v="50095781001001"/>
    <n v="-28.56"/>
    <n v="1043"/>
    <n v="1"/>
    <n v="1"/>
  </r>
  <r>
    <m/>
    <m/>
    <x v="1"/>
    <s v="50112861003001"/>
    <n v="-56.32"/>
    <n v="2057"/>
    <n v="1"/>
    <n v="1"/>
  </r>
  <r>
    <m/>
    <m/>
    <x v="1"/>
    <s v="50132391002001"/>
    <n v="-27.79"/>
    <n v="1015"/>
    <n v="1"/>
    <n v="1"/>
  </r>
  <r>
    <m/>
    <m/>
    <x v="1"/>
    <s v="50173481004001"/>
    <n v="-4.41"/>
    <n v="161"/>
    <n v="1"/>
    <n v="1"/>
  </r>
  <r>
    <m/>
    <m/>
    <x v="1"/>
    <s v="50180411011001"/>
    <n v="-30.83"/>
    <n v="1126"/>
    <n v="1"/>
    <n v="1"/>
  </r>
  <r>
    <m/>
    <m/>
    <x v="1"/>
    <s v="50186781001001"/>
    <n v="-56.35"/>
    <n v="2058"/>
    <n v="1"/>
    <n v="1"/>
  </r>
  <r>
    <m/>
    <m/>
    <x v="1"/>
    <s v="50198191001001"/>
    <n v="-61.96"/>
    <n v="2263"/>
    <n v="1"/>
    <n v="1"/>
  </r>
  <r>
    <m/>
    <m/>
    <x v="1"/>
    <s v="50234784001005"/>
    <n v="-56.13"/>
    <n v="2050"/>
    <n v="1"/>
    <n v="1"/>
  </r>
  <r>
    <m/>
    <m/>
    <x v="1"/>
    <s v="50249641001001"/>
    <n v="-65.41"/>
    <n v="2389"/>
    <n v="1"/>
    <n v="1"/>
  </r>
  <r>
    <m/>
    <m/>
    <x v="1"/>
    <s v="50292481001005"/>
    <n v="-16.02"/>
    <n v="585"/>
    <n v="1"/>
    <n v="1"/>
  </r>
  <r>
    <m/>
    <m/>
    <x v="1"/>
    <s v="50305221001001"/>
    <n v="-60.54"/>
    <n v="2211"/>
    <n v="1"/>
    <n v="1"/>
  </r>
  <r>
    <m/>
    <m/>
    <x v="1"/>
    <s v="50368711001001"/>
    <n v="-63.85"/>
    <n v="2332"/>
    <n v="1"/>
    <n v="1"/>
  </r>
  <r>
    <m/>
    <m/>
    <x v="1"/>
    <s v="50396906001003"/>
    <n v="-106.65"/>
    <n v="3895"/>
    <n v="1"/>
    <n v="1"/>
  </r>
  <r>
    <m/>
    <m/>
    <x v="1"/>
    <s v="50425271002004"/>
    <n v="-8.19"/>
    <n v="299"/>
    <n v="1"/>
    <n v="1"/>
  </r>
  <r>
    <m/>
    <m/>
    <x v="1"/>
    <s v="50427931002003"/>
    <n v="-14.65"/>
    <n v="535"/>
    <n v="1"/>
    <n v="1"/>
  </r>
  <r>
    <m/>
    <m/>
    <x v="1"/>
    <s v="50448651006001"/>
    <n v="-38.33"/>
    <n v="1400"/>
    <n v="1"/>
    <n v="1"/>
  </r>
  <r>
    <m/>
    <m/>
    <x v="1"/>
    <s v="50707351001003"/>
    <n v="-103.09"/>
    <n v="3765"/>
    <n v="1"/>
    <n v="1"/>
  </r>
  <r>
    <m/>
    <m/>
    <x v="1"/>
    <s v="50737681001001"/>
    <n v="-51.47"/>
    <n v="1880"/>
    <n v="1"/>
    <n v="1"/>
  </r>
  <r>
    <m/>
    <m/>
    <x v="1"/>
    <s v="50739851009002"/>
    <n v="-24.15"/>
    <n v="882"/>
    <n v="1"/>
    <n v="1"/>
  </r>
  <r>
    <m/>
    <m/>
    <x v="1"/>
    <s v="50740761001001"/>
    <n v="-106.23"/>
    <n v="3880"/>
    <n v="1"/>
    <n v="1"/>
  </r>
  <r>
    <m/>
    <m/>
    <x v="1"/>
    <s v="50750911003002"/>
    <n v="-13.03"/>
    <n v="476"/>
    <n v="1"/>
    <n v="1"/>
  </r>
  <r>
    <m/>
    <m/>
    <x v="1"/>
    <s v="50757911001003"/>
    <n v="-39.590000000000003"/>
    <n v="1446"/>
    <n v="1"/>
    <n v="1"/>
  </r>
  <r>
    <m/>
    <m/>
    <x v="1"/>
    <s v="50773731001001"/>
    <n v="-21.85"/>
    <n v="798"/>
    <n v="1"/>
    <n v="1"/>
  </r>
  <r>
    <m/>
    <m/>
    <x v="1"/>
    <s v="50774501001001"/>
    <n v="-59.63"/>
    <n v="2178"/>
    <n v="1"/>
    <n v="1"/>
  </r>
  <r>
    <m/>
    <m/>
    <x v="1"/>
    <s v="50779261003001"/>
    <n v="-10.84"/>
    <n v="396"/>
    <n v="1"/>
    <n v="1"/>
  </r>
  <r>
    <m/>
    <m/>
    <x v="1"/>
    <s v="50806272001001"/>
    <n v="-49.72"/>
    <n v="1816"/>
    <n v="1"/>
    <n v="1"/>
  </r>
  <r>
    <m/>
    <m/>
    <x v="1"/>
    <s v="50841001001001"/>
    <n v="-1.89"/>
    <n v="69"/>
    <n v="1"/>
    <n v="1"/>
  </r>
  <r>
    <m/>
    <m/>
    <x v="1"/>
    <s v="50849401001002"/>
    <n v="-41.51"/>
    <n v="1516"/>
    <n v="1"/>
    <n v="1"/>
  </r>
  <r>
    <m/>
    <m/>
    <x v="1"/>
    <s v="50858361001001"/>
    <n v="-48.35"/>
    <n v="1766"/>
    <n v="1"/>
    <n v="1"/>
  </r>
  <r>
    <m/>
    <m/>
    <x v="1"/>
    <s v="50858501001001"/>
    <n v="-2.77"/>
    <n v="101"/>
    <n v="1"/>
    <n v="1"/>
  </r>
  <r>
    <m/>
    <m/>
    <x v="1"/>
    <s v="50940891001005"/>
    <n v="-9.25"/>
    <n v="338"/>
    <n v="1"/>
    <n v="1"/>
  </r>
  <r>
    <m/>
    <m/>
    <x v="1"/>
    <s v="50944181001001"/>
    <n v="-6.3"/>
    <n v="230"/>
    <n v="1"/>
    <n v="1"/>
  </r>
  <r>
    <m/>
    <m/>
    <x v="1"/>
    <s v="50968331001004"/>
    <n v="-25.68"/>
    <n v="938"/>
    <n v="1"/>
    <n v="1"/>
  </r>
  <r>
    <m/>
    <m/>
    <x v="1"/>
    <s v="50998792001002"/>
    <n v="-41.73"/>
    <n v="1524"/>
    <n v="1"/>
    <n v="1"/>
  </r>
  <r>
    <m/>
    <m/>
    <x v="1"/>
    <s v="51002281001001"/>
    <n v="-47.59"/>
    <n v="1738"/>
    <n v="1"/>
    <n v="1"/>
  </r>
  <r>
    <m/>
    <m/>
    <x v="1"/>
    <s v="51002491002001"/>
    <n v="-15.39"/>
    <n v="562"/>
    <n v="1"/>
    <n v="1"/>
  </r>
  <r>
    <m/>
    <m/>
    <x v="1"/>
    <s v="51004521001001"/>
    <n v="-31.62"/>
    <n v="1155"/>
    <n v="1"/>
    <n v="1"/>
  </r>
  <r>
    <m/>
    <m/>
    <x v="1"/>
    <s v="51005081004002"/>
    <n v="-32.01"/>
    <n v="1169"/>
    <n v="1"/>
    <n v="1"/>
  </r>
  <r>
    <m/>
    <m/>
    <x v="1"/>
    <s v="51006481001002"/>
    <n v="-4.63"/>
    <n v="169"/>
    <n v="1"/>
    <n v="1"/>
  </r>
  <r>
    <m/>
    <m/>
    <x v="1"/>
    <s v="51007181001003"/>
    <n v="-11.91"/>
    <n v="435"/>
    <n v="1"/>
    <n v="1"/>
  </r>
  <r>
    <m/>
    <m/>
    <x v="1"/>
    <s v="51009071001001"/>
    <n v="-45.4"/>
    <n v="1658"/>
    <n v="1"/>
    <n v="1"/>
  </r>
  <r>
    <m/>
    <m/>
    <x v="1"/>
    <s v="51010191001001"/>
    <n v="-19.47"/>
    <n v="711"/>
    <n v="1"/>
    <n v="1"/>
  </r>
  <r>
    <m/>
    <m/>
    <x v="1"/>
    <s v="51027411002001"/>
    <n v="-10.19"/>
    <n v="372"/>
    <n v="1"/>
    <n v="1"/>
  </r>
  <r>
    <m/>
    <m/>
    <x v="1"/>
    <s v="51044080001001"/>
    <n v="-27.19"/>
    <n v="993"/>
    <n v="1"/>
    <n v="1"/>
  </r>
  <r>
    <m/>
    <m/>
    <x v="1"/>
    <s v="51045401001001"/>
    <n v="-77.73"/>
    <n v="2839"/>
    <n v="1"/>
    <n v="1"/>
  </r>
  <r>
    <m/>
    <m/>
    <x v="1"/>
    <s v="51050021001002"/>
    <n v="-33.049999999999997"/>
    <n v="1207"/>
    <n v="1"/>
    <n v="1"/>
  </r>
  <r>
    <m/>
    <m/>
    <x v="1"/>
    <s v="51050721001002"/>
    <n v="-37.29"/>
    <n v="1362"/>
    <n v="1"/>
    <n v="1"/>
  </r>
  <r>
    <m/>
    <m/>
    <x v="1"/>
    <s v="51053871001001"/>
    <n v="-14.54"/>
    <n v="531"/>
    <n v="1"/>
    <n v="1"/>
  </r>
  <r>
    <m/>
    <m/>
    <x v="1"/>
    <s v="51067101001006"/>
    <n v="-35.46"/>
    <n v="1295"/>
    <n v="1"/>
    <n v="1"/>
  </r>
  <r>
    <m/>
    <m/>
    <x v="1"/>
    <s v="51068641001003"/>
    <n v="-60.02"/>
    <n v="2192"/>
    <n v="1"/>
    <n v="1"/>
  </r>
  <r>
    <m/>
    <m/>
    <x v="1"/>
    <s v="51082221002003"/>
    <n v="-58.89"/>
    <n v="2151"/>
    <n v="1"/>
    <n v="1"/>
  </r>
  <r>
    <m/>
    <m/>
    <x v="1"/>
    <s v="51093652001008"/>
    <n v="-77.87"/>
    <n v="2844"/>
    <n v="1"/>
    <n v="1"/>
  </r>
  <r>
    <m/>
    <m/>
    <x v="1"/>
    <s v="51098181001001"/>
    <n v="-32.909999999999997"/>
    <n v="1202"/>
    <n v="1"/>
    <n v="1"/>
  </r>
  <r>
    <m/>
    <m/>
    <x v="1"/>
    <s v="51100771003002"/>
    <n v="-88.77"/>
    <n v="3242"/>
    <n v="1"/>
    <n v="1"/>
  </r>
  <r>
    <m/>
    <m/>
    <x v="1"/>
    <s v="51106511001005"/>
    <n v="-51.72"/>
    <n v="1889"/>
    <n v="1"/>
    <n v="1"/>
  </r>
  <r>
    <m/>
    <m/>
    <x v="1"/>
    <s v="51107421001001"/>
    <n v="-62.84"/>
    <n v="2295"/>
    <n v="1"/>
    <n v="1"/>
  </r>
  <r>
    <m/>
    <m/>
    <x v="1"/>
    <s v="51112881010001"/>
    <n v="-64.92"/>
    <n v="2371"/>
    <n v="1"/>
    <n v="1"/>
  </r>
  <r>
    <m/>
    <m/>
    <x v="1"/>
    <s v="51115261001003"/>
    <n v="-22.37"/>
    <n v="817"/>
    <n v="1"/>
    <n v="1"/>
  </r>
  <r>
    <m/>
    <m/>
    <x v="1"/>
    <s v="51118901001001"/>
    <n v="-47.72"/>
    <n v="1743"/>
    <n v="1"/>
    <n v="1"/>
  </r>
  <r>
    <m/>
    <m/>
    <x v="1"/>
    <s v="51122961001001"/>
    <n v="-7.75"/>
    <n v="283"/>
    <n v="1"/>
    <n v="1"/>
  </r>
  <r>
    <m/>
    <m/>
    <x v="1"/>
    <s v="51133041002001"/>
    <n v="-48.13"/>
    <n v="1758"/>
    <n v="1"/>
    <n v="1"/>
  </r>
  <r>
    <m/>
    <m/>
    <x v="1"/>
    <s v="51136961001002"/>
    <n v="-40.71"/>
    <n v="1487"/>
    <n v="1"/>
    <n v="1"/>
  </r>
  <r>
    <m/>
    <m/>
    <x v="1"/>
    <s v="51138571001004"/>
    <n v="-40.14"/>
    <n v="1466"/>
    <n v="1"/>
    <n v="1"/>
  </r>
  <r>
    <m/>
    <m/>
    <x v="1"/>
    <s v="51151311001002"/>
    <n v="-43.97"/>
    <n v="1606"/>
    <n v="1"/>
    <n v="1"/>
  </r>
  <r>
    <m/>
    <m/>
    <x v="1"/>
    <s v="51155161001001"/>
    <n v="-24.29"/>
    <n v="887"/>
    <n v="1"/>
    <n v="1"/>
  </r>
  <r>
    <m/>
    <m/>
    <x v="1"/>
    <s v="51155231001001"/>
    <n v="-40.06"/>
    <n v="1463"/>
    <n v="1"/>
    <n v="1"/>
  </r>
  <r>
    <m/>
    <m/>
    <x v="1"/>
    <s v="51158731001003"/>
    <n v="-11.01"/>
    <n v="402"/>
    <n v="1"/>
    <n v="1"/>
  </r>
  <r>
    <m/>
    <m/>
    <x v="1"/>
    <s v="51165031001003"/>
    <n v="-32.97"/>
    <n v="1204"/>
    <n v="1"/>
    <n v="1"/>
  </r>
  <r>
    <m/>
    <m/>
    <x v="1"/>
    <s v="51166641001002"/>
    <n v="-78.010000000000005"/>
    <n v="2849"/>
    <n v="1"/>
    <n v="1"/>
  </r>
  <r>
    <m/>
    <m/>
    <x v="1"/>
    <s v="51169231001001"/>
    <n v="-31.21"/>
    <n v="1140"/>
    <n v="1"/>
    <n v="1"/>
  </r>
  <r>
    <m/>
    <m/>
    <x v="1"/>
    <s v="51173361004001"/>
    <n v="-14.32"/>
    <n v="523"/>
    <n v="1"/>
    <n v="1"/>
  </r>
  <r>
    <m/>
    <m/>
    <x v="1"/>
    <s v="51175111003001"/>
    <n v="-23.63"/>
    <n v="863"/>
    <n v="1"/>
    <n v="1"/>
  </r>
  <r>
    <m/>
    <m/>
    <x v="1"/>
    <s v="51195901003003"/>
    <n v="-43.48"/>
    <n v="1588"/>
    <n v="1"/>
    <n v="1"/>
  </r>
  <r>
    <m/>
    <m/>
    <x v="1"/>
    <s v="51198001001002"/>
    <n v="-14.62"/>
    <n v="534"/>
    <n v="1"/>
    <n v="1"/>
  </r>
  <r>
    <m/>
    <m/>
    <x v="1"/>
    <s v="51198211001002"/>
    <n v="-50.54"/>
    <n v="1846"/>
    <n v="1"/>
    <n v="1"/>
  </r>
  <r>
    <m/>
    <m/>
    <x v="1"/>
    <s v="51204931003005"/>
    <n v="-26.86"/>
    <n v="981"/>
    <n v="1"/>
    <n v="1"/>
  </r>
  <r>
    <m/>
    <m/>
    <x v="1"/>
    <s v="51211861001003"/>
    <n v="-2"/>
    <n v="73"/>
    <n v="1"/>
    <n v="1"/>
  </r>
  <r>
    <m/>
    <m/>
    <x v="1"/>
    <s v="51222851001001"/>
    <n v="-22.48"/>
    <n v="821"/>
    <n v="1"/>
    <n v="1"/>
  </r>
  <r>
    <m/>
    <m/>
    <x v="1"/>
    <s v="51227051001001"/>
    <n v="-15.55"/>
    <n v="568"/>
    <n v="1"/>
    <n v="1"/>
  </r>
  <r>
    <m/>
    <m/>
    <x v="1"/>
    <s v="51230691001001"/>
    <n v="-39.18"/>
    <n v="1431"/>
    <n v="1"/>
    <n v="1"/>
  </r>
  <r>
    <m/>
    <m/>
    <x v="1"/>
    <s v="51232231001002"/>
    <n v="-33.79"/>
    <n v="1234"/>
    <n v="1"/>
    <n v="1"/>
  </r>
  <r>
    <m/>
    <m/>
    <x v="1"/>
    <s v="51236151001001"/>
    <n v="-70.72"/>
    <n v="2583"/>
    <n v="1"/>
    <n v="1"/>
  </r>
  <r>
    <m/>
    <m/>
    <x v="1"/>
    <s v="51328341003001"/>
    <n v="-44.63"/>
    <n v="1630"/>
    <n v="1"/>
    <n v="1"/>
  </r>
  <r>
    <m/>
    <m/>
    <x v="1"/>
    <s v="51333171001001"/>
    <n v="-78.22"/>
    <n v="2857"/>
    <n v="1"/>
    <n v="1"/>
  </r>
  <r>
    <m/>
    <m/>
    <x v="1"/>
    <s v="51334011001001"/>
    <n v="-74.91"/>
    <n v="2736"/>
    <n v="1"/>
    <n v="1"/>
  </r>
  <r>
    <m/>
    <m/>
    <x v="1"/>
    <s v="51335971001001"/>
    <n v="-60.92"/>
    <n v="2225"/>
    <n v="1"/>
    <n v="1"/>
  </r>
  <r>
    <m/>
    <m/>
    <x v="1"/>
    <s v="51344791001003"/>
    <n v="-50.21"/>
    <n v="1834"/>
    <n v="1"/>
    <n v="1"/>
  </r>
  <r>
    <m/>
    <m/>
    <x v="1"/>
    <s v="51351441001005"/>
    <n v="-42.22"/>
    <n v="1542"/>
    <n v="1"/>
    <n v="1"/>
  </r>
  <r>
    <m/>
    <m/>
    <x v="1"/>
    <s v="51386021001001"/>
    <n v="-3.56"/>
    <n v="130"/>
    <n v="1"/>
    <n v="1"/>
  </r>
  <r>
    <m/>
    <m/>
    <x v="1"/>
    <s v="51405131001001"/>
    <n v="-40.44"/>
    <n v="1477"/>
    <n v="1"/>
    <n v="1"/>
  </r>
  <r>
    <m/>
    <m/>
    <x v="1"/>
    <s v="51416681001001"/>
    <n v="-43.97"/>
    <n v="1606"/>
    <n v="1"/>
    <n v="1"/>
  </r>
  <r>
    <m/>
    <m/>
    <x v="1"/>
    <s v="51456371002001"/>
    <n v="-1.04"/>
    <n v="38"/>
    <n v="1"/>
    <n v="1"/>
  </r>
  <r>
    <m/>
    <m/>
    <x v="1"/>
    <s v="51462741002002"/>
    <n v="-51.06"/>
    <n v="1865"/>
    <n v="1"/>
    <n v="1"/>
  </r>
  <r>
    <m/>
    <m/>
    <x v="1"/>
    <s v="51508923001001"/>
    <n v="-43.32"/>
    <n v="1582"/>
    <n v="1"/>
    <n v="1"/>
  </r>
  <r>
    <m/>
    <m/>
    <x v="1"/>
    <s v="51513351001001"/>
    <n v="-41.18"/>
    <n v="1504"/>
    <n v="1"/>
    <n v="1"/>
  </r>
  <r>
    <m/>
    <m/>
    <x v="1"/>
    <s v="51514331001001"/>
    <n v="-21.36"/>
    <n v="780"/>
    <n v="1"/>
    <n v="1"/>
  </r>
  <r>
    <m/>
    <m/>
    <x v="1"/>
    <s v="51519861001003"/>
    <n v="-36.549999999999997"/>
    <n v="1335"/>
    <n v="1"/>
    <n v="1"/>
  </r>
  <r>
    <m/>
    <m/>
    <x v="1"/>
    <s v="51525601001002"/>
    <n v="-14.57"/>
    <n v="532"/>
    <n v="1"/>
    <n v="1"/>
  </r>
  <r>
    <m/>
    <m/>
    <x v="1"/>
    <s v="51529534001001"/>
    <n v="-31.71"/>
    <n v="1158"/>
    <n v="1"/>
    <n v="1"/>
  </r>
  <r>
    <m/>
    <m/>
    <x v="1"/>
    <s v="51531201001001"/>
    <n v="-19.079999999999998"/>
    <n v="697"/>
    <n v="1"/>
    <n v="1"/>
  </r>
  <r>
    <m/>
    <m/>
    <x v="1"/>
    <s v="51536031001001"/>
    <n v="-15.96"/>
    <n v="583"/>
    <n v="1"/>
    <n v="1"/>
  </r>
  <r>
    <m/>
    <m/>
    <x v="1"/>
    <s v="51555701001005"/>
    <n v="-37.049999999999997"/>
    <n v="1353"/>
    <n v="1"/>
    <n v="1"/>
  </r>
  <r>
    <m/>
    <m/>
    <x v="1"/>
    <s v="51560951001001"/>
    <n v="-55.69"/>
    <n v="2034"/>
    <n v="1"/>
    <n v="1"/>
  </r>
  <r>
    <m/>
    <m/>
    <x v="1"/>
    <s v="51567531001002"/>
    <n v="-31.16"/>
    <n v="1138"/>
    <n v="1"/>
    <n v="1"/>
  </r>
  <r>
    <m/>
    <m/>
    <x v="1"/>
    <s v="51578031001001"/>
    <n v="-39.24"/>
    <n v="1433"/>
    <n v="1"/>
    <n v="1"/>
  </r>
  <r>
    <m/>
    <m/>
    <x v="1"/>
    <s v="51579291002005"/>
    <n v="-29.3"/>
    <n v="1070"/>
    <n v="1"/>
    <n v="1"/>
  </r>
  <r>
    <m/>
    <m/>
    <x v="1"/>
    <s v="51591471001001"/>
    <n v="-27.22"/>
    <n v="994"/>
    <n v="1"/>
    <n v="1"/>
  </r>
  <r>
    <m/>
    <m/>
    <x v="1"/>
    <s v="51597701001005"/>
    <n v="-6.95"/>
    <n v="254"/>
    <n v="1"/>
    <n v="1"/>
  </r>
  <r>
    <m/>
    <m/>
    <x v="1"/>
    <s v="51603091001001"/>
    <n v="-55.66"/>
    <n v="2033"/>
    <n v="1"/>
    <n v="1"/>
  </r>
  <r>
    <m/>
    <m/>
    <x v="1"/>
    <s v="51603441001001"/>
    <n v="-34.01"/>
    <n v="1242"/>
    <n v="1"/>
    <n v="1"/>
  </r>
  <r>
    <m/>
    <m/>
    <x v="1"/>
    <s v="51604071001005"/>
    <n v="-9.0399999999999991"/>
    <n v="330"/>
    <n v="1"/>
    <n v="1"/>
  </r>
  <r>
    <m/>
    <m/>
    <x v="1"/>
    <s v="51616671002003"/>
    <n v="-62.92"/>
    <n v="2298"/>
    <n v="1"/>
    <n v="1"/>
  </r>
  <r>
    <m/>
    <m/>
    <x v="1"/>
    <s v="51618981001001"/>
    <n v="-48.11"/>
    <n v="1757"/>
    <n v="1"/>
    <n v="1"/>
  </r>
  <r>
    <m/>
    <m/>
    <x v="1"/>
    <s v="51625841001001"/>
    <n v="-30.64"/>
    <n v="1119"/>
    <n v="1"/>
    <n v="1"/>
  </r>
  <r>
    <m/>
    <m/>
    <x v="1"/>
    <s v="51625911001001"/>
    <n v="-6.9"/>
    <n v="252"/>
    <n v="1"/>
    <n v="1"/>
  </r>
  <r>
    <m/>
    <m/>
    <x v="1"/>
    <s v="51627031001001"/>
    <n v="-28.17"/>
    <n v="1029"/>
    <n v="1"/>
    <n v="1"/>
  </r>
  <r>
    <m/>
    <m/>
    <x v="1"/>
    <s v="51665573001001"/>
    <n v="-38.520000000000003"/>
    <n v="1407"/>
    <n v="1"/>
    <n v="1"/>
  </r>
  <r>
    <m/>
    <m/>
    <x v="1"/>
    <s v="51709201001002"/>
    <n v="-25.71"/>
    <n v="939"/>
    <n v="1"/>
    <n v="1"/>
  </r>
  <r>
    <m/>
    <m/>
    <x v="1"/>
    <s v="51804380001001"/>
    <n v="-41.32"/>
    <n v="1509"/>
    <n v="1"/>
    <n v="1"/>
  </r>
  <r>
    <m/>
    <m/>
    <x v="1"/>
    <s v="51917069001003"/>
    <n v="-12.46"/>
    <n v="455"/>
    <n v="1"/>
    <n v="1"/>
  </r>
  <r>
    <m/>
    <m/>
    <x v="1"/>
    <s v="52062336001003"/>
    <n v="-5.42"/>
    <n v="198"/>
    <n v="1"/>
    <n v="1"/>
  </r>
  <r>
    <m/>
    <m/>
    <x v="1"/>
    <s v="52150699001001"/>
    <n v="-33.130000000000003"/>
    <n v="1210"/>
    <n v="1"/>
    <n v="1"/>
  </r>
  <r>
    <m/>
    <m/>
    <x v="1"/>
    <s v="52236917004001"/>
    <n v="-26.81"/>
    <n v="979"/>
    <n v="1"/>
    <n v="1"/>
  </r>
  <r>
    <m/>
    <m/>
    <x v="1"/>
    <s v="52300638004001"/>
    <n v="-14.13"/>
    <n v="516"/>
    <n v="1"/>
    <n v="1"/>
  </r>
  <r>
    <m/>
    <m/>
    <x v="1"/>
    <s v="52411414001001"/>
    <n v="-52.27"/>
    <n v="1909"/>
    <n v="1"/>
    <n v="1"/>
  </r>
  <r>
    <m/>
    <m/>
    <x v="1"/>
    <s v="52724555001001"/>
    <n v="-71.739999999999995"/>
    <n v="2620"/>
    <n v="1"/>
    <n v="1"/>
  </r>
  <r>
    <m/>
    <m/>
    <x v="1"/>
    <s v="53001899001007"/>
    <n v="-65.680000000000007"/>
    <n v="2399"/>
    <n v="1"/>
    <n v="1"/>
  </r>
  <r>
    <m/>
    <m/>
    <x v="1"/>
    <s v="53097867001003"/>
    <n v="-32.83"/>
    <n v="1199"/>
    <n v="1"/>
    <n v="1"/>
  </r>
  <r>
    <m/>
    <m/>
    <x v="1"/>
    <s v="53296048001001"/>
    <n v="-21.63"/>
    <n v="790"/>
    <n v="1"/>
    <n v="1"/>
  </r>
  <r>
    <m/>
    <m/>
    <x v="1"/>
    <s v="53307067003008"/>
    <n v="-69.52"/>
    <n v="2539"/>
    <n v="1"/>
    <n v="1"/>
  </r>
  <r>
    <m/>
    <m/>
    <x v="1"/>
    <s v="53513269001001"/>
    <n v="-38.28"/>
    <n v="1398"/>
    <n v="1"/>
    <n v="1"/>
  </r>
  <r>
    <m/>
    <m/>
    <x v="1"/>
    <s v="53697250001001"/>
    <n v="-38.96"/>
    <n v="1423"/>
    <n v="1"/>
    <n v="1"/>
  </r>
  <r>
    <m/>
    <m/>
    <x v="1"/>
    <s v="53915118004001"/>
    <n v="-44.25"/>
    <n v="1616"/>
    <n v="1"/>
    <n v="1"/>
  </r>
  <r>
    <m/>
    <m/>
    <x v="1"/>
    <s v="54346046001001"/>
    <n v="-33.869999999999997"/>
    <n v="1237"/>
    <n v="1"/>
    <n v="1"/>
  </r>
  <r>
    <m/>
    <m/>
    <x v="1"/>
    <s v="54604589002003"/>
    <n v="-5.37"/>
    <n v="196"/>
    <n v="1"/>
    <n v="1"/>
  </r>
  <r>
    <m/>
    <m/>
    <x v="1"/>
    <s v="54684255001001"/>
    <n v="-35.29"/>
    <n v="1289"/>
    <n v="1"/>
    <n v="1"/>
  </r>
  <r>
    <m/>
    <m/>
    <x v="1"/>
    <s v="54687727001003"/>
    <n v="-7.94"/>
    <n v="290"/>
    <n v="1"/>
    <n v="1"/>
  </r>
  <r>
    <m/>
    <m/>
    <x v="1"/>
    <s v="54706933001001"/>
    <n v="-50.11"/>
    <n v="1830"/>
    <n v="1"/>
    <n v="1"/>
  </r>
  <r>
    <m/>
    <m/>
    <x v="1"/>
    <s v="54980338001003"/>
    <n v="-57.55"/>
    <n v="2102"/>
    <n v="1"/>
    <n v="1"/>
  </r>
  <r>
    <m/>
    <m/>
    <x v="1"/>
    <s v="55160758001002"/>
    <n v="-41.76"/>
    <n v="1525"/>
    <n v="2"/>
    <n v="1"/>
  </r>
  <r>
    <m/>
    <m/>
    <x v="1"/>
    <s v="55334382001001"/>
    <n v="-37.67"/>
    <n v="1376"/>
    <n v="1"/>
    <n v="1"/>
  </r>
  <r>
    <m/>
    <m/>
    <x v="1"/>
    <s v="55371499001001"/>
    <n v="-21.9"/>
    <n v="800"/>
    <n v="1"/>
    <n v="1"/>
  </r>
  <r>
    <m/>
    <m/>
    <x v="1"/>
    <s v="55515315001002"/>
    <n v="-59.96"/>
    <n v="2190"/>
    <n v="1"/>
    <n v="1"/>
  </r>
  <r>
    <m/>
    <m/>
    <x v="1"/>
    <s v="55986304001001"/>
    <n v="-57.06"/>
    <n v="2084"/>
    <n v="1"/>
    <n v="1"/>
  </r>
  <r>
    <m/>
    <m/>
    <x v="1"/>
    <s v="56095941001001"/>
    <n v="-79.459999999999994"/>
    <n v="2902"/>
    <n v="1"/>
    <n v="1"/>
  </r>
  <r>
    <m/>
    <m/>
    <x v="1"/>
    <s v="56528096001002"/>
    <n v="-33.32"/>
    <n v="1217"/>
    <n v="1"/>
    <n v="1"/>
  </r>
  <r>
    <m/>
    <m/>
    <x v="1"/>
    <s v="57023876001009"/>
    <n v="-26.37"/>
    <n v="963"/>
    <n v="1"/>
    <n v="1"/>
  </r>
  <r>
    <m/>
    <m/>
    <x v="1"/>
    <s v="57038793001001"/>
    <n v="-100.81"/>
    <n v="3682"/>
    <n v="1"/>
    <n v="1"/>
  </r>
  <r>
    <m/>
    <m/>
    <x v="1"/>
    <s v="57157582001007"/>
    <n v="-38.44"/>
    <n v="1404"/>
    <n v="1"/>
    <n v="1"/>
  </r>
  <r>
    <m/>
    <m/>
    <x v="1"/>
    <s v="57422963001002"/>
    <n v="-37.78"/>
    <n v="1380"/>
    <n v="1"/>
    <n v="1"/>
  </r>
  <r>
    <m/>
    <m/>
    <x v="1"/>
    <s v="57564327001001"/>
    <n v="-14.92"/>
    <n v="545"/>
    <n v="1"/>
    <n v="1"/>
  </r>
  <r>
    <m/>
    <m/>
    <x v="1"/>
    <s v="57674970002001"/>
    <n v="-59.22"/>
    <n v="2163"/>
    <n v="1"/>
    <n v="1"/>
  </r>
  <r>
    <m/>
    <m/>
    <x v="1"/>
    <s v="57703524001001"/>
    <n v="-10.130000000000001"/>
    <n v="370"/>
    <n v="1"/>
    <n v="1"/>
  </r>
  <r>
    <m/>
    <m/>
    <x v="1"/>
    <s v="57722519001003"/>
    <n v="-18.86"/>
    <n v="689"/>
    <n v="1"/>
    <n v="1"/>
  </r>
  <r>
    <m/>
    <m/>
    <x v="1"/>
    <s v="57810254001002"/>
    <n v="-48.9"/>
    <n v="1786"/>
    <n v="1"/>
    <n v="1"/>
  </r>
  <r>
    <m/>
    <m/>
    <x v="1"/>
    <s v="58035525001001"/>
    <n v="-11.31"/>
    <n v="413"/>
    <n v="1"/>
    <n v="1"/>
  </r>
  <r>
    <m/>
    <m/>
    <x v="1"/>
    <s v="58232265001001"/>
    <n v="-20.149999999999999"/>
    <n v="736"/>
    <n v="1"/>
    <n v="1"/>
  </r>
  <r>
    <m/>
    <m/>
    <x v="1"/>
    <s v="58442302001005"/>
    <n v="-69.489999999999995"/>
    <n v="2538"/>
    <n v="1"/>
    <n v="1"/>
  </r>
  <r>
    <m/>
    <m/>
    <x v="1"/>
    <s v="58478126001001"/>
    <n v="-80.55"/>
    <n v="2942"/>
    <n v="1"/>
    <n v="1"/>
  </r>
  <r>
    <m/>
    <m/>
    <x v="1"/>
    <s v="58515961004001"/>
    <n v="-10.6"/>
    <n v="387"/>
    <n v="1"/>
    <n v="1"/>
  </r>
  <r>
    <m/>
    <m/>
    <x v="1"/>
    <s v="58591973002001"/>
    <n v="-39.92"/>
    <n v="1458"/>
    <n v="1"/>
    <n v="1"/>
  </r>
  <r>
    <m/>
    <m/>
    <x v="1"/>
    <s v="58719680001001"/>
    <n v="-23.88"/>
    <n v="872"/>
    <n v="1"/>
    <n v="1"/>
  </r>
  <r>
    <m/>
    <m/>
    <x v="1"/>
    <s v="58909021001001"/>
    <n v="-4.68"/>
    <n v="171"/>
    <n v="1"/>
    <n v="1"/>
  </r>
  <r>
    <m/>
    <m/>
    <x v="1"/>
    <s v="58961407001001"/>
    <n v="-5.67"/>
    <n v="207"/>
    <n v="1"/>
    <n v="1"/>
  </r>
  <r>
    <m/>
    <m/>
    <x v="1"/>
    <s v="59184633002001"/>
    <n v="-24.64"/>
    <n v="900"/>
    <n v="1"/>
    <n v="1"/>
  </r>
  <r>
    <m/>
    <m/>
    <x v="1"/>
    <s v="59521833001010"/>
    <n v="-83.97"/>
    <n v="3067"/>
    <n v="1"/>
    <n v="1"/>
  </r>
  <r>
    <m/>
    <m/>
    <x v="1"/>
    <s v="59739422001001"/>
    <n v="-45.04"/>
    <n v="1645"/>
    <n v="1"/>
    <n v="1"/>
  </r>
  <r>
    <m/>
    <m/>
    <x v="1"/>
    <s v="59766552006003"/>
    <n v="-6.38"/>
    <n v="233"/>
    <n v="1"/>
    <n v="1"/>
  </r>
  <r>
    <m/>
    <m/>
    <x v="1"/>
    <s v="60111846001007"/>
    <n v="-34.75"/>
    <n v="1269"/>
    <n v="1"/>
    <n v="1"/>
  </r>
  <r>
    <m/>
    <m/>
    <x v="1"/>
    <s v="60167588001001"/>
    <n v="-15.17"/>
    <n v="554"/>
    <n v="1"/>
    <n v="1"/>
  </r>
  <r>
    <m/>
    <m/>
    <x v="1"/>
    <s v="60524809001001"/>
    <n v="-68.069999999999993"/>
    <n v="2486"/>
    <n v="1"/>
    <n v="1"/>
  </r>
  <r>
    <m/>
    <m/>
    <x v="1"/>
    <s v="60536331001001"/>
    <n v="-41.18"/>
    <n v="1504"/>
    <n v="1"/>
    <n v="1"/>
  </r>
  <r>
    <m/>
    <m/>
    <x v="1"/>
    <s v="60599585001001"/>
    <n v="-20.43"/>
    <n v="746"/>
    <n v="1"/>
    <n v="1"/>
  </r>
  <r>
    <m/>
    <m/>
    <x v="1"/>
    <s v="60623325001001"/>
    <n v="-38.520000000000003"/>
    <n v="1407"/>
    <n v="1"/>
    <n v="1"/>
  </r>
  <r>
    <m/>
    <m/>
    <x v="1"/>
    <s v="60784386002002"/>
    <n v="-25.82"/>
    <n v="943"/>
    <n v="1"/>
    <n v="1"/>
  </r>
  <r>
    <m/>
    <m/>
    <x v="1"/>
    <s v="60957175001001"/>
    <n v="-14.51"/>
    <n v="530"/>
    <n v="1"/>
    <n v="1"/>
  </r>
  <r>
    <m/>
    <m/>
    <x v="1"/>
    <s v="61188221002001"/>
    <n v="-53.83"/>
    <n v="1966"/>
    <n v="1"/>
    <n v="1"/>
  </r>
  <r>
    <m/>
    <m/>
    <x v="1"/>
    <s v="61241854001001"/>
    <n v="-32.69"/>
    <n v="1194"/>
    <n v="1"/>
    <n v="1"/>
  </r>
  <r>
    <m/>
    <m/>
    <x v="1"/>
    <s v="61308081001001"/>
    <n v="-27.13"/>
    <n v="991"/>
    <n v="1"/>
    <n v="1"/>
  </r>
  <r>
    <m/>
    <m/>
    <x v="1"/>
    <s v="61372423001001"/>
    <n v="-70.150000000000006"/>
    <n v="2562"/>
    <n v="1"/>
    <n v="1"/>
  </r>
  <r>
    <m/>
    <m/>
    <x v="1"/>
    <s v="61387272001001"/>
    <n v="-6.22"/>
    <n v="227"/>
    <n v="1"/>
    <n v="1"/>
  </r>
  <r>
    <m/>
    <m/>
    <x v="1"/>
    <s v="61514360001001"/>
    <n v="-15"/>
    <n v="548"/>
    <n v="1"/>
    <n v="1"/>
  </r>
  <r>
    <m/>
    <m/>
    <x v="1"/>
    <s v="61614836001001"/>
    <n v="-55.88"/>
    <n v="2041"/>
    <n v="1"/>
    <n v="1"/>
  </r>
  <r>
    <m/>
    <m/>
    <x v="1"/>
    <s v="61919998001001"/>
    <n v="-45.26"/>
    <n v="1653"/>
    <n v="1"/>
    <n v="1"/>
  </r>
  <r>
    <m/>
    <m/>
    <x v="1"/>
    <s v="61935568001001"/>
    <n v="-3.2"/>
    <n v="117"/>
    <n v="1"/>
    <n v="1"/>
  </r>
  <r>
    <m/>
    <m/>
    <x v="1"/>
    <s v="61998512001001"/>
    <n v="-8.16"/>
    <n v="298"/>
    <n v="1"/>
    <n v="1"/>
  </r>
  <r>
    <m/>
    <m/>
    <x v="1"/>
    <s v="62230536001003"/>
    <n v="-77.290000000000006"/>
    <n v="2823"/>
    <n v="1"/>
    <n v="1"/>
  </r>
  <r>
    <m/>
    <m/>
    <x v="1"/>
    <s v="62263204001001"/>
    <n v="-69.16"/>
    <n v="2526"/>
    <n v="1"/>
    <n v="1"/>
  </r>
  <r>
    <m/>
    <m/>
    <x v="1"/>
    <s v="62305746001001"/>
    <n v="-28.28"/>
    <n v="1033"/>
    <n v="1"/>
    <n v="1"/>
  </r>
  <r>
    <m/>
    <m/>
    <x v="1"/>
    <s v="62483712001004"/>
    <n v="-32.39"/>
    <n v="1183"/>
    <n v="1"/>
    <n v="1"/>
  </r>
  <r>
    <m/>
    <m/>
    <x v="1"/>
    <s v="62498679001005"/>
    <n v="-11.61"/>
    <n v="424"/>
    <n v="1"/>
    <n v="1"/>
  </r>
  <r>
    <m/>
    <m/>
    <x v="1"/>
    <s v="62873190001003"/>
    <n v="-20.97"/>
    <n v="766"/>
    <n v="1"/>
    <n v="1"/>
  </r>
  <r>
    <m/>
    <m/>
    <x v="1"/>
    <s v="63196464001001"/>
    <n v="-82"/>
    <n v="2995"/>
    <n v="1"/>
    <n v="1"/>
  </r>
  <r>
    <m/>
    <m/>
    <x v="1"/>
    <s v="63212679001001"/>
    <n v="-27.24"/>
    <n v="995"/>
    <n v="1"/>
    <n v="1"/>
  </r>
  <r>
    <m/>
    <m/>
    <x v="1"/>
    <s v="63421413002003"/>
    <n v="-4.33"/>
    <n v="158"/>
    <n v="1"/>
    <n v="1"/>
  </r>
  <r>
    <m/>
    <m/>
    <x v="1"/>
    <s v="63847291001002"/>
    <n v="-63.22"/>
    <n v="2309"/>
    <n v="1"/>
    <n v="1"/>
  </r>
  <r>
    <m/>
    <m/>
    <x v="1"/>
    <s v="63898256001003"/>
    <n v="-33.79"/>
    <n v="1234"/>
    <n v="1"/>
    <n v="1"/>
  </r>
  <r>
    <m/>
    <m/>
    <x v="1"/>
    <s v="64587795001002"/>
    <n v="-42.85"/>
    <n v="1565"/>
    <n v="1"/>
    <n v="1"/>
  </r>
  <r>
    <m/>
    <m/>
    <x v="1"/>
    <s v="64700335001001"/>
    <n v="-42.25"/>
    <n v="1543"/>
    <n v="1"/>
    <n v="1"/>
  </r>
  <r>
    <m/>
    <m/>
    <x v="1"/>
    <s v="64802495002001"/>
    <n v="-31.16"/>
    <n v="1138"/>
    <n v="1"/>
    <n v="1"/>
  </r>
  <r>
    <m/>
    <m/>
    <x v="1"/>
    <s v="64826160001001"/>
    <n v="-43.34"/>
    <n v="1583"/>
    <n v="1"/>
    <n v="1"/>
  </r>
  <r>
    <m/>
    <m/>
    <x v="1"/>
    <s v="64995258001006"/>
    <n v="-20.48"/>
    <n v="748"/>
    <n v="1"/>
    <n v="1"/>
  </r>
  <r>
    <m/>
    <m/>
    <x v="1"/>
    <s v="65001066001001"/>
    <n v="-25.6"/>
    <n v="935"/>
    <n v="1"/>
    <n v="1"/>
  </r>
  <r>
    <m/>
    <m/>
    <x v="1"/>
    <s v="65474469002008"/>
    <n v="-16.98"/>
    <n v="620"/>
    <n v="1"/>
    <n v="1"/>
  </r>
  <r>
    <m/>
    <m/>
    <x v="1"/>
    <s v="65633759004001"/>
    <n v="-83.86"/>
    <n v="3063"/>
    <n v="1"/>
    <n v="1"/>
  </r>
  <r>
    <m/>
    <m/>
    <x v="1"/>
    <s v="65674917001006"/>
    <n v="-95.83"/>
    <n v="3500"/>
    <n v="1"/>
    <n v="1"/>
  </r>
  <r>
    <m/>
    <m/>
    <x v="1"/>
    <s v="65715070001003"/>
    <n v="-23.3"/>
    <n v="851"/>
    <n v="1"/>
    <n v="1"/>
  </r>
  <r>
    <m/>
    <m/>
    <x v="1"/>
    <s v="65721814002001"/>
    <n v="-16.02"/>
    <n v="585"/>
    <n v="1"/>
    <n v="1"/>
  </r>
  <r>
    <m/>
    <m/>
    <x v="1"/>
    <s v="65840761001001"/>
    <n v="-21.08"/>
    <n v="770"/>
    <n v="1"/>
    <n v="1"/>
  </r>
  <r>
    <m/>
    <m/>
    <x v="1"/>
    <s v="66035608002005"/>
    <n v="-30.8"/>
    <n v="1125"/>
    <n v="1"/>
    <n v="1"/>
  </r>
  <r>
    <m/>
    <m/>
    <x v="1"/>
    <s v="66054732001002"/>
    <n v="-32.36"/>
    <n v="1182"/>
    <n v="1"/>
    <n v="1"/>
  </r>
  <r>
    <m/>
    <m/>
    <x v="1"/>
    <s v="66122783001004"/>
    <n v="-5.67"/>
    <n v="207"/>
    <n v="1"/>
    <n v="1"/>
  </r>
  <r>
    <m/>
    <m/>
    <x v="1"/>
    <s v="66293697001004"/>
    <n v="-61.58"/>
    <n v="2249"/>
    <n v="1"/>
    <n v="1"/>
  </r>
  <r>
    <m/>
    <m/>
    <x v="1"/>
    <s v="66355473001004"/>
    <n v="-32.28"/>
    <n v="1179"/>
    <n v="1"/>
    <n v="1"/>
  </r>
  <r>
    <m/>
    <m/>
    <x v="1"/>
    <s v="66399758001010"/>
    <n v="-0.19"/>
    <n v="7"/>
    <n v="1"/>
    <n v="1"/>
  </r>
  <r>
    <m/>
    <m/>
    <x v="1"/>
    <s v="66682187001001"/>
    <n v="-49.06"/>
    <n v="1792"/>
    <n v="1"/>
    <n v="1"/>
  </r>
  <r>
    <m/>
    <m/>
    <x v="1"/>
    <s v="66758040001002"/>
    <n v="-3.94"/>
    <n v="144"/>
    <n v="1"/>
    <n v="1"/>
  </r>
  <r>
    <m/>
    <m/>
    <x v="1"/>
    <s v="66846616001003"/>
    <n v="-39.619999999999997"/>
    <n v="1447"/>
    <n v="1"/>
    <n v="1"/>
  </r>
  <r>
    <m/>
    <m/>
    <x v="1"/>
    <s v="66953942002008"/>
    <n v="-58.7"/>
    <n v="2144"/>
    <n v="1"/>
    <n v="1"/>
  </r>
  <r>
    <m/>
    <m/>
    <x v="1"/>
    <s v="66961339001001"/>
    <n v="-3.5"/>
    <n v="128"/>
    <n v="1"/>
    <n v="1"/>
  </r>
  <r>
    <m/>
    <m/>
    <x v="1"/>
    <s v="67052660001005"/>
    <n v="-45.92"/>
    <n v="1677"/>
    <n v="1"/>
    <n v="1"/>
  </r>
  <r>
    <m/>
    <m/>
    <x v="1"/>
    <s v="67306787001001"/>
    <n v="-54.57"/>
    <n v="1993"/>
    <n v="1"/>
    <n v="1"/>
  </r>
  <r>
    <m/>
    <m/>
    <x v="1"/>
    <s v="67575902001001"/>
    <n v="-55.94"/>
    <n v="2043"/>
    <n v="1"/>
    <n v="1"/>
  </r>
  <r>
    <m/>
    <m/>
    <x v="1"/>
    <s v="67923885001001"/>
    <n v="-40.22"/>
    <n v="1469"/>
    <n v="1"/>
    <n v="1"/>
  </r>
  <r>
    <m/>
    <m/>
    <x v="1"/>
    <s v="67994603001001"/>
    <n v="-26.53"/>
    <n v="969"/>
    <n v="1"/>
    <n v="1"/>
  </r>
  <r>
    <m/>
    <m/>
    <x v="1"/>
    <s v="68010544001001"/>
    <n v="-4.68"/>
    <n v="171"/>
    <n v="1"/>
    <n v="1"/>
  </r>
  <r>
    <m/>
    <m/>
    <x v="1"/>
    <s v="68039419001001"/>
    <n v="-24.86"/>
    <n v="908"/>
    <n v="1"/>
    <n v="1"/>
  </r>
  <r>
    <m/>
    <m/>
    <x v="1"/>
    <s v="68046305001003"/>
    <n v="-29"/>
    <n v="1059"/>
    <n v="1"/>
    <n v="1"/>
  </r>
  <r>
    <m/>
    <m/>
    <x v="1"/>
    <s v="68082611001001"/>
    <n v="-31.76"/>
    <n v="1160"/>
    <n v="1"/>
    <n v="1"/>
  </r>
  <r>
    <m/>
    <m/>
    <x v="1"/>
    <s v="68107039001001"/>
    <n v="-58.16"/>
    <n v="2124"/>
    <n v="1"/>
    <n v="1"/>
  </r>
  <r>
    <m/>
    <m/>
    <x v="1"/>
    <s v="68133355001004"/>
    <n v="-25.9"/>
    <n v="946"/>
    <n v="1"/>
    <n v="1"/>
  </r>
  <r>
    <m/>
    <m/>
    <x v="1"/>
    <s v="68173550001001"/>
    <n v="-62.51"/>
    <n v="2283"/>
    <n v="1"/>
    <n v="1"/>
  </r>
  <r>
    <m/>
    <m/>
    <x v="1"/>
    <s v="68316005001001"/>
    <n v="-71.27"/>
    <n v="2603"/>
    <n v="1"/>
    <n v="1"/>
  </r>
  <r>
    <m/>
    <m/>
    <x v="1"/>
    <s v="68333351001002"/>
    <n v="-27"/>
    <n v="986"/>
    <n v="1"/>
    <n v="1"/>
  </r>
  <r>
    <m/>
    <m/>
    <x v="1"/>
    <s v="68338933001001"/>
    <n v="-49.34"/>
    <n v="1802"/>
    <n v="1"/>
    <n v="1"/>
  </r>
  <r>
    <m/>
    <m/>
    <x v="1"/>
    <s v="68501394001001"/>
    <n v="-25.44"/>
    <n v="929"/>
    <n v="1"/>
    <n v="1"/>
  </r>
  <r>
    <m/>
    <m/>
    <x v="1"/>
    <s v="68624650001002"/>
    <n v="-24.07"/>
    <n v="879"/>
    <n v="1"/>
    <n v="1"/>
  </r>
  <r>
    <m/>
    <m/>
    <x v="1"/>
    <s v="68667346001005"/>
    <n v="-60.92"/>
    <n v="2225"/>
    <n v="1"/>
    <n v="1"/>
  </r>
  <r>
    <m/>
    <m/>
    <x v="1"/>
    <s v="68711288001003"/>
    <n v="-119.57"/>
    <n v="4367"/>
    <n v="1"/>
    <n v="1"/>
  </r>
  <r>
    <m/>
    <m/>
    <x v="1"/>
    <s v="68837584001003"/>
    <n v="-5.17"/>
    <n v="189"/>
    <n v="1"/>
    <n v="1"/>
  </r>
  <r>
    <m/>
    <m/>
    <x v="1"/>
    <s v="68970693003001"/>
    <n v="-44.33"/>
    <n v="1619"/>
    <n v="1"/>
    <n v="1"/>
  </r>
  <r>
    <m/>
    <m/>
    <x v="1"/>
    <s v="69172909001001"/>
    <n v="-40.22"/>
    <n v="1469"/>
    <n v="1"/>
    <n v="1"/>
  </r>
  <r>
    <m/>
    <m/>
    <x v="1"/>
    <s v="69182870001007"/>
    <n v="-61.28"/>
    <n v="2238"/>
    <n v="1"/>
    <n v="1"/>
  </r>
  <r>
    <m/>
    <m/>
    <x v="1"/>
    <s v="69208025001001"/>
    <n v="-28.67"/>
    <n v="1047"/>
    <n v="1"/>
    <n v="1"/>
  </r>
  <r>
    <m/>
    <m/>
    <x v="1"/>
    <s v="69340720001002"/>
    <n v="-37.51"/>
    <n v="1370"/>
    <n v="1"/>
    <n v="1"/>
  </r>
  <r>
    <m/>
    <m/>
    <x v="1"/>
    <s v="69542400001002"/>
    <n v="-46.66"/>
    <n v="1704"/>
    <n v="1"/>
    <n v="1"/>
  </r>
  <r>
    <m/>
    <m/>
    <x v="1"/>
    <s v="69906946003001"/>
    <n v="-12.27"/>
    <n v="448"/>
    <n v="1"/>
    <n v="1"/>
  </r>
  <r>
    <m/>
    <m/>
    <x v="1"/>
    <s v="69992827001001"/>
    <n v="-43.89"/>
    <n v="1603"/>
    <n v="1"/>
    <n v="1"/>
  </r>
  <r>
    <m/>
    <m/>
    <x v="1"/>
    <s v="70342704002001"/>
    <n v="-25.33"/>
    <n v="925"/>
    <n v="1"/>
    <n v="1"/>
  </r>
  <r>
    <m/>
    <m/>
    <x v="1"/>
    <s v="70350989002001"/>
    <n v="-2.57"/>
    <n v="94"/>
    <n v="1"/>
    <n v="1"/>
  </r>
  <r>
    <m/>
    <m/>
    <x v="1"/>
    <s v="70557497004001"/>
    <n v="-12.62"/>
    <n v="461"/>
    <n v="1"/>
    <n v="1"/>
  </r>
  <r>
    <m/>
    <m/>
    <x v="1"/>
    <s v="70566844001001"/>
    <n v="-41.02"/>
    <n v="1498"/>
    <n v="1"/>
    <n v="1"/>
  </r>
  <r>
    <m/>
    <m/>
    <x v="1"/>
    <s v="70930301001003"/>
    <n v="-24.64"/>
    <n v="900"/>
    <n v="1"/>
    <n v="1"/>
  </r>
  <r>
    <m/>
    <m/>
    <x v="1"/>
    <s v="71726966001001"/>
    <n v="-167.21"/>
    <n v="6107"/>
    <n v="1"/>
    <n v="1"/>
  </r>
  <r>
    <m/>
    <m/>
    <x v="1"/>
    <s v="71895732001001"/>
    <n v="-22.4"/>
    <n v="818"/>
    <n v="1"/>
    <n v="1"/>
  </r>
  <r>
    <m/>
    <m/>
    <x v="1"/>
    <s v="71897700001003"/>
    <n v="-29.63"/>
    <n v="1082"/>
    <n v="1"/>
    <n v="1"/>
  </r>
  <r>
    <m/>
    <m/>
    <x v="1"/>
    <s v="71925425001001"/>
    <n v="-44.08"/>
    <n v="1610"/>
    <n v="1"/>
    <n v="1"/>
  </r>
  <r>
    <m/>
    <m/>
    <x v="1"/>
    <s v="72021826001002"/>
    <n v="-108.42"/>
    <n v="3960"/>
    <n v="1"/>
    <n v="1"/>
  </r>
  <r>
    <m/>
    <m/>
    <x v="1"/>
    <s v="72748480001001"/>
    <n v="-9.0399999999999991"/>
    <n v="330"/>
    <n v="1"/>
    <n v="1"/>
  </r>
  <r>
    <m/>
    <m/>
    <x v="1"/>
    <s v="72816069001004"/>
    <n v="-13.03"/>
    <n v="476"/>
    <n v="1"/>
    <n v="1"/>
  </r>
  <r>
    <m/>
    <m/>
    <x v="1"/>
    <s v="72820369001003"/>
    <n v="-73.38"/>
    <n v="2680"/>
    <n v="1"/>
    <n v="1"/>
  </r>
  <r>
    <m/>
    <m/>
    <x v="1"/>
    <s v="72885097001005"/>
    <n v="-24.61"/>
    <n v="899"/>
    <n v="1"/>
    <n v="1"/>
  </r>
  <r>
    <m/>
    <m/>
    <x v="1"/>
    <s v="73203415001002"/>
    <n v="-30.83"/>
    <n v="1126"/>
    <n v="1"/>
    <n v="1"/>
  </r>
  <r>
    <m/>
    <m/>
    <x v="1"/>
    <s v="73391974001001"/>
    <n v="-89.72"/>
    <n v="3277"/>
    <n v="1"/>
    <n v="1"/>
  </r>
  <r>
    <m/>
    <m/>
    <x v="1"/>
    <s v="73932323001001"/>
    <n v="-8.3000000000000007"/>
    <n v="303"/>
    <n v="1"/>
    <n v="1"/>
  </r>
  <r>
    <m/>
    <m/>
    <x v="1"/>
    <s v="74187446001004"/>
    <n v="-0.77"/>
    <n v="28"/>
    <n v="1"/>
    <n v="1"/>
  </r>
  <r>
    <m/>
    <m/>
    <x v="1"/>
    <s v="74657239001002"/>
    <n v="-8.3000000000000007"/>
    <n v="303"/>
    <n v="1"/>
    <n v="1"/>
  </r>
  <r>
    <m/>
    <m/>
    <x v="1"/>
    <s v="74792156002002"/>
    <n v="-28.15"/>
    <n v="1028"/>
    <n v="1"/>
    <n v="1"/>
  </r>
  <r>
    <m/>
    <m/>
    <x v="1"/>
    <s v="74797014002001"/>
    <n v="-104.4"/>
    <n v="3813"/>
    <n v="1"/>
    <n v="1"/>
  </r>
  <r>
    <m/>
    <m/>
    <x v="1"/>
    <s v="75055456001001"/>
    <n v="-23.19"/>
    <n v="847"/>
    <n v="1"/>
    <n v="1"/>
  </r>
  <r>
    <m/>
    <m/>
    <x v="1"/>
    <s v="75599421001001"/>
    <n v="-33.54"/>
    <n v="1225"/>
    <n v="1"/>
    <n v="1"/>
  </r>
  <r>
    <m/>
    <m/>
    <x v="1"/>
    <s v="75761373002005"/>
    <n v="-19.850000000000001"/>
    <n v="725"/>
    <n v="1"/>
    <n v="1"/>
  </r>
  <r>
    <m/>
    <m/>
    <x v="1"/>
    <s v="75990063001006"/>
    <n v="-5.17"/>
    <n v="189"/>
    <n v="1"/>
    <n v="1"/>
  </r>
  <r>
    <m/>
    <m/>
    <x v="1"/>
    <s v="76471101001001"/>
    <n v="-46.33"/>
    <n v="1692"/>
    <n v="1"/>
    <n v="1"/>
  </r>
  <r>
    <m/>
    <m/>
    <x v="1"/>
    <s v="76524393002001"/>
    <n v="-43.04"/>
    <n v="1572"/>
    <n v="1"/>
    <n v="1"/>
  </r>
  <r>
    <m/>
    <m/>
    <x v="1"/>
    <s v="76532526001001"/>
    <n v="-45.15"/>
    <n v="1649"/>
    <n v="1"/>
    <n v="1"/>
  </r>
  <r>
    <m/>
    <m/>
    <x v="1"/>
    <s v="76556293001005"/>
    <n v="-79.48"/>
    <n v="2903"/>
    <n v="1"/>
    <n v="1"/>
  </r>
  <r>
    <m/>
    <m/>
    <x v="1"/>
    <s v="76713060001001"/>
    <n v="-59.72"/>
    <n v="2181"/>
    <n v="1"/>
    <n v="1"/>
  </r>
  <r>
    <m/>
    <m/>
    <x v="1"/>
    <s v="76882051001001"/>
    <n v="-9.8000000000000007"/>
    <n v="358"/>
    <n v="1"/>
    <n v="1"/>
  </r>
  <r>
    <m/>
    <m/>
    <x v="1"/>
    <s v="77034079001001"/>
    <n v="-29.49"/>
    <n v="1077"/>
    <n v="1"/>
    <n v="1"/>
  </r>
  <r>
    <m/>
    <m/>
    <x v="1"/>
    <s v="77152442001008"/>
    <n v="-45.07"/>
    <n v="1646"/>
    <n v="1"/>
    <n v="1"/>
  </r>
  <r>
    <m/>
    <m/>
    <x v="1"/>
    <s v="77312333001001"/>
    <n v="-51.09"/>
    <n v="1866"/>
    <n v="1"/>
    <n v="1"/>
  </r>
  <r>
    <m/>
    <m/>
    <x v="1"/>
    <s v="77375643003003"/>
    <n v="-10.43"/>
    <n v="381"/>
    <n v="1"/>
    <n v="1"/>
  </r>
  <r>
    <m/>
    <m/>
    <x v="1"/>
    <s v="77922884001002"/>
    <n v="-25.3"/>
    <n v="924"/>
    <n v="1"/>
    <n v="1"/>
  </r>
  <r>
    <m/>
    <m/>
    <x v="1"/>
    <s v="77981276001001"/>
    <n v="-33.92"/>
    <n v="1239"/>
    <n v="1"/>
    <n v="1"/>
  </r>
  <r>
    <m/>
    <m/>
    <x v="1"/>
    <s v="78102550001004"/>
    <n v="-31.4"/>
    <n v="1147"/>
    <n v="1"/>
    <n v="1"/>
  </r>
  <r>
    <m/>
    <m/>
    <x v="1"/>
    <s v="78192804001002"/>
    <n v="-9.14"/>
    <n v="334"/>
    <n v="1"/>
    <n v="1"/>
  </r>
  <r>
    <m/>
    <m/>
    <x v="1"/>
    <s v="78258113001003"/>
    <n v="-27.16"/>
    <n v="992"/>
    <n v="1"/>
    <n v="1"/>
  </r>
  <r>
    <m/>
    <m/>
    <x v="1"/>
    <s v="78272932003017"/>
    <n v="-24.07"/>
    <n v="879"/>
    <n v="1"/>
    <n v="1"/>
  </r>
  <r>
    <m/>
    <m/>
    <x v="1"/>
    <s v="78360766001001"/>
    <n v="-108.64"/>
    <n v="3968"/>
    <n v="1"/>
    <n v="1"/>
  </r>
  <r>
    <m/>
    <m/>
    <x v="1"/>
    <s v="78465175004001"/>
    <n v="-48.9"/>
    <n v="1786"/>
    <n v="1"/>
    <n v="1"/>
  </r>
  <r>
    <m/>
    <m/>
    <x v="1"/>
    <s v="79019455001003"/>
    <n v="-14.68"/>
    <n v="536"/>
    <n v="1"/>
    <n v="1"/>
  </r>
  <r>
    <m/>
    <m/>
    <x v="1"/>
    <s v="79256766001003"/>
    <n v="-2.11"/>
    <n v="77"/>
    <n v="1"/>
    <n v="1"/>
  </r>
  <r>
    <m/>
    <m/>
    <x v="1"/>
    <s v="79283500001001"/>
    <n v="-26.04"/>
    <n v="951"/>
    <n v="1"/>
    <n v="1"/>
  </r>
  <r>
    <m/>
    <m/>
    <x v="1"/>
    <s v="79713989002001"/>
    <n v="-42.14"/>
    <n v="1539"/>
    <n v="1"/>
    <n v="1"/>
  </r>
  <r>
    <m/>
    <m/>
    <x v="1"/>
    <s v="79758306001002"/>
    <n v="-44.3"/>
    <n v="1618"/>
    <n v="1"/>
    <n v="1"/>
  </r>
  <r>
    <m/>
    <m/>
    <x v="1"/>
    <s v="79889145002003"/>
    <n v="-17.059999999999999"/>
    <n v="623"/>
    <n v="1"/>
    <n v="1"/>
  </r>
  <r>
    <m/>
    <m/>
    <x v="1"/>
    <s v="80168519001003"/>
    <n v="-36.03"/>
    <n v="1316"/>
    <n v="1"/>
    <n v="1"/>
  </r>
  <r>
    <m/>
    <m/>
    <x v="1"/>
    <s v="80512321001001"/>
    <n v="-14.13"/>
    <n v="516"/>
    <n v="1"/>
    <n v="1"/>
  </r>
  <r>
    <m/>
    <m/>
    <x v="1"/>
    <s v="80546282001001"/>
    <n v="-38.520000000000003"/>
    <n v="1407"/>
    <n v="1"/>
    <n v="1"/>
  </r>
  <r>
    <m/>
    <m/>
    <x v="1"/>
    <s v="80768782001005"/>
    <n v="-36.909999999999997"/>
    <n v="1348"/>
    <n v="1"/>
    <n v="1"/>
  </r>
  <r>
    <m/>
    <m/>
    <x v="1"/>
    <s v="81284913001001"/>
    <n v="-12.46"/>
    <n v="455"/>
    <n v="1"/>
    <n v="1"/>
  </r>
  <r>
    <m/>
    <m/>
    <x v="1"/>
    <s v="81474097001003"/>
    <n v="-22.15"/>
    <n v="809"/>
    <n v="1"/>
    <n v="1"/>
  </r>
  <r>
    <m/>
    <m/>
    <x v="1"/>
    <s v="81870119001003"/>
    <n v="-12.16"/>
    <n v="444"/>
    <n v="1"/>
    <n v="1"/>
  </r>
  <r>
    <m/>
    <m/>
    <x v="1"/>
    <s v="82088762001001"/>
    <n v="-54.32"/>
    <n v="1984"/>
    <n v="1"/>
    <n v="1"/>
  </r>
  <r>
    <m/>
    <m/>
    <x v="1"/>
    <s v="82161245001007"/>
    <n v="-9.58"/>
    <n v="350"/>
    <n v="1"/>
    <n v="1"/>
  </r>
  <r>
    <m/>
    <m/>
    <x v="1"/>
    <s v="82203094001003"/>
    <n v="-40.74"/>
    <n v="1488"/>
    <n v="1"/>
    <n v="1"/>
  </r>
  <r>
    <m/>
    <m/>
    <x v="1"/>
    <s v="82440956001001"/>
    <n v="-54.9"/>
    <n v="2005"/>
    <n v="1"/>
    <n v="1"/>
  </r>
  <r>
    <m/>
    <m/>
    <x v="1"/>
    <s v="82705141002001"/>
    <n v="-28.61"/>
    <n v="1045"/>
    <n v="1"/>
    <n v="1"/>
  </r>
  <r>
    <m/>
    <m/>
    <x v="1"/>
    <s v="82804369003001"/>
    <n v="-6.16"/>
    <n v="225"/>
    <n v="1"/>
    <n v="1"/>
  </r>
  <r>
    <m/>
    <m/>
    <x v="1"/>
    <s v="83084544001001"/>
    <n v="-39.24"/>
    <n v="1433"/>
    <n v="1"/>
    <n v="1"/>
  </r>
  <r>
    <m/>
    <m/>
    <x v="1"/>
    <s v="83337256001001"/>
    <n v="-15.25"/>
    <n v="557"/>
    <n v="1"/>
    <n v="1"/>
  </r>
  <r>
    <m/>
    <m/>
    <x v="1"/>
    <s v="83358782001001"/>
    <n v="-59.66"/>
    <n v="2179"/>
    <n v="1"/>
    <n v="1"/>
  </r>
  <r>
    <m/>
    <m/>
    <x v="1"/>
    <s v="83701365002001"/>
    <n v="-54.84"/>
    <n v="2003"/>
    <n v="1"/>
    <n v="1"/>
  </r>
  <r>
    <m/>
    <m/>
    <x v="1"/>
    <s v="83800275001002"/>
    <n v="-6.57"/>
    <n v="240"/>
    <n v="1"/>
    <n v="1"/>
  </r>
  <r>
    <m/>
    <m/>
    <x v="1"/>
    <s v="83981932001002"/>
    <n v="-4.96"/>
    <n v="181"/>
    <n v="1"/>
    <n v="1"/>
  </r>
  <r>
    <m/>
    <m/>
    <x v="1"/>
    <s v="84173742001001"/>
    <n v="-47.53"/>
    <n v="1736"/>
    <n v="1"/>
    <n v="1"/>
  </r>
  <r>
    <m/>
    <m/>
    <x v="1"/>
    <s v="84562358001001"/>
    <n v="-26.83"/>
    <n v="980"/>
    <n v="1"/>
    <n v="1"/>
  </r>
  <r>
    <m/>
    <m/>
    <x v="1"/>
    <s v="84645093001003"/>
    <n v="-8.3000000000000007"/>
    <n v="303"/>
    <n v="1"/>
    <n v="1"/>
  </r>
  <r>
    <m/>
    <m/>
    <x v="1"/>
    <s v="84649205001001"/>
    <n v="-37.979999999999997"/>
    <n v="1387"/>
    <n v="1"/>
    <n v="1"/>
  </r>
  <r>
    <m/>
    <m/>
    <x v="1"/>
    <s v="85052617001009"/>
    <n v="-6.74"/>
    <n v="246"/>
    <n v="1"/>
    <n v="1"/>
  </r>
  <r>
    <m/>
    <m/>
    <x v="1"/>
    <s v="85313155001006"/>
    <n v="-25.6"/>
    <n v="935"/>
    <n v="1"/>
    <n v="1"/>
  </r>
  <r>
    <m/>
    <m/>
    <x v="1"/>
    <s v="85338592002003"/>
    <n v="-33.270000000000003"/>
    <n v="1215"/>
    <n v="1"/>
    <n v="1"/>
  </r>
  <r>
    <m/>
    <m/>
    <x v="1"/>
    <s v="85464036001001"/>
    <n v="-50.52"/>
    <n v="1845"/>
    <n v="1"/>
    <n v="1"/>
  </r>
  <r>
    <m/>
    <m/>
    <x v="1"/>
    <s v="85590751001003"/>
    <n v="-34.229999999999997"/>
    <n v="1250"/>
    <n v="1"/>
    <n v="1"/>
  </r>
  <r>
    <m/>
    <m/>
    <x v="1"/>
    <s v="85655171001003"/>
    <n v="-35.07"/>
    <n v="1281"/>
    <n v="1"/>
    <n v="1"/>
  </r>
  <r>
    <m/>
    <m/>
    <x v="1"/>
    <s v="85758200001003"/>
    <n v="-13.28"/>
    <n v="485"/>
    <n v="1"/>
    <n v="1"/>
  </r>
  <r>
    <m/>
    <m/>
    <x v="1"/>
    <s v="85764397001002"/>
    <n v="-4.33"/>
    <n v="158"/>
    <n v="1"/>
    <n v="1"/>
  </r>
  <r>
    <m/>
    <m/>
    <x v="1"/>
    <s v="85767727002001"/>
    <n v="-38.14"/>
    <n v="1393"/>
    <n v="1"/>
    <n v="1"/>
  </r>
  <r>
    <m/>
    <m/>
    <x v="1"/>
    <s v="86090490001001"/>
    <n v="-47.86"/>
    <n v="1748"/>
    <n v="1"/>
    <n v="1"/>
  </r>
  <r>
    <m/>
    <m/>
    <x v="1"/>
    <s v="86167921001001"/>
    <n v="-31.24"/>
    <n v="1141"/>
    <n v="1"/>
    <n v="1"/>
  </r>
  <r>
    <m/>
    <m/>
    <x v="1"/>
    <s v="86306065001001"/>
    <n v="-25.44"/>
    <n v="929"/>
    <n v="1"/>
    <n v="1"/>
  </r>
  <r>
    <m/>
    <m/>
    <x v="1"/>
    <s v="86651786001004"/>
    <n v="-40.299999999999997"/>
    <n v="1472"/>
    <n v="1"/>
    <n v="1"/>
  </r>
  <r>
    <m/>
    <m/>
    <x v="1"/>
    <s v="86695884001001"/>
    <n v="-28.45"/>
    <n v="1039"/>
    <n v="1"/>
    <n v="1"/>
  </r>
  <r>
    <m/>
    <m/>
    <x v="1"/>
    <s v="86799046001002"/>
    <n v="-45.42"/>
    <n v="1659"/>
    <n v="1"/>
    <n v="1"/>
  </r>
  <r>
    <m/>
    <m/>
    <x v="1"/>
    <s v="86860532001001"/>
    <n v="-7.64"/>
    <n v="279"/>
    <n v="1"/>
    <n v="1"/>
  </r>
  <r>
    <m/>
    <m/>
    <x v="1"/>
    <s v="86965244003001"/>
    <n v="-31.71"/>
    <n v="1158"/>
    <n v="1"/>
    <n v="1"/>
  </r>
  <r>
    <m/>
    <m/>
    <x v="1"/>
    <s v="87080407001006"/>
    <n v="-17.989999999999998"/>
    <n v="657"/>
    <n v="1"/>
    <n v="1"/>
  </r>
  <r>
    <m/>
    <m/>
    <x v="1"/>
    <s v="87090986001001"/>
    <n v="-26.75"/>
    <n v="977"/>
    <n v="1"/>
    <n v="1"/>
  </r>
  <r>
    <m/>
    <m/>
    <x v="1"/>
    <s v="87432684001003"/>
    <n v="-17.440000000000001"/>
    <n v="637"/>
    <n v="1"/>
    <n v="1"/>
  </r>
  <r>
    <m/>
    <m/>
    <x v="1"/>
    <s v="87486491001002"/>
    <n v="-13.69"/>
    <n v="500"/>
    <n v="1"/>
    <n v="1"/>
  </r>
  <r>
    <m/>
    <m/>
    <x v="1"/>
    <s v="87739868002001"/>
    <n v="-49.04"/>
    <n v="1791"/>
    <n v="1"/>
    <n v="1"/>
  </r>
  <r>
    <m/>
    <m/>
    <x v="1"/>
    <s v="87795931001003"/>
    <n v="-68.81"/>
    <n v="2513"/>
    <n v="1"/>
    <n v="1"/>
  </r>
  <r>
    <m/>
    <m/>
    <x v="1"/>
    <s v="87843191001001"/>
    <n v="-34.799999999999997"/>
    <n v="1271"/>
    <n v="1"/>
    <n v="1"/>
  </r>
  <r>
    <m/>
    <m/>
    <x v="1"/>
    <s v="87902088001001"/>
    <n v="-34.799999999999997"/>
    <n v="1271"/>
    <n v="1"/>
    <n v="1"/>
  </r>
  <r>
    <m/>
    <m/>
    <x v="1"/>
    <s v="88182721001002"/>
    <n v="-15.06"/>
    <n v="550"/>
    <n v="1"/>
    <n v="1"/>
  </r>
  <r>
    <m/>
    <m/>
    <x v="1"/>
    <s v="88269625001002"/>
    <n v="-7.94"/>
    <n v="290"/>
    <n v="1"/>
    <n v="1"/>
  </r>
  <r>
    <m/>
    <m/>
    <x v="1"/>
    <s v="88600796001001"/>
    <n v="-21.63"/>
    <n v="790"/>
    <n v="1"/>
    <n v="1"/>
  </r>
  <r>
    <m/>
    <m/>
    <x v="1"/>
    <s v="88795471002001"/>
    <n v="-27.3"/>
    <n v="997"/>
    <n v="1"/>
    <n v="1"/>
  </r>
  <r>
    <m/>
    <m/>
    <x v="1"/>
    <s v="89257123001003"/>
    <n v="-59.63"/>
    <n v="2178"/>
    <n v="1"/>
    <n v="1"/>
  </r>
  <r>
    <m/>
    <m/>
    <x v="1"/>
    <s v="89346251001001"/>
    <n v="-49.78"/>
    <n v="1818"/>
    <n v="1"/>
    <n v="1"/>
  </r>
  <r>
    <m/>
    <m/>
    <x v="1"/>
    <s v="89354683001001"/>
    <n v="-18.649999999999999"/>
    <n v="681"/>
    <n v="1"/>
    <n v="1"/>
  </r>
  <r>
    <m/>
    <m/>
    <x v="1"/>
    <s v="89804117001001"/>
    <n v="-25.05"/>
    <n v="915"/>
    <n v="1"/>
    <n v="1"/>
  </r>
  <r>
    <m/>
    <m/>
    <x v="1"/>
    <s v="90244033001001"/>
    <n v="-9.5299999999999994"/>
    <n v="348"/>
    <n v="1"/>
    <n v="1"/>
  </r>
  <r>
    <m/>
    <m/>
    <x v="1"/>
    <s v="90375862001001"/>
    <n v="-3.83"/>
    <n v="140"/>
    <n v="1"/>
    <n v="1"/>
  </r>
  <r>
    <m/>
    <m/>
    <x v="1"/>
    <s v="90561560001001"/>
    <n v="-97.28"/>
    <n v="3553"/>
    <n v="1"/>
    <n v="1"/>
  </r>
  <r>
    <m/>
    <m/>
    <x v="1"/>
    <s v="90729873001001"/>
    <n v="-15.85"/>
    <n v="579"/>
    <n v="1"/>
    <n v="1"/>
  </r>
  <r>
    <m/>
    <m/>
    <x v="1"/>
    <s v="90918094001001"/>
    <n v="-27.49"/>
    <n v="1004"/>
    <n v="1"/>
    <n v="1"/>
  </r>
  <r>
    <m/>
    <m/>
    <x v="1"/>
    <s v="90940438001001"/>
    <n v="-59.31"/>
    <n v="2166"/>
    <n v="1"/>
    <n v="1"/>
  </r>
  <r>
    <m/>
    <m/>
    <x v="1"/>
    <s v="91039711002001"/>
    <n v="-87.42"/>
    <n v="3193"/>
    <n v="1"/>
    <n v="1"/>
  </r>
  <r>
    <m/>
    <m/>
    <x v="1"/>
    <s v="91059700002001"/>
    <n v="-56.05"/>
    <n v="2047"/>
    <n v="1"/>
    <n v="1"/>
  </r>
  <r>
    <m/>
    <m/>
    <x v="1"/>
    <s v="91086693001001"/>
    <n v="-5.67"/>
    <n v="207"/>
    <n v="1"/>
    <n v="1"/>
  </r>
  <r>
    <m/>
    <m/>
    <x v="1"/>
    <s v="91108865001003"/>
    <n v="-26.75"/>
    <n v="977"/>
    <n v="1"/>
    <n v="1"/>
  </r>
  <r>
    <m/>
    <m/>
    <x v="1"/>
    <s v="91142812001003"/>
    <n v="-13.74"/>
    <n v="502"/>
    <n v="1"/>
    <n v="1"/>
  </r>
  <r>
    <m/>
    <m/>
    <x v="1"/>
    <s v="91378375001003"/>
    <n v="-3.78"/>
    <n v="138"/>
    <n v="1"/>
    <n v="1"/>
  </r>
  <r>
    <m/>
    <m/>
    <x v="1"/>
    <s v="91549641001001"/>
    <n v="-10.130000000000001"/>
    <n v="370"/>
    <n v="1"/>
    <n v="1"/>
  </r>
  <r>
    <m/>
    <m/>
    <x v="1"/>
    <s v="91610458001002"/>
    <n v="-69.02"/>
    <n v="2521"/>
    <n v="1"/>
    <n v="1"/>
  </r>
  <r>
    <m/>
    <m/>
    <x v="1"/>
    <s v="91686493001001"/>
    <n v="-43.56"/>
    <n v="1591"/>
    <n v="1"/>
    <n v="1"/>
  </r>
  <r>
    <m/>
    <m/>
    <x v="1"/>
    <s v="91933726001002"/>
    <n v="-27.63"/>
    <n v="1009"/>
    <n v="1"/>
    <n v="1"/>
  </r>
  <r>
    <m/>
    <m/>
    <x v="1"/>
    <s v="92228839005001"/>
    <n v="-79.099999999999994"/>
    <n v="2889"/>
    <n v="1"/>
    <n v="1"/>
  </r>
  <r>
    <m/>
    <m/>
    <x v="1"/>
    <s v="92305167001006"/>
    <n v="-2.57"/>
    <n v="94"/>
    <n v="1"/>
    <n v="1"/>
  </r>
  <r>
    <m/>
    <m/>
    <x v="1"/>
    <s v="92344194001007"/>
    <n v="-53.94"/>
    <n v="1970"/>
    <n v="2"/>
    <n v="1"/>
  </r>
  <r>
    <m/>
    <m/>
    <x v="1"/>
    <s v="92474314001001"/>
    <n v="-14.95"/>
    <n v="546"/>
    <n v="1"/>
    <n v="1"/>
  </r>
  <r>
    <m/>
    <m/>
    <x v="1"/>
    <s v="92588678003003"/>
    <n v="-21.33"/>
    <n v="779"/>
    <n v="1"/>
    <n v="1"/>
  </r>
  <r>
    <m/>
    <m/>
    <x v="1"/>
    <s v="92595774001001"/>
    <n v="-71.319999999999993"/>
    <n v="2605"/>
    <n v="1"/>
    <n v="1"/>
  </r>
  <r>
    <m/>
    <m/>
    <x v="1"/>
    <s v="92684268001001"/>
    <n v="-10.4"/>
    <n v="380"/>
    <n v="1"/>
    <n v="1"/>
  </r>
  <r>
    <m/>
    <m/>
    <x v="1"/>
    <s v="92749025001001"/>
    <n v="-30.69"/>
    <n v="1121"/>
    <n v="1"/>
    <n v="1"/>
  </r>
  <r>
    <m/>
    <m/>
    <x v="1"/>
    <s v="92806696002005"/>
    <n v="-16.670000000000002"/>
    <n v="609"/>
    <n v="1"/>
    <n v="1"/>
  </r>
  <r>
    <m/>
    <m/>
    <x v="1"/>
    <s v="92883803001003"/>
    <n v="-58.73"/>
    <n v="2145"/>
    <n v="1"/>
    <n v="1"/>
  </r>
  <r>
    <m/>
    <m/>
    <x v="1"/>
    <s v="93316698001001"/>
    <n v="-21.55"/>
    <n v="787"/>
    <n v="1"/>
    <n v="1"/>
  </r>
  <r>
    <m/>
    <m/>
    <x v="1"/>
    <s v="93362702006001"/>
    <n v="-63.25"/>
    <n v="2310"/>
    <n v="1"/>
    <n v="1"/>
  </r>
  <r>
    <m/>
    <m/>
    <x v="1"/>
    <s v="93367690001001"/>
    <n v="-76.010000000000005"/>
    <n v="2776"/>
    <n v="1"/>
    <n v="1"/>
  </r>
  <r>
    <m/>
    <m/>
    <x v="1"/>
    <s v="93368277001002"/>
    <n v="-31.57"/>
    <n v="1153"/>
    <n v="1"/>
    <n v="1"/>
  </r>
  <r>
    <m/>
    <m/>
    <x v="1"/>
    <s v="93387211001009"/>
    <n v="-42.19"/>
    <n v="1541"/>
    <n v="1"/>
    <n v="1"/>
  </r>
  <r>
    <m/>
    <m/>
    <x v="1"/>
    <s v="93483899001001"/>
    <n v="-33.46"/>
    <n v="1222"/>
    <n v="1"/>
    <n v="1"/>
  </r>
  <r>
    <m/>
    <m/>
    <x v="1"/>
    <s v="93549993001001"/>
    <n v="-80.989999999999995"/>
    <n v="2958"/>
    <n v="1"/>
    <n v="1"/>
  </r>
  <r>
    <m/>
    <m/>
    <x v="1"/>
    <s v="93645499001013"/>
    <n v="-16.399999999999999"/>
    <n v="599"/>
    <n v="1"/>
    <n v="1"/>
  </r>
  <r>
    <m/>
    <m/>
    <x v="1"/>
    <s v="94287883002008"/>
    <n v="-20.64"/>
    <n v="754"/>
    <n v="1"/>
    <n v="1"/>
  </r>
  <r>
    <m/>
    <m/>
    <x v="1"/>
    <s v="94506465001003"/>
    <n v="-29.71"/>
    <n v="1085"/>
    <n v="1"/>
    <n v="1"/>
  </r>
  <r>
    <m/>
    <m/>
    <x v="1"/>
    <s v="94856892001001"/>
    <n v="-28.97"/>
    <n v="1058"/>
    <n v="1"/>
    <n v="1"/>
  </r>
  <r>
    <m/>
    <m/>
    <x v="1"/>
    <s v="94860723001003"/>
    <n v="-21.99"/>
    <n v="803"/>
    <n v="1"/>
    <n v="1"/>
  </r>
  <r>
    <m/>
    <m/>
    <x v="1"/>
    <s v="95036848001006"/>
    <n v="-68.64"/>
    <n v="2507"/>
    <n v="1"/>
    <n v="1"/>
  </r>
  <r>
    <m/>
    <m/>
    <x v="1"/>
    <s v="95248906001001"/>
    <n v="-30.04"/>
    <n v="1097"/>
    <n v="1"/>
    <n v="1"/>
  </r>
  <r>
    <m/>
    <m/>
    <x v="1"/>
    <s v="95385375003003"/>
    <n v="-10.050000000000001"/>
    <n v="367"/>
    <n v="1"/>
    <n v="1"/>
  </r>
  <r>
    <m/>
    <m/>
    <x v="1"/>
    <s v="95520248002001"/>
    <n v="-4.57"/>
    <n v="167"/>
    <n v="1"/>
    <n v="1"/>
  </r>
  <r>
    <m/>
    <m/>
    <x v="1"/>
    <s v="95523867004002"/>
    <n v="-69.52"/>
    <n v="2539"/>
    <n v="1"/>
    <n v="1"/>
  </r>
  <r>
    <m/>
    <m/>
    <x v="1"/>
    <s v="95675529001008"/>
    <n v="-17.66"/>
    <n v="645"/>
    <n v="1"/>
    <n v="1"/>
  </r>
  <r>
    <m/>
    <m/>
    <x v="1"/>
    <s v="95837796001001"/>
    <n v="-55.39"/>
    <n v="2023"/>
    <n v="1"/>
    <n v="1"/>
  </r>
  <r>
    <m/>
    <m/>
    <x v="1"/>
    <s v="95880839001001"/>
    <n v="-7.2"/>
    <n v="263"/>
    <n v="1"/>
    <n v="1"/>
  </r>
  <r>
    <m/>
    <m/>
    <x v="1"/>
    <s v="95972381001002"/>
    <n v="-44.52"/>
    <n v="1626"/>
    <n v="1"/>
    <n v="1"/>
  </r>
  <r>
    <m/>
    <m/>
    <x v="1"/>
    <s v="96118559002003"/>
    <n v="-20.010000000000002"/>
    <n v="731"/>
    <n v="1"/>
    <n v="1"/>
  </r>
  <r>
    <m/>
    <m/>
    <x v="1"/>
    <s v="96171891001005"/>
    <n v="-27.16"/>
    <n v="992"/>
    <n v="1"/>
    <n v="1"/>
  </r>
  <r>
    <m/>
    <m/>
    <x v="1"/>
    <s v="96336668001003"/>
    <n v="-41.73"/>
    <n v="1524"/>
    <n v="1"/>
    <n v="1"/>
  </r>
  <r>
    <m/>
    <m/>
    <x v="1"/>
    <s v="96956354001001"/>
    <n v="-104.59"/>
    <n v="3820"/>
    <n v="1"/>
    <n v="1"/>
  </r>
  <r>
    <m/>
    <m/>
    <x v="1"/>
    <s v="97054812001007"/>
    <n v="-32.39"/>
    <n v="1183"/>
    <n v="1"/>
    <n v="1"/>
  </r>
  <r>
    <m/>
    <m/>
    <x v="1"/>
    <s v="97148101001003"/>
    <n v="-15.17"/>
    <n v="554"/>
    <n v="1"/>
    <n v="1"/>
  </r>
  <r>
    <m/>
    <m/>
    <x v="1"/>
    <s v="97342863001003"/>
    <n v="-8.84"/>
    <n v="323"/>
    <n v="1"/>
    <n v="1"/>
  </r>
  <r>
    <m/>
    <m/>
    <x v="1"/>
    <s v="97360124001003"/>
    <n v="-37.840000000000003"/>
    <n v="1382"/>
    <n v="1"/>
    <n v="1"/>
  </r>
  <r>
    <m/>
    <m/>
    <x v="1"/>
    <s v="97375212002001"/>
    <n v="-44.05"/>
    <n v="1609"/>
    <n v="1"/>
    <n v="1"/>
  </r>
  <r>
    <m/>
    <m/>
    <x v="1"/>
    <s v="97389502001003"/>
    <n v="-4.93"/>
    <n v="180"/>
    <n v="1"/>
    <n v="1"/>
  </r>
  <r>
    <m/>
    <m/>
    <x v="1"/>
    <s v="97637799001002"/>
    <n v="-25.71"/>
    <n v="939"/>
    <n v="1"/>
    <n v="1"/>
  </r>
  <r>
    <m/>
    <m/>
    <x v="1"/>
    <s v="97778274001003"/>
    <n v="-29.46"/>
    <n v="1076"/>
    <n v="1"/>
    <n v="1"/>
  </r>
  <r>
    <m/>
    <m/>
    <x v="1"/>
    <s v="97956025003002"/>
    <n v="-23.6"/>
    <n v="862"/>
    <n v="1"/>
    <n v="1"/>
  </r>
  <r>
    <m/>
    <m/>
    <x v="1"/>
    <s v="98339533001002"/>
    <n v="-1.42"/>
    <n v="52"/>
    <n v="1"/>
    <n v="1"/>
  </r>
  <r>
    <m/>
    <m/>
    <x v="1"/>
    <s v="98411297002003"/>
    <n v="-33.4"/>
    <n v="1220"/>
    <n v="1"/>
    <n v="1"/>
  </r>
  <r>
    <m/>
    <m/>
    <x v="1"/>
    <s v="98420960001001"/>
    <n v="-11.99"/>
    <n v="438"/>
    <n v="1"/>
    <n v="1"/>
  </r>
  <r>
    <m/>
    <m/>
    <x v="1"/>
    <s v="98472260001001"/>
    <n v="-20.92"/>
    <n v="764"/>
    <n v="1"/>
    <n v="1"/>
  </r>
  <r>
    <m/>
    <m/>
    <x v="1"/>
    <s v="98478092001001"/>
    <n v="-22.29"/>
    <n v="814"/>
    <n v="1"/>
    <n v="1"/>
  </r>
  <r>
    <m/>
    <m/>
    <x v="1"/>
    <s v="98485707001001"/>
    <n v="-25.13"/>
    <n v="918"/>
    <n v="1"/>
    <n v="1"/>
  </r>
  <r>
    <m/>
    <m/>
    <x v="1"/>
    <s v="98730311001007"/>
    <n v="-42.6"/>
    <n v="1556"/>
    <n v="1"/>
    <n v="1"/>
  </r>
  <r>
    <m/>
    <m/>
    <x v="1"/>
    <s v="99162209001001"/>
    <n v="-106.84"/>
    <n v="3902"/>
    <n v="1"/>
    <n v="1"/>
  </r>
  <r>
    <m/>
    <m/>
    <x v="1"/>
    <s v="99284431001009"/>
    <n v="-69"/>
    <n v="2520"/>
    <n v="1"/>
    <n v="1"/>
  </r>
  <r>
    <m/>
    <m/>
    <x v="1"/>
    <s v="99321769001003"/>
    <n v="-35.049999999999997"/>
    <n v="1280"/>
    <n v="1"/>
    <n v="1"/>
  </r>
  <r>
    <m/>
    <m/>
    <x v="1"/>
    <s v="99547055001003"/>
    <n v="-35.54"/>
    <n v="1298"/>
    <n v="1"/>
    <n v="1"/>
  </r>
  <r>
    <m/>
    <m/>
    <x v="4"/>
    <m/>
    <n v="-37351.000000000015"/>
    <n v="1364170"/>
    <n v="1066"/>
    <n v="1062"/>
  </r>
  <r>
    <m/>
    <m/>
    <x v="5"/>
    <s v="00003271001001"/>
    <n v="-74.930000000000007"/>
    <n v="1841"/>
    <n v="1"/>
    <n v="1"/>
  </r>
  <r>
    <m/>
    <m/>
    <x v="1"/>
    <s v="00068289001001"/>
    <n v="-29.26"/>
    <n v="719"/>
    <n v="1"/>
    <n v="1"/>
  </r>
  <r>
    <m/>
    <m/>
    <x v="1"/>
    <s v="00248169001001"/>
    <n v="-16.559999999999999"/>
    <n v="407"/>
    <n v="1"/>
    <n v="1"/>
  </r>
  <r>
    <m/>
    <m/>
    <x v="1"/>
    <s v="00251568001001"/>
    <n v="-42.74"/>
    <n v="1050"/>
    <n v="1"/>
    <n v="1"/>
  </r>
  <r>
    <m/>
    <m/>
    <x v="1"/>
    <s v="00319594001001"/>
    <n v="-35.53"/>
    <n v="873"/>
    <n v="1"/>
    <n v="1"/>
  </r>
  <r>
    <m/>
    <m/>
    <x v="1"/>
    <s v="00329225001005"/>
    <n v="-2.36"/>
    <n v="58"/>
    <n v="1"/>
    <n v="1"/>
  </r>
  <r>
    <m/>
    <m/>
    <x v="1"/>
    <s v="00365733004005"/>
    <n v="-21.94"/>
    <n v="539"/>
    <n v="1"/>
    <n v="1"/>
  </r>
  <r>
    <m/>
    <m/>
    <x v="1"/>
    <s v="00424155001001"/>
    <n v="-46.19"/>
    <n v="1135"/>
    <n v="1"/>
    <n v="1"/>
  </r>
  <r>
    <m/>
    <m/>
    <x v="1"/>
    <s v="00479722008001"/>
    <n v="-91.29"/>
    <n v="2243"/>
    <n v="1"/>
    <n v="1"/>
  </r>
  <r>
    <m/>
    <m/>
    <x v="1"/>
    <s v="00507579001002"/>
    <n v="-21.73"/>
    <n v="534"/>
    <n v="1"/>
    <n v="1"/>
  </r>
  <r>
    <m/>
    <m/>
    <x v="1"/>
    <s v="00552042001003"/>
    <n v="-18.190000000000001"/>
    <n v="447"/>
    <n v="1"/>
    <n v="1"/>
  </r>
  <r>
    <m/>
    <m/>
    <x v="1"/>
    <s v="00574926001001"/>
    <n v="-47.09"/>
    <n v="1157"/>
    <n v="1"/>
    <n v="1"/>
  </r>
  <r>
    <m/>
    <m/>
    <x v="1"/>
    <s v="00631143001001"/>
    <n v="-42.82"/>
    <n v="1052"/>
    <n v="1"/>
    <n v="1"/>
  </r>
  <r>
    <m/>
    <m/>
    <x v="1"/>
    <s v="00722915001001"/>
    <n v="-13.02"/>
    <n v="320"/>
    <n v="1"/>
    <n v="1"/>
  </r>
  <r>
    <m/>
    <m/>
    <x v="1"/>
    <s v="00730907001001"/>
    <n v="-21.29"/>
    <n v="523"/>
    <n v="1"/>
    <n v="1"/>
  </r>
  <r>
    <m/>
    <m/>
    <x v="1"/>
    <s v="00780738001001"/>
    <n v="-61.7"/>
    <n v="1516"/>
    <n v="1"/>
    <n v="1"/>
  </r>
  <r>
    <m/>
    <m/>
    <x v="1"/>
    <s v="00906029001008"/>
    <n v="-46.85"/>
    <n v="1151"/>
    <n v="1"/>
    <n v="1"/>
  </r>
  <r>
    <m/>
    <m/>
    <x v="1"/>
    <s v="00927680001009"/>
    <n v="-27.72"/>
    <n v="681"/>
    <n v="1"/>
    <n v="1"/>
  </r>
  <r>
    <m/>
    <m/>
    <x v="1"/>
    <s v="01028343001005"/>
    <n v="-60.6"/>
    <n v="1489"/>
    <n v="1"/>
    <n v="1"/>
  </r>
  <r>
    <m/>
    <m/>
    <x v="1"/>
    <s v="01046493001001"/>
    <n v="-8.5500000000000007"/>
    <n v="210"/>
    <n v="1"/>
    <n v="1"/>
  </r>
  <r>
    <m/>
    <m/>
    <x v="1"/>
    <s v="01092252001001"/>
    <n v="-48.68"/>
    <n v="1196"/>
    <n v="1"/>
    <n v="1"/>
  </r>
  <r>
    <m/>
    <m/>
    <x v="1"/>
    <s v="01125392001001"/>
    <n v="-84.57"/>
    <n v="2078"/>
    <n v="1"/>
    <n v="1"/>
  </r>
  <r>
    <m/>
    <m/>
    <x v="1"/>
    <s v="01190048001002"/>
    <n v="-15.26"/>
    <n v="375"/>
    <n v="1"/>
    <n v="1"/>
  </r>
  <r>
    <m/>
    <m/>
    <x v="1"/>
    <s v="01335294001005"/>
    <n v="-26.25"/>
    <n v="645"/>
    <n v="1"/>
    <n v="1"/>
  </r>
  <r>
    <m/>
    <m/>
    <x v="1"/>
    <s v="01403700005001"/>
    <n v="-39.19"/>
    <n v="963"/>
    <n v="1"/>
    <n v="1"/>
  </r>
  <r>
    <m/>
    <m/>
    <x v="1"/>
    <s v="01483465001001"/>
    <n v="-57.02"/>
    <n v="1401"/>
    <n v="1"/>
    <n v="1"/>
  </r>
  <r>
    <m/>
    <m/>
    <x v="1"/>
    <s v="01608043001005"/>
    <n v="-119.29"/>
    <n v="2931"/>
    <n v="1"/>
    <n v="1"/>
  </r>
  <r>
    <m/>
    <m/>
    <x v="1"/>
    <s v="01698859001001"/>
    <n v="-45.34"/>
    <n v="1114"/>
    <n v="1"/>
    <n v="1"/>
  </r>
  <r>
    <m/>
    <m/>
    <x v="1"/>
    <s v="01752705001001"/>
    <n v="-113.72"/>
    <n v="2794"/>
    <n v="1"/>
    <n v="1"/>
  </r>
  <r>
    <m/>
    <m/>
    <x v="1"/>
    <s v="01980596001009"/>
    <n v="-93.94"/>
    <n v="2308"/>
    <n v="1"/>
    <n v="1"/>
  </r>
  <r>
    <m/>
    <m/>
    <x v="1"/>
    <s v="02012192001001"/>
    <n v="-29.06"/>
    <n v="714"/>
    <n v="1"/>
    <n v="1"/>
  </r>
  <r>
    <m/>
    <m/>
    <x v="1"/>
    <s v="02179705001007"/>
    <n v="-90.52"/>
    <n v="2224"/>
    <n v="1"/>
    <n v="1"/>
  </r>
  <r>
    <m/>
    <m/>
    <x v="1"/>
    <s v="02188680001001"/>
    <n v="-42"/>
    <n v="1032"/>
    <n v="1"/>
    <n v="1"/>
  </r>
  <r>
    <m/>
    <m/>
    <x v="1"/>
    <s v="02227362001007"/>
    <n v="-37.24"/>
    <n v="915"/>
    <n v="1"/>
    <n v="1"/>
  </r>
  <r>
    <m/>
    <m/>
    <x v="1"/>
    <s v="02282438001003"/>
    <n v="-45.62"/>
    <n v="1121"/>
    <n v="1"/>
    <n v="1"/>
  </r>
  <r>
    <m/>
    <m/>
    <x v="1"/>
    <s v="02380352001003"/>
    <n v="-90.76"/>
    <n v="2230"/>
    <n v="1"/>
    <n v="1"/>
  </r>
  <r>
    <m/>
    <m/>
    <x v="1"/>
    <s v="02496747002003"/>
    <n v="-69.72"/>
    <n v="1713"/>
    <n v="1"/>
    <n v="1"/>
  </r>
  <r>
    <m/>
    <m/>
    <x v="1"/>
    <s v="02670836001001"/>
    <n v="-21.94"/>
    <n v="539"/>
    <n v="1"/>
    <n v="1"/>
  </r>
  <r>
    <m/>
    <m/>
    <x v="1"/>
    <s v="02683413001001"/>
    <n v="-77.489999999999995"/>
    <n v="1904"/>
    <n v="1"/>
    <n v="1"/>
  </r>
  <r>
    <m/>
    <m/>
    <x v="1"/>
    <s v="02717656001001"/>
    <n v="-10.34"/>
    <n v="254"/>
    <n v="1"/>
    <n v="1"/>
  </r>
  <r>
    <m/>
    <m/>
    <x v="1"/>
    <s v="02861062001008"/>
    <n v="-17.18"/>
    <n v="422"/>
    <n v="1"/>
    <n v="1"/>
  </r>
  <r>
    <m/>
    <m/>
    <x v="1"/>
    <s v="02884496001009"/>
    <n v="-65.08"/>
    <n v="1599"/>
    <n v="1"/>
    <n v="1"/>
  </r>
  <r>
    <m/>
    <m/>
    <x v="1"/>
    <s v="02906246001001"/>
    <n v="-50.79"/>
    <n v="1248"/>
    <n v="1"/>
    <n v="1"/>
  </r>
  <r>
    <m/>
    <m/>
    <x v="1"/>
    <s v="03018483004001"/>
    <n v="-88.85"/>
    <n v="2183"/>
    <n v="1"/>
    <n v="1"/>
  </r>
  <r>
    <m/>
    <m/>
    <x v="1"/>
    <s v="03051677001003"/>
    <n v="-58.53"/>
    <n v="1438"/>
    <n v="1"/>
    <n v="1"/>
  </r>
  <r>
    <m/>
    <m/>
    <x v="1"/>
    <s v="03330463001002"/>
    <n v="-56.33"/>
    <n v="1384"/>
    <n v="1"/>
    <n v="1"/>
  </r>
  <r>
    <m/>
    <m/>
    <x v="1"/>
    <s v="03363668001003"/>
    <n v="-28.98"/>
    <n v="712"/>
    <n v="1"/>
    <n v="1"/>
  </r>
  <r>
    <m/>
    <m/>
    <x v="1"/>
    <s v="03499851001001"/>
    <n v="-90.39"/>
    <n v="2221"/>
    <n v="1"/>
    <n v="1"/>
  </r>
  <r>
    <m/>
    <m/>
    <x v="1"/>
    <s v="03517195001001"/>
    <n v="-14.25"/>
    <n v="350"/>
    <n v="1"/>
    <n v="1"/>
  </r>
  <r>
    <m/>
    <m/>
    <x v="1"/>
    <s v="03527986001006"/>
    <n v="-22.83"/>
    <n v="561"/>
    <n v="1"/>
    <n v="1"/>
  </r>
  <r>
    <m/>
    <m/>
    <x v="1"/>
    <s v="03554715002003"/>
    <n v="-66.67"/>
    <n v="1638"/>
    <n v="1"/>
    <n v="1"/>
  </r>
  <r>
    <m/>
    <m/>
    <x v="1"/>
    <s v="03722115001001"/>
    <n v="-91.9"/>
    <n v="2258"/>
    <n v="1"/>
    <n v="1"/>
  </r>
  <r>
    <m/>
    <m/>
    <x v="1"/>
    <s v="03725193001001"/>
    <n v="-120.55"/>
    <n v="2962"/>
    <n v="1"/>
    <n v="1"/>
  </r>
  <r>
    <m/>
    <m/>
    <x v="1"/>
    <s v="03757292001002"/>
    <n v="-43.67"/>
    <n v="1073"/>
    <n v="1"/>
    <n v="1"/>
  </r>
  <r>
    <m/>
    <m/>
    <x v="1"/>
    <s v="03799095002001"/>
    <n v="-44.32"/>
    <n v="1089"/>
    <n v="1"/>
    <n v="1"/>
  </r>
  <r>
    <m/>
    <m/>
    <x v="1"/>
    <s v="03896011001001"/>
    <n v="-78.959999999999994"/>
    <n v="1940"/>
    <n v="1"/>
    <n v="1"/>
  </r>
  <r>
    <m/>
    <m/>
    <x v="1"/>
    <s v="03983250001004"/>
    <n v="-68.95"/>
    <n v="1694"/>
    <n v="1"/>
    <n v="1"/>
  </r>
  <r>
    <m/>
    <m/>
    <x v="1"/>
    <s v="04065926001004"/>
    <n v="-38.5"/>
    <n v="946"/>
    <n v="1"/>
    <n v="1"/>
  </r>
  <r>
    <m/>
    <m/>
    <x v="1"/>
    <s v="04169668001001"/>
    <n v="-28.33"/>
    <n v="696"/>
    <n v="1"/>
    <n v="1"/>
  </r>
  <r>
    <m/>
    <m/>
    <x v="1"/>
    <s v="04226765001003"/>
    <n v="-80.06"/>
    <n v="1967"/>
    <n v="1"/>
    <n v="1"/>
  </r>
  <r>
    <m/>
    <m/>
    <x v="1"/>
    <s v="04348003001001"/>
    <n v="-41.23"/>
    <n v="1013"/>
    <n v="1"/>
    <n v="1"/>
  </r>
  <r>
    <m/>
    <m/>
    <x v="1"/>
    <s v="04544587001001"/>
    <n v="-48.92"/>
    <n v="1202"/>
    <n v="1"/>
    <n v="1"/>
  </r>
  <r>
    <m/>
    <m/>
    <x v="1"/>
    <s v="04563700003001"/>
    <n v="-61.05"/>
    <n v="1500"/>
    <n v="1"/>
    <n v="1"/>
  </r>
  <r>
    <m/>
    <m/>
    <x v="1"/>
    <s v="04619562001001"/>
    <n v="-41.31"/>
    <n v="1015"/>
    <n v="1"/>
    <n v="1"/>
  </r>
  <r>
    <m/>
    <m/>
    <x v="1"/>
    <s v="04707114001002"/>
    <n v="-47.99"/>
    <n v="1179"/>
    <n v="1"/>
    <n v="1"/>
  </r>
  <r>
    <m/>
    <m/>
    <x v="1"/>
    <s v="04714872002001"/>
    <n v="-24.18"/>
    <n v="594"/>
    <n v="1"/>
    <n v="1"/>
  </r>
  <r>
    <m/>
    <m/>
    <x v="1"/>
    <s v="04726736001005"/>
    <n v="-71.349999999999994"/>
    <n v="1753"/>
    <n v="1"/>
    <n v="1"/>
  </r>
  <r>
    <m/>
    <m/>
    <x v="1"/>
    <s v="04731425001001"/>
    <n v="-85.63"/>
    <n v="2104"/>
    <n v="1"/>
    <n v="1"/>
  </r>
  <r>
    <m/>
    <m/>
    <x v="1"/>
    <s v="04758207001001"/>
    <n v="-27.84"/>
    <n v="684"/>
    <n v="1"/>
    <n v="1"/>
  </r>
  <r>
    <m/>
    <m/>
    <x v="1"/>
    <s v="04961046001001"/>
    <n v="-58"/>
    <n v="1425"/>
    <n v="1"/>
    <n v="1"/>
  </r>
  <r>
    <m/>
    <m/>
    <x v="1"/>
    <s v="05012951001002"/>
    <n v="-63.74"/>
    <n v="1566"/>
    <n v="1"/>
    <n v="1"/>
  </r>
  <r>
    <m/>
    <m/>
    <x v="1"/>
    <s v="05125129001001"/>
    <n v="-9.56"/>
    <n v="235"/>
    <n v="1"/>
    <n v="1"/>
  </r>
  <r>
    <m/>
    <m/>
    <x v="1"/>
    <s v="05149737001007"/>
    <n v="-44.85"/>
    <n v="1102"/>
    <n v="1"/>
    <n v="1"/>
  </r>
  <r>
    <m/>
    <m/>
    <x v="1"/>
    <s v="05248384001001"/>
    <n v="-3.87"/>
    <n v="95"/>
    <n v="1"/>
    <n v="1"/>
  </r>
  <r>
    <m/>
    <m/>
    <x v="1"/>
    <s v="05429860001003"/>
    <n v="-44.77"/>
    <n v="1100"/>
    <n v="1"/>
    <n v="1"/>
  </r>
  <r>
    <m/>
    <m/>
    <x v="1"/>
    <s v="05530045001001"/>
    <n v="-31.83"/>
    <n v="782"/>
    <n v="1"/>
    <n v="1"/>
  </r>
  <r>
    <m/>
    <m/>
    <x v="1"/>
    <s v="05576834001001"/>
    <n v="-27.27"/>
    <n v="670"/>
    <n v="1"/>
    <n v="1"/>
  </r>
  <r>
    <m/>
    <m/>
    <x v="1"/>
    <s v="05623338001005"/>
    <n v="-28.33"/>
    <n v="696"/>
    <n v="1"/>
    <n v="1"/>
  </r>
  <r>
    <m/>
    <m/>
    <x v="1"/>
    <s v="05707361001002"/>
    <n v="-55.43"/>
    <n v="1362"/>
    <n v="1"/>
    <n v="1"/>
  </r>
  <r>
    <m/>
    <m/>
    <x v="1"/>
    <s v="05767750001001"/>
    <n v="-103.5"/>
    <n v="2543"/>
    <n v="1"/>
    <n v="1"/>
  </r>
  <r>
    <m/>
    <m/>
    <x v="1"/>
    <s v="05803986001001"/>
    <n v="-50.63"/>
    <n v="1244"/>
    <n v="1"/>
    <n v="1"/>
  </r>
  <r>
    <m/>
    <m/>
    <x v="1"/>
    <s v="05846062001006"/>
    <n v="-63.61"/>
    <n v="1563"/>
    <n v="1"/>
    <n v="1"/>
  </r>
  <r>
    <m/>
    <m/>
    <x v="1"/>
    <s v="05852224002001"/>
    <n v="-74.239999999999995"/>
    <n v="1824"/>
    <n v="1"/>
    <n v="1"/>
  </r>
  <r>
    <m/>
    <m/>
    <x v="1"/>
    <s v="05886414001001"/>
    <n v="-10.62"/>
    <n v="261"/>
    <n v="1"/>
    <n v="1"/>
  </r>
  <r>
    <m/>
    <m/>
    <x v="1"/>
    <s v="05896396001005"/>
    <n v="-8.5500000000000007"/>
    <n v="210"/>
    <n v="1"/>
    <n v="1"/>
  </r>
  <r>
    <m/>
    <m/>
    <x v="1"/>
    <s v="06217746001001"/>
    <n v="-83.56"/>
    <n v="2053"/>
    <n v="1"/>
    <n v="1"/>
  </r>
  <r>
    <m/>
    <m/>
    <x v="1"/>
    <s v="06241011001009"/>
    <n v="-68.7"/>
    <n v="1688"/>
    <n v="1"/>
    <n v="1"/>
  </r>
  <r>
    <m/>
    <m/>
    <x v="1"/>
    <s v="06359444001001"/>
    <n v="-94.63"/>
    <n v="2325"/>
    <n v="1"/>
    <n v="1"/>
  </r>
  <r>
    <m/>
    <m/>
    <x v="1"/>
    <s v="06381309001001"/>
    <n v="-42.86"/>
    <n v="1053"/>
    <n v="1"/>
    <n v="1"/>
  </r>
  <r>
    <m/>
    <m/>
    <x v="1"/>
    <s v="06382830001001"/>
    <n v="-57.1"/>
    <n v="1403"/>
    <n v="1"/>
    <n v="1"/>
  </r>
  <r>
    <m/>
    <m/>
    <x v="1"/>
    <s v="06483393001003"/>
    <n v="-9.89"/>
    <n v="243"/>
    <n v="1"/>
    <n v="1"/>
  </r>
  <r>
    <m/>
    <m/>
    <x v="1"/>
    <s v="06497744001004"/>
    <n v="-0.53"/>
    <n v="13"/>
    <n v="1"/>
    <n v="1"/>
  </r>
  <r>
    <m/>
    <m/>
    <x v="1"/>
    <s v="06506446002001"/>
    <n v="-52.26"/>
    <n v="1284"/>
    <n v="1"/>
    <n v="1"/>
  </r>
  <r>
    <m/>
    <m/>
    <x v="1"/>
    <s v="06546723004003"/>
    <n v="-149.08000000000001"/>
    <n v="3663"/>
    <n v="1"/>
    <n v="1"/>
  </r>
  <r>
    <m/>
    <m/>
    <x v="1"/>
    <s v="06659461001001"/>
    <n v="-16.32"/>
    <n v="401"/>
    <n v="1"/>
    <n v="1"/>
  </r>
  <r>
    <m/>
    <m/>
    <x v="1"/>
    <s v="06711370004001"/>
    <n v="-74.599999999999994"/>
    <n v="1833"/>
    <n v="1"/>
    <n v="1"/>
  </r>
  <r>
    <m/>
    <m/>
    <x v="1"/>
    <s v="06752272001001"/>
    <n v="-8.51"/>
    <n v="209"/>
    <n v="1"/>
    <n v="1"/>
  </r>
  <r>
    <m/>
    <m/>
    <x v="1"/>
    <s v="06797083002002"/>
    <n v="-44.61"/>
    <n v="1096"/>
    <n v="1"/>
    <n v="1"/>
  </r>
  <r>
    <m/>
    <m/>
    <x v="1"/>
    <s v="06815394001001"/>
    <n v="-15.55"/>
    <n v="382"/>
    <n v="1"/>
    <n v="1"/>
  </r>
  <r>
    <m/>
    <m/>
    <x v="1"/>
    <s v="06850200002005"/>
    <n v="-15.91"/>
    <n v="391"/>
    <n v="1"/>
    <n v="1"/>
  </r>
  <r>
    <m/>
    <m/>
    <x v="1"/>
    <s v="06921954001001"/>
    <n v="-77.98"/>
    <n v="1916"/>
    <n v="1"/>
    <n v="1"/>
  </r>
  <r>
    <m/>
    <m/>
    <x v="1"/>
    <s v="06981091001001"/>
    <n v="-30.28"/>
    <n v="744"/>
    <n v="1"/>
    <n v="1"/>
  </r>
  <r>
    <m/>
    <m/>
    <x v="1"/>
    <s v="06995052002002"/>
    <n v="-78.06"/>
    <n v="1918"/>
    <n v="1"/>
    <n v="1"/>
  </r>
  <r>
    <m/>
    <m/>
    <x v="1"/>
    <s v="07029671001001"/>
    <n v="-99.06"/>
    <n v="2434"/>
    <n v="1"/>
    <n v="1"/>
  </r>
  <r>
    <m/>
    <m/>
    <x v="1"/>
    <s v="07168124001001"/>
    <n v="-49.86"/>
    <n v="1225"/>
    <n v="1"/>
    <n v="1"/>
  </r>
  <r>
    <m/>
    <m/>
    <x v="1"/>
    <s v="07424854001001"/>
    <n v="-89.42"/>
    <n v="2197"/>
    <n v="1"/>
    <n v="1"/>
  </r>
  <r>
    <m/>
    <m/>
    <x v="1"/>
    <s v="07467331001001"/>
    <n v="-53.85"/>
    <n v="1323"/>
    <n v="1"/>
    <n v="1"/>
  </r>
  <r>
    <m/>
    <m/>
    <x v="1"/>
    <s v="07497509001002"/>
    <n v="-33.74"/>
    <n v="829"/>
    <n v="1"/>
    <n v="1"/>
  </r>
  <r>
    <m/>
    <m/>
    <x v="1"/>
    <s v="07806495001002"/>
    <n v="-55.84"/>
    <n v="1372"/>
    <n v="1"/>
    <n v="1"/>
  </r>
  <r>
    <m/>
    <m/>
    <x v="1"/>
    <s v="07839530002003"/>
    <n v="-133.41"/>
    <n v="3278"/>
    <n v="1"/>
    <n v="1"/>
  </r>
  <r>
    <m/>
    <m/>
    <x v="1"/>
    <s v="07928044001004"/>
    <n v="-45.18"/>
    <n v="1110"/>
    <n v="1"/>
    <n v="1"/>
  </r>
  <r>
    <m/>
    <m/>
    <x v="1"/>
    <s v="07950772002001"/>
    <n v="-112.41"/>
    <n v="2762"/>
    <n v="1"/>
    <n v="1"/>
  </r>
  <r>
    <m/>
    <m/>
    <x v="1"/>
    <s v="08001690001003"/>
    <n v="-6.06"/>
    <n v="149"/>
    <n v="1"/>
    <n v="1"/>
  </r>
  <r>
    <m/>
    <m/>
    <x v="1"/>
    <s v="08024540001001"/>
    <n v="-63.13"/>
    <n v="1551"/>
    <n v="1"/>
    <n v="1"/>
  </r>
  <r>
    <m/>
    <m/>
    <x v="1"/>
    <s v="08046015005001"/>
    <n v="-108.95"/>
    <n v="2677"/>
    <n v="1"/>
    <n v="1"/>
  </r>
  <r>
    <m/>
    <m/>
    <x v="1"/>
    <s v="08056389001001"/>
    <n v="-14.16"/>
    <n v="348"/>
    <n v="1"/>
    <n v="1"/>
  </r>
  <r>
    <m/>
    <m/>
    <x v="1"/>
    <s v="08220595001001"/>
    <n v="-83.27"/>
    <n v="2046"/>
    <n v="1"/>
    <n v="1"/>
  </r>
  <r>
    <m/>
    <m/>
    <x v="1"/>
    <s v="08233163001004"/>
    <n v="-84.21"/>
    <n v="2069"/>
    <n v="1"/>
    <n v="1"/>
  </r>
  <r>
    <m/>
    <m/>
    <x v="1"/>
    <s v="08504635004005"/>
    <n v="-73.83"/>
    <n v="1814"/>
    <n v="1"/>
    <n v="1"/>
  </r>
  <r>
    <m/>
    <m/>
    <x v="1"/>
    <s v="08549288001007"/>
    <n v="-87.59"/>
    <n v="2152"/>
    <n v="1"/>
    <n v="1"/>
  </r>
  <r>
    <m/>
    <m/>
    <x v="1"/>
    <s v="08580823001001"/>
    <n v="-64.55"/>
    <n v="1586"/>
    <n v="1"/>
    <n v="1"/>
  </r>
  <r>
    <m/>
    <m/>
    <x v="1"/>
    <s v="08694261001001"/>
    <n v="-77"/>
    <n v="1892"/>
    <n v="1"/>
    <n v="1"/>
  </r>
  <r>
    <m/>
    <m/>
    <x v="1"/>
    <s v="08733004003004"/>
    <n v="-78.75"/>
    <n v="1935"/>
    <n v="1"/>
    <n v="1"/>
  </r>
  <r>
    <m/>
    <m/>
    <x v="1"/>
    <s v="08794894001001"/>
    <n v="-120.84"/>
    <n v="2969"/>
    <n v="1"/>
    <n v="1"/>
  </r>
  <r>
    <m/>
    <m/>
    <x v="1"/>
    <s v="08808764002006"/>
    <n v="-81.28"/>
    <n v="1997"/>
    <n v="1"/>
    <n v="1"/>
  </r>
  <r>
    <m/>
    <m/>
    <x v="1"/>
    <s v="08951802001002"/>
    <n v="-79.08"/>
    <n v="1943"/>
    <n v="1"/>
    <n v="1"/>
  </r>
  <r>
    <m/>
    <m/>
    <x v="1"/>
    <s v="08974102001003"/>
    <n v="-35.33"/>
    <n v="868"/>
    <n v="1"/>
    <n v="1"/>
  </r>
  <r>
    <m/>
    <m/>
    <x v="1"/>
    <s v="09010397001001"/>
    <n v="-56.08"/>
    <n v="1378"/>
    <n v="1"/>
    <n v="1"/>
  </r>
  <r>
    <m/>
    <m/>
    <x v="1"/>
    <s v="09042855001003"/>
    <n v="-14.29"/>
    <n v="351"/>
    <n v="1"/>
    <n v="1"/>
  </r>
  <r>
    <m/>
    <m/>
    <x v="1"/>
    <s v="09185093001002"/>
    <n v="-34.840000000000003"/>
    <n v="856"/>
    <n v="1"/>
    <n v="1"/>
  </r>
  <r>
    <m/>
    <m/>
    <x v="1"/>
    <s v="09269213006001"/>
    <n v="-66.14"/>
    <n v="1625"/>
    <n v="1"/>
    <n v="1"/>
  </r>
  <r>
    <m/>
    <m/>
    <x v="1"/>
    <s v="09315806002001"/>
    <n v="-40.9"/>
    <n v="1005"/>
    <n v="1"/>
    <n v="1"/>
  </r>
  <r>
    <m/>
    <m/>
    <x v="1"/>
    <s v="09318796001003"/>
    <n v="-41.72"/>
    <n v="1025"/>
    <n v="1"/>
    <n v="1"/>
  </r>
  <r>
    <m/>
    <m/>
    <x v="1"/>
    <s v="09350845002002"/>
    <n v="-60.77"/>
    <n v="1493"/>
    <n v="1"/>
    <n v="1"/>
  </r>
  <r>
    <m/>
    <m/>
    <x v="1"/>
    <s v="09410352001003"/>
    <n v="-35.94"/>
    <n v="883"/>
    <n v="1"/>
    <n v="1"/>
  </r>
  <r>
    <m/>
    <m/>
    <x v="1"/>
    <s v="09541206009003"/>
    <n v="-44.4"/>
    <n v="1091"/>
    <n v="1"/>
    <n v="1"/>
  </r>
  <r>
    <m/>
    <m/>
    <x v="1"/>
    <s v="09607312001001"/>
    <n v="-98.82"/>
    <n v="2428"/>
    <n v="1"/>
    <n v="1"/>
  </r>
  <r>
    <m/>
    <m/>
    <x v="1"/>
    <s v="09656421001005"/>
    <n v="-160.72"/>
    <n v="3949"/>
    <n v="1"/>
    <n v="1"/>
  </r>
  <r>
    <m/>
    <m/>
    <x v="1"/>
    <s v="09715929001003"/>
    <n v="-32.32"/>
    <n v="794"/>
    <n v="1"/>
    <n v="1"/>
  </r>
  <r>
    <m/>
    <m/>
    <x v="1"/>
    <s v="09717335001001"/>
    <n v="-59.95"/>
    <n v="1473"/>
    <n v="1"/>
    <n v="1"/>
  </r>
  <r>
    <m/>
    <m/>
    <x v="1"/>
    <s v="09752135001001"/>
    <n v="-12.54"/>
    <n v="308"/>
    <n v="1"/>
    <n v="1"/>
  </r>
  <r>
    <m/>
    <m/>
    <x v="1"/>
    <s v="09767344004001"/>
    <n v="-139.6"/>
    <n v="3430"/>
    <n v="1"/>
    <n v="1"/>
  </r>
  <r>
    <m/>
    <m/>
    <x v="1"/>
    <s v="10032544001001"/>
    <n v="-47.82"/>
    <n v="1175"/>
    <n v="1"/>
    <n v="1"/>
  </r>
  <r>
    <m/>
    <m/>
    <x v="1"/>
    <s v="10095826001001"/>
    <n v="-81.28"/>
    <n v="1997"/>
    <n v="1"/>
    <n v="1"/>
  </r>
  <r>
    <m/>
    <m/>
    <x v="1"/>
    <s v="10234378001001"/>
    <n v="-16.52"/>
    <n v="406"/>
    <n v="1"/>
    <n v="1"/>
  </r>
  <r>
    <m/>
    <m/>
    <x v="1"/>
    <s v="10286168001001"/>
    <n v="-54.38"/>
    <n v="1336"/>
    <n v="1"/>
    <n v="1"/>
  </r>
  <r>
    <m/>
    <m/>
    <x v="1"/>
    <s v="10346018001001"/>
    <n v="-83.52"/>
    <n v="2052"/>
    <n v="1"/>
    <n v="1"/>
  </r>
  <r>
    <m/>
    <m/>
    <x v="1"/>
    <s v="10356260001001"/>
    <n v="-80.83"/>
    <n v="1986"/>
    <n v="1"/>
    <n v="1"/>
  </r>
  <r>
    <m/>
    <m/>
    <x v="1"/>
    <s v="10377894001016"/>
    <n v="-56.37"/>
    <n v="1385"/>
    <n v="1"/>
    <n v="1"/>
  </r>
  <r>
    <m/>
    <m/>
    <x v="1"/>
    <s v="10447712003003"/>
    <n v="-12.29"/>
    <n v="302"/>
    <n v="1"/>
    <n v="1"/>
  </r>
  <r>
    <m/>
    <m/>
    <x v="1"/>
    <s v="10563066001001"/>
    <n v="-22.67"/>
    <n v="557"/>
    <n v="1"/>
    <n v="1"/>
  </r>
  <r>
    <m/>
    <m/>
    <x v="1"/>
    <s v="10635301003001"/>
    <n v="-23.93"/>
    <n v="588"/>
    <n v="1"/>
    <n v="1"/>
  </r>
  <r>
    <m/>
    <m/>
    <x v="1"/>
    <s v="10769950001001"/>
    <n v="-28.04"/>
    <n v="689"/>
    <n v="1"/>
    <n v="1"/>
  </r>
  <r>
    <m/>
    <m/>
    <x v="1"/>
    <s v="10792246001002"/>
    <n v="-72.61"/>
    <n v="1784"/>
    <n v="1"/>
    <n v="1"/>
  </r>
  <r>
    <m/>
    <m/>
    <x v="1"/>
    <s v="10865475001001"/>
    <n v="-79.849999999999994"/>
    <n v="1962"/>
    <n v="1"/>
    <n v="1"/>
  </r>
  <r>
    <m/>
    <m/>
    <x v="1"/>
    <s v="10931298001005"/>
    <n v="-15.83"/>
    <n v="389"/>
    <n v="1"/>
    <n v="1"/>
  </r>
  <r>
    <m/>
    <m/>
    <x v="1"/>
    <s v="11078715001003"/>
    <n v="-72.650000000000006"/>
    <n v="1785"/>
    <n v="1"/>
    <n v="1"/>
  </r>
  <r>
    <m/>
    <m/>
    <x v="1"/>
    <s v="11190686005003"/>
    <n v="-150.13999999999999"/>
    <n v="3689"/>
    <n v="1"/>
    <n v="1"/>
  </r>
  <r>
    <m/>
    <m/>
    <x v="1"/>
    <s v="11325923001001"/>
    <n v="-39.19"/>
    <n v="963"/>
    <n v="1"/>
    <n v="1"/>
  </r>
  <r>
    <m/>
    <m/>
    <x v="1"/>
    <s v="11356050001010"/>
    <n v="-14.2"/>
    <n v="349"/>
    <n v="1"/>
    <n v="1"/>
  </r>
  <r>
    <m/>
    <m/>
    <x v="1"/>
    <s v="11380184001001"/>
    <n v="-11.97"/>
    <n v="294"/>
    <n v="1"/>
    <n v="1"/>
  </r>
  <r>
    <m/>
    <m/>
    <x v="1"/>
    <s v="11498623002001"/>
    <n v="-88.56"/>
    <n v="2176"/>
    <n v="1"/>
    <n v="1"/>
  </r>
  <r>
    <m/>
    <m/>
    <x v="1"/>
    <s v="11646801001004"/>
    <n v="-31.75"/>
    <n v="780"/>
    <n v="1"/>
    <n v="1"/>
  </r>
  <r>
    <m/>
    <m/>
    <x v="1"/>
    <s v="11649874003001"/>
    <n v="-40.58"/>
    <n v="997"/>
    <n v="1"/>
    <n v="1"/>
  </r>
  <r>
    <m/>
    <m/>
    <x v="1"/>
    <s v="11662460005001"/>
    <n v="-76.680000000000007"/>
    <n v="1884"/>
    <n v="1"/>
    <n v="1"/>
  </r>
  <r>
    <m/>
    <m/>
    <x v="1"/>
    <s v="11714515001003"/>
    <n v="-79.37"/>
    <n v="1950"/>
    <n v="1"/>
    <n v="1"/>
  </r>
  <r>
    <m/>
    <m/>
    <x v="1"/>
    <s v="11787709001001"/>
    <n v="-65.45"/>
    <n v="1608"/>
    <n v="1"/>
    <n v="1"/>
  </r>
  <r>
    <m/>
    <m/>
    <x v="1"/>
    <s v="12190639001002"/>
    <n v="-57.75"/>
    <n v="1419"/>
    <n v="1"/>
    <n v="1"/>
  </r>
  <r>
    <m/>
    <m/>
    <x v="1"/>
    <s v="12190744001001"/>
    <n v="-6.59"/>
    <n v="162"/>
    <n v="1"/>
    <n v="1"/>
  </r>
  <r>
    <m/>
    <m/>
    <x v="1"/>
    <s v="12193027001001"/>
    <n v="-13.63"/>
    <n v="335"/>
    <n v="1"/>
    <n v="1"/>
  </r>
  <r>
    <m/>
    <m/>
    <x v="1"/>
    <s v="12199696001001"/>
    <n v="-107.12"/>
    <n v="2632"/>
    <n v="1"/>
    <n v="1"/>
  </r>
  <r>
    <m/>
    <m/>
    <x v="1"/>
    <s v="12199921003001"/>
    <n v="-22.34"/>
    <n v="549"/>
    <n v="1"/>
    <n v="1"/>
  </r>
  <r>
    <m/>
    <m/>
    <x v="1"/>
    <s v="12215901001001"/>
    <n v="-9.93"/>
    <n v="244"/>
    <n v="1"/>
    <n v="1"/>
  </r>
  <r>
    <m/>
    <m/>
    <x v="1"/>
    <s v="12258593002001"/>
    <n v="-56.45"/>
    <n v="1387"/>
    <n v="1"/>
    <n v="1"/>
  </r>
  <r>
    <m/>
    <m/>
    <x v="1"/>
    <s v="12347732001004"/>
    <n v="-67.680000000000007"/>
    <n v="1663"/>
    <n v="1"/>
    <n v="1"/>
  </r>
  <r>
    <m/>
    <m/>
    <x v="1"/>
    <s v="12421088001001"/>
    <n v="-10.38"/>
    <n v="255"/>
    <n v="1"/>
    <n v="1"/>
  </r>
  <r>
    <m/>
    <m/>
    <x v="1"/>
    <s v="12587071001001"/>
    <n v="-123.65"/>
    <n v="3038"/>
    <n v="1"/>
    <n v="1"/>
  </r>
  <r>
    <m/>
    <m/>
    <x v="1"/>
    <s v="12738000001001"/>
    <n v="-101.06"/>
    <n v="2483"/>
    <n v="1"/>
    <n v="1"/>
  </r>
  <r>
    <m/>
    <m/>
    <x v="1"/>
    <s v="12750086001005"/>
    <n v="-65.53"/>
    <n v="1610"/>
    <n v="1"/>
    <n v="1"/>
  </r>
  <r>
    <m/>
    <m/>
    <x v="1"/>
    <s v="12952323002003"/>
    <n v="-5.29"/>
    <n v="130"/>
    <n v="1"/>
    <n v="1"/>
  </r>
  <r>
    <m/>
    <m/>
    <x v="1"/>
    <s v="12961356001003"/>
    <n v="-27.15"/>
    <n v="667"/>
    <n v="1"/>
    <n v="1"/>
  </r>
  <r>
    <m/>
    <m/>
    <x v="1"/>
    <s v="13055066001001"/>
    <n v="-10.62"/>
    <n v="261"/>
    <n v="1"/>
    <n v="1"/>
  </r>
  <r>
    <m/>
    <m/>
    <x v="1"/>
    <s v="13128957001001"/>
    <n v="-57.63"/>
    <n v="1416"/>
    <n v="1"/>
    <n v="1"/>
  </r>
  <r>
    <m/>
    <m/>
    <x v="1"/>
    <s v="13219544001001"/>
    <n v="-177"/>
    <n v="4349"/>
    <n v="1"/>
    <n v="1"/>
  </r>
  <r>
    <m/>
    <m/>
    <x v="1"/>
    <s v="13250149001002"/>
    <n v="-79.77"/>
    <n v="1960"/>
    <n v="1"/>
    <n v="1"/>
  </r>
  <r>
    <m/>
    <m/>
    <x v="1"/>
    <s v="13434804001007"/>
    <n v="-6.96"/>
    <n v="171"/>
    <n v="1"/>
    <n v="1"/>
  </r>
  <r>
    <m/>
    <m/>
    <x v="1"/>
    <s v="13584754001005"/>
    <n v="-45.1"/>
    <n v="1108"/>
    <n v="1"/>
    <n v="1"/>
  </r>
  <r>
    <m/>
    <m/>
    <x v="1"/>
    <s v="13597159001001"/>
    <n v="-76.27"/>
    <n v="1874"/>
    <n v="1"/>
    <n v="1"/>
  </r>
  <r>
    <m/>
    <m/>
    <x v="1"/>
    <s v="13657098001001"/>
    <n v="-48.92"/>
    <n v="1202"/>
    <n v="1"/>
    <n v="1"/>
  </r>
  <r>
    <m/>
    <m/>
    <x v="1"/>
    <s v="13673984001003"/>
    <n v="-49.04"/>
    <n v="1205"/>
    <n v="1"/>
    <n v="1"/>
  </r>
  <r>
    <m/>
    <m/>
    <x v="1"/>
    <s v="13794916004003"/>
    <n v="-67.77"/>
    <n v="1665"/>
    <n v="1"/>
    <n v="1"/>
  </r>
  <r>
    <m/>
    <m/>
    <x v="1"/>
    <s v="13812990001010"/>
    <n v="-59.54"/>
    <n v="1463"/>
    <n v="1"/>
    <n v="1"/>
  </r>
  <r>
    <m/>
    <m/>
    <x v="1"/>
    <s v="13818728001007"/>
    <n v="-38.1"/>
    <n v="936"/>
    <n v="1"/>
    <n v="1"/>
  </r>
  <r>
    <m/>
    <m/>
    <x v="1"/>
    <s v="13852682001001"/>
    <n v="-20.23"/>
    <n v="497"/>
    <n v="1"/>
    <n v="1"/>
  </r>
  <r>
    <m/>
    <m/>
    <x v="1"/>
    <s v="13972735001001"/>
    <n v="-41.39"/>
    <n v="1017"/>
    <n v="1"/>
    <n v="1"/>
  </r>
  <r>
    <m/>
    <m/>
    <x v="1"/>
    <s v="14123583001011"/>
    <n v="-20.72"/>
    <n v="509"/>
    <n v="1"/>
    <n v="1"/>
  </r>
  <r>
    <m/>
    <m/>
    <x v="1"/>
    <s v="14158880001001"/>
    <n v="-55.39"/>
    <n v="1361"/>
    <n v="1"/>
    <n v="1"/>
  </r>
  <r>
    <m/>
    <m/>
    <x v="1"/>
    <s v="14161302001006"/>
    <n v="-60.81"/>
    <n v="1494"/>
    <n v="1"/>
    <n v="1"/>
  </r>
  <r>
    <m/>
    <m/>
    <x v="1"/>
    <s v="14171251001006"/>
    <n v="-24.7"/>
    <n v="607"/>
    <n v="1"/>
    <n v="1"/>
  </r>
  <r>
    <m/>
    <m/>
    <x v="1"/>
    <s v="14195593002004"/>
    <n v="-144.4"/>
    <n v="3548"/>
    <n v="1"/>
    <n v="1"/>
  </r>
  <r>
    <m/>
    <m/>
    <x v="1"/>
    <s v="14250991001001"/>
    <n v="-66.3"/>
    <n v="1629"/>
    <n v="1"/>
    <n v="1"/>
  </r>
  <r>
    <m/>
    <m/>
    <x v="1"/>
    <s v="14280190001003"/>
    <n v="-28.98"/>
    <n v="712"/>
    <n v="1"/>
    <n v="1"/>
  </r>
  <r>
    <m/>
    <m/>
    <x v="1"/>
    <s v="14417667001001"/>
    <n v="-62.07"/>
    <n v="1525"/>
    <n v="1"/>
    <n v="1"/>
  </r>
  <r>
    <m/>
    <m/>
    <x v="1"/>
    <s v="14496582001001"/>
    <n v="-50.06"/>
    <n v="1230"/>
    <n v="1"/>
    <n v="1"/>
  </r>
  <r>
    <m/>
    <m/>
    <x v="1"/>
    <s v="14502955001001"/>
    <n v="-60.36"/>
    <n v="1483"/>
    <n v="1"/>
    <n v="1"/>
  </r>
  <r>
    <m/>
    <m/>
    <x v="1"/>
    <s v="14612915001001"/>
    <n v="-67.11"/>
    <n v="1649"/>
    <n v="1"/>
    <n v="1"/>
  </r>
  <r>
    <m/>
    <m/>
    <x v="1"/>
    <s v="14663014001002"/>
    <n v="-48.39"/>
    <n v="1189"/>
    <n v="1"/>
    <n v="1"/>
  </r>
  <r>
    <m/>
    <m/>
    <x v="1"/>
    <s v="14664113002001"/>
    <n v="-141.63999999999999"/>
    <n v="3480"/>
    <n v="1"/>
    <n v="1"/>
  </r>
  <r>
    <m/>
    <m/>
    <x v="1"/>
    <s v="14876434001004"/>
    <n v="-69.11"/>
    <n v="1698"/>
    <n v="1"/>
    <n v="1"/>
  </r>
  <r>
    <m/>
    <m/>
    <x v="1"/>
    <s v="15125902001001"/>
    <n v="-27.96"/>
    <n v="687"/>
    <n v="1"/>
    <n v="1"/>
  </r>
  <r>
    <m/>
    <m/>
    <x v="1"/>
    <s v="15242262002003"/>
    <n v="-35.65"/>
    <n v="876"/>
    <n v="1"/>
    <n v="1"/>
  </r>
  <r>
    <m/>
    <m/>
    <x v="1"/>
    <s v="15264531001003"/>
    <n v="-33.54"/>
    <n v="824"/>
    <n v="1"/>
    <n v="1"/>
  </r>
  <r>
    <m/>
    <m/>
    <x v="1"/>
    <s v="15335726001008"/>
    <n v="-21"/>
    <n v="516"/>
    <n v="1"/>
    <n v="1"/>
  </r>
  <r>
    <m/>
    <m/>
    <x v="1"/>
    <s v="15431936001001"/>
    <n v="-26.05"/>
    <n v="640"/>
    <n v="1"/>
    <n v="1"/>
  </r>
  <r>
    <m/>
    <m/>
    <x v="1"/>
    <s v="15497150001007"/>
    <n v="-33.46"/>
    <n v="822"/>
    <n v="1"/>
    <n v="1"/>
  </r>
  <r>
    <m/>
    <m/>
    <x v="1"/>
    <s v="15515287001002"/>
    <n v="-62.11"/>
    <n v="1526"/>
    <n v="1"/>
    <n v="1"/>
  </r>
  <r>
    <m/>
    <m/>
    <x v="1"/>
    <s v="15524581001001"/>
    <n v="-84.57"/>
    <n v="2078"/>
    <n v="1"/>
    <n v="1"/>
  </r>
  <r>
    <m/>
    <m/>
    <x v="1"/>
    <s v="15567974001002"/>
    <n v="-39.4"/>
    <n v="968"/>
    <n v="1"/>
    <n v="1"/>
  </r>
  <r>
    <m/>
    <m/>
    <x v="1"/>
    <s v="15574419001008"/>
    <n v="-49.33"/>
    <n v="1212"/>
    <n v="1"/>
    <n v="1"/>
  </r>
  <r>
    <m/>
    <m/>
    <x v="1"/>
    <s v="15666421003001"/>
    <n v="-59.06"/>
    <n v="1451"/>
    <n v="1"/>
    <n v="1"/>
  </r>
  <r>
    <m/>
    <m/>
    <x v="1"/>
    <s v="15723578001004"/>
    <n v="-82.78"/>
    <n v="2034"/>
    <n v="1"/>
    <n v="1"/>
  </r>
  <r>
    <m/>
    <m/>
    <x v="1"/>
    <s v="15745592001001"/>
    <n v="-81.93"/>
    <n v="2013"/>
    <n v="1"/>
    <n v="1"/>
  </r>
  <r>
    <m/>
    <m/>
    <x v="1"/>
    <s v="15925995001001"/>
    <n v="-31.18"/>
    <n v="766"/>
    <n v="1"/>
    <n v="1"/>
  </r>
  <r>
    <m/>
    <m/>
    <x v="1"/>
    <s v="16066896001005"/>
    <n v="-45.01"/>
    <n v="1106"/>
    <n v="1"/>
    <n v="1"/>
  </r>
  <r>
    <m/>
    <m/>
    <x v="1"/>
    <s v="16099578001001"/>
    <n v="-51.32"/>
    <n v="1261"/>
    <n v="1"/>
    <n v="1"/>
  </r>
  <r>
    <m/>
    <m/>
    <x v="1"/>
    <s v="16129169001001"/>
    <n v="-42.12"/>
    <n v="1035"/>
    <n v="1"/>
    <n v="1"/>
  </r>
  <r>
    <m/>
    <m/>
    <x v="1"/>
    <s v="16141513003001"/>
    <n v="-41.72"/>
    <n v="1025"/>
    <n v="1"/>
    <n v="1"/>
  </r>
  <r>
    <m/>
    <m/>
    <x v="1"/>
    <s v="16175755001003"/>
    <n v="-23.61"/>
    <n v="580"/>
    <n v="1"/>
    <n v="1"/>
  </r>
  <r>
    <m/>
    <m/>
    <x v="1"/>
    <s v="16222691001005"/>
    <n v="-55.84"/>
    <n v="1372"/>
    <n v="1"/>
    <n v="1"/>
  </r>
  <r>
    <m/>
    <m/>
    <x v="1"/>
    <s v="16268790001003"/>
    <n v="-72.12"/>
    <n v="1772"/>
    <n v="1"/>
    <n v="1"/>
  </r>
  <r>
    <m/>
    <m/>
    <x v="1"/>
    <s v="16272128001001"/>
    <n v="-26.05"/>
    <n v="640"/>
    <n v="1"/>
    <n v="1"/>
  </r>
  <r>
    <m/>
    <m/>
    <x v="1"/>
    <s v="16324942001001"/>
    <n v="-22.67"/>
    <n v="557"/>
    <n v="1"/>
    <n v="1"/>
  </r>
  <r>
    <m/>
    <m/>
    <x v="1"/>
    <s v="16450177001001"/>
    <n v="-24.95"/>
    <n v="613"/>
    <n v="1"/>
    <n v="1"/>
  </r>
  <r>
    <m/>
    <m/>
    <x v="1"/>
    <s v="16506070001002"/>
    <n v="-49.25"/>
    <n v="1210"/>
    <n v="1"/>
    <n v="1"/>
  </r>
  <r>
    <m/>
    <m/>
    <x v="1"/>
    <s v="16578645001005"/>
    <n v="-40.369999999999997"/>
    <n v="992"/>
    <n v="1"/>
    <n v="1"/>
  </r>
  <r>
    <m/>
    <m/>
    <x v="1"/>
    <s v="16593753001001"/>
    <n v="-50.67"/>
    <n v="1245"/>
    <n v="1"/>
    <n v="1"/>
  </r>
  <r>
    <m/>
    <m/>
    <x v="1"/>
    <s v="16646645005001"/>
    <n v="-8.51"/>
    <n v="209"/>
    <n v="1"/>
    <n v="1"/>
  </r>
  <r>
    <m/>
    <m/>
    <x v="1"/>
    <s v="16766325001001"/>
    <n v="-37.04"/>
    <n v="910"/>
    <n v="1"/>
    <n v="1"/>
  </r>
  <r>
    <m/>
    <m/>
    <x v="1"/>
    <s v="16865540003001"/>
    <n v="-8.6300000000000008"/>
    <n v="212"/>
    <n v="1"/>
    <n v="1"/>
  </r>
  <r>
    <m/>
    <m/>
    <x v="1"/>
    <s v="16884109001002"/>
    <n v="-74.849999999999994"/>
    <n v="1839"/>
    <n v="1"/>
    <n v="1"/>
  </r>
  <r>
    <m/>
    <m/>
    <x v="1"/>
    <s v="16958956001003"/>
    <n v="-35.119999999999997"/>
    <n v="863"/>
    <n v="1"/>
    <n v="1"/>
  </r>
  <r>
    <m/>
    <m/>
    <x v="1"/>
    <s v="17145119002004"/>
    <n v="-33.369999999999997"/>
    <n v="820"/>
    <n v="1"/>
    <n v="1"/>
  </r>
  <r>
    <m/>
    <m/>
    <x v="1"/>
    <s v="17193208001001"/>
    <n v="-54.21"/>
    <n v="1332"/>
    <n v="1"/>
    <n v="1"/>
  </r>
  <r>
    <m/>
    <m/>
    <x v="1"/>
    <s v="17236061001003"/>
    <n v="-59.14"/>
    <n v="1453"/>
    <n v="1"/>
    <n v="1"/>
  </r>
  <r>
    <m/>
    <m/>
    <x v="1"/>
    <s v="17378301001002"/>
    <n v="-74.16"/>
    <n v="1822"/>
    <n v="1"/>
    <n v="1"/>
  </r>
  <r>
    <m/>
    <m/>
    <x v="1"/>
    <s v="17606006001001"/>
    <n v="-68.459999999999994"/>
    <n v="1682"/>
    <n v="1"/>
    <n v="1"/>
  </r>
  <r>
    <m/>
    <m/>
    <x v="1"/>
    <s v="17662465001001"/>
    <n v="-10.79"/>
    <n v="265"/>
    <n v="1"/>
    <n v="1"/>
  </r>
  <r>
    <m/>
    <m/>
    <x v="1"/>
    <s v="17724609001006"/>
    <n v="-66.06"/>
    <n v="1623"/>
    <n v="1"/>
    <n v="1"/>
  </r>
  <r>
    <m/>
    <m/>
    <x v="1"/>
    <s v="17740472001001"/>
    <n v="-36.35"/>
    <n v="893"/>
    <n v="1"/>
    <n v="1"/>
  </r>
  <r>
    <m/>
    <m/>
    <x v="1"/>
    <s v="17760079001001"/>
    <n v="-69.349999999999994"/>
    <n v="1704"/>
    <n v="1"/>
    <n v="1"/>
  </r>
  <r>
    <m/>
    <m/>
    <x v="1"/>
    <s v="17861861001001"/>
    <n v="-80.63"/>
    <n v="1981"/>
    <n v="1"/>
    <n v="1"/>
  </r>
  <r>
    <m/>
    <m/>
    <x v="1"/>
    <s v="17953292001001"/>
    <n v="-39.76"/>
    <n v="977"/>
    <n v="1"/>
    <n v="1"/>
  </r>
  <r>
    <m/>
    <m/>
    <x v="1"/>
    <s v="17980153001002"/>
    <n v="-72.16"/>
    <n v="1773"/>
    <n v="1"/>
    <n v="1"/>
  </r>
  <r>
    <m/>
    <m/>
    <x v="1"/>
    <s v="18004459001001"/>
    <n v="-24.99"/>
    <n v="614"/>
    <n v="1"/>
    <n v="1"/>
  </r>
  <r>
    <m/>
    <m/>
    <x v="1"/>
    <s v="18025275001001"/>
    <n v="-28.53"/>
    <n v="701"/>
    <n v="1"/>
    <n v="1"/>
  </r>
  <r>
    <m/>
    <m/>
    <x v="1"/>
    <s v="18093249001001"/>
    <n v="-103.42"/>
    <n v="2541"/>
    <n v="1"/>
    <n v="1"/>
  </r>
  <r>
    <m/>
    <m/>
    <x v="1"/>
    <s v="18172453001003"/>
    <n v="-55.35"/>
    <n v="1360"/>
    <n v="1"/>
    <n v="1"/>
  </r>
  <r>
    <m/>
    <m/>
    <x v="1"/>
    <s v="18214356001003"/>
    <n v="-31.62"/>
    <n v="777"/>
    <n v="1"/>
    <n v="1"/>
  </r>
  <r>
    <m/>
    <m/>
    <x v="1"/>
    <s v="18264564002001"/>
    <n v="-87.51"/>
    <n v="2150"/>
    <n v="1"/>
    <n v="1"/>
  </r>
  <r>
    <m/>
    <m/>
    <x v="1"/>
    <s v="18273680003003"/>
    <n v="-46.48"/>
    <n v="1142"/>
    <n v="1"/>
    <n v="1"/>
  </r>
  <r>
    <m/>
    <m/>
    <x v="1"/>
    <s v="18390546001001"/>
    <n v="-16.690000000000001"/>
    <n v="410"/>
    <n v="1"/>
    <n v="1"/>
  </r>
  <r>
    <m/>
    <m/>
    <x v="1"/>
    <s v="18510970001001"/>
    <n v="-52.63"/>
    <n v="1293"/>
    <n v="1"/>
    <n v="1"/>
  </r>
  <r>
    <m/>
    <m/>
    <x v="1"/>
    <s v="18517557001005"/>
    <n v="-36.43"/>
    <n v="895"/>
    <n v="1"/>
    <n v="1"/>
  </r>
  <r>
    <m/>
    <m/>
    <x v="1"/>
    <s v="18631095001001"/>
    <n v="-46.48"/>
    <n v="1142"/>
    <n v="1"/>
    <n v="1"/>
  </r>
  <r>
    <m/>
    <m/>
    <x v="1"/>
    <s v="18699658001004"/>
    <n v="-80.55"/>
    <n v="1979"/>
    <n v="1"/>
    <n v="1"/>
  </r>
  <r>
    <m/>
    <m/>
    <x v="1"/>
    <s v="18702333001003"/>
    <n v="-134.88"/>
    <n v="3314"/>
    <n v="1"/>
    <n v="1"/>
  </r>
  <r>
    <m/>
    <m/>
    <x v="1"/>
    <s v="18898892001003"/>
    <n v="-51.08"/>
    <n v="1255"/>
    <n v="1"/>
    <n v="1"/>
  </r>
  <r>
    <m/>
    <m/>
    <x v="1"/>
    <s v="18996467001003"/>
    <n v="-44.97"/>
    <n v="1105"/>
    <n v="1"/>
    <n v="1"/>
  </r>
  <r>
    <m/>
    <m/>
    <x v="1"/>
    <s v="19003606001001"/>
    <n v="-24.3"/>
    <n v="597"/>
    <n v="1"/>
    <n v="1"/>
  </r>
  <r>
    <m/>
    <m/>
    <x v="1"/>
    <s v="19109796001004"/>
    <n v="-55.31"/>
    <n v="1359"/>
    <n v="1"/>
    <n v="1"/>
  </r>
  <r>
    <m/>
    <m/>
    <x v="1"/>
    <s v="19242774001002"/>
    <n v="-31.58"/>
    <n v="776"/>
    <n v="1"/>
    <n v="1"/>
  </r>
  <r>
    <m/>
    <m/>
    <x v="1"/>
    <s v="19345185001001"/>
    <n v="-9.61"/>
    <n v="236"/>
    <n v="1"/>
    <n v="1"/>
  </r>
  <r>
    <m/>
    <m/>
    <x v="1"/>
    <s v="19435050001001"/>
    <n v="-70.7"/>
    <n v="1737"/>
    <n v="1"/>
    <n v="1"/>
  </r>
  <r>
    <m/>
    <m/>
    <x v="1"/>
    <s v="19496026001002"/>
    <n v="-51.61"/>
    <n v="1268"/>
    <n v="1"/>
    <n v="1"/>
  </r>
  <r>
    <m/>
    <m/>
    <x v="1"/>
    <s v="19549167001005"/>
    <n v="-84.25"/>
    <n v="2070"/>
    <n v="1"/>
    <n v="1"/>
  </r>
  <r>
    <m/>
    <m/>
    <x v="1"/>
    <s v="19669200001002"/>
    <n v="-57.31"/>
    <n v="1408"/>
    <n v="1"/>
    <n v="1"/>
  </r>
  <r>
    <m/>
    <m/>
    <x v="1"/>
    <s v="19748155001005"/>
    <n v="-74.239999999999995"/>
    <n v="1824"/>
    <n v="1"/>
    <n v="1"/>
  </r>
  <r>
    <m/>
    <m/>
    <x v="1"/>
    <s v="19981285001002"/>
    <n v="-45.22"/>
    <n v="1111"/>
    <n v="1"/>
    <n v="1"/>
  </r>
  <r>
    <m/>
    <m/>
    <x v="1"/>
    <s v="19984149003003"/>
    <n v="-41.68"/>
    <n v="1024"/>
    <n v="1"/>
    <n v="1"/>
  </r>
  <r>
    <m/>
    <m/>
    <x v="1"/>
    <s v="20017970001001"/>
    <n v="-18.03"/>
    <n v="443"/>
    <n v="1"/>
    <n v="1"/>
  </r>
  <r>
    <m/>
    <m/>
    <x v="1"/>
    <s v="20373554001003"/>
    <n v="-89.01"/>
    <n v="2187"/>
    <n v="1"/>
    <n v="1"/>
  </r>
  <r>
    <m/>
    <m/>
    <x v="1"/>
    <s v="20387598002003"/>
    <n v="-33.700000000000003"/>
    <n v="828"/>
    <n v="1"/>
    <n v="1"/>
  </r>
  <r>
    <m/>
    <m/>
    <x v="1"/>
    <s v="20481559001003"/>
    <n v="-22.95"/>
    <n v="564"/>
    <n v="1"/>
    <n v="1"/>
  </r>
  <r>
    <m/>
    <m/>
    <x v="1"/>
    <s v="20487595001005"/>
    <n v="-31.75"/>
    <n v="780"/>
    <n v="1"/>
    <n v="1"/>
  </r>
  <r>
    <m/>
    <m/>
    <x v="1"/>
    <s v="20531435001001"/>
    <n v="-73.63"/>
    <n v="1809"/>
    <n v="1"/>
    <n v="1"/>
  </r>
  <r>
    <m/>
    <m/>
    <x v="1"/>
    <s v="20615535002001"/>
    <n v="-101.06"/>
    <n v="2483"/>
    <n v="1"/>
    <n v="1"/>
  </r>
  <r>
    <m/>
    <m/>
    <x v="1"/>
    <s v="20656930001009"/>
    <n v="-16.16"/>
    <n v="397"/>
    <n v="1"/>
    <n v="1"/>
  </r>
  <r>
    <m/>
    <m/>
    <x v="1"/>
    <s v="20795542001001"/>
    <n v="-92.55"/>
    <n v="2274"/>
    <n v="1"/>
    <n v="1"/>
  </r>
  <r>
    <m/>
    <m/>
    <x v="1"/>
    <s v="21129192001006"/>
    <n v="-41.51"/>
    <n v="1020"/>
    <n v="1"/>
    <n v="1"/>
  </r>
  <r>
    <m/>
    <m/>
    <x v="1"/>
    <s v="21211434001004"/>
    <n v="-80.42"/>
    <n v="1976"/>
    <n v="1"/>
    <n v="1"/>
  </r>
  <r>
    <m/>
    <m/>
    <x v="1"/>
    <s v="21279456001002"/>
    <n v="-53.48"/>
    <n v="1314"/>
    <n v="1"/>
    <n v="1"/>
  </r>
  <r>
    <m/>
    <m/>
    <x v="1"/>
    <s v="21286629001006"/>
    <n v="-72.77"/>
    <n v="1788"/>
    <n v="1"/>
    <n v="1"/>
  </r>
  <r>
    <m/>
    <m/>
    <x v="1"/>
    <s v="21330324001003"/>
    <n v="-17.09"/>
    <n v="420"/>
    <n v="1"/>
    <n v="1"/>
  </r>
  <r>
    <m/>
    <m/>
    <x v="1"/>
    <s v="21479614002001"/>
    <n v="-25.84"/>
    <n v="635"/>
    <n v="1"/>
    <n v="1"/>
  </r>
  <r>
    <m/>
    <m/>
    <x v="1"/>
    <s v="21567301001001"/>
    <n v="-85.47"/>
    <n v="2100"/>
    <n v="1"/>
    <n v="1"/>
  </r>
  <r>
    <m/>
    <m/>
    <x v="1"/>
    <s v="21594867001004"/>
    <n v="-51.32"/>
    <n v="1261"/>
    <n v="1"/>
    <n v="1"/>
  </r>
  <r>
    <m/>
    <m/>
    <x v="1"/>
    <s v="21600687001001"/>
    <n v="-79.319999999999993"/>
    <n v="1949"/>
    <n v="1"/>
    <n v="1"/>
  </r>
  <r>
    <m/>
    <m/>
    <x v="1"/>
    <s v="21694077001003"/>
    <n v="-26.25"/>
    <n v="645"/>
    <n v="1"/>
    <n v="1"/>
  </r>
  <r>
    <m/>
    <m/>
    <x v="1"/>
    <s v="21889784001001"/>
    <n v="-49.08"/>
    <n v="1206"/>
    <n v="1"/>
    <n v="1"/>
  </r>
  <r>
    <m/>
    <m/>
    <x v="1"/>
    <s v="21999998001003"/>
    <n v="-111.07"/>
    <n v="2729"/>
    <n v="1"/>
    <n v="1"/>
  </r>
  <r>
    <m/>
    <m/>
    <x v="1"/>
    <s v="22010468001003"/>
    <n v="-48.76"/>
    <n v="1198"/>
    <n v="1"/>
    <n v="1"/>
  </r>
  <r>
    <m/>
    <m/>
    <x v="1"/>
    <s v="22022857001005"/>
    <n v="-60.44"/>
    <n v="1485"/>
    <n v="1"/>
    <n v="1"/>
  </r>
  <r>
    <m/>
    <m/>
    <x v="1"/>
    <s v="22027866001001"/>
    <n v="-18.440000000000001"/>
    <n v="453"/>
    <n v="1"/>
    <n v="1"/>
  </r>
  <r>
    <m/>
    <m/>
    <x v="1"/>
    <s v="22102529001008"/>
    <n v="-37.61"/>
    <n v="924"/>
    <n v="1"/>
    <n v="1"/>
  </r>
  <r>
    <m/>
    <m/>
    <x v="1"/>
    <s v="22108251008001"/>
    <n v="-98.09"/>
    <n v="2410"/>
    <n v="1"/>
    <n v="1"/>
  </r>
  <r>
    <m/>
    <m/>
    <x v="1"/>
    <s v="22118281001001"/>
    <n v="-39.36"/>
    <n v="967"/>
    <n v="1"/>
    <n v="1"/>
  </r>
  <r>
    <m/>
    <m/>
    <x v="1"/>
    <s v="22131630002004"/>
    <n v="-33.58"/>
    <n v="825"/>
    <n v="1"/>
    <n v="1"/>
  </r>
  <r>
    <m/>
    <m/>
    <x v="1"/>
    <s v="22171732002001"/>
    <n v="-37.200000000000003"/>
    <n v="914"/>
    <n v="1"/>
    <n v="1"/>
  </r>
  <r>
    <m/>
    <m/>
    <x v="1"/>
    <s v="22178371001001"/>
    <n v="-56.65"/>
    <n v="1392"/>
    <n v="1"/>
    <n v="1"/>
  </r>
  <r>
    <m/>
    <m/>
    <x v="1"/>
    <s v="22203778001002"/>
    <n v="-18.600000000000001"/>
    <n v="457"/>
    <n v="1"/>
    <n v="1"/>
  </r>
  <r>
    <m/>
    <m/>
    <x v="1"/>
    <s v="22224397001001"/>
    <n v="-61.62"/>
    <n v="1514"/>
    <n v="2"/>
    <n v="1"/>
  </r>
  <r>
    <m/>
    <m/>
    <x v="1"/>
    <s v="22237180001003"/>
    <n v="-24.91"/>
    <n v="612"/>
    <n v="1"/>
    <n v="1"/>
  </r>
  <r>
    <m/>
    <m/>
    <x v="1"/>
    <s v="22368801002001"/>
    <n v="-102.24"/>
    <n v="2512"/>
    <n v="1"/>
    <n v="1"/>
  </r>
  <r>
    <m/>
    <m/>
    <x v="1"/>
    <s v="22386532007001"/>
    <n v="-40.54"/>
    <n v="996"/>
    <n v="1"/>
    <n v="1"/>
  </r>
  <r>
    <m/>
    <m/>
    <x v="1"/>
    <s v="22448306001006"/>
    <n v="-34.880000000000003"/>
    <n v="857"/>
    <n v="1"/>
    <n v="1"/>
  </r>
  <r>
    <m/>
    <m/>
    <x v="1"/>
    <s v="22461172001003"/>
    <n v="-15.71"/>
    <n v="386"/>
    <n v="1"/>
    <n v="1"/>
  </r>
  <r>
    <m/>
    <m/>
    <x v="1"/>
    <s v="22513380001001"/>
    <n v="-115.1"/>
    <n v="2828"/>
    <n v="1"/>
    <n v="1"/>
  </r>
  <r>
    <m/>
    <m/>
    <x v="1"/>
    <s v="22537776001001"/>
    <n v="-58.08"/>
    <n v="1427"/>
    <n v="1"/>
    <n v="1"/>
  </r>
  <r>
    <m/>
    <m/>
    <x v="1"/>
    <s v="22661816001004"/>
    <n v="-44.69"/>
    <n v="1098"/>
    <n v="1"/>
    <n v="1"/>
  </r>
  <r>
    <m/>
    <m/>
    <x v="1"/>
    <s v="22697285001003"/>
    <n v="-50.35"/>
    <n v="1237"/>
    <n v="1"/>
    <n v="1"/>
  </r>
  <r>
    <m/>
    <m/>
    <x v="1"/>
    <s v="22968302004001"/>
    <n v="-57.26"/>
    <n v="1407"/>
    <n v="1"/>
    <n v="1"/>
  </r>
  <r>
    <m/>
    <m/>
    <x v="1"/>
    <s v="23029958001003"/>
    <n v="-17.22"/>
    <n v="423"/>
    <n v="1"/>
    <n v="1"/>
  </r>
  <r>
    <m/>
    <m/>
    <x v="1"/>
    <s v="23056711001001"/>
    <n v="-60.4"/>
    <n v="1484"/>
    <n v="1"/>
    <n v="1"/>
  </r>
  <r>
    <m/>
    <m/>
    <x v="1"/>
    <s v="23103586001001"/>
    <n v="-15.38"/>
    <n v="378"/>
    <n v="1"/>
    <n v="1"/>
  </r>
  <r>
    <m/>
    <m/>
    <x v="1"/>
    <s v="23131202001001"/>
    <n v="-61.05"/>
    <n v="1500"/>
    <n v="1"/>
    <n v="1"/>
  </r>
  <r>
    <m/>
    <m/>
    <x v="1"/>
    <s v="23143876001001"/>
    <n v="-60.11"/>
    <n v="1477"/>
    <n v="1"/>
    <n v="1"/>
  </r>
  <r>
    <m/>
    <m/>
    <x v="1"/>
    <s v="23161227001003"/>
    <n v="-48.43"/>
    <n v="1190"/>
    <n v="1"/>
    <n v="1"/>
  </r>
  <r>
    <m/>
    <m/>
    <x v="1"/>
    <s v="23175753003005"/>
    <n v="-25.52"/>
    <n v="627"/>
    <n v="1"/>
    <n v="1"/>
  </r>
  <r>
    <m/>
    <m/>
    <x v="1"/>
    <s v="23191485002001"/>
    <n v="-70.94"/>
    <n v="1743"/>
    <n v="1"/>
    <n v="1"/>
  </r>
  <r>
    <m/>
    <m/>
    <x v="1"/>
    <s v="23207064001005"/>
    <n v="-53.89"/>
    <n v="1324"/>
    <n v="1"/>
    <n v="1"/>
  </r>
  <r>
    <m/>
    <m/>
    <x v="1"/>
    <s v="23361845001001"/>
    <n v="-44.2"/>
    <n v="1086"/>
    <n v="1"/>
    <n v="1"/>
  </r>
  <r>
    <m/>
    <m/>
    <x v="1"/>
    <s v="23403071001003"/>
    <n v="-20.51"/>
    <n v="504"/>
    <n v="1"/>
    <n v="1"/>
  </r>
  <r>
    <m/>
    <m/>
    <x v="1"/>
    <s v="23460849001001"/>
    <n v="-37"/>
    <n v="909"/>
    <n v="1"/>
    <n v="1"/>
  </r>
  <r>
    <m/>
    <m/>
    <x v="1"/>
    <s v="23465139001008"/>
    <n v="-137.08000000000001"/>
    <n v="3368"/>
    <n v="1"/>
    <n v="1"/>
  </r>
  <r>
    <m/>
    <m/>
    <x v="1"/>
    <s v="23535049001001"/>
    <n v="-33.01"/>
    <n v="811"/>
    <n v="1"/>
    <n v="1"/>
  </r>
  <r>
    <m/>
    <m/>
    <x v="1"/>
    <s v="23567089001003"/>
    <n v="-29.87"/>
    <n v="734"/>
    <n v="1"/>
    <n v="1"/>
  </r>
  <r>
    <m/>
    <m/>
    <x v="1"/>
    <s v="23600074001001"/>
    <n v="-36.590000000000003"/>
    <n v="899"/>
    <n v="1"/>
    <n v="1"/>
  </r>
  <r>
    <m/>
    <m/>
    <x v="1"/>
    <s v="23754170011001"/>
    <n v="-45.79"/>
    <n v="1125"/>
    <n v="1"/>
    <n v="1"/>
  </r>
  <r>
    <m/>
    <m/>
    <x v="1"/>
    <s v="23863133001011"/>
    <n v="-37.93"/>
    <n v="932"/>
    <n v="1"/>
    <n v="1"/>
  </r>
  <r>
    <m/>
    <m/>
    <x v="1"/>
    <s v="23921856001004"/>
    <n v="-31.83"/>
    <n v="782"/>
    <n v="1"/>
    <n v="1"/>
  </r>
  <r>
    <m/>
    <m/>
    <x v="1"/>
    <s v="24047839001001"/>
    <n v="-146.88999999999999"/>
    <n v="3609"/>
    <n v="1"/>
    <n v="1"/>
  </r>
  <r>
    <m/>
    <m/>
    <x v="1"/>
    <s v="24274679001001"/>
    <n v="-48.8"/>
    <n v="1199"/>
    <n v="1"/>
    <n v="1"/>
  </r>
  <r>
    <m/>
    <m/>
    <x v="1"/>
    <s v="24291697001001"/>
    <n v="-72.81"/>
    <n v="1789"/>
    <n v="1"/>
    <n v="1"/>
  </r>
  <r>
    <m/>
    <m/>
    <x v="1"/>
    <s v="24336943003005"/>
    <n v="-135.33000000000001"/>
    <n v="3325"/>
    <n v="1"/>
    <n v="1"/>
  </r>
  <r>
    <m/>
    <m/>
    <x v="1"/>
    <s v="24352693002004"/>
    <n v="-121.65"/>
    <n v="2989"/>
    <n v="1"/>
    <n v="1"/>
  </r>
  <r>
    <m/>
    <m/>
    <x v="1"/>
    <s v="24416805001001"/>
    <n v="-11.23"/>
    <n v="276"/>
    <n v="1"/>
    <n v="1"/>
  </r>
  <r>
    <m/>
    <m/>
    <x v="1"/>
    <s v="24503591001001"/>
    <n v="-31.95"/>
    <n v="785"/>
    <n v="1"/>
    <n v="1"/>
  </r>
  <r>
    <m/>
    <m/>
    <x v="1"/>
    <s v="24558803001001"/>
    <n v="-24.95"/>
    <n v="613"/>
    <n v="1"/>
    <n v="1"/>
  </r>
  <r>
    <m/>
    <m/>
    <x v="1"/>
    <s v="24571934001005"/>
    <n v="-24.7"/>
    <n v="607"/>
    <n v="1"/>
    <n v="1"/>
  </r>
  <r>
    <m/>
    <m/>
    <x v="1"/>
    <s v="24605344003001"/>
    <n v="-24.83"/>
    <n v="610"/>
    <n v="1"/>
    <n v="1"/>
  </r>
  <r>
    <m/>
    <m/>
    <x v="1"/>
    <s v="24678011002004"/>
    <n v="-70.040000000000006"/>
    <n v="1721"/>
    <n v="1"/>
    <n v="1"/>
  </r>
  <r>
    <m/>
    <m/>
    <x v="1"/>
    <s v="24678131001007"/>
    <n v="-77.739999999999995"/>
    <n v="1910"/>
    <n v="1"/>
    <n v="1"/>
  </r>
  <r>
    <m/>
    <m/>
    <x v="1"/>
    <s v="24684171002001"/>
    <n v="-95.28"/>
    <n v="2341"/>
    <n v="1"/>
    <n v="1"/>
  </r>
  <r>
    <m/>
    <m/>
    <x v="1"/>
    <s v="24806438001006"/>
    <n v="-41.8"/>
    <n v="1027"/>
    <n v="1"/>
    <n v="1"/>
  </r>
  <r>
    <m/>
    <m/>
    <x v="1"/>
    <s v="24823730001001"/>
    <n v="-81.12"/>
    <n v="1993"/>
    <n v="1"/>
    <n v="1"/>
  </r>
  <r>
    <m/>
    <m/>
    <x v="1"/>
    <s v="24824356001005"/>
    <n v="-142"/>
    <n v="3489"/>
    <n v="1"/>
    <n v="1"/>
  </r>
  <r>
    <m/>
    <m/>
    <x v="1"/>
    <s v="24884421006001"/>
    <n v="-41.55"/>
    <n v="1021"/>
    <n v="1"/>
    <n v="1"/>
  </r>
  <r>
    <m/>
    <m/>
    <x v="1"/>
    <s v="24891420005001"/>
    <n v="-60.15"/>
    <n v="1478"/>
    <n v="1"/>
    <n v="1"/>
  </r>
  <r>
    <m/>
    <m/>
    <x v="1"/>
    <s v="24915827001003"/>
    <n v="-115.18"/>
    <n v="2830"/>
    <n v="1"/>
    <n v="1"/>
  </r>
  <r>
    <m/>
    <m/>
    <x v="1"/>
    <s v="25160457001004"/>
    <n v="-21.9"/>
    <n v="538"/>
    <n v="1"/>
    <n v="1"/>
  </r>
  <r>
    <m/>
    <m/>
    <x v="1"/>
    <s v="25266054001002"/>
    <n v="-63.45"/>
    <n v="1559"/>
    <n v="1"/>
    <n v="1"/>
  </r>
  <r>
    <m/>
    <m/>
    <x v="1"/>
    <s v="25397635001001"/>
    <n v="-29.26"/>
    <n v="719"/>
    <n v="1"/>
    <n v="1"/>
  </r>
  <r>
    <m/>
    <m/>
    <x v="1"/>
    <s v="25505456002001"/>
    <n v="-0.24"/>
    <n v="6"/>
    <n v="1"/>
    <n v="1"/>
  </r>
  <r>
    <m/>
    <m/>
    <x v="1"/>
    <s v="25741551007013"/>
    <n v="-125.03"/>
    <n v="3072"/>
    <n v="1"/>
    <n v="1"/>
  </r>
  <r>
    <m/>
    <m/>
    <x v="1"/>
    <s v="25874153001001"/>
    <n v="-50.06"/>
    <n v="1230"/>
    <n v="1"/>
    <n v="1"/>
  </r>
  <r>
    <m/>
    <m/>
    <x v="1"/>
    <s v="25919981001001"/>
    <n v="-16.079999999999998"/>
    <n v="395"/>
    <n v="1"/>
    <n v="1"/>
  </r>
  <r>
    <m/>
    <m/>
    <x v="1"/>
    <s v="26133946001003"/>
    <n v="-70.819999999999993"/>
    <n v="1740"/>
    <n v="1"/>
    <n v="1"/>
  </r>
  <r>
    <m/>
    <m/>
    <x v="1"/>
    <s v="26360288004001"/>
    <n v="-34.68"/>
    <n v="852"/>
    <n v="1"/>
    <n v="1"/>
  </r>
  <r>
    <m/>
    <m/>
    <x v="1"/>
    <s v="26458905001002"/>
    <n v="-39.03"/>
    <n v="959"/>
    <n v="1"/>
    <n v="1"/>
  </r>
  <r>
    <m/>
    <m/>
    <x v="1"/>
    <s v="26481593001002"/>
    <n v="-59.75"/>
    <n v="1468"/>
    <n v="1"/>
    <n v="1"/>
  </r>
  <r>
    <m/>
    <m/>
    <x v="1"/>
    <s v="26543152001004"/>
    <n v="-53.97"/>
    <n v="1326"/>
    <n v="1"/>
    <n v="1"/>
  </r>
  <r>
    <m/>
    <m/>
    <x v="1"/>
    <s v="26574451002003"/>
    <n v="-189.7"/>
    <n v="4661"/>
    <n v="1"/>
    <n v="1"/>
  </r>
  <r>
    <m/>
    <m/>
    <x v="1"/>
    <s v="26711382001002"/>
    <n v="-2.2400000000000002"/>
    <n v="55"/>
    <n v="1"/>
    <n v="1"/>
  </r>
  <r>
    <m/>
    <m/>
    <x v="1"/>
    <s v="26719169001001"/>
    <n v="-39.520000000000003"/>
    <n v="971"/>
    <n v="1"/>
    <n v="1"/>
  </r>
  <r>
    <m/>
    <m/>
    <x v="1"/>
    <s v="26763592001011"/>
    <n v="-18.600000000000001"/>
    <n v="457"/>
    <n v="1"/>
    <n v="1"/>
  </r>
  <r>
    <m/>
    <m/>
    <x v="1"/>
    <s v="26792221001002"/>
    <n v="-54.33"/>
    <n v="1335"/>
    <n v="1"/>
    <n v="1"/>
  </r>
  <r>
    <m/>
    <m/>
    <x v="1"/>
    <s v="26857721002001"/>
    <n v="-0.98"/>
    <n v="24"/>
    <n v="1"/>
    <n v="1"/>
  </r>
  <r>
    <m/>
    <m/>
    <x v="1"/>
    <s v="26889786001001"/>
    <n v="-82.21"/>
    <n v="2020"/>
    <n v="1"/>
    <n v="1"/>
  </r>
  <r>
    <m/>
    <m/>
    <x v="1"/>
    <s v="26902722002003"/>
    <n v="-90.07"/>
    <n v="2213"/>
    <n v="1"/>
    <n v="1"/>
  </r>
  <r>
    <m/>
    <m/>
    <x v="1"/>
    <s v="26975811002001"/>
    <n v="-37.69"/>
    <n v="926"/>
    <n v="1"/>
    <n v="1"/>
  </r>
  <r>
    <m/>
    <m/>
    <x v="1"/>
    <s v="27004406001004"/>
    <n v="-14.77"/>
    <n v="363"/>
    <n v="1"/>
    <n v="1"/>
  </r>
  <r>
    <m/>
    <m/>
    <x v="1"/>
    <s v="27214758001001"/>
    <n v="-49.65"/>
    <n v="1220"/>
    <n v="1"/>
    <n v="1"/>
  </r>
  <r>
    <m/>
    <m/>
    <x v="1"/>
    <s v="27335211003001"/>
    <n v="-45.1"/>
    <n v="1108"/>
    <n v="1"/>
    <n v="1"/>
  </r>
  <r>
    <m/>
    <m/>
    <x v="1"/>
    <s v="27415463002001"/>
    <n v="-41.76"/>
    <n v="1026"/>
    <n v="1"/>
    <n v="1"/>
  </r>
  <r>
    <m/>
    <m/>
    <x v="1"/>
    <s v="27612583002003"/>
    <n v="-70.13"/>
    <n v="1723"/>
    <n v="1"/>
    <n v="1"/>
  </r>
  <r>
    <m/>
    <m/>
    <x v="1"/>
    <s v="27614236002001"/>
    <n v="-35.86"/>
    <n v="881"/>
    <n v="1"/>
    <n v="1"/>
  </r>
  <r>
    <m/>
    <m/>
    <x v="1"/>
    <s v="27629352001002"/>
    <n v="-111.76"/>
    <n v="2746"/>
    <n v="1"/>
    <n v="1"/>
  </r>
  <r>
    <m/>
    <m/>
    <x v="1"/>
    <s v="27643675001002"/>
    <n v="-40.619999999999997"/>
    <n v="998"/>
    <n v="1"/>
    <n v="1"/>
  </r>
  <r>
    <m/>
    <m/>
    <x v="1"/>
    <s v="27691065001006"/>
    <n v="-82.62"/>
    <n v="2030"/>
    <n v="1"/>
    <n v="1"/>
  </r>
  <r>
    <m/>
    <m/>
    <x v="1"/>
    <s v="27805020001001"/>
    <n v="-4.3099999999999996"/>
    <n v="106"/>
    <n v="1"/>
    <n v="1"/>
  </r>
  <r>
    <m/>
    <m/>
    <x v="1"/>
    <s v="27808881001014"/>
    <n v="-68.209999999999994"/>
    <n v="1676"/>
    <n v="1"/>
    <n v="1"/>
  </r>
  <r>
    <m/>
    <m/>
    <x v="1"/>
    <s v="27809870001003"/>
    <n v="-83.92"/>
    <n v="2062"/>
    <n v="1"/>
    <n v="1"/>
  </r>
  <r>
    <m/>
    <m/>
    <x v="1"/>
    <s v="27853234002005"/>
    <n v="-54.66"/>
    <n v="1343"/>
    <n v="1"/>
    <n v="1"/>
  </r>
  <r>
    <m/>
    <m/>
    <x v="1"/>
    <s v="27883736001001"/>
    <n v="-94.34"/>
    <n v="2318"/>
    <n v="1"/>
    <n v="1"/>
  </r>
  <r>
    <m/>
    <m/>
    <x v="1"/>
    <s v="27899952001001"/>
    <n v="-41.6"/>
    <n v="1022"/>
    <n v="1"/>
    <n v="1"/>
  </r>
  <r>
    <m/>
    <m/>
    <x v="1"/>
    <s v="27943716001001"/>
    <n v="-13.02"/>
    <n v="320"/>
    <n v="1"/>
    <n v="1"/>
  </r>
  <r>
    <m/>
    <m/>
    <x v="1"/>
    <s v="27977791001001"/>
    <n v="-23.77"/>
    <n v="584"/>
    <n v="1"/>
    <n v="1"/>
  </r>
  <r>
    <m/>
    <m/>
    <x v="1"/>
    <s v="28033693002001"/>
    <n v="-21.57"/>
    <n v="530"/>
    <n v="1"/>
    <n v="1"/>
  </r>
  <r>
    <m/>
    <m/>
    <x v="1"/>
    <s v="28057729001001"/>
    <n v="-9.4"/>
    <n v="231"/>
    <n v="1"/>
    <n v="1"/>
  </r>
  <r>
    <m/>
    <m/>
    <x v="1"/>
    <s v="28059627001003"/>
    <n v="-26.41"/>
    <n v="649"/>
    <n v="1"/>
    <n v="1"/>
  </r>
  <r>
    <m/>
    <m/>
    <x v="1"/>
    <s v="28195746001005"/>
    <n v="-149.61000000000001"/>
    <n v="3676"/>
    <n v="1"/>
    <n v="1"/>
  </r>
  <r>
    <m/>
    <m/>
    <x v="1"/>
    <s v="28200340004001"/>
    <n v="-120.31"/>
    <n v="2956"/>
    <n v="1"/>
    <n v="1"/>
  </r>
  <r>
    <m/>
    <m/>
    <x v="1"/>
    <s v="28261263001001"/>
    <n v="-51.04"/>
    <n v="1254"/>
    <n v="1"/>
    <n v="1"/>
  </r>
  <r>
    <m/>
    <m/>
    <x v="1"/>
    <s v="28330708001001"/>
    <n v="-101.02"/>
    <n v="2482"/>
    <n v="1"/>
    <n v="1"/>
  </r>
  <r>
    <m/>
    <m/>
    <x v="1"/>
    <s v="28452386002001"/>
    <n v="-42.08"/>
    <n v="1034"/>
    <n v="1"/>
    <n v="1"/>
  </r>
  <r>
    <m/>
    <m/>
    <x v="1"/>
    <s v="28472317001001"/>
    <n v="-44.93"/>
    <n v="1104"/>
    <n v="1"/>
    <n v="1"/>
  </r>
  <r>
    <m/>
    <m/>
    <x v="1"/>
    <s v="28584427001008"/>
    <n v="-51.32"/>
    <n v="1261"/>
    <n v="1"/>
    <n v="1"/>
  </r>
  <r>
    <m/>
    <m/>
    <x v="1"/>
    <s v="28592432001002"/>
    <n v="-74.599999999999994"/>
    <n v="1833"/>
    <n v="1"/>
    <n v="1"/>
  </r>
  <r>
    <m/>
    <m/>
    <x v="1"/>
    <s v="28647586001001"/>
    <n v="-39.64"/>
    <n v="974"/>
    <n v="1"/>
    <n v="1"/>
  </r>
  <r>
    <m/>
    <m/>
    <x v="1"/>
    <s v="28748611001008"/>
    <n v="-88.97"/>
    <n v="2186"/>
    <n v="1"/>
    <n v="1"/>
  </r>
  <r>
    <m/>
    <m/>
    <x v="1"/>
    <s v="28868417001005"/>
    <n v="-24.38"/>
    <n v="599"/>
    <n v="1"/>
    <n v="1"/>
  </r>
  <r>
    <m/>
    <m/>
    <x v="1"/>
    <s v="28906336002001"/>
    <n v="-68.42"/>
    <n v="1681"/>
    <n v="1"/>
    <n v="1"/>
  </r>
  <r>
    <m/>
    <m/>
    <x v="1"/>
    <s v="28950576001002"/>
    <n v="-22.67"/>
    <n v="557"/>
    <n v="1"/>
    <n v="1"/>
  </r>
  <r>
    <m/>
    <m/>
    <x v="1"/>
    <s v="28959951001001"/>
    <n v="-114.37"/>
    <n v="2810"/>
    <n v="1"/>
    <n v="1"/>
  </r>
  <r>
    <m/>
    <m/>
    <x v="1"/>
    <s v="29003410001001"/>
    <n v="-106.02"/>
    <n v="2605"/>
    <n v="1"/>
    <n v="1"/>
  </r>
  <r>
    <m/>
    <m/>
    <x v="1"/>
    <s v="29050348001008"/>
    <n v="-13.96"/>
    <n v="343"/>
    <n v="1"/>
    <n v="1"/>
  </r>
  <r>
    <m/>
    <m/>
    <x v="1"/>
    <s v="29121023001001"/>
    <n v="-54.21"/>
    <n v="1332"/>
    <n v="1"/>
    <n v="1"/>
  </r>
  <r>
    <m/>
    <m/>
    <x v="1"/>
    <s v="29195239002001"/>
    <n v="-124.22"/>
    <n v="3052"/>
    <n v="1"/>
    <n v="1"/>
  </r>
  <r>
    <m/>
    <m/>
    <x v="1"/>
    <s v="29197433001003"/>
    <n v="-53.07"/>
    <n v="1304"/>
    <n v="1"/>
    <n v="1"/>
  </r>
  <r>
    <m/>
    <m/>
    <x v="1"/>
    <s v="29296094001001"/>
    <n v="-74.599999999999994"/>
    <n v="1833"/>
    <n v="1"/>
    <n v="1"/>
  </r>
  <r>
    <m/>
    <m/>
    <x v="1"/>
    <s v="29316455001004"/>
    <n v="-49.86"/>
    <n v="1225"/>
    <n v="1"/>
    <n v="1"/>
  </r>
  <r>
    <m/>
    <m/>
    <x v="1"/>
    <s v="29365356001002"/>
    <n v="-82.09"/>
    <n v="2017"/>
    <n v="1"/>
    <n v="1"/>
  </r>
  <r>
    <m/>
    <m/>
    <x v="1"/>
    <s v="29448259001002"/>
    <n v="-22.43"/>
    <n v="551"/>
    <n v="1"/>
    <n v="1"/>
  </r>
  <r>
    <m/>
    <m/>
    <x v="1"/>
    <s v="29493157001001"/>
    <n v="-46.36"/>
    <n v="1139"/>
    <n v="1"/>
    <n v="1"/>
  </r>
  <r>
    <m/>
    <m/>
    <x v="1"/>
    <s v="29519438001001"/>
    <n v="-95.32"/>
    <n v="2342"/>
    <n v="1"/>
    <n v="1"/>
  </r>
  <r>
    <m/>
    <m/>
    <x v="1"/>
    <s v="29729927001003"/>
    <n v="-28.37"/>
    <n v="697"/>
    <n v="1"/>
    <n v="1"/>
  </r>
  <r>
    <m/>
    <m/>
    <x v="1"/>
    <s v="29746522001002"/>
    <n v="-50.22"/>
    <n v="1234"/>
    <n v="1"/>
    <n v="1"/>
  </r>
  <r>
    <m/>
    <m/>
    <x v="1"/>
    <s v="29812276002006"/>
    <n v="-29.34"/>
    <n v="721"/>
    <n v="1"/>
    <n v="1"/>
  </r>
  <r>
    <m/>
    <m/>
    <x v="1"/>
    <s v="29908837001002"/>
    <n v="-56.86"/>
    <n v="1397"/>
    <n v="1"/>
    <n v="1"/>
  </r>
  <r>
    <m/>
    <m/>
    <x v="1"/>
    <s v="29952151002001"/>
    <n v="-62.72"/>
    <n v="1541"/>
    <n v="1"/>
    <n v="1"/>
  </r>
  <r>
    <m/>
    <m/>
    <x v="1"/>
    <s v="30002964001001"/>
    <n v="-29.55"/>
    <n v="726"/>
    <n v="1"/>
    <n v="1"/>
  </r>
  <r>
    <m/>
    <m/>
    <x v="1"/>
    <s v="30128006001003"/>
    <n v="-37.65"/>
    <n v="925"/>
    <n v="1"/>
    <n v="1"/>
  </r>
  <r>
    <m/>
    <m/>
    <x v="1"/>
    <s v="30199968001001"/>
    <n v="-25.23"/>
    <n v="620"/>
    <n v="1"/>
    <n v="1"/>
  </r>
  <r>
    <m/>
    <m/>
    <x v="1"/>
    <s v="30234293001001"/>
    <n v="-92.67"/>
    <n v="2277"/>
    <n v="1"/>
    <n v="1"/>
  </r>
  <r>
    <m/>
    <m/>
    <x v="1"/>
    <s v="30336396002007"/>
    <n v="-76.03"/>
    <n v="1868"/>
    <n v="1"/>
    <n v="1"/>
  </r>
  <r>
    <m/>
    <m/>
    <x v="1"/>
    <s v="30340768001001"/>
    <n v="-70.17"/>
    <n v="1724"/>
    <n v="1"/>
    <n v="1"/>
  </r>
  <r>
    <m/>
    <m/>
    <x v="1"/>
    <s v="30370464002001"/>
    <n v="-66.34"/>
    <n v="1630"/>
    <n v="1"/>
    <n v="1"/>
  </r>
  <r>
    <m/>
    <m/>
    <x v="1"/>
    <s v="30522741002006"/>
    <n v="-67.89"/>
    <n v="1668"/>
    <n v="1"/>
    <n v="1"/>
  </r>
  <r>
    <m/>
    <m/>
    <x v="1"/>
    <s v="30816545001001"/>
    <n v="-84.57"/>
    <n v="2078"/>
    <n v="1"/>
    <n v="1"/>
  </r>
  <r>
    <m/>
    <m/>
    <x v="1"/>
    <s v="30915212001003"/>
    <n v="-4.76"/>
    <n v="117"/>
    <n v="1"/>
    <n v="1"/>
  </r>
  <r>
    <m/>
    <m/>
    <x v="1"/>
    <s v="30957294003003"/>
    <n v="-116.73"/>
    <n v="2868"/>
    <n v="1"/>
    <n v="1"/>
  </r>
  <r>
    <m/>
    <m/>
    <x v="1"/>
    <s v="30965089001001"/>
    <n v="-28.41"/>
    <n v="698"/>
    <n v="1"/>
    <n v="1"/>
  </r>
  <r>
    <m/>
    <m/>
    <x v="1"/>
    <s v="31033019001001"/>
    <n v="-118.56"/>
    <n v="2913"/>
    <n v="1"/>
    <n v="1"/>
  </r>
  <r>
    <m/>
    <m/>
    <x v="1"/>
    <s v="31036584001003"/>
    <n v="-116.81"/>
    <n v="2870"/>
    <n v="1"/>
    <n v="1"/>
  </r>
  <r>
    <m/>
    <m/>
    <x v="1"/>
    <s v="31044495001001"/>
    <n v="-49.74"/>
    <n v="1222"/>
    <n v="1"/>
    <n v="1"/>
  </r>
  <r>
    <m/>
    <m/>
    <x v="1"/>
    <s v="31065355001007"/>
    <n v="-59.34"/>
    <n v="1458"/>
    <n v="1"/>
    <n v="1"/>
  </r>
  <r>
    <m/>
    <m/>
    <x v="1"/>
    <s v="31128641001003"/>
    <n v="-53.72"/>
    <n v="1320"/>
    <n v="1"/>
    <n v="1"/>
  </r>
  <r>
    <m/>
    <m/>
    <x v="1"/>
    <s v="31180110007001"/>
    <n v="-64.84"/>
    <n v="1593"/>
    <n v="1"/>
    <n v="1"/>
  </r>
  <r>
    <m/>
    <m/>
    <x v="1"/>
    <s v="31196731002001"/>
    <n v="-189.42"/>
    <n v="4654"/>
    <n v="1"/>
    <n v="1"/>
  </r>
  <r>
    <m/>
    <m/>
    <x v="1"/>
    <s v="31216607001001"/>
    <n v="-30.57"/>
    <n v="751"/>
    <n v="1"/>
    <n v="1"/>
  </r>
  <r>
    <m/>
    <m/>
    <x v="1"/>
    <s v="31283347001004"/>
    <n v="-63.94"/>
    <n v="1571"/>
    <n v="1"/>
    <n v="1"/>
  </r>
  <r>
    <m/>
    <m/>
    <x v="1"/>
    <s v="31347134001001"/>
    <n v="-87.46"/>
    <n v="2149"/>
    <n v="1"/>
    <n v="1"/>
  </r>
  <r>
    <m/>
    <m/>
    <x v="1"/>
    <s v="31363659001003"/>
    <n v="-12.01"/>
    <n v="295"/>
    <n v="1"/>
    <n v="1"/>
  </r>
  <r>
    <m/>
    <m/>
    <x v="1"/>
    <s v="31408462001001"/>
    <n v="-20.76"/>
    <n v="510"/>
    <n v="1"/>
    <n v="1"/>
  </r>
  <r>
    <m/>
    <m/>
    <x v="1"/>
    <s v="31441919002003"/>
    <n v="-30.12"/>
    <n v="740"/>
    <n v="1"/>
    <n v="1"/>
  </r>
  <r>
    <m/>
    <m/>
    <x v="1"/>
    <s v="31484435001001"/>
    <n v="-58.04"/>
    <n v="1426"/>
    <n v="1"/>
    <n v="1"/>
  </r>
  <r>
    <m/>
    <m/>
    <x v="1"/>
    <s v="31531349001001"/>
    <n v="-16.73"/>
    <n v="411"/>
    <n v="1"/>
    <n v="1"/>
  </r>
  <r>
    <m/>
    <m/>
    <x v="1"/>
    <s v="31533047001001"/>
    <n v="-75.58"/>
    <n v="1857"/>
    <n v="1"/>
    <n v="1"/>
  </r>
  <r>
    <m/>
    <m/>
    <x v="1"/>
    <s v="31765487002001"/>
    <n v="-35.9"/>
    <n v="882"/>
    <n v="1"/>
    <n v="1"/>
  </r>
  <r>
    <m/>
    <m/>
    <x v="1"/>
    <s v="31770964001004"/>
    <n v="-105.09"/>
    <n v="2582"/>
    <n v="1"/>
    <n v="1"/>
  </r>
  <r>
    <m/>
    <m/>
    <x v="1"/>
    <s v="31817682001003"/>
    <n v="-8.1"/>
    <n v="199"/>
    <n v="1"/>
    <n v="1"/>
  </r>
  <r>
    <m/>
    <m/>
    <x v="1"/>
    <s v="31849917001001"/>
    <n v="-48.96"/>
    <n v="1203"/>
    <n v="1"/>
    <n v="1"/>
  </r>
  <r>
    <m/>
    <m/>
    <x v="1"/>
    <s v="31873971002001"/>
    <n v="-77.13"/>
    <n v="1895"/>
    <n v="1"/>
    <n v="1"/>
  </r>
  <r>
    <m/>
    <m/>
    <x v="1"/>
    <s v="31987952001001"/>
    <n v="-17.66"/>
    <n v="434"/>
    <n v="1"/>
    <n v="1"/>
  </r>
  <r>
    <m/>
    <m/>
    <x v="1"/>
    <s v="31999957003003"/>
    <n v="-63.21"/>
    <n v="1553"/>
    <n v="1"/>
    <n v="1"/>
  </r>
  <r>
    <m/>
    <m/>
    <x v="1"/>
    <s v="32186699001004"/>
    <n v="-48.11"/>
    <n v="1182"/>
    <n v="1"/>
    <n v="1"/>
  </r>
  <r>
    <m/>
    <m/>
    <x v="1"/>
    <s v="32275518001005"/>
    <n v="-9.81"/>
    <n v="241"/>
    <n v="1"/>
    <n v="1"/>
  </r>
  <r>
    <m/>
    <m/>
    <x v="1"/>
    <s v="32321580001004"/>
    <n v="-53.28"/>
    <n v="1309"/>
    <n v="1"/>
    <n v="1"/>
  </r>
  <r>
    <m/>
    <m/>
    <x v="1"/>
    <s v="32346038007001"/>
    <n v="-71.349999999999994"/>
    <n v="1753"/>
    <n v="1"/>
    <n v="1"/>
  </r>
  <r>
    <m/>
    <m/>
    <x v="1"/>
    <s v="32445799001001"/>
    <n v="-47.9"/>
    <n v="1177"/>
    <n v="1"/>
    <n v="1"/>
  </r>
  <r>
    <m/>
    <m/>
    <x v="1"/>
    <s v="32510019001001"/>
    <n v="-73.34"/>
    <n v="1802"/>
    <n v="1"/>
    <n v="1"/>
  </r>
  <r>
    <m/>
    <m/>
    <x v="1"/>
    <s v="32762616001002"/>
    <n v="-27.88"/>
    <n v="685"/>
    <n v="1"/>
    <n v="1"/>
  </r>
  <r>
    <m/>
    <m/>
    <x v="1"/>
    <s v="32767929001001"/>
    <n v="-82.62"/>
    <n v="2030"/>
    <n v="1"/>
    <n v="1"/>
  </r>
  <r>
    <m/>
    <m/>
    <x v="1"/>
    <s v="32853341001004"/>
    <n v="-73.75"/>
    <n v="1812"/>
    <n v="1"/>
    <n v="1"/>
  </r>
  <r>
    <m/>
    <m/>
    <x v="1"/>
    <s v="32983109001005"/>
    <n v="-45.79"/>
    <n v="1125"/>
    <n v="1"/>
    <n v="1"/>
  </r>
  <r>
    <m/>
    <m/>
    <x v="1"/>
    <s v="33003317001001"/>
    <n v="-85.92"/>
    <n v="2111"/>
    <n v="1"/>
    <n v="1"/>
  </r>
  <r>
    <m/>
    <m/>
    <x v="1"/>
    <s v="33090993001001"/>
    <n v="-49.74"/>
    <n v="1222"/>
    <n v="1"/>
    <n v="1"/>
  </r>
  <r>
    <m/>
    <m/>
    <x v="1"/>
    <s v="33155295001002"/>
    <n v="-121.29"/>
    <n v="2980"/>
    <n v="1"/>
    <n v="1"/>
  </r>
  <r>
    <m/>
    <m/>
    <x v="1"/>
    <s v="33209129001005"/>
    <n v="-71.67"/>
    <n v="1761"/>
    <n v="1"/>
    <n v="1"/>
  </r>
  <r>
    <m/>
    <m/>
    <x v="1"/>
    <s v="33418787001002"/>
    <n v="-47.25"/>
    <n v="1161"/>
    <n v="1"/>
    <n v="1"/>
  </r>
  <r>
    <m/>
    <m/>
    <x v="1"/>
    <s v="33439179001002"/>
    <n v="-63.09"/>
    <n v="1550"/>
    <n v="1"/>
    <n v="1"/>
  </r>
  <r>
    <m/>
    <m/>
    <x v="1"/>
    <s v="33459488001004"/>
    <n v="-47.99"/>
    <n v="1179"/>
    <n v="1"/>
    <n v="1"/>
  </r>
  <r>
    <m/>
    <m/>
    <x v="1"/>
    <s v="33465688002001"/>
    <n v="-59.75"/>
    <n v="1468"/>
    <n v="1"/>
    <n v="1"/>
  </r>
  <r>
    <m/>
    <m/>
    <x v="1"/>
    <s v="33529526001001"/>
    <n v="-30.93"/>
    <n v="760"/>
    <n v="1"/>
    <n v="1"/>
  </r>
  <r>
    <m/>
    <m/>
    <x v="1"/>
    <s v="33533745001003"/>
    <n v="-109.2"/>
    <n v="2683"/>
    <n v="1"/>
    <n v="1"/>
  </r>
  <r>
    <m/>
    <m/>
    <x v="1"/>
    <s v="33544933002001"/>
    <n v="-128.77000000000001"/>
    <n v="3164"/>
    <n v="1"/>
    <n v="1"/>
  </r>
  <r>
    <m/>
    <m/>
    <x v="1"/>
    <s v="33551931001003"/>
    <n v="-76.11"/>
    <n v="1870"/>
    <n v="1"/>
    <n v="1"/>
  </r>
  <r>
    <m/>
    <m/>
    <x v="1"/>
    <s v="33559246001001"/>
    <n v="-54.74"/>
    <n v="1345"/>
    <n v="1"/>
    <n v="1"/>
  </r>
  <r>
    <m/>
    <m/>
    <x v="1"/>
    <s v="33674854001001"/>
    <n v="-53.48"/>
    <n v="1314"/>
    <n v="1"/>
    <n v="1"/>
  </r>
  <r>
    <m/>
    <m/>
    <x v="1"/>
    <s v="33692101001001"/>
    <n v="-18.23"/>
    <n v="448"/>
    <n v="1"/>
    <n v="1"/>
  </r>
  <r>
    <m/>
    <m/>
    <x v="1"/>
    <s v="33758373001010"/>
    <n v="-61.86"/>
    <n v="1520"/>
    <n v="1"/>
    <n v="1"/>
  </r>
  <r>
    <m/>
    <m/>
    <x v="1"/>
    <s v="33804703001003"/>
    <n v="-45.46"/>
    <n v="1117"/>
    <n v="1"/>
    <n v="1"/>
  </r>
  <r>
    <m/>
    <m/>
    <x v="1"/>
    <s v="33808192001001"/>
    <n v="-58.2"/>
    <n v="1430"/>
    <n v="1"/>
    <n v="1"/>
  </r>
  <r>
    <m/>
    <m/>
    <x v="1"/>
    <s v="33869666001005"/>
    <n v="-19.78"/>
    <n v="486"/>
    <n v="1"/>
    <n v="1"/>
  </r>
  <r>
    <m/>
    <m/>
    <x v="1"/>
    <s v="33988440001001"/>
    <n v="-74.11"/>
    <n v="1821"/>
    <n v="1"/>
    <n v="1"/>
  </r>
  <r>
    <m/>
    <m/>
    <x v="1"/>
    <s v="33992123001003"/>
    <n v="-56.57"/>
    <n v="1390"/>
    <n v="1"/>
    <n v="1"/>
  </r>
  <r>
    <m/>
    <m/>
    <x v="1"/>
    <s v="34135500001003"/>
    <n v="-97.15"/>
    <n v="2387"/>
    <n v="1"/>
    <n v="1"/>
  </r>
  <r>
    <m/>
    <m/>
    <x v="1"/>
    <s v="34246525001001"/>
    <n v="-119.58"/>
    <n v="2938"/>
    <n v="1"/>
    <n v="1"/>
  </r>
  <r>
    <m/>
    <m/>
    <x v="1"/>
    <s v="34506194001002"/>
    <n v="-39.89"/>
    <n v="980"/>
    <n v="1"/>
    <n v="1"/>
  </r>
  <r>
    <m/>
    <m/>
    <x v="1"/>
    <s v="34683105001001"/>
    <n v="-48.39"/>
    <n v="1189"/>
    <n v="1"/>
    <n v="1"/>
  </r>
  <r>
    <m/>
    <m/>
    <x v="1"/>
    <s v="34717698001005"/>
    <n v="-36.06"/>
    <n v="886"/>
    <n v="1"/>
    <n v="1"/>
  </r>
  <r>
    <m/>
    <m/>
    <x v="1"/>
    <s v="34761544001003"/>
    <n v="-66.459999999999994"/>
    <n v="1633"/>
    <n v="1"/>
    <n v="1"/>
  </r>
  <r>
    <m/>
    <m/>
    <x v="1"/>
    <s v="34847231001001"/>
    <n v="-34.72"/>
    <n v="853"/>
    <n v="1"/>
    <n v="1"/>
  </r>
  <r>
    <m/>
    <m/>
    <x v="1"/>
    <s v="34859648001001"/>
    <n v="-15.55"/>
    <n v="382"/>
    <n v="1"/>
    <n v="1"/>
  </r>
  <r>
    <m/>
    <m/>
    <x v="1"/>
    <s v="35012953001002"/>
    <n v="-37.770000000000003"/>
    <n v="928"/>
    <n v="1"/>
    <n v="1"/>
  </r>
  <r>
    <m/>
    <m/>
    <x v="1"/>
    <s v="35037850001001"/>
    <n v="-51.73"/>
    <n v="1271"/>
    <n v="1"/>
    <n v="1"/>
  </r>
  <r>
    <m/>
    <m/>
    <x v="1"/>
    <s v="35060732007001"/>
    <n v="-4.5999999999999996"/>
    <n v="113"/>
    <n v="1"/>
    <n v="1"/>
  </r>
  <r>
    <m/>
    <m/>
    <x v="1"/>
    <s v="35063888001003"/>
    <n v="-85.47"/>
    <n v="2100"/>
    <n v="1"/>
    <n v="1"/>
  </r>
  <r>
    <m/>
    <m/>
    <x v="1"/>
    <s v="35116339001001"/>
    <n v="-24.7"/>
    <n v="607"/>
    <n v="1"/>
    <n v="1"/>
  </r>
  <r>
    <m/>
    <m/>
    <x v="1"/>
    <s v="35266479001002"/>
    <n v="-56.9"/>
    <n v="1398"/>
    <n v="1"/>
    <n v="1"/>
  </r>
  <r>
    <m/>
    <m/>
    <x v="1"/>
    <s v="35268541002002"/>
    <n v="-39.93"/>
    <n v="981"/>
    <n v="1"/>
    <n v="1"/>
  </r>
  <r>
    <m/>
    <m/>
    <x v="1"/>
    <s v="35296076001001"/>
    <n v="-11.52"/>
    <n v="283"/>
    <n v="1"/>
    <n v="1"/>
  </r>
  <r>
    <m/>
    <m/>
    <x v="1"/>
    <s v="35340232002001"/>
    <n v="-33.01"/>
    <n v="811"/>
    <n v="1"/>
    <n v="1"/>
  </r>
  <r>
    <m/>
    <m/>
    <x v="1"/>
    <s v="35387208001001"/>
    <n v="-110.46"/>
    <n v="2714"/>
    <n v="1"/>
    <n v="1"/>
  </r>
  <r>
    <m/>
    <m/>
    <x v="1"/>
    <s v="35423655001001"/>
    <n v="-50.75"/>
    <n v="1247"/>
    <n v="1"/>
    <n v="1"/>
  </r>
  <r>
    <m/>
    <m/>
    <x v="1"/>
    <s v="35453275001007"/>
    <n v="-94.87"/>
    <n v="2331"/>
    <n v="1"/>
    <n v="1"/>
  </r>
  <r>
    <m/>
    <m/>
    <x v="1"/>
    <s v="35796162001005"/>
    <n v="-88.24"/>
    <n v="2168"/>
    <n v="1"/>
    <n v="1"/>
  </r>
  <r>
    <m/>
    <m/>
    <x v="1"/>
    <s v="35861191001002"/>
    <n v="-29.47"/>
    <n v="724"/>
    <n v="1"/>
    <n v="1"/>
  </r>
  <r>
    <m/>
    <m/>
    <x v="1"/>
    <s v="35881910001001"/>
    <n v="-93.45"/>
    <n v="2296"/>
    <n v="1"/>
    <n v="1"/>
  </r>
  <r>
    <m/>
    <m/>
    <x v="1"/>
    <s v="35900670002005"/>
    <n v="-9.93"/>
    <n v="244"/>
    <n v="1"/>
    <n v="1"/>
  </r>
  <r>
    <m/>
    <m/>
    <x v="1"/>
    <s v="35998254001001"/>
    <n v="-128.97999999999999"/>
    <n v="3169"/>
    <n v="1"/>
    <n v="1"/>
  </r>
  <r>
    <m/>
    <m/>
    <x v="1"/>
    <s v="36015931001004"/>
    <n v="-48.15"/>
    <n v="1183"/>
    <n v="1"/>
    <n v="1"/>
  </r>
  <r>
    <m/>
    <m/>
    <x v="1"/>
    <s v="36026930001001"/>
    <n v="-65.97"/>
    <n v="1621"/>
    <n v="1"/>
    <n v="1"/>
  </r>
  <r>
    <m/>
    <m/>
    <x v="1"/>
    <s v="36048131001001"/>
    <n v="-106.67"/>
    <n v="2621"/>
    <n v="1"/>
    <n v="1"/>
  </r>
  <r>
    <m/>
    <m/>
    <x v="1"/>
    <s v="36052702001001"/>
    <n v="-40.78"/>
    <n v="1002"/>
    <n v="1"/>
    <n v="1"/>
  </r>
  <r>
    <m/>
    <m/>
    <x v="1"/>
    <s v="36079563001001"/>
    <n v="-62.35"/>
    <n v="1532"/>
    <n v="1"/>
    <n v="1"/>
  </r>
  <r>
    <m/>
    <m/>
    <x v="1"/>
    <s v="36127419001006"/>
    <n v="-71.47"/>
    <n v="1756"/>
    <n v="1"/>
    <n v="1"/>
  </r>
  <r>
    <m/>
    <m/>
    <x v="1"/>
    <s v="36181263001002"/>
    <n v="-56.33"/>
    <n v="1384"/>
    <n v="1"/>
    <n v="1"/>
  </r>
  <r>
    <m/>
    <m/>
    <x v="1"/>
    <s v="36218846001001"/>
    <n v="-12.33"/>
    <n v="303"/>
    <n v="1"/>
    <n v="1"/>
  </r>
  <r>
    <m/>
    <m/>
    <x v="1"/>
    <s v="36248225001001"/>
    <n v="-133.29"/>
    <n v="3275"/>
    <n v="1"/>
    <n v="1"/>
  </r>
  <r>
    <m/>
    <m/>
    <x v="1"/>
    <s v="36284955001001"/>
    <n v="-19.45"/>
    <n v="478"/>
    <n v="1"/>
    <n v="1"/>
  </r>
  <r>
    <m/>
    <m/>
    <x v="1"/>
    <s v="36292176001002"/>
    <n v="-173.99"/>
    <n v="4275"/>
    <n v="1"/>
    <n v="1"/>
  </r>
  <r>
    <m/>
    <m/>
    <x v="1"/>
    <s v="36294296001004"/>
    <n v="-41.19"/>
    <n v="1012"/>
    <n v="1"/>
    <n v="1"/>
  </r>
  <r>
    <m/>
    <m/>
    <x v="1"/>
    <s v="36390402001003"/>
    <n v="-69.069999999999993"/>
    <n v="1697"/>
    <n v="1"/>
    <n v="1"/>
  </r>
  <r>
    <m/>
    <m/>
    <x v="1"/>
    <s v="36405485001001"/>
    <n v="-42.57"/>
    <n v="1046"/>
    <n v="1"/>
    <n v="1"/>
  </r>
  <r>
    <m/>
    <m/>
    <x v="1"/>
    <s v="36529463001001"/>
    <n v="-74.069999999999993"/>
    <n v="1820"/>
    <n v="1"/>
    <n v="1"/>
  </r>
  <r>
    <m/>
    <m/>
    <x v="1"/>
    <s v="36618779001001"/>
    <n v="-44.24"/>
    <n v="1087"/>
    <n v="1"/>
    <n v="1"/>
  </r>
  <r>
    <m/>
    <m/>
    <x v="1"/>
    <s v="36658787001001"/>
    <n v="-14.77"/>
    <n v="363"/>
    <n v="1"/>
    <n v="1"/>
  </r>
  <r>
    <m/>
    <m/>
    <x v="1"/>
    <s v="36710944001004"/>
    <n v="-37.93"/>
    <n v="932"/>
    <n v="1"/>
    <n v="1"/>
  </r>
  <r>
    <m/>
    <m/>
    <x v="1"/>
    <s v="36829904002001"/>
    <n v="-152.22"/>
    <n v="3740"/>
    <n v="1"/>
    <n v="1"/>
  </r>
  <r>
    <m/>
    <m/>
    <x v="1"/>
    <s v="36892371001003"/>
    <n v="-49.41"/>
    <n v="1214"/>
    <n v="1"/>
    <n v="1"/>
  </r>
  <r>
    <m/>
    <m/>
    <x v="1"/>
    <s v="36921006001004"/>
    <n v="-7.2"/>
    <n v="177"/>
    <n v="1"/>
    <n v="1"/>
  </r>
  <r>
    <m/>
    <m/>
    <x v="1"/>
    <s v="36994507001001"/>
    <n v="-66.38"/>
    <n v="1631"/>
    <n v="1"/>
    <n v="1"/>
  </r>
  <r>
    <m/>
    <m/>
    <x v="1"/>
    <s v="37043182001006"/>
    <n v="-115.59"/>
    <n v="2840"/>
    <n v="1"/>
    <n v="1"/>
  </r>
  <r>
    <m/>
    <m/>
    <x v="1"/>
    <s v="37387403001001"/>
    <n v="-84.37"/>
    <n v="2073"/>
    <n v="1"/>
    <n v="1"/>
  </r>
  <r>
    <m/>
    <m/>
    <x v="1"/>
    <s v="37486921001001"/>
    <n v="-24.34"/>
    <n v="598"/>
    <n v="1"/>
    <n v="1"/>
  </r>
  <r>
    <m/>
    <m/>
    <x v="1"/>
    <s v="37578682001001"/>
    <n v="-41.31"/>
    <n v="1015"/>
    <n v="1"/>
    <n v="1"/>
  </r>
  <r>
    <m/>
    <m/>
    <x v="1"/>
    <s v="37649110001001"/>
    <n v="-16.04"/>
    <n v="394"/>
    <n v="1"/>
    <n v="1"/>
  </r>
  <r>
    <m/>
    <m/>
    <x v="1"/>
    <s v="37682914001001"/>
    <n v="-40.98"/>
    <n v="1007"/>
    <n v="1"/>
    <n v="1"/>
  </r>
  <r>
    <m/>
    <m/>
    <x v="1"/>
    <s v="37734979001001"/>
    <n v="-9.48"/>
    <n v="233"/>
    <n v="1"/>
    <n v="1"/>
  </r>
  <r>
    <m/>
    <m/>
    <x v="1"/>
    <s v="37758573001006"/>
    <n v="-3.3"/>
    <n v="81"/>
    <n v="1"/>
    <n v="1"/>
  </r>
  <r>
    <m/>
    <m/>
    <x v="1"/>
    <s v="37811888001008"/>
    <n v="-20.63"/>
    <n v="507"/>
    <n v="1"/>
    <n v="1"/>
  </r>
  <r>
    <m/>
    <m/>
    <x v="1"/>
    <s v="37926637001001"/>
    <n v="-48.8"/>
    <n v="1199"/>
    <n v="1"/>
    <n v="1"/>
  </r>
  <r>
    <m/>
    <m/>
    <x v="1"/>
    <s v="38026902001001"/>
    <n v="-64.510000000000005"/>
    <n v="1585"/>
    <n v="1"/>
    <n v="1"/>
  </r>
  <r>
    <m/>
    <m/>
    <x v="1"/>
    <s v="38052228001001"/>
    <n v="-119.05"/>
    <n v="2925"/>
    <n v="1"/>
    <n v="1"/>
  </r>
  <r>
    <m/>
    <m/>
    <x v="1"/>
    <s v="38058429001003"/>
    <n v="-29.18"/>
    <n v="717"/>
    <n v="1"/>
    <n v="1"/>
  </r>
  <r>
    <m/>
    <m/>
    <x v="1"/>
    <s v="38215045004002"/>
    <n v="-23.44"/>
    <n v="576"/>
    <n v="1"/>
    <n v="1"/>
  </r>
  <r>
    <m/>
    <m/>
    <x v="1"/>
    <s v="38237955003002"/>
    <n v="-61.82"/>
    <n v="1519"/>
    <n v="1"/>
    <n v="1"/>
  </r>
  <r>
    <m/>
    <m/>
    <x v="1"/>
    <s v="38301351001001"/>
    <n v="-76.92"/>
    <n v="1890"/>
    <n v="1"/>
    <n v="1"/>
  </r>
  <r>
    <m/>
    <m/>
    <x v="1"/>
    <s v="38371635001001"/>
    <n v="-43.51"/>
    <n v="1069"/>
    <n v="1"/>
    <n v="1"/>
  </r>
  <r>
    <m/>
    <m/>
    <x v="1"/>
    <s v="38377929001001"/>
    <n v="-110.58"/>
    <n v="2717"/>
    <n v="1"/>
    <n v="1"/>
  </r>
  <r>
    <m/>
    <m/>
    <x v="1"/>
    <s v="38397225001002"/>
    <n v="-123.32"/>
    <n v="3030"/>
    <n v="1"/>
    <n v="1"/>
  </r>
  <r>
    <m/>
    <m/>
    <x v="1"/>
    <s v="38413246001001"/>
    <n v="-87.55"/>
    <n v="2151"/>
    <n v="1"/>
    <n v="1"/>
  </r>
  <r>
    <m/>
    <m/>
    <x v="1"/>
    <s v="38444251002005"/>
    <n v="-41.6"/>
    <n v="1022"/>
    <n v="1"/>
    <n v="1"/>
  </r>
  <r>
    <m/>
    <m/>
    <x v="1"/>
    <s v="38448826001003"/>
    <n v="-73.260000000000005"/>
    <n v="1800"/>
    <n v="1"/>
    <n v="1"/>
  </r>
  <r>
    <m/>
    <m/>
    <x v="1"/>
    <s v="38500551001001"/>
    <n v="-131.54"/>
    <n v="3232"/>
    <n v="1"/>
    <n v="1"/>
  </r>
  <r>
    <m/>
    <m/>
    <x v="1"/>
    <s v="38527198001001"/>
    <n v="-45.95"/>
    <n v="1129"/>
    <n v="1"/>
    <n v="1"/>
  </r>
  <r>
    <m/>
    <m/>
    <x v="1"/>
    <s v="38540989001007"/>
    <n v="-36.549999999999997"/>
    <n v="898"/>
    <n v="1"/>
    <n v="1"/>
  </r>
  <r>
    <m/>
    <m/>
    <x v="1"/>
    <s v="38577493001007"/>
    <n v="-66.540000000000006"/>
    <n v="1635"/>
    <n v="1"/>
    <n v="1"/>
  </r>
  <r>
    <m/>
    <m/>
    <x v="1"/>
    <s v="38595706001001"/>
    <n v="-78.55"/>
    <n v="1930"/>
    <n v="1"/>
    <n v="1"/>
  </r>
  <r>
    <m/>
    <m/>
    <x v="1"/>
    <s v="38611961001001"/>
    <n v="-105.01"/>
    <n v="2580"/>
    <n v="1"/>
    <n v="1"/>
  </r>
  <r>
    <m/>
    <m/>
    <x v="1"/>
    <s v="38613622001005"/>
    <n v="-15.26"/>
    <n v="375"/>
    <n v="1"/>
    <n v="1"/>
  </r>
  <r>
    <m/>
    <m/>
    <x v="1"/>
    <s v="38716177001005"/>
    <n v="-6.51"/>
    <n v="160"/>
    <n v="1"/>
    <n v="1"/>
  </r>
  <r>
    <m/>
    <m/>
    <x v="1"/>
    <s v="38776351002003"/>
    <n v="-31.66"/>
    <n v="778"/>
    <n v="1"/>
    <n v="1"/>
  </r>
  <r>
    <m/>
    <m/>
    <x v="1"/>
    <s v="38911036001003"/>
    <n v="-39.85"/>
    <n v="979"/>
    <n v="1"/>
    <n v="1"/>
  </r>
  <r>
    <m/>
    <m/>
    <x v="1"/>
    <s v="38964048001001"/>
    <n v="-11.8"/>
    <n v="290"/>
    <n v="1"/>
    <n v="1"/>
  </r>
  <r>
    <m/>
    <m/>
    <x v="1"/>
    <s v="39075374001002"/>
    <n v="-57.59"/>
    <n v="1415"/>
    <n v="1"/>
    <n v="1"/>
  </r>
  <r>
    <m/>
    <m/>
    <x v="1"/>
    <s v="39105361003001"/>
    <n v="-21.69"/>
    <n v="533"/>
    <n v="1"/>
    <n v="1"/>
  </r>
  <r>
    <m/>
    <m/>
    <x v="1"/>
    <s v="39177585002001"/>
    <n v="-25.07"/>
    <n v="616"/>
    <n v="1"/>
    <n v="1"/>
  </r>
  <r>
    <m/>
    <m/>
    <x v="1"/>
    <s v="39206681001007"/>
    <n v="-43.71"/>
    <n v="1074"/>
    <n v="1"/>
    <n v="1"/>
  </r>
  <r>
    <m/>
    <m/>
    <x v="1"/>
    <s v="39250671001002"/>
    <n v="-81.239999999999995"/>
    <n v="1996"/>
    <n v="1"/>
    <n v="1"/>
  </r>
  <r>
    <m/>
    <m/>
    <x v="1"/>
    <s v="39292232001004"/>
    <n v="-3.22"/>
    <n v="79"/>
    <n v="1"/>
    <n v="1"/>
  </r>
  <r>
    <m/>
    <m/>
    <x v="1"/>
    <s v="39300831002001"/>
    <n v="-39.799999999999997"/>
    <n v="978"/>
    <n v="1"/>
    <n v="1"/>
  </r>
  <r>
    <m/>
    <m/>
    <x v="1"/>
    <s v="39356056001005"/>
    <n v="-18.149999999999999"/>
    <n v="446"/>
    <n v="1"/>
    <n v="1"/>
  </r>
  <r>
    <m/>
    <m/>
    <x v="1"/>
    <s v="39398603002003"/>
    <n v="-34.19"/>
    <n v="840"/>
    <n v="1"/>
    <n v="1"/>
  </r>
  <r>
    <m/>
    <m/>
    <x v="1"/>
    <s v="39419789001003"/>
    <n v="-20.84"/>
    <n v="512"/>
    <n v="1"/>
    <n v="1"/>
  </r>
  <r>
    <m/>
    <m/>
    <x v="1"/>
    <s v="39421231001001"/>
    <n v="-7.29"/>
    <n v="179"/>
    <n v="1"/>
    <n v="1"/>
  </r>
  <r>
    <m/>
    <m/>
    <x v="1"/>
    <s v="39500179007001"/>
    <n v="-37.97"/>
    <n v="933"/>
    <n v="1"/>
    <n v="1"/>
  </r>
  <r>
    <m/>
    <m/>
    <x v="1"/>
    <s v="39509588001001"/>
    <n v="-88.07"/>
    <n v="2164"/>
    <n v="1"/>
    <n v="1"/>
  </r>
  <r>
    <m/>
    <m/>
    <x v="1"/>
    <s v="39521370001002"/>
    <n v="-20.68"/>
    <n v="508"/>
    <n v="1"/>
    <n v="1"/>
  </r>
  <r>
    <m/>
    <m/>
    <x v="1"/>
    <s v="39525577001001"/>
    <n v="-43.71"/>
    <n v="1074"/>
    <n v="1"/>
    <n v="1"/>
  </r>
  <r>
    <m/>
    <m/>
    <x v="1"/>
    <s v="39545289001005"/>
    <n v="-65.69"/>
    <n v="1614"/>
    <n v="1"/>
    <n v="1"/>
  </r>
  <r>
    <m/>
    <m/>
    <x v="1"/>
    <s v="39604852001009"/>
    <n v="-63.86"/>
    <n v="1569"/>
    <n v="1"/>
    <n v="1"/>
  </r>
  <r>
    <m/>
    <m/>
    <x v="1"/>
    <s v="39766526001003"/>
    <n v="-66.42"/>
    <n v="1632"/>
    <n v="1"/>
    <n v="1"/>
  </r>
  <r>
    <m/>
    <m/>
    <x v="1"/>
    <s v="39773816001001"/>
    <n v="-84.13"/>
    <n v="2067"/>
    <n v="1"/>
    <n v="1"/>
  </r>
  <r>
    <m/>
    <m/>
    <x v="1"/>
    <s v="39810811001003"/>
    <n v="-55.88"/>
    <n v="1373"/>
    <n v="1"/>
    <n v="1"/>
  </r>
  <r>
    <m/>
    <m/>
    <x v="1"/>
    <s v="39857500001003"/>
    <n v="-45.22"/>
    <n v="1111"/>
    <n v="1"/>
    <n v="1"/>
  </r>
  <r>
    <m/>
    <m/>
    <x v="1"/>
    <s v="39862438001001"/>
    <n v="-76.27"/>
    <n v="1874"/>
    <n v="1"/>
    <n v="1"/>
  </r>
  <r>
    <m/>
    <m/>
    <x v="1"/>
    <s v="39879831002001"/>
    <n v="-36.71"/>
    <n v="902"/>
    <n v="1"/>
    <n v="1"/>
  </r>
  <r>
    <m/>
    <m/>
    <x v="1"/>
    <s v="39896845001003"/>
    <n v="-34.19"/>
    <n v="840"/>
    <n v="1"/>
    <n v="1"/>
  </r>
  <r>
    <m/>
    <m/>
    <x v="1"/>
    <s v="39956943001001"/>
    <n v="-18.36"/>
    <n v="451"/>
    <n v="1"/>
    <n v="1"/>
  </r>
  <r>
    <m/>
    <m/>
    <x v="1"/>
    <s v="40009788001007"/>
    <n v="-35.78"/>
    <n v="879"/>
    <n v="1"/>
    <n v="1"/>
  </r>
  <r>
    <m/>
    <m/>
    <x v="1"/>
    <s v="40055909001004"/>
    <n v="-63.04"/>
    <n v="1549"/>
    <n v="1"/>
    <n v="1"/>
  </r>
  <r>
    <m/>
    <m/>
    <x v="1"/>
    <s v="40077250001001"/>
    <n v="-39.72"/>
    <n v="976"/>
    <n v="1"/>
    <n v="1"/>
  </r>
  <r>
    <m/>
    <m/>
    <x v="1"/>
    <s v="40089329001001"/>
    <n v="-21.33"/>
    <n v="524"/>
    <n v="1"/>
    <n v="1"/>
  </r>
  <r>
    <m/>
    <m/>
    <x v="1"/>
    <s v="40316028001002"/>
    <n v="-74.89"/>
    <n v="1840"/>
    <n v="1"/>
    <n v="1"/>
  </r>
  <r>
    <m/>
    <m/>
    <x v="1"/>
    <s v="40354936001001"/>
    <n v="-44.81"/>
    <n v="1101"/>
    <n v="1"/>
    <n v="1"/>
  </r>
  <r>
    <m/>
    <m/>
    <x v="1"/>
    <s v="40435265011001"/>
    <n v="-59.22"/>
    <n v="1455"/>
    <n v="1"/>
    <n v="1"/>
  </r>
  <r>
    <m/>
    <m/>
    <x v="1"/>
    <s v="40485294001001"/>
    <n v="-42.29"/>
    <n v="1039"/>
    <n v="1"/>
    <n v="1"/>
  </r>
  <r>
    <m/>
    <m/>
    <x v="1"/>
    <s v="40507964001001"/>
    <n v="-46.36"/>
    <n v="1139"/>
    <n v="1"/>
    <n v="1"/>
  </r>
  <r>
    <m/>
    <m/>
    <x v="1"/>
    <s v="40514885001001"/>
    <n v="-60.89"/>
    <n v="1496"/>
    <n v="1"/>
    <n v="1"/>
  </r>
  <r>
    <m/>
    <m/>
    <x v="1"/>
    <s v="40551150001001"/>
    <n v="-43.39"/>
    <n v="1066"/>
    <n v="1"/>
    <n v="1"/>
  </r>
  <r>
    <m/>
    <m/>
    <x v="1"/>
    <s v="40647033004003"/>
    <n v="-78.39"/>
    <n v="1926"/>
    <n v="1"/>
    <n v="1"/>
  </r>
  <r>
    <m/>
    <m/>
    <x v="1"/>
    <s v="40647134001006"/>
    <n v="-72"/>
    <n v="1769"/>
    <n v="1"/>
    <n v="1"/>
  </r>
  <r>
    <m/>
    <m/>
    <x v="1"/>
    <s v="40680887001001"/>
    <n v="-116.65"/>
    <n v="2866"/>
    <n v="1"/>
    <n v="1"/>
  </r>
  <r>
    <m/>
    <m/>
    <x v="1"/>
    <s v="40766679002007"/>
    <n v="-48.47"/>
    <n v="1191"/>
    <n v="1"/>
    <n v="1"/>
  </r>
  <r>
    <m/>
    <m/>
    <x v="1"/>
    <s v="40775591001001"/>
    <n v="-92.8"/>
    <n v="2280"/>
    <n v="1"/>
    <n v="1"/>
  </r>
  <r>
    <m/>
    <m/>
    <x v="1"/>
    <s v="40811850001001"/>
    <n v="-26.94"/>
    <n v="662"/>
    <n v="1"/>
    <n v="1"/>
  </r>
  <r>
    <m/>
    <m/>
    <x v="1"/>
    <s v="41057260001001"/>
    <n v="-94.75"/>
    <n v="2328"/>
    <n v="1"/>
    <n v="1"/>
  </r>
  <r>
    <m/>
    <m/>
    <x v="1"/>
    <s v="41130002001001"/>
    <n v="-66.989999999999995"/>
    <n v="1646"/>
    <n v="1"/>
    <n v="1"/>
  </r>
  <r>
    <m/>
    <m/>
    <x v="1"/>
    <s v="41179299003006"/>
    <n v="-44.97"/>
    <n v="1105"/>
    <n v="1"/>
    <n v="1"/>
  </r>
  <r>
    <m/>
    <m/>
    <x v="1"/>
    <s v="41205948001001"/>
    <n v="-83.64"/>
    <n v="2055"/>
    <n v="1"/>
    <n v="1"/>
  </r>
  <r>
    <m/>
    <m/>
    <x v="1"/>
    <s v="41343811001004"/>
    <n v="-44.24"/>
    <n v="1087"/>
    <n v="1"/>
    <n v="1"/>
  </r>
  <r>
    <m/>
    <m/>
    <x v="1"/>
    <s v="41401860001002"/>
    <n v="-38.5"/>
    <n v="946"/>
    <n v="1"/>
    <n v="1"/>
  </r>
  <r>
    <m/>
    <m/>
    <x v="1"/>
    <s v="41410810001002"/>
    <n v="-71.39"/>
    <n v="1754"/>
    <n v="1"/>
    <n v="1"/>
  </r>
  <r>
    <m/>
    <m/>
    <x v="1"/>
    <s v="41501065002001"/>
    <n v="-0.33"/>
    <n v="8"/>
    <n v="1"/>
    <n v="1"/>
  </r>
  <r>
    <m/>
    <m/>
    <x v="1"/>
    <s v="41611615001003"/>
    <n v="-5.25"/>
    <n v="129"/>
    <n v="1"/>
    <n v="1"/>
  </r>
  <r>
    <m/>
    <m/>
    <x v="1"/>
    <s v="41643514001001"/>
    <n v="-97.96"/>
    <n v="2407"/>
    <n v="1"/>
    <n v="1"/>
  </r>
  <r>
    <m/>
    <m/>
    <x v="1"/>
    <s v="41660309001001"/>
    <n v="-80.06"/>
    <n v="1967"/>
    <n v="1"/>
    <n v="1"/>
  </r>
  <r>
    <m/>
    <m/>
    <x v="1"/>
    <s v="41731451001005"/>
    <n v="-2.48"/>
    <n v="61"/>
    <n v="1"/>
    <n v="1"/>
  </r>
  <r>
    <m/>
    <m/>
    <x v="1"/>
    <s v="41791652002003"/>
    <n v="-11.76"/>
    <n v="289"/>
    <n v="1"/>
    <n v="1"/>
  </r>
  <r>
    <m/>
    <m/>
    <x v="1"/>
    <s v="41837630002003"/>
    <n v="-70.569999999999993"/>
    <n v="1734"/>
    <n v="1"/>
    <n v="1"/>
  </r>
  <r>
    <m/>
    <m/>
    <x v="1"/>
    <s v="41878216001003"/>
    <n v="-58.89"/>
    <n v="1447"/>
    <n v="1"/>
    <n v="1"/>
  </r>
  <r>
    <m/>
    <m/>
    <x v="1"/>
    <s v="41980548001001"/>
    <n v="-80.709999999999994"/>
    <n v="1983"/>
    <n v="1"/>
    <n v="1"/>
  </r>
  <r>
    <m/>
    <m/>
    <x v="1"/>
    <s v="42025371002002"/>
    <n v="-30.2"/>
    <n v="742"/>
    <n v="1"/>
    <n v="1"/>
  </r>
  <r>
    <m/>
    <m/>
    <x v="1"/>
    <s v="42100131001001"/>
    <n v="-77.05"/>
    <n v="1893"/>
    <n v="1"/>
    <n v="1"/>
  </r>
  <r>
    <m/>
    <m/>
    <x v="1"/>
    <s v="42149831001001"/>
    <n v="-43.18"/>
    <n v="1061"/>
    <n v="1"/>
    <n v="1"/>
  </r>
  <r>
    <m/>
    <m/>
    <x v="1"/>
    <s v="42343001003003"/>
    <n v="-40.130000000000003"/>
    <n v="986"/>
    <n v="1"/>
    <n v="1"/>
  </r>
  <r>
    <m/>
    <m/>
    <x v="1"/>
    <s v="42367522001001"/>
    <n v="-47.13"/>
    <n v="1158"/>
    <n v="1"/>
    <n v="1"/>
  </r>
  <r>
    <m/>
    <m/>
    <x v="1"/>
    <s v="42415250004001"/>
    <n v="-42.74"/>
    <n v="1050"/>
    <n v="1"/>
    <n v="1"/>
  </r>
  <r>
    <m/>
    <m/>
    <x v="1"/>
    <s v="42442381001001"/>
    <n v="-71.02"/>
    <n v="1745"/>
    <n v="1"/>
    <n v="1"/>
  </r>
  <r>
    <m/>
    <m/>
    <x v="1"/>
    <s v="42472781003002"/>
    <n v="-25.32"/>
    <n v="622"/>
    <n v="1"/>
    <n v="1"/>
  </r>
  <r>
    <m/>
    <m/>
    <x v="1"/>
    <s v="42488881004001"/>
    <n v="-10.3"/>
    <n v="253"/>
    <n v="1"/>
    <n v="1"/>
  </r>
  <r>
    <m/>
    <m/>
    <x v="1"/>
    <s v="42498331001004"/>
    <n v="-26.25"/>
    <n v="645"/>
    <n v="1"/>
    <n v="1"/>
  </r>
  <r>
    <m/>
    <m/>
    <x v="1"/>
    <s v="42500151001003"/>
    <n v="-62.84"/>
    <n v="1544"/>
    <n v="1"/>
    <n v="1"/>
  </r>
  <r>
    <m/>
    <m/>
    <x v="1"/>
    <s v="42515551001011"/>
    <n v="-24.91"/>
    <n v="612"/>
    <n v="1"/>
    <n v="1"/>
  </r>
  <r>
    <m/>
    <m/>
    <x v="1"/>
    <s v="42517161002001"/>
    <n v="-34.549999999999997"/>
    <n v="849"/>
    <n v="1"/>
    <n v="1"/>
  </r>
  <r>
    <m/>
    <m/>
    <x v="1"/>
    <s v="42531581001002"/>
    <n v="-41.07"/>
    <n v="1009"/>
    <n v="1"/>
    <n v="1"/>
  </r>
  <r>
    <m/>
    <m/>
    <x v="1"/>
    <s v="42537321002001"/>
    <n v="-26.13"/>
    <n v="642"/>
    <n v="1"/>
    <n v="1"/>
  </r>
  <r>
    <m/>
    <m/>
    <x v="1"/>
    <s v="42559441005001"/>
    <n v="-85.31"/>
    <n v="2096"/>
    <n v="1"/>
    <n v="1"/>
  </r>
  <r>
    <m/>
    <m/>
    <x v="1"/>
    <s v="42561606001009"/>
    <n v="-51"/>
    <n v="1253"/>
    <n v="1"/>
    <n v="1"/>
  </r>
  <r>
    <m/>
    <m/>
    <x v="1"/>
    <s v="42572601003003"/>
    <n v="-7.45"/>
    <n v="183"/>
    <n v="1"/>
    <n v="1"/>
  </r>
  <r>
    <m/>
    <m/>
    <x v="1"/>
    <s v="42577991002002"/>
    <n v="-85.35"/>
    <n v="2097"/>
    <n v="1"/>
    <n v="1"/>
  </r>
  <r>
    <m/>
    <m/>
    <x v="1"/>
    <s v="42600391001002"/>
    <n v="-12.86"/>
    <n v="316"/>
    <n v="1"/>
    <n v="1"/>
  </r>
  <r>
    <m/>
    <m/>
    <x v="1"/>
    <s v="42604451021001"/>
    <n v="-67.16"/>
    <n v="1650"/>
    <n v="1"/>
    <n v="1"/>
  </r>
  <r>
    <m/>
    <m/>
    <x v="1"/>
    <s v="42639241005001"/>
    <n v="-30.77"/>
    <n v="756"/>
    <n v="1"/>
    <n v="1"/>
  </r>
  <r>
    <m/>
    <m/>
    <x v="1"/>
    <s v="42640711003001"/>
    <n v="-38.5"/>
    <n v="946"/>
    <n v="1"/>
    <n v="1"/>
  </r>
  <r>
    <m/>
    <m/>
    <x v="1"/>
    <s v="42642741002001"/>
    <n v="-41.72"/>
    <n v="1025"/>
    <n v="1"/>
    <n v="1"/>
  </r>
  <r>
    <m/>
    <m/>
    <x v="1"/>
    <s v="42642951010001"/>
    <n v="-26.33"/>
    <n v="647"/>
    <n v="1"/>
    <n v="1"/>
  </r>
  <r>
    <m/>
    <m/>
    <x v="1"/>
    <s v="42675015004001"/>
    <n v="-74.56"/>
    <n v="1832"/>
    <n v="1"/>
    <n v="1"/>
  </r>
  <r>
    <m/>
    <m/>
    <x v="1"/>
    <s v="42679491001001"/>
    <n v="-51.16"/>
    <n v="1257"/>
    <n v="1"/>
    <n v="1"/>
  </r>
  <r>
    <m/>
    <m/>
    <x v="1"/>
    <s v="42686841002004"/>
    <n v="-20.84"/>
    <n v="512"/>
    <n v="1"/>
    <n v="1"/>
  </r>
  <r>
    <m/>
    <m/>
    <x v="1"/>
    <s v="42689921004001"/>
    <n v="-60.44"/>
    <n v="1485"/>
    <n v="1"/>
    <n v="1"/>
  </r>
  <r>
    <m/>
    <m/>
    <x v="1"/>
    <s v="42701961001004"/>
    <n v="-15.83"/>
    <n v="389"/>
    <n v="1"/>
    <n v="1"/>
  </r>
  <r>
    <m/>
    <m/>
    <x v="1"/>
    <s v="42718551001001"/>
    <n v="-30.73"/>
    <n v="755"/>
    <n v="1"/>
    <n v="1"/>
  </r>
  <r>
    <m/>
    <m/>
    <x v="1"/>
    <s v="42723241001001"/>
    <n v="-52.1"/>
    <n v="1280"/>
    <n v="1"/>
    <n v="1"/>
  </r>
  <r>
    <m/>
    <m/>
    <x v="1"/>
    <s v="42734931001007"/>
    <n v="-46.76"/>
    <n v="1149"/>
    <n v="1"/>
    <n v="1"/>
  </r>
  <r>
    <m/>
    <m/>
    <x v="1"/>
    <s v="42737381006001"/>
    <n v="-60.85"/>
    <n v="1495"/>
    <n v="1"/>
    <n v="1"/>
  </r>
  <r>
    <m/>
    <m/>
    <x v="1"/>
    <s v="42775461005001"/>
    <n v="-85.71"/>
    <n v="2106"/>
    <n v="1"/>
    <n v="1"/>
  </r>
  <r>
    <m/>
    <m/>
    <x v="1"/>
    <s v="42802481004001"/>
    <n v="-68.34"/>
    <n v="1679"/>
    <n v="1"/>
    <n v="1"/>
  </r>
  <r>
    <m/>
    <m/>
    <x v="1"/>
    <s v="42876608001005"/>
    <n v="-55.71"/>
    <n v="1369"/>
    <n v="2"/>
    <n v="1"/>
  </r>
  <r>
    <m/>
    <m/>
    <x v="1"/>
    <s v="42889211005001"/>
    <n v="-127.96"/>
    <n v="3144"/>
    <n v="1"/>
    <n v="1"/>
  </r>
  <r>
    <m/>
    <m/>
    <x v="1"/>
    <s v="42896771001009"/>
    <n v="-71.84"/>
    <n v="1765"/>
    <n v="1"/>
    <n v="1"/>
  </r>
  <r>
    <m/>
    <m/>
    <x v="1"/>
    <s v="42901041001001"/>
    <n v="-22.47"/>
    <n v="552"/>
    <n v="1"/>
    <n v="1"/>
  </r>
  <r>
    <m/>
    <m/>
    <x v="1"/>
    <s v="42972931001004"/>
    <n v="-49.82"/>
    <n v="1224"/>
    <n v="1"/>
    <n v="1"/>
  </r>
  <r>
    <m/>
    <m/>
    <x v="1"/>
    <s v="42993490001001"/>
    <n v="-83.56"/>
    <n v="2053"/>
    <n v="1"/>
    <n v="1"/>
  </r>
  <r>
    <m/>
    <m/>
    <x v="1"/>
    <s v="42997221001001"/>
    <n v="-15.91"/>
    <n v="391"/>
    <n v="1"/>
    <n v="1"/>
  </r>
  <r>
    <m/>
    <m/>
    <x v="1"/>
    <s v="43012714006003"/>
    <n v="-11.72"/>
    <n v="288"/>
    <n v="1"/>
    <n v="1"/>
  </r>
  <r>
    <m/>
    <m/>
    <x v="1"/>
    <s v="43023681011001"/>
    <n v="-16.239999999999998"/>
    <n v="399"/>
    <n v="1"/>
    <n v="1"/>
  </r>
  <r>
    <m/>
    <m/>
    <x v="1"/>
    <s v="43060291001001"/>
    <n v="-39.76"/>
    <n v="977"/>
    <n v="1"/>
    <n v="1"/>
  </r>
  <r>
    <m/>
    <m/>
    <x v="1"/>
    <s v="43122241004003"/>
    <n v="-94.18"/>
    <n v="2314"/>
    <n v="1"/>
    <n v="1"/>
  </r>
  <r>
    <m/>
    <m/>
    <x v="1"/>
    <s v="43139951001001"/>
    <n v="-8.67"/>
    <n v="213"/>
    <n v="1"/>
    <n v="1"/>
  </r>
  <r>
    <m/>
    <m/>
    <x v="1"/>
    <s v="43172221002008"/>
    <n v="-143.55000000000001"/>
    <n v="3527"/>
    <n v="1"/>
    <n v="1"/>
  </r>
  <r>
    <m/>
    <m/>
    <x v="1"/>
    <s v="43172690004001"/>
    <n v="-53.32"/>
    <n v="1310"/>
    <n v="1"/>
    <n v="1"/>
  </r>
  <r>
    <m/>
    <m/>
    <x v="1"/>
    <s v="43209041003003"/>
    <n v="-16.690000000000001"/>
    <n v="410"/>
    <n v="1"/>
    <n v="1"/>
  </r>
  <r>
    <m/>
    <m/>
    <x v="1"/>
    <s v="43223951001010"/>
    <n v="-38.1"/>
    <n v="936"/>
    <n v="1"/>
    <n v="1"/>
  </r>
  <r>
    <m/>
    <m/>
    <x v="1"/>
    <s v="43240331001004"/>
    <n v="-48.43"/>
    <n v="1190"/>
    <n v="1"/>
    <n v="1"/>
  </r>
  <r>
    <m/>
    <m/>
    <x v="1"/>
    <s v="43240401001003"/>
    <n v="-66.06"/>
    <n v="1623"/>
    <n v="1"/>
    <n v="1"/>
  </r>
  <r>
    <m/>
    <m/>
    <x v="1"/>
    <s v="43243411001002"/>
    <n v="-46.11"/>
    <n v="1133"/>
    <n v="1"/>
    <n v="1"/>
  </r>
  <r>
    <m/>
    <m/>
    <x v="1"/>
    <s v="43248661002001"/>
    <n v="-63.53"/>
    <n v="1561"/>
    <n v="1"/>
    <n v="1"/>
  </r>
  <r>
    <m/>
    <m/>
    <x v="1"/>
    <s v="43251181001001"/>
    <n v="-27.51"/>
    <n v="676"/>
    <n v="1"/>
    <n v="1"/>
  </r>
  <r>
    <m/>
    <m/>
    <x v="1"/>
    <s v="43254121001004"/>
    <n v="-44.36"/>
    <n v="1090"/>
    <n v="1"/>
    <n v="1"/>
  </r>
  <r>
    <m/>
    <m/>
    <x v="1"/>
    <s v="43261541001001"/>
    <n v="-40.86"/>
    <n v="1004"/>
    <n v="1"/>
    <n v="1"/>
  </r>
  <r>
    <m/>
    <m/>
    <x v="1"/>
    <s v="43268821001001"/>
    <n v="-65.239999999999995"/>
    <n v="1603"/>
    <n v="1"/>
    <n v="1"/>
  </r>
  <r>
    <m/>
    <m/>
    <x v="1"/>
    <s v="43273931004001"/>
    <n v="-55.11"/>
    <n v="1354"/>
    <n v="1"/>
    <n v="1"/>
  </r>
  <r>
    <m/>
    <m/>
    <x v="1"/>
    <s v="43291781001001"/>
    <n v="-24.3"/>
    <n v="597"/>
    <n v="1"/>
    <n v="1"/>
  </r>
  <r>
    <m/>
    <m/>
    <x v="1"/>
    <s v="43296891001001"/>
    <n v="-117.66"/>
    <n v="2891"/>
    <n v="1"/>
    <n v="1"/>
  </r>
  <r>
    <m/>
    <m/>
    <x v="1"/>
    <s v="43330105002001"/>
    <n v="-193.37"/>
    <n v="4751"/>
    <n v="1"/>
    <n v="1"/>
  </r>
  <r>
    <m/>
    <m/>
    <x v="1"/>
    <s v="43424081002001"/>
    <n v="-7.86"/>
    <n v="193"/>
    <n v="1"/>
    <n v="1"/>
  </r>
  <r>
    <m/>
    <m/>
    <x v="1"/>
    <s v="43575421002001"/>
    <n v="-86.61"/>
    <n v="2128"/>
    <n v="1"/>
    <n v="1"/>
  </r>
  <r>
    <m/>
    <m/>
    <x v="1"/>
    <s v="43586411001002"/>
    <n v="-10.54"/>
    <n v="259"/>
    <n v="1"/>
    <n v="1"/>
  </r>
  <r>
    <m/>
    <m/>
    <x v="1"/>
    <s v="43606427009001"/>
    <n v="-53.93"/>
    <n v="1325"/>
    <n v="1"/>
    <n v="1"/>
  </r>
  <r>
    <m/>
    <m/>
    <x v="1"/>
    <s v="43675311001004"/>
    <n v="-2.16"/>
    <n v="53"/>
    <n v="1"/>
    <n v="1"/>
  </r>
  <r>
    <m/>
    <m/>
    <x v="1"/>
    <s v="43675731002001"/>
    <n v="-44.69"/>
    <n v="1098"/>
    <n v="1"/>
    <n v="1"/>
  </r>
  <r>
    <m/>
    <m/>
    <x v="1"/>
    <s v="43685671001004"/>
    <n v="-5.33"/>
    <n v="131"/>
    <n v="1"/>
    <n v="1"/>
  </r>
  <r>
    <m/>
    <m/>
    <x v="1"/>
    <s v="43686721001006"/>
    <n v="-18.68"/>
    <n v="459"/>
    <n v="1"/>
    <n v="1"/>
  </r>
  <r>
    <m/>
    <m/>
    <x v="1"/>
    <s v="43735940002001"/>
    <n v="-52.1"/>
    <n v="1280"/>
    <n v="1"/>
    <n v="1"/>
  </r>
  <r>
    <m/>
    <m/>
    <x v="1"/>
    <s v="43761831007001"/>
    <n v="-156.37"/>
    <n v="3842"/>
    <n v="1"/>
    <n v="1"/>
  </r>
  <r>
    <m/>
    <m/>
    <x v="1"/>
    <s v="43822311002001"/>
    <n v="-7.37"/>
    <n v="181"/>
    <n v="1"/>
    <n v="1"/>
  </r>
  <r>
    <m/>
    <m/>
    <x v="1"/>
    <s v="43865752001004"/>
    <n v="-34.840000000000003"/>
    <n v="856"/>
    <n v="1"/>
    <n v="1"/>
  </r>
  <r>
    <m/>
    <m/>
    <x v="1"/>
    <s v="43901831002001"/>
    <n v="-53.03"/>
    <n v="1303"/>
    <n v="1"/>
    <n v="1"/>
  </r>
  <r>
    <m/>
    <m/>
    <x v="1"/>
    <s v="43908201002002"/>
    <n v="-5.82"/>
    <n v="143"/>
    <n v="1"/>
    <n v="1"/>
  </r>
  <r>
    <m/>
    <m/>
    <x v="1"/>
    <s v="43924371003001"/>
    <n v="-31.75"/>
    <n v="780"/>
    <n v="1"/>
    <n v="1"/>
  </r>
  <r>
    <m/>
    <m/>
    <x v="1"/>
    <s v="43937246005001"/>
    <n v="-37.97"/>
    <n v="933"/>
    <n v="1"/>
    <n v="1"/>
  </r>
  <r>
    <m/>
    <m/>
    <x v="1"/>
    <s v="43953794001001"/>
    <n v="-51.04"/>
    <n v="1254"/>
    <n v="1"/>
    <n v="1"/>
  </r>
  <r>
    <m/>
    <m/>
    <x v="1"/>
    <s v="44027831001002"/>
    <n v="-46.48"/>
    <n v="1142"/>
    <n v="1"/>
    <n v="1"/>
  </r>
  <r>
    <m/>
    <m/>
    <x v="1"/>
    <s v="44172520001001"/>
    <n v="-84.7"/>
    <n v="2081"/>
    <n v="1"/>
    <n v="1"/>
  </r>
  <r>
    <m/>
    <m/>
    <x v="1"/>
    <s v="44213401001003"/>
    <n v="-56.57"/>
    <n v="1390"/>
    <n v="1"/>
    <n v="1"/>
  </r>
  <r>
    <m/>
    <m/>
    <x v="1"/>
    <s v="44261911001001"/>
    <n v="-41.8"/>
    <n v="1027"/>
    <n v="1"/>
    <n v="1"/>
  </r>
  <r>
    <m/>
    <m/>
    <x v="1"/>
    <s v="44295021002002"/>
    <n v="-18.32"/>
    <n v="450"/>
    <n v="1"/>
    <n v="1"/>
  </r>
  <r>
    <m/>
    <m/>
    <x v="1"/>
    <s v="44301741001003"/>
    <n v="-69.64"/>
    <n v="1711"/>
    <n v="1"/>
    <n v="1"/>
  </r>
  <r>
    <m/>
    <m/>
    <x v="1"/>
    <s v="44313851003003"/>
    <n v="-49.08"/>
    <n v="1206"/>
    <n v="1"/>
    <n v="1"/>
  </r>
  <r>
    <m/>
    <m/>
    <x v="1"/>
    <s v="44346821001002"/>
    <n v="-83.27"/>
    <n v="2046"/>
    <n v="1"/>
    <n v="1"/>
  </r>
  <r>
    <m/>
    <m/>
    <x v="1"/>
    <s v="44347031002001"/>
    <n v="-46.44"/>
    <n v="1141"/>
    <n v="1"/>
    <n v="1"/>
  </r>
  <r>
    <m/>
    <m/>
    <x v="1"/>
    <s v="44365791001001"/>
    <n v="-9.93"/>
    <n v="244"/>
    <n v="1"/>
    <n v="1"/>
  </r>
  <r>
    <m/>
    <m/>
    <x v="1"/>
    <s v="44371461001006"/>
    <n v="-81.48"/>
    <n v="2002"/>
    <n v="1"/>
    <n v="1"/>
  </r>
  <r>
    <m/>
    <m/>
    <x v="1"/>
    <s v="44380071003001"/>
    <n v="-73.75"/>
    <n v="1812"/>
    <n v="1"/>
    <n v="1"/>
  </r>
  <r>
    <m/>
    <m/>
    <x v="1"/>
    <s v="44400231001002"/>
    <n v="-46.89"/>
    <n v="1152"/>
    <n v="1"/>
    <n v="1"/>
  </r>
  <r>
    <m/>
    <m/>
    <x v="1"/>
    <s v="44437541001001"/>
    <n v="-94.06"/>
    <n v="2311"/>
    <n v="1"/>
    <n v="1"/>
  </r>
  <r>
    <m/>
    <m/>
    <x v="1"/>
    <s v="44477199001001"/>
    <n v="-21.2"/>
    <n v="521"/>
    <n v="1"/>
    <n v="1"/>
  </r>
  <r>
    <m/>
    <m/>
    <x v="1"/>
    <s v="44504531002005"/>
    <n v="-97.6"/>
    <n v="2398"/>
    <n v="1"/>
    <n v="1"/>
  </r>
  <r>
    <m/>
    <m/>
    <x v="1"/>
    <s v="44510901001001"/>
    <n v="-65.239999999999995"/>
    <n v="1603"/>
    <n v="1"/>
    <n v="1"/>
  </r>
  <r>
    <m/>
    <m/>
    <x v="1"/>
    <s v="44512971001001"/>
    <n v="-50.75"/>
    <n v="1247"/>
    <n v="1"/>
    <n v="1"/>
  </r>
  <r>
    <m/>
    <m/>
    <x v="1"/>
    <s v="44514712001002"/>
    <n v="-50.88"/>
    <n v="1250"/>
    <n v="1"/>
    <n v="1"/>
  </r>
  <r>
    <m/>
    <m/>
    <x v="1"/>
    <s v="44518951007001"/>
    <n v="-75.66"/>
    <n v="1859"/>
    <n v="1"/>
    <n v="1"/>
  </r>
  <r>
    <m/>
    <m/>
    <x v="1"/>
    <s v="44522381001001"/>
    <n v="-74.16"/>
    <n v="1822"/>
    <n v="1"/>
    <n v="1"/>
  </r>
  <r>
    <m/>
    <m/>
    <x v="1"/>
    <s v="44524901001003"/>
    <n v="-60.81"/>
    <n v="1494"/>
    <n v="1"/>
    <n v="1"/>
  </r>
  <r>
    <m/>
    <m/>
    <x v="1"/>
    <s v="44528121001001"/>
    <n v="-36.22"/>
    <n v="890"/>
    <n v="1"/>
    <n v="1"/>
  </r>
  <r>
    <m/>
    <m/>
    <x v="1"/>
    <s v="44533511002002"/>
    <n v="-58.36"/>
    <n v="1434"/>
    <n v="1"/>
    <n v="1"/>
  </r>
  <r>
    <m/>
    <m/>
    <x v="1"/>
    <s v="44545341001001"/>
    <n v="-45.71"/>
    <n v="1123"/>
    <n v="1"/>
    <n v="1"/>
  </r>
  <r>
    <m/>
    <m/>
    <x v="1"/>
    <s v="44560475001003"/>
    <n v="-120.68"/>
    <n v="2965"/>
    <n v="1"/>
    <n v="1"/>
  </r>
  <r>
    <m/>
    <m/>
    <x v="1"/>
    <s v="44562981001002"/>
    <n v="-85.47"/>
    <n v="2100"/>
    <n v="1"/>
    <n v="1"/>
  </r>
  <r>
    <m/>
    <m/>
    <x v="1"/>
    <s v="44563681004003"/>
    <n v="-120.02"/>
    <n v="2949"/>
    <n v="1"/>
    <n v="1"/>
  </r>
  <r>
    <m/>
    <m/>
    <x v="1"/>
    <s v="44568316003001"/>
    <n v="-81.56"/>
    <n v="2004"/>
    <n v="1"/>
    <n v="1"/>
  </r>
  <r>
    <m/>
    <m/>
    <x v="1"/>
    <s v="44570056001001"/>
    <n v="-28.49"/>
    <n v="700"/>
    <n v="1"/>
    <n v="1"/>
  </r>
  <r>
    <m/>
    <m/>
    <x v="1"/>
    <s v="44572361001002"/>
    <n v="-60.24"/>
    <n v="1480"/>
    <n v="1"/>
    <n v="1"/>
  </r>
  <r>
    <m/>
    <m/>
    <x v="1"/>
    <s v="44577121001003"/>
    <n v="-69.52"/>
    <n v="1708"/>
    <n v="1"/>
    <n v="1"/>
  </r>
  <r>
    <m/>
    <m/>
    <x v="1"/>
    <s v="44578101001008"/>
    <n v="-32.520000000000003"/>
    <n v="799"/>
    <n v="1"/>
    <n v="1"/>
  </r>
  <r>
    <m/>
    <m/>
    <x v="1"/>
    <s v="44580411001002"/>
    <n v="-50.63"/>
    <n v="1244"/>
    <n v="1"/>
    <n v="1"/>
  </r>
  <r>
    <m/>
    <m/>
    <x v="1"/>
    <s v="44596091002001"/>
    <n v="-18.72"/>
    <n v="460"/>
    <n v="1"/>
    <n v="1"/>
  </r>
  <r>
    <m/>
    <m/>
    <x v="1"/>
    <s v="44617161001001"/>
    <n v="-62.15"/>
    <n v="1527"/>
    <n v="1"/>
    <n v="1"/>
  </r>
  <r>
    <m/>
    <m/>
    <x v="1"/>
    <s v="44617721001003"/>
    <n v="-25.23"/>
    <n v="620"/>
    <n v="1"/>
    <n v="1"/>
  </r>
  <r>
    <m/>
    <m/>
    <x v="1"/>
    <s v="44620801001001"/>
    <n v="-3.01"/>
    <n v="74"/>
    <n v="1"/>
    <n v="1"/>
  </r>
  <r>
    <m/>
    <m/>
    <x v="1"/>
    <s v="44627031001005"/>
    <n v="-145.26"/>
    <n v="3569"/>
    <n v="1"/>
    <n v="1"/>
  </r>
  <r>
    <m/>
    <m/>
    <x v="1"/>
    <s v="44663409001001"/>
    <n v="-92.8"/>
    <n v="2280"/>
    <n v="1"/>
    <n v="1"/>
  </r>
  <r>
    <m/>
    <m/>
    <x v="1"/>
    <s v="44688771001005"/>
    <n v="-90.27"/>
    <n v="2218"/>
    <n v="1"/>
    <n v="1"/>
  </r>
  <r>
    <m/>
    <m/>
    <x v="1"/>
    <s v="44710891001001"/>
    <n v="-65.81"/>
    <n v="1617"/>
    <n v="1"/>
    <n v="1"/>
  </r>
  <r>
    <m/>
    <m/>
    <x v="1"/>
    <s v="44717821001014"/>
    <n v="-22.1"/>
    <n v="543"/>
    <n v="1"/>
    <n v="1"/>
  </r>
  <r>
    <m/>
    <m/>
    <x v="1"/>
    <s v="44726291001003"/>
    <n v="-28.12"/>
    <n v="691"/>
    <n v="1"/>
    <n v="1"/>
  </r>
  <r>
    <m/>
    <m/>
    <x v="1"/>
    <s v="44732801001003"/>
    <n v="-32.36"/>
    <n v="795"/>
    <n v="1"/>
    <n v="1"/>
  </r>
  <r>
    <m/>
    <m/>
    <x v="1"/>
    <s v="44749671001002"/>
    <n v="-98.9"/>
    <n v="2430"/>
    <n v="1"/>
    <n v="1"/>
  </r>
  <r>
    <m/>
    <m/>
    <x v="1"/>
    <s v="44753381001001"/>
    <n v="-38.909999999999997"/>
    <n v="956"/>
    <n v="1"/>
    <n v="1"/>
  </r>
  <r>
    <m/>
    <m/>
    <x v="1"/>
    <s v="44761361002003"/>
    <n v="-46.93"/>
    <n v="1153"/>
    <n v="1"/>
    <n v="1"/>
  </r>
  <r>
    <m/>
    <m/>
    <x v="1"/>
    <s v="44774521001002"/>
    <n v="-51.85"/>
    <n v="1274"/>
    <n v="1"/>
    <n v="1"/>
  </r>
  <r>
    <m/>
    <m/>
    <x v="1"/>
    <s v="44784461002001"/>
    <n v="-51.77"/>
    <n v="1272"/>
    <n v="1"/>
    <n v="1"/>
  </r>
  <r>
    <m/>
    <m/>
    <x v="1"/>
    <s v="44800981002004"/>
    <n v="-50.43"/>
    <n v="1239"/>
    <n v="1"/>
    <n v="1"/>
  </r>
  <r>
    <m/>
    <m/>
    <x v="1"/>
    <s v="44808191002002"/>
    <n v="-84.25"/>
    <n v="2070"/>
    <n v="1"/>
    <n v="1"/>
  </r>
  <r>
    <m/>
    <m/>
    <x v="1"/>
    <s v="44813091001002"/>
    <n v="-55.64"/>
    <n v="1367"/>
    <n v="1"/>
    <n v="1"/>
  </r>
  <r>
    <m/>
    <m/>
    <x v="1"/>
    <s v="44817081001006"/>
    <n v="-85.43"/>
    <n v="2099"/>
    <n v="1"/>
    <n v="1"/>
  </r>
  <r>
    <m/>
    <m/>
    <x v="1"/>
    <s v="44846761001001"/>
    <n v="-160.32"/>
    <n v="3939"/>
    <n v="1"/>
    <n v="1"/>
  </r>
  <r>
    <m/>
    <m/>
    <x v="1"/>
    <s v="44863491001001"/>
    <n v="-63.53"/>
    <n v="1561"/>
    <n v="1"/>
    <n v="1"/>
  </r>
  <r>
    <m/>
    <m/>
    <x v="1"/>
    <s v="44876721001002"/>
    <n v="-91.53"/>
    <n v="2249"/>
    <n v="1"/>
    <n v="1"/>
  </r>
  <r>
    <m/>
    <m/>
    <x v="1"/>
    <s v="44879801001001"/>
    <n v="-12.45"/>
    <n v="306"/>
    <n v="1"/>
    <n v="1"/>
  </r>
  <r>
    <m/>
    <m/>
    <x v="1"/>
    <s v="44881201001001"/>
    <n v="-41.31"/>
    <n v="1015"/>
    <n v="1"/>
    <n v="1"/>
  </r>
  <r>
    <m/>
    <m/>
    <x v="1"/>
    <s v="44881271001004"/>
    <n v="-99.67"/>
    <n v="2449"/>
    <n v="1"/>
    <n v="1"/>
  </r>
  <r>
    <m/>
    <m/>
    <x v="1"/>
    <s v="44893661001002"/>
    <n v="-13.51"/>
    <n v="332"/>
    <n v="1"/>
    <n v="1"/>
  </r>
  <r>
    <m/>
    <m/>
    <x v="1"/>
    <s v="44896251001001"/>
    <n v="-48.39"/>
    <n v="1189"/>
    <n v="1"/>
    <n v="1"/>
  </r>
  <r>
    <m/>
    <m/>
    <x v="1"/>
    <s v="44898351001001"/>
    <n v="-101.51"/>
    <n v="2494"/>
    <n v="1"/>
    <n v="1"/>
  </r>
  <r>
    <m/>
    <m/>
    <x v="1"/>
    <s v="44954561001001"/>
    <n v="-63.9"/>
    <n v="1570"/>
    <n v="1"/>
    <n v="1"/>
  </r>
  <r>
    <m/>
    <m/>
    <x v="1"/>
    <s v="44956311001001"/>
    <n v="-49.33"/>
    <n v="1212"/>
    <n v="1"/>
    <n v="1"/>
  </r>
  <r>
    <m/>
    <m/>
    <x v="1"/>
    <s v="44956731001001"/>
    <n v="-78.709999999999994"/>
    <n v="1934"/>
    <n v="1"/>
    <n v="1"/>
  </r>
  <r>
    <m/>
    <m/>
    <x v="1"/>
    <s v="44962961004001"/>
    <n v="-43.63"/>
    <n v="1072"/>
    <n v="1"/>
    <n v="1"/>
  </r>
  <r>
    <m/>
    <m/>
    <x v="1"/>
    <s v="44964291001001"/>
    <n v="-31.05"/>
    <n v="763"/>
    <n v="1"/>
    <n v="1"/>
  </r>
  <r>
    <m/>
    <m/>
    <x v="1"/>
    <s v="44967161001001"/>
    <n v="-104.72"/>
    <n v="2573"/>
    <n v="1"/>
    <n v="1"/>
  </r>
  <r>
    <m/>
    <m/>
    <x v="1"/>
    <s v="44971781025001"/>
    <n v="-55.31"/>
    <n v="1359"/>
    <n v="1"/>
    <n v="1"/>
  </r>
  <r>
    <m/>
    <m/>
    <x v="1"/>
    <s v="44972551004001"/>
    <n v="-66.5"/>
    <n v="1634"/>
    <n v="1"/>
    <n v="1"/>
  </r>
  <r>
    <m/>
    <m/>
    <x v="1"/>
    <s v="44988441001013"/>
    <n v="-60.68"/>
    <n v="1491"/>
    <n v="1"/>
    <n v="1"/>
  </r>
  <r>
    <m/>
    <m/>
    <x v="1"/>
    <s v="44990541001001"/>
    <n v="-11.84"/>
    <n v="291"/>
    <n v="1"/>
    <n v="1"/>
  </r>
  <r>
    <m/>
    <m/>
    <x v="1"/>
    <s v="44995231002001"/>
    <n v="-44.97"/>
    <n v="1105"/>
    <n v="1"/>
    <n v="1"/>
  </r>
  <r>
    <m/>
    <m/>
    <x v="1"/>
    <s v="45016581002001"/>
    <n v="-29.96"/>
    <n v="736"/>
    <n v="1"/>
    <n v="1"/>
  </r>
  <r>
    <m/>
    <m/>
    <x v="1"/>
    <s v="45022531002001"/>
    <n v="-41.07"/>
    <n v="1009"/>
    <n v="1"/>
    <n v="1"/>
  </r>
  <r>
    <m/>
    <m/>
    <x v="1"/>
    <s v="45022671002001"/>
    <n v="-10.95"/>
    <n v="269"/>
    <n v="1"/>
    <n v="1"/>
  </r>
  <r>
    <m/>
    <m/>
    <x v="1"/>
    <s v="45023091001001"/>
    <n v="-5.54"/>
    <n v="136"/>
    <n v="1"/>
    <n v="1"/>
  </r>
  <r>
    <m/>
    <m/>
    <x v="1"/>
    <s v="45024346002005"/>
    <n v="-92.96"/>
    <n v="2284"/>
    <n v="1"/>
    <n v="1"/>
  </r>
  <r>
    <m/>
    <m/>
    <x v="1"/>
    <s v="45028411001001"/>
    <n v="-28.65"/>
    <n v="704"/>
    <n v="1"/>
    <n v="1"/>
  </r>
  <r>
    <m/>
    <m/>
    <x v="1"/>
    <s v="45029951001001"/>
    <n v="-2.77"/>
    <n v="68"/>
    <n v="1"/>
    <n v="1"/>
  </r>
  <r>
    <m/>
    <m/>
    <x v="1"/>
    <s v="45044339001005"/>
    <n v="-37.729999999999997"/>
    <n v="927"/>
    <n v="1"/>
    <n v="1"/>
  </r>
  <r>
    <m/>
    <m/>
    <x v="1"/>
    <s v="45045911001001"/>
    <n v="-48.31"/>
    <n v="1187"/>
    <n v="1"/>
    <n v="1"/>
  </r>
  <r>
    <m/>
    <m/>
    <x v="1"/>
    <s v="45046471001001"/>
    <n v="-3.79"/>
    <n v="93"/>
    <n v="1"/>
    <n v="1"/>
  </r>
  <r>
    <m/>
    <m/>
    <x v="1"/>
    <s v="45051931001001"/>
    <n v="-27.92"/>
    <n v="686"/>
    <n v="1"/>
    <n v="1"/>
  </r>
  <r>
    <m/>
    <m/>
    <x v="1"/>
    <s v="45054593001001"/>
    <n v="-133.16999999999999"/>
    <n v="3272"/>
    <n v="1"/>
    <n v="1"/>
  </r>
  <r>
    <m/>
    <m/>
    <x v="1"/>
    <s v="45058426001005"/>
    <n v="-43.87"/>
    <n v="1078"/>
    <n v="1"/>
    <n v="1"/>
  </r>
  <r>
    <m/>
    <m/>
    <x v="1"/>
    <s v="45064461001001"/>
    <n v="-51.97"/>
    <n v="1277"/>
    <n v="1"/>
    <n v="1"/>
  </r>
  <r>
    <m/>
    <m/>
    <x v="1"/>
    <s v="45064881001001"/>
    <n v="-113.06"/>
    <n v="2778"/>
    <n v="1"/>
    <n v="1"/>
  </r>
  <r>
    <m/>
    <m/>
    <x v="1"/>
    <s v="45066141001001"/>
    <n v="-22.95"/>
    <n v="564"/>
    <n v="1"/>
    <n v="1"/>
  </r>
  <r>
    <m/>
    <m/>
    <x v="1"/>
    <s v="45068661003001"/>
    <n v="-38.14"/>
    <n v="937"/>
    <n v="1"/>
    <n v="1"/>
  </r>
  <r>
    <m/>
    <m/>
    <x v="1"/>
    <s v="45076781001003"/>
    <n v="-59.58"/>
    <n v="1464"/>
    <n v="1"/>
    <n v="1"/>
  </r>
  <r>
    <m/>
    <m/>
    <x v="1"/>
    <s v="45077271001001"/>
    <n v="-9.44"/>
    <n v="232"/>
    <n v="1"/>
    <n v="1"/>
  </r>
  <r>
    <m/>
    <m/>
    <x v="1"/>
    <s v="45099251001001"/>
    <n v="-53.72"/>
    <n v="1320"/>
    <n v="1"/>
    <n v="1"/>
  </r>
  <r>
    <m/>
    <m/>
    <x v="1"/>
    <s v="45100292001003"/>
    <n v="-13.8"/>
    <n v="339"/>
    <n v="1"/>
    <n v="1"/>
  </r>
  <r>
    <m/>
    <m/>
    <x v="1"/>
    <s v="45101911002002"/>
    <n v="-65.12"/>
    <n v="1600"/>
    <n v="1"/>
    <n v="1"/>
  </r>
  <r>
    <m/>
    <m/>
    <x v="1"/>
    <s v="45114021001001"/>
    <n v="-77.569999999999993"/>
    <n v="1906"/>
    <n v="1"/>
    <n v="1"/>
  </r>
  <r>
    <m/>
    <m/>
    <x v="1"/>
    <s v="45128931001001"/>
    <n v="-22.1"/>
    <n v="543"/>
    <n v="1"/>
    <n v="1"/>
  </r>
  <r>
    <m/>
    <m/>
    <x v="1"/>
    <s v="45131871004001"/>
    <n v="-95.89"/>
    <n v="2356"/>
    <n v="1"/>
    <n v="1"/>
  </r>
  <r>
    <m/>
    <m/>
    <x v="1"/>
    <s v="45137261001001"/>
    <n v="-97.52"/>
    <n v="2396"/>
    <n v="1"/>
    <n v="1"/>
  </r>
  <r>
    <m/>
    <m/>
    <x v="1"/>
    <s v="45146501001004"/>
    <n v="-93.89"/>
    <n v="2307"/>
    <n v="1"/>
    <n v="1"/>
  </r>
  <r>
    <m/>
    <m/>
    <x v="1"/>
    <s v="45153011001003"/>
    <n v="-62.84"/>
    <n v="1544"/>
    <n v="1"/>
    <n v="1"/>
  </r>
  <r>
    <m/>
    <m/>
    <x v="1"/>
    <s v="45156161001001"/>
    <n v="-35.65"/>
    <n v="876"/>
    <n v="1"/>
    <n v="1"/>
  </r>
  <r>
    <m/>
    <m/>
    <x v="1"/>
    <s v="45160921001001"/>
    <n v="-56"/>
    <n v="1376"/>
    <n v="1"/>
    <n v="1"/>
  </r>
  <r>
    <m/>
    <m/>
    <x v="1"/>
    <s v="45162391001001"/>
    <n v="-65.97"/>
    <n v="1621"/>
    <n v="1"/>
    <n v="1"/>
  </r>
  <r>
    <m/>
    <m/>
    <x v="1"/>
    <s v="45171288002001"/>
    <n v="-53.56"/>
    <n v="1316"/>
    <n v="1"/>
    <n v="1"/>
  </r>
  <r>
    <m/>
    <m/>
    <x v="1"/>
    <s v="45177721002001"/>
    <n v="-59.99"/>
    <n v="1474"/>
    <n v="1"/>
    <n v="1"/>
  </r>
  <r>
    <m/>
    <m/>
    <x v="1"/>
    <s v="45182691001001"/>
    <n v="-68.86"/>
    <n v="1692"/>
    <n v="1"/>
    <n v="1"/>
  </r>
  <r>
    <m/>
    <m/>
    <x v="1"/>
    <s v="45194521001003"/>
    <n v="-40.42"/>
    <n v="993"/>
    <n v="1"/>
    <n v="1"/>
  </r>
  <r>
    <m/>
    <m/>
    <x v="1"/>
    <s v="45194661001001"/>
    <n v="-67.52"/>
    <n v="1659"/>
    <n v="1"/>
    <n v="1"/>
  </r>
  <r>
    <m/>
    <m/>
    <x v="1"/>
    <s v="45195221001002"/>
    <n v="-70.900000000000006"/>
    <n v="1742"/>
    <n v="1"/>
    <n v="1"/>
  </r>
  <r>
    <m/>
    <m/>
    <x v="1"/>
    <s v="45195641001001"/>
    <n v="-71.27"/>
    <n v="1751"/>
    <n v="1"/>
    <n v="1"/>
  </r>
  <r>
    <m/>
    <m/>
    <x v="1"/>
    <s v="45195991002001"/>
    <n v="-110.62"/>
    <n v="2718"/>
    <n v="1"/>
    <n v="1"/>
  </r>
  <r>
    <m/>
    <m/>
    <x v="1"/>
    <s v="45204881002001"/>
    <n v="-9.9700000000000006"/>
    <n v="245"/>
    <n v="1"/>
    <n v="1"/>
  </r>
  <r>
    <m/>
    <m/>
    <x v="1"/>
    <s v="45208591002003"/>
    <n v="-13.76"/>
    <n v="338"/>
    <n v="1"/>
    <n v="1"/>
  </r>
  <r>
    <m/>
    <m/>
    <x v="1"/>
    <s v="45230011001002"/>
    <n v="-59.38"/>
    <n v="1459"/>
    <n v="1"/>
    <n v="1"/>
  </r>
  <r>
    <m/>
    <m/>
    <x v="1"/>
    <s v="45233441001001"/>
    <n v="-71.59"/>
    <n v="1759"/>
    <n v="1"/>
    <n v="1"/>
  </r>
  <r>
    <m/>
    <m/>
    <x v="1"/>
    <s v="45242051001003"/>
    <n v="-103.42"/>
    <n v="2541"/>
    <n v="1"/>
    <n v="1"/>
  </r>
  <r>
    <m/>
    <m/>
    <x v="1"/>
    <s v="45244851001001"/>
    <n v="-5.37"/>
    <n v="132"/>
    <n v="1"/>
    <n v="1"/>
  </r>
  <r>
    <m/>
    <m/>
    <x v="1"/>
    <s v="45259481001001"/>
    <n v="-59.22"/>
    <n v="1455"/>
    <n v="1"/>
    <n v="1"/>
  </r>
  <r>
    <m/>
    <m/>
    <x v="1"/>
    <s v="45270949001004"/>
    <n v="-59.63"/>
    <n v="1465"/>
    <n v="1"/>
    <n v="1"/>
  </r>
  <r>
    <m/>
    <m/>
    <x v="1"/>
    <s v="45304141001001"/>
    <n v="-41.96"/>
    <n v="1031"/>
    <n v="1"/>
    <n v="1"/>
  </r>
  <r>
    <m/>
    <m/>
    <x v="1"/>
    <s v="45321851001002"/>
    <n v="-42.65"/>
    <n v="1048"/>
    <n v="1"/>
    <n v="1"/>
  </r>
  <r>
    <m/>
    <m/>
    <x v="1"/>
    <s v="45322971007001"/>
    <n v="-15.26"/>
    <n v="375"/>
    <n v="1"/>
    <n v="1"/>
  </r>
  <r>
    <m/>
    <m/>
    <x v="1"/>
    <s v="45329621001002"/>
    <n v="-101.14"/>
    <n v="2485"/>
    <n v="1"/>
    <n v="1"/>
  </r>
  <r>
    <m/>
    <m/>
    <x v="1"/>
    <s v="45353841001001"/>
    <n v="-38.18"/>
    <n v="938"/>
    <n v="1"/>
    <n v="1"/>
  </r>
  <r>
    <m/>
    <m/>
    <x v="1"/>
    <s v="45356081008001"/>
    <n v="-41.72"/>
    <n v="1025"/>
    <n v="1"/>
    <n v="1"/>
  </r>
  <r>
    <m/>
    <m/>
    <x v="1"/>
    <s v="45363081001002"/>
    <n v="-59.06"/>
    <n v="1451"/>
    <n v="1"/>
    <n v="1"/>
  </r>
  <r>
    <m/>
    <m/>
    <x v="1"/>
    <s v="45363781001003"/>
    <n v="-134.96"/>
    <n v="3316"/>
    <n v="1"/>
    <n v="1"/>
  </r>
  <r>
    <m/>
    <m/>
    <x v="1"/>
    <s v="45372041008001"/>
    <n v="-104.8"/>
    <n v="2575"/>
    <n v="1"/>
    <n v="1"/>
  </r>
  <r>
    <m/>
    <m/>
    <x v="1"/>
    <s v="45372181002001"/>
    <n v="-74.2"/>
    <n v="1823"/>
    <n v="1"/>
    <n v="1"/>
  </r>
  <r>
    <m/>
    <m/>
    <x v="1"/>
    <s v="45379041001001"/>
    <n v="-111.52"/>
    <n v="2740"/>
    <n v="1"/>
    <n v="1"/>
  </r>
  <r>
    <m/>
    <m/>
    <x v="1"/>
    <s v="45389331002003"/>
    <n v="-1.63"/>
    <n v="40"/>
    <n v="1"/>
    <n v="1"/>
  </r>
  <r>
    <m/>
    <m/>
    <x v="1"/>
    <s v="45395421001001"/>
    <n v="-24.7"/>
    <n v="607"/>
    <n v="1"/>
    <n v="1"/>
  </r>
  <r>
    <m/>
    <m/>
    <x v="1"/>
    <s v="45406543001004"/>
    <n v="-8.91"/>
    <n v="219"/>
    <n v="1"/>
    <n v="1"/>
  </r>
  <r>
    <m/>
    <m/>
    <x v="1"/>
    <s v="45408608002003"/>
    <n v="-78.180000000000007"/>
    <n v="1921"/>
    <n v="1"/>
    <n v="1"/>
  </r>
  <r>
    <m/>
    <m/>
    <x v="1"/>
    <s v="45412781001004"/>
    <n v="-51.2"/>
    <n v="1258"/>
    <n v="1"/>
    <n v="1"/>
  </r>
  <r>
    <m/>
    <m/>
    <x v="1"/>
    <s v="45432941001004"/>
    <n v="-57.55"/>
    <n v="1414"/>
    <n v="1"/>
    <n v="1"/>
  </r>
  <r>
    <m/>
    <m/>
    <x v="1"/>
    <s v="45433991001003"/>
    <n v="-99.92"/>
    <n v="2455"/>
    <n v="1"/>
    <n v="1"/>
  </r>
  <r>
    <m/>
    <m/>
    <x v="1"/>
    <s v="45442391004001"/>
    <n v="-19.45"/>
    <n v="478"/>
    <n v="1"/>
    <n v="1"/>
  </r>
  <r>
    <m/>
    <m/>
    <x v="1"/>
    <s v="45446941001001"/>
    <n v="-101.51"/>
    <n v="2494"/>
    <n v="1"/>
    <n v="1"/>
  </r>
  <r>
    <m/>
    <m/>
    <x v="1"/>
    <s v="45447641001001"/>
    <n v="-40.9"/>
    <n v="1005"/>
    <n v="1"/>
    <n v="1"/>
  </r>
  <r>
    <m/>
    <m/>
    <x v="1"/>
    <s v="45447711001002"/>
    <n v="-110.09"/>
    <n v="2705"/>
    <n v="1"/>
    <n v="1"/>
  </r>
  <r>
    <m/>
    <m/>
    <x v="1"/>
    <s v="45466051001001"/>
    <n v="-56.08"/>
    <n v="1378"/>
    <n v="1"/>
    <n v="1"/>
  </r>
  <r>
    <m/>
    <m/>
    <x v="1"/>
    <s v="45472001001001"/>
    <n v="-33.74"/>
    <n v="829"/>
    <n v="1"/>
    <n v="1"/>
  </r>
  <r>
    <m/>
    <m/>
    <x v="1"/>
    <s v="45490131002003"/>
    <n v="-90.19"/>
    <n v="2216"/>
    <n v="1"/>
    <n v="1"/>
  </r>
  <r>
    <m/>
    <m/>
    <x v="1"/>
    <s v="45496641001001"/>
    <n v="-13.43"/>
    <n v="330"/>
    <n v="1"/>
    <n v="1"/>
  </r>
  <r>
    <m/>
    <m/>
    <x v="1"/>
    <s v="45496921001002"/>
    <n v="-36.39"/>
    <n v="894"/>
    <n v="1"/>
    <n v="1"/>
  </r>
  <r>
    <m/>
    <m/>
    <x v="1"/>
    <s v="45500981001001"/>
    <n v="-52.3"/>
    <n v="1285"/>
    <n v="1"/>
    <n v="1"/>
  </r>
  <r>
    <m/>
    <m/>
    <x v="1"/>
    <s v="45502521001001"/>
    <n v="-7.33"/>
    <n v="180"/>
    <n v="1"/>
    <n v="1"/>
  </r>
  <r>
    <m/>
    <m/>
    <x v="1"/>
    <s v="45513791001001"/>
    <n v="-43.18"/>
    <n v="1061"/>
    <n v="1"/>
    <n v="1"/>
  </r>
  <r>
    <m/>
    <m/>
    <x v="1"/>
    <s v="45517641003008"/>
    <n v="-35.57"/>
    <n v="874"/>
    <n v="1"/>
    <n v="1"/>
  </r>
  <r>
    <m/>
    <m/>
    <x v="1"/>
    <s v="45518411001001"/>
    <n v="-36.51"/>
    <n v="897"/>
    <n v="1"/>
    <n v="1"/>
  </r>
  <r>
    <m/>
    <m/>
    <x v="1"/>
    <s v="45518691001001"/>
    <n v="-45.38"/>
    <n v="1115"/>
    <n v="1"/>
    <n v="1"/>
  </r>
  <r>
    <m/>
    <m/>
    <x v="1"/>
    <s v="45528421001002"/>
    <n v="-76.03"/>
    <n v="1868"/>
    <n v="1"/>
    <n v="1"/>
  </r>
  <r>
    <m/>
    <m/>
    <x v="1"/>
    <s v="45532411001002"/>
    <n v="-18.32"/>
    <n v="450"/>
    <n v="1"/>
    <n v="1"/>
  </r>
  <r>
    <m/>
    <m/>
    <x v="1"/>
    <s v="45543243001003"/>
    <n v="-75.91"/>
    <n v="1865"/>
    <n v="1"/>
    <n v="1"/>
  </r>
  <r>
    <m/>
    <m/>
    <x v="1"/>
    <s v="45553131003004"/>
    <n v="-8.7899999999999991"/>
    <n v="216"/>
    <n v="1"/>
    <n v="1"/>
  </r>
  <r>
    <m/>
    <m/>
    <x v="1"/>
    <s v="45568881001008"/>
    <n v="-2.85"/>
    <n v="70"/>
    <n v="1"/>
    <n v="1"/>
  </r>
  <r>
    <m/>
    <m/>
    <x v="1"/>
    <s v="45591768003001"/>
    <n v="-147.86000000000001"/>
    <n v="3633"/>
    <n v="1"/>
    <n v="1"/>
  </r>
  <r>
    <m/>
    <m/>
    <x v="1"/>
    <s v="45623271008003"/>
    <n v="-42.33"/>
    <n v="1040"/>
    <n v="1"/>
    <n v="1"/>
  </r>
  <r>
    <m/>
    <m/>
    <x v="1"/>
    <s v="45634593001003"/>
    <n v="-71.55"/>
    <n v="1758"/>
    <n v="1"/>
    <n v="1"/>
  </r>
  <r>
    <m/>
    <m/>
    <x v="1"/>
    <s v="45668001003001"/>
    <n v="-77.09"/>
    <n v="1894"/>
    <n v="1"/>
    <n v="1"/>
  </r>
  <r>
    <m/>
    <m/>
    <x v="1"/>
    <s v="45764531001001"/>
    <n v="-23.12"/>
    <n v="568"/>
    <n v="1"/>
    <n v="1"/>
  </r>
  <r>
    <m/>
    <m/>
    <x v="1"/>
    <s v="45786091001001"/>
    <n v="-136.02000000000001"/>
    <n v="3342"/>
    <n v="1"/>
    <n v="1"/>
  </r>
  <r>
    <m/>
    <m/>
    <x v="1"/>
    <s v="45805748001001"/>
    <n v="-17.260000000000002"/>
    <n v="424"/>
    <n v="1"/>
    <n v="1"/>
  </r>
  <r>
    <m/>
    <m/>
    <x v="1"/>
    <s v="45859311004004"/>
    <n v="-89.01"/>
    <n v="2187"/>
    <n v="1"/>
    <n v="1"/>
  </r>
  <r>
    <m/>
    <m/>
    <x v="1"/>
    <s v="45861551007007"/>
    <n v="-41.31"/>
    <n v="1015"/>
    <n v="1"/>
    <n v="1"/>
  </r>
  <r>
    <m/>
    <m/>
    <x v="1"/>
    <s v="45874431001005"/>
    <n v="-93.85"/>
    <n v="2306"/>
    <n v="1"/>
    <n v="1"/>
  </r>
  <r>
    <m/>
    <m/>
    <x v="1"/>
    <s v="45895291003003"/>
    <n v="-77.33"/>
    <n v="1900"/>
    <n v="1"/>
    <n v="1"/>
  </r>
  <r>
    <m/>
    <m/>
    <x v="1"/>
    <s v="45918951003002"/>
    <n v="-47.66"/>
    <n v="1171"/>
    <n v="1"/>
    <n v="1"/>
  </r>
  <r>
    <m/>
    <m/>
    <x v="1"/>
    <s v="45919021001009"/>
    <n v="-21.37"/>
    <n v="525"/>
    <n v="1"/>
    <n v="1"/>
  </r>
  <r>
    <m/>
    <m/>
    <x v="1"/>
    <s v="45922199001001"/>
    <n v="-76.349999999999994"/>
    <n v="1876"/>
    <n v="1"/>
    <n v="1"/>
  </r>
  <r>
    <m/>
    <m/>
    <x v="1"/>
    <s v="45930277001003"/>
    <n v="-21.37"/>
    <n v="525"/>
    <n v="1"/>
    <n v="1"/>
  </r>
  <r>
    <m/>
    <m/>
    <x v="1"/>
    <s v="45931061001003"/>
    <n v="-60.48"/>
    <n v="1486"/>
    <n v="1"/>
    <n v="1"/>
  </r>
  <r>
    <m/>
    <m/>
    <x v="1"/>
    <s v="45934421003003"/>
    <n v="-47.09"/>
    <n v="1157"/>
    <n v="1"/>
    <n v="1"/>
  </r>
  <r>
    <m/>
    <m/>
    <x v="1"/>
    <s v="45939881001006"/>
    <n v="-31.34"/>
    <n v="770"/>
    <n v="1"/>
    <n v="1"/>
  </r>
  <r>
    <m/>
    <m/>
    <x v="1"/>
    <s v="45956471002002"/>
    <n v="-17.5"/>
    <n v="430"/>
    <n v="1"/>
    <n v="1"/>
  </r>
  <r>
    <m/>
    <m/>
    <x v="1"/>
    <s v="46003091002002"/>
    <n v="-16.36"/>
    <n v="402"/>
    <n v="1"/>
    <n v="1"/>
  </r>
  <r>
    <m/>
    <m/>
    <x v="1"/>
    <s v="46024168001001"/>
    <n v="-15.51"/>
    <n v="381"/>
    <n v="1"/>
    <n v="1"/>
  </r>
  <r>
    <m/>
    <m/>
    <x v="1"/>
    <s v="46042851003005"/>
    <n v="-55.6"/>
    <n v="1366"/>
    <n v="1"/>
    <n v="1"/>
  </r>
  <r>
    <m/>
    <m/>
    <x v="1"/>
    <s v="46058267001001"/>
    <n v="-131.01"/>
    <n v="3219"/>
    <n v="1"/>
    <n v="1"/>
  </r>
  <r>
    <m/>
    <m/>
    <x v="1"/>
    <s v="46060421001003"/>
    <n v="-36.909999999999997"/>
    <n v="907"/>
    <n v="1"/>
    <n v="1"/>
  </r>
  <r>
    <m/>
    <m/>
    <x v="1"/>
    <s v="46075331001001"/>
    <n v="-23.57"/>
    <n v="579"/>
    <n v="1"/>
    <n v="1"/>
  </r>
  <r>
    <m/>
    <m/>
    <x v="1"/>
    <s v="46096471001002"/>
    <n v="-16.61"/>
    <n v="408"/>
    <n v="1"/>
    <n v="1"/>
  </r>
  <r>
    <m/>
    <m/>
    <x v="1"/>
    <s v="46112501001001"/>
    <n v="-78.47"/>
    <n v="1928"/>
    <n v="1"/>
    <n v="1"/>
  </r>
  <r>
    <m/>
    <m/>
    <x v="1"/>
    <s v="46119641003003"/>
    <n v="-28.9"/>
    <n v="710"/>
    <n v="1"/>
    <n v="1"/>
  </r>
  <r>
    <m/>
    <m/>
    <x v="1"/>
    <s v="46122371006001"/>
    <n v="-75.5"/>
    <n v="1855"/>
    <n v="1"/>
    <n v="1"/>
  </r>
  <r>
    <m/>
    <m/>
    <x v="1"/>
    <s v="46133011004007"/>
    <n v="-17.75"/>
    <n v="436"/>
    <n v="1"/>
    <n v="1"/>
  </r>
  <r>
    <m/>
    <m/>
    <x v="1"/>
    <s v="46133151002005"/>
    <n v="-81.16"/>
    <n v="1994"/>
    <n v="1"/>
    <n v="1"/>
  </r>
  <r>
    <m/>
    <m/>
    <x v="1"/>
    <s v="46140291003004"/>
    <n v="-56.08"/>
    <n v="1378"/>
    <n v="1"/>
    <n v="1"/>
  </r>
  <r>
    <m/>
    <m/>
    <x v="1"/>
    <s v="46141131001003"/>
    <n v="-59.75"/>
    <n v="1468"/>
    <n v="1"/>
    <n v="1"/>
  </r>
  <r>
    <m/>
    <m/>
    <x v="1"/>
    <s v="46176053001002"/>
    <n v="-64.430000000000007"/>
    <n v="1583"/>
    <n v="1"/>
    <n v="1"/>
  </r>
  <r>
    <m/>
    <m/>
    <x v="1"/>
    <s v="46190901003009"/>
    <n v="-16.73"/>
    <n v="411"/>
    <n v="1"/>
    <n v="1"/>
  </r>
  <r>
    <m/>
    <m/>
    <x v="1"/>
    <s v="46191123001001"/>
    <n v="-22.63"/>
    <n v="556"/>
    <n v="1"/>
    <n v="1"/>
  </r>
  <r>
    <m/>
    <m/>
    <x v="1"/>
    <s v="46217501012001"/>
    <n v="-58.69"/>
    <n v="1442"/>
    <n v="1"/>
    <n v="1"/>
  </r>
  <r>
    <m/>
    <m/>
    <x v="1"/>
    <s v="46283959001004"/>
    <n v="-42.12"/>
    <n v="1035"/>
    <n v="1"/>
    <n v="1"/>
  </r>
  <r>
    <m/>
    <m/>
    <x v="1"/>
    <s v="46337411004003"/>
    <n v="-109.36"/>
    <n v="2687"/>
    <n v="1"/>
    <n v="1"/>
  </r>
  <r>
    <m/>
    <m/>
    <x v="1"/>
    <s v="46345111015001"/>
    <n v="-56.9"/>
    <n v="1398"/>
    <n v="1"/>
    <n v="1"/>
  </r>
  <r>
    <m/>
    <m/>
    <x v="1"/>
    <s v="46363031009001"/>
    <n v="-40.17"/>
    <n v="987"/>
    <n v="1"/>
    <n v="1"/>
  </r>
  <r>
    <m/>
    <m/>
    <x v="1"/>
    <s v="46383371002005"/>
    <n v="-21.37"/>
    <n v="525"/>
    <n v="1"/>
    <n v="1"/>
  </r>
  <r>
    <m/>
    <m/>
    <x v="1"/>
    <s v="46395161007007"/>
    <n v="-83.92"/>
    <n v="2062"/>
    <n v="1"/>
    <n v="1"/>
  </r>
  <r>
    <m/>
    <m/>
    <x v="1"/>
    <s v="46406546001001"/>
    <n v="-75.25"/>
    <n v="1849"/>
    <n v="1"/>
    <n v="1"/>
  </r>
  <r>
    <m/>
    <m/>
    <x v="1"/>
    <s v="46422557001001"/>
    <n v="-23.4"/>
    <n v="575"/>
    <n v="1"/>
    <n v="1"/>
  </r>
  <r>
    <m/>
    <m/>
    <x v="1"/>
    <s v="46425681001003"/>
    <n v="-66.87"/>
    <n v="1643"/>
    <n v="1"/>
    <n v="1"/>
  </r>
  <r>
    <m/>
    <m/>
    <x v="1"/>
    <s v="46426241001001"/>
    <n v="-11.19"/>
    <n v="275"/>
    <n v="1"/>
    <n v="1"/>
  </r>
  <r>
    <m/>
    <m/>
    <x v="1"/>
    <s v="46426871002003"/>
    <n v="-7.49"/>
    <n v="184"/>
    <n v="1"/>
    <n v="1"/>
  </r>
  <r>
    <m/>
    <m/>
    <x v="1"/>
    <s v="46463061001001"/>
    <n v="-53.93"/>
    <n v="1325"/>
    <n v="1"/>
    <n v="1"/>
  </r>
  <r>
    <m/>
    <m/>
    <x v="1"/>
    <s v="46464041009001"/>
    <n v="-72.77"/>
    <n v="1788"/>
    <n v="1"/>
    <n v="1"/>
  </r>
  <r>
    <m/>
    <m/>
    <x v="1"/>
    <s v="46467611002001"/>
    <n v="-54.38"/>
    <n v="1336"/>
    <n v="1"/>
    <n v="1"/>
  </r>
  <r>
    <m/>
    <m/>
    <x v="1"/>
    <s v="46483221001003"/>
    <n v="-63.17"/>
    <n v="1552"/>
    <n v="1"/>
    <n v="1"/>
  </r>
  <r>
    <m/>
    <m/>
    <x v="1"/>
    <s v="46486091009001"/>
    <n v="-28.57"/>
    <n v="702"/>
    <n v="1"/>
    <n v="1"/>
  </r>
  <r>
    <m/>
    <m/>
    <x v="1"/>
    <s v="46515686001001"/>
    <n v="-144.85"/>
    <n v="3559"/>
    <n v="1"/>
    <n v="1"/>
  </r>
  <r>
    <m/>
    <m/>
    <x v="1"/>
    <s v="46567205001001"/>
    <n v="-82.46"/>
    <n v="2026"/>
    <n v="1"/>
    <n v="1"/>
  </r>
  <r>
    <m/>
    <m/>
    <x v="1"/>
    <s v="46612347003001"/>
    <n v="-70.66"/>
    <n v="1736"/>
    <n v="1"/>
    <n v="1"/>
  </r>
  <r>
    <m/>
    <m/>
    <x v="1"/>
    <s v="46709404001001"/>
    <n v="-33.29"/>
    <n v="818"/>
    <n v="1"/>
    <n v="1"/>
  </r>
  <r>
    <m/>
    <m/>
    <x v="1"/>
    <s v="46754681003012"/>
    <n v="-11.97"/>
    <n v="294"/>
    <n v="1"/>
    <n v="1"/>
  </r>
  <r>
    <m/>
    <m/>
    <x v="1"/>
    <s v="46772111002005"/>
    <n v="-82.91"/>
    <n v="2037"/>
    <n v="1"/>
    <n v="1"/>
  </r>
  <r>
    <m/>
    <m/>
    <x v="1"/>
    <s v="46778971002001"/>
    <n v="-54.66"/>
    <n v="1343"/>
    <n v="1"/>
    <n v="1"/>
  </r>
  <r>
    <m/>
    <m/>
    <x v="1"/>
    <s v="46792621001001"/>
    <n v="-81.239999999999995"/>
    <n v="1996"/>
    <n v="1"/>
    <n v="1"/>
  </r>
  <r>
    <m/>
    <m/>
    <x v="1"/>
    <s v="46809911002003"/>
    <n v="-60.6"/>
    <n v="1489"/>
    <n v="1"/>
    <n v="1"/>
  </r>
  <r>
    <m/>
    <m/>
    <x v="1"/>
    <s v="46819081001002"/>
    <n v="-43.3"/>
    <n v="1064"/>
    <n v="1"/>
    <n v="1"/>
  </r>
  <r>
    <m/>
    <m/>
    <x v="1"/>
    <s v="46834341003003"/>
    <n v="-102.03"/>
    <n v="2507"/>
    <n v="1"/>
    <n v="1"/>
  </r>
  <r>
    <m/>
    <m/>
    <x v="1"/>
    <s v="46847431016001"/>
    <n v="-91.78"/>
    <n v="2255"/>
    <n v="1"/>
    <n v="1"/>
  </r>
  <r>
    <m/>
    <m/>
    <x v="1"/>
    <s v="46853523001007"/>
    <n v="-56.94"/>
    <n v="1399"/>
    <n v="1"/>
    <n v="1"/>
  </r>
  <r>
    <m/>
    <m/>
    <x v="1"/>
    <s v="46867031001004"/>
    <n v="-2.81"/>
    <n v="69"/>
    <n v="1"/>
    <n v="1"/>
  </r>
  <r>
    <m/>
    <m/>
    <x v="1"/>
    <s v="46913740001001"/>
    <n v="-58.49"/>
    <n v="1437"/>
    <n v="1"/>
    <n v="1"/>
  </r>
  <r>
    <m/>
    <m/>
    <x v="1"/>
    <s v="46950191001002"/>
    <n v="-1.38"/>
    <n v="34"/>
    <n v="1"/>
    <n v="1"/>
  </r>
  <r>
    <m/>
    <m/>
    <x v="1"/>
    <s v="46960006001001"/>
    <n v="-90.76"/>
    <n v="2230"/>
    <n v="1"/>
    <n v="1"/>
  </r>
  <r>
    <m/>
    <m/>
    <x v="1"/>
    <s v="46962021001002"/>
    <n v="-26.13"/>
    <n v="642"/>
    <n v="1"/>
    <n v="1"/>
  </r>
  <r>
    <m/>
    <m/>
    <x v="1"/>
    <s v="47056381002002"/>
    <n v="-72.569999999999993"/>
    <n v="1783"/>
    <n v="1"/>
    <n v="1"/>
  </r>
  <r>
    <m/>
    <m/>
    <x v="1"/>
    <s v="47066591001001"/>
    <n v="-32.44"/>
    <n v="797"/>
    <n v="1"/>
    <n v="1"/>
  </r>
  <r>
    <m/>
    <m/>
    <x v="1"/>
    <s v="47070580001001"/>
    <n v="-47.54"/>
    <n v="1168"/>
    <n v="1"/>
    <n v="1"/>
  </r>
  <r>
    <m/>
    <m/>
    <x v="1"/>
    <s v="47117211001001"/>
    <n v="-48.56"/>
    <n v="1193"/>
    <n v="1"/>
    <n v="1"/>
  </r>
  <r>
    <m/>
    <m/>
    <x v="1"/>
    <s v="47138771008005"/>
    <n v="-66.75"/>
    <n v="1640"/>
    <n v="1"/>
    <n v="1"/>
  </r>
  <r>
    <m/>
    <m/>
    <x v="1"/>
    <s v="47152981002001"/>
    <n v="-37.53"/>
    <n v="922"/>
    <n v="1"/>
    <n v="1"/>
  </r>
  <r>
    <m/>
    <m/>
    <x v="1"/>
    <s v="47178760001004"/>
    <n v="-49.65"/>
    <n v="1220"/>
    <n v="1"/>
    <n v="1"/>
  </r>
  <r>
    <m/>
    <m/>
    <x v="1"/>
    <s v="47202611002002"/>
    <n v="-13.31"/>
    <n v="327"/>
    <n v="1"/>
    <n v="1"/>
  </r>
  <r>
    <m/>
    <m/>
    <x v="1"/>
    <s v="47233131004002"/>
    <n v="-84.7"/>
    <n v="2081"/>
    <n v="1"/>
    <n v="1"/>
  </r>
  <r>
    <m/>
    <m/>
    <x v="1"/>
    <s v="47275061002003"/>
    <n v="-28.61"/>
    <n v="703"/>
    <n v="1"/>
    <n v="1"/>
  </r>
  <r>
    <m/>
    <m/>
    <x v="1"/>
    <s v="47309291001002"/>
    <n v="-19.13"/>
    <n v="470"/>
    <n v="1"/>
    <n v="1"/>
  </r>
  <r>
    <m/>
    <m/>
    <x v="1"/>
    <s v="47318111004001"/>
    <n v="-195.12"/>
    <n v="4794"/>
    <n v="1"/>
    <n v="1"/>
  </r>
  <r>
    <m/>
    <m/>
    <x v="1"/>
    <s v="47323291001003"/>
    <n v="-88.81"/>
    <n v="2182"/>
    <n v="1"/>
    <n v="1"/>
  </r>
  <r>
    <m/>
    <m/>
    <x v="1"/>
    <s v="47326848001001"/>
    <n v="-26.74"/>
    <n v="657"/>
    <n v="1"/>
    <n v="1"/>
  </r>
  <r>
    <m/>
    <m/>
    <x v="1"/>
    <s v="47327631001001"/>
    <n v="-75.09"/>
    <n v="1845"/>
    <n v="1"/>
    <n v="1"/>
  </r>
  <r>
    <m/>
    <m/>
    <x v="1"/>
    <s v="47341211003001"/>
    <n v="-43.26"/>
    <n v="1063"/>
    <n v="1"/>
    <n v="1"/>
  </r>
  <r>
    <m/>
    <m/>
    <x v="1"/>
    <s v="47375581005013"/>
    <n v="-64.510000000000005"/>
    <n v="1585"/>
    <n v="1"/>
    <n v="1"/>
  </r>
  <r>
    <m/>
    <m/>
    <x v="1"/>
    <s v="47378451002003"/>
    <n v="-64.75"/>
    <n v="1591"/>
    <n v="1"/>
    <n v="1"/>
  </r>
  <r>
    <m/>
    <m/>
    <x v="1"/>
    <s v="47406521002002"/>
    <n v="-85.23"/>
    <n v="2094"/>
    <n v="1"/>
    <n v="1"/>
  </r>
  <r>
    <m/>
    <m/>
    <x v="1"/>
    <s v="47425421003001"/>
    <n v="-61.7"/>
    <n v="1516"/>
    <n v="1"/>
    <n v="1"/>
  </r>
  <r>
    <m/>
    <m/>
    <x v="1"/>
    <s v="47463011003001"/>
    <n v="-87.71"/>
    <n v="2155"/>
    <n v="1"/>
    <n v="1"/>
  </r>
  <r>
    <m/>
    <m/>
    <x v="1"/>
    <s v="47596151001005"/>
    <n v="-36.71"/>
    <n v="902"/>
    <n v="1"/>
    <n v="1"/>
  </r>
  <r>
    <m/>
    <m/>
    <x v="1"/>
    <s v="47602655001004"/>
    <n v="-4.68"/>
    <n v="115"/>
    <n v="1"/>
    <n v="1"/>
  </r>
  <r>
    <m/>
    <m/>
    <x v="1"/>
    <s v="47619881001001"/>
    <n v="-17.34"/>
    <n v="426"/>
    <n v="1"/>
    <n v="1"/>
  </r>
  <r>
    <m/>
    <m/>
    <x v="1"/>
    <s v="47760721004001"/>
    <n v="-46.28"/>
    <n v="1137"/>
    <n v="1"/>
    <n v="1"/>
  </r>
  <r>
    <m/>
    <m/>
    <x v="1"/>
    <s v="47762681005001"/>
    <n v="-37.65"/>
    <n v="925"/>
    <n v="1"/>
    <n v="1"/>
  </r>
  <r>
    <m/>
    <m/>
    <x v="1"/>
    <s v="47764921003003"/>
    <n v="-138.54"/>
    <n v="3404"/>
    <n v="1"/>
    <n v="1"/>
  </r>
  <r>
    <m/>
    <m/>
    <x v="1"/>
    <s v="47778151001004"/>
    <n v="-149.16999999999999"/>
    <n v="3665"/>
    <n v="1"/>
    <n v="1"/>
  </r>
  <r>
    <m/>
    <m/>
    <x v="1"/>
    <s v="47839821001002"/>
    <n v="-55.8"/>
    <n v="1371"/>
    <n v="1"/>
    <n v="1"/>
  </r>
  <r>
    <m/>
    <m/>
    <x v="1"/>
    <s v="47842341003001"/>
    <n v="-32.32"/>
    <n v="794"/>
    <n v="1"/>
    <n v="1"/>
  </r>
  <r>
    <m/>
    <m/>
    <x v="1"/>
    <s v="47874432001002"/>
    <n v="-115.06"/>
    <n v="2827"/>
    <n v="1"/>
    <n v="1"/>
  </r>
  <r>
    <m/>
    <m/>
    <x v="1"/>
    <s v="47874541005001"/>
    <n v="-62.15"/>
    <n v="1527"/>
    <n v="1"/>
    <n v="1"/>
  </r>
  <r>
    <m/>
    <m/>
    <x v="1"/>
    <s v="47875639001001"/>
    <n v="-27.19"/>
    <n v="668"/>
    <n v="1"/>
    <n v="1"/>
  </r>
  <r>
    <m/>
    <m/>
    <x v="1"/>
    <s v="47907161002001"/>
    <n v="-104.23"/>
    <n v="2561"/>
    <n v="1"/>
    <n v="1"/>
  </r>
  <r>
    <m/>
    <m/>
    <x v="1"/>
    <s v="47912897001001"/>
    <n v="-11.36"/>
    <n v="279"/>
    <n v="1"/>
    <n v="1"/>
  </r>
  <r>
    <m/>
    <m/>
    <x v="1"/>
    <s v="47951681001003"/>
    <n v="-54.17"/>
    <n v="1331"/>
    <n v="1"/>
    <n v="1"/>
  </r>
  <r>
    <m/>
    <m/>
    <x v="1"/>
    <s v="47958961001001"/>
    <n v="-42.61"/>
    <n v="1047"/>
    <n v="1"/>
    <n v="1"/>
  </r>
  <r>
    <m/>
    <m/>
    <x v="1"/>
    <s v="47967683001019"/>
    <n v="-54.9"/>
    <n v="1349"/>
    <n v="1"/>
    <n v="1"/>
  </r>
  <r>
    <m/>
    <m/>
    <x v="1"/>
    <s v="47976321005002"/>
    <n v="-22.26"/>
    <n v="547"/>
    <n v="1"/>
    <n v="1"/>
  </r>
  <r>
    <m/>
    <m/>
    <x v="1"/>
    <s v="48023920001005"/>
    <n v="-56.49"/>
    <n v="1388"/>
    <n v="1"/>
    <n v="1"/>
  </r>
  <r>
    <m/>
    <m/>
    <x v="1"/>
    <s v="48037431004001"/>
    <n v="-155.27000000000001"/>
    <n v="3815"/>
    <n v="1"/>
    <n v="1"/>
  </r>
  <r>
    <m/>
    <m/>
    <x v="1"/>
    <s v="48065577001005"/>
    <n v="-48.68"/>
    <n v="1196"/>
    <n v="1"/>
    <n v="1"/>
  </r>
  <r>
    <m/>
    <m/>
    <x v="1"/>
    <s v="48076533001001"/>
    <n v="-82.66"/>
    <n v="2031"/>
    <n v="1"/>
    <n v="1"/>
  </r>
  <r>
    <m/>
    <m/>
    <x v="1"/>
    <s v="48085381001001"/>
    <n v="-22.18"/>
    <n v="545"/>
    <n v="1"/>
    <n v="1"/>
  </r>
  <r>
    <m/>
    <m/>
    <x v="1"/>
    <s v="48098490001001"/>
    <n v="-85.8"/>
    <n v="2108"/>
    <n v="1"/>
    <n v="1"/>
  </r>
  <r>
    <m/>
    <m/>
    <x v="1"/>
    <s v="48121641002006"/>
    <n v="-91.13"/>
    <n v="2239"/>
    <n v="1"/>
    <n v="1"/>
  </r>
  <r>
    <m/>
    <m/>
    <x v="1"/>
    <s v="48223631014001"/>
    <n v="-83.88"/>
    <n v="2061"/>
    <n v="1"/>
    <n v="1"/>
  </r>
  <r>
    <m/>
    <m/>
    <x v="1"/>
    <s v="48354461005003"/>
    <n v="-58.28"/>
    <n v="1432"/>
    <n v="1"/>
    <n v="1"/>
  </r>
  <r>
    <m/>
    <m/>
    <x v="1"/>
    <s v="48367273001004"/>
    <n v="-20.02"/>
    <n v="492"/>
    <n v="1"/>
    <n v="1"/>
  </r>
  <r>
    <m/>
    <m/>
    <x v="1"/>
    <s v="48440642001003"/>
    <n v="-14.04"/>
    <n v="345"/>
    <n v="1"/>
    <n v="1"/>
  </r>
  <r>
    <m/>
    <m/>
    <x v="1"/>
    <s v="48464378001001"/>
    <n v="-31.58"/>
    <n v="776"/>
    <n v="1"/>
    <n v="1"/>
  </r>
  <r>
    <m/>
    <m/>
    <x v="1"/>
    <s v="48540064005001"/>
    <n v="-74.44"/>
    <n v="1829"/>
    <n v="1"/>
    <n v="1"/>
  </r>
  <r>
    <m/>
    <m/>
    <x v="1"/>
    <s v="48704876001001"/>
    <n v="-60.32"/>
    <n v="1482"/>
    <n v="1"/>
    <n v="1"/>
  </r>
  <r>
    <m/>
    <m/>
    <x v="1"/>
    <s v="48751742001006"/>
    <n v="-36.71"/>
    <n v="902"/>
    <n v="1"/>
    <n v="1"/>
  </r>
  <r>
    <m/>
    <m/>
    <x v="1"/>
    <s v="48753629001003"/>
    <n v="-22.18"/>
    <n v="545"/>
    <n v="1"/>
    <n v="1"/>
  </r>
  <r>
    <m/>
    <m/>
    <x v="1"/>
    <s v="48782921001002"/>
    <n v="-7.24"/>
    <n v="178"/>
    <n v="1"/>
    <n v="1"/>
  </r>
  <r>
    <m/>
    <m/>
    <x v="1"/>
    <s v="48798510001003"/>
    <n v="-82.82"/>
    <n v="2035"/>
    <n v="1"/>
    <n v="1"/>
  </r>
  <r>
    <m/>
    <m/>
    <x v="1"/>
    <s v="48845721001001"/>
    <n v="-40.619999999999997"/>
    <n v="998"/>
    <n v="1"/>
    <n v="1"/>
  </r>
  <r>
    <m/>
    <m/>
    <x v="1"/>
    <s v="48852009003001"/>
    <n v="-80.59"/>
    <n v="1980"/>
    <n v="1"/>
    <n v="1"/>
  </r>
  <r>
    <m/>
    <m/>
    <x v="1"/>
    <s v="48867586002005"/>
    <n v="-57.35"/>
    <n v="1409"/>
    <n v="1"/>
    <n v="1"/>
  </r>
  <r>
    <m/>
    <m/>
    <x v="1"/>
    <s v="48930701001003"/>
    <n v="-39.6"/>
    <n v="973"/>
    <n v="1"/>
    <n v="1"/>
  </r>
  <r>
    <m/>
    <m/>
    <x v="1"/>
    <s v="48934411003001"/>
    <n v="-15.59"/>
    <n v="383"/>
    <n v="2"/>
    <n v="1"/>
  </r>
  <r>
    <m/>
    <m/>
    <x v="1"/>
    <s v="48972001002006"/>
    <n v="-11.07"/>
    <n v="272"/>
    <n v="1"/>
    <n v="1"/>
  </r>
  <r>
    <m/>
    <m/>
    <x v="1"/>
    <s v="48996360001005"/>
    <n v="-68.42"/>
    <n v="1681"/>
    <n v="1"/>
    <n v="1"/>
  </r>
  <r>
    <m/>
    <m/>
    <x v="1"/>
    <s v="49050157001001"/>
    <n v="-56.25"/>
    <n v="1382"/>
    <n v="1"/>
    <n v="1"/>
  </r>
  <r>
    <m/>
    <m/>
    <x v="1"/>
    <s v="49200673001001"/>
    <n v="-28.37"/>
    <n v="697"/>
    <n v="1"/>
    <n v="1"/>
  </r>
  <r>
    <m/>
    <m/>
    <x v="1"/>
    <s v="49301351007003"/>
    <n v="-34.72"/>
    <n v="853"/>
    <n v="1"/>
    <n v="1"/>
  </r>
  <r>
    <m/>
    <m/>
    <x v="1"/>
    <s v="49305498001003"/>
    <n v="-45.95"/>
    <n v="1129"/>
    <n v="1"/>
    <n v="1"/>
  </r>
  <r>
    <m/>
    <m/>
    <x v="1"/>
    <s v="49325151001002"/>
    <n v="-44.69"/>
    <n v="1098"/>
    <n v="1"/>
    <n v="1"/>
  </r>
  <r>
    <m/>
    <m/>
    <x v="1"/>
    <s v="49341111002001"/>
    <n v="-53.64"/>
    <n v="1318"/>
    <n v="1"/>
    <n v="1"/>
  </r>
  <r>
    <m/>
    <m/>
    <x v="1"/>
    <s v="49394025001001"/>
    <n v="-19.05"/>
    <n v="468"/>
    <n v="1"/>
    <n v="1"/>
  </r>
  <r>
    <m/>
    <m/>
    <x v="1"/>
    <s v="49472851001001"/>
    <n v="-30.08"/>
    <n v="739"/>
    <n v="1"/>
    <n v="1"/>
  </r>
  <r>
    <m/>
    <m/>
    <x v="1"/>
    <s v="49538441006001"/>
    <n v="-116.56"/>
    <n v="2864"/>
    <n v="1"/>
    <n v="1"/>
  </r>
  <r>
    <m/>
    <m/>
    <x v="1"/>
    <s v="49558741001001"/>
    <n v="-16.77"/>
    <n v="412"/>
    <n v="1"/>
    <n v="1"/>
  </r>
  <r>
    <m/>
    <m/>
    <x v="1"/>
    <s v="49568961002001"/>
    <n v="-151.77000000000001"/>
    <n v="3729"/>
    <n v="1"/>
    <n v="1"/>
  </r>
  <r>
    <m/>
    <m/>
    <x v="1"/>
    <s v="49574631001007"/>
    <n v="-68.66"/>
    <n v="1687"/>
    <n v="1"/>
    <n v="1"/>
  </r>
  <r>
    <m/>
    <m/>
    <x v="1"/>
    <s v="49576941007001"/>
    <n v="-19.86"/>
    <n v="488"/>
    <n v="1"/>
    <n v="1"/>
  </r>
  <r>
    <m/>
    <m/>
    <x v="1"/>
    <s v="49581965001001"/>
    <n v="-52.26"/>
    <n v="1284"/>
    <n v="1"/>
    <n v="1"/>
  </r>
  <r>
    <m/>
    <m/>
    <x v="1"/>
    <s v="49590101003001"/>
    <n v="-83.48"/>
    <n v="2051"/>
    <n v="1"/>
    <n v="1"/>
  </r>
  <r>
    <m/>
    <m/>
    <x v="1"/>
    <s v="49602561001001"/>
    <n v="-63.65"/>
    <n v="1564"/>
    <n v="1"/>
    <n v="1"/>
  </r>
  <r>
    <m/>
    <m/>
    <x v="1"/>
    <s v="49606271002004"/>
    <n v="-65.239999999999995"/>
    <n v="1603"/>
    <n v="1"/>
    <n v="1"/>
  </r>
  <r>
    <m/>
    <m/>
    <x v="1"/>
    <s v="49608231003009"/>
    <n v="-100.49"/>
    <n v="2469"/>
    <n v="1"/>
    <n v="1"/>
  </r>
  <r>
    <m/>
    <m/>
    <x v="1"/>
    <s v="49616351002001"/>
    <n v="-84.94"/>
    <n v="2087"/>
    <n v="1"/>
    <n v="1"/>
  </r>
  <r>
    <m/>
    <m/>
    <x v="1"/>
    <s v="49632381001008"/>
    <n v="-69.56"/>
    <n v="1709"/>
    <n v="1"/>
    <n v="1"/>
  </r>
  <r>
    <m/>
    <m/>
    <x v="1"/>
    <s v="49656951001001"/>
    <n v="-78.510000000000005"/>
    <n v="1929"/>
    <n v="1"/>
    <n v="1"/>
  </r>
  <r>
    <m/>
    <m/>
    <x v="1"/>
    <s v="49686351001004"/>
    <n v="-74.03"/>
    <n v="1819"/>
    <n v="1"/>
    <n v="1"/>
  </r>
  <r>
    <m/>
    <m/>
    <x v="1"/>
    <s v="49705601001006"/>
    <n v="-68.09"/>
    <n v="1673"/>
    <n v="1"/>
    <n v="1"/>
  </r>
  <r>
    <m/>
    <m/>
    <x v="1"/>
    <s v="49731501002003"/>
    <n v="-91.13"/>
    <n v="2239"/>
    <n v="1"/>
    <n v="1"/>
  </r>
  <r>
    <m/>
    <m/>
    <x v="1"/>
    <s v="49735399001001"/>
    <n v="-22.63"/>
    <n v="556"/>
    <n v="1"/>
    <n v="1"/>
  </r>
  <r>
    <m/>
    <m/>
    <x v="1"/>
    <s v="49767991001002"/>
    <n v="-63.82"/>
    <n v="1568"/>
    <n v="1"/>
    <n v="1"/>
  </r>
  <r>
    <m/>
    <m/>
    <x v="1"/>
    <s v="49827555001001"/>
    <n v="-3.7"/>
    <n v="91"/>
    <n v="1"/>
    <n v="1"/>
  </r>
  <r>
    <m/>
    <m/>
    <x v="1"/>
    <s v="49828031002004"/>
    <n v="-96.78"/>
    <n v="2378"/>
    <n v="1"/>
    <n v="1"/>
  </r>
  <r>
    <m/>
    <m/>
    <x v="1"/>
    <s v="49876891004001"/>
    <n v="-76.8"/>
    <n v="1887"/>
    <n v="1"/>
    <n v="1"/>
  </r>
  <r>
    <m/>
    <m/>
    <x v="1"/>
    <s v="49922671001002"/>
    <n v="-117.7"/>
    <n v="2892"/>
    <n v="1"/>
    <n v="1"/>
  </r>
  <r>
    <m/>
    <m/>
    <x v="1"/>
    <s v="49948361001002"/>
    <n v="-65.69"/>
    <n v="1614"/>
    <n v="1"/>
    <n v="1"/>
  </r>
  <r>
    <m/>
    <m/>
    <x v="1"/>
    <s v="49953330001004"/>
    <n v="-22.79"/>
    <n v="560"/>
    <n v="1"/>
    <n v="1"/>
  </r>
  <r>
    <m/>
    <m/>
    <x v="1"/>
    <s v="49959841001001"/>
    <n v="-193"/>
    <n v="4742"/>
    <n v="1"/>
    <n v="1"/>
  </r>
  <r>
    <m/>
    <m/>
    <x v="1"/>
    <s v="49996634002003"/>
    <n v="-23.16"/>
    <n v="569"/>
    <n v="1"/>
    <n v="1"/>
  </r>
  <r>
    <m/>
    <m/>
    <x v="1"/>
    <s v="50011086001001"/>
    <n v="-30.04"/>
    <n v="738"/>
    <n v="1"/>
    <n v="1"/>
  </r>
  <r>
    <m/>
    <m/>
    <x v="1"/>
    <s v="50012621002003"/>
    <n v="-55.03"/>
    <n v="1352"/>
    <n v="1"/>
    <n v="1"/>
  </r>
  <r>
    <m/>
    <m/>
    <x v="1"/>
    <s v="50027260001005"/>
    <n v="-88.52"/>
    <n v="2175"/>
    <n v="1"/>
    <n v="1"/>
  </r>
  <r>
    <m/>
    <m/>
    <x v="1"/>
    <s v="50047513001001"/>
    <n v="-58.08"/>
    <n v="1427"/>
    <n v="1"/>
    <n v="1"/>
  </r>
  <r>
    <m/>
    <m/>
    <x v="1"/>
    <s v="50062111001001"/>
    <n v="-89.54"/>
    <n v="2200"/>
    <n v="1"/>
    <n v="1"/>
  </r>
  <r>
    <m/>
    <m/>
    <x v="1"/>
    <s v="50125531002001"/>
    <n v="-20.84"/>
    <n v="512"/>
    <n v="1"/>
    <n v="1"/>
  </r>
  <r>
    <m/>
    <m/>
    <x v="1"/>
    <s v="50146181002001"/>
    <n v="-63.49"/>
    <n v="1560"/>
    <n v="1"/>
    <n v="1"/>
  </r>
  <r>
    <m/>
    <m/>
    <x v="1"/>
    <s v="50175157001006"/>
    <n v="-3.7"/>
    <n v="91"/>
    <n v="1"/>
    <n v="1"/>
  </r>
  <r>
    <m/>
    <m/>
    <x v="1"/>
    <s v="50179851002003"/>
    <n v="-81.44"/>
    <n v="2001"/>
    <n v="1"/>
    <n v="1"/>
  </r>
  <r>
    <m/>
    <m/>
    <x v="1"/>
    <s v="50180049001002"/>
    <n v="-71.099999999999994"/>
    <n v="1747"/>
    <n v="1"/>
    <n v="1"/>
  </r>
  <r>
    <m/>
    <m/>
    <x v="1"/>
    <s v="50191609001002"/>
    <n v="-24.18"/>
    <n v="594"/>
    <n v="1"/>
    <n v="1"/>
  </r>
  <r>
    <m/>
    <m/>
    <x v="1"/>
    <s v="50245081001005"/>
    <n v="-79.41"/>
    <n v="1951"/>
    <n v="1"/>
    <n v="1"/>
  </r>
  <r>
    <m/>
    <m/>
    <x v="1"/>
    <s v="50254821001001"/>
    <n v="-118.07"/>
    <n v="2901"/>
    <n v="1"/>
    <n v="1"/>
  </r>
  <r>
    <m/>
    <m/>
    <x v="1"/>
    <s v="50271551003001"/>
    <n v="-56.17"/>
    <n v="1380"/>
    <n v="1"/>
    <n v="1"/>
  </r>
  <r>
    <m/>
    <m/>
    <x v="1"/>
    <s v="50306876001004"/>
    <n v="-50.88"/>
    <n v="1250"/>
    <n v="1"/>
    <n v="1"/>
  </r>
  <r>
    <m/>
    <m/>
    <x v="1"/>
    <s v="50340550001005"/>
    <n v="-35"/>
    <n v="860"/>
    <n v="1"/>
    <n v="1"/>
  </r>
  <r>
    <m/>
    <m/>
    <x v="1"/>
    <s v="50409381003001"/>
    <n v="-15.63"/>
    <n v="384"/>
    <n v="1"/>
    <n v="1"/>
  </r>
  <r>
    <m/>
    <m/>
    <x v="1"/>
    <s v="50455091002001"/>
    <n v="-58.08"/>
    <n v="1427"/>
    <n v="1"/>
    <n v="1"/>
  </r>
  <r>
    <m/>
    <m/>
    <x v="1"/>
    <s v="50472322001001"/>
    <n v="-81.52"/>
    <n v="2003"/>
    <n v="1"/>
    <n v="1"/>
  </r>
  <r>
    <m/>
    <m/>
    <x v="1"/>
    <s v="50577986002006"/>
    <n v="-72.53"/>
    <n v="1782"/>
    <n v="1"/>
    <n v="1"/>
  </r>
  <r>
    <m/>
    <m/>
    <x v="1"/>
    <s v="50583810001001"/>
    <n v="-108.95"/>
    <n v="2677"/>
    <n v="1"/>
    <n v="1"/>
  </r>
  <r>
    <m/>
    <m/>
    <x v="1"/>
    <s v="50584521001002"/>
    <n v="-22.95"/>
    <n v="564"/>
    <n v="1"/>
    <n v="1"/>
  </r>
  <r>
    <m/>
    <m/>
    <x v="1"/>
    <s v="50632541001006"/>
    <n v="-19.329999999999998"/>
    <n v="475"/>
    <n v="1"/>
    <n v="1"/>
  </r>
  <r>
    <m/>
    <m/>
    <x v="1"/>
    <s v="50718011001001"/>
    <n v="-113.76"/>
    <n v="2795"/>
    <n v="1"/>
    <n v="1"/>
  </r>
  <r>
    <m/>
    <m/>
    <x v="1"/>
    <s v="50741531001002"/>
    <n v="-55.6"/>
    <n v="1366"/>
    <n v="1"/>
    <n v="1"/>
  </r>
  <r>
    <m/>
    <m/>
    <x v="1"/>
    <s v="50742301001008"/>
    <n v="-58.85"/>
    <n v="1446"/>
    <n v="1"/>
    <n v="1"/>
  </r>
  <r>
    <m/>
    <m/>
    <x v="1"/>
    <s v="50750548001001"/>
    <n v="-63.94"/>
    <n v="1571"/>
    <n v="1"/>
    <n v="1"/>
  </r>
  <r>
    <m/>
    <m/>
    <x v="1"/>
    <s v="50754012001003"/>
    <n v="-18.36"/>
    <n v="451"/>
    <n v="1"/>
    <n v="1"/>
  </r>
  <r>
    <m/>
    <m/>
    <x v="1"/>
    <s v="50756231001002"/>
    <n v="-20.59"/>
    <n v="506"/>
    <n v="1"/>
    <n v="1"/>
  </r>
  <r>
    <m/>
    <m/>
    <x v="1"/>
    <s v="50756301002009"/>
    <n v="-162.80000000000001"/>
    <n v="4000"/>
    <n v="1"/>
    <n v="1"/>
  </r>
  <r>
    <m/>
    <m/>
    <x v="1"/>
    <s v="50757351002006"/>
    <n v="-58.73"/>
    <n v="1443"/>
    <n v="1"/>
    <n v="1"/>
  </r>
  <r>
    <m/>
    <m/>
    <x v="1"/>
    <s v="50783321001003"/>
    <n v="-88.48"/>
    <n v="2174"/>
    <n v="1"/>
    <n v="1"/>
  </r>
  <r>
    <m/>
    <m/>
    <x v="1"/>
    <s v="50791371001002"/>
    <n v="-50.75"/>
    <n v="1247"/>
    <n v="1"/>
    <n v="1"/>
  </r>
  <r>
    <m/>
    <m/>
    <x v="1"/>
    <s v="50791861001001"/>
    <n v="-87.55"/>
    <n v="2151"/>
    <n v="1"/>
    <n v="1"/>
  </r>
  <r>
    <m/>
    <m/>
    <x v="1"/>
    <s v="50801451001001"/>
    <n v="-42.21"/>
    <n v="1037"/>
    <n v="1"/>
    <n v="1"/>
  </r>
  <r>
    <m/>
    <m/>
    <x v="1"/>
    <s v="50809571001001"/>
    <n v="-50.39"/>
    <n v="1238"/>
    <n v="1"/>
    <n v="1"/>
  </r>
  <r>
    <m/>
    <m/>
    <x v="1"/>
    <s v="50813001003001"/>
    <n v="-90.72"/>
    <n v="2229"/>
    <n v="1"/>
    <n v="1"/>
  </r>
  <r>
    <m/>
    <m/>
    <x v="1"/>
    <s v="50823431001001"/>
    <n v="-55.76"/>
    <n v="1370"/>
    <n v="1"/>
    <n v="1"/>
  </r>
  <r>
    <m/>
    <m/>
    <x v="1"/>
    <s v="50825051001003"/>
    <n v="-12.62"/>
    <n v="310"/>
    <n v="1"/>
    <n v="1"/>
  </r>
  <r>
    <m/>
    <m/>
    <x v="1"/>
    <s v="50825051001005"/>
    <n v="-96.5"/>
    <n v="2371"/>
    <n v="1"/>
    <n v="1"/>
  </r>
  <r>
    <m/>
    <m/>
    <x v="1"/>
    <s v="50830011002001"/>
    <n v="-5.94"/>
    <n v="146"/>
    <n v="1"/>
    <n v="1"/>
  </r>
  <r>
    <m/>
    <m/>
    <x v="1"/>
    <s v="50873620001001"/>
    <n v="-113.11"/>
    <n v="2779"/>
    <n v="1"/>
    <n v="1"/>
  </r>
  <r>
    <m/>
    <m/>
    <x v="1"/>
    <s v="50980301002006"/>
    <n v="-64.959999999999994"/>
    <n v="1596"/>
    <n v="1"/>
    <n v="1"/>
  </r>
  <r>
    <m/>
    <m/>
    <x v="1"/>
    <s v="50987091001012"/>
    <n v="-88.56"/>
    <n v="2176"/>
    <n v="1"/>
    <n v="1"/>
  </r>
  <r>
    <m/>
    <m/>
    <x v="1"/>
    <s v="50997031001001"/>
    <n v="-1.75"/>
    <n v="43"/>
    <n v="1"/>
    <n v="1"/>
  </r>
  <r>
    <m/>
    <m/>
    <x v="1"/>
    <s v="51001301006001"/>
    <n v="-40.700000000000003"/>
    <n v="1000"/>
    <n v="1"/>
    <n v="1"/>
  </r>
  <r>
    <m/>
    <m/>
    <x v="1"/>
    <s v="51011101001001"/>
    <n v="-57.39"/>
    <n v="1410"/>
    <n v="1"/>
    <n v="1"/>
  </r>
  <r>
    <m/>
    <m/>
    <x v="1"/>
    <s v="51014181003001"/>
    <n v="-97.27"/>
    <n v="2390"/>
    <n v="1"/>
    <n v="1"/>
  </r>
  <r>
    <m/>
    <m/>
    <x v="1"/>
    <s v="51021905005001"/>
    <n v="-67.64"/>
    <n v="1662"/>
    <n v="1"/>
    <n v="1"/>
  </r>
  <r>
    <m/>
    <m/>
    <x v="1"/>
    <s v="51027691001003"/>
    <n v="-62.07"/>
    <n v="1525"/>
    <n v="1"/>
    <n v="1"/>
  </r>
  <r>
    <m/>
    <m/>
    <x v="1"/>
    <s v="51033711001004"/>
    <n v="-70.66"/>
    <n v="1736"/>
    <n v="1"/>
    <n v="1"/>
  </r>
  <r>
    <m/>
    <m/>
    <x v="1"/>
    <s v="51040151001001"/>
    <n v="-35.729999999999997"/>
    <n v="878"/>
    <n v="1"/>
    <n v="1"/>
  </r>
  <r>
    <m/>
    <m/>
    <x v="1"/>
    <s v="51046801003005"/>
    <n v="-5.49"/>
    <n v="135"/>
    <n v="1"/>
    <n v="1"/>
  </r>
  <r>
    <m/>
    <m/>
    <x v="1"/>
    <s v="51047991002005"/>
    <n v="-19.899999999999999"/>
    <n v="489"/>
    <n v="1"/>
    <n v="1"/>
  </r>
  <r>
    <m/>
    <m/>
    <x v="1"/>
    <s v="51048061001001"/>
    <n v="-6.84"/>
    <n v="168"/>
    <n v="1"/>
    <n v="1"/>
  </r>
  <r>
    <m/>
    <m/>
    <x v="1"/>
    <s v="51048201005001"/>
    <n v="-82.54"/>
    <n v="2028"/>
    <n v="1"/>
    <n v="1"/>
  </r>
  <r>
    <m/>
    <m/>
    <x v="1"/>
    <s v="51051935001001"/>
    <n v="-49.04"/>
    <n v="1205"/>
    <n v="1"/>
    <n v="1"/>
  </r>
  <r>
    <m/>
    <m/>
    <x v="1"/>
    <s v="51053381001002"/>
    <n v="-10.38"/>
    <n v="255"/>
    <n v="1"/>
    <n v="1"/>
  </r>
  <r>
    <m/>
    <m/>
    <x v="1"/>
    <s v="51057441001003"/>
    <n v="-83.15"/>
    <n v="2043"/>
    <n v="1"/>
    <n v="1"/>
  </r>
  <r>
    <m/>
    <m/>
    <x v="1"/>
    <s v="51060871001002"/>
    <n v="-33.090000000000003"/>
    <n v="813"/>
    <n v="1"/>
    <n v="1"/>
  </r>
  <r>
    <m/>
    <m/>
    <x v="1"/>
    <s v="51068361001002"/>
    <n v="-50.71"/>
    <n v="1246"/>
    <n v="1"/>
    <n v="1"/>
  </r>
  <r>
    <m/>
    <m/>
    <x v="1"/>
    <s v="51072211003001"/>
    <n v="-178.14"/>
    <n v="4377"/>
    <n v="1"/>
    <n v="1"/>
  </r>
  <r>
    <m/>
    <m/>
    <x v="1"/>
    <s v="51073821001002"/>
    <n v="-50.75"/>
    <n v="1247"/>
    <n v="1"/>
    <n v="1"/>
  </r>
  <r>
    <m/>
    <m/>
    <x v="1"/>
    <s v="51081101001005"/>
    <n v="-28.77"/>
    <n v="707"/>
    <n v="1"/>
    <n v="1"/>
  </r>
  <r>
    <m/>
    <m/>
    <x v="1"/>
    <s v="51084811002002"/>
    <n v="-78.59"/>
    <n v="1931"/>
    <n v="1"/>
    <n v="1"/>
  </r>
  <r>
    <m/>
    <m/>
    <x v="1"/>
    <s v="51103431001002"/>
    <n v="-38.99"/>
    <n v="958"/>
    <n v="1"/>
    <n v="1"/>
  </r>
  <r>
    <m/>
    <m/>
    <x v="1"/>
    <s v="51114491001004"/>
    <n v="-10.62"/>
    <n v="261"/>
    <n v="1"/>
    <n v="1"/>
  </r>
  <r>
    <m/>
    <m/>
    <x v="1"/>
    <s v="51114841002001"/>
    <n v="-77.13"/>
    <n v="1895"/>
    <n v="1"/>
    <n v="1"/>
  </r>
  <r>
    <m/>
    <m/>
    <x v="1"/>
    <s v="51125341001001"/>
    <n v="-6.31"/>
    <n v="155"/>
    <n v="1"/>
    <n v="1"/>
  </r>
  <r>
    <m/>
    <m/>
    <x v="1"/>
    <s v="51126321002003"/>
    <n v="-3.91"/>
    <n v="96"/>
    <n v="1"/>
    <n v="1"/>
  </r>
  <r>
    <m/>
    <m/>
    <x v="1"/>
    <s v="51126391001001"/>
    <n v="-54.58"/>
    <n v="1341"/>
    <n v="1"/>
    <n v="1"/>
  </r>
  <r>
    <m/>
    <m/>
    <x v="1"/>
    <s v="51130801001001"/>
    <n v="-81.28"/>
    <n v="1997"/>
    <n v="1"/>
    <n v="1"/>
  </r>
  <r>
    <m/>
    <m/>
    <x v="1"/>
    <s v="51138081002001"/>
    <n v="-92.76"/>
    <n v="2279"/>
    <n v="1"/>
    <n v="1"/>
  </r>
  <r>
    <m/>
    <m/>
    <x v="1"/>
    <s v="51139481001001"/>
    <n v="-85.27"/>
    <n v="2095"/>
    <n v="1"/>
    <n v="1"/>
  </r>
  <r>
    <m/>
    <m/>
    <x v="1"/>
    <s v="51140951005005"/>
    <n v="-90.07"/>
    <n v="2213"/>
    <n v="1"/>
    <n v="1"/>
  </r>
  <r>
    <m/>
    <m/>
    <x v="1"/>
    <s v="51163211002005"/>
    <n v="-90.76"/>
    <n v="2230"/>
    <n v="1"/>
    <n v="1"/>
  </r>
  <r>
    <m/>
    <m/>
    <x v="1"/>
    <s v="51163561001003"/>
    <n v="-55.19"/>
    <n v="1356"/>
    <n v="1"/>
    <n v="1"/>
  </r>
  <r>
    <m/>
    <m/>
    <x v="1"/>
    <s v="51164261005001"/>
    <n v="-75.09"/>
    <n v="1845"/>
    <n v="1"/>
    <n v="1"/>
  </r>
  <r>
    <m/>
    <m/>
    <x v="1"/>
    <s v="51165241001003"/>
    <n v="-14.45"/>
    <n v="355"/>
    <n v="1"/>
    <n v="1"/>
  </r>
  <r>
    <m/>
    <m/>
    <x v="1"/>
    <s v="51165871003001"/>
    <n v="-70.78"/>
    <n v="1739"/>
    <n v="1"/>
    <n v="1"/>
  </r>
  <r>
    <m/>
    <m/>
    <x v="1"/>
    <s v="51165941001001"/>
    <n v="-56.94"/>
    <n v="1399"/>
    <n v="1"/>
    <n v="1"/>
  </r>
  <r>
    <m/>
    <m/>
    <x v="1"/>
    <s v="51172913001002"/>
    <n v="-109.56"/>
    <n v="2692"/>
    <n v="1"/>
    <n v="1"/>
  </r>
  <r>
    <m/>
    <m/>
    <x v="1"/>
    <s v="51174276001001"/>
    <n v="-29.26"/>
    <n v="719"/>
    <n v="1"/>
    <n v="1"/>
  </r>
  <r>
    <m/>
    <m/>
    <x v="1"/>
    <s v="51180361001001"/>
    <n v="-1.79"/>
    <n v="44"/>
    <n v="1"/>
    <n v="1"/>
  </r>
  <r>
    <m/>
    <m/>
    <x v="1"/>
    <s v="51184281006001"/>
    <n v="-70"/>
    <n v="1720"/>
    <n v="1"/>
    <n v="1"/>
  </r>
  <r>
    <m/>
    <m/>
    <x v="1"/>
    <s v="51185891001001"/>
    <n v="-0.53"/>
    <n v="13"/>
    <n v="1"/>
    <n v="1"/>
  </r>
  <r>
    <m/>
    <m/>
    <x v="1"/>
    <s v="51187711001001"/>
    <n v="-47.01"/>
    <n v="1155"/>
    <n v="1"/>
    <n v="1"/>
  </r>
  <r>
    <m/>
    <m/>
    <x v="1"/>
    <s v="51194991001002"/>
    <n v="-78.02"/>
    <n v="1917"/>
    <n v="1"/>
    <n v="1"/>
  </r>
  <r>
    <m/>
    <m/>
    <x v="1"/>
    <s v="51201221014001"/>
    <n v="-70.94"/>
    <n v="1743"/>
    <n v="1"/>
    <n v="1"/>
  </r>
  <r>
    <m/>
    <m/>
    <x v="1"/>
    <s v="51206821003009"/>
    <n v="-101.71"/>
    <n v="2499"/>
    <n v="1"/>
    <n v="1"/>
  </r>
  <r>
    <m/>
    <m/>
    <x v="1"/>
    <s v="51208991001001"/>
    <n v="-33.25"/>
    <n v="817"/>
    <n v="1"/>
    <n v="1"/>
  </r>
  <r>
    <m/>
    <m/>
    <x v="1"/>
    <s v="51221801001005"/>
    <n v="-47.62"/>
    <n v="1170"/>
    <n v="1"/>
    <n v="1"/>
  </r>
  <r>
    <m/>
    <m/>
    <x v="1"/>
    <s v="51225161002001"/>
    <n v="-53.68"/>
    <n v="1319"/>
    <n v="1"/>
    <n v="1"/>
  </r>
  <r>
    <m/>
    <m/>
    <x v="1"/>
    <s v="51230131007001"/>
    <n v="-19.66"/>
    <n v="483"/>
    <n v="1"/>
    <n v="1"/>
  </r>
  <r>
    <m/>
    <m/>
    <x v="1"/>
    <s v="51237341002006"/>
    <n v="-72"/>
    <n v="1769"/>
    <n v="1"/>
    <n v="1"/>
  </r>
  <r>
    <m/>
    <m/>
    <x v="1"/>
    <s v="51309651001001"/>
    <n v="-64.67"/>
    <n v="1589"/>
    <n v="1"/>
    <n v="1"/>
  </r>
  <r>
    <m/>
    <m/>
    <x v="1"/>
    <s v="51309721001001"/>
    <n v="-146.76"/>
    <n v="3606"/>
    <n v="1"/>
    <n v="1"/>
  </r>
  <r>
    <m/>
    <m/>
    <x v="1"/>
    <s v="51318751001001"/>
    <n v="-58.32"/>
    <n v="1433"/>
    <n v="1"/>
    <n v="1"/>
  </r>
  <r>
    <m/>
    <m/>
    <x v="1"/>
    <s v="51320291002006"/>
    <n v="-23.65"/>
    <n v="581"/>
    <n v="1"/>
    <n v="1"/>
  </r>
  <r>
    <m/>
    <m/>
    <x v="1"/>
    <s v="51323511001002"/>
    <n v="-43.59"/>
    <n v="1071"/>
    <n v="1"/>
    <n v="1"/>
  </r>
  <r>
    <m/>
    <m/>
    <x v="1"/>
    <s v="51333166001001"/>
    <n v="-49"/>
    <n v="1204"/>
    <n v="1"/>
    <n v="1"/>
  </r>
  <r>
    <m/>
    <m/>
    <x v="1"/>
    <s v="51333941006001"/>
    <n v="-85.14"/>
    <n v="2092"/>
    <n v="1"/>
    <n v="1"/>
  </r>
  <r>
    <m/>
    <m/>
    <x v="1"/>
    <s v="51344861001001"/>
    <n v="-75.86"/>
    <n v="1864"/>
    <n v="1"/>
    <n v="1"/>
  </r>
  <r>
    <m/>
    <m/>
    <x v="1"/>
    <s v="51370481001001"/>
    <n v="-17.79"/>
    <n v="437"/>
    <n v="1"/>
    <n v="1"/>
  </r>
  <r>
    <m/>
    <m/>
    <x v="1"/>
    <s v="51370831001001"/>
    <n v="-149.86000000000001"/>
    <n v="3682"/>
    <n v="1"/>
    <n v="1"/>
  </r>
  <r>
    <m/>
    <m/>
    <x v="1"/>
    <s v="51377691005001"/>
    <n v="-35.04"/>
    <n v="861"/>
    <n v="1"/>
    <n v="1"/>
  </r>
  <r>
    <m/>
    <m/>
    <x v="1"/>
    <s v="51401561004001"/>
    <n v="-121.73"/>
    <n v="2991"/>
    <n v="1"/>
    <n v="1"/>
  </r>
  <r>
    <m/>
    <m/>
    <x v="1"/>
    <s v="51424031003001"/>
    <n v="-67.77"/>
    <n v="1665"/>
    <n v="1"/>
    <n v="1"/>
  </r>
  <r>
    <m/>
    <m/>
    <x v="1"/>
    <s v="51428160001003"/>
    <n v="-43.96"/>
    <n v="1080"/>
    <n v="1"/>
    <n v="1"/>
  </r>
  <r>
    <m/>
    <m/>
    <x v="1"/>
    <s v="51439011010001"/>
    <n v="-90.96"/>
    <n v="2235"/>
    <n v="1"/>
    <n v="1"/>
  </r>
  <r>
    <m/>
    <m/>
    <x v="1"/>
    <s v="51443606001006"/>
    <n v="-29.55"/>
    <n v="726"/>
    <n v="1"/>
    <n v="1"/>
  </r>
  <r>
    <m/>
    <m/>
    <x v="1"/>
    <s v="51450421001005"/>
    <n v="-103.26"/>
    <n v="2537"/>
    <n v="1"/>
    <n v="1"/>
  </r>
  <r>
    <m/>
    <m/>
    <x v="1"/>
    <s v="51453851003001"/>
    <n v="-67.2"/>
    <n v="1651"/>
    <n v="1"/>
    <n v="1"/>
  </r>
  <r>
    <m/>
    <m/>
    <x v="1"/>
    <s v="51461761001001"/>
    <n v="-37.28"/>
    <n v="916"/>
    <n v="1"/>
    <n v="1"/>
  </r>
  <r>
    <m/>
    <m/>
    <x v="1"/>
    <s v="51469191001007"/>
    <n v="-9.1999999999999993"/>
    <n v="226"/>
    <n v="1"/>
    <n v="1"/>
  </r>
  <r>
    <m/>
    <m/>
    <x v="1"/>
    <s v="51516081001002"/>
    <n v="-21"/>
    <n v="516"/>
    <n v="1"/>
    <n v="1"/>
  </r>
  <r>
    <m/>
    <m/>
    <x v="1"/>
    <s v="51521791001001"/>
    <n v="-46.93"/>
    <n v="1153"/>
    <n v="1"/>
    <n v="1"/>
  </r>
  <r>
    <m/>
    <m/>
    <x v="1"/>
    <s v="51528681001002"/>
    <n v="-16.48"/>
    <n v="405"/>
    <n v="1"/>
    <n v="1"/>
  </r>
  <r>
    <m/>
    <m/>
    <x v="1"/>
    <s v="51542891001003"/>
    <n v="-43.63"/>
    <n v="1072"/>
    <n v="1"/>
    <n v="1"/>
  </r>
  <r>
    <m/>
    <m/>
    <x v="1"/>
    <s v="51543591001002"/>
    <n v="-51.32"/>
    <n v="1261"/>
    <n v="1"/>
    <n v="1"/>
  </r>
  <r>
    <m/>
    <m/>
    <x v="1"/>
    <s v="51549471001001"/>
    <n v="-12.33"/>
    <n v="303"/>
    <n v="1"/>
    <n v="1"/>
  </r>
  <r>
    <m/>
    <m/>
    <x v="1"/>
    <s v="51554091001001"/>
    <n v="-73.63"/>
    <n v="1809"/>
    <n v="1"/>
    <n v="1"/>
  </r>
  <r>
    <m/>
    <m/>
    <x v="1"/>
    <s v="51575021002004"/>
    <n v="-14.73"/>
    <n v="362"/>
    <n v="1"/>
    <n v="1"/>
  </r>
  <r>
    <m/>
    <m/>
    <x v="1"/>
    <s v="51582215001003"/>
    <n v="-77.489999999999995"/>
    <n v="1904"/>
    <n v="1"/>
    <n v="1"/>
  </r>
  <r>
    <m/>
    <m/>
    <x v="1"/>
    <s v="51584751002008"/>
    <n v="-61.9"/>
    <n v="1521"/>
    <n v="1"/>
    <n v="1"/>
  </r>
  <r>
    <m/>
    <m/>
    <x v="1"/>
    <s v="51585171003003"/>
    <n v="-113.92"/>
    <n v="2799"/>
    <n v="1"/>
    <n v="1"/>
  </r>
  <r>
    <m/>
    <m/>
    <x v="1"/>
    <s v="51590001001003"/>
    <n v="-62.31"/>
    <n v="1531"/>
    <n v="1"/>
    <n v="1"/>
  </r>
  <r>
    <m/>
    <m/>
    <x v="1"/>
    <s v="51593221002002"/>
    <n v="-92.88"/>
    <n v="2282"/>
    <n v="1"/>
    <n v="1"/>
  </r>
  <r>
    <m/>
    <m/>
    <x v="1"/>
    <s v="51593431001001"/>
    <n v="-122.26"/>
    <n v="3004"/>
    <n v="1"/>
    <n v="1"/>
  </r>
  <r>
    <m/>
    <m/>
    <x v="1"/>
    <s v="51597141001007"/>
    <n v="-45.58"/>
    <n v="1120"/>
    <n v="1"/>
    <n v="1"/>
  </r>
  <r>
    <m/>
    <m/>
    <x v="1"/>
    <s v="51603861001001"/>
    <n v="-47.99"/>
    <n v="1179"/>
    <n v="1"/>
    <n v="1"/>
  </r>
  <r>
    <m/>
    <m/>
    <x v="1"/>
    <s v="51609671007001"/>
    <n v="-45.5"/>
    <n v="1118"/>
    <n v="1"/>
    <n v="1"/>
  </r>
  <r>
    <m/>
    <m/>
    <x v="1"/>
    <s v="51613101001001"/>
    <n v="-101.42"/>
    <n v="2492"/>
    <n v="1"/>
    <n v="1"/>
  </r>
  <r>
    <m/>
    <m/>
    <x v="1"/>
    <s v="51614151001002"/>
    <n v="-73.14"/>
    <n v="1797"/>
    <n v="1"/>
    <n v="1"/>
  </r>
  <r>
    <m/>
    <m/>
    <x v="1"/>
    <s v="51614291001001"/>
    <n v="-27.07"/>
    <n v="665"/>
    <n v="1"/>
    <n v="1"/>
  </r>
  <r>
    <m/>
    <m/>
    <x v="1"/>
    <s v="51615411001001"/>
    <n v="-67.89"/>
    <n v="1668"/>
    <n v="1"/>
    <n v="1"/>
  </r>
  <r>
    <m/>
    <m/>
    <x v="1"/>
    <s v="51615551001001"/>
    <n v="-80.099999999999994"/>
    <n v="1968"/>
    <n v="1"/>
    <n v="1"/>
  </r>
  <r>
    <m/>
    <m/>
    <x v="1"/>
    <s v="51634941001001"/>
    <n v="-131.09"/>
    <n v="3221"/>
    <n v="1"/>
    <n v="1"/>
  </r>
  <r>
    <m/>
    <m/>
    <x v="1"/>
    <s v="51697745002001"/>
    <n v="-96.74"/>
    <n v="2377"/>
    <n v="1"/>
    <n v="1"/>
  </r>
  <r>
    <m/>
    <m/>
    <x v="1"/>
    <s v="51764139001006"/>
    <n v="-17.09"/>
    <n v="420"/>
    <n v="1"/>
    <n v="1"/>
  </r>
  <r>
    <m/>
    <m/>
    <x v="1"/>
    <s v="51808006003005"/>
    <n v="-62.39"/>
    <n v="1533"/>
    <n v="1"/>
    <n v="1"/>
  </r>
  <r>
    <m/>
    <m/>
    <x v="1"/>
    <s v="51910701001008"/>
    <n v="-29.67"/>
    <n v="729"/>
    <n v="1"/>
    <n v="1"/>
  </r>
  <r>
    <m/>
    <m/>
    <x v="1"/>
    <s v="51973472002001"/>
    <n v="-54.86"/>
    <n v="1348"/>
    <n v="1"/>
    <n v="1"/>
  </r>
  <r>
    <m/>
    <m/>
    <x v="1"/>
    <s v="52028581001001"/>
    <n v="-69.23"/>
    <n v="1701"/>
    <n v="1"/>
    <n v="1"/>
  </r>
  <r>
    <m/>
    <m/>
    <x v="1"/>
    <s v="52042325001001"/>
    <n v="-135.49"/>
    <n v="3329"/>
    <n v="1"/>
    <n v="1"/>
  </r>
  <r>
    <m/>
    <m/>
    <x v="1"/>
    <s v="52046011003003"/>
    <n v="-29.34"/>
    <n v="721"/>
    <n v="1"/>
    <n v="1"/>
  </r>
  <r>
    <m/>
    <m/>
    <x v="1"/>
    <s v="52117368001007"/>
    <n v="-168.54"/>
    <n v="4141"/>
    <n v="1"/>
    <n v="1"/>
  </r>
  <r>
    <m/>
    <m/>
    <x v="1"/>
    <s v="52165482001003"/>
    <n v="-81.64"/>
    <n v="2006"/>
    <n v="1"/>
    <n v="1"/>
  </r>
  <r>
    <m/>
    <m/>
    <x v="1"/>
    <s v="52185239001001"/>
    <n v="-93.28"/>
    <n v="2292"/>
    <n v="1"/>
    <n v="1"/>
  </r>
  <r>
    <m/>
    <m/>
    <x v="1"/>
    <s v="52219112001001"/>
    <n v="-33.5"/>
    <n v="823"/>
    <n v="1"/>
    <n v="1"/>
  </r>
  <r>
    <m/>
    <m/>
    <x v="1"/>
    <s v="52226629002001"/>
    <n v="-47.54"/>
    <n v="1168"/>
    <n v="1"/>
    <n v="1"/>
  </r>
  <r>
    <m/>
    <m/>
    <x v="1"/>
    <s v="52259109001002"/>
    <n v="-63.74"/>
    <n v="1566"/>
    <n v="1"/>
    <n v="1"/>
  </r>
  <r>
    <m/>
    <m/>
    <x v="1"/>
    <s v="52295167001001"/>
    <n v="-106.15"/>
    <n v="2608"/>
    <n v="1"/>
    <n v="1"/>
  </r>
  <r>
    <m/>
    <m/>
    <x v="1"/>
    <s v="52325404001004"/>
    <n v="-55.39"/>
    <n v="1361"/>
    <n v="1"/>
    <n v="1"/>
  </r>
  <r>
    <m/>
    <m/>
    <x v="1"/>
    <s v="52399384002001"/>
    <n v="-34.92"/>
    <n v="858"/>
    <n v="1"/>
    <n v="1"/>
  </r>
  <r>
    <m/>
    <m/>
    <x v="1"/>
    <s v="52507041001001"/>
    <n v="-22.75"/>
    <n v="559"/>
    <n v="1"/>
    <n v="1"/>
  </r>
  <r>
    <m/>
    <m/>
    <x v="1"/>
    <s v="52533908001001"/>
    <n v="-98.86"/>
    <n v="2429"/>
    <n v="1"/>
    <n v="1"/>
  </r>
  <r>
    <m/>
    <m/>
    <x v="1"/>
    <s v="52553675001009"/>
    <n v="-22.22"/>
    <n v="546"/>
    <n v="1"/>
    <n v="1"/>
  </r>
  <r>
    <m/>
    <m/>
    <x v="1"/>
    <s v="52659071001002"/>
    <n v="-90.88"/>
    <n v="2233"/>
    <n v="1"/>
    <n v="1"/>
  </r>
  <r>
    <m/>
    <m/>
    <x v="1"/>
    <s v="52682385001007"/>
    <n v="-52.18"/>
    <n v="1282"/>
    <n v="1"/>
    <n v="1"/>
  </r>
  <r>
    <m/>
    <m/>
    <x v="1"/>
    <s v="52778254001001"/>
    <n v="-46.11"/>
    <n v="1133"/>
    <n v="1"/>
    <n v="1"/>
  </r>
  <r>
    <m/>
    <m/>
    <x v="1"/>
    <s v="52822965001001"/>
    <n v="-2.48"/>
    <n v="61"/>
    <n v="1"/>
    <n v="1"/>
  </r>
  <r>
    <m/>
    <m/>
    <x v="1"/>
    <s v="53082444001001"/>
    <n v="-16.440000000000001"/>
    <n v="404"/>
    <n v="1"/>
    <n v="1"/>
  </r>
  <r>
    <m/>
    <m/>
    <x v="1"/>
    <s v="53124174001007"/>
    <n v="-107.29"/>
    <n v="2636"/>
    <n v="1"/>
    <n v="1"/>
  </r>
  <r>
    <m/>
    <m/>
    <x v="1"/>
    <s v="53320365001001"/>
    <n v="-19.37"/>
    <n v="476"/>
    <n v="1"/>
    <n v="1"/>
  </r>
  <r>
    <m/>
    <m/>
    <x v="1"/>
    <s v="53350345002005"/>
    <n v="-41.11"/>
    <n v="1010"/>
    <n v="1"/>
    <n v="1"/>
  </r>
  <r>
    <m/>
    <m/>
    <x v="1"/>
    <s v="53356156002001"/>
    <n v="-53.03"/>
    <n v="1303"/>
    <n v="1"/>
    <n v="1"/>
  </r>
  <r>
    <m/>
    <m/>
    <x v="1"/>
    <s v="53369288001006"/>
    <n v="-13.11"/>
    <n v="322"/>
    <n v="1"/>
    <n v="1"/>
  </r>
  <r>
    <m/>
    <m/>
    <x v="1"/>
    <s v="53410550003001"/>
    <n v="-15.79"/>
    <n v="388"/>
    <n v="1"/>
    <n v="1"/>
  </r>
  <r>
    <m/>
    <m/>
    <x v="1"/>
    <s v="53488010001002"/>
    <n v="-34.68"/>
    <n v="852"/>
    <n v="1"/>
    <n v="1"/>
  </r>
  <r>
    <m/>
    <m/>
    <x v="1"/>
    <s v="53681358001001"/>
    <n v="-64.84"/>
    <n v="1593"/>
    <n v="1"/>
    <n v="1"/>
  </r>
  <r>
    <m/>
    <m/>
    <x v="1"/>
    <s v="53713362001001"/>
    <n v="-32.76"/>
    <n v="805"/>
    <n v="1"/>
    <n v="1"/>
  </r>
  <r>
    <m/>
    <m/>
    <x v="1"/>
    <s v="53808670001004"/>
    <n v="-20.11"/>
    <n v="494"/>
    <n v="1"/>
    <n v="1"/>
  </r>
  <r>
    <m/>
    <m/>
    <x v="1"/>
    <s v="53812406001002"/>
    <n v="-50.55"/>
    <n v="1242"/>
    <n v="1"/>
    <n v="1"/>
  </r>
  <r>
    <m/>
    <m/>
    <x v="1"/>
    <s v="53848555001002"/>
    <n v="-74.069999999999993"/>
    <n v="1820"/>
    <n v="1"/>
    <n v="1"/>
  </r>
  <r>
    <m/>
    <m/>
    <x v="1"/>
    <s v="53914791002001"/>
    <n v="-48.35"/>
    <n v="1188"/>
    <n v="1"/>
    <n v="1"/>
  </r>
  <r>
    <m/>
    <m/>
    <x v="1"/>
    <s v="53919729001001"/>
    <n v="-1.38"/>
    <n v="34"/>
    <n v="1"/>
    <n v="1"/>
  </r>
  <r>
    <m/>
    <m/>
    <x v="1"/>
    <s v="53953758001001"/>
    <n v="-50.26"/>
    <n v="1235"/>
    <n v="1"/>
    <n v="1"/>
  </r>
  <r>
    <m/>
    <m/>
    <x v="1"/>
    <s v="53970846001001"/>
    <n v="-53.19"/>
    <n v="1307"/>
    <n v="1"/>
    <n v="1"/>
  </r>
  <r>
    <m/>
    <m/>
    <x v="1"/>
    <s v="54011290001001"/>
    <n v="-64.790000000000006"/>
    <n v="1592"/>
    <n v="1"/>
    <n v="1"/>
  </r>
  <r>
    <m/>
    <m/>
    <x v="1"/>
    <s v="54019982001004"/>
    <n v="-103.01"/>
    <n v="2531"/>
    <n v="1"/>
    <n v="1"/>
  </r>
  <r>
    <m/>
    <m/>
    <x v="1"/>
    <s v="54099172001001"/>
    <n v="-17.010000000000002"/>
    <n v="418"/>
    <n v="1"/>
    <n v="1"/>
  </r>
  <r>
    <m/>
    <m/>
    <x v="1"/>
    <s v="54146036001001"/>
    <n v="-67.16"/>
    <n v="1650"/>
    <n v="1"/>
    <n v="1"/>
  </r>
  <r>
    <m/>
    <m/>
    <x v="1"/>
    <s v="54147532001001"/>
    <n v="-54.66"/>
    <n v="1343"/>
    <n v="1"/>
    <n v="1"/>
  </r>
  <r>
    <m/>
    <m/>
    <x v="1"/>
    <s v="54179632002003"/>
    <n v="-13.23"/>
    <n v="325"/>
    <n v="1"/>
    <n v="1"/>
  </r>
  <r>
    <m/>
    <m/>
    <x v="1"/>
    <s v="54329736005001"/>
    <n v="-23.52"/>
    <n v="578"/>
    <n v="1"/>
    <n v="1"/>
  </r>
  <r>
    <m/>
    <m/>
    <x v="1"/>
    <s v="54399460003005"/>
    <n v="-40.78"/>
    <n v="1002"/>
    <n v="1"/>
    <n v="1"/>
  </r>
  <r>
    <m/>
    <m/>
    <x v="1"/>
    <s v="54477932001003"/>
    <n v="-68.25"/>
    <n v="1677"/>
    <n v="1"/>
    <n v="1"/>
  </r>
  <r>
    <m/>
    <m/>
    <x v="1"/>
    <s v="54514113001001"/>
    <n v="-3.01"/>
    <n v="74"/>
    <n v="1"/>
    <n v="1"/>
  </r>
  <r>
    <m/>
    <m/>
    <x v="1"/>
    <s v="54523601001001"/>
    <n v="-107.2"/>
    <n v="2634"/>
    <n v="1"/>
    <n v="1"/>
  </r>
  <r>
    <m/>
    <m/>
    <x v="1"/>
    <s v="54582419004001"/>
    <n v="-19.82"/>
    <n v="487"/>
    <n v="1"/>
    <n v="1"/>
  </r>
  <r>
    <m/>
    <m/>
    <x v="1"/>
    <s v="54609162004002"/>
    <n v="-17.989999999999998"/>
    <n v="442"/>
    <n v="1"/>
    <n v="1"/>
  </r>
  <r>
    <m/>
    <m/>
    <x v="1"/>
    <s v="54633989001003"/>
    <n v="-81.48"/>
    <n v="2002"/>
    <n v="1"/>
    <n v="1"/>
  </r>
  <r>
    <m/>
    <m/>
    <x v="1"/>
    <s v="54677837001001"/>
    <n v="-51.85"/>
    <n v="1274"/>
    <n v="1"/>
    <n v="1"/>
  </r>
  <r>
    <m/>
    <m/>
    <x v="1"/>
    <s v="54740330002001"/>
    <n v="-58.36"/>
    <n v="1434"/>
    <n v="1"/>
    <n v="1"/>
  </r>
  <r>
    <m/>
    <m/>
    <x v="1"/>
    <s v="54844815001003"/>
    <n v="-28.98"/>
    <n v="712"/>
    <n v="1"/>
    <n v="1"/>
  </r>
  <r>
    <m/>
    <m/>
    <x v="1"/>
    <s v="54884722001003"/>
    <n v="-3.58"/>
    <n v="88"/>
    <n v="1"/>
    <n v="1"/>
  </r>
  <r>
    <m/>
    <m/>
    <x v="1"/>
    <s v="54897257001001"/>
    <n v="-54.58"/>
    <n v="1341"/>
    <n v="1"/>
    <n v="1"/>
  </r>
  <r>
    <m/>
    <m/>
    <x v="1"/>
    <s v="54978920001003"/>
    <n v="-38.79"/>
    <n v="953"/>
    <n v="1"/>
    <n v="1"/>
  </r>
  <r>
    <m/>
    <m/>
    <x v="1"/>
    <s v="55036747001002"/>
    <n v="-75.13"/>
    <n v="1846"/>
    <n v="1"/>
    <n v="1"/>
  </r>
  <r>
    <m/>
    <m/>
    <x v="1"/>
    <s v="55121276001005"/>
    <n v="-40.54"/>
    <n v="996"/>
    <n v="1"/>
    <n v="1"/>
  </r>
  <r>
    <m/>
    <m/>
    <x v="1"/>
    <s v="55389283006001"/>
    <n v="-61.54"/>
    <n v="1512"/>
    <n v="1"/>
    <n v="1"/>
  </r>
  <r>
    <m/>
    <m/>
    <x v="1"/>
    <s v="55476730001005"/>
    <n v="-98.62"/>
    <n v="2423"/>
    <n v="1"/>
    <n v="1"/>
  </r>
  <r>
    <m/>
    <m/>
    <x v="1"/>
    <s v="55524078001001"/>
    <n v="-44.89"/>
    <n v="1103"/>
    <n v="1"/>
    <n v="1"/>
  </r>
  <r>
    <m/>
    <m/>
    <x v="1"/>
    <s v="55536729004001"/>
    <n v="-58.85"/>
    <n v="1446"/>
    <n v="1"/>
    <n v="1"/>
  </r>
  <r>
    <m/>
    <m/>
    <x v="1"/>
    <s v="55644406001001"/>
    <n v="-8.34"/>
    <n v="205"/>
    <n v="1"/>
    <n v="1"/>
  </r>
  <r>
    <m/>
    <m/>
    <x v="1"/>
    <s v="55698018001001"/>
    <n v="-5.9"/>
    <n v="145"/>
    <n v="1"/>
    <n v="1"/>
  </r>
  <r>
    <m/>
    <m/>
    <x v="1"/>
    <s v="55743493002001"/>
    <n v="-63.37"/>
    <n v="1557"/>
    <n v="1"/>
    <n v="1"/>
  </r>
  <r>
    <m/>
    <m/>
    <x v="1"/>
    <s v="55776761001011"/>
    <n v="-94.95"/>
    <n v="2333"/>
    <n v="1"/>
    <n v="1"/>
  </r>
  <r>
    <m/>
    <m/>
    <x v="1"/>
    <s v="55781832001008"/>
    <n v="-66.3"/>
    <n v="1629"/>
    <n v="1"/>
    <n v="1"/>
  </r>
  <r>
    <m/>
    <m/>
    <x v="1"/>
    <s v="55852549001004"/>
    <n v="-28.33"/>
    <n v="696"/>
    <n v="1"/>
    <n v="1"/>
  </r>
  <r>
    <m/>
    <m/>
    <x v="1"/>
    <s v="55894222001001"/>
    <n v="-51.65"/>
    <n v="1269"/>
    <n v="1"/>
    <n v="1"/>
  </r>
  <r>
    <m/>
    <m/>
    <x v="1"/>
    <s v="56027623001001"/>
    <n v="-115.67"/>
    <n v="2842"/>
    <n v="1"/>
    <n v="1"/>
  </r>
  <r>
    <m/>
    <m/>
    <x v="1"/>
    <s v="56063826001003"/>
    <n v="-59.87"/>
    <n v="1471"/>
    <n v="1"/>
    <n v="1"/>
  </r>
  <r>
    <m/>
    <m/>
    <x v="1"/>
    <s v="56072830001004"/>
    <n v="-59.63"/>
    <n v="1465"/>
    <n v="1"/>
    <n v="1"/>
  </r>
  <r>
    <m/>
    <m/>
    <x v="1"/>
    <s v="56079112001004"/>
    <n v="-48.15"/>
    <n v="1183"/>
    <n v="1"/>
    <n v="1"/>
  </r>
  <r>
    <m/>
    <m/>
    <x v="1"/>
    <s v="56158181001001"/>
    <n v="-27.11"/>
    <n v="666"/>
    <n v="1"/>
    <n v="1"/>
  </r>
  <r>
    <m/>
    <m/>
    <x v="1"/>
    <s v="56180731001001"/>
    <n v="-7.37"/>
    <n v="181"/>
    <n v="1"/>
    <n v="1"/>
  </r>
  <r>
    <m/>
    <m/>
    <x v="1"/>
    <s v="56272890001001"/>
    <n v="-20.76"/>
    <n v="510"/>
    <n v="1"/>
    <n v="1"/>
  </r>
  <r>
    <m/>
    <m/>
    <x v="1"/>
    <s v="56277887001003"/>
    <n v="-41.03"/>
    <n v="1008"/>
    <n v="1"/>
    <n v="1"/>
  </r>
  <r>
    <m/>
    <m/>
    <x v="1"/>
    <s v="56294504001001"/>
    <n v="-52.83"/>
    <n v="1298"/>
    <n v="1"/>
    <n v="1"/>
  </r>
  <r>
    <m/>
    <m/>
    <x v="1"/>
    <s v="56326619001001"/>
    <n v="-39.32"/>
    <n v="966"/>
    <n v="1"/>
    <n v="1"/>
  </r>
  <r>
    <m/>
    <m/>
    <x v="1"/>
    <s v="56533159001001"/>
    <n v="-62.03"/>
    <n v="1524"/>
    <n v="1"/>
    <n v="1"/>
  </r>
  <r>
    <m/>
    <m/>
    <x v="1"/>
    <s v="56545421001001"/>
    <n v="-31.5"/>
    <n v="774"/>
    <n v="1"/>
    <n v="1"/>
  </r>
  <r>
    <m/>
    <m/>
    <x v="1"/>
    <s v="56940246001005"/>
    <n v="-48.43"/>
    <n v="1190"/>
    <n v="1"/>
    <n v="1"/>
  </r>
  <r>
    <m/>
    <m/>
    <x v="1"/>
    <s v="56947002001001"/>
    <n v="-41.31"/>
    <n v="1015"/>
    <n v="1"/>
    <n v="1"/>
  </r>
  <r>
    <m/>
    <m/>
    <x v="1"/>
    <s v="57000650001002"/>
    <n v="-47.62"/>
    <n v="1170"/>
    <n v="1"/>
    <n v="1"/>
  </r>
  <r>
    <m/>
    <m/>
    <x v="1"/>
    <s v="57049582001005"/>
    <n v="-34.799999999999997"/>
    <n v="855"/>
    <n v="1"/>
    <n v="1"/>
  </r>
  <r>
    <m/>
    <m/>
    <x v="1"/>
    <s v="57084229003003"/>
    <n v="-13.96"/>
    <n v="343"/>
    <n v="1"/>
    <n v="1"/>
  </r>
  <r>
    <m/>
    <m/>
    <x v="1"/>
    <s v="57097404001004"/>
    <n v="-59.22"/>
    <n v="1455"/>
    <n v="1"/>
    <n v="1"/>
  </r>
  <r>
    <m/>
    <m/>
    <x v="1"/>
    <s v="57110729007001"/>
    <n v="-3.3"/>
    <n v="81"/>
    <n v="1"/>
    <n v="1"/>
  </r>
  <r>
    <m/>
    <m/>
    <x v="1"/>
    <s v="57232509003001"/>
    <n v="-56.29"/>
    <n v="1383"/>
    <n v="1"/>
    <n v="1"/>
  </r>
  <r>
    <m/>
    <m/>
    <x v="1"/>
    <s v="57270675001001"/>
    <n v="-4.07"/>
    <n v="100"/>
    <n v="1"/>
    <n v="1"/>
  </r>
  <r>
    <m/>
    <m/>
    <x v="1"/>
    <s v="57453412001005"/>
    <n v="-83.68"/>
    <n v="2056"/>
    <n v="1"/>
    <n v="1"/>
  </r>
  <r>
    <m/>
    <m/>
    <x v="1"/>
    <s v="57455935001001"/>
    <n v="-87.3"/>
    <n v="2145"/>
    <n v="1"/>
    <n v="1"/>
  </r>
  <r>
    <m/>
    <m/>
    <x v="1"/>
    <s v="57511006004003"/>
    <n v="-23.85"/>
    <n v="586"/>
    <n v="1"/>
    <n v="1"/>
  </r>
  <r>
    <m/>
    <m/>
    <x v="1"/>
    <s v="57634785001001"/>
    <n v="-74.52"/>
    <n v="1831"/>
    <n v="1"/>
    <n v="1"/>
  </r>
  <r>
    <m/>
    <m/>
    <x v="1"/>
    <s v="57760862001001"/>
    <n v="-10.83"/>
    <n v="266"/>
    <n v="1"/>
    <n v="1"/>
  </r>
  <r>
    <m/>
    <m/>
    <x v="1"/>
    <s v="57832229001001"/>
    <n v="-23.44"/>
    <n v="576"/>
    <n v="1"/>
    <n v="1"/>
  </r>
  <r>
    <m/>
    <m/>
    <x v="1"/>
    <s v="58009799001001"/>
    <n v="-6.35"/>
    <n v="156"/>
    <n v="1"/>
    <n v="1"/>
  </r>
  <r>
    <m/>
    <m/>
    <x v="1"/>
    <s v="58070087003003"/>
    <n v="-89.5"/>
    <n v="2199"/>
    <n v="1"/>
    <n v="1"/>
  </r>
  <r>
    <m/>
    <m/>
    <x v="1"/>
    <s v="58144822001002"/>
    <n v="-76.19"/>
    <n v="1872"/>
    <n v="1"/>
    <n v="1"/>
  </r>
  <r>
    <m/>
    <m/>
    <x v="1"/>
    <s v="58167581001001"/>
    <n v="-69.680000000000007"/>
    <n v="1712"/>
    <n v="1"/>
    <n v="1"/>
  </r>
  <r>
    <m/>
    <m/>
    <x v="1"/>
    <s v="58199492001003"/>
    <n v="-55.35"/>
    <n v="1360"/>
    <n v="1"/>
    <n v="1"/>
  </r>
  <r>
    <m/>
    <m/>
    <x v="1"/>
    <s v="58254409001002"/>
    <n v="-37.97"/>
    <n v="933"/>
    <n v="1"/>
    <n v="1"/>
  </r>
  <r>
    <m/>
    <m/>
    <x v="1"/>
    <s v="58433748001002"/>
    <n v="-34.19"/>
    <n v="840"/>
    <n v="1"/>
    <n v="1"/>
  </r>
  <r>
    <m/>
    <m/>
    <x v="1"/>
    <s v="58468448002001"/>
    <n v="-69.959999999999994"/>
    <n v="1719"/>
    <n v="1"/>
    <n v="1"/>
  </r>
  <r>
    <m/>
    <m/>
    <x v="1"/>
    <s v="58473274001001"/>
    <n v="-111.97"/>
    <n v="2751"/>
    <n v="1"/>
    <n v="1"/>
  </r>
  <r>
    <m/>
    <m/>
    <x v="1"/>
    <s v="58496743001008"/>
    <n v="-6.76"/>
    <n v="166"/>
    <n v="1"/>
    <n v="1"/>
  </r>
  <r>
    <m/>
    <m/>
    <x v="1"/>
    <s v="58521117005001"/>
    <n v="-67.44"/>
    <n v="1657"/>
    <n v="2"/>
    <n v="1"/>
  </r>
  <r>
    <m/>
    <m/>
    <x v="1"/>
    <s v="58643665001003"/>
    <n v="-50.75"/>
    <n v="1247"/>
    <n v="1"/>
    <n v="1"/>
  </r>
  <r>
    <m/>
    <m/>
    <x v="1"/>
    <s v="58665150001005"/>
    <n v="-77.53"/>
    <n v="1905"/>
    <n v="1"/>
    <n v="1"/>
  </r>
  <r>
    <m/>
    <m/>
    <x v="1"/>
    <s v="58704052001001"/>
    <n v="-7.53"/>
    <n v="185"/>
    <n v="1"/>
    <n v="1"/>
  </r>
  <r>
    <m/>
    <m/>
    <x v="1"/>
    <s v="58815775001003"/>
    <n v="-55.23"/>
    <n v="1357"/>
    <n v="1"/>
    <n v="1"/>
  </r>
  <r>
    <m/>
    <m/>
    <x v="1"/>
    <s v="58828870007001"/>
    <n v="-51.24"/>
    <n v="1259"/>
    <n v="1"/>
    <n v="1"/>
  </r>
  <r>
    <m/>
    <m/>
    <x v="1"/>
    <s v="58968269007001"/>
    <n v="-2.4"/>
    <n v="59"/>
    <n v="1"/>
    <n v="1"/>
  </r>
  <r>
    <m/>
    <m/>
    <x v="1"/>
    <s v="59053011001001"/>
    <n v="-44"/>
    <n v="1081"/>
    <n v="1"/>
    <n v="1"/>
  </r>
  <r>
    <m/>
    <m/>
    <x v="1"/>
    <s v="59085749001001"/>
    <n v="-75.05"/>
    <n v="1844"/>
    <n v="1"/>
    <n v="1"/>
  </r>
  <r>
    <m/>
    <m/>
    <x v="1"/>
    <s v="59136213001001"/>
    <n v="-62.96"/>
    <n v="1547"/>
    <n v="1"/>
    <n v="1"/>
  </r>
  <r>
    <m/>
    <m/>
    <x v="1"/>
    <s v="59417675001003"/>
    <n v="-18.03"/>
    <n v="443"/>
    <n v="1"/>
    <n v="1"/>
  </r>
  <r>
    <m/>
    <m/>
    <x v="1"/>
    <s v="59547463005003"/>
    <n v="-99.84"/>
    <n v="2453"/>
    <n v="1"/>
    <n v="1"/>
  </r>
  <r>
    <m/>
    <m/>
    <x v="1"/>
    <s v="59582257003001"/>
    <n v="-37.53"/>
    <n v="922"/>
    <n v="1"/>
    <n v="1"/>
  </r>
  <r>
    <m/>
    <m/>
    <x v="1"/>
    <s v="59712638001001"/>
    <n v="-8.3000000000000007"/>
    <n v="204"/>
    <n v="1"/>
    <n v="1"/>
  </r>
  <r>
    <m/>
    <m/>
    <x v="1"/>
    <s v="59833719001002"/>
    <n v="-88.16"/>
    <n v="2166"/>
    <n v="1"/>
    <n v="1"/>
  </r>
  <r>
    <m/>
    <m/>
    <x v="1"/>
    <s v="59835939001001"/>
    <n v="-37.32"/>
    <n v="917"/>
    <n v="1"/>
    <n v="1"/>
  </r>
  <r>
    <m/>
    <m/>
    <x v="1"/>
    <s v="59904249001001"/>
    <n v="-110.13"/>
    <n v="2706"/>
    <n v="1"/>
    <n v="1"/>
  </r>
  <r>
    <m/>
    <m/>
    <x v="1"/>
    <s v="60000842001003"/>
    <n v="-70.94"/>
    <n v="1743"/>
    <n v="1"/>
    <n v="1"/>
  </r>
  <r>
    <m/>
    <m/>
    <x v="1"/>
    <s v="60085172002003"/>
    <n v="-51.24"/>
    <n v="1259"/>
    <n v="1"/>
    <n v="1"/>
  </r>
  <r>
    <m/>
    <m/>
    <x v="1"/>
    <s v="60103851002003"/>
    <n v="-25.44"/>
    <n v="625"/>
    <n v="1"/>
    <n v="1"/>
  </r>
  <r>
    <m/>
    <m/>
    <x v="1"/>
    <s v="60239588001006"/>
    <n v="-81.97"/>
    <n v="2014"/>
    <n v="1"/>
    <n v="1"/>
  </r>
  <r>
    <m/>
    <m/>
    <x v="1"/>
    <s v="60311880001002"/>
    <n v="-56.74"/>
    <n v="1394"/>
    <n v="1"/>
    <n v="1"/>
  </r>
  <r>
    <m/>
    <m/>
    <x v="1"/>
    <s v="60332663002001"/>
    <n v="-4.1900000000000004"/>
    <n v="103"/>
    <n v="1"/>
    <n v="1"/>
  </r>
  <r>
    <m/>
    <m/>
    <x v="1"/>
    <s v="60362120001002"/>
    <n v="-43.87"/>
    <n v="1078"/>
    <n v="1"/>
    <n v="1"/>
  </r>
  <r>
    <m/>
    <m/>
    <x v="1"/>
    <s v="60372686002003"/>
    <n v="-15.83"/>
    <n v="389"/>
    <n v="1"/>
    <n v="1"/>
  </r>
  <r>
    <m/>
    <m/>
    <x v="1"/>
    <s v="60378444004001"/>
    <n v="-88.12"/>
    <n v="2165"/>
    <n v="1"/>
    <n v="1"/>
  </r>
  <r>
    <m/>
    <m/>
    <x v="1"/>
    <s v="60473262001001"/>
    <n v="-47.58"/>
    <n v="1169"/>
    <n v="1"/>
    <n v="1"/>
  </r>
  <r>
    <m/>
    <m/>
    <x v="1"/>
    <s v="60503071001008"/>
    <n v="-56.78"/>
    <n v="1395"/>
    <n v="1"/>
    <n v="1"/>
  </r>
  <r>
    <m/>
    <m/>
    <x v="1"/>
    <s v="60570725002001"/>
    <n v="-79.489999999999995"/>
    <n v="1953"/>
    <n v="1"/>
    <n v="1"/>
  </r>
  <r>
    <m/>
    <m/>
    <x v="1"/>
    <s v="60588107001001"/>
    <n v="-6.35"/>
    <n v="156"/>
    <n v="1"/>
    <n v="1"/>
  </r>
  <r>
    <m/>
    <m/>
    <x v="1"/>
    <s v="60790565001008"/>
    <n v="-117.01"/>
    <n v="2875"/>
    <n v="1"/>
    <n v="1"/>
  </r>
  <r>
    <m/>
    <m/>
    <x v="1"/>
    <s v="60942818001007"/>
    <n v="-62.76"/>
    <n v="1542"/>
    <n v="1"/>
    <n v="1"/>
  </r>
  <r>
    <m/>
    <m/>
    <x v="1"/>
    <s v="61029624002001"/>
    <n v="-57.55"/>
    <n v="1414"/>
    <n v="1"/>
    <n v="1"/>
  </r>
  <r>
    <m/>
    <m/>
    <x v="1"/>
    <s v="61185457001001"/>
    <n v="-75.739999999999995"/>
    <n v="1861"/>
    <n v="1"/>
    <n v="1"/>
  </r>
  <r>
    <m/>
    <m/>
    <x v="1"/>
    <s v="61237473001001"/>
    <n v="-57.06"/>
    <n v="1402"/>
    <n v="1"/>
    <n v="1"/>
  </r>
  <r>
    <m/>
    <m/>
    <x v="1"/>
    <s v="61254120001004"/>
    <n v="-27.39"/>
    <n v="673"/>
    <n v="1"/>
    <n v="1"/>
  </r>
  <r>
    <m/>
    <m/>
    <x v="1"/>
    <s v="61309008001005"/>
    <n v="-34.72"/>
    <n v="853"/>
    <n v="1"/>
    <n v="1"/>
  </r>
  <r>
    <m/>
    <m/>
    <x v="1"/>
    <s v="61446494004007"/>
    <n v="-26.94"/>
    <n v="662"/>
    <n v="1"/>
    <n v="1"/>
  </r>
  <r>
    <m/>
    <m/>
    <x v="1"/>
    <s v="61517595001002"/>
    <n v="-43.14"/>
    <n v="1060"/>
    <n v="1"/>
    <n v="1"/>
  </r>
  <r>
    <m/>
    <m/>
    <x v="1"/>
    <s v="61553021001001"/>
    <n v="-81.97"/>
    <n v="2014"/>
    <n v="1"/>
    <n v="1"/>
  </r>
  <r>
    <m/>
    <m/>
    <x v="1"/>
    <s v="61590681001006"/>
    <n v="-36.630000000000003"/>
    <n v="900"/>
    <n v="1"/>
    <n v="1"/>
  </r>
  <r>
    <m/>
    <m/>
    <x v="1"/>
    <s v="61690664001003"/>
    <n v="-21.61"/>
    <n v="531"/>
    <n v="1"/>
    <n v="1"/>
  </r>
  <r>
    <m/>
    <m/>
    <x v="1"/>
    <s v="61791165002003"/>
    <n v="-9.48"/>
    <n v="233"/>
    <n v="1"/>
    <n v="1"/>
  </r>
  <r>
    <m/>
    <m/>
    <x v="1"/>
    <s v="61792646001001"/>
    <n v="-96.62"/>
    <n v="2374"/>
    <n v="1"/>
    <n v="1"/>
  </r>
  <r>
    <m/>
    <m/>
    <x v="1"/>
    <s v="61831600002001"/>
    <n v="-107.45"/>
    <n v="2640"/>
    <n v="1"/>
    <n v="1"/>
  </r>
  <r>
    <m/>
    <m/>
    <x v="1"/>
    <s v="61880035001006"/>
    <n v="-88.89"/>
    <n v="2184"/>
    <n v="1"/>
    <n v="1"/>
  </r>
  <r>
    <m/>
    <m/>
    <x v="1"/>
    <s v="62065609001001"/>
    <n v="-81.89"/>
    <n v="2012"/>
    <n v="1"/>
    <n v="1"/>
  </r>
  <r>
    <m/>
    <m/>
    <x v="1"/>
    <s v="62089132001003"/>
    <n v="-24.54"/>
    <n v="603"/>
    <n v="1"/>
    <n v="1"/>
  </r>
  <r>
    <m/>
    <m/>
    <x v="1"/>
    <s v="62125139001001"/>
    <n v="-1.51"/>
    <n v="37"/>
    <n v="1"/>
    <n v="1"/>
  </r>
  <r>
    <m/>
    <m/>
    <x v="1"/>
    <s v="62209532002001"/>
    <n v="-60.72"/>
    <n v="1492"/>
    <n v="1"/>
    <n v="1"/>
  </r>
  <r>
    <m/>
    <m/>
    <x v="1"/>
    <s v="62244159001003"/>
    <n v="-81.400000000000006"/>
    <n v="2000"/>
    <n v="1"/>
    <n v="1"/>
  </r>
  <r>
    <m/>
    <m/>
    <x v="1"/>
    <s v="62406515001008"/>
    <n v="-89.26"/>
    <n v="2193"/>
    <n v="1"/>
    <n v="1"/>
  </r>
  <r>
    <m/>
    <m/>
    <x v="1"/>
    <s v="62485672001001"/>
    <n v="-35.9"/>
    <n v="882"/>
    <n v="1"/>
    <n v="1"/>
  </r>
  <r>
    <m/>
    <m/>
    <x v="1"/>
    <s v="62590261001001"/>
    <n v="-28.33"/>
    <n v="696"/>
    <n v="1"/>
    <n v="1"/>
  </r>
  <r>
    <m/>
    <m/>
    <x v="1"/>
    <s v="62610781001004"/>
    <n v="-45.83"/>
    <n v="1126"/>
    <n v="1"/>
    <n v="1"/>
  </r>
  <r>
    <m/>
    <m/>
    <x v="1"/>
    <s v="62620561001002"/>
    <n v="-66.099999999999994"/>
    <n v="1624"/>
    <n v="1"/>
    <n v="1"/>
  </r>
  <r>
    <m/>
    <m/>
    <x v="1"/>
    <s v="62633524002001"/>
    <n v="-67.48"/>
    <n v="1658"/>
    <n v="1"/>
    <n v="1"/>
  </r>
  <r>
    <m/>
    <m/>
    <x v="1"/>
    <s v="62691329005001"/>
    <n v="-140.58000000000001"/>
    <n v="3454"/>
    <n v="1"/>
    <n v="1"/>
  </r>
  <r>
    <m/>
    <m/>
    <x v="1"/>
    <s v="62717858001005"/>
    <n v="-23.4"/>
    <n v="575"/>
    <n v="1"/>
    <n v="1"/>
  </r>
  <r>
    <m/>
    <m/>
    <x v="1"/>
    <s v="62746326001001"/>
    <n v="-42.61"/>
    <n v="1047"/>
    <n v="1"/>
    <n v="1"/>
  </r>
  <r>
    <m/>
    <m/>
    <x v="1"/>
    <s v="62843836001005"/>
    <n v="-6.63"/>
    <n v="163"/>
    <n v="1"/>
    <n v="1"/>
  </r>
  <r>
    <m/>
    <m/>
    <x v="1"/>
    <s v="63050925001004"/>
    <n v="-2.93"/>
    <n v="72"/>
    <n v="1"/>
    <n v="1"/>
  </r>
  <r>
    <m/>
    <m/>
    <x v="1"/>
    <s v="63172903002001"/>
    <n v="-19.940000000000001"/>
    <n v="490"/>
    <n v="1"/>
    <n v="1"/>
  </r>
  <r>
    <m/>
    <m/>
    <x v="1"/>
    <s v="63179517001005"/>
    <n v="-46.36"/>
    <n v="1139"/>
    <n v="1"/>
    <n v="1"/>
  </r>
  <r>
    <m/>
    <m/>
    <x v="1"/>
    <s v="63207813001001"/>
    <n v="-82.74"/>
    <n v="2033"/>
    <n v="1"/>
    <n v="1"/>
  </r>
  <r>
    <m/>
    <m/>
    <x v="1"/>
    <s v="63329115001002"/>
    <n v="-35.119999999999997"/>
    <n v="863"/>
    <n v="1"/>
    <n v="1"/>
  </r>
  <r>
    <m/>
    <m/>
    <x v="1"/>
    <s v="63415000003005"/>
    <n v="-76.64"/>
    <n v="1883"/>
    <n v="1"/>
    <n v="1"/>
  </r>
  <r>
    <m/>
    <m/>
    <x v="1"/>
    <s v="63432424001001"/>
    <n v="-114.57"/>
    <n v="2815"/>
    <n v="1"/>
    <n v="1"/>
  </r>
  <r>
    <m/>
    <m/>
    <x v="1"/>
    <s v="63451251001003"/>
    <n v="-27.72"/>
    <n v="681"/>
    <n v="1"/>
    <n v="1"/>
  </r>
  <r>
    <m/>
    <m/>
    <x v="1"/>
    <s v="63536256001003"/>
    <n v="-10.91"/>
    <n v="268"/>
    <n v="1"/>
    <n v="1"/>
  </r>
  <r>
    <m/>
    <m/>
    <x v="1"/>
    <s v="63569005002001"/>
    <n v="-32.4"/>
    <n v="796"/>
    <n v="1"/>
    <n v="1"/>
  </r>
  <r>
    <m/>
    <m/>
    <x v="1"/>
    <s v="63572704001006"/>
    <n v="-35.69"/>
    <n v="877"/>
    <n v="1"/>
    <n v="1"/>
  </r>
  <r>
    <m/>
    <m/>
    <x v="1"/>
    <s v="63707556001001"/>
    <n v="-76.92"/>
    <n v="1890"/>
    <n v="1"/>
    <n v="1"/>
  </r>
  <r>
    <m/>
    <m/>
    <x v="1"/>
    <s v="63730275001001"/>
    <n v="-62.96"/>
    <n v="1547"/>
    <n v="1"/>
    <n v="1"/>
  </r>
  <r>
    <m/>
    <m/>
    <x v="1"/>
    <s v="63734655001004"/>
    <n v="-31.95"/>
    <n v="785"/>
    <n v="1"/>
    <n v="1"/>
  </r>
  <r>
    <m/>
    <m/>
    <x v="1"/>
    <s v="63836931001003"/>
    <n v="-46.97"/>
    <n v="1154"/>
    <n v="1"/>
    <n v="1"/>
  </r>
  <r>
    <m/>
    <m/>
    <x v="1"/>
    <s v="63889252001005"/>
    <n v="-29.71"/>
    <n v="730"/>
    <n v="1"/>
    <n v="1"/>
  </r>
  <r>
    <m/>
    <m/>
    <x v="1"/>
    <s v="63921435001001"/>
    <n v="-89.13"/>
    <n v="2190"/>
    <n v="1"/>
    <n v="1"/>
  </r>
  <r>
    <m/>
    <m/>
    <x v="1"/>
    <s v="63997968001003"/>
    <n v="-92.14"/>
    <n v="2264"/>
    <n v="1"/>
    <n v="1"/>
  </r>
  <r>
    <m/>
    <m/>
    <x v="1"/>
    <s v="64118220001004"/>
    <n v="-45.95"/>
    <n v="1129"/>
    <n v="1"/>
    <n v="1"/>
  </r>
  <r>
    <m/>
    <m/>
    <x v="1"/>
    <s v="64119790001003"/>
    <n v="-37.119999999999997"/>
    <n v="912"/>
    <n v="1"/>
    <n v="1"/>
  </r>
  <r>
    <m/>
    <m/>
    <x v="1"/>
    <s v="64166284001002"/>
    <n v="-54.42"/>
    <n v="1337"/>
    <n v="1"/>
    <n v="1"/>
  </r>
  <r>
    <m/>
    <m/>
    <x v="1"/>
    <s v="64243431001001"/>
    <n v="-76.959999999999994"/>
    <n v="1891"/>
    <n v="1"/>
    <n v="1"/>
  </r>
  <r>
    <m/>
    <m/>
    <x v="1"/>
    <s v="64350186001003"/>
    <n v="-7.77"/>
    <n v="191"/>
    <n v="1"/>
    <n v="1"/>
  </r>
  <r>
    <m/>
    <m/>
    <x v="1"/>
    <s v="64352398001002"/>
    <n v="-45.26"/>
    <n v="1112"/>
    <n v="1"/>
    <n v="1"/>
  </r>
  <r>
    <m/>
    <m/>
    <x v="1"/>
    <s v="64412831001001"/>
    <n v="-68.86"/>
    <n v="1692"/>
    <n v="1"/>
    <n v="1"/>
  </r>
  <r>
    <m/>
    <m/>
    <x v="1"/>
    <s v="64457891005001"/>
    <n v="-5.58"/>
    <n v="137"/>
    <n v="1"/>
    <n v="1"/>
  </r>
  <r>
    <m/>
    <m/>
    <x v="1"/>
    <s v="64579615002001"/>
    <n v="-179.08"/>
    <n v="4400"/>
    <n v="1"/>
    <n v="1"/>
  </r>
  <r>
    <m/>
    <m/>
    <x v="1"/>
    <s v="64598979001001"/>
    <n v="-43.67"/>
    <n v="1073"/>
    <n v="1"/>
    <n v="1"/>
  </r>
  <r>
    <m/>
    <m/>
    <x v="1"/>
    <s v="64718002001001"/>
    <n v="-35.21"/>
    <n v="865"/>
    <n v="1"/>
    <n v="1"/>
  </r>
  <r>
    <m/>
    <m/>
    <x v="1"/>
    <s v="64764760001001"/>
    <n v="-41.07"/>
    <n v="1009"/>
    <n v="1"/>
    <n v="1"/>
  </r>
  <r>
    <m/>
    <m/>
    <x v="1"/>
    <s v="64815090001001"/>
    <n v="-22.71"/>
    <n v="558"/>
    <n v="1"/>
    <n v="1"/>
  </r>
  <r>
    <m/>
    <m/>
    <x v="1"/>
    <s v="64941226002005"/>
    <n v="-24.05"/>
    <n v="591"/>
    <n v="1"/>
    <n v="1"/>
  </r>
  <r>
    <m/>
    <m/>
    <x v="1"/>
    <s v="65005121001001"/>
    <n v="-46.93"/>
    <n v="1153"/>
    <n v="1"/>
    <n v="1"/>
  </r>
  <r>
    <m/>
    <m/>
    <x v="1"/>
    <s v="65026421001002"/>
    <n v="-0.85"/>
    <n v="21"/>
    <n v="1"/>
    <n v="1"/>
  </r>
  <r>
    <m/>
    <m/>
    <x v="1"/>
    <s v="65047530001001"/>
    <n v="-70.209999999999994"/>
    <n v="1725"/>
    <n v="1"/>
    <n v="1"/>
  </r>
  <r>
    <m/>
    <m/>
    <x v="1"/>
    <s v="65237142002001"/>
    <n v="-56.9"/>
    <n v="1398"/>
    <n v="1"/>
    <n v="1"/>
  </r>
  <r>
    <m/>
    <m/>
    <x v="1"/>
    <s v="65270935001002"/>
    <n v="-59.54"/>
    <n v="1463"/>
    <n v="1"/>
    <n v="1"/>
  </r>
  <r>
    <m/>
    <m/>
    <x v="1"/>
    <s v="65368514001004"/>
    <n v="-45.46"/>
    <n v="1117"/>
    <n v="1"/>
    <n v="1"/>
  </r>
  <r>
    <m/>
    <m/>
    <x v="1"/>
    <s v="65369611001005"/>
    <n v="-17.79"/>
    <n v="437"/>
    <n v="1"/>
    <n v="1"/>
  </r>
  <r>
    <m/>
    <m/>
    <x v="1"/>
    <s v="65525375001001"/>
    <n v="-46.4"/>
    <n v="1140"/>
    <n v="1"/>
    <n v="1"/>
  </r>
  <r>
    <m/>
    <m/>
    <x v="1"/>
    <s v="65553145001001"/>
    <n v="-68.209999999999994"/>
    <n v="1676"/>
    <n v="1"/>
    <n v="1"/>
  </r>
  <r>
    <m/>
    <m/>
    <x v="1"/>
    <s v="65622408001002"/>
    <n v="-67.319999999999993"/>
    <n v="1654"/>
    <n v="1"/>
    <n v="1"/>
  </r>
  <r>
    <m/>
    <m/>
    <x v="1"/>
    <s v="65734956001007"/>
    <n v="-77.489999999999995"/>
    <n v="1904"/>
    <n v="1"/>
    <n v="1"/>
  </r>
  <r>
    <m/>
    <m/>
    <x v="1"/>
    <s v="65819822001001"/>
    <n v="-8.83"/>
    <n v="217"/>
    <n v="1"/>
    <n v="1"/>
  </r>
  <r>
    <m/>
    <m/>
    <x v="1"/>
    <s v="65839251002007"/>
    <n v="-33.46"/>
    <n v="822"/>
    <n v="1"/>
    <n v="1"/>
  </r>
  <r>
    <m/>
    <m/>
    <x v="1"/>
    <s v="66094656001005"/>
    <n v="-33.58"/>
    <n v="825"/>
    <n v="1"/>
    <n v="1"/>
  </r>
  <r>
    <m/>
    <m/>
    <x v="1"/>
    <s v="66136740001003"/>
    <n v="-73.38"/>
    <n v="1803"/>
    <n v="1"/>
    <n v="1"/>
  </r>
  <r>
    <m/>
    <m/>
    <x v="1"/>
    <s v="66418644001004"/>
    <n v="-67.849999999999994"/>
    <n v="1667"/>
    <n v="1"/>
    <n v="1"/>
  </r>
  <r>
    <m/>
    <m/>
    <x v="1"/>
    <s v="66455859001001"/>
    <n v="-12.49"/>
    <n v="307"/>
    <n v="1"/>
    <n v="1"/>
  </r>
  <r>
    <m/>
    <m/>
    <x v="1"/>
    <s v="66498540001001"/>
    <n v="-19.29"/>
    <n v="474"/>
    <n v="1"/>
    <n v="1"/>
  </r>
  <r>
    <m/>
    <m/>
    <x v="1"/>
    <s v="66541721002003"/>
    <n v="-59.58"/>
    <n v="1464"/>
    <n v="1"/>
    <n v="1"/>
  </r>
  <r>
    <m/>
    <m/>
    <x v="1"/>
    <s v="67060193001001"/>
    <n v="-36.67"/>
    <n v="901"/>
    <n v="1"/>
    <n v="1"/>
  </r>
  <r>
    <m/>
    <m/>
    <x v="1"/>
    <s v="67083125001001"/>
    <n v="-59.46"/>
    <n v="1461"/>
    <n v="1"/>
    <n v="1"/>
  </r>
  <r>
    <m/>
    <m/>
    <x v="1"/>
    <s v="67204908002001"/>
    <n v="-49.45"/>
    <n v="1215"/>
    <n v="1"/>
    <n v="1"/>
  </r>
  <r>
    <m/>
    <m/>
    <x v="1"/>
    <s v="67271689001005"/>
    <n v="-54.46"/>
    <n v="1338"/>
    <n v="1"/>
    <n v="1"/>
  </r>
  <r>
    <m/>
    <m/>
    <x v="1"/>
    <s v="67399952001001"/>
    <n v="-121.82"/>
    <n v="2993"/>
    <n v="1"/>
    <n v="1"/>
  </r>
  <r>
    <m/>
    <m/>
    <x v="1"/>
    <s v="67401944001001"/>
    <n v="-124.5"/>
    <n v="3059"/>
    <n v="1"/>
    <n v="1"/>
  </r>
  <r>
    <m/>
    <m/>
    <x v="1"/>
    <s v="67440113001009"/>
    <n v="-24.22"/>
    <n v="595"/>
    <n v="1"/>
    <n v="1"/>
  </r>
  <r>
    <m/>
    <m/>
    <x v="1"/>
    <s v="67479940002009"/>
    <n v="-55.72"/>
    <n v="1369"/>
    <n v="1"/>
    <n v="1"/>
  </r>
  <r>
    <m/>
    <m/>
    <x v="1"/>
    <s v="67629881002003"/>
    <n v="-52.75"/>
    <n v="1296"/>
    <n v="1"/>
    <n v="1"/>
  </r>
  <r>
    <m/>
    <m/>
    <x v="1"/>
    <s v="67650637001001"/>
    <n v="-25.68"/>
    <n v="631"/>
    <n v="1"/>
    <n v="1"/>
  </r>
  <r>
    <m/>
    <m/>
    <x v="1"/>
    <s v="67745822001001"/>
    <n v="-65.040000000000006"/>
    <n v="1598"/>
    <n v="1"/>
    <n v="1"/>
  </r>
  <r>
    <m/>
    <m/>
    <x v="1"/>
    <s v="67782140001005"/>
    <n v="-21.2"/>
    <n v="521"/>
    <n v="1"/>
    <n v="1"/>
  </r>
  <r>
    <m/>
    <m/>
    <x v="1"/>
    <s v="67805859001001"/>
    <n v="-81.239999999999995"/>
    <n v="1996"/>
    <n v="1"/>
    <n v="1"/>
  </r>
  <r>
    <m/>
    <m/>
    <x v="1"/>
    <s v="67822527001001"/>
    <n v="-44.57"/>
    <n v="1095"/>
    <n v="1"/>
    <n v="1"/>
  </r>
  <r>
    <m/>
    <m/>
    <x v="1"/>
    <s v="68031934001001"/>
    <n v="-58.12"/>
    <n v="1428"/>
    <n v="1"/>
    <n v="1"/>
  </r>
  <r>
    <m/>
    <m/>
    <x v="1"/>
    <s v="68121219001001"/>
    <n v="-12.66"/>
    <n v="311"/>
    <n v="1"/>
    <n v="1"/>
  </r>
  <r>
    <m/>
    <m/>
    <x v="1"/>
    <s v="68221241001001"/>
    <n v="-17.46"/>
    <n v="429"/>
    <n v="1"/>
    <n v="1"/>
  </r>
  <r>
    <m/>
    <m/>
    <x v="1"/>
    <s v="68251608001001"/>
    <n v="-28.16"/>
    <n v="692"/>
    <n v="1"/>
    <n v="1"/>
  </r>
  <r>
    <m/>
    <m/>
    <x v="1"/>
    <s v="68261372001003"/>
    <n v="-31.75"/>
    <n v="780"/>
    <n v="1"/>
    <n v="1"/>
  </r>
  <r>
    <m/>
    <m/>
    <x v="1"/>
    <s v="68362600001007"/>
    <n v="-92.39"/>
    <n v="2270"/>
    <n v="1"/>
    <n v="1"/>
  </r>
  <r>
    <m/>
    <m/>
    <x v="1"/>
    <s v="68373597002003"/>
    <n v="-43.22"/>
    <n v="1062"/>
    <n v="1"/>
    <n v="1"/>
  </r>
  <r>
    <m/>
    <m/>
    <x v="1"/>
    <s v="68374425001001"/>
    <n v="-104.44"/>
    <n v="2566"/>
    <n v="1"/>
    <n v="1"/>
  </r>
  <r>
    <m/>
    <m/>
    <x v="1"/>
    <s v="68382740001008"/>
    <n v="-3.01"/>
    <n v="74"/>
    <n v="1"/>
    <n v="1"/>
  </r>
  <r>
    <m/>
    <m/>
    <x v="1"/>
    <s v="68400908001007"/>
    <n v="-89.54"/>
    <n v="2200"/>
    <n v="1"/>
    <n v="1"/>
  </r>
  <r>
    <m/>
    <m/>
    <x v="1"/>
    <s v="68438637001001"/>
    <n v="-85.02"/>
    <n v="2089"/>
    <n v="2"/>
    <n v="1"/>
  </r>
  <r>
    <m/>
    <m/>
    <x v="1"/>
    <s v="68441476001004"/>
    <n v="-80.5"/>
    <n v="1978"/>
    <n v="1"/>
    <n v="1"/>
  </r>
  <r>
    <m/>
    <m/>
    <x v="1"/>
    <s v="68497807001010"/>
    <n v="-65.97"/>
    <n v="1621"/>
    <n v="1"/>
    <n v="1"/>
  </r>
  <r>
    <m/>
    <m/>
    <x v="1"/>
    <s v="68561006001001"/>
    <n v="-46.07"/>
    <n v="1132"/>
    <n v="1"/>
    <n v="1"/>
  </r>
  <r>
    <m/>
    <m/>
    <x v="1"/>
    <s v="68562129001001"/>
    <n v="-61.74"/>
    <n v="1517"/>
    <n v="1"/>
    <n v="1"/>
  </r>
  <r>
    <m/>
    <m/>
    <x v="1"/>
    <s v="68616474001004"/>
    <n v="-68.13"/>
    <n v="1674"/>
    <n v="1"/>
    <n v="1"/>
  </r>
  <r>
    <m/>
    <m/>
    <x v="1"/>
    <s v="68631709001005"/>
    <n v="-27.23"/>
    <n v="669"/>
    <n v="1"/>
    <n v="1"/>
  </r>
  <r>
    <m/>
    <m/>
    <x v="1"/>
    <s v="68665924002001"/>
    <n v="-85.31"/>
    <n v="2096"/>
    <n v="1"/>
    <n v="1"/>
  </r>
  <r>
    <m/>
    <m/>
    <x v="1"/>
    <s v="68732877001001"/>
    <n v="-42.17"/>
    <n v="1036"/>
    <n v="1"/>
    <n v="1"/>
  </r>
  <r>
    <m/>
    <m/>
    <x v="1"/>
    <s v="68845646002005"/>
    <n v="-34.72"/>
    <n v="853"/>
    <n v="1"/>
    <n v="1"/>
  </r>
  <r>
    <m/>
    <m/>
    <x v="1"/>
    <s v="68885602001001"/>
    <n v="-31.18"/>
    <n v="766"/>
    <n v="1"/>
    <n v="1"/>
  </r>
  <r>
    <m/>
    <m/>
    <x v="1"/>
    <s v="68940427001001"/>
    <n v="-44.61"/>
    <n v="1096"/>
    <n v="1"/>
    <n v="1"/>
  </r>
  <r>
    <m/>
    <m/>
    <x v="1"/>
    <s v="69000077001002"/>
    <n v="-126.05"/>
    <n v="3097"/>
    <n v="1"/>
    <n v="1"/>
  </r>
  <r>
    <m/>
    <m/>
    <x v="1"/>
    <s v="69028266002003"/>
    <n v="-22.34"/>
    <n v="549"/>
    <n v="1"/>
    <n v="1"/>
  </r>
  <r>
    <m/>
    <m/>
    <x v="1"/>
    <s v="69135376002001"/>
    <n v="-49.69"/>
    <n v="1221"/>
    <n v="1"/>
    <n v="1"/>
  </r>
  <r>
    <m/>
    <m/>
    <x v="1"/>
    <s v="69175081002005"/>
    <n v="-91.09"/>
    <n v="2238"/>
    <n v="1"/>
    <n v="1"/>
  </r>
  <r>
    <m/>
    <m/>
    <x v="1"/>
    <s v="69212535001003"/>
    <n v="-38.1"/>
    <n v="936"/>
    <n v="1"/>
    <n v="1"/>
  </r>
  <r>
    <m/>
    <m/>
    <x v="1"/>
    <s v="69287220001001"/>
    <n v="-1.79"/>
    <n v="44"/>
    <n v="1"/>
    <n v="1"/>
  </r>
  <r>
    <m/>
    <m/>
    <x v="1"/>
    <s v="69413741001001"/>
    <n v="-46.56"/>
    <n v="1144"/>
    <n v="1"/>
    <n v="1"/>
  </r>
  <r>
    <m/>
    <m/>
    <x v="1"/>
    <s v="69455470001001"/>
    <n v="-34.68"/>
    <n v="852"/>
    <n v="1"/>
    <n v="1"/>
  </r>
  <r>
    <m/>
    <m/>
    <x v="1"/>
    <s v="69552955001005"/>
    <n v="-37.89"/>
    <n v="931"/>
    <n v="1"/>
    <n v="1"/>
  </r>
  <r>
    <m/>
    <m/>
    <x v="1"/>
    <s v="69570598001001"/>
    <n v="-91.49"/>
    <n v="2248"/>
    <n v="1"/>
    <n v="1"/>
  </r>
  <r>
    <m/>
    <m/>
    <x v="1"/>
    <s v="69692573001005"/>
    <n v="-61.74"/>
    <n v="1517"/>
    <n v="1"/>
    <n v="1"/>
  </r>
  <r>
    <m/>
    <m/>
    <x v="1"/>
    <s v="69726976003004"/>
    <n v="-20.51"/>
    <n v="504"/>
    <n v="1"/>
    <n v="1"/>
  </r>
  <r>
    <m/>
    <m/>
    <x v="1"/>
    <s v="69776815003001"/>
    <n v="-49.86"/>
    <n v="1225"/>
    <n v="1"/>
    <n v="1"/>
  </r>
  <r>
    <m/>
    <m/>
    <x v="1"/>
    <s v="69778160001001"/>
    <n v="-76.31"/>
    <n v="1875"/>
    <n v="1"/>
    <n v="1"/>
  </r>
  <r>
    <m/>
    <m/>
    <x v="1"/>
    <s v="69795270001001"/>
    <n v="-39.799999999999997"/>
    <n v="978"/>
    <n v="1"/>
    <n v="1"/>
  </r>
  <r>
    <m/>
    <m/>
    <x v="1"/>
    <s v="69932677002001"/>
    <n v="-78.709999999999994"/>
    <n v="1934"/>
    <n v="1"/>
    <n v="1"/>
  </r>
  <r>
    <m/>
    <m/>
    <x v="1"/>
    <s v="69952866001005"/>
    <n v="-24.34"/>
    <n v="598"/>
    <n v="1"/>
    <n v="1"/>
  </r>
  <r>
    <m/>
    <m/>
    <x v="1"/>
    <s v="69991566001003"/>
    <n v="-61.29"/>
    <n v="1506"/>
    <n v="1"/>
    <n v="1"/>
  </r>
  <r>
    <m/>
    <m/>
    <x v="1"/>
    <s v="69998683001001"/>
    <n v="-24.5"/>
    <n v="602"/>
    <n v="1"/>
    <n v="1"/>
  </r>
  <r>
    <m/>
    <m/>
    <x v="1"/>
    <s v="70041367001007"/>
    <n v="-10.99"/>
    <n v="270"/>
    <n v="1"/>
    <n v="1"/>
  </r>
  <r>
    <m/>
    <m/>
    <x v="1"/>
    <s v="70196025001001"/>
    <n v="-11.84"/>
    <n v="291"/>
    <n v="1"/>
    <n v="1"/>
  </r>
  <r>
    <m/>
    <m/>
    <x v="1"/>
    <s v="70425264001008"/>
    <n v="-4.76"/>
    <n v="117"/>
    <n v="1"/>
    <n v="1"/>
  </r>
  <r>
    <m/>
    <m/>
    <x v="1"/>
    <s v="70453399001001"/>
    <n v="-26.05"/>
    <n v="640"/>
    <n v="1"/>
    <n v="1"/>
  </r>
  <r>
    <m/>
    <m/>
    <x v="1"/>
    <s v="70468885005005"/>
    <n v="-24.34"/>
    <n v="598"/>
    <n v="1"/>
    <n v="1"/>
  </r>
  <r>
    <m/>
    <m/>
    <x v="1"/>
    <s v="70587997002003"/>
    <n v="-59.91"/>
    <n v="1472"/>
    <n v="1"/>
    <n v="1"/>
  </r>
  <r>
    <m/>
    <m/>
    <x v="1"/>
    <s v="70593073001001"/>
    <n v="-69.11"/>
    <n v="1698"/>
    <n v="1"/>
    <n v="1"/>
  </r>
  <r>
    <m/>
    <m/>
    <x v="1"/>
    <s v="70620955003003"/>
    <n v="-15.47"/>
    <n v="380"/>
    <n v="1"/>
    <n v="1"/>
  </r>
  <r>
    <m/>
    <m/>
    <x v="1"/>
    <s v="70761570001001"/>
    <n v="-39.97"/>
    <n v="982"/>
    <n v="1"/>
    <n v="1"/>
  </r>
  <r>
    <m/>
    <m/>
    <x v="1"/>
    <s v="70804751001003"/>
    <n v="-71.75"/>
    <n v="1763"/>
    <n v="1"/>
    <n v="1"/>
  </r>
  <r>
    <m/>
    <m/>
    <x v="1"/>
    <s v="70914149001001"/>
    <n v="-119.25"/>
    <n v="2930"/>
    <n v="1"/>
    <n v="1"/>
  </r>
  <r>
    <m/>
    <m/>
    <x v="1"/>
    <s v="70922853001003"/>
    <n v="-44.65"/>
    <n v="1097"/>
    <n v="1"/>
    <n v="1"/>
  </r>
  <r>
    <m/>
    <m/>
    <x v="1"/>
    <s v="71047342001002"/>
    <n v="-44.93"/>
    <n v="1104"/>
    <n v="1"/>
    <n v="1"/>
  </r>
  <r>
    <m/>
    <m/>
    <x v="1"/>
    <s v="71067872001007"/>
    <n v="-41.8"/>
    <n v="1027"/>
    <n v="1"/>
    <n v="1"/>
  </r>
  <r>
    <m/>
    <m/>
    <x v="1"/>
    <s v="71079674002001"/>
    <n v="-59.79"/>
    <n v="1469"/>
    <n v="1"/>
    <n v="1"/>
  </r>
  <r>
    <m/>
    <m/>
    <x v="1"/>
    <s v="71196011001009"/>
    <n v="-95.52"/>
    <n v="2347"/>
    <n v="1"/>
    <n v="1"/>
  </r>
  <r>
    <m/>
    <m/>
    <x v="1"/>
    <s v="71197984001001"/>
    <n v="-70.7"/>
    <n v="1737"/>
    <n v="1"/>
    <n v="1"/>
  </r>
  <r>
    <m/>
    <m/>
    <x v="1"/>
    <s v="71339719006001"/>
    <n v="-54.29"/>
    <n v="1334"/>
    <n v="1"/>
    <n v="1"/>
  </r>
  <r>
    <m/>
    <m/>
    <x v="1"/>
    <s v="71391581006001"/>
    <n v="-102.69"/>
    <n v="2523"/>
    <n v="1"/>
    <n v="1"/>
  </r>
  <r>
    <m/>
    <m/>
    <x v="1"/>
    <s v="71502529001003"/>
    <n v="-9.81"/>
    <n v="241"/>
    <n v="1"/>
    <n v="1"/>
  </r>
  <r>
    <m/>
    <m/>
    <x v="1"/>
    <s v="71528185001004"/>
    <n v="-56.53"/>
    <n v="1389"/>
    <n v="1"/>
    <n v="1"/>
  </r>
  <r>
    <m/>
    <m/>
    <x v="1"/>
    <s v="71631192001001"/>
    <n v="-16.93"/>
    <n v="416"/>
    <n v="1"/>
    <n v="1"/>
  </r>
  <r>
    <m/>
    <m/>
    <x v="1"/>
    <s v="71649441001001"/>
    <n v="-67.03"/>
    <n v="1647"/>
    <n v="1"/>
    <n v="1"/>
  </r>
  <r>
    <m/>
    <m/>
    <x v="1"/>
    <s v="71769014004002"/>
    <n v="-76.680000000000007"/>
    <n v="1884"/>
    <n v="1"/>
    <n v="1"/>
  </r>
  <r>
    <m/>
    <m/>
    <x v="1"/>
    <s v="71824810001006"/>
    <n v="-62.39"/>
    <n v="1533"/>
    <n v="1"/>
    <n v="1"/>
  </r>
  <r>
    <m/>
    <m/>
    <x v="1"/>
    <s v="71833276001003"/>
    <n v="-7.49"/>
    <n v="184"/>
    <n v="1"/>
    <n v="1"/>
  </r>
  <r>
    <m/>
    <m/>
    <x v="1"/>
    <s v="72034597001001"/>
    <n v="-72.36"/>
    <n v="1778"/>
    <n v="1"/>
    <n v="1"/>
  </r>
  <r>
    <m/>
    <m/>
    <x v="1"/>
    <s v="72074341001003"/>
    <n v="-159.01"/>
    <n v="3907"/>
    <n v="1"/>
    <n v="1"/>
  </r>
  <r>
    <m/>
    <m/>
    <x v="1"/>
    <s v="72163255001003"/>
    <n v="-15.22"/>
    <n v="374"/>
    <n v="1"/>
    <n v="1"/>
  </r>
  <r>
    <m/>
    <m/>
    <x v="1"/>
    <s v="72174875001001"/>
    <n v="-40.94"/>
    <n v="1006"/>
    <n v="1"/>
    <n v="1"/>
  </r>
  <r>
    <m/>
    <m/>
    <x v="1"/>
    <s v="72209762001001"/>
    <n v="-17.79"/>
    <n v="437"/>
    <n v="1"/>
    <n v="1"/>
  </r>
  <r>
    <m/>
    <m/>
    <x v="1"/>
    <s v="72237773002003"/>
    <n v="-71.75"/>
    <n v="1763"/>
    <n v="1"/>
    <n v="1"/>
  </r>
  <r>
    <m/>
    <m/>
    <x v="1"/>
    <s v="72281719002001"/>
    <n v="-24.38"/>
    <n v="599"/>
    <n v="1"/>
    <n v="1"/>
  </r>
  <r>
    <m/>
    <m/>
    <x v="1"/>
    <s v="72349625001002"/>
    <n v="-1.83"/>
    <n v="45"/>
    <n v="1"/>
    <n v="1"/>
  </r>
  <r>
    <m/>
    <m/>
    <x v="1"/>
    <s v="72459581001010"/>
    <n v="-89.58"/>
    <n v="2201"/>
    <n v="1"/>
    <n v="1"/>
  </r>
  <r>
    <m/>
    <m/>
    <x v="1"/>
    <s v="72521223001005"/>
    <n v="-12.21"/>
    <n v="300"/>
    <n v="1"/>
    <n v="1"/>
  </r>
  <r>
    <m/>
    <m/>
    <x v="1"/>
    <s v="72634089001009"/>
    <n v="-59.83"/>
    <n v="1470"/>
    <n v="1"/>
    <n v="1"/>
  </r>
  <r>
    <m/>
    <m/>
    <x v="1"/>
    <s v="72649617001013"/>
    <n v="-38.26"/>
    <n v="940"/>
    <n v="1"/>
    <n v="1"/>
  </r>
  <r>
    <m/>
    <m/>
    <x v="1"/>
    <s v="72668251001001"/>
    <n v="-63.25"/>
    <n v="1554"/>
    <n v="1"/>
    <n v="1"/>
  </r>
  <r>
    <m/>
    <m/>
    <x v="1"/>
    <s v="72693737001001"/>
    <n v="-105.7"/>
    <n v="2597"/>
    <n v="1"/>
    <n v="1"/>
  </r>
  <r>
    <m/>
    <m/>
    <x v="1"/>
    <s v="72779015001004"/>
    <n v="-104.27"/>
    <n v="2562"/>
    <n v="1"/>
    <n v="1"/>
  </r>
  <r>
    <m/>
    <m/>
    <x v="1"/>
    <s v="72889636001003"/>
    <n v="-116.24"/>
    <n v="2856"/>
    <n v="1"/>
    <n v="1"/>
  </r>
  <r>
    <m/>
    <m/>
    <x v="1"/>
    <s v="72946000004001"/>
    <n v="-76.760000000000005"/>
    <n v="1886"/>
    <n v="1"/>
    <n v="1"/>
  </r>
  <r>
    <m/>
    <m/>
    <x v="1"/>
    <s v="72971733002003"/>
    <n v="-26.41"/>
    <n v="649"/>
    <n v="1"/>
    <n v="1"/>
  </r>
  <r>
    <m/>
    <m/>
    <x v="1"/>
    <s v="72993733003001"/>
    <n v="-63.86"/>
    <n v="1569"/>
    <n v="1"/>
    <n v="1"/>
  </r>
  <r>
    <m/>
    <m/>
    <x v="1"/>
    <s v="73047819001004"/>
    <n v="-29.96"/>
    <n v="736"/>
    <n v="1"/>
    <n v="1"/>
  </r>
  <r>
    <m/>
    <m/>
    <x v="1"/>
    <s v="73073162002001"/>
    <n v="-14.57"/>
    <n v="358"/>
    <n v="1"/>
    <n v="1"/>
  </r>
  <r>
    <m/>
    <m/>
    <x v="1"/>
    <s v="73088070001002"/>
    <n v="-26.7"/>
    <n v="656"/>
    <n v="1"/>
    <n v="1"/>
  </r>
  <r>
    <m/>
    <m/>
    <x v="1"/>
    <s v="73108651001003"/>
    <n v="-18.72"/>
    <n v="460"/>
    <n v="1"/>
    <n v="1"/>
  </r>
  <r>
    <m/>
    <m/>
    <x v="1"/>
    <s v="73173555001001"/>
    <n v="-94.1"/>
    <n v="2312"/>
    <n v="1"/>
    <n v="1"/>
  </r>
  <r>
    <m/>
    <m/>
    <x v="1"/>
    <s v="73183610001001"/>
    <n v="-31.46"/>
    <n v="773"/>
    <n v="1"/>
    <n v="1"/>
  </r>
  <r>
    <m/>
    <m/>
    <x v="1"/>
    <s v="73257691001002"/>
    <n v="-23.32"/>
    <n v="573"/>
    <n v="1"/>
    <n v="1"/>
  </r>
  <r>
    <m/>
    <m/>
    <x v="1"/>
    <s v="73396535001003"/>
    <n v="-48.27"/>
    <n v="1186"/>
    <n v="1"/>
    <n v="1"/>
  </r>
  <r>
    <m/>
    <m/>
    <x v="1"/>
    <s v="73413066001003"/>
    <n v="-31.95"/>
    <n v="785"/>
    <n v="1"/>
    <n v="1"/>
  </r>
  <r>
    <m/>
    <m/>
    <x v="1"/>
    <s v="73496965001001"/>
    <n v="-86.94"/>
    <n v="2136"/>
    <n v="1"/>
    <n v="1"/>
  </r>
  <r>
    <m/>
    <m/>
    <x v="1"/>
    <s v="73571632001001"/>
    <n v="-37.93"/>
    <n v="932"/>
    <n v="1"/>
    <n v="1"/>
  </r>
  <r>
    <m/>
    <m/>
    <x v="1"/>
    <s v="73718834002001"/>
    <n v="-75.66"/>
    <n v="1859"/>
    <n v="1"/>
    <n v="1"/>
  </r>
  <r>
    <m/>
    <m/>
    <x v="1"/>
    <s v="73774640001002"/>
    <n v="-67.72"/>
    <n v="1664"/>
    <n v="1"/>
    <n v="1"/>
  </r>
  <r>
    <m/>
    <m/>
    <x v="1"/>
    <s v="73774824001005"/>
    <n v="-74.97"/>
    <n v="1842"/>
    <n v="1"/>
    <n v="1"/>
  </r>
  <r>
    <m/>
    <m/>
    <x v="1"/>
    <s v="73887552001001"/>
    <n v="-25.19"/>
    <n v="619"/>
    <n v="1"/>
    <n v="1"/>
  </r>
  <r>
    <m/>
    <m/>
    <x v="1"/>
    <s v="73935992001002"/>
    <n v="-112.09"/>
    <n v="2754"/>
    <n v="1"/>
    <n v="1"/>
  </r>
  <r>
    <m/>
    <m/>
    <x v="1"/>
    <s v="74037047001002"/>
    <n v="-28.82"/>
    <n v="708"/>
    <n v="1"/>
    <n v="1"/>
  </r>
  <r>
    <m/>
    <m/>
    <x v="1"/>
    <s v="74055933001001"/>
    <n v="-126.17"/>
    <n v="3100"/>
    <n v="1"/>
    <n v="1"/>
  </r>
  <r>
    <m/>
    <m/>
    <x v="1"/>
    <s v="74076340001003"/>
    <n v="-19.78"/>
    <n v="486"/>
    <n v="1"/>
    <n v="1"/>
  </r>
  <r>
    <m/>
    <m/>
    <x v="1"/>
    <s v="74242350003001"/>
    <n v="-43.83"/>
    <n v="1077"/>
    <n v="1"/>
    <n v="1"/>
  </r>
  <r>
    <m/>
    <m/>
    <x v="1"/>
    <s v="74312616001001"/>
    <n v="-63.74"/>
    <n v="1566"/>
    <n v="1"/>
    <n v="1"/>
  </r>
  <r>
    <m/>
    <m/>
    <x v="1"/>
    <s v="74325215001001"/>
    <n v="-39.28"/>
    <n v="965"/>
    <n v="1"/>
    <n v="1"/>
  </r>
  <r>
    <m/>
    <m/>
    <x v="1"/>
    <s v="74349005002009"/>
    <n v="-10.18"/>
    <n v="250"/>
    <n v="1"/>
    <n v="1"/>
  </r>
  <r>
    <m/>
    <m/>
    <x v="1"/>
    <s v="74369035001005"/>
    <n v="-45.67"/>
    <n v="1122"/>
    <n v="1"/>
    <n v="1"/>
  </r>
  <r>
    <m/>
    <m/>
    <x v="1"/>
    <s v="74386329001002"/>
    <n v="-48.8"/>
    <n v="1199"/>
    <n v="1"/>
    <n v="1"/>
  </r>
  <r>
    <m/>
    <m/>
    <x v="1"/>
    <s v="74429992001006"/>
    <n v="-66.42"/>
    <n v="1632"/>
    <n v="1"/>
    <n v="1"/>
  </r>
  <r>
    <m/>
    <m/>
    <x v="1"/>
    <s v="74432140004001"/>
    <n v="-33.700000000000003"/>
    <n v="828"/>
    <n v="1"/>
    <n v="1"/>
  </r>
  <r>
    <m/>
    <m/>
    <x v="1"/>
    <s v="74440719001001"/>
    <n v="-11.6"/>
    <n v="285"/>
    <n v="1"/>
    <n v="1"/>
  </r>
  <r>
    <m/>
    <m/>
    <x v="1"/>
    <s v="74601184002001"/>
    <n v="-81.48"/>
    <n v="2002"/>
    <n v="1"/>
    <n v="1"/>
  </r>
  <r>
    <m/>
    <m/>
    <x v="1"/>
    <s v="74802804001001"/>
    <n v="-58.65"/>
    <n v="1441"/>
    <n v="1"/>
    <n v="1"/>
  </r>
  <r>
    <m/>
    <m/>
    <x v="1"/>
    <s v="74881596001001"/>
    <n v="-3.17"/>
    <n v="78"/>
    <n v="1"/>
    <n v="1"/>
  </r>
  <r>
    <m/>
    <m/>
    <x v="1"/>
    <s v="74921730001003"/>
    <n v="-51.81"/>
    <n v="1273"/>
    <n v="1"/>
    <n v="1"/>
  </r>
  <r>
    <m/>
    <m/>
    <x v="1"/>
    <s v="74967292001001"/>
    <n v="-27.15"/>
    <n v="667"/>
    <n v="1"/>
    <n v="1"/>
  </r>
  <r>
    <m/>
    <m/>
    <x v="1"/>
    <s v="74982765004003"/>
    <n v="-102.97"/>
    <n v="2530"/>
    <n v="1"/>
    <n v="1"/>
  </r>
  <r>
    <m/>
    <m/>
    <x v="1"/>
    <s v="74985601001004"/>
    <n v="-62.84"/>
    <n v="1544"/>
    <n v="1"/>
    <n v="1"/>
  </r>
  <r>
    <m/>
    <m/>
    <x v="1"/>
    <s v="75195091001003"/>
    <n v="-48.35"/>
    <n v="1188"/>
    <n v="1"/>
    <n v="1"/>
  </r>
  <r>
    <m/>
    <m/>
    <x v="1"/>
    <s v="75378727001005"/>
    <n v="-44.53"/>
    <n v="1094"/>
    <n v="1"/>
    <n v="1"/>
  </r>
  <r>
    <m/>
    <m/>
    <x v="1"/>
    <s v="75436572002003"/>
    <n v="-45.26"/>
    <n v="1112"/>
    <n v="1"/>
    <n v="1"/>
  </r>
  <r>
    <m/>
    <m/>
    <x v="1"/>
    <s v="75453212001001"/>
    <n v="-40.98"/>
    <n v="1007"/>
    <n v="1"/>
    <n v="1"/>
  </r>
  <r>
    <m/>
    <m/>
    <x v="1"/>
    <s v="75656650001006"/>
    <n v="-66.83"/>
    <n v="1642"/>
    <n v="1"/>
    <n v="1"/>
  </r>
  <r>
    <m/>
    <m/>
    <x v="1"/>
    <s v="75675274001003"/>
    <n v="-19.940000000000001"/>
    <n v="490"/>
    <n v="1"/>
    <n v="1"/>
  </r>
  <r>
    <m/>
    <m/>
    <x v="1"/>
    <s v="75758051001005"/>
    <n v="-34.39"/>
    <n v="845"/>
    <n v="1"/>
    <n v="1"/>
  </r>
  <r>
    <m/>
    <m/>
    <x v="1"/>
    <s v="75764971002001"/>
    <n v="-18.68"/>
    <n v="459"/>
    <n v="1"/>
    <n v="1"/>
  </r>
  <r>
    <m/>
    <m/>
    <x v="1"/>
    <s v="75795046001003"/>
    <n v="-51.04"/>
    <n v="1254"/>
    <n v="1"/>
    <n v="1"/>
  </r>
  <r>
    <m/>
    <m/>
    <x v="1"/>
    <s v="75932167001003"/>
    <n v="-28.45"/>
    <n v="699"/>
    <n v="1"/>
    <n v="1"/>
  </r>
  <r>
    <m/>
    <m/>
    <x v="1"/>
    <s v="75977479001003"/>
    <n v="-71.02"/>
    <n v="1745"/>
    <n v="1"/>
    <n v="1"/>
  </r>
  <r>
    <m/>
    <m/>
    <x v="1"/>
    <s v="76010246001001"/>
    <n v="-26.78"/>
    <n v="658"/>
    <n v="1"/>
    <n v="1"/>
  </r>
  <r>
    <m/>
    <m/>
    <x v="1"/>
    <s v="76205410001002"/>
    <n v="-50.1"/>
    <n v="1231"/>
    <n v="1"/>
    <n v="1"/>
  </r>
  <r>
    <m/>
    <m/>
    <x v="1"/>
    <s v="76321169001002"/>
    <n v="-39.89"/>
    <n v="980"/>
    <n v="1"/>
    <n v="1"/>
  </r>
  <r>
    <m/>
    <m/>
    <x v="1"/>
    <s v="76381196002001"/>
    <n v="-82.46"/>
    <n v="2026"/>
    <n v="1"/>
    <n v="1"/>
  </r>
  <r>
    <m/>
    <m/>
    <x v="1"/>
    <s v="76400076002003"/>
    <n v="-78.63"/>
    <n v="1932"/>
    <n v="1"/>
    <n v="1"/>
  </r>
  <r>
    <m/>
    <m/>
    <x v="1"/>
    <s v="76563942002003"/>
    <n v="-40.78"/>
    <n v="1002"/>
    <n v="1"/>
    <n v="1"/>
  </r>
  <r>
    <m/>
    <m/>
    <x v="1"/>
    <s v="76608992001003"/>
    <n v="-29.91"/>
    <n v="735"/>
    <n v="1"/>
    <n v="1"/>
  </r>
  <r>
    <m/>
    <m/>
    <x v="1"/>
    <s v="76614777003003"/>
    <n v="-127.84"/>
    <n v="3141"/>
    <n v="1"/>
    <n v="1"/>
  </r>
  <r>
    <m/>
    <m/>
    <x v="1"/>
    <s v="76680484001004"/>
    <n v="-92.47"/>
    <n v="2272"/>
    <n v="1"/>
    <n v="1"/>
  </r>
  <r>
    <m/>
    <m/>
    <x v="1"/>
    <s v="76834821003003"/>
    <n v="-14.41"/>
    <n v="354"/>
    <n v="1"/>
    <n v="1"/>
  </r>
  <r>
    <m/>
    <m/>
    <x v="1"/>
    <s v="76893121001007"/>
    <n v="-64.430000000000007"/>
    <n v="1583"/>
    <n v="1"/>
    <n v="1"/>
  </r>
  <r>
    <m/>
    <m/>
    <x v="1"/>
    <s v="76903196001004"/>
    <n v="-65.89"/>
    <n v="1619"/>
    <n v="1"/>
    <n v="1"/>
  </r>
  <r>
    <m/>
    <m/>
    <x v="1"/>
    <s v="76944469001001"/>
    <n v="-81.48"/>
    <n v="2002"/>
    <n v="1"/>
    <n v="1"/>
  </r>
  <r>
    <m/>
    <m/>
    <x v="1"/>
    <s v="77028597002005"/>
    <n v="-19.37"/>
    <n v="476"/>
    <n v="1"/>
    <n v="1"/>
  </r>
  <r>
    <m/>
    <m/>
    <x v="1"/>
    <s v="77053776001001"/>
    <n v="-6.02"/>
    <n v="148"/>
    <n v="1"/>
    <n v="1"/>
  </r>
  <r>
    <m/>
    <m/>
    <x v="1"/>
    <s v="77098046002002"/>
    <n v="-28.69"/>
    <n v="705"/>
    <n v="1"/>
    <n v="1"/>
  </r>
  <r>
    <m/>
    <m/>
    <x v="1"/>
    <s v="77102966001003"/>
    <n v="-37.159999999999997"/>
    <n v="913"/>
    <n v="1"/>
    <n v="1"/>
  </r>
  <r>
    <m/>
    <m/>
    <x v="1"/>
    <s v="77313318003001"/>
    <n v="-71.27"/>
    <n v="1751"/>
    <n v="1"/>
    <n v="1"/>
  </r>
  <r>
    <m/>
    <m/>
    <x v="1"/>
    <s v="77408957003001"/>
    <n v="-70.61"/>
    <n v="1735"/>
    <n v="1"/>
    <n v="1"/>
  </r>
  <r>
    <m/>
    <m/>
    <x v="1"/>
    <s v="77426157006001"/>
    <n v="-20.11"/>
    <n v="494"/>
    <n v="1"/>
    <n v="1"/>
  </r>
  <r>
    <m/>
    <m/>
    <x v="1"/>
    <s v="77464420009001"/>
    <n v="-57.71"/>
    <n v="1418"/>
    <n v="1"/>
    <n v="1"/>
  </r>
  <r>
    <m/>
    <m/>
    <x v="1"/>
    <s v="77501830002003"/>
    <n v="-20.350000000000001"/>
    <n v="500"/>
    <n v="1"/>
    <n v="1"/>
  </r>
  <r>
    <m/>
    <m/>
    <x v="1"/>
    <s v="77681333001007"/>
    <n v="-57.1"/>
    <n v="1403"/>
    <n v="1"/>
    <n v="1"/>
  </r>
  <r>
    <m/>
    <m/>
    <x v="1"/>
    <s v="77743243001001"/>
    <n v="-36.71"/>
    <n v="902"/>
    <n v="1"/>
    <n v="1"/>
  </r>
  <r>
    <m/>
    <m/>
    <x v="1"/>
    <s v="77965715001003"/>
    <n v="-43.55"/>
    <n v="1070"/>
    <n v="1"/>
    <n v="1"/>
  </r>
  <r>
    <m/>
    <m/>
    <x v="1"/>
    <s v="77965745001001"/>
    <n v="-65.319999999999993"/>
    <n v="1605"/>
    <n v="1"/>
    <n v="1"/>
  </r>
  <r>
    <m/>
    <m/>
    <x v="1"/>
    <s v="78170608001003"/>
    <n v="-57.71"/>
    <n v="1418"/>
    <n v="1"/>
    <n v="1"/>
  </r>
  <r>
    <m/>
    <m/>
    <x v="1"/>
    <s v="78288740003001"/>
    <n v="-149.57"/>
    <n v="3675"/>
    <n v="1"/>
    <n v="1"/>
  </r>
  <r>
    <m/>
    <m/>
    <x v="1"/>
    <s v="78305476001002"/>
    <n v="-60.85"/>
    <n v="1495"/>
    <n v="1"/>
    <n v="1"/>
  </r>
  <r>
    <m/>
    <m/>
    <x v="1"/>
    <s v="78319567001011"/>
    <n v="-53.15"/>
    <n v="1306"/>
    <n v="1"/>
    <n v="1"/>
  </r>
  <r>
    <m/>
    <m/>
    <x v="1"/>
    <s v="78344001001008"/>
    <n v="-22.26"/>
    <n v="547"/>
    <n v="1"/>
    <n v="1"/>
  </r>
  <r>
    <m/>
    <m/>
    <x v="1"/>
    <s v="78408331001003"/>
    <n v="-36.71"/>
    <n v="902"/>
    <n v="1"/>
    <n v="1"/>
  </r>
  <r>
    <m/>
    <m/>
    <x v="1"/>
    <s v="78621225002001"/>
    <n v="-75.62"/>
    <n v="1858"/>
    <n v="1"/>
    <n v="1"/>
  </r>
  <r>
    <m/>
    <m/>
    <x v="1"/>
    <s v="78709729003001"/>
    <n v="-47.94"/>
    <n v="1178"/>
    <n v="1"/>
    <n v="1"/>
  </r>
  <r>
    <m/>
    <m/>
    <x v="1"/>
    <s v="78933573001002"/>
    <n v="-83.39"/>
    <n v="2049"/>
    <n v="1"/>
    <n v="1"/>
  </r>
  <r>
    <m/>
    <m/>
    <x v="1"/>
    <s v="79021044002001"/>
    <n v="-75.010000000000005"/>
    <n v="1843"/>
    <n v="1"/>
    <n v="1"/>
  </r>
  <r>
    <m/>
    <m/>
    <x v="1"/>
    <s v="79030418001001"/>
    <n v="-53.4"/>
    <n v="1312"/>
    <n v="1"/>
    <n v="1"/>
  </r>
  <r>
    <m/>
    <m/>
    <x v="1"/>
    <s v="79100730002005"/>
    <n v="-52.54"/>
    <n v="1291"/>
    <n v="1"/>
    <n v="1"/>
  </r>
  <r>
    <m/>
    <m/>
    <x v="1"/>
    <s v="79103866001003"/>
    <n v="-10.74"/>
    <n v="264"/>
    <n v="1"/>
    <n v="1"/>
  </r>
  <r>
    <m/>
    <m/>
    <x v="1"/>
    <s v="79209847002003"/>
    <n v="-51.24"/>
    <n v="1259"/>
    <n v="1"/>
    <n v="1"/>
  </r>
  <r>
    <m/>
    <m/>
    <x v="1"/>
    <s v="79262329001005"/>
    <n v="-55.43"/>
    <n v="1362"/>
    <n v="1"/>
    <n v="1"/>
  </r>
  <r>
    <m/>
    <m/>
    <x v="1"/>
    <s v="79306812001001"/>
    <n v="-61.5"/>
    <n v="1511"/>
    <n v="1"/>
    <n v="1"/>
  </r>
  <r>
    <m/>
    <m/>
    <x v="1"/>
    <s v="79543609001001"/>
    <n v="-42.49"/>
    <n v="1044"/>
    <n v="1"/>
    <n v="1"/>
  </r>
  <r>
    <m/>
    <m/>
    <x v="1"/>
    <s v="79576446001001"/>
    <n v="-7.16"/>
    <n v="176"/>
    <n v="1"/>
    <n v="1"/>
  </r>
  <r>
    <m/>
    <m/>
    <x v="1"/>
    <s v="79692122001001"/>
    <n v="-77.290000000000006"/>
    <n v="1899"/>
    <n v="1"/>
    <n v="1"/>
  </r>
  <r>
    <m/>
    <m/>
    <x v="1"/>
    <s v="79770536002001"/>
    <n v="-127.76"/>
    <n v="3139"/>
    <n v="1"/>
    <n v="1"/>
  </r>
  <r>
    <m/>
    <m/>
    <x v="1"/>
    <s v="79804496001003"/>
    <n v="-28.41"/>
    <n v="698"/>
    <n v="1"/>
    <n v="1"/>
  </r>
  <r>
    <m/>
    <m/>
    <x v="1"/>
    <s v="79923140001002"/>
    <n v="-80.55"/>
    <n v="1979"/>
    <n v="1"/>
    <n v="1"/>
  </r>
  <r>
    <m/>
    <m/>
    <x v="1"/>
    <s v="79955342001001"/>
    <n v="-92.88"/>
    <n v="2282"/>
    <n v="1"/>
    <n v="1"/>
  </r>
  <r>
    <m/>
    <m/>
    <x v="1"/>
    <s v="79992996001001"/>
    <n v="-101.14"/>
    <n v="2485"/>
    <n v="1"/>
    <n v="1"/>
  </r>
  <r>
    <m/>
    <m/>
    <x v="1"/>
    <s v="80342056002002"/>
    <n v="-25.32"/>
    <n v="622"/>
    <n v="1"/>
    <n v="1"/>
  </r>
  <r>
    <m/>
    <m/>
    <x v="1"/>
    <s v="80429336001003"/>
    <n v="-24.5"/>
    <n v="602"/>
    <n v="1"/>
    <n v="1"/>
  </r>
  <r>
    <m/>
    <m/>
    <x v="1"/>
    <s v="80469234001007"/>
    <n v="-52.5"/>
    <n v="1290"/>
    <n v="1"/>
    <n v="1"/>
  </r>
  <r>
    <m/>
    <m/>
    <x v="1"/>
    <s v="80538341001002"/>
    <n v="-73.459999999999994"/>
    <n v="1805"/>
    <n v="1"/>
    <n v="1"/>
  </r>
  <r>
    <m/>
    <m/>
    <x v="1"/>
    <s v="80547178001002"/>
    <n v="-24.7"/>
    <n v="607"/>
    <n v="1"/>
    <n v="1"/>
  </r>
  <r>
    <m/>
    <m/>
    <x v="1"/>
    <s v="80568343004001"/>
    <n v="-92.31"/>
    <n v="2268"/>
    <n v="1"/>
    <n v="1"/>
  </r>
  <r>
    <m/>
    <m/>
    <x v="1"/>
    <s v="80643686001001"/>
    <n v="-67.81"/>
    <n v="1666"/>
    <n v="1"/>
    <n v="1"/>
  </r>
  <r>
    <m/>
    <m/>
    <x v="1"/>
    <s v="80748492001001"/>
    <n v="-53.15"/>
    <n v="1306"/>
    <n v="1"/>
    <n v="1"/>
  </r>
  <r>
    <m/>
    <m/>
    <x v="1"/>
    <s v="80829169004007"/>
    <n v="-86"/>
    <n v="2113"/>
    <n v="1"/>
    <n v="1"/>
  </r>
  <r>
    <m/>
    <m/>
    <x v="1"/>
    <s v="80917149001001"/>
    <n v="-29.63"/>
    <n v="728"/>
    <n v="1"/>
    <n v="1"/>
  </r>
  <r>
    <m/>
    <m/>
    <x v="1"/>
    <s v="80918426001002"/>
    <n v="-62.31"/>
    <n v="1531"/>
    <n v="1"/>
    <n v="1"/>
  </r>
  <r>
    <m/>
    <m/>
    <x v="1"/>
    <s v="80965084001001"/>
    <n v="-57.92"/>
    <n v="1423"/>
    <n v="1"/>
    <n v="1"/>
  </r>
  <r>
    <m/>
    <m/>
    <x v="1"/>
    <s v="81092601001003"/>
    <n v="-70.86"/>
    <n v="1741"/>
    <n v="1"/>
    <n v="1"/>
  </r>
  <r>
    <m/>
    <m/>
    <x v="1"/>
    <s v="81235844001001"/>
    <n v="-51.65"/>
    <n v="1269"/>
    <n v="1"/>
    <n v="1"/>
  </r>
  <r>
    <m/>
    <m/>
    <x v="1"/>
    <s v="81336263001001"/>
    <n v="-56.74"/>
    <n v="1394"/>
    <n v="1"/>
    <n v="1"/>
  </r>
  <r>
    <m/>
    <m/>
    <x v="1"/>
    <s v="81376958001002"/>
    <n v="-62.6"/>
    <n v="1538"/>
    <n v="1"/>
    <n v="1"/>
  </r>
  <r>
    <m/>
    <m/>
    <x v="1"/>
    <s v="81678039001001"/>
    <n v="-119.05"/>
    <n v="2925"/>
    <n v="1"/>
    <n v="1"/>
  </r>
  <r>
    <m/>
    <m/>
    <x v="1"/>
    <s v="81762889001004"/>
    <n v="-25.48"/>
    <n v="626"/>
    <n v="1"/>
    <n v="1"/>
  </r>
  <r>
    <m/>
    <m/>
    <x v="1"/>
    <s v="81782046001003"/>
    <n v="-67.81"/>
    <n v="1666"/>
    <n v="1"/>
    <n v="1"/>
  </r>
  <r>
    <m/>
    <m/>
    <x v="1"/>
    <s v="81873538001001"/>
    <n v="-40.98"/>
    <n v="1007"/>
    <n v="1"/>
    <n v="1"/>
  </r>
  <r>
    <m/>
    <m/>
    <x v="1"/>
    <s v="81890846004001"/>
    <n v="-78.14"/>
    <n v="1920"/>
    <n v="1"/>
    <n v="1"/>
  </r>
  <r>
    <m/>
    <m/>
    <x v="1"/>
    <s v="81908653002007"/>
    <n v="-73.989999999999995"/>
    <n v="1818"/>
    <n v="1"/>
    <n v="1"/>
  </r>
  <r>
    <m/>
    <m/>
    <x v="1"/>
    <s v="82001717001003"/>
    <n v="-10.42"/>
    <n v="256"/>
    <n v="1"/>
    <n v="1"/>
  </r>
  <r>
    <m/>
    <m/>
    <x v="1"/>
    <s v="82041298001001"/>
    <n v="-22.55"/>
    <n v="554"/>
    <n v="1"/>
    <n v="1"/>
  </r>
  <r>
    <m/>
    <m/>
    <x v="1"/>
    <s v="82204885001007"/>
    <n v="-44.93"/>
    <n v="1104"/>
    <n v="1"/>
    <n v="1"/>
  </r>
  <r>
    <m/>
    <m/>
    <x v="1"/>
    <s v="82321936001001"/>
    <n v="-128.49"/>
    <n v="3157"/>
    <n v="1"/>
    <n v="1"/>
  </r>
  <r>
    <m/>
    <m/>
    <x v="1"/>
    <s v="82389671001001"/>
    <n v="-59.46"/>
    <n v="1461"/>
    <n v="1"/>
    <n v="1"/>
  </r>
  <r>
    <m/>
    <m/>
    <x v="1"/>
    <s v="82503971001003"/>
    <n v="-47.17"/>
    <n v="1159"/>
    <n v="1"/>
    <n v="1"/>
  </r>
  <r>
    <m/>
    <m/>
    <x v="1"/>
    <s v="82551362001001"/>
    <n v="-20.51"/>
    <n v="504"/>
    <n v="1"/>
    <n v="1"/>
  </r>
  <r>
    <m/>
    <m/>
    <x v="1"/>
    <s v="82713739001001"/>
    <n v="-20.149999999999999"/>
    <n v="495"/>
    <n v="1"/>
    <n v="1"/>
  </r>
  <r>
    <m/>
    <m/>
    <x v="1"/>
    <s v="82742339002001"/>
    <n v="-59.99"/>
    <n v="1474"/>
    <n v="1"/>
    <n v="1"/>
  </r>
  <r>
    <m/>
    <m/>
    <x v="1"/>
    <s v="82768682001003"/>
    <n v="-54.54"/>
    <n v="1340"/>
    <n v="1"/>
    <n v="1"/>
  </r>
  <r>
    <m/>
    <m/>
    <x v="1"/>
    <s v="82863154001001"/>
    <n v="-11.84"/>
    <n v="291"/>
    <n v="2"/>
    <n v="1"/>
  </r>
  <r>
    <m/>
    <m/>
    <x v="1"/>
    <s v="82891685001001"/>
    <n v="-12.82"/>
    <n v="315"/>
    <n v="1"/>
    <n v="1"/>
  </r>
  <r>
    <m/>
    <m/>
    <x v="1"/>
    <s v="82893255001002"/>
    <n v="-36.83"/>
    <n v="905"/>
    <n v="1"/>
    <n v="1"/>
  </r>
  <r>
    <m/>
    <m/>
    <x v="1"/>
    <s v="82896055001001"/>
    <n v="-31.14"/>
    <n v="765"/>
    <n v="1"/>
    <n v="1"/>
  </r>
  <r>
    <m/>
    <m/>
    <x v="1"/>
    <s v="82981231001001"/>
    <n v="-64.88"/>
    <n v="1594"/>
    <n v="1"/>
    <n v="1"/>
  </r>
  <r>
    <m/>
    <m/>
    <x v="1"/>
    <s v="82995786002003"/>
    <n v="-49.12"/>
    <n v="1207"/>
    <n v="1"/>
    <n v="1"/>
  </r>
  <r>
    <m/>
    <m/>
    <x v="1"/>
    <s v="83058315001003"/>
    <n v="-100.69"/>
    <n v="2474"/>
    <n v="1"/>
    <n v="1"/>
  </r>
  <r>
    <m/>
    <m/>
    <x v="1"/>
    <s v="83271249001001"/>
    <n v="-56.94"/>
    <n v="1399"/>
    <n v="1"/>
    <n v="1"/>
  </r>
  <r>
    <m/>
    <m/>
    <x v="1"/>
    <s v="83298969001003"/>
    <n v="-13.35"/>
    <n v="328"/>
    <n v="1"/>
    <n v="1"/>
  </r>
  <r>
    <m/>
    <m/>
    <x v="1"/>
    <s v="83316320002001"/>
    <n v="-51.04"/>
    <n v="1254"/>
    <n v="1"/>
    <n v="1"/>
  </r>
  <r>
    <m/>
    <m/>
    <x v="1"/>
    <s v="83336149003004"/>
    <n v="-11.6"/>
    <n v="285"/>
    <n v="1"/>
    <n v="1"/>
  </r>
  <r>
    <m/>
    <m/>
    <x v="1"/>
    <s v="83403016001001"/>
    <n v="-61.42"/>
    <n v="1509"/>
    <n v="1"/>
    <n v="1"/>
  </r>
  <r>
    <m/>
    <m/>
    <x v="1"/>
    <s v="83430858001001"/>
    <n v="-68.78"/>
    <n v="1690"/>
    <n v="1"/>
    <n v="1"/>
  </r>
  <r>
    <m/>
    <m/>
    <x v="1"/>
    <s v="83532056001002"/>
    <n v="-19.05"/>
    <n v="468"/>
    <n v="1"/>
    <n v="1"/>
  </r>
  <r>
    <m/>
    <m/>
    <x v="1"/>
    <s v="83534984001009"/>
    <n v="-30"/>
    <n v="737"/>
    <n v="1"/>
    <n v="1"/>
  </r>
  <r>
    <m/>
    <m/>
    <x v="1"/>
    <s v="83590012003001"/>
    <n v="-109.85"/>
    <n v="2699"/>
    <n v="1"/>
    <n v="1"/>
  </r>
  <r>
    <m/>
    <m/>
    <x v="1"/>
    <s v="83638855001001"/>
    <n v="-33.58"/>
    <n v="825"/>
    <n v="1"/>
    <n v="1"/>
  </r>
  <r>
    <m/>
    <m/>
    <x v="1"/>
    <s v="83665512001001"/>
    <n v="-119.29"/>
    <n v="2931"/>
    <n v="1"/>
    <n v="1"/>
  </r>
  <r>
    <m/>
    <m/>
    <x v="1"/>
    <s v="83822694001003"/>
    <n v="-16.16"/>
    <n v="397"/>
    <n v="1"/>
    <n v="1"/>
  </r>
  <r>
    <m/>
    <m/>
    <x v="1"/>
    <s v="83863336001001"/>
    <n v="-74.44"/>
    <n v="1829"/>
    <n v="1"/>
    <n v="1"/>
  </r>
  <r>
    <m/>
    <m/>
    <x v="1"/>
    <s v="83899589001009"/>
    <n v="-20.76"/>
    <n v="510"/>
    <n v="1"/>
    <n v="1"/>
  </r>
  <r>
    <m/>
    <m/>
    <x v="1"/>
    <s v="83921448001001"/>
    <n v="-127.55"/>
    <n v="3134"/>
    <n v="1"/>
    <n v="1"/>
  </r>
  <r>
    <m/>
    <m/>
    <x v="1"/>
    <s v="83926751003001"/>
    <n v="-52.58"/>
    <n v="1292"/>
    <n v="1"/>
    <n v="1"/>
  </r>
  <r>
    <m/>
    <m/>
    <x v="1"/>
    <s v="83985151001001"/>
    <n v="-96.13"/>
    <n v="2362"/>
    <n v="1"/>
    <n v="1"/>
  </r>
  <r>
    <m/>
    <m/>
    <x v="1"/>
    <s v="84172805003001"/>
    <n v="-56.7"/>
    <n v="1393"/>
    <n v="1"/>
    <n v="1"/>
  </r>
  <r>
    <m/>
    <m/>
    <x v="1"/>
    <s v="84270072001001"/>
    <n v="-54.13"/>
    <n v="1330"/>
    <n v="1"/>
    <n v="1"/>
  </r>
  <r>
    <m/>
    <m/>
    <x v="1"/>
    <s v="84291714001001"/>
    <n v="-88.89"/>
    <n v="2184"/>
    <n v="1"/>
    <n v="1"/>
  </r>
  <r>
    <m/>
    <m/>
    <x v="1"/>
    <s v="84323944001003"/>
    <n v="-88.32"/>
    <n v="2170"/>
    <n v="1"/>
    <n v="1"/>
  </r>
  <r>
    <m/>
    <m/>
    <x v="1"/>
    <s v="84341077001001"/>
    <n v="-63.25"/>
    <n v="1554"/>
    <n v="1"/>
    <n v="1"/>
  </r>
  <r>
    <m/>
    <m/>
    <x v="1"/>
    <s v="84393062001001"/>
    <n v="-57.96"/>
    <n v="1424"/>
    <n v="1"/>
    <n v="1"/>
  </r>
  <r>
    <m/>
    <m/>
    <x v="1"/>
    <s v="84505506001001"/>
    <n v="-14.61"/>
    <n v="359"/>
    <n v="1"/>
    <n v="1"/>
  </r>
  <r>
    <m/>
    <m/>
    <x v="1"/>
    <s v="84539713001002"/>
    <n v="-4.68"/>
    <n v="115"/>
    <n v="1"/>
    <n v="1"/>
  </r>
  <r>
    <m/>
    <m/>
    <x v="1"/>
    <s v="84762200002001"/>
    <n v="-86"/>
    <n v="2113"/>
    <n v="1"/>
    <n v="1"/>
  </r>
  <r>
    <m/>
    <m/>
    <x v="1"/>
    <s v="84892204001006"/>
    <n v="-43.18"/>
    <n v="1061"/>
    <n v="1"/>
    <n v="1"/>
  </r>
  <r>
    <m/>
    <m/>
    <x v="1"/>
    <s v="84915098001001"/>
    <n v="-37.44"/>
    <n v="920"/>
    <n v="1"/>
    <n v="1"/>
  </r>
  <r>
    <m/>
    <m/>
    <x v="1"/>
    <s v="84944676001003"/>
    <n v="-61.13"/>
    <n v="1502"/>
    <n v="1"/>
    <n v="1"/>
  </r>
  <r>
    <m/>
    <m/>
    <x v="1"/>
    <s v="84961216001001"/>
    <n v="-24.83"/>
    <n v="610"/>
    <n v="1"/>
    <n v="1"/>
  </r>
  <r>
    <m/>
    <m/>
    <x v="1"/>
    <s v="84968906001001"/>
    <n v="-2.48"/>
    <n v="61"/>
    <n v="1"/>
    <n v="1"/>
  </r>
  <r>
    <m/>
    <m/>
    <x v="1"/>
    <s v="85026024001001"/>
    <n v="-33.409999999999997"/>
    <n v="821"/>
    <n v="1"/>
    <n v="1"/>
  </r>
  <r>
    <m/>
    <m/>
    <x v="1"/>
    <s v="85036880003001"/>
    <n v="-13.8"/>
    <n v="339"/>
    <n v="1"/>
    <n v="1"/>
  </r>
  <r>
    <m/>
    <m/>
    <x v="1"/>
    <s v="85210479005001"/>
    <n v="-3.66"/>
    <n v="90"/>
    <n v="1"/>
    <n v="1"/>
  </r>
  <r>
    <m/>
    <m/>
    <x v="1"/>
    <s v="85368082001007"/>
    <n v="-35.979999999999997"/>
    <n v="884"/>
    <n v="1"/>
    <n v="1"/>
  </r>
  <r>
    <m/>
    <m/>
    <x v="1"/>
    <s v="85443154001001"/>
    <n v="-40.17"/>
    <n v="987"/>
    <n v="1"/>
    <n v="1"/>
  </r>
  <r>
    <m/>
    <m/>
    <x v="1"/>
    <s v="85530270001005"/>
    <n v="-36.18"/>
    <n v="889"/>
    <n v="1"/>
    <n v="1"/>
  </r>
  <r>
    <m/>
    <m/>
    <x v="1"/>
    <s v="85593168001001"/>
    <n v="-83.31"/>
    <n v="2047"/>
    <n v="1"/>
    <n v="1"/>
  </r>
  <r>
    <m/>
    <m/>
    <x v="1"/>
    <s v="85607571003001"/>
    <n v="-62.84"/>
    <n v="1544"/>
    <n v="1"/>
    <n v="1"/>
  </r>
  <r>
    <m/>
    <m/>
    <x v="1"/>
    <s v="85645329001001"/>
    <n v="-15.34"/>
    <n v="377"/>
    <n v="1"/>
    <n v="1"/>
  </r>
  <r>
    <m/>
    <m/>
    <x v="1"/>
    <s v="85690597001008"/>
    <n v="-14.16"/>
    <n v="348"/>
    <n v="1"/>
    <n v="1"/>
  </r>
  <r>
    <m/>
    <m/>
    <x v="1"/>
    <s v="85691100003003"/>
    <n v="-32.72"/>
    <n v="804"/>
    <n v="1"/>
    <n v="1"/>
  </r>
  <r>
    <m/>
    <m/>
    <x v="1"/>
    <s v="85820968001001"/>
    <n v="-52.91"/>
    <n v="1300"/>
    <n v="1"/>
    <n v="1"/>
  </r>
  <r>
    <m/>
    <m/>
    <x v="1"/>
    <s v="85887194001001"/>
    <n v="-28.65"/>
    <n v="704"/>
    <n v="1"/>
    <n v="1"/>
  </r>
  <r>
    <m/>
    <m/>
    <x v="1"/>
    <s v="86054286001001"/>
    <n v="-41.76"/>
    <n v="1026"/>
    <n v="1"/>
    <n v="1"/>
  </r>
  <r>
    <m/>
    <m/>
    <x v="1"/>
    <s v="86084151001007"/>
    <n v="-39.64"/>
    <n v="974"/>
    <n v="1"/>
    <n v="1"/>
  </r>
  <r>
    <m/>
    <m/>
    <x v="1"/>
    <s v="86404752001003"/>
    <n v="-113.72"/>
    <n v="2794"/>
    <n v="1"/>
    <n v="1"/>
  </r>
  <r>
    <m/>
    <m/>
    <x v="1"/>
    <s v="86408131001004"/>
    <n v="-54.66"/>
    <n v="1343"/>
    <n v="1"/>
    <n v="1"/>
  </r>
  <r>
    <m/>
    <m/>
    <x v="1"/>
    <s v="86420880001004"/>
    <n v="-158.61000000000001"/>
    <n v="3897"/>
    <n v="1"/>
    <n v="1"/>
  </r>
  <r>
    <m/>
    <m/>
    <x v="1"/>
    <s v="86557042001001"/>
    <n v="-80.75"/>
    <n v="1984"/>
    <n v="1"/>
    <n v="1"/>
  </r>
  <r>
    <m/>
    <m/>
    <x v="1"/>
    <s v="86571267001009"/>
    <n v="-26.86"/>
    <n v="660"/>
    <n v="2"/>
    <n v="1"/>
  </r>
  <r>
    <m/>
    <m/>
    <x v="1"/>
    <s v="86628477001001"/>
    <n v="-56"/>
    <n v="1376"/>
    <n v="1"/>
    <n v="1"/>
  </r>
  <r>
    <m/>
    <m/>
    <x v="1"/>
    <s v="86736871001001"/>
    <n v="-42.08"/>
    <n v="1034"/>
    <n v="1"/>
    <n v="1"/>
  </r>
  <r>
    <m/>
    <m/>
    <x v="1"/>
    <s v="86973909002001"/>
    <n v="-36.79"/>
    <n v="904"/>
    <n v="1"/>
    <n v="1"/>
  </r>
  <r>
    <m/>
    <m/>
    <x v="1"/>
    <s v="86983732001001"/>
    <n v="-92.55"/>
    <n v="2274"/>
    <n v="1"/>
    <n v="1"/>
  </r>
  <r>
    <m/>
    <m/>
    <x v="1"/>
    <s v="86997021001001"/>
    <n v="-62.47"/>
    <n v="1535"/>
    <n v="1"/>
    <n v="1"/>
  </r>
  <r>
    <m/>
    <m/>
    <x v="1"/>
    <s v="87014077001006"/>
    <n v="-97.19"/>
    <n v="2388"/>
    <n v="1"/>
    <n v="1"/>
  </r>
  <r>
    <m/>
    <m/>
    <x v="1"/>
    <s v="87070925001002"/>
    <n v="-46.89"/>
    <n v="1152"/>
    <n v="1"/>
    <n v="1"/>
  </r>
  <r>
    <m/>
    <m/>
    <x v="1"/>
    <s v="87236238001001"/>
    <n v="-72.239999999999995"/>
    <n v="1775"/>
    <n v="1"/>
    <n v="1"/>
  </r>
  <r>
    <m/>
    <m/>
    <x v="1"/>
    <s v="87251090001001"/>
    <n v="-81.2"/>
    <n v="1995"/>
    <n v="1"/>
    <n v="1"/>
  </r>
  <r>
    <m/>
    <m/>
    <x v="1"/>
    <s v="87315623001002"/>
    <n v="-30.36"/>
    <n v="746"/>
    <n v="1"/>
    <n v="1"/>
  </r>
  <r>
    <m/>
    <m/>
    <x v="1"/>
    <s v="87361385001003"/>
    <n v="-82.34"/>
    <n v="2023"/>
    <n v="1"/>
    <n v="1"/>
  </r>
  <r>
    <m/>
    <m/>
    <x v="1"/>
    <s v="87375744001001"/>
    <n v="-39.479999999999997"/>
    <n v="970"/>
    <n v="1"/>
    <n v="1"/>
  </r>
  <r>
    <m/>
    <m/>
    <x v="1"/>
    <s v="87496467002001"/>
    <n v="-36.75"/>
    <n v="903"/>
    <n v="1"/>
    <n v="1"/>
  </r>
  <r>
    <m/>
    <m/>
    <x v="1"/>
    <s v="87518854002005"/>
    <n v="-32.520000000000003"/>
    <n v="799"/>
    <n v="1"/>
    <n v="1"/>
  </r>
  <r>
    <m/>
    <m/>
    <x v="1"/>
    <s v="87551644002001"/>
    <n v="-48.19"/>
    <n v="1184"/>
    <n v="1"/>
    <n v="1"/>
  </r>
  <r>
    <m/>
    <m/>
    <x v="1"/>
    <s v="87567739001004"/>
    <n v="-66.63"/>
    <n v="1637"/>
    <n v="1"/>
    <n v="1"/>
  </r>
  <r>
    <m/>
    <m/>
    <x v="1"/>
    <s v="87582546001007"/>
    <n v="-84"/>
    <n v="2064"/>
    <n v="1"/>
    <n v="1"/>
  </r>
  <r>
    <m/>
    <m/>
    <x v="1"/>
    <s v="87672343001003"/>
    <n v="-44.53"/>
    <n v="1094"/>
    <n v="1"/>
    <n v="1"/>
  </r>
  <r>
    <m/>
    <m/>
    <x v="1"/>
    <s v="87750579001001"/>
    <n v="-17.5"/>
    <n v="430"/>
    <n v="1"/>
    <n v="1"/>
  </r>
  <r>
    <m/>
    <m/>
    <x v="1"/>
    <s v="87810851004003"/>
    <n v="-135.41"/>
    <n v="3327"/>
    <n v="1"/>
    <n v="1"/>
  </r>
  <r>
    <m/>
    <m/>
    <x v="1"/>
    <s v="87834379001011"/>
    <n v="-0.16"/>
    <n v="4"/>
    <n v="1"/>
    <n v="1"/>
  </r>
  <r>
    <m/>
    <m/>
    <x v="1"/>
    <s v="87876958001001"/>
    <n v="-56.74"/>
    <n v="1394"/>
    <n v="1"/>
    <n v="1"/>
  </r>
  <r>
    <m/>
    <m/>
    <x v="1"/>
    <s v="87919824001001"/>
    <n v="-126.09"/>
    <n v="3098"/>
    <n v="1"/>
    <n v="1"/>
  </r>
  <r>
    <m/>
    <m/>
    <x v="1"/>
    <s v="87939910002007"/>
    <n v="-104.07"/>
    <n v="2557"/>
    <n v="1"/>
    <n v="1"/>
  </r>
  <r>
    <m/>
    <m/>
    <x v="1"/>
    <s v="87972562001003"/>
    <n v="-30.93"/>
    <n v="760"/>
    <n v="1"/>
    <n v="1"/>
  </r>
  <r>
    <m/>
    <m/>
    <x v="1"/>
    <s v="88063060001002"/>
    <n v="-110.87"/>
    <n v="2724"/>
    <n v="1"/>
    <n v="1"/>
  </r>
  <r>
    <m/>
    <m/>
    <x v="1"/>
    <s v="88122486001001"/>
    <n v="-60.2"/>
    <n v="1479"/>
    <n v="1"/>
    <n v="1"/>
  </r>
  <r>
    <m/>
    <m/>
    <x v="1"/>
    <s v="88142806002001"/>
    <n v="-96.13"/>
    <n v="2362"/>
    <n v="1"/>
    <n v="1"/>
  </r>
  <r>
    <m/>
    <m/>
    <x v="1"/>
    <s v="88196768003001"/>
    <n v="-80.5"/>
    <n v="1978"/>
    <n v="1"/>
    <n v="1"/>
  </r>
  <r>
    <m/>
    <m/>
    <x v="1"/>
    <s v="88236235001004"/>
    <n v="-1.1399999999999999"/>
    <n v="28"/>
    <n v="1"/>
    <n v="1"/>
  </r>
  <r>
    <m/>
    <m/>
    <x v="1"/>
    <s v="88304092001001"/>
    <n v="-11.27"/>
    <n v="277"/>
    <n v="1"/>
    <n v="1"/>
  </r>
  <r>
    <m/>
    <m/>
    <x v="1"/>
    <s v="88386366001006"/>
    <n v="-23.89"/>
    <n v="587"/>
    <n v="1"/>
    <n v="1"/>
  </r>
  <r>
    <m/>
    <m/>
    <x v="1"/>
    <s v="88457516001006"/>
    <n v="-6.47"/>
    <n v="159"/>
    <n v="1"/>
    <n v="1"/>
  </r>
  <r>
    <m/>
    <m/>
    <x v="1"/>
    <s v="88484707001005"/>
    <n v="-15.47"/>
    <n v="380"/>
    <n v="1"/>
    <n v="1"/>
  </r>
  <r>
    <m/>
    <m/>
    <x v="1"/>
    <s v="88560211001003"/>
    <n v="-43.35"/>
    <n v="1065"/>
    <n v="1"/>
    <n v="1"/>
  </r>
  <r>
    <m/>
    <m/>
    <x v="1"/>
    <s v="88573270001001"/>
    <n v="-41.84"/>
    <n v="1028"/>
    <n v="1"/>
    <n v="1"/>
  </r>
  <r>
    <m/>
    <m/>
    <x v="1"/>
    <s v="88732713001004"/>
    <n v="-39.85"/>
    <n v="979"/>
    <n v="1"/>
    <n v="1"/>
  </r>
  <r>
    <m/>
    <m/>
    <x v="1"/>
    <s v="88772979001005"/>
    <n v="-21.53"/>
    <n v="529"/>
    <n v="1"/>
    <n v="1"/>
  </r>
  <r>
    <m/>
    <m/>
    <x v="1"/>
    <s v="88908327001003"/>
    <n v="-55.47"/>
    <n v="1363"/>
    <n v="1"/>
    <n v="1"/>
  </r>
  <r>
    <m/>
    <m/>
    <x v="1"/>
    <s v="89037466001001"/>
    <n v="-10.99"/>
    <n v="270"/>
    <n v="1"/>
    <n v="1"/>
  </r>
  <r>
    <m/>
    <m/>
    <x v="1"/>
    <s v="89105915001001"/>
    <n v="-187.06"/>
    <n v="4596"/>
    <n v="1"/>
    <n v="1"/>
  </r>
  <r>
    <m/>
    <m/>
    <x v="1"/>
    <s v="89184529001001"/>
    <n v="-82.99"/>
    <n v="2039"/>
    <n v="1"/>
    <n v="1"/>
  </r>
  <r>
    <m/>
    <m/>
    <x v="1"/>
    <s v="89283834002003"/>
    <n v="-67.77"/>
    <n v="1665"/>
    <n v="1"/>
    <n v="1"/>
  </r>
  <r>
    <m/>
    <m/>
    <x v="1"/>
    <s v="89432491001004"/>
    <n v="-28.33"/>
    <n v="696"/>
    <n v="1"/>
    <n v="1"/>
  </r>
  <r>
    <m/>
    <m/>
    <x v="1"/>
    <s v="89432732001001"/>
    <n v="-28.08"/>
    <n v="690"/>
    <n v="1"/>
    <n v="1"/>
  </r>
  <r>
    <m/>
    <m/>
    <x v="1"/>
    <s v="89476768001001"/>
    <n v="-83.68"/>
    <n v="2056"/>
    <n v="1"/>
    <n v="1"/>
  </r>
  <r>
    <m/>
    <m/>
    <x v="1"/>
    <s v="89636629003001"/>
    <n v="-14.25"/>
    <n v="350"/>
    <n v="1"/>
    <n v="1"/>
  </r>
  <r>
    <m/>
    <m/>
    <x v="1"/>
    <s v="89768877001001"/>
    <n v="-45.1"/>
    <n v="1108"/>
    <n v="1"/>
    <n v="1"/>
  </r>
  <r>
    <m/>
    <m/>
    <x v="1"/>
    <s v="89805136001001"/>
    <n v="-140.9"/>
    <n v="3462"/>
    <n v="1"/>
    <n v="1"/>
  </r>
  <r>
    <m/>
    <m/>
    <x v="1"/>
    <s v="90058594005003"/>
    <n v="-66.91"/>
    <n v="1644"/>
    <n v="1"/>
    <n v="1"/>
  </r>
  <r>
    <m/>
    <m/>
    <x v="1"/>
    <s v="90163954002001"/>
    <n v="-124.75"/>
    <n v="3065"/>
    <n v="1"/>
    <n v="1"/>
  </r>
  <r>
    <m/>
    <m/>
    <x v="1"/>
    <s v="90167563001003"/>
    <n v="-60.24"/>
    <n v="1480"/>
    <n v="1"/>
    <n v="1"/>
  </r>
  <r>
    <m/>
    <m/>
    <x v="1"/>
    <s v="90177529001008"/>
    <n v="-28.82"/>
    <n v="708"/>
    <n v="1"/>
    <n v="1"/>
  </r>
  <r>
    <m/>
    <m/>
    <x v="1"/>
    <s v="90223411001018"/>
    <n v="-30.24"/>
    <n v="743"/>
    <n v="1"/>
    <n v="1"/>
  </r>
  <r>
    <m/>
    <m/>
    <x v="1"/>
    <s v="90278607001005"/>
    <n v="-55.35"/>
    <n v="1360"/>
    <n v="1"/>
    <n v="1"/>
  </r>
  <r>
    <m/>
    <m/>
    <x v="1"/>
    <s v="90301796001001"/>
    <n v="-79.73"/>
    <n v="1959"/>
    <n v="1"/>
    <n v="1"/>
  </r>
  <r>
    <m/>
    <m/>
    <x v="1"/>
    <s v="90452230001004"/>
    <n v="-66.67"/>
    <n v="1638"/>
    <n v="1"/>
    <n v="1"/>
  </r>
  <r>
    <m/>
    <m/>
    <x v="1"/>
    <s v="90453061001001"/>
    <n v="-63.45"/>
    <n v="1559"/>
    <n v="1"/>
    <n v="1"/>
  </r>
  <r>
    <m/>
    <m/>
    <x v="1"/>
    <s v="90553398001001"/>
    <n v="-29.02"/>
    <n v="713"/>
    <n v="1"/>
    <n v="1"/>
  </r>
  <r>
    <m/>
    <m/>
    <x v="1"/>
    <s v="90556685001003"/>
    <n v="-64.180000000000007"/>
    <n v="1577"/>
    <n v="1"/>
    <n v="1"/>
  </r>
  <r>
    <m/>
    <m/>
    <x v="1"/>
    <s v="90593570008003"/>
    <n v="-116.89"/>
    <n v="2872"/>
    <n v="1"/>
    <n v="1"/>
  </r>
  <r>
    <m/>
    <m/>
    <x v="1"/>
    <s v="90740546001001"/>
    <n v="-50.31"/>
    <n v="1236"/>
    <n v="1"/>
    <n v="1"/>
  </r>
  <r>
    <m/>
    <m/>
    <x v="1"/>
    <s v="90803817001001"/>
    <n v="-77.78"/>
    <n v="1911"/>
    <n v="1"/>
    <n v="1"/>
  </r>
  <r>
    <m/>
    <m/>
    <x v="1"/>
    <s v="90846228003007"/>
    <n v="-115.1"/>
    <n v="2828"/>
    <n v="1"/>
    <n v="1"/>
  </r>
  <r>
    <m/>
    <m/>
    <x v="1"/>
    <s v="90861906001006"/>
    <n v="-91.490000000000009"/>
    <n v="2248"/>
    <n v="2"/>
    <n v="1"/>
  </r>
  <r>
    <m/>
    <m/>
    <x v="1"/>
    <s v="91085873002001"/>
    <n v="-19.41"/>
    <n v="477"/>
    <n v="1"/>
    <n v="1"/>
  </r>
  <r>
    <m/>
    <m/>
    <x v="1"/>
    <s v="91155934001001"/>
    <n v="-58.89"/>
    <n v="1447"/>
    <n v="1"/>
    <n v="1"/>
  </r>
  <r>
    <m/>
    <m/>
    <x v="1"/>
    <s v="91537061004005"/>
    <n v="-73.83"/>
    <n v="1814"/>
    <n v="1"/>
    <n v="1"/>
  </r>
  <r>
    <m/>
    <m/>
    <x v="1"/>
    <s v="91552426001001"/>
    <n v="-43.06"/>
    <n v="1058"/>
    <n v="1"/>
    <n v="1"/>
  </r>
  <r>
    <m/>
    <m/>
    <x v="1"/>
    <s v="91577981002004"/>
    <n v="-7.57"/>
    <n v="186"/>
    <n v="1"/>
    <n v="1"/>
  </r>
  <r>
    <m/>
    <m/>
    <x v="1"/>
    <s v="91758755001002"/>
    <n v="-41.64"/>
    <n v="1023"/>
    <n v="2"/>
    <n v="1"/>
  </r>
  <r>
    <m/>
    <m/>
    <x v="1"/>
    <s v="91774675002002"/>
    <n v="-93.89"/>
    <n v="2307"/>
    <n v="1"/>
    <n v="1"/>
  </r>
  <r>
    <m/>
    <m/>
    <x v="1"/>
    <s v="91792182001002"/>
    <n v="-70.489999999999995"/>
    <n v="1732"/>
    <n v="1"/>
    <n v="1"/>
  </r>
  <r>
    <m/>
    <m/>
    <x v="1"/>
    <s v="91796781001003"/>
    <n v="-50.47"/>
    <n v="1240"/>
    <n v="2"/>
    <n v="1"/>
  </r>
  <r>
    <m/>
    <m/>
    <x v="1"/>
    <s v="91827766001002"/>
    <n v="-47.86"/>
    <n v="1176"/>
    <n v="1"/>
    <n v="1"/>
  </r>
  <r>
    <m/>
    <m/>
    <x v="1"/>
    <s v="91856237001003"/>
    <n v="-24.05"/>
    <n v="591"/>
    <n v="1"/>
    <n v="1"/>
  </r>
  <r>
    <m/>
    <m/>
    <x v="1"/>
    <s v="91895802001005"/>
    <n v="-21.98"/>
    <n v="540"/>
    <n v="1"/>
    <n v="1"/>
  </r>
  <r>
    <m/>
    <m/>
    <x v="1"/>
    <s v="91911316001004"/>
    <n v="-40.01"/>
    <n v="983"/>
    <n v="1"/>
    <n v="1"/>
  </r>
  <r>
    <m/>
    <m/>
    <x v="1"/>
    <s v="91915411001003"/>
    <n v="-75.34"/>
    <n v="1851"/>
    <n v="1"/>
    <n v="1"/>
  </r>
  <r>
    <m/>
    <m/>
    <x v="1"/>
    <s v="91995451001005"/>
    <n v="-24.26"/>
    <n v="596"/>
    <n v="1"/>
    <n v="1"/>
  </r>
  <r>
    <m/>
    <m/>
    <x v="1"/>
    <s v="92061113001004"/>
    <n v="-16.32"/>
    <n v="401"/>
    <n v="1"/>
    <n v="1"/>
  </r>
  <r>
    <m/>
    <m/>
    <x v="1"/>
    <s v="92255766001001"/>
    <n v="-72.16"/>
    <n v="1773"/>
    <n v="1"/>
    <n v="1"/>
  </r>
  <r>
    <m/>
    <m/>
    <x v="1"/>
    <s v="92328846001001"/>
    <n v="-27.72"/>
    <n v="681"/>
    <n v="1"/>
    <n v="1"/>
  </r>
  <r>
    <m/>
    <m/>
    <x v="1"/>
    <s v="92452991003001"/>
    <n v="-51.16"/>
    <n v="1257"/>
    <n v="1"/>
    <n v="1"/>
  </r>
  <r>
    <m/>
    <m/>
    <x v="1"/>
    <s v="92476559001004"/>
    <n v="-51.32"/>
    <n v="1261"/>
    <n v="1"/>
    <n v="1"/>
  </r>
  <r>
    <m/>
    <m/>
    <x v="1"/>
    <s v="92523561001001"/>
    <n v="-77.66"/>
    <n v="1908"/>
    <n v="1"/>
    <n v="1"/>
  </r>
  <r>
    <m/>
    <m/>
    <x v="1"/>
    <s v="92643112001001"/>
    <n v="-14.98"/>
    <n v="368"/>
    <n v="1"/>
    <n v="1"/>
  </r>
  <r>
    <m/>
    <m/>
    <x v="1"/>
    <s v="92911654001001"/>
    <n v="-42.45"/>
    <n v="1043"/>
    <n v="1"/>
    <n v="1"/>
  </r>
  <r>
    <m/>
    <m/>
    <x v="1"/>
    <s v="92962178001001"/>
    <n v="-65.89"/>
    <n v="1619"/>
    <n v="1"/>
    <n v="1"/>
  </r>
  <r>
    <m/>
    <m/>
    <x v="1"/>
    <s v="93054261001004"/>
    <n v="-26.94"/>
    <n v="662"/>
    <n v="1"/>
    <n v="1"/>
  </r>
  <r>
    <m/>
    <m/>
    <x v="1"/>
    <s v="93261690001003"/>
    <n v="-47.94"/>
    <n v="1178"/>
    <n v="1"/>
    <n v="1"/>
  </r>
  <r>
    <m/>
    <m/>
    <x v="1"/>
    <s v="93293830001004"/>
    <n v="-54.42"/>
    <n v="1337"/>
    <n v="1"/>
    <n v="1"/>
  </r>
  <r>
    <m/>
    <m/>
    <x v="1"/>
    <s v="93295699001009"/>
    <n v="-51"/>
    <n v="1253"/>
    <n v="1"/>
    <n v="1"/>
  </r>
  <r>
    <m/>
    <m/>
    <x v="1"/>
    <s v="93357124001001"/>
    <n v="-107.45"/>
    <n v="2640"/>
    <n v="1"/>
    <n v="1"/>
  </r>
  <r>
    <m/>
    <m/>
    <x v="1"/>
    <s v="93451293001002"/>
    <n v="-40.46"/>
    <n v="994"/>
    <n v="1"/>
    <n v="1"/>
  </r>
  <r>
    <m/>
    <m/>
    <x v="1"/>
    <s v="93453320001012"/>
    <n v="-25.52"/>
    <n v="627"/>
    <n v="1"/>
    <n v="1"/>
  </r>
  <r>
    <m/>
    <m/>
    <x v="1"/>
    <s v="93477594002001"/>
    <n v="-26.05"/>
    <n v="640"/>
    <n v="1"/>
    <n v="1"/>
  </r>
  <r>
    <m/>
    <m/>
    <x v="1"/>
    <s v="93502736001008"/>
    <n v="-10.87"/>
    <n v="267"/>
    <n v="1"/>
    <n v="1"/>
  </r>
  <r>
    <m/>
    <m/>
    <x v="1"/>
    <s v="93525219001001"/>
    <n v="-58.32"/>
    <n v="1433"/>
    <n v="1"/>
    <n v="1"/>
  </r>
  <r>
    <m/>
    <m/>
    <x v="1"/>
    <s v="93908930001001"/>
    <n v="-124.46"/>
    <n v="3058"/>
    <n v="1"/>
    <n v="1"/>
  </r>
  <r>
    <m/>
    <m/>
    <x v="1"/>
    <s v="93981586001005"/>
    <n v="-59.38"/>
    <n v="1459"/>
    <n v="1"/>
    <n v="1"/>
  </r>
  <r>
    <m/>
    <m/>
    <x v="1"/>
    <s v="94050793001001"/>
    <n v="-23.04"/>
    <n v="566"/>
    <n v="1"/>
    <n v="1"/>
  </r>
  <r>
    <m/>
    <m/>
    <x v="1"/>
    <s v="94127903001001"/>
    <n v="-30.53"/>
    <n v="750"/>
    <n v="1"/>
    <n v="1"/>
  </r>
  <r>
    <m/>
    <m/>
    <x v="1"/>
    <s v="94205637001001"/>
    <n v="-48.72"/>
    <n v="1197"/>
    <n v="1"/>
    <n v="1"/>
  </r>
  <r>
    <m/>
    <m/>
    <x v="1"/>
    <s v="94338453002001"/>
    <n v="-94.71"/>
    <n v="2327"/>
    <n v="1"/>
    <n v="1"/>
  </r>
  <r>
    <m/>
    <m/>
    <x v="1"/>
    <s v="94383185001003"/>
    <n v="-38.340000000000003"/>
    <n v="942"/>
    <n v="1"/>
    <n v="1"/>
  </r>
  <r>
    <m/>
    <m/>
    <x v="1"/>
    <s v="94462558005001"/>
    <n v="-2.48"/>
    <n v="61"/>
    <n v="1"/>
    <n v="1"/>
  </r>
  <r>
    <m/>
    <m/>
    <x v="1"/>
    <s v="94490206001003"/>
    <n v="-30.44"/>
    <n v="748"/>
    <n v="1"/>
    <n v="1"/>
  </r>
  <r>
    <m/>
    <m/>
    <x v="1"/>
    <s v="94637710004001"/>
    <n v="-104.47"/>
    <n v="2567"/>
    <n v="2"/>
    <n v="1"/>
  </r>
  <r>
    <m/>
    <m/>
    <x v="1"/>
    <s v="94648149001003"/>
    <n v="-48.64"/>
    <n v="1195"/>
    <n v="1"/>
    <n v="1"/>
  </r>
  <r>
    <m/>
    <m/>
    <x v="1"/>
    <s v="94664502002001"/>
    <n v="-36.35"/>
    <n v="893"/>
    <n v="1"/>
    <n v="1"/>
  </r>
  <r>
    <m/>
    <m/>
    <x v="1"/>
    <s v="94670446001001"/>
    <n v="-17.829999999999998"/>
    <n v="438"/>
    <n v="1"/>
    <n v="1"/>
  </r>
  <r>
    <m/>
    <m/>
    <x v="1"/>
    <s v="94725102001001"/>
    <n v="-0.53"/>
    <n v="13"/>
    <n v="1"/>
    <n v="1"/>
  </r>
  <r>
    <m/>
    <m/>
    <x v="1"/>
    <s v="94788572001004"/>
    <n v="-62.88"/>
    <n v="1545"/>
    <n v="1"/>
    <n v="1"/>
  </r>
  <r>
    <m/>
    <m/>
    <x v="1"/>
    <s v="94794096001013"/>
    <n v="-104.84"/>
    <n v="2576"/>
    <n v="1"/>
    <n v="1"/>
  </r>
  <r>
    <m/>
    <m/>
    <x v="1"/>
    <s v="94825236001003"/>
    <n v="-23.97"/>
    <n v="589"/>
    <n v="1"/>
    <n v="1"/>
  </r>
  <r>
    <m/>
    <m/>
    <x v="1"/>
    <s v="94878471002001"/>
    <n v="-23.97"/>
    <n v="589"/>
    <n v="1"/>
    <n v="1"/>
  </r>
  <r>
    <m/>
    <m/>
    <x v="1"/>
    <s v="94900294001001"/>
    <n v="-85.59"/>
    <n v="2103"/>
    <n v="1"/>
    <n v="1"/>
  </r>
  <r>
    <m/>
    <m/>
    <x v="1"/>
    <s v="95032265001003"/>
    <n v="-66.91"/>
    <n v="1644"/>
    <n v="1"/>
    <n v="1"/>
  </r>
  <r>
    <m/>
    <m/>
    <x v="1"/>
    <s v="95080825001003"/>
    <n v="-49.08"/>
    <n v="1206"/>
    <n v="1"/>
    <n v="1"/>
  </r>
  <r>
    <m/>
    <m/>
    <x v="1"/>
    <s v="95117315001002"/>
    <n v="-45.71"/>
    <n v="1123"/>
    <n v="1"/>
    <n v="1"/>
  </r>
  <r>
    <m/>
    <m/>
    <x v="1"/>
    <s v="95142141001001"/>
    <n v="-56.41"/>
    <n v="1386"/>
    <n v="1"/>
    <n v="1"/>
  </r>
  <r>
    <m/>
    <m/>
    <x v="1"/>
    <s v="95224398001001"/>
    <n v="-40.5"/>
    <n v="995"/>
    <n v="1"/>
    <n v="1"/>
  </r>
  <r>
    <m/>
    <m/>
    <x v="1"/>
    <s v="95275266001003"/>
    <n v="-54.9"/>
    <n v="1349"/>
    <n v="1"/>
    <n v="1"/>
  </r>
  <r>
    <m/>
    <m/>
    <x v="1"/>
    <s v="95382413001005"/>
    <n v="-45.54"/>
    <n v="1119"/>
    <n v="1"/>
    <n v="1"/>
  </r>
  <r>
    <m/>
    <m/>
    <x v="1"/>
    <s v="95442300001011"/>
    <n v="-118.23"/>
    <n v="2905"/>
    <n v="1"/>
    <n v="1"/>
  </r>
  <r>
    <m/>
    <m/>
    <x v="1"/>
    <s v="95614176003001"/>
    <n v="-36.020000000000003"/>
    <n v="885"/>
    <n v="1"/>
    <n v="1"/>
  </r>
  <r>
    <m/>
    <m/>
    <x v="1"/>
    <s v="95640914001001"/>
    <n v="-11.19"/>
    <n v="275"/>
    <n v="1"/>
    <n v="1"/>
  </r>
  <r>
    <m/>
    <m/>
    <x v="1"/>
    <s v="95667226001001"/>
    <n v="-17.79"/>
    <n v="437"/>
    <n v="1"/>
    <n v="1"/>
  </r>
  <r>
    <m/>
    <m/>
    <x v="1"/>
    <s v="95766863001001"/>
    <n v="-13.84"/>
    <n v="340"/>
    <n v="1"/>
    <n v="1"/>
  </r>
  <r>
    <m/>
    <m/>
    <x v="1"/>
    <s v="95773639001006"/>
    <n v="-36.83"/>
    <n v="905"/>
    <n v="1"/>
    <n v="1"/>
  </r>
  <r>
    <m/>
    <m/>
    <x v="1"/>
    <s v="95815042001004"/>
    <n v="-56.33"/>
    <n v="1384"/>
    <n v="1"/>
    <n v="1"/>
  </r>
  <r>
    <m/>
    <m/>
    <x v="1"/>
    <s v="95820648002006"/>
    <n v="-10.74"/>
    <n v="264"/>
    <n v="1"/>
    <n v="1"/>
  </r>
  <r>
    <m/>
    <m/>
    <x v="1"/>
    <s v="95948807004001"/>
    <n v="-25.4"/>
    <n v="624"/>
    <n v="1"/>
    <n v="1"/>
  </r>
  <r>
    <m/>
    <m/>
    <x v="1"/>
    <s v="96041241001001"/>
    <n v="-20.07"/>
    <n v="493"/>
    <n v="1"/>
    <n v="1"/>
  </r>
  <r>
    <m/>
    <m/>
    <x v="1"/>
    <s v="96057942001003"/>
    <n v="-61.74"/>
    <n v="1517"/>
    <n v="1"/>
    <n v="1"/>
  </r>
  <r>
    <m/>
    <m/>
    <x v="1"/>
    <s v="96139953003003"/>
    <n v="-78.709999999999994"/>
    <n v="1934"/>
    <n v="1"/>
    <n v="1"/>
  </r>
  <r>
    <m/>
    <m/>
    <x v="1"/>
    <s v="96145942001001"/>
    <n v="-8.5500000000000007"/>
    <n v="210"/>
    <n v="1"/>
    <n v="1"/>
  </r>
  <r>
    <m/>
    <m/>
    <x v="1"/>
    <s v="96179506001001"/>
    <n v="-82.38"/>
    <n v="2024"/>
    <n v="1"/>
    <n v="1"/>
  </r>
  <r>
    <m/>
    <m/>
    <x v="1"/>
    <s v="96226382001001"/>
    <n v="-22.87"/>
    <n v="562"/>
    <n v="1"/>
    <n v="1"/>
  </r>
  <r>
    <m/>
    <m/>
    <x v="1"/>
    <s v="96258332001001"/>
    <n v="-38.54"/>
    <n v="947"/>
    <n v="1"/>
    <n v="1"/>
  </r>
  <r>
    <m/>
    <m/>
    <x v="1"/>
    <s v="96305704001001"/>
    <n v="-73.83"/>
    <n v="1814"/>
    <n v="1"/>
    <n v="1"/>
  </r>
  <r>
    <m/>
    <m/>
    <x v="1"/>
    <s v="96426781002003"/>
    <n v="-21.77"/>
    <n v="535"/>
    <n v="1"/>
    <n v="1"/>
  </r>
  <r>
    <m/>
    <m/>
    <x v="1"/>
    <s v="96460390002003"/>
    <n v="-10.66"/>
    <n v="262"/>
    <n v="1"/>
    <n v="1"/>
  </r>
  <r>
    <m/>
    <m/>
    <x v="1"/>
    <s v="96526669001001"/>
    <n v="-0.61"/>
    <n v="15"/>
    <n v="1"/>
    <n v="1"/>
  </r>
  <r>
    <m/>
    <m/>
    <x v="1"/>
    <s v="96578754001001"/>
    <n v="-32.479999999999997"/>
    <n v="798"/>
    <n v="1"/>
    <n v="1"/>
  </r>
  <r>
    <m/>
    <m/>
    <x v="1"/>
    <s v="96664201001004"/>
    <n v="-38.46"/>
    <n v="945"/>
    <n v="1"/>
    <n v="1"/>
  </r>
  <r>
    <m/>
    <m/>
    <x v="1"/>
    <s v="96678659001003"/>
    <n v="-59.22"/>
    <n v="1455"/>
    <n v="1"/>
    <n v="1"/>
  </r>
  <r>
    <m/>
    <m/>
    <x v="1"/>
    <s v="96740158001001"/>
    <n v="-17.7"/>
    <n v="435"/>
    <n v="1"/>
    <n v="1"/>
  </r>
  <r>
    <m/>
    <m/>
    <x v="1"/>
    <s v="96743423001001"/>
    <n v="-18.97"/>
    <n v="466"/>
    <n v="1"/>
    <n v="1"/>
  </r>
  <r>
    <m/>
    <m/>
    <x v="1"/>
    <s v="96759256001001"/>
    <n v="-38.46"/>
    <n v="945"/>
    <n v="1"/>
    <n v="1"/>
  </r>
  <r>
    <m/>
    <m/>
    <x v="1"/>
    <s v="96913407001002"/>
    <n v="-8.91"/>
    <n v="219"/>
    <n v="1"/>
    <n v="1"/>
  </r>
  <r>
    <m/>
    <m/>
    <x v="1"/>
    <s v="96994536001004"/>
    <n v="-53.97"/>
    <n v="1326"/>
    <n v="1"/>
    <n v="1"/>
  </r>
  <r>
    <m/>
    <m/>
    <x v="1"/>
    <s v="97019963001004"/>
    <n v="-67.64"/>
    <n v="1662"/>
    <n v="1"/>
    <n v="1"/>
  </r>
  <r>
    <m/>
    <m/>
    <x v="1"/>
    <s v="97064187001001"/>
    <n v="-63.41"/>
    <n v="1558"/>
    <n v="1"/>
    <n v="1"/>
  </r>
  <r>
    <m/>
    <m/>
    <x v="1"/>
    <s v="97083962001002"/>
    <n v="-37.44"/>
    <n v="920"/>
    <n v="1"/>
    <n v="1"/>
  </r>
  <r>
    <m/>
    <m/>
    <x v="1"/>
    <s v="97096820001001"/>
    <n v="-91.21"/>
    <n v="2241"/>
    <n v="1"/>
    <n v="1"/>
  </r>
  <r>
    <m/>
    <m/>
    <x v="1"/>
    <s v="97150663001009"/>
    <n v="-13.8"/>
    <n v="339"/>
    <n v="1"/>
    <n v="1"/>
  </r>
  <r>
    <m/>
    <m/>
    <x v="1"/>
    <s v="97167024001005"/>
    <n v="-6.11"/>
    <n v="150"/>
    <n v="1"/>
    <n v="1"/>
  </r>
  <r>
    <m/>
    <m/>
    <x v="1"/>
    <s v="97170225001001"/>
    <n v="-88.16"/>
    <n v="2166"/>
    <n v="1"/>
    <n v="1"/>
  </r>
  <r>
    <m/>
    <m/>
    <x v="1"/>
    <s v="97221863001001"/>
    <n v="-34.35"/>
    <n v="844"/>
    <n v="1"/>
    <n v="1"/>
  </r>
  <r>
    <m/>
    <m/>
    <x v="1"/>
    <s v="97260900001001"/>
    <n v="-169.11"/>
    <n v="4155"/>
    <n v="1"/>
    <n v="1"/>
  </r>
  <r>
    <m/>
    <m/>
    <x v="1"/>
    <s v="97285376001012"/>
    <n v="-24.58"/>
    <n v="604"/>
    <n v="1"/>
    <n v="1"/>
  </r>
  <r>
    <m/>
    <m/>
    <x v="1"/>
    <s v="97323566001003"/>
    <n v="-56.94"/>
    <n v="1399"/>
    <n v="1"/>
    <n v="1"/>
  </r>
  <r>
    <m/>
    <m/>
    <x v="1"/>
    <s v="97325763001002"/>
    <n v="-22.3"/>
    <n v="548"/>
    <n v="1"/>
    <n v="1"/>
  </r>
  <r>
    <m/>
    <m/>
    <x v="1"/>
    <s v="97337402002005"/>
    <n v="-54.7"/>
    <n v="1344"/>
    <n v="1"/>
    <n v="1"/>
  </r>
  <r>
    <m/>
    <m/>
    <x v="1"/>
    <s v="97346635001003"/>
    <n v="-162.84"/>
    <n v="4001"/>
    <n v="1"/>
    <n v="1"/>
  </r>
  <r>
    <m/>
    <m/>
    <x v="1"/>
    <s v="97402482001001"/>
    <n v="-47.7"/>
    <n v="1172"/>
    <n v="1"/>
    <n v="1"/>
  </r>
  <r>
    <m/>
    <m/>
    <x v="1"/>
    <s v="97473613001004"/>
    <n v="-38.83"/>
    <n v="954"/>
    <n v="1"/>
    <n v="1"/>
  </r>
  <r>
    <m/>
    <m/>
    <x v="1"/>
    <s v="97492732001001"/>
    <n v="-4.76"/>
    <n v="117"/>
    <n v="1"/>
    <n v="1"/>
  </r>
  <r>
    <m/>
    <m/>
    <x v="1"/>
    <s v="97538964002001"/>
    <n v="-15.3"/>
    <n v="376"/>
    <n v="1"/>
    <n v="1"/>
  </r>
  <r>
    <m/>
    <m/>
    <x v="1"/>
    <s v="97551459001001"/>
    <n v="-46.44"/>
    <n v="1141"/>
    <n v="1"/>
    <n v="1"/>
  </r>
  <r>
    <m/>
    <m/>
    <x v="1"/>
    <s v="97558477001003"/>
    <n v="-25.76"/>
    <n v="633"/>
    <n v="1"/>
    <n v="1"/>
  </r>
  <r>
    <m/>
    <m/>
    <x v="1"/>
    <s v="97569565011005"/>
    <n v="-85.96"/>
    <n v="2112"/>
    <n v="1"/>
    <n v="1"/>
  </r>
  <r>
    <m/>
    <m/>
    <x v="1"/>
    <s v="97625233001001"/>
    <n v="-35.29"/>
    <n v="867"/>
    <n v="1"/>
    <n v="1"/>
  </r>
  <r>
    <m/>
    <m/>
    <x v="1"/>
    <s v="97636856002001"/>
    <n v="-28.69"/>
    <n v="705"/>
    <n v="1"/>
    <n v="1"/>
  </r>
  <r>
    <m/>
    <m/>
    <x v="1"/>
    <s v="97651944001007"/>
    <n v="-50.22"/>
    <n v="1234"/>
    <n v="1"/>
    <n v="1"/>
  </r>
  <r>
    <m/>
    <m/>
    <x v="1"/>
    <s v="97678050001005"/>
    <n v="-93.53"/>
    <n v="2298"/>
    <n v="1"/>
    <n v="1"/>
  </r>
  <r>
    <m/>
    <m/>
    <x v="1"/>
    <s v="97678237004001"/>
    <n v="-51.57"/>
    <n v="1267"/>
    <n v="1"/>
    <n v="1"/>
  </r>
  <r>
    <m/>
    <m/>
    <x v="1"/>
    <s v="97776060001001"/>
    <n v="-52.71"/>
    <n v="1295"/>
    <n v="1"/>
    <n v="1"/>
  </r>
  <r>
    <m/>
    <m/>
    <x v="1"/>
    <s v="97885984003001"/>
    <n v="-28.49"/>
    <n v="700"/>
    <n v="1"/>
    <n v="1"/>
  </r>
  <r>
    <m/>
    <m/>
    <x v="1"/>
    <s v="97982416001001"/>
    <n v="-150.59"/>
    <n v="3700"/>
    <n v="1"/>
    <n v="1"/>
  </r>
  <r>
    <m/>
    <m/>
    <x v="1"/>
    <s v="97996225001008"/>
    <n v="-96.78"/>
    <n v="2378"/>
    <n v="1"/>
    <n v="1"/>
  </r>
  <r>
    <m/>
    <m/>
    <x v="1"/>
    <s v="98083414004007"/>
    <n v="-26.21"/>
    <n v="644"/>
    <n v="1"/>
    <n v="1"/>
  </r>
  <r>
    <m/>
    <m/>
    <x v="1"/>
    <s v="98090991002001"/>
    <n v="-22.59"/>
    <n v="555"/>
    <n v="1"/>
    <n v="1"/>
  </r>
  <r>
    <m/>
    <m/>
    <x v="1"/>
    <s v="98163492001001"/>
    <n v="-63.94"/>
    <n v="1571"/>
    <n v="1"/>
    <n v="1"/>
  </r>
  <r>
    <m/>
    <m/>
    <x v="1"/>
    <s v="98198597001001"/>
    <n v="-1.47"/>
    <n v="36"/>
    <n v="1"/>
    <n v="1"/>
  </r>
  <r>
    <m/>
    <m/>
    <x v="1"/>
    <s v="98265055001006"/>
    <n v="-45.3"/>
    <n v="1113"/>
    <n v="1"/>
    <n v="1"/>
  </r>
  <r>
    <m/>
    <m/>
    <x v="1"/>
    <s v="98301629001002"/>
    <n v="-14.16"/>
    <n v="348"/>
    <n v="1"/>
    <n v="1"/>
  </r>
  <r>
    <m/>
    <m/>
    <x v="1"/>
    <s v="98317810002003"/>
    <n v="-80.63"/>
    <n v="1981"/>
    <n v="1"/>
    <n v="1"/>
  </r>
  <r>
    <m/>
    <m/>
    <x v="1"/>
    <s v="98396921001007"/>
    <n v="-59.34"/>
    <n v="1458"/>
    <n v="1"/>
    <n v="1"/>
  </r>
  <r>
    <m/>
    <m/>
    <x v="1"/>
    <s v="98472116001003"/>
    <n v="-62.07"/>
    <n v="1525"/>
    <n v="1"/>
    <n v="1"/>
  </r>
  <r>
    <m/>
    <m/>
    <x v="1"/>
    <s v="98568936001003"/>
    <n v="-104.92"/>
    <n v="2578"/>
    <n v="1"/>
    <n v="1"/>
  </r>
  <r>
    <m/>
    <m/>
    <x v="1"/>
    <s v="98701938003001"/>
    <n v="-27.43"/>
    <n v="674"/>
    <n v="1"/>
    <n v="1"/>
  </r>
  <r>
    <m/>
    <m/>
    <x v="1"/>
    <s v="98835009001001"/>
    <n v="-70.489999999999995"/>
    <n v="1732"/>
    <n v="1"/>
    <n v="1"/>
  </r>
  <r>
    <m/>
    <m/>
    <x v="1"/>
    <s v="98869027002005"/>
    <n v="-61.54"/>
    <n v="1512"/>
    <n v="1"/>
    <n v="1"/>
  </r>
  <r>
    <m/>
    <m/>
    <x v="1"/>
    <s v="98887462001001"/>
    <n v="-88.89"/>
    <n v="2184"/>
    <n v="1"/>
    <n v="1"/>
  </r>
  <r>
    <m/>
    <m/>
    <x v="1"/>
    <s v="99016570002001"/>
    <n v="-16.440000000000001"/>
    <n v="404"/>
    <n v="1"/>
    <n v="1"/>
  </r>
  <r>
    <m/>
    <m/>
    <x v="1"/>
    <s v="99023190002005"/>
    <n v="-62.76"/>
    <n v="1542"/>
    <n v="1"/>
    <n v="1"/>
  </r>
  <r>
    <m/>
    <m/>
    <x v="1"/>
    <s v="99154035001001"/>
    <n v="-72.28"/>
    <n v="1776"/>
    <n v="1"/>
    <n v="1"/>
  </r>
  <r>
    <m/>
    <m/>
    <x v="1"/>
    <s v="99181573002001"/>
    <n v="-7.45"/>
    <n v="183"/>
    <n v="1"/>
    <n v="1"/>
  </r>
  <r>
    <m/>
    <m/>
    <x v="1"/>
    <s v="99207126001001"/>
    <n v="-54.74"/>
    <n v="1345"/>
    <n v="1"/>
    <n v="1"/>
  </r>
  <r>
    <m/>
    <m/>
    <x v="1"/>
    <s v="99342816001009"/>
    <n v="-23"/>
    <n v="565"/>
    <n v="1"/>
    <n v="1"/>
  </r>
  <r>
    <m/>
    <m/>
    <x v="1"/>
    <s v="99432111001001"/>
    <n v="-71.180000000000007"/>
    <n v="1749"/>
    <n v="1"/>
    <n v="1"/>
  </r>
  <r>
    <m/>
    <m/>
    <x v="1"/>
    <s v="99435304001001"/>
    <n v="-51.4"/>
    <n v="1263"/>
    <n v="1"/>
    <n v="1"/>
  </r>
  <r>
    <m/>
    <m/>
    <x v="1"/>
    <s v="99442912002001"/>
    <n v="-142.41"/>
    <n v="3499"/>
    <n v="1"/>
    <n v="1"/>
  </r>
  <r>
    <m/>
    <m/>
    <x v="1"/>
    <s v="99546455001001"/>
    <n v="-27.31"/>
    <n v="671"/>
    <n v="1"/>
    <n v="1"/>
  </r>
  <r>
    <m/>
    <m/>
    <x v="1"/>
    <s v="99693016001003"/>
    <n v="-69.760000000000005"/>
    <n v="1714"/>
    <n v="1"/>
    <n v="1"/>
  </r>
  <r>
    <m/>
    <m/>
    <x v="1"/>
    <s v="99914779006003"/>
    <n v="-21.29"/>
    <n v="523"/>
    <n v="1"/>
    <n v="1"/>
  </r>
  <r>
    <m/>
    <m/>
    <x v="6"/>
    <m/>
    <n v="-102915.35000000021"/>
    <n v="2528633"/>
    <n v="1910"/>
    <n v="1899"/>
  </r>
  <r>
    <m/>
    <s v="201103"/>
    <x v="0"/>
    <s v="00277098001001"/>
    <n v="-7.43"/>
    <n v="434"/>
    <n v="1"/>
    <n v="1"/>
  </r>
  <r>
    <m/>
    <m/>
    <x v="1"/>
    <s v="00447035005007"/>
    <n v="-19.920000000000002"/>
    <n v="1164"/>
    <n v="1"/>
    <n v="1"/>
  </r>
  <r>
    <m/>
    <m/>
    <x v="1"/>
    <s v="00756296002002"/>
    <n v="-26.91"/>
    <n v="1573"/>
    <n v="1"/>
    <n v="1"/>
  </r>
  <r>
    <m/>
    <m/>
    <x v="1"/>
    <s v="00964949001001"/>
    <n v="-25.08"/>
    <n v="1466"/>
    <n v="1"/>
    <n v="1"/>
  </r>
  <r>
    <m/>
    <m/>
    <x v="1"/>
    <s v="01734407003001"/>
    <n v="-9.07"/>
    <n v="530"/>
    <n v="1"/>
    <n v="1"/>
  </r>
  <r>
    <m/>
    <m/>
    <x v="1"/>
    <s v="01772343001001"/>
    <n v="-32.06"/>
    <n v="1874"/>
    <n v="1"/>
    <n v="1"/>
  </r>
  <r>
    <m/>
    <m/>
    <x v="1"/>
    <s v="01782458001001"/>
    <n v="-19.850000000000001"/>
    <n v="1160"/>
    <n v="1"/>
    <n v="1"/>
  </r>
  <r>
    <m/>
    <m/>
    <x v="1"/>
    <s v="01948293001001"/>
    <n v="-0.99"/>
    <n v="58"/>
    <n v="1"/>
    <n v="1"/>
  </r>
  <r>
    <m/>
    <m/>
    <x v="1"/>
    <s v="02113749002001"/>
    <n v="-21.88"/>
    <n v="1279"/>
    <n v="1"/>
    <n v="1"/>
  </r>
  <r>
    <m/>
    <m/>
    <x v="1"/>
    <s v="02157263001003"/>
    <n v="-22.29"/>
    <n v="1303"/>
    <n v="1"/>
    <n v="1"/>
  </r>
  <r>
    <m/>
    <m/>
    <x v="1"/>
    <s v="02201812001003"/>
    <n v="-15.21"/>
    <n v="889"/>
    <n v="1"/>
    <n v="1"/>
  </r>
  <r>
    <m/>
    <m/>
    <x v="1"/>
    <s v="02367690001003"/>
    <n v="-25.6"/>
    <n v="1496"/>
    <n v="1"/>
    <n v="1"/>
  </r>
  <r>
    <m/>
    <m/>
    <x v="1"/>
    <s v="02447419003010"/>
    <n v="-5.54"/>
    <n v="324"/>
    <n v="1"/>
    <n v="1"/>
  </r>
  <r>
    <m/>
    <m/>
    <x v="1"/>
    <s v="02474190002001"/>
    <n v="-16.32"/>
    <n v="954"/>
    <n v="1"/>
    <n v="1"/>
  </r>
  <r>
    <m/>
    <m/>
    <x v="1"/>
    <s v="02653483001002"/>
    <n v="-35.4"/>
    <n v="2069"/>
    <n v="1"/>
    <n v="1"/>
  </r>
  <r>
    <m/>
    <m/>
    <x v="1"/>
    <s v="02669962002001"/>
    <n v="-6.4"/>
    <n v="374"/>
    <n v="1"/>
    <n v="1"/>
  </r>
  <r>
    <m/>
    <m/>
    <x v="1"/>
    <s v="02962892003001"/>
    <n v="-8.5399999999999991"/>
    <n v="499"/>
    <n v="1"/>
    <n v="1"/>
  </r>
  <r>
    <m/>
    <m/>
    <x v="1"/>
    <s v="03222937001003"/>
    <n v="-14.94"/>
    <n v="873"/>
    <n v="1"/>
    <n v="1"/>
  </r>
  <r>
    <m/>
    <m/>
    <x v="1"/>
    <s v="03485380001003"/>
    <n v="-2.62"/>
    <n v="153"/>
    <n v="1"/>
    <n v="1"/>
  </r>
  <r>
    <m/>
    <m/>
    <x v="1"/>
    <s v="03563664001001"/>
    <n v="-16.72"/>
    <n v="977"/>
    <n v="1"/>
    <n v="1"/>
  </r>
  <r>
    <m/>
    <m/>
    <x v="1"/>
    <s v="04274208001003"/>
    <n v="-2.14"/>
    <n v="125"/>
    <n v="1"/>
    <n v="1"/>
  </r>
  <r>
    <m/>
    <m/>
    <x v="1"/>
    <s v="04454218002003"/>
    <n v="-2.0699999999999998"/>
    <n v="121"/>
    <n v="1"/>
    <n v="1"/>
  </r>
  <r>
    <m/>
    <m/>
    <x v="1"/>
    <s v="04813613001001"/>
    <n v="-39.28"/>
    <n v="2296"/>
    <n v="1"/>
    <n v="1"/>
  </r>
  <r>
    <m/>
    <m/>
    <x v="1"/>
    <s v="04842107001001"/>
    <n v="-33.64"/>
    <n v="1966"/>
    <n v="1"/>
    <n v="1"/>
  </r>
  <r>
    <m/>
    <m/>
    <x v="1"/>
    <s v="04918256001001"/>
    <n v="-7.17"/>
    <n v="419"/>
    <n v="1"/>
    <n v="1"/>
  </r>
  <r>
    <m/>
    <m/>
    <x v="1"/>
    <s v="05105357001001"/>
    <n v="-3.13"/>
    <n v="183"/>
    <n v="1"/>
    <n v="1"/>
  </r>
  <r>
    <m/>
    <m/>
    <x v="1"/>
    <s v="05432665003001"/>
    <n v="-0.62"/>
    <n v="36"/>
    <n v="1"/>
    <n v="1"/>
  </r>
  <r>
    <m/>
    <m/>
    <x v="1"/>
    <s v="05495875001001"/>
    <n v="-51.72"/>
    <n v="3023"/>
    <n v="1"/>
    <n v="1"/>
  </r>
  <r>
    <m/>
    <m/>
    <x v="1"/>
    <s v="05589577002005"/>
    <n v="-26.79"/>
    <n v="1566"/>
    <n v="1"/>
    <n v="1"/>
  </r>
  <r>
    <m/>
    <m/>
    <x v="1"/>
    <s v="05867332001001"/>
    <n v="-22.11"/>
    <n v="1292"/>
    <n v="1"/>
    <n v="1"/>
  </r>
  <r>
    <m/>
    <m/>
    <x v="1"/>
    <s v="05955645001001"/>
    <n v="-27.09"/>
    <n v="1583"/>
    <n v="1"/>
    <n v="1"/>
  </r>
  <r>
    <m/>
    <m/>
    <x v="1"/>
    <s v="06477303002003"/>
    <n v="-17.54"/>
    <n v="1025"/>
    <n v="1"/>
    <n v="1"/>
  </r>
  <r>
    <m/>
    <m/>
    <x v="1"/>
    <s v="06507249001002"/>
    <n v="-13.33"/>
    <n v="779"/>
    <n v="1"/>
    <n v="1"/>
  </r>
  <r>
    <m/>
    <m/>
    <x v="1"/>
    <s v="06650635001001"/>
    <n v="-18.84"/>
    <n v="1101"/>
    <n v="1"/>
    <n v="1"/>
  </r>
  <r>
    <m/>
    <m/>
    <x v="1"/>
    <s v="06901257001004"/>
    <n v="-30.1"/>
    <n v="1759"/>
    <n v="1"/>
    <n v="1"/>
  </r>
  <r>
    <m/>
    <m/>
    <x v="1"/>
    <s v="07225170001003"/>
    <n v="-17.59"/>
    <n v="1028"/>
    <n v="1"/>
    <n v="1"/>
  </r>
  <r>
    <m/>
    <m/>
    <x v="1"/>
    <s v="07255514002001"/>
    <n v="-29.31"/>
    <n v="1713"/>
    <n v="1"/>
    <n v="1"/>
  </r>
  <r>
    <m/>
    <m/>
    <x v="1"/>
    <s v="07371395001001"/>
    <n v="-34.49"/>
    <n v="2016"/>
    <n v="1"/>
    <n v="1"/>
  </r>
  <r>
    <m/>
    <m/>
    <x v="1"/>
    <s v="07402103002007"/>
    <n v="-20.67"/>
    <n v="1208"/>
    <n v="1"/>
    <n v="1"/>
  </r>
  <r>
    <m/>
    <m/>
    <x v="1"/>
    <s v="07453783001001"/>
    <n v="-2.2799999999999998"/>
    <n v="133"/>
    <n v="1"/>
    <n v="1"/>
  </r>
  <r>
    <m/>
    <m/>
    <x v="1"/>
    <s v="08205707001001"/>
    <n v="-16.670000000000002"/>
    <n v="974"/>
    <n v="1"/>
    <n v="1"/>
  </r>
  <r>
    <m/>
    <m/>
    <x v="1"/>
    <s v="08515494002001"/>
    <n v="-31.65"/>
    <n v="1850"/>
    <n v="1"/>
    <n v="1"/>
  </r>
  <r>
    <m/>
    <m/>
    <x v="1"/>
    <s v="08747776001001"/>
    <n v="-26.04"/>
    <n v="1522"/>
    <n v="1"/>
    <n v="1"/>
  </r>
  <r>
    <m/>
    <m/>
    <x v="1"/>
    <s v="08988845001001"/>
    <n v="-4.1399999999999997"/>
    <n v="242"/>
    <n v="1"/>
    <n v="1"/>
  </r>
  <r>
    <m/>
    <m/>
    <x v="1"/>
    <s v="09136104001001"/>
    <n v="-0.55000000000000004"/>
    <n v="32"/>
    <n v="1"/>
    <n v="1"/>
  </r>
  <r>
    <m/>
    <m/>
    <x v="1"/>
    <s v="09136354002001"/>
    <n v="-10.52"/>
    <n v="615"/>
    <n v="1"/>
    <n v="1"/>
  </r>
  <r>
    <m/>
    <m/>
    <x v="1"/>
    <s v="09433245001001"/>
    <n v="-14.08"/>
    <n v="823"/>
    <n v="1"/>
    <n v="1"/>
  </r>
  <r>
    <m/>
    <m/>
    <x v="1"/>
    <s v="09547488001001"/>
    <n v="-23.24"/>
    <n v="1358"/>
    <n v="1"/>
    <n v="1"/>
  </r>
  <r>
    <m/>
    <m/>
    <x v="1"/>
    <s v="09788113001001"/>
    <n v="-21.4"/>
    <n v="1251"/>
    <n v="1"/>
    <n v="1"/>
  </r>
  <r>
    <m/>
    <m/>
    <x v="1"/>
    <s v="10120469001003"/>
    <n v="-16.510000000000002"/>
    <n v="965"/>
    <n v="1"/>
    <n v="1"/>
  </r>
  <r>
    <m/>
    <m/>
    <x v="1"/>
    <s v="10634230001001"/>
    <n v="-7.07"/>
    <n v="413"/>
    <n v="1"/>
    <n v="1"/>
  </r>
  <r>
    <m/>
    <m/>
    <x v="1"/>
    <s v="10863812009001"/>
    <n v="-29.51"/>
    <n v="1725"/>
    <n v="1"/>
    <n v="1"/>
  </r>
  <r>
    <m/>
    <m/>
    <x v="1"/>
    <s v="10870119001001"/>
    <n v="-12.4"/>
    <n v="725"/>
    <n v="1"/>
    <n v="1"/>
  </r>
  <r>
    <m/>
    <m/>
    <x v="1"/>
    <s v="10948443001012"/>
    <n v="-20.100000000000001"/>
    <n v="1175"/>
    <n v="1"/>
    <n v="1"/>
  </r>
  <r>
    <m/>
    <m/>
    <x v="1"/>
    <s v="11039539001001"/>
    <n v="-34.94"/>
    <n v="2042"/>
    <n v="1"/>
    <n v="1"/>
  </r>
  <r>
    <m/>
    <m/>
    <x v="1"/>
    <s v="11407277001001"/>
    <n v="-20.79"/>
    <n v="1215"/>
    <n v="1"/>
    <n v="1"/>
  </r>
  <r>
    <m/>
    <m/>
    <x v="1"/>
    <s v="11542110001001"/>
    <n v="-6.42"/>
    <n v="375"/>
    <n v="1"/>
    <n v="1"/>
  </r>
  <r>
    <m/>
    <m/>
    <x v="1"/>
    <s v="12053528001002"/>
    <n v="-26.71"/>
    <n v="1561"/>
    <n v="1"/>
    <n v="1"/>
  </r>
  <r>
    <m/>
    <m/>
    <x v="1"/>
    <s v="12112131001001"/>
    <n v="-32.32"/>
    <n v="1889"/>
    <n v="1"/>
    <n v="1"/>
  </r>
  <r>
    <m/>
    <m/>
    <x v="1"/>
    <s v="12120157001003"/>
    <n v="-17.04"/>
    <n v="996"/>
    <n v="1"/>
    <n v="1"/>
  </r>
  <r>
    <m/>
    <m/>
    <x v="1"/>
    <s v="12243987001001"/>
    <n v="-34.36"/>
    <n v="2008"/>
    <n v="1"/>
    <n v="1"/>
  </r>
  <r>
    <m/>
    <m/>
    <x v="1"/>
    <s v="12301273001001"/>
    <n v="-22.47"/>
    <n v="1313"/>
    <n v="1"/>
    <n v="1"/>
  </r>
  <r>
    <m/>
    <m/>
    <x v="1"/>
    <s v="12738579001003"/>
    <n v="-16.34"/>
    <n v="955"/>
    <n v="1"/>
    <n v="1"/>
  </r>
  <r>
    <m/>
    <m/>
    <x v="1"/>
    <s v="12902462003001"/>
    <n v="-22.19"/>
    <n v="1297"/>
    <n v="1"/>
    <n v="1"/>
  </r>
  <r>
    <m/>
    <m/>
    <x v="1"/>
    <s v="13147069001001"/>
    <n v="-19.32"/>
    <n v="1129"/>
    <n v="1"/>
    <n v="1"/>
  </r>
  <r>
    <m/>
    <m/>
    <x v="1"/>
    <s v="13302962002001"/>
    <n v="-21.63"/>
    <n v="1264"/>
    <n v="1"/>
    <n v="1"/>
  </r>
  <r>
    <m/>
    <m/>
    <x v="1"/>
    <s v="13424163002001"/>
    <n v="-48.87"/>
    <n v="2856"/>
    <n v="1"/>
    <n v="1"/>
  </r>
  <r>
    <m/>
    <m/>
    <x v="1"/>
    <s v="13950661003001"/>
    <n v="-5.37"/>
    <n v="314"/>
    <n v="1"/>
    <n v="1"/>
  </r>
  <r>
    <m/>
    <m/>
    <x v="1"/>
    <s v="14115069001001"/>
    <n v="-0.14000000000000001"/>
    <n v="8"/>
    <n v="1"/>
    <n v="1"/>
  </r>
  <r>
    <m/>
    <m/>
    <x v="1"/>
    <s v="15035025001001"/>
    <n v="-18.84"/>
    <n v="1101"/>
    <n v="1"/>
    <n v="1"/>
  </r>
  <r>
    <m/>
    <m/>
    <x v="1"/>
    <s v="15044806001002"/>
    <n v="-21.03"/>
    <n v="1229"/>
    <n v="1"/>
    <n v="1"/>
  </r>
  <r>
    <m/>
    <m/>
    <x v="1"/>
    <s v="15171884001001"/>
    <n v="-15.93"/>
    <n v="931"/>
    <n v="1"/>
    <n v="1"/>
  </r>
  <r>
    <m/>
    <m/>
    <x v="1"/>
    <s v="15206754001005"/>
    <n v="-6.28"/>
    <n v="367"/>
    <n v="1"/>
    <n v="1"/>
  </r>
  <r>
    <m/>
    <m/>
    <x v="1"/>
    <s v="15488061001002"/>
    <n v="-26.37"/>
    <n v="1541"/>
    <n v="1"/>
    <n v="1"/>
  </r>
  <r>
    <m/>
    <m/>
    <x v="1"/>
    <s v="15663563001002"/>
    <n v="-15.04"/>
    <n v="879"/>
    <n v="1"/>
    <n v="1"/>
  </r>
  <r>
    <m/>
    <m/>
    <x v="1"/>
    <s v="15801491001003"/>
    <n v="-18.79"/>
    <n v="1098"/>
    <n v="1"/>
    <n v="1"/>
  </r>
  <r>
    <m/>
    <m/>
    <x v="1"/>
    <s v="15816206001008"/>
    <n v="-13.62"/>
    <n v="796"/>
    <n v="1"/>
    <n v="1"/>
  </r>
  <r>
    <m/>
    <m/>
    <x v="1"/>
    <s v="15894543001001"/>
    <n v="-1.81"/>
    <n v="106"/>
    <n v="1"/>
    <n v="1"/>
  </r>
  <r>
    <m/>
    <m/>
    <x v="1"/>
    <s v="15896167001003"/>
    <n v="-27.1"/>
    <n v="1584"/>
    <n v="1"/>
    <n v="1"/>
  </r>
  <r>
    <m/>
    <m/>
    <x v="1"/>
    <s v="16309419001005"/>
    <n v="-4.1900000000000004"/>
    <n v="245"/>
    <n v="1"/>
    <n v="1"/>
  </r>
  <r>
    <m/>
    <m/>
    <x v="1"/>
    <s v="16343113001003"/>
    <n v="-21.4"/>
    <n v="1251"/>
    <n v="1"/>
    <n v="1"/>
  </r>
  <r>
    <m/>
    <m/>
    <x v="1"/>
    <s v="16948232007001"/>
    <n v="-3.22"/>
    <n v="188"/>
    <n v="1"/>
    <n v="1"/>
  </r>
  <r>
    <m/>
    <m/>
    <x v="1"/>
    <s v="16948935001002"/>
    <n v="-33.14"/>
    <n v="1937"/>
    <n v="1"/>
    <n v="1"/>
  </r>
  <r>
    <m/>
    <m/>
    <x v="1"/>
    <s v="16965265001001"/>
    <n v="-15.36"/>
    <n v="898"/>
    <n v="1"/>
    <n v="1"/>
  </r>
  <r>
    <m/>
    <m/>
    <x v="1"/>
    <s v="17002950001001"/>
    <n v="-38.159999999999997"/>
    <n v="2230"/>
    <n v="1"/>
    <n v="1"/>
  </r>
  <r>
    <m/>
    <m/>
    <x v="1"/>
    <s v="17078399001001"/>
    <n v="-28.39"/>
    <n v="1659"/>
    <n v="1"/>
    <n v="1"/>
  </r>
  <r>
    <m/>
    <m/>
    <x v="1"/>
    <s v="17695560001001"/>
    <n v="-13.12"/>
    <n v="767"/>
    <n v="1"/>
    <n v="1"/>
  </r>
  <r>
    <m/>
    <m/>
    <x v="1"/>
    <s v="17700255001003"/>
    <n v="-20.399999999999999"/>
    <n v="1192"/>
    <n v="1"/>
    <n v="1"/>
  </r>
  <r>
    <m/>
    <m/>
    <x v="1"/>
    <s v="17836081001001"/>
    <n v="-19.809999999999999"/>
    <n v="1158"/>
    <n v="1"/>
    <n v="1"/>
  </r>
  <r>
    <m/>
    <m/>
    <x v="1"/>
    <s v="17879957002001"/>
    <n v="-11.34"/>
    <n v="663"/>
    <n v="1"/>
    <n v="1"/>
  </r>
  <r>
    <m/>
    <m/>
    <x v="1"/>
    <s v="17915609001002"/>
    <n v="-28.39"/>
    <n v="1659"/>
    <n v="1"/>
    <n v="1"/>
  </r>
  <r>
    <m/>
    <m/>
    <x v="1"/>
    <s v="17975956002001"/>
    <n v="-9.7200000000000006"/>
    <n v="568"/>
    <n v="1"/>
    <n v="1"/>
  </r>
  <r>
    <m/>
    <m/>
    <x v="1"/>
    <s v="18165838001002"/>
    <n v="-21.8"/>
    <n v="1274"/>
    <n v="1"/>
    <n v="1"/>
  </r>
  <r>
    <m/>
    <m/>
    <x v="1"/>
    <s v="18339543001003"/>
    <n v="-24.67"/>
    <n v="1442"/>
    <n v="1"/>
    <n v="1"/>
  </r>
  <r>
    <m/>
    <m/>
    <x v="1"/>
    <s v="18342361001001"/>
    <n v="-2.46"/>
    <n v="144"/>
    <n v="1"/>
    <n v="1"/>
  </r>
  <r>
    <m/>
    <m/>
    <x v="1"/>
    <s v="18991884001001"/>
    <n v="-28.15"/>
    <n v="1645"/>
    <n v="1"/>
    <n v="1"/>
  </r>
  <r>
    <m/>
    <m/>
    <x v="1"/>
    <s v="19248493001003"/>
    <n v="-10.9"/>
    <n v="637"/>
    <n v="1"/>
    <n v="1"/>
  </r>
  <r>
    <m/>
    <m/>
    <x v="1"/>
    <s v="19938960001001"/>
    <n v="-24.42"/>
    <n v="1427"/>
    <n v="1"/>
    <n v="1"/>
  </r>
  <r>
    <m/>
    <m/>
    <x v="1"/>
    <s v="20011333001001"/>
    <n v="-5.08"/>
    <n v="297"/>
    <n v="1"/>
    <n v="1"/>
  </r>
  <r>
    <m/>
    <m/>
    <x v="1"/>
    <s v="20180113003001"/>
    <n v="-28.39"/>
    <n v="1659"/>
    <n v="1"/>
    <n v="1"/>
  </r>
  <r>
    <m/>
    <m/>
    <x v="1"/>
    <s v="20449624001005"/>
    <n v="-12.85"/>
    <n v="751"/>
    <n v="1"/>
    <n v="1"/>
  </r>
  <r>
    <m/>
    <m/>
    <x v="1"/>
    <s v="20731964001001"/>
    <n v="-49.23"/>
    <n v="2877"/>
    <n v="1"/>
    <n v="1"/>
  </r>
  <r>
    <m/>
    <m/>
    <x v="1"/>
    <s v="20938987001003"/>
    <n v="-6.69"/>
    <n v="391"/>
    <n v="1"/>
    <n v="1"/>
  </r>
  <r>
    <m/>
    <m/>
    <x v="1"/>
    <s v="21046404001005"/>
    <n v="-17.88"/>
    <n v="1045"/>
    <n v="1"/>
    <n v="1"/>
  </r>
  <r>
    <m/>
    <m/>
    <x v="1"/>
    <s v="21126918001001"/>
    <n v="-11.07"/>
    <n v="647"/>
    <n v="1"/>
    <n v="1"/>
  </r>
  <r>
    <m/>
    <m/>
    <x v="1"/>
    <s v="21343250001003"/>
    <n v="-13.67"/>
    <n v="799"/>
    <n v="1"/>
    <n v="1"/>
  </r>
  <r>
    <m/>
    <m/>
    <x v="1"/>
    <s v="21883954001003"/>
    <n v="-7.56"/>
    <n v="442"/>
    <n v="1"/>
    <n v="1"/>
  </r>
  <r>
    <m/>
    <m/>
    <x v="1"/>
    <s v="22006059001003"/>
    <n v="-13.69"/>
    <n v="800"/>
    <n v="1"/>
    <n v="1"/>
  </r>
  <r>
    <m/>
    <m/>
    <x v="1"/>
    <s v="22074130001003"/>
    <n v="-29.53"/>
    <n v="1726"/>
    <n v="1"/>
    <n v="1"/>
  </r>
  <r>
    <m/>
    <m/>
    <x v="1"/>
    <s v="22249935001008"/>
    <n v="-9.99"/>
    <n v="584"/>
    <n v="1"/>
    <n v="1"/>
  </r>
  <r>
    <m/>
    <m/>
    <x v="1"/>
    <s v="22361013001001"/>
    <n v="-41.8"/>
    <n v="2443"/>
    <n v="1"/>
    <n v="1"/>
  </r>
  <r>
    <m/>
    <m/>
    <x v="1"/>
    <s v="22479204001001"/>
    <n v="-6.98"/>
    <n v="408"/>
    <n v="1"/>
    <n v="1"/>
  </r>
  <r>
    <m/>
    <m/>
    <x v="1"/>
    <s v="22544985001001"/>
    <n v="-19.27"/>
    <n v="1126"/>
    <n v="1"/>
    <n v="1"/>
  </r>
  <r>
    <m/>
    <m/>
    <x v="1"/>
    <s v="22786239001001"/>
    <n v="-15.18"/>
    <n v="887"/>
    <n v="1"/>
    <n v="1"/>
  </r>
  <r>
    <m/>
    <m/>
    <x v="1"/>
    <s v="23045379001003"/>
    <n v="-11.75"/>
    <n v="687"/>
    <n v="1"/>
    <n v="1"/>
  </r>
  <r>
    <m/>
    <m/>
    <x v="1"/>
    <s v="23072089004002"/>
    <n v="-15.71"/>
    <n v="918"/>
    <n v="1"/>
    <n v="1"/>
  </r>
  <r>
    <m/>
    <m/>
    <x v="1"/>
    <s v="23397291001002"/>
    <n v="-29.87"/>
    <n v="1746"/>
    <n v="1"/>
    <n v="1"/>
  </r>
  <r>
    <m/>
    <m/>
    <x v="1"/>
    <s v="23582904002001"/>
    <n v="-19.25"/>
    <n v="1125"/>
    <n v="1"/>
    <n v="1"/>
  </r>
  <r>
    <m/>
    <m/>
    <x v="1"/>
    <s v="23798048001001"/>
    <n v="-13.41"/>
    <n v="784"/>
    <n v="1"/>
    <n v="1"/>
  </r>
  <r>
    <m/>
    <m/>
    <x v="1"/>
    <s v="23964769001001"/>
    <n v="-41.34"/>
    <n v="2416"/>
    <n v="1"/>
    <n v="1"/>
  </r>
  <r>
    <m/>
    <m/>
    <x v="1"/>
    <s v="24117411001001"/>
    <n v="-9.14"/>
    <n v="534"/>
    <n v="1"/>
    <n v="1"/>
  </r>
  <r>
    <m/>
    <m/>
    <x v="1"/>
    <s v="24211542001006"/>
    <n v="-21.83"/>
    <n v="1276"/>
    <n v="1"/>
    <n v="1"/>
  </r>
  <r>
    <m/>
    <m/>
    <x v="1"/>
    <s v="24367594001003"/>
    <n v="-29.02"/>
    <n v="1696"/>
    <n v="1"/>
    <n v="1"/>
  </r>
  <r>
    <m/>
    <m/>
    <x v="1"/>
    <s v="24379908001001"/>
    <n v="-24.69"/>
    <n v="1443"/>
    <n v="1"/>
    <n v="1"/>
  </r>
  <r>
    <m/>
    <m/>
    <x v="1"/>
    <s v="24700366001005"/>
    <n v="-9.56"/>
    <n v="559"/>
    <n v="1"/>
    <n v="1"/>
  </r>
  <r>
    <m/>
    <m/>
    <x v="1"/>
    <s v="24878853001001"/>
    <n v="-27.62"/>
    <n v="1614"/>
    <n v="1"/>
    <n v="1"/>
  </r>
  <r>
    <m/>
    <m/>
    <x v="1"/>
    <s v="25145853004001"/>
    <n v="-5.89"/>
    <n v="344"/>
    <n v="1"/>
    <n v="1"/>
  </r>
  <r>
    <m/>
    <m/>
    <x v="1"/>
    <s v="25212072001001"/>
    <n v="-29.12"/>
    <n v="1702"/>
    <n v="1"/>
    <n v="1"/>
  </r>
  <r>
    <m/>
    <m/>
    <x v="1"/>
    <s v="25251414001001"/>
    <n v="-18.149999999999999"/>
    <n v="1061"/>
    <n v="1"/>
    <n v="1"/>
  </r>
  <r>
    <m/>
    <m/>
    <x v="1"/>
    <s v="25543231001002"/>
    <n v="-41.44"/>
    <n v="2422"/>
    <n v="1"/>
    <n v="1"/>
  </r>
  <r>
    <m/>
    <m/>
    <x v="1"/>
    <s v="25616940003001"/>
    <n v="-9.44"/>
    <n v="552"/>
    <n v="1"/>
    <n v="1"/>
  </r>
  <r>
    <m/>
    <m/>
    <x v="1"/>
    <s v="25645147002001"/>
    <n v="-16.53"/>
    <n v="966"/>
    <n v="1"/>
    <n v="1"/>
  </r>
  <r>
    <m/>
    <m/>
    <x v="1"/>
    <s v="25664446001001"/>
    <n v="-30.27"/>
    <n v="1769"/>
    <n v="1"/>
    <n v="1"/>
  </r>
  <r>
    <m/>
    <m/>
    <x v="1"/>
    <s v="25768900001001"/>
    <n v="-21.82"/>
    <n v="1275"/>
    <n v="1"/>
    <n v="1"/>
  </r>
  <r>
    <m/>
    <m/>
    <x v="1"/>
    <s v="25934033002010"/>
    <n v="-13.47"/>
    <n v="787"/>
    <n v="1"/>
    <n v="1"/>
  </r>
  <r>
    <m/>
    <m/>
    <x v="1"/>
    <s v="26192550001001"/>
    <n v="-42.02"/>
    <n v="2456"/>
    <n v="1"/>
    <n v="1"/>
  </r>
  <r>
    <m/>
    <m/>
    <x v="1"/>
    <s v="26293541004003"/>
    <n v="-51.43"/>
    <n v="3006"/>
    <n v="1"/>
    <n v="1"/>
  </r>
  <r>
    <m/>
    <m/>
    <x v="1"/>
    <s v="26311764001002"/>
    <n v="-24.38"/>
    <n v="1425"/>
    <n v="1"/>
    <n v="1"/>
  </r>
  <r>
    <m/>
    <m/>
    <x v="1"/>
    <s v="26366881002001"/>
    <n v="-12.35"/>
    <n v="722"/>
    <n v="1"/>
    <n v="1"/>
  </r>
  <r>
    <m/>
    <m/>
    <x v="1"/>
    <s v="26628965001001"/>
    <n v="-14.58"/>
    <n v="852"/>
    <n v="1"/>
    <n v="1"/>
  </r>
  <r>
    <m/>
    <m/>
    <x v="1"/>
    <s v="26683813001011"/>
    <n v="-5.22"/>
    <n v="305"/>
    <n v="1"/>
    <n v="1"/>
  </r>
  <r>
    <m/>
    <m/>
    <x v="1"/>
    <s v="26869084007001"/>
    <n v="-10.81"/>
    <n v="632"/>
    <n v="1"/>
    <n v="1"/>
  </r>
  <r>
    <m/>
    <m/>
    <x v="1"/>
    <s v="27171158002003"/>
    <n v="-30.32"/>
    <n v="1772"/>
    <n v="1"/>
    <n v="1"/>
  </r>
  <r>
    <m/>
    <m/>
    <x v="1"/>
    <s v="27353470003003"/>
    <n v="-41.49"/>
    <n v="2425"/>
    <n v="1"/>
    <n v="1"/>
  </r>
  <r>
    <m/>
    <m/>
    <x v="1"/>
    <s v="27532629001001"/>
    <n v="-5.17"/>
    <n v="302"/>
    <n v="1"/>
    <n v="1"/>
  </r>
  <r>
    <m/>
    <m/>
    <x v="1"/>
    <s v="27696108001012"/>
    <n v="-23.42"/>
    <n v="1369"/>
    <n v="1"/>
    <n v="1"/>
  </r>
  <r>
    <m/>
    <m/>
    <x v="1"/>
    <s v="28006021003005"/>
    <n v="-32.799999999999997"/>
    <n v="1917"/>
    <n v="1"/>
    <n v="1"/>
  </r>
  <r>
    <m/>
    <m/>
    <x v="1"/>
    <s v="28014351004008"/>
    <n v="-31.11"/>
    <n v="1818"/>
    <n v="1"/>
    <n v="1"/>
  </r>
  <r>
    <m/>
    <m/>
    <x v="1"/>
    <s v="28065736001004"/>
    <n v="-30.47"/>
    <n v="1781"/>
    <n v="1"/>
    <n v="1"/>
  </r>
  <r>
    <m/>
    <m/>
    <x v="1"/>
    <s v="28066889003005"/>
    <n v="-3.83"/>
    <n v="224"/>
    <n v="1"/>
    <n v="1"/>
  </r>
  <r>
    <m/>
    <m/>
    <x v="1"/>
    <s v="28177082001005"/>
    <n v="-6.78"/>
    <n v="396"/>
    <n v="1"/>
    <n v="1"/>
  </r>
  <r>
    <m/>
    <m/>
    <x v="1"/>
    <s v="28282482001001"/>
    <n v="-15.88"/>
    <n v="928"/>
    <n v="1"/>
    <n v="1"/>
  </r>
  <r>
    <m/>
    <m/>
    <x v="1"/>
    <s v="28645126001006"/>
    <n v="-17.32"/>
    <n v="1012"/>
    <n v="1"/>
    <n v="1"/>
  </r>
  <r>
    <m/>
    <m/>
    <x v="1"/>
    <s v="28726471002003"/>
    <n v="-10.64"/>
    <n v="622"/>
    <n v="1"/>
    <n v="1"/>
  </r>
  <r>
    <m/>
    <m/>
    <x v="1"/>
    <s v="28925131001001"/>
    <n v="-0.38"/>
    <n v="22"/>
    <n v="1"/>
    <n v="1"/>
  </r>
  <r>
    <m/>
    <m/>
    <x v="1"/>
    <s v="29907188001008"/>
    <n v="-13.48"/>
    <n v="788"/>
    <n v="1"/>
    <n v="1"/>
  </r>
  <r>
    <m/>
    <m/>
    <x v="1"/>
    <s v="29966739001002"/>
    <n v="-46.28"/>
    <n v="2705"/>
    <n v="1"/>
    <n v="1"/>
  </r>
  <r>
    <m/>
    <m/>
    <x v="1"/>
    <s v="30315366001001"/>
    <n v="-57.27"/>
    <n v="3347"/>
    <n v="1"/>
    <n v="1"/>
  </r>
  <r>
    <m/>
    <m/>
    <x v="1"/>
    <s v="30326468002004"/>
    <n v="-35.74"/>
    <n v="2089"/>
    <n v="1"/>
    <n v="1"/>
  </r>
  <r>
    <m/>
    <m/>
    <x v="1"/>
    <s v="30360605008001"/>
    <n v="-25.22"/>
    <n v="1474"/>
    <n v="1"/>
    <n v="1"/>
  </r>
  <r>
    <m/>
    <m/>
    <x v="1"/>
    <s v="30361706001001"/>
    <n v="-38.840000000000003"/>
    <n v="2270"/>
    <n v="1"/>
    <n v="1"/>
  </r>
  <r>
    <m/>
    <m/>
    <x v="1"/>
    <s v="30618491001003"/>
    <n v="-44.47"/>
    <n v="2599"/>
    <n v="1"/>
    <n v="1"/>
  </r>
  <r>
    <m/>
    <m/>
    <x v="1"/>
    <s v="30684952001001"/>
    <n v="-14.61"/>
    <n v="854"/>
    <n v="1"/>
    <n v="1"/>
  </r>
  <r>
    <m/>
    <m/>
    <x v="1"/>
    <s v="30887773005008"/>
    <n v="-18.96"/>
    <n v="1108"/>
    <n v="1"/>
    <n v="1"/>
  </r>
  <r>
    <m/>
    <m/>
    <x v="1"/>
    <s v="30897668001001"/>
    <n v="-26.380000000000003"/>
    <n v="1542"/>
    <n v="2"/>
    <n v="1"/>
  </r>
  <r>
    <m/>
    <m/>
    <x v="1"/>
    <s v="30975210001001"/>
    <n v="-31.76"/>
    <n v="1856"/>
    <n v="1"/>
    <n v="1"/>
  </r>
  <r>
    <m/>
    <m/>
    <x v="1"/>
    <s v="31016219001003"/>
    <n v="-0.39"/>
    <n v="23"/>
    <n v="1"/>
    <n v="1"/>
  </r>
  <r>
    <m/>
    <m/>
    <x v="1"/>
    <s v="31310853002001"/>
    <n v="-30.27"/>
    <n v="1769"/>
    <n v="1"/>
    <n v="1"/>
  </r>
  <r>
    <m/>
    <m/>
    <x v="1"/>
    <s v="31452473001001"/>
    <n v="-7.56"/>
    <n v="442"/>
    <n v="1"/>
    <n v="1"/>
  </r>
  <r>
    <m/>
    <m/>
    <x v="1"/>
    <s v="31590004001001"/>
    <n v="-38.07"/>
    <n v="2225"/>
    <n v="1"/>
    <n v="1"/>
  </r>
  <r>
    <m/>
    <m/>
    <x v="1"/>
    <s v="32135273002001"/>
    <n v="-21.1"/>
    <n v="1233"/>
    <n v="1"/>
    <n v="1"/>
  </r>
  <r>
    <m/>
    <m/>
    <x v="1"/>
    <s v="32517568004001"/>
    <n v="-4.6399999999999997"/>
    <n v="271"/>
    <n v="1"/>
    <n v="1"/>
  </r>
  <r>
    <m/>
    <m/>
    <x v="1"/>
    <s v="32636395001001"/>
    <n v="-28.78"/>
    <n v="1682"/>
    <n v="1"/>
    <n v="1"/>
  </r>
  <r>
    <m/>
    <m/>
    <x v="1"/>
    <s v="32666126001001"/>
    <n v="-16.13"/>
    <n v="943"/>
    <n v="1"/>
    <n v="1"/>
  </r>
  <r>
    <m/>
    <m/>
    <x v="1"/>
    <s v="32759956001001"/>
    <n v="-12.61"/>
    <n v="737"/>
    <n v="1"/>
    <n v="1"/>
  </r>
  <r>
    <m/>
    <m/>
    <x v="1"/>
    <s v="32804453001009"/>
    <n v="-10.75"/>
    <n v="628"/>
    <n v="1"/>
    <n v="1"/>
  </r>
  <r>
    <m/>
    <m/>
    <x v="1"/>
    <s v="33383973002003"/>
    <n v="-14.49"/>
    <n v="847"/>
    <n v="1"/>
    <n v="1"/>
  </r>
  <r>
    <m/>
    <m/>
    <x v="1"/>
    <s v="33579124001002"/>
    <n v="-16.77"/>
    <n v="980"/>
    <n v="1"/>
    <n v="1"/>
  </r>
  <r>
    <m/>
    <m/>
    <x v="1"/>
    <s v="34088818001004"/>
    <n v="-56.63"/>
    <n v="3310"/>
    <n v="1"/>
    <n v="1"/>
  </r>
  <r>
    <m/>
    <m/>
    <x v="1"/>
    <s v="34099616001006"/>
    <n v="-23.59"/>
    <n v="1379"/>
    <n v="1"/>
    <n v="1"/>
  </r>
  <r>
    <m/>
    <m/>
    <x v="1"/>
    <s v="34307833003001"/>
    <n v="-15.96"/>
    <n v="933"/>
    <n v="1"/>
    <n v="1"/>
  </r>
  <r>
    <m/>
    <m/>
    <x v="1"/>
    <s v="34329415001002"/>
    <n v="-4.96"/>
    <n v="290"/>
    <n v="1"/>
    <n v="1"/>
  </r>
  <r>
    <m/>
    <m/>
    <x v="1"/>
    <s v="34892207001001"/>
    <n v="-24.72"/>
    <n v="1445"/>
    <n v="1"/>
    <n v="1"/>
  </r>
  <r>
    <m/>
    <m/>
    <x v="1"/>
    <s v="34902092001003"/>
    <n v="-9.7200000000000006"/>
    <n v="568"/>
    <n v="1"/>
    <n v="1"/>
  </r>
  <r>
    <m/>
    <m/>
    <x v="1"/>
    <s v="35235596002001"/>
    <n v="-31.89"/>
    <n v="1864"/>
    <n v="1"/>
    <n v="1"/>
  </r>
  <r>
    <m/>
    <m/>
    <x v="1"/>
    <s v="35256283001003"/>
    <n v="-22.84"/>
    <n v="1335"/>
    <n v="1"/>
    <n v="1"/>
  </r>
  <r>
    <m/>
    <m/>
    <x v="1"/>
    <s v="35345438001001"/>
    <n v="-16.77"/>
    <n v="980"/>
    <n v="1"/>
    <n v="1"/>
  </r>
  <r>
    <m/>
    <m/>
    <x v="1"/>
    <s v="35490120001003"/>
    <n v="-18.100000000000001"/>
    <n v="1058"/>
    <n v="1"/>
    <n v="1"/>
  </r>
  <r>
    <m/>
    <m/>
    <x v="1"/>
    <s v="35523656001007"/>
    <n v="-11.86"/>
    <n v="693"/>
    <n v="1"/>
    <n v="1"/>
  </r>
  <r>
    <m/>
    <m/>
    <x v="1"/>
    <s v="35560202007001"/>
    <n v="-51.79"/>
    <n v="3027"/>
    <n v="1"/>
    <n v="1"/>
  </r>
  <r>
    <m/>
    <m/>
    <x v="1"/>
    <s v="35588099002003"/>
    <n v="-26.62"/>
    <n v="1556"/>
    <n v="1"/>
    <n v="1"/>
  </r>
  <r>
    <m/>
    <m/>
    <x v="1"/>
    <s v="36065414001009"/>
    <n v="-5.9"/>
    <n v="345"/>
    <n v="1"/>
    <n v="1"/>
  </r>
  <r>
    <m/>
    <m/>
    <x v="1"/>
    <s v="36145080002001"/>
    <n v="-0.74"/>
    <n v="43"/>
    <n v="1"/>
    <n v="1"/>
  </r>
  <r>
    <m/>
    <m/>
    <x v="1"/>
    <s v="36405191001001"/>
    <n v="-11.21"/>
    <n v="655"/>
    <n v="1"/>
    <n v="1"/>
  </r>
  <r>
    <m/>
    <m/>
    <x v="1"/>
    <s v="36459596001003"/>
    <n v="-11.57"/>
    <n v="676"/>
    <n v="1"/>
    <n v="1"/>
  </r>
  <r>
    <m/>
    <m/>
    <x v="1"/>
    <s v="36990379002001"/>
    <n v="-11.72"/>
    <n v="685"/>
    <n v="1"/>
    <n v="1"/>
  </r>
  <r>
    <m/>
    <m/>
    <x v="1"/>
    <s v="36993606001001"/>
    <n v="-36.700000000000003"/>
    <n v="2145"/>
    <n v="1"/>
    <n v="1"/>
  </r>
  <r>
    <m/>
    <m/>
    <x v="1"/>
    <s v="37072302001005"/>
    <n v="-19.73"/>
    <n v="1153"/>
    <n v="1"/>
    <n v="1"/>
  </r>
  <r>
    <m/>
    <m/>
    <x v="1"/>
    <s v="37250462001001"/>
    <n v="-32.78"/>
    <n v="1916"/>
    <n v="1"/>
    <n v="1"/>
  </r>
  <r>
    <m/>
    <m/>
    <x v="1"/>
    <s v="37420592003001"/>
    <n v="-12.47"/>
    <n v="729"/>
    <n v="1"/>
    <n v="1"/>
  </r>
  <r>
    <m/>
    <m/>
    <x v="1"/>
    <s v="37463674001001"/>
    <n v="-32.47"/>
    <n v="1898"/>
    <n v="1"/>
    <n v="1"/>
  </r>
  <r>
    <m/>
    <m/>
    <x v="1"/>
    <s v="37494438002001"/>
    <n v="-24.5"/>
    <n v="1432"/>
    <n v="1"/>
    <n v="1"/>
  </r>
  <r>
    <m/>
    <m/>
    <x v="1"/>
    <s v="38597136001002"/>
    <n v="-32.200000000000003"/>
    <n v="1882"/>
    <n v="1"/>
    <n v="1"/>
  </r>
  <r>
    <m/>
    <m/>
    <x v="1"/>
    <s v="38653947001005"/>
    <n v="-23.7"/>
    <n v="1385"/>
    <n v="1"/>
    <n v="1"/>
  </r>
  <r>
    <m/>
    <m/>
    <x v="1"/>
    <s v="38665012002003"/>
    <n v="-26.73"/>
    <n v="1562"/>
    <n v="1"/>
    <n v="1"/>
  </r>
  <r>
    <m/>
    <m/>
    <x v="1"/>
    <s v="38666511001005"/>
    <n v="-44.47"/>
    <n v="2599"/>
    <n v="1"/>
    <n v="1"/>
  </r>
  <r>
    <m/>
    <m/>
    <x v="1"/>
    <s v="38677583001001"/>
    <n v="-25.01"/>
    <n v="1462"/>
    <n v="1"/>
    <n v="1"/>
  </r>
  <r>
    <m/>
    <m/>
    <x v="1"/>
    <s v="38860694001003"/>
    <n v="-31.91"/>
    <n v="1865"/>
    <n v="1"/>
    <n v="1"/>
  </r>
  <r>
    <m/>
    <m/>
    <x v="1"/>
    <s v="38891796001003"/>
    <n v="-7.94"/>
    <n v="464"/>
    <n v="1"/>
    <n v="1"/>
  </r>
  <r>
    <m/>
    <m/>
    <x v="1"/>
    <s v="39658784002001"/>
    <n v="-7.56"/>
    <n v="442"/>
    <n v="1"/>
    <n v="1"/>
  </r>
  <r>
    <m/>
    <m/>
    <x v="1"/>
    <s v="39662471001003"/>
    <n v="-32.94"/>
    <n v="1925"/>
    <n v="1"/>
    <n v="1"/>
  </r>
  <r>
    <m/>
    <m/>
    <x v="1"/>
    <s v="39954610002010"/>
    <n v="-6.38"/>
    <n v="373"/>
    <n v="1"/>
    <n v="1"/>
  </r>
  <r>
    <m/>
    <m/>
    <x v="1"/>
    <s v="39955820001001"/>
    <n v="-22.69"/>
    <n v="1326"/>
    <n v="1"/>
    <n v="1"/>
  </r>
  <r>
    <m/>
    <m/>
    <x v="1"/>
    <s v="40304373001005"/>
    <n v="-11.29"/>
    <n v="660"/>
    <n v="1"/>
    <n v="1"/>
  </r>
  <r>
    <m/>
    <m/>
    <x v="1"/>
    <s v="40366913001001"/>
    <n v="-12.37"/>
    <n v="723"/>
    <n v="1"/>
    <n v="1"/>
  </r>
  <r>
    <m/>
    <m/>
    <x v="1"/>
    <s v="40492100002001"/>
    <n v="-5.51"/>
    <n v="322"/>
    <n v="1"/>
    <n v="1"/>
  </r>
  <r>
    <m/>
    <m/>
    <x v="1"/>
    <s v="40602210001001"/>
    <n v="-8.9700000000000006"/>
    <n v="524"/>
    <n v="1"/>
    <n v="1"/>
  </r>
  <r>
    <m/>
    <m/>
    <x v="1"/>
    <s v="41254471001004"/>
    <n v="-23.75"/>
    <n v="1388"/>
    <n v="1"/>
    <n v="1"/>
  </r>
  <r>
    <m/>
    <m/>
    <x v="1"/>
    <s v="41419799002001"/>
    <n v="-1.1499999999999999"/>
    <n v="67"/>
    <n v="1"/>
    <n v="1"/>
  </r>
  <r>
    <m/>
    <m/>
    <x v="1"/>
    <s v="41938265001001"/>
    <n v="-26.54"/>
    <n v="1551"/>
    <n v="1"/>
    <n v="1"/>
  </r>
  <r>
    <m/>
    <m/>
    <x v="1"/>
    <s v="42014470001005"/>
    <n v="-38.619999999999997"/>
    <n v="2257"/>
    <n v="1"/>
    <n v="1"/>
  </r>
  <r>
    <m/>
    <m/>
    <x v="1"/>
    <s v="42066880001001"/>
    <n v="-9.41"/>
    <n v="550"/>
    <n v="1"/>
    <n v="1"/>
  </r>
  <r>
    <m/>
    <m/>
    <x v="1"/>
    <s v="42508761002002"/>
    <n v="-16.989999999999998"/>
    <n v="993"/>
    <n v="1"/>
    <n v="1"/>
  </r>
  <r>
    <m/>
    <m/>
    <x v="1"/>
    <s v="42515901001002"/>
    <n v="-29.31"/>
    <n v="1713"/>
    <n v="1"/>
    <n v="1"/>
  </r>
  <r>
    <m/>
    <m/>
    <x v="1"/>
    <s v="42524441001002"/>
    <n v="-40.82"/>
    <n v="2386"/>
    <n v="1"/>
    <n v="1"/>
  </r>
  <r>
    <m/>
    <m/>
    <x v="1"/>
    <s v="42528501001002"/>
    <n v="-23.63"/>
    <n v="1381"/>
    <n v="1"/>
    <n v="1"/>
  </r>
  <r>
    <m/>
    <m/>
    <x v="1"/>
    <s v="42540401001001"/>
    <n v="-2.31"/>
    <n v="135"/>
    <n v="1"/>
    <n v="1"/>
  </r>
  <r>
    <m/>
    <m/>
    <x v="1"/>
    <s v="42576676002001"/>
    <n v="-22.38"/>
    <n v="1308"/>
    <n v="1"/>
    <n v="1"/>
  </r>
  <r>
    <m/>
    <m/>
    <x v="1"/>
    <s v="42586041002001"/>
    <n v="-32.369999999999997"/>
    <n v="1892"/>
    <n v="1"/>
    <n v="1"/>
  </r>
  <r>
    <m/>
    <m/>
    <x v="1"/>
    <s v="42613341001001"/>
    <n v="-5.99"/>
    <n v="350"/>
    <n v="1"/>
    <n v="1"/>
  </r>
  <r>
    <m/>
    <m/>
    <x v="1"/>
    <s v="42620271001001"/>
    <n v="-8.61"/>
    <n v="503"/>
    <n v="1"/>
    <n v="1"/>
  </r>
  <r>
    <m/>
    <m/>
    <x v="1"/>
    <s v="42624051001002"/>
    <n v="-5.03"/>
    <n v="294"/>
    <n v="1"/>
    <n v="1"/>
  </r>
  <r>
    <m/>
    <m/>
    <x v="1"/>
    <s v="42649321001001"/>
    <n v="-2.2200000000000002"/>
    <n v="130"/>
    <n v="1"/>
    <n v="1"/>
  </r>
  <r>
    <m/>
    <m/>
    <x v="1"/>
    <s v="42659261001004"/>
    <n v="-33.26"/>
    <n v="1944"/>
    <n v="1"/>
    <n v="1"/>
  </r>
  <r>
    <m/>
    <m/>
    <x v="1"/>
    <s v="42662971001011"/>
    <n v="-30.87"/>
    <n v="1804"/>
    <n v="1"/>
    <n v="1"/>
  </r>
  <r>
    <m/>
    <m/>
    <x v="1"/>
    <s v="42725901002002"/>
    <n v="-20.6"/>
    <n v="1204"/>
    <n v="1"/>
    <n v="1"/>
  </r>
  <r>
    <m/>
    <m/>
    <x v="1"/>
    <s v="42743757001001"/>
    <n v="-14.71"/>
    <n v="860"/>
    <n v="1"/>
    <n v="1"/>
  </r>
  <r>
    <m/>
    <m/>
    <x v="1"/>
    <s v="42776931001001"/>
    <n v="-34.01"/>
    <n v="1988"/>
    <n v="1"/>
    <n v="1"/>
  </r>
  <r>
    <m/>
    <m/>
    <x v="1"/>
    <s v="42785681001001"/>
    <n v="-37.44"/>
    <n v="2188"/>
    <n v="1"/>
    <n v="1"/>
  </r>
  <r>
    <m/>
    <m/>
    <x v="1"/>
    <s v="42812881002001"/>
    <n v="-15.78"/>
    <n v="922"/>
    <n v="1"/>
    <n v="1"/>
  </r>
  <r>
    <m/>
    <m/>
    <x v="1"/>
    <s v="42816621001001"/>
    <n v="-19.850000000000001"/>
    <n v="1160"/>
    <n v="1"/>
    <n v="1"/>
  </r>
  <r>
    <m/>
    <m/>
    <x v="1"/>
    <s v="42926275001002"/>
    <n v="-26.88"/>
    <n v="1571"/>
    <n v="1"/>
    <n v="1"/>
  </r>
  <r>
    <m/>
    <m/>
    <x v="1"/>
    <s v="42954661002001"/>
    <n v="-13.64"/>
    <n v="797"/>
    <n v="1"/>
    <n v="1"/>
  </r>
  <r>
    <m/>
    <m/>
    <x v="1"/>
    <s v="43033085001001"/>
    <n v="-6.43"/>
    <n v="376"/>
    <n v="1"/>
    <n v="1"/>
  </r>
  <r>
    <m/>
    <m/>
    <x v="1"/>
    <s v="43045241001001"/>
    <n v="-0.92"/>
    <n v="54"/>
    <n v="1"/>
    <n v="1"/>
  </r>
  <r>
    <m/>
    <m/>
    <x v="1"/>
    <s v="43137151001001"/>
    <n v="-30.2"/>
    <n v="1765"/>
    <n v="1"/>
    <n v="1"/>
  </r>
  <r>
    <m/>
    <m/>
    <x v="1"/>
    <s v="43163261002001"/>
    <n v="-45.8"/>
    <n v="2677"/>
    <n v="1"/>
    <n v="1"/>
  </r>
  <r>
    <m/>
    <m/>
    <x v="1"/>
    <s v="43192521002006"/>
    <n v="-11.82"/>
    <n v="691"/>
    <n v="1"/>
    <n v="1"/>
  </r>
  <r>
    <m/>
    <m/>
    <x v="1"/>
    <s v="43234101001001"/>
    <n v="-16.100000000000001"/>
    <n v="941"/>
    <n v="1"/>
    <n v="1"/>
  </r>
  <r>
    <m/>
    <m/>
    <x v="1"/>
    <s v="43254471002001"/>
    <n v="-25.41"/>
    <n v="1485"/>
    <n v="1"/>
    <n v="1"/>
  </r>
  <r>
    <m/>
    <m/>
    <x v="1"/>
    <s v="43259441001002"/>
    <n v="-0.86"/>
    <n v="50"/>
    <n v="1"/>
    <n v="1"/>
  </r>
  <r>
    <m/>
    <m/>
    <x v="1"/>
    <s v="43267071001006"/>
    <n v="-16.239999999999998"/>
    <n v="949"/>
    <n v="1"/>
    <n v="1"/>
  </r>
  <r>
    <m/>
    <m/>
    <x v="1"/>
    <s v="43297591001002"/>
    <n v="-35.61"/>
    <n v="2081"/>
    <n v="1"/>
    <n v="1"/>
  </r>
  <r>
    <m/>
    <m/>
    <x v="1"/>
    <s v="43299411003001"/>
    <n v="-43.51"/>
    <n v="2543"/>
    <n v="1"/>
    <n v="1"/>
  </r>
  <r>
    <m/>
    <m/>
    <x v="1"/>
    <s v="43333711001002"/>
    <n v="-9.14"/>
    <n v="534"/>
    <n v="1"/>
    <n v="1"/>
  </r>
  <r>
    <m/>
    <m/>
    <x v="1"/>
    <s v="43341691001008"/>
    <n v="-19.420000000000002"/>
    <n v="1135"/>
    <n v="1"/>
    <n v="1"/>
  </r>
  <r>
    <m/>
    <m/>
    <x v="1"/>
    <s v="43399301001003"/>
    <n v="-20.100000000000001"/>
    <n v="1175"/>
    <n v="1"/>
    <n v="1"/>
  </r>
  <r>
    <m/>
    <m/>
    <x v="1"/>
    <s v="43411551001012"/>
    <n v="-10.47"/>
    <n v="612"/>
    <n v="1"/>
    <n v="1"/>
  </r>
  <r>
    <m/>
    <m/>
    <x v="1"/>
    <s v="43445991001003"/>
    <n v="-23.99"/>
    <n v="1402"/>
    <n v="1"/>
    <n v="1"/>
  </r>
  <r>
    <m/>
    <m/>
    <x v="1"/>
    <s v="43629601001002"/>
    <n v="-16.46"/>
    <n v="962"/>
    <n v="1"/>
    <n v="1"/>
  </r>
  <r>
    <m/>
    <m/>
    <x v="1"/>
    <s v="43717941001003"/>
    <n v="-12.37"/>
    <n v="723"/>
    <n v="1"/>
    <n v="1"/>
  </r>
  <r>
    <m/>
    <m/>
    <x v="1"/>
    <s v="43736211001004"/>
    <n v="-11.7"/>
    <n v="684"/>
    <n v="1"/>
    <n v="1"/>
  </r>
  <r>
    <m/>
    <m/>
    <x v="1"/>
    <s v="43777301002001"/>
    <n v="-17.93"/>
    <n v="1048"/>
    <n v="1"/>
    <n v="1"/>
  </r>
  <r>
    <m/>
    <m/>
    <x v="1"/>
    <s v="43805161001001"/>
    <n v="-15.07"/>
    <n v="881"/>
    <n v="1"/>
    <n v="1"/>
  </r>
  <r>
    <m/>
    <m/>
    <x v="1"/>
    <s v="43823991001001"/>
    <n v="-14.7"/>
    <n v="859"/>
    <n v="1"/>
    <n v="1"/>
  </r>
  <r>
    <m/>
    <m/>
    <x v="1"/>
    <s v="43829235001002"/>
    <n v="-21.92"/>
    <n v="1281"/>
    <n v="1"/>
    <n v="1"/>
  </r>
  <r>
    <m/>
    <m/>
    <x v="1"/>
    <s v="43829871002001"/>
    <n v="-16.82"/>
    <n v="983"/>
    <n v="1"/>
    <n v="1"/>
  </r>
  <r>
    <m/>
    <m/>
    <x v="1"/>
    <s v="43835420001001"/>
    <n v="-12.49"/>
    <n v="730"/>
    <n v="1"/>
    <n v="1"/>
  </r>
  <r>
    <m/>
    <m/>
    <x v="1"/>
    <s v="43881111001003"/>
    <n v="-9.6300000000000008"/>
    <n v="563"/>
    <n v="1"/>
    <n v="1"/>
  </r>
  <r>
    <m/>
    <m/>
    <x v="1"/>
    <s v="43883841001001"/>
    <n v="-12.34"/>
    <n v="721"/>
    <n v="1"/>
    <n v="1"/>
  </r>
  <r>
    <m/>
    <m/>
    <x v="1"/>
    <s v="43890421001006"/>
    <n v="-38.31"/>
    <n v="2239"/>
    <n v="1"/>
    <n v="1"/>
  </r>
  <r>
    <m/>
    <m/>
    <x v="1"/>
    <s v="43937246004001"/>
    <n v="-30.88"/>
    <n v="1805"/>
    <n v="1"/>
    <n v="1"/>
  </r>
  <r>
    <m/>
    <m/>
    <x v="1"/>
    <s v="44009911001014"/>
    <n v="-0.94"/>
    <n v="55"/>
    <n v="1"/>
    <n v="1"/>
  </r>
  <r>
    <m/>
    <m/>
    <x v="1"/>
    <s v="44032311001001"/>
    <n v="-13.17"/>
    <n v="770"/>
    <n v="1"/>
    <n v="1"/>
  </r>
  <r>
    <m/>
    <m/>
    <x v="1"/>
    <s v="44070041001001"/>
    <n v="-52.58"/>
    <n v="3073"/>
    <n v="1"/>
    <n v="1"/>
  </r>
  <r>
    <m/>
    <m/>
    <x v="1"/>
    <s v="44114631002002"/>
    <n v="-16.670000000000002"/>
    <n v="974"/>
    <n v="1"/>
    <n v="1"/>
  </r>
  <r>
    <m/>
    <m/>
    <x v="1"/>
    <s v="44225511001001"/>
    <n v="-41.75"/>
    <n v="2440"/>
    <n v="1"/>
    <n v="1"/>
  </r>
  <r>
    <m/>
    <m/>
    <x v="1"/>
    <s v="44254071001001"/>
    <n v="-21.68"/>
    <n v="1267"/>
    <n v="1"/>
    <n v="1"/>
  </r>
  <r>
    <m/>
    <m/>
    <x v="1"/>
    <s v="44271641001001"/>
    <n v="-3.39"/>
    <n v="198"/>
    <n v="1"/>
    <n v="1"/>
  </r>
  <r>
    <m/>
    <m/>
    <x v="1"/>
    <s v="44271711001001"/>
    <n v="-2.2799999999999998"/>
    <n v="133"/>
    <n v="1"/>
    <n v="1"/>
  </r>
  <r>
    <m/>
    <m/>
    <x v="1"/>
    <s v="44285361001001"/>
    <n v="-7.49"/>
    <n v="438"/>
    <n v="1"/>
    <n v="1"/>
  </r>
  <r>
    <m/>
    <m/>
    <x v="1"/>
    <s v="44339401001001"/>
    <n v="-26.98"/>
    <n v="1577"/>
    <n v="1"/>
    <n v="1"/>
  </r>
  <r>
    <m/>
    <m/>
    <x v="1"/>
    <s v="44351795001005"/>
    <n v="-13.09"/>
    <n v="765"/>
    <n v="1"/>
    <n v="1"/>
  </r>
  <r>
    <m/>
    <m/>
    <x v="1"/>
    <s v="44353961001003"/>
    <n v="-21.46"/>
    <n v="1254"/>
    <n v="1"/>
    <n v="1"/>
  </r>
  <r>
    <m/>
    <m/>
    <x v="1"/>
    <s v="44355501001004"/>
    <n v="-13.43"/>
    <n v="785"/>
    <n v="1"/>
    <n v="1"/>
  </r>
  <r>
    <m/>
    <m/>
    <x v="1"/>
    <s v="44387071001001"/>
    <n v="-1.06"/>
    <n v="62"/>
    <n v="1"/>
    <n v="1"/>
  </r>
  <r>
    <m/>
    <m/>
    <x v="1"/>
    <s v="44413951001005"/>
    <n v="-2.5299999999999998"/>
    <n v="148"/>
    <n v="1"/>
    <n v="1"/>
  </r>
  <r>
    <m/>
    <m/>
    <x v="1"/>
    <s v="44432151001001"/>
    <n v="-12.95"/>
    <n v="757"/>
    <n v="1"/>
    <n v="1"/>
  </r>
  <r>
    <m/>
    <m/>
    <x v="1"/>
    <s v="44449861003001"/>
    <n v="-51.66"/>
    <n v="3019"/>
    <n v="1"/>
    <n v="1"/>
  </r>
  <r>
    <m/>
    <m/>
    <x v="1"/>
    <s v="44452381001001"/>
    <n v="-23.41"/>
    <n v="1368"/>
    <n v="1"/>
    <n v="1"/>
  </r>
  <r>
    <m/>
    <m/>
    <x v="1"/>
    <s v="44480241001005"/>
    <n v="-22.28"/>
    <n v="1302"/>
    <n v="1"/>
    <n v="1"/>
  </r>
  <r>
    <m/>
    <m/>
    <x v="1"/>
    <s v="44487381001001"/>
    <n v="-45.32"/>
    <n v="2649"/>
    <n v="1"/>
    <n v="1"/>
  </r>
  <r>
    <m/>
    <m/>
    <x v="1"/>
    <s v="44550311001001"/>
    <n v="-11.57"/>
    <n v="676"/>
    <n v="1"/>
    <n v="1"/>
  </r>
  <r>
    <m/>
    <m/>
    <x v="1"/>
    <s v="44553531002003"/>
    <n v="-45.82"/>
    <n v="2678"/>
    <n v="1"/>
    <n v="1"/>
  </r>
  <r>
    <m/>
    <m/>
    <x v="1"/>
    <s v="44562771002001"/>
    <n v="-9.31"/>
    <n v="544"/>
    <n v="1"/>
    <n v="1"/>
  </r>
  <r>
    <m/>
    <m/>
    <x v="1"/>
    <s v="44569071002001"/>
    <n v="-28.61"/>
    <n v="1672"/>
    <n v="1"/>
    <n v="1"/>
  </r>
  <r>
    <m/>
    <m/>
    <x v="1"/>
    <s v="44639981001001"/>
    <n v="-18.7"/>
    <n v="1093"/>
    <n v="1"/>
    <n v="1"/>
  </r>
  <r>
    <m/>
    <m/>
    <x v="1"/>
    <s v="44698571001002"/>
    <n v="-6.83"/>
    <n v="399"/>
    <n v="1"/>
    <n v="1"/>
  </r>
  <r>
    <m/>
    <m/>
    <x v="1"/>
    <s v="44702771001003"/>
    <n v="-42.43"/>
    <n v="2480"/>
    <n v="1"/>
    <n v="1"/>
  </r>
  <r>
    <m/>
    <m/>
    <x v="1"/>
    <s v="44719431001001"/>
    <n v="-21.27"/>
    <n v="1243"/>
    <n v="1"/>
    <n v="1"/>
  </r>
  <r>
    <m/>
    <m/>
    <x v="1"/>
    <s v="44775641001002"/>
    <n v="-22.67"/>
    <n v="1325"/>
    <n v="1"/>
    <n v="1"/>
  </r>
  <r>
    <m/>
    <m/>
    <x v="1"/>
    <s v="44775991001002"/>
    <n v="-14.9"/>
    <n v="871"/>
    <n v="1"/>
    <n v="1"/>
  </r>
  <r>
    <m/>
    <m/>
    <x v="1"/>
    <s v="44796081001002"/>
    <n v="-1.51"/>
    <n v="88"/>
    <n v="1"/>
    <n v="1"/>
  </r>
  <r>
    <m/>
    <m/>
    <x v="1"/>
    <s v="44797411005020"/>
    <n v="-13.47"/>
    <n v="787"/>
    <n v="1"/>
    <n v="1"/>
  </r>
  <r>
    <m/>
    <m/>
    <x v="1"/>
    <s v="44805881002002"/>
    <n v="-34.17"/>
    <n v="1997"/>
    <n v="1"/>
    <n v="1"/>
  </r>
  <r>
    <m/>
    <m/>
    <x v="1"/>
    <s v="44819842001003"/>
    <n v="-35.090000000000003"/>
    <n v="2051"/>
    <n v="1"/>
    <n v="1"/>
  </r>
  <r>
    <m/>
    <m/>
    <x v="1"/>
    <s v="44844661001002"/>
    <n v="-31.96"/>
    <n v="1868"/>
    <n v="1"/>
    <n v="1"/>
  </r>
  <r>
    <m/>
    <m/>
    <x v="1"/>
    <s v="44847951001001"/>
    <n v="-32.049999999999997"/>
    <n v="1873"/>
    <n v="1"/>
    <n v="1"/>
  </r>
  <r>
    <m/>
    <m/>
    <x v="1"/>
    <s v="44858844001002"/>
    <n v="-35.380000000000003"/>
    <n v="2068"/>
    <n v="1"/>
    <n v="1"/>
  </r>
  <r>
    <m/>
    <m/>
    <x v="1"/>
    <s v="44861671002001"/>
    <n v="-12.08"/>
    <n v="706"/>
    <n v="1"/>
    <n v="1"/>
  </r>
  <r>
    <m/>
    <m/>
    <x v="1"/>
    <s v="44875811001006"/>
    <n v="-23.87"/>
    <n v="1395"/>
    <n v="1"/>
    <n v="1"/>
  </r>
  <r>
    <m/>
    <m/>
    <x v="1"/>
    <s v="44882082003001"/>
    <n v="-25.61"/>
    <n v="1497"/>
    <n v="1"/>
    <n v="1"/>
  </r>
  <r>
    <m/>
    <m/>
    <x v="1"/>
    <s v="44885681001001"/>
    <n v="-17.38"/>
    <n v="1016"/>
    <n v="1"/>
    <n v="1"/>
  </r>
  <r>
    <m/>
    <m/>
    <x v="1"/>
    <s v="44891981001003"/>
    <n v="-17.57"/>
    <n v="1027"/>
    <n v="1"/>
    <n v="1"/>
  </r>
  <r>
    <m/>
    <m/>
    <x v="1"/>
    <s v="44905001001001"/>
    <n v="-20.74"/>
    <n v="1212"/>
    <n v="1"/>
    <n v="1"/>
  </r>
  <r>
    <m/>
    <m/>
    <x v="1"/>
    <s v="44905701001001"/>
    <n v="-1.2"/>
    <n v="70"/>
    <n v="1"/>
    <n v="1"/>
  </r>
  <r>
    <m/>
    <m/>
    <x v="1"/>
    <s v="44909201001001"/>
    <n v="-1.27"/>
    <n v="74"/>
    <n v="1"/>
    <n v="1"/>
  </r>
  <r>
    <m/>
    <m/>
    <x v="1"/>
    <s v="44935424001003"/>
    <n v="-9.24"/>
    <n v="540"/>
    <n v="1"/>
    <n v="1"/>
  </r>
  <r>
    <m/>
    <m/>
    <x v="1"/>
    <s v="44983121001001"/>
    <n v="-18.739999999999998"/>
    <n v="1095"/>
    <n v="1"/>
    <n v="1"/>
  </r>
  <r>
    <m/>
    <m/>
    <x v="1"/>
    <s v="44992711001001"/>
    <n v="-22.43"/>
    <n v="1311"/>
    <n v="1"/>
    <n v="1"/>
  </r>
  <r>
    <m/>
    <m/>
    <x v="1"/>
    <s v="45041431001002"/>
    <n v="-27.63"/>
    <n v="1615"/>
    <n v="1"/>
    <n v="1"/>
  </r>
  <r>
    <m/>
    <m/>
    <x v="1"/>
    <s v="45051091001001"/>
    <n v="-20.6"/>
    <n v="1204"/>
    <n v="1"/>
    <n v="1"/>
  </r>
  <r>
    <m/>
    <m/>
    <x v="1"/>
    <s v="45060821001003"/>
    <n v="-37.69"/>
    <n v="2203"/>
    <n v="1"/>
    <n v="1"/>
  </r>
  <r>
    <m/>
    <m/>
    <x v="1"/>
    <s v="45072511001002"/>
    <n v="-14.22"/>
    <n v="831"/>
    <n v="1"/>
    <n v="1"/>
  </r>
  <r>
    <m/>
    <m/>
    <x v="1"/>
    <s v="45073281001004"/>
    <n v="-20.36"/>
    <n v="1190"/>
    <n v="1"/>
    <n v="1"/>
  </r>
  <r>
    <m/>
    <m/>
    <x v="1"/>
    <s v="45076991001001"/>
    <n v="-14.85"/>
    <n v="868"/>
    <n v="1"/>
    <n v="1"/>
  </r>
  <r>
    <m/>
    <m/>
    <x v="1"/>
    <s v="45126691002004"/>
    <n v="-35.729999999999997"/>
    <n v="2088"/>
    <n v="1"/>
    <n v="1"/>
  </r>
  <r>
    <m/>
    <m/>
    <x v="1"/>
    <s v="45137401001003"/>
    <n v="-39.46"/>
    <n v="2306"/>
    <n v="1"/>
    <n v="1"/>
  </r>
  <r>
    <m/>
    <m/>
    <x v="1"/>
    <s v="45146851001006"/>
    <n v="-6.28"/>
    <n v="367"/>
    <n v="1"/>
    <n v="1"/>
  </r>
  <r>
    <m/>
    <m/>
    <x v="1"/>
    <s v="45170721001001"/>
    <n v="-35.61"/>
    <n v="2081"/>
    <n v="1"/>
    <n v="1"/>
  </r>
  <r>
    <m/>
    <m/>
    <x v="1"/>
    <s v="45182201001001"/>
    <n v="-15.21"/>
    <n v="889"/>
    <n v="1"/>
    <n v="1"/>
  </r>
  <r>
    <m/>
    <m/>
    <x v="1"/>
    <s v="45200471001003"/>
    <n v="-26.32"/>
    <n v="1538"/>
    <n v="1"/>
    <n v="1"/>
  </r>
  <r>
    <m/>
    <m/>
    <x v="1"/>
    <s v="45272991001001"/>
    <n v="-3.49"/>
    <n v="204"/>
    <n v="1"/>
    <n v="1"/>
  </r>
  <r>
    <m/>
    <m/>
    <x v="1"/>
    <s v="45290141001001"/>
    <n v="-19.98"/>
    <n v="1168"/>
    <n v="1"/>
    <n v="1"/>
  </r>
  <r>
    <m/>
    <m/>
    <x v="1"/>
    <s v="45332981001003"/>
    <n v="-7.8"/>
    <n v="456"/>
    <n v="1"/>
    <n v="1"/>
  </r>
  <r>
    <m/>
    <m/>
    <x v="1"/>
    <s v="45360911001001"/>
    <n v="-21.47"/>
    <n v="1255"/>
    <n v="1"/>
    <n v="1"/>
  </r>
  <r>
    <m/>
    <m/>
    <x v="1"/>
    <s v="45371411001001"/>
    <n v="-12.1"/>
    <n v="707"/>
    <n v="1"/>
    <n v="1"/>
  </r>
  <r>
    <m/>
    <m/>
    <x v="1"/>
    <s v="45384011001002"/>
    <n v="-32.68"/>
    <n v="1910"/>
    <n v="1"/>
    <n v="1"/>
  </r>
  <r>
    <m/>
    <m/>
    <x v="1"/>
    <s v="45440641002001"/>
    <n v="-15.01"/>
    <n v="877"/>
    <n v="1"/>
    <n v="1"/>
  </r>
  <r>
    <m/>
    <m/>
    <x v="1"/>
    <s v="45445432002001"/>
    <n v="-18.55"/>
    <n v="1084"/>
    <n v="1"/>
    <n v="1"/>
  </r>
  <r>
    <m/>
    <m/>
    <x v="1"/>
    <s v="45451631001001"/>
    <n v="-10.66"/>
    <n v="623"/>
    <n v="1"/>
    <n v="1"/>
  </r>
  <r>
    <m/>
    <m/>
    <x v="1"/>
    <s v="45524858001001"/>
    <n v="-16.32"/>
    <n v="954"/>
    <n v="1"/>
    <n v="1"/>
  </r>
  <r>
    <m/>
    <m/>
    <x v="1"/>
    <s v="45525621001001"/>
    <n v="-26.73"/>
    <n v="1562"/>
    <n v="1"/>
    <n v="1"/>
  </r>
  <r>
    <m/>
    <m/>
    <x v="1"/>
    <s v="45526041001005"/>
    <n v="-20.67"/>
    <n v="1208"/>
    <n v="1"/>
    <n v="1"/>
  </r>
  <r>
    <m/>
    <m/>
    <x v="1"/>
    <s v="45546971002001"/>
    <n v="-29.16"/>
    <n v="1704"/>
    <n v="1"/>
    <n v="1"/>
  </r>
  <r>
    <m/>
    <m/>
    <x v="1"/>
    <s v="45609201003001"/>
    <n v="-0.79"/>
    <n v="46"/>
    <n v="1"/>
    <n v="1"/>
  </r>
  <r>
    <m/>
    <m/>
    <x v="1"/>
    <s v="45628101001001"/>
    <n v="-35.83"/>
    <n v="2094"/>
    <n v="1"/>
    <n v="1"/>
  </r>
  <r>
    <m/>
    <m/>
    <x v="1"/>
    <s v="45707786001004"/>
    <n v="-12.2"/>
    <n v="713"/>
    <n v="1"/>
    <n v="1"/>
  </r>
  <r>
    <m/>
    <m/>
    <x v="1"/>
    <s v="45708595001003"/>
    <n v="-17.3"/>
    <n v="1011"/>
    <n v="1"/>
    <n v="1"/>
  </r>
  <r>
    <m/>
    <m/>
    <x v="1"/>
    <s v="45771181001001"/>
    <n v="-34.29"/>
    <n v="2004"/>
    <n v="1"/>
    <n v="1"/>
  </r>
  <r>
    <m/>
    <m/>
    <x v="1"/>
    <s v="45785111001001"/>
    <n v="-0.43"/>
    <n v="25"/>
    <n v="1"/>
    <n v="1"/>
  </r>
  <r>
    <m/>
    <m/>
    <x v="1"/>
    <s v="45788681002001"/>
    <n v="-8.6199999999999992"/>
    <n v="504"/>
    <n v="1"/>
    <n v="1"/>
  </r>
  <r>
    <m/>
    <m/>
    <x v="1"/>
    <s v="45805966004001"/>
    <n v="-14.77"/>
    <n v="863"/>
    <n v="1"/>
    <n v="1"/>
  </r>
  <r>
    <m/>
    <m/>
    <x v="1"/>
    <s v="45842301001002"/>
    <n v="-18.86"/>
    <n v="1102"/>
    <n v="1"/>
    <n v="1"/>
  </r>
  <r>
    <m/>
    <m/>
    <x v="1"/>
    <s v="45845101001001"/>
    <n v="-21.51"/>
    <n v="1257"/>
    <n v="1"/>
    <n v="1"/>
  </r>
  <r>
    <m/>
    <m/>
    <x v="1"/>
    <s v="45848041001001"/>
    <n v="-45.94"/>
    <n v="2685"/>
    <n v="1"/>
    <n v="1"/>
  </r>
  <r>
    <m/>
    <m/>
    <x v="1"/>
    <s v="45851261001001"/>
    <n v="-27.03"/>
    <n v="1580"/>
    <n v="1"/>
    <n v="1"/>
  </r>
  <r>
    <m/>
    <m/>
    <x v="1"/>
    <s v="45863581003010"/>
    <n v="-4.3499999999999996"/>
    <n v="254"/>
    <n v="1"/>
    <n v="1"/>
  </r>
  <r>
    <m/>
    <m/>
    <x v="1"/>
    <s v="45924481001001"/>
    <n v="-10.76"/>
    <n v="629"/>
    <n v="1"/>
    <n v="1"/>
  </r>
  <r>
    <m/>
    <m/>
    <x v="1"/>
    <s v="46000571001002"/>
    <n v="-33.71"/>
    <n v="1970"/>
    <n v="1"/>
    <n v="1"/>
  </r>
  <r>
    <m/>
    <m/>
    <x v="1"/>
    <s v="46005261001001"/>
    <n v="-17.14"/>
    <n v="1002"/>
    <n v="1"/>
    <n v="1"/>
  </r>
  <r>
    <m/>
    <m/>
    <x v="1"/>
    <s v="46040191001001"/>
    <n v="-1.23"/>
    <n v="72"/>
    <n v="1"/>
    <n v="1"/>
  </r>
  <r>
    <m/>
    <m/>
    <x v="1"/>
    <s v="46061541001001"/>
    <n v="-8.76"/>
    <n v="512"/>
    <n v="1"/>
    <n v="1"/>
  </r>
  <r>
    <m/>
    <m/>
    <x v="1"/>
    <s v="46087791001001"/>
    <n v="-47.58"/>
    <n v="2781"/>
    <n v="1"/>
    <n v="1"/>
  </r>
  <r>
    <m/>
    <m/>
    <x v="1"/>
    <s v="46125801001001"/>
    <n v="-27.89"/>
    <n v="1630"/>
    <n v="1"/>
    <n v="1"/>
  </r>
  <r>
    <m/>
    <m/>
    <x v="1"/>
    <s v="46156461002003"/>
    <n v="-29.26"/>
    <n v="1710"/>
    <n v="1"/>
    <n v="1"/>
  </r>
  <r>
    <m/>
    <m/>
    <x v="1"/>
    <s v="46220091004001"/>
    <n v="-44.71"/>
    <n v="2613"/>
    <n v="1"/>
    <n v="1"/>
  </r>
  <r>
    <m/>
    <m/>
    <x v="1"/>
    <s v="46220931001002"/>
    <n v="-26.49"/>
    <n v="1548"/>
    <n v="1"/>
    <n v="1"/>
  </r>
  <r>
    <m/>
    <m/>
    <x v="1"/>
    <s v="46227600003001"/>
    <n v="-8.57"/>
    <n v="501"/>
    <n v="1"/>
    <n v="1"/>
  </r>
  <r>
    <m/>
    <m/>
    <x v="1"/>
    <s v="46235281001001"/>
    <n v="-34.36"/>
    <n v="2008"/>
    <n v="1"/>
    <n v="1"/>
  </r>
  <r>
    <m/>
    <m/>
    <x v="1"/>
    <s v="46279171001001"/>
    <n v="-13.62"/>
    <n v="796"/>
    <n v="1"/>
    <n v="1"/>
  </r>
  <r>
    <m/>
    <m/>
    <x v="1"/>
    <s v="46289181004001"/>
    <n v="-18.989999999999998"/>
    <n v="1110"/>
    <n v="1"/>
    <n v="1"/>
  </r>
  <r>
    <m/>
    <m/>
    <x v="1"/>
    <s v="46333701006001"/>
    <n v="-29.96"/>
    <n v="1751"/>
    <n v="1"/>
    <n v="1"/>
  </r>
  <r>
    <m/>
    <m/>
    <x v="1"/>
    <s v="46341751001001"/>
    <n v="-37.42"/>
    <n v="2187"/>
    <n v="1"/>
    <n v="1"/>
  </r>
  <r>
    <m/>
    <m/>
    <x v="1"/>
    <s v="46350571001003"/>
    <n v="-9.1"/>
    <n v="532"/>
    <n v="1"/>
    <n v="1"/>
  </r>
  <r>
    <m/>
    <m/>
    <x v="1"/>
    <s v="46361701013001"/>
    <n v="-15.21"/>
    <n v="889"/>
    <n v="1"/>
    <n v="1"/>
  </r>
  <r>
    <m/>
    <m/>
    <x v="1"/>
    <s v="46372481001002"/>
    <n v="-6.93"/>
    <n v="405"/>
    <n v="1"/>
    <n v="1"/>
  </r>
  <r>
    <m/>
    <m/>
    <x v="1"/>
    <s v="46392431004003"/>
    <n v="-21.78"/>
    <n v="1273"/>
    <n v="1"/>
    <n v="1"/>
  </r>
  <r>
    <m/>
    <m/>
    <x v="1"/>
    <s v="46412521001006"/>
    <n v="-17.73"/>
    <n v="1036"/>
    <n v="1"/>
    <n v="1"/>
  </r>
  <r>
    <m/>
    <m/>
    <x v="1"/>
    <s v="46438351001002"/>
    <n v="-2.5"/>
    <n v="146"/>
    <n v="1"/>
    <n v="1"/>
  </r>
  <r>
    <m/>
    <m/>
    <x v="1"/>
    <s v="46445281001003"/>
    <n v="-29.77"/>
    <n v="1740"/>
    <n v="1"/>
    <n v="1"/>
  </r>
  <r>
    <m/>
    <m/>
    <x v="1"/>
    <s v="46447731001002"/>
    <n v="-24.76"/>
    <n v="1447"/>
    <n v="1"/>
    <n v="1"/>
  </r>
  <r>
    <m/>
    <m/>
    <x v="1"/>
    <s v="46459421003005"/>
    <n v="-22.6"/>
    <n v="1321"/>
    <n v="1"/>
    <n v="1"/>
  </r>
  <r>
    <m/>
    <m/>
    <x v="1"/>
    <s v="46480981001002"/>
    <n v="-13.59"/>
    <n v="794"/>
    <n v="1"/>
    <n v="1"/>
  </r>
  <r>
    <m/>
    <m/>
    <x v="1"/>
    <s v="46504501001001"/>
    <n v="-9.1199999999999992"/>
    <n v="533"/>
    <n v="1"/>
    <n v="1"/>
  </r>
  <r>
    <m/>
    <m/>
    <x v="1"/>
    <s v="46525379001005"/>
    <n v="-9.43"/>
    <n v="551"/>
    <n v="1"/>
    <n v="1"/>
  </r>
  <r>
    <m/>
    <m/>
    <x v="1"/>
    <s v="46595026001001"/>
    <n v="-38.14"/>
    <n v="2229"/>
    <n v="1"/>
    <n v="1"/>
  </r>
  <r>
    <m/>
    <m/>
    <x v="1"/>
    <s v="46613701001001"/>
    <n v="-27.86"/>
    <n v="1628"/>
    <n v="1"/>
    <n v="1"/>
  </r>
  <r>
    <m/>
    <m/>
    <x v="1"/>
    <s v="46663679001002"/>
    <n v="-24.83"/>
    <n v="1451"/>
    <n v="1"/>
    <n v="1"/>
  </r>
  <r>
    <m/>
    <m/>
    <x v="1"/>
    <s v="46689301001005"/>
    <n v="-20.36"/>
    <n v="1190"/>
    <n v="1"/>
    <n v="1"/>
  </r>
  <r>
    <m/>
    <m/>
    <x v="1"/>
    <s v="46747261004011"/>
    <n v="-0.84"/>
    <n v="49"/>
    <n v="1"/>
    <n v="1"/>
  </r>
  <r>
    <m/>
    <m/>
    <x v="1"/>
    <s v="46767211003001"/>
    <n v="-9.74"/>
    <n v="569"/>
    <n v="1"/>
    <n v="1"/>
  </r>
  <r>
    <m/>
    <m/>
    <x v="1"/>
    <s v="46786251002001"/>
    <n v="-26.23"/>
    <n v="1533"/>
    <n v="1"/>
    <n v="1"/>
  </r>
  <r>
    <m/>
    <m/>
    <x v="1"/>
    <s v="46791361001012"/>
    <n v="-5.0599999999999996"/>
    <n v="296"/>
    <n v="1"/>
    <n v="1"/>
  </r>
  <r>
    <m/>
    <m/>
    <x v="1"/>
    <s v="46794861003003"/>
    <n v="-1.63"/>
    <n v="95"/>
    <n v="1"/>
    <n v="1"/>
  </r>
  <r>
    <m/>
    <m/>
    <x v="1"/>
    <s v="46806971002001"/>
    <n v="-33.04"/>
    <n v="1931"/>
    <n v="1"/>
    <n v="1"/>
  </r>
  <r>
    <m/>
    <m/>
    <x v="1"/>
    <s v="46824191001001"/>
    <n v="-41.42"/>
    <n v="2421"/>
    <n v="1"/>
    <n v="1"/>
  </r>
  <r>
    <m/>
    <m/>
    <x v="1"/>
    <s v="46836751001001"/>
    <n v="-16"/>
    <n v="935"/>
    <n v="1"/>
    <n v="1"/>
  </r>
  <r>
    <m/>
    <m/>
    <x v="1"/>
    <s v="46841272001001"/>
    <n v="-12.64"/>
    <n v="739"/>
    <n v="1"/>
    <n v="1"/>
  </r>
  <r>
    <m/>
    <m/>
    <x v="1"/>
    <s v="46866051008003"/>
    <n v="-13.07"/>
    <n v="764"/>
    <n v="1"/>
    <n v="1"/>
  </r>
  <r>
    <m/>
    <m/>
    <x v="1"/>
    <s v="46866331001002"/>
    <n v="-16.309999999999999"/>
    <n v="953"/>
    <n v="1"/>
    <n v="1"/>
  </r>
  <r>
    <m/>
    <m/>
    <x v="1"/>
    <s v="46866401001007"/>
    <n v="-48.47"/>
    <n v="2833"/>
    <n v="1"/>
    <n v="1"/>
  </r>
  <r>
    <m/>
    <m/>
    <x v="1"/>
    <s v="46866681001004"/>
    <n v="-55.81"/>
    <n v="3262"/>
    <n v="1"/>
    <n v="1"/>
  </r>
  <r>
    <m/>
    <m/>
    <x v="1"/>
    <s v="46867241001005"/>
    <n v="-6.66"/>
    <n v="389"/>
    <n v="1"/>
    <n v="1"/>
  </r>
  <r>
    <m/>
    <m/>
    <x v="1"/>
    <s v="46905092001001"/>
    <n v="-24.4"/>
    <n v="1426"/>
    <n v="1"/>
    <n v="1"/>
  </r>
  <r>
    <m/>
    <m/>
    <x v="1"/>
    <s v="46933740002001"/>
    <n v="-13.45"/>
    <n v="786"/>
    <n v="1"/>
    <n v="1"/>
  </r>
  <r>
    <m/>
    <m/>
    <x v="1"/>
    <s v="46951731001001"/>
    <n v="-4.12"/>
    <n v="241"/>
    <n v="1"/>
    <n v="1"/>
  </r>
  <r>
    <m/>
    <m/>
    <x v="1"/>
    <s v="47140101001006"/>
    <n v="-23.94"/>
    <n v="1399"/>
    <n v="1"/>
    <n v="1"/>
  </r>
  <r>
    <m/>
    <m/>
    <x v="1"/>
    <s v="47162081002004"/>
    <n v="-12.94"/>
    <n v="756"/>
    <n v="1"/>
    <n v="1"/>
  </r>
  <r>
    <m/>
    <m/>
    <x v="1"/>
    <s v="47168661001006"/>
    <n v="-7.0000000000000007E-2"/>
    <n v="4"/>
    <n v="1"/>
    <n v="1"/>
  </r>
  <r>
    <m/>
    <m/>
    <x v="1"/>
    <s v="47176711002001"/>
    <n v="-15.01"/>
    <n v="877"/>
    <n v="1"/>
    <n v="1"/>
  </r>
  <r>
    <m/>
    <m/>
    <x v="1"/>
    <s v="47180631003001"/>
    <n v="-14.15"/>
    <n v="827"/>
    <n v="1"/>
    <n v="1"/>
  </r>
  <r>
    <m/>
    <m/>
    <x v="1"/>
    <s v="47208771001002"/>
    <n v="-26.32"/>
    <n v="1538"/>
    <n v="1"/>
    <n v="1"/>
  </r>
  <r>
    <m/>
    <m/>
    <x v="1"/>
    <s v="47222141001002"/>
    <n v="-2.4300000000000002"/>
    <n v="142"/>
    <n v="1"/>
    <n v="1"/>
  </r>
  <r>
    <m/>
    <m/>
    <x v="1"/>
    <s v="47229141003012"/>
    <n v="-20.7"/>
    <n v="1210"/>
    <n v="1"/>
    <n v="1"/>
  </r>
  <r>
    <m/>
    <m/>
    <x v="1"/>
    <s v="47243911002001"/>
    <n v="-38.869999999999997"/>
    <n v="2272"/>
    <n v="1"/>
    <n v="1"/>
  </r>
  <r>
    <m/>
    <m/>
    <x v="1"/>
    <s v="47244331002001"/>
    <n v="-14.42"/>
    <n v="843"/>
    <n v="1"/>
    <n v="1"/>
  </r>
  <r>
    <m/>
    <m/>
    <x v="1"/>
    <s v="47282621001001"/>
    <n v="-16.34"/>
    <n v="955"/>
    <n v="1"/>
    <n v="1"/>
  </r>
  <r>
    <m/>
    <m/>
    <x v="1"/>
    <s v="47302081008001"/>
    <n v="-55.88"/>
    <n v="3266"/>
    <n v="1"/>
    <n v="1"/>
  </r>
  <r>
    <m/>
    <m/>
    <x v="1"/>
    <s v="47309711002003"/>
    <n v="-24.96"/>
    <n v="1459"/>
    <n v="1"/>
    <n v="1"/>
  </r>
  <r>
    <m/>
    <m/>
    <x v="1"/>
    <s v="47323011001001"/>
    <n v="-21.08"/>
    <n v="1232"/>
    <n v="1"/>
    <n v="1"/>
  </r>
  <r>
    <m/>
    <m/>
    <x v="1"/>
    <s v="47328821001007"/>
    <n v="-15.19"/>
    <n v="888"/>
    <n v="1"/>
    <n v="1"/>
  </r>
  <r>
    <m/>
    <m/>
    <x v="1"/>
    <s v="47345831001004"/>
    <n v="-14.89"/>
    <n v="870"/>
    <n v="1"/>
    <n v="1"/>
  </r>
  <r>
    <m/>
    <m/>
    <x v="1"/>
    <s v="47372921003003"/>
    <n v="-14.49"/>
    <n v="847"/>
    <n v="1"/>
    <n v="1"/>
  </r>
  <r>
    <m/>
    <m/>
    <x v="1"/>
    <s v="47379221001002"/>
    <n v="-27.48"/>
    <n v="1606"/>
    <n v="1"/>
    <n v="1"/>
  </r>
  <r>
    <m/>
    <m/>
    <x v="1"/>
    <s v="47382161001005"/>
    <n v="-22.12"/>
    <n v="1293"/>
    <n v="1"/>
    <n v="1"/>
  </r>
  <r>
    <m/>
    <m/>
    <x v="1"/>
    <s v="47385661002002"/>
    <n v="-20.63"/>
    <n v="1206"/>
    <n v="1"/>
    <n v="1"/>
  </r>
  <r>
    <m/>
    <m/>
    <x v="1"/>
    <s v="47386711001003"/>
    <n v="-30.16"/>
    <n v="1763"/>
    <n v="1"/>
    <n v="1"/>
  </r>
  <r>
    <m/>
    <m/>
    <x v="1"/>
    <s v="47387061005001"/>
    <n v="-18.5"/>
    <n v="1081"/>
    <n v="1"/>
    <n v="1"/>
  </r>
  <r>
    <m/>
    <m/>
    <x v="1"/>
    <s v="47403091001002"/>
    <n v="-22.59"/>
    <n v="1320"/>
    <n v="1"/>
    <n v="1"/>
  </r>
  <r>
    <m/>
    <m/>
    <x v="1"/>
    <s v="47445167002001"/>
    <n v="-25.15"/>
    <n v="1470"/>
    <n v="1"/>
    <n v="1"/>
  </r>
  <r>
    <m/>
    <m/>
    <x v="1"/>
    <s v="47515391001003"/>
    <n v="-12.11"/>
    <n v="708"/>
    <n v="1"/>
    <n v="1"/>
  </r>
  <r>
    <m/>
    <m/>
    <x v="1"/>
    <s v="47526431005001"/>
    <n v="-17.32"/>
    <n v="1012"/>
    <n v="1"/>
    <n v="1"/>
  </r>
  <r>
    <m/>
    <m/>
    <x v="1"/>
    <s v="47550301001001"/>
    <n v="-22.79"/>
    <n v="1332"/>
    <n v="1"/>
    <n v="1"/>
  </r>
  <r>
    <m/>
    <m/>
    <x v="1"/>
    <s v="47555411002001"/>
    <n v="-28.25"/>
    <n v="1651"/>
    <n v="1"/>
    <n v="1"/>
  </r>
  <r>
    <m/>
    <m/>
    <x v="1"/>
    <s v="47558607001001"/>
    <n v="-25.92"/>
    <n v="1515"/>
    <n v="1"/>
    <n v="1"/>
  </r>
  <r>
    <m/>
    <m/>
    <x v="1"/>
    <s v="47651311002005"/>
    <n v="-13.59"/>
    <n v="794"/>
    <n v="1"/>
    <n v="1"/>
  </r>
  <r>
    <m/>
    <m/>
    <x v="1"/>
    <s v="47675111001001"/>
    <n v="-24.9"/>
    <n v="1455"/>
    <n v="1"/>
    <n v="1"/>
  </r>
  <r>
    <m/>
    <m/>
    <x v="1"/>
    <s v="47755961001002"/>
    <n v="-51.09"/>
    <n v="2986"/>
    <n v="1"/>
    <n v="1"/>
  </r>
  <r>
    <m/>
    <m/>
    <x v="1"/>
    <s v="47836531001002"/>
    <n v="-36.32"/>
    <n v="2123"/>
    <n v="1"/>
    <n v="1"/>
  </r>
  <r>
    <m/>
    <m/>
    <x v="1"/>
    <s v="47849621001003"/>
    <n v="-34.869999999999997"/>
    <n v="2038"/>
    <n v="1"/>
    <n v="1"/>
  </r>
  <r>
    <m/>
    <m/>
    <x v="1"/>
    <s v="47852771008001"/>
    <n v="-16.309999999999999"/>
    <n v="953"/>
    <n v="1"/>
    <n v="1"/>
  </r>
  <r>
    <m/>
    <m/>
    <x v="1"/>
    <s v="47876291003003"/>
    <n v="-16.010000000000002"/>
    <n v="936"/>
    <n v="1"/>
    <n v="1"/>
  </r>
  <r>
    <m/>
    <m/>
    <x v="1"/>
    <s v="47884691002003"/>
    <n v="-24.71"/>
    <n v="1444"/>
    <n v="1"/>
    <n v="1"/>
  </r>
  <r>
    <m/>
    <m/>
    <x v="1"/>
    <s v="47902401001001"/>
    <n v="-26.25"/>
    <n v="1534"/>
    <n v="1"/>
    <n v="1"/>
  </r>
  <r>
    <m/>
    <m/>
    <x v="1"/>
    <s v="47907721006005"/>
    <n v="-20.399999999999999"/>
    <n v="1192"/>
    <n v="1"/>
    <n v="1"/>
  </r>
  <r>
    <m/>
    <m/>
    <x v="1"/>
    <s v="47930051002001"/>
    <n v="-8.98"/>
    <n v="525"/>
    <n v="1"/>
    <n v="1"/>
  </r>
  <r>
    <m/>
    <m/>
    <x v="1"/>
    <s v="47944401002002"/>
    <n v="-28.47"/>
    <n v="1664"/>
    <n v="1"/>
    <n v="1"/>
  </r>
  <r>
    <m/>
    <m/>
    <x v="1"/>
    <s v="47950841001006"/>
    <n v="-17.420000000000002"/>
    <n v="1018"/>
    <n v="1"/>
    <n v="1"/>
  </r>
  <r>
    <m/>
    <m/>
    <x v="1"/>
    <s v="47977511001001"/>
    <n v="-30.75"/>
    <n v="1797"/>
    <n v="1"/>
    <n v="1"/>
  </r>
  <r>
    <m/>
    <m/>
    <x v="1"/>
    <s v="47982271001004"/>
    <n v="-6.98"/>
    <n v="408"/>
    <n v="1"/>
    <n v="1"/>
  </r>
  <r>
    <m/>
    <m/>
    <x v="1"/>
    <s v="48048211001001"/>
    <n v="-18.05"/>
    <n v="1055"/>
    <n v="1"/>
    <n v="1"/>
  </r>
  <r>
    <m/>
    <m/>
    <x v="1"/>
    <s v="48055981001001"/>
    <n v="-21.83"/>
    <n v="1276"/>
    <n v="1"/>
    <n v="1"/>
  </r>
  <r>
    <m/>
    <m/>
    <x v="1"/>
    <s v="48259891001001"/>
    <n v="-11.91"/>
    <n v="696"/>
    <n v="1"/>
    <n v="1"/>
  </r>
  <r>
    <m/>
    <m/>
    <x v="1"/>
    <s v="48266891004001"/>
    <n v="-19.18"/>
    <n v="1121"/>
    <n v="1"/>
    <n v="1"/>
  </r>
  <r>
    <m/>
    <m/>
    <x v="1"/>
    <s v="48438811004001"/>
    <n v="-21.06"/>
    <n v="1231"/>
    <n v="1"/>
    <n v="1"/>
  </r>
  <r>
    <m/>
    <m/>
    <x v="1"/>
    <s v="48445138001003"/>
    <n v="-17.28"/>
    <n v="1010"/>
    <n v="1"/>
    <n v="1"/>
  </r>
  <r>
    <m/>
    <m/>
    <x v="1"/>
    <s v="48488730001001"/>
    <n v="-10.32"/>
    <n v="603"/>
    <n v="1"/>
    <n v="1"/>
  </r>
  <r>
    <m/>
    <m/>
    <x v="1"/>
    <s v="48516511001001"/>
    <n v="-46.98"/>
    <n v="2746"/>
    <n v="1"/>
    <n v="1"/>
  </r>
  <r>
    <m/>
    <m/>
    <x v="1"/>
    <s v="48532611001001"/>
    <n v="-27.87"/>
    <n v="1629"/>
    <n v="1"/>
    <n v="1"/>
  </r>
  <r>
    <m/>
    <m/>
    <x v="1"/>
    <s v="48540941003001"/>
    <n v="-24.74"/>
    <n v="1446"/>
    <n v="1"/>
    <n v="1"/>
  </r>
  <r>
    <m/>
    <m/>
    <x v="1"/>
    <s v="48617101001002"/>
    <n v="-29.82"/>
    <n v="1743"/>
    <n v="1"/>
    <n v="1"/>
  </r>
  <r>
    <m/>
    <m/>
    <x v="1"/>
    <s v="48622948001002"/>
    <n v="-20.239999999999998"/>
    <n v="1183"/>
    <n v="1"/>
    <n v="1"/>
  </r>
  <r>
    <m/>
    <m/>
    <x v="1"/>
    <s v="48661431001005"/>
    <n v="-25.61"/>
    <n v="1497"/>
    <n v="1"/>
    <n v="1"/>
  </r>
  <r>
    <m/>
    <m/>
    <x v="1"/>
    <s v="48681659001003"/>
    <n v="-2.5"/>
    <n v="146"/>
    <n v="1"/>
    <n v="1"/>
  </r>
  <r>
    <m/>
    <m/>
    <x v="1"/>
    <s v="48684021001001"/>
    <n v="-43.12"/>
    <n v="2520"/>
    <n v="1"/>
    <n v="1"/>
  </r>
  <r>
    <m/>
    <m/>
    <x v="1"/>
    <s v="48802881001001"/>
    <n v="-11.43"/>
    <n v="668"/>
    <n v="1"/>
    <n v="1"/>
  </r>
  <r>
    <m/>
    <m/>
    <x v="1"/>
    <s v="48944491003004"/>
    <n v="-27.75"/>
    <n v="1622"/>
    <n v="1"/>
    <n v="1"/>
  </r>
  <r>
    <m/>
    <m/>
    <x v="1"/>
    <s v="48984121006001"/>
    <n v="-29.16"/>
    <n v="1704"/>
    <n v="1"/>
    <n v="1"/>
  </r>
  <r>
    <m/>
    <m/>
    <x v="1"/>
    <s v="49040181002004"/>
    <n v="-2.48"/>
    <n v="145"/>
    <n v="1"/>
    <n v="1"/>
  </r>
  <r>
    <m/>
    <m/>
    <x v="1"/>
    <s v="49078891001002"/>
    <n v="-4.45"/>
    <n v="260"/>
    <n v="1"/>
    <n v="1"/>
  </r>
  <r>
    <m/>
    <m/>
    <x v="1"/>
    <s v="49187126001001"/>
    <n v="-39.700000000000003"/>
    <n v="2320"/>
    <n v="1"/>
    <n v="1"/>
  </r>
  <r>
    <m/>
    <m/>
    <x v="1"/>
    <s v="49277102003001"/>
    <n v="-1.83"/>
    <n v="107"/>
    <n v="1"/>
    <n v="1"/>
  </r>
  <r>
    <m/>
    <m/>
    <x v="1"/>
    <s v="49283851001002"/>
    <n v="-29.91"/>
    <n v="1748"/>
    <n v="1"/>
    <n v="1"/>
  </r>
  <r>
    <m/>
    <m/>
    <x v="1"/>
    <s v="49301721001001"/>
    <n v="-30.06"/>
    <n v="1757"/>
    <n v="1"/>
    <n v="1"/>
  </r>
  <r>
    <m/>
    <m/>
    <x v="1"/>
    <s v="49365331001001"/>
    <n v="-24.26"/>
    <n v="1418"/>
    <n v="1"/>
    <n v="1"/>
  </r>
  <r>
    <m/>
    <m/>
    <x v="1"/>
    <s v="49393121003003"/>
    <n v="-21.17"/>
    <n v="1237"/>
    <n v="1"/>
    <n v="1"/>
  </r>
  <r>
    <m/>
    <m/>
    <x v="1"/>
    <s v="49399211004004"/>
    <n v="-26.49"/>
    <n v="1548"/>
    <n v="1"/>
    <n v="1"/>
  </r>
  <r>
    <m/>
    <m/>
    <x v="1"/>
    <s v="49419650001003"/>
    <n v="-20.29"/>
    <n v="1186"/>
    <n v="1"/>
    <n v="1"/>
  </r>
  <r>
    <m/>
    <m/>
    <x v="1"/>
    <s v="49429043003003"/>
    <n v="-31.89"/>
    <n v="1864"/>
    <n v="1"/>
    <n v="1"/>
  </r>
  <r>
    <m/>
    <m/>
    <x v="1"/>
    <s v="49469981001001"/>
    <n v="-22.04"/>
    <n v="1288"/>
    <n v="1"/>
    <n v="1"/>
  </r>
  <r>
    <m/>
    <m/>
    <x v="1"/>
    <s v="49473341001001"/>
    <n v="-26.62"/>
    <n v="1556"/>
    <n v="1"/>
    <n v="1"/>
  </r>
  <r>
    <m/>
    <m/>
    <x v="1"/>
    <s v="49494020001001"/>
    <n v="-36.700000000000003"/>
    <n v="2145"/>
    <n v="1"/>
    <n v="1"/>
  </r>
  <r>
    <m/>
    <m/>
    <x v="1"/>
    <s v="49508621001001"/>
    <n v="-20.65"/>
    <n v="1207"/>
    <n v="1"/>
    <n v="1"/>
  </r>
  <r>
    <m/>
    <m/>
    <x v="1"/>
    <s v="49557341001001"/>
    <n v="-17.57"/>
    <n v="1027"/>
    <n v="1"/>
    <n v="1"/>
  </r>
  <r>
    <m/>
    <m/>
    <x v="1"/>
    <s v="49565145002005"/>
    <n v="-15.69"/>
    <n v="917"/>
    <n v="1"/>
    <n v="1"/>
  </r>
  <r>
    <m/>
    <m/>
    <x v="1"/>
    <s v="49566231001001"/>
    <n v="-13.59"/>
    <n v="794"/>
    <n v="1"/>
    <n v="1"/>
  </r>
  <r>
    <m/>
    <m/>
    <x v="1"/>
    <s v="49570221001004"/>
    <n v="-19.39"/>
    <n v="1133"/>
    <n v="1"/>
    <n v="1"/>
  </r>
  <r>
    <m/>
    <m/>
    <x v="1"/>
    <s v="49577991001002"/>
    <n v="-15.35"/>
    <n v="897"/>
    <n v="1"/>
    <n v="1"/>
  </r>
  <r>
    <m/>
    <m/>
    <x v="1"/>
    <s v="49577991001003"/>
    <n v="-16.63"/>
    <n v="972"/>
    <n v="1"/>
    <n v="1"/>
  </r>
  <r>
    <m/>
    <m/>
    <x v="1"/>
    <s v="49588421001001"/>
    <n v="-6.06"/>
    <n v="354"/>
    <n v="1"/>
    <n v="1"/>
  </r>
  <r>
    <m/>
    <m/>
    <x v="1"/>
    <s v="49595561001001"/>
    <n v="-19.3"/>
    <n v="1128"/>
    <n v="1"/>
    <n v="1"/>
  </r>
  <r>
    <m/>
    <m/>
    <x v="1"/>
    <s v="49606131001005"/>
    <n v="-6.07"/>
    <n v="355"/>
    <n v="1"/>
    <n v="1"/>
  </r>
  <r>
    <m/>
    <m/>
    <x v="1"/>
    <s v="49608381001001"/>
    <n v="-15.84"/>
    <n v="926"/>
    <n v="1"/>
    <n v="1"/>
  </r>
  <r>
    <m/>
    <m/>
    <x v="1"/>
    <s v="49617249001009"/>
    <n v="-23.95"/>
    <n v="1400"/>
    <n v="1"/>
    <n v="1"/>
  </r>
  <r>
    <m/>
    <m/>
    <x v="1"/>
    <s v="49617401001005"/>
    <n v="-55.74"/>
    <n v="3258"/>
    <n v="1"/>
    <n v="1"/>
  </r>
  <r>
    <m/>
    <m/>
    <x v="1"/>
    <s v="49629854001004"/>
    <n v="-22.36"/>
    <n v="1307"/>
    <n v="1"/>
    <n v="1"/>
  </r>
  <r>
    <m/>
    <m/>
    <x v="1"/>
    <s v="49743471001001"/>
    <n v="-1.54"/>
    <n v="90"/>
    <n v="1"/>
    <n v="1"/>
  </r>
  <r>
    <m/>
    <m/>
    <x v="1"/>
    <s v="49751381001006"/>
    <n v="-4.24"/>
    <n v="248"/>
    <n v="1"/>
    <n v="1"/>
  </r>
  <r>
    <m/>
    <m/>
    <x v="1"/>
    <s v="49761531001001"/>
    <n v="-22.05"/>
    <n v="1289"/>
    <n v="1"/>
    <n v="1"/>
  </r>
  <r>
    <m/>
    <m/>
    <x v="1"/>
    <s v="49809621001003"/>
    <n v="-13.57"/>
    <n v="793"/>
    <n v="1"/>
    <n v="1"/>
  </r>
  <r>
    <m/>
    <m/>
    <x v="1"/>
    <s v="49876031001002"/>
    <n v="-54.07"/>
    <n v="3160"/>
    <n v="1"/>
    <n v="1"/>
  </r>
  <r>
    <m/>
    <m/>
    <x v="1"/>
    <s v="49929881001003"/>
    <n v="-31.09"/>
    <n v="1817"/>
    <n v="1"/>
    <n v="1"/>
  </r>
  <r>
    <m/>
    <m/>
    <x v="1"/>
    <s v="49930301001001"/>
    <n v="-25.44"/>
    <n v="1487"/>
    <n v="1"/>
    <n v="1"/>
  </r>
  <r>
    <m/>
    <m/>
    <x v="1"/>
    <s v="49949551002003"/>
    <n v="-3.66"/>
    <n v="214"/>
    <n v="1"/>
    <n v="1"/>
  </r>
  <r>
    <m/>
    <m/>
    <x v="1"/>
    <s v="49950881001002"/>
    <n v="-4.6399999999999997"/>
    <n v="271"/>
    <n v="1"/>
    <n v="1"/>
  </r>
  <r>
    <m/>
    <m/>
    <x v="1"/>
    <s v="49951931001004"/>
    <n v="-19.86"/>
    <n v="1161"/>
    <n v="1"/>
    <n v="1"/>
  </r>
  <r>
    <m/>
    <m/>
    <x v="1"/>
    <s v="49975801002002"/>
    <n v="-20.81"/>
    <n v="1216"/>
    <n v="1"/>
    <n v="1"/>
  </r>
  <r>
    <m/>
    <m/>
    <x v="1"/>
    <s v="49994841002002"/>
    <n v="-9.86"/>
    <n v="576"/>
    <n v="1"/>
    <n v="1"/>
  </r>
  <r>
    <m/>
    <m/>
    <x v="1"/>
    <s v="50072891002002"/>
    <n v="-32.729999999999997"/>
    <n v="1913"/>
    <n v="1"/>
    <n v="1"/>
  </r>
  <r>
    <m/>
    <m/>
    <x v="1"/>
    <s v="50097461001002"/>
    <n v="-24.9"/>
    <n v="1455"/>
    <n v="1"/>
    <n v="1"/>
  </r>
  <r>
    <m/>
    <m/>
    <x v="1"/>
    <s v="50159341001001"/>
    <n v="-16.850000000000001"/>
    <n v="985"/>
    <n v="1"/>
    <n v="1"/>
  </r>
  <r>
    <m/>
    <m/>
    <x v="1"/>
    <s v="50160321001001"/>
    <n v="-6.38"/>
    <n v="373"/>
    <n v="1"/>
    <n v="1"/>
  </r>
  <r>
    <m/>
    <m/>
    <x v="1"/>
    <s v="50181601002005"/>
    <n v="-8.44"/>
    <n v="493"/>
    <n v="1"/>
    <n v="1"/>
  </r>
  <r>
    <m/>
    <m/>
    <x v="1"/>
    <s v="50185311001007"/>
    <n v="-21.68"/>
    <n v="1267"/>
    <n v="1"/>
    <n v="1"/>
  </r>
  <r>
    <m/>
    <m/>
    <x v="1"/>
    <s v="50193571001001"/>
    <n v="-22.21"/>
    <n v="1298"/>
    <n v="1"/>
    <n v="1"/>
  </r>
  <r>
    <m/>
    <m/>
    <x v="1"/>
    <s v="50228781001003"/>
    <n v="-19.010000000000002"/>
    <n v="1111"/>
    <n v="1"/>
    <n v="1"/>
  </r>
  <r>
    <m/>
    <m/>
    <x v="1"/>
    <s v="50266931001001"/>
    <n v="-17.690000000000001"/>
    <n v="1034"/>
    <n v="1"/>
    <n v="1"/>
  </r>
  <r>
    <m/>
    <m/>
    <x v="1"/>
    <s v="50315231001002"/>
    <n v="-54.63"/>
    <n v="3193"/>
    <n v="1"/>
    <n v="1"/>
  </r>
  <r>
    <m/>
    <m/>
    <x v="1"/>
    <s v="50378091011001"/>
    <n v="-12.58"/>
    <n v="735"/>
    <n v="1"/>
    <n v="1"/>
  </r>
  <r>
    <m/>
    <m/>
    <x v="1"/>
    <s v="50402241001002"/>
    <n v="-18.920000000000002"/>
    <n v="1106"/>
    <n v="1"/>
    <n v="1"/>
  </r>
  <r>
    <m/>
    <m/>
    <x v="1"/>
    <s v="50421211005001"/>
    <n v="-32.53"/>
    <n v="1901"/>
    <n v="1"/>
    <n v="1"/>
  </r>
  <r>
    <m/>
    <m/>
    <x v="1"/>
    <s v="50450191002001"/>
    <n v="-24.47"/>
    <n v="1430"/>
    <n v="1"/>
    <n v="1"/>
  </r>
  <r>
    <m/>
    <m/>
    <x v="1"/>
    <s v="50492401002001"/>
    <n v="-39.15"/>
    <n v="2288"/>
    <n v="1"/>
    <n v="1"/>
  </r>
  <r>
    <m/>
    <m/>
    <x v="1"/>
    <s v="50499961001001"/>
    <n v="-24.78"/>
    <n v="1448"/>
    <n v="1"/>
    <n v="1"/>
  </r>
  <r>
    <m/>
    <m/>
    <x v="1"/>
    <s v="50517716001001"/>
    <n v="-11.91"/>
    <n v="696"/>
    <n v="1"/>
    <n v="1"/>
  </r>
  <r>
    <m/>
    <m/>
    <x v="1"/>
    <s v="50537633001001"/>
    <n v="-42.86"/>
    <n v="2505"/>
    <n v="1"/>
    <n v="1"/>
  </r>
  <r>
    <m/>
    <m/>
    <x v="1"/>
    <s v="50539651002001"/>
    <n v="-27"/>
    <n v="1578"/>
    <n v="1"/>
    <n v="1"/>
  </r>
  <r>
    <m/>
    <m/>
    <x v="1"/>
    <s v="50587853001001"/>
    <n v="-13.88"/>
    <n v="811"/>
    <n v="1"/>
    <n v="1"/>
  </r>
  <r>
    <m/>
    <m/>
    <x v="1"/>
    <s v="50592011002001"/>
    <n v="-2.19"/>
    <n v="128"/>
    <n v="1"/>
    <n v="1"/>
  </r>
  <r>
    <m/>
    <m/>
    <x v="1"/>
    <s v="50630930001002"/>
    <n v="-17.93"/>
    <n v="1048"/>
    <n v="1"/>
    <n v="1"/>
  </r>
  <r>
    <m/>
    <m/>
    <x v="1"/>
    <s v="50652701001002"/>
    <n v="-44.06"/>
    <n v="2575"/>
    <n v="1"/>
    <n v="1"/>
  </r>
  <r>
    <m/>
    <m/>
    <x v="1"/>
    <s v="50658581001002"/>
    <n v="-64.010000000000005"/>
    <n v="3741"/>
    <n v="1"/>
    <n v="1"/>
  </r>
  <r>
    <m/>
    <m/>
    <x v="1"/>
    <s v="50704851001003"/>
    <n v="-20.38"/>
    <n v="1191"/>
    <n v="1"/>
    <n v="1"/>
  </r>
  <r>
    <m/>
    <m/>
    <x v="1"/>
    <s v="50727391001001"/>
    <n v="-34.53"/>
    <n v="2018"/>
    <n v="1"/>
    <n v="1"/>
  </r>
  <r>
    <m/>
    <m/>
    <x v="1"/>
    <s v="50791002001001"/>
    <n v="-4.5199999999999996"/>
    <n v="264"/>
    <n v="1"/>
    <n v="1"/>
  </r>
  <r>
    <m/>
    <m/>
    <x v="1"/>
    <s v="50831131004004"/>
    <n v="-17.760000000000002"/>
    <n v="1038"/>
    <n v="1"/>
    <n v="1"/>
  </r>
  <r>
    <m/>
    <m/>
    <x v="1"/>
    <s v="50835751002001"/>
    <n v="-19.52"/>
    <n v="1141"/>
    <n v="1"/>
    <n v="1"/>
  </r>
  <r>
    <m/>
    <m/>
    <x v="1"/>
    <s v="50839041003008"/>
    <n v="-39.200000000000003"/>
    <n v="2291"/>
    <n v="1"/>
    <n v="1"/>
  </r>
  <r>
    <m/>
    <m/>
    <x v="1"/>
    <s v="50860461001005"/>
    <n v="-11.58"/>
    <n v="677"/>
    <n v="1"/>
    <n v="1"/>
  </r>
  <r>
    <m/>
    <m/>
    <x v="1"/>
    <s v="50901131002003"/>
    <n v="-22.33"/>
    <n v="1305"/>
    <n v="1"/>
    <n v="1"/>
  </r>
  <r>
    <m/>
    <m/>
    <x v="1"/>
    <s v="50903441001001"/>
    <n v="-75.23"/>
    <n v="4397"/>
    <n v="1"/>
    <n v="1"/>
  </r>
  <r>
    <m/>
    <m/>
    <x v="1"/>
    <s v="50924581001001"/>
    <n v="-30.95"/>
    <n v="1809"/>
    <n v="1"/>
    <n v="1"/>
  </r>
  <r>
    <m/>
    <m/>
    <x v="1"/>
    <s v="50978201001001"/>
    <n v="-25.8"/>
    <n v="1508"/>
    <n v="1"/>
    <n v="1"/>
  </r>
  <r>
    <m/>
    <m/>
    <x v="1"/>
    <s v="50996471001001"/>
    <n v="-21.22"/>
    <n v="1240"/>
    <n v="1"/>
    <n v="1"/>
  </r>
  <r>
    <m/>
    <m/>
    <x v="1"/>
    <s v="51011661001002"/>
    <n v="-13.29"/>
    <n v="777"/>
    <n v="1"/>
    <n v="1"/>
  </r>
  <r>
    <m/>
    <m/>
    <x v="1"/>
    <s v="51040081001001"/>
    <n v="-15.09"/>
    <n v="882"/>
    <n v="1"/>
    <n v="1"/>
  </r>
  <r>
    <m/>
    <m/>
    <x v="1"/>
    <s v="51084041002005"/>
    <n v="-23.44"/>
    <n v="1370"/>
    <n v="1"/>
    <n v="1"/>
  </r>
  <r>
    <m/>
    <m/>
    <x v="1"/>
    <s v="51086071003003"/>
    <n v="-34.46"/>
    <n v="2014"/>
    <n v="1"/>
    <n v="1"/>
  </r>
  <r>
    <m/>
    <m/>
    <x v="1"/>
    <s v="51088381003003"/>
    <n v="-7.89"/>
    <n v="461"/>
    <n v="1"/>
    <n v="1"/>
  </r>
  <r>
    <m/>
    <m/>
    <x v="1"/>
    <s v="51094401003001"/>
    <n v="-4.9800000000000004"/>
    <n v="291"/>
    <n v="1"/>
    <n v="1"/>
  </r>
  <r>
    <m/>
    <m/>
    <x v="1"/>
    <s v="51094611001002"/>
    <n v="-6.71"/>
    <n v="392"/>
    <n v="1"/>
    <n v="1"/>
  </r>
  <r>
    <m/>
    <m/>
    <x v="1"/>
    <s v="51099441002001"/>
    <n v="-17.5"/>
    <n v="1023"/>
    <n v="1"/>
    <n v="1"/>
  </r>
  <r>
    <m/>
    <m/>
    <x v="1"/>
    <s v="51136541001001"/>
    <n v="-21.54"/>
    <n v="1259"/>
    <n v="1"/>
    <n v="1"/>
  </r>
  <r>
    <m/>
    <m/>
    <x v="1"/>
    <s v="51150051001001"/>
    <n v="-27.43"/>
    <n v="1603"/>
    <n v="1"/>
    <n v="1"/>
  </r>
  <r>
    <m/>
    <m/>
    <x v="1"/>
    <s v="51151101001003"/>
    <n v="-32.85"/>
    <n v="1920"/>
    <n v="1"/>
    <n v="1"/>
  </r>
  <r>
    <m/>
    <m/>
    <x v="1"/>
    <s v="51156701001001"/>
    <n v="-4.4800000000000004"/>
    <n v="262"/>
    <n v="1"/>
    <n v="1"/>
  </r>
  <r>
    <m/>
    <m/>
    <x v="1"/>
    <s v="51159431001001"/>
    <n v="-43.72"/>
    <n v="2555"/>
    <n v="1"/>
    <n v="1"/>
  </r>
  <r>
    <m/>
    <m/>
    <x v="1"/>
    <s v="51159641001002"/>
    <n v="-5.36"/>
    <n v="313"/>
    <n v="1"/>
    <n v="1"/>
  </r>
  <r>
    <m/>
    <m/>
    <x v="1"/>
    <s v="51163071001001"/>
    <n v="-16.61"/>
    <n v="971"/>
    <n v="1"/>
    <n v="1"/>
  </r>
  <r>
    <m/>
    <m/>
    <x v="1"/>
    <s v="51193241002001"/>
    <n v="-25"/>
    <n v="1461"/>
    <n v="1"/>
    <n v="1"/>
  </r>
  <r>
    <m/>
    <m/>
    <x v="1"/>
    <s v="51206961001001"/>
    <n v="-16.61"/>
    <n v="971"/>
    <n v="1"/>
    <n v="1"/>
  </r>
  <r>
    <m/>
    <m/>
    <x v="1"/>
    <s v="51210671002001"/>
    <n v="-32.42"/>
    <n v="1895"/>
    <n v="1"/>
    <n v="1"/>
  </r>
  <r>
    <m/>
    <m/>
    <x v="1"/>
    <s v="51219771005001"/>
    <n v="-12.03"/>
    <n v="703"/>
    <n v="1"/>
    <n v="1"/>
  </r>
  <r>
    <m/>
    <m/>
    <x v="1"/>
    <s v="51315674001002"/>
    <n v="-18.149999999999999"/>
    <n v="1061"/>
    <n v="1"/>
    <n v="1"/>
  </r>
  <r>
    <m/>
    <m/>
    <x v="1"/>
    <s v="51386861002001"/>
    <n v="-23.25"/>
    <n v="1359"/>
    <n v="1"/>
    <n v="1"/>
  </r>
  <r>
    <m/>
    <m/>
    <x v="1"/>
    <s v="51441601002001"/>
    <n v="-46.2"/>
    <n v="2700"/>
    <n v="1"/>
    <n v="1"/>
  </r>
  <r>
    <m/>
    <m/>
    <x v="1"/>
    <s v="51505861001001"/>
    <n v="-15.47"/>
    <n v="904"/>
    <n v="1"/>
    <n v="1"/>
  </r>
  <r>
    <m/>
    <m/>
    <x v="1"/>
    <s v="51550311003001"/>
    <n v="-21.49"/>
    <n v="1256"/>
    <n v="1"/>
    <n v="1"/>
  </r>
  <r>
    <m/>
    <m/>
    <x v="1"/>
    <s v="51568021003007"/>
    <n v="-11.63"/>
    <n v="680"/>
    <n v="1"/>
    <n v="1"/>
  </r>
  <r>
    <m/>
    <m/>
    <x v="1"/>
    <s v="51593501001001"/>
    <n v="-21.52"/>
    <n v="1258"/>
    <n v="1"/>
    <n v="1"/>
  </r>
  <r>
    <m/>
    <m/>
    <x v="1"/>
    <s v="51596301001003"/>
    <n v="-14.24"/>
    <n v="832"/>
    <n v="1"/>
    <n v="1"/>
  </r>
  <r>
    <m/>
    <m/>
    <x v="1"/>
    <s v="51603721001003"/>
    <n v="-37.04"/>
    <n v="2165"/>
    <n v="1"/>
    <n v="1"/>
  </r>
  <r>
    <m/>
    <m/>
    <x v="1"/>
    <s v="51607711002002"/>
    <n v="-16.440000000000001"/>
    <n v="961"/>
    <n v="1"/>
    <n v="1"/>
  </r>
  <r>
    <m/>
    <m/>
    <x v="1"/>
    <s v="51609951002002"/>
    <n v="-31.76"/>
    <n v="1856"/>
    <n v="1"/>
    <n v="1"/>
  </r>
  <r>
    <m/>
    <m/>
    <x v="1"/>
    <s v="51614221001001"/>
    <n v="-35.11"/>
    <n v="2052"/>
    <n v="1"/>
    <n v="1"/>
  </r>
  <r>
    <m/>
    <m/>
    <x v="1"/>
    <s v="51615621001002"/>
    <n v="-24.28"/>
    <n v="1419"/>
    <n v="1"/>
    <n v="1"/>
  </r>
  <r>
    <m/>
    <m/>
    <x v="1"/>
    <s v="51635221006001"/>
    <n v="-67.86"/>
    <n v="3966"/>
    <n v="1"/>
    <n v="1"/>
  </r>
  <r>
    <m/>
    <m/>
    <x v="1"/>
    <s v="51655896001002"/>
    <n v="-11.79"/>
    <n v="689"/>
    <n v="1"/>
    <n v="1"/>
  </r>
  <r>
    <m/>
    <m/>
    <x v="1"/>
    <s v="51696711001001"/>
    <n v="-32.01"/>
    <n v="1871"/>
    <n v="1"/>
    <n v="1"/>
  </r>
  <r>
    <m/>
    <m/>
    <x v="1"/>
    <s v="51710411001001"/>
    <n v="-36.479999999999997"/>
    <n v="2132"/>
    <n v="1"/>
    <n v="1"/>
  </r>
  <r>
    <m/>
    <m/>
    <x v="1"/>
    <s v="51943401001002"/>
    <n v="-22.41"/>
    <n v="1310"/>
    <n v="1"/>
    <n v="1"/>
  </r>
  <r>
    <m/>
    <m/>
    <x v="1"/>
    <s v="51961148002001"/>
    <n v="-27.07"/>
    <n v="1582"/>
    <n v="1"/>
    <n v="1"/>
  </r>
  <r>
    <m/>
    <m/>
    <x v="1"/>
    <s v="52179797002001"/>
    <n v="-55.57"/>
    <n v="3248"/>
    <n v="1"/>
    <n v="1"/>
  </r>
  <r>
    <m/>
    <m/>
    <x v="1"/>
    <s v="52231893001002"/>
    <n v="-7.99"/>
    <n v="467"/>
    <n v="1"/>
    <n v="1"/>
  </r>
  <r>
    <m/>
    <m/>
    <x v="1"/>
    <s v="52507741001001"/>
    <n v="-31.59"/>
    <n v="1846"/>
    <n v="1"/>
    <n v="1"/>
  </r>
  <r>
    <m/>
    <m/>
    <x v="1"/>
    <s v="52743980001001"/>
    <n v="-19.52"/>
    <n v="1141"/>
    <n v="1"/>
    <n v="1"/>
  </r>
  <r>
    <m/>
    <m/>
    <x v="1"/>
    <s v="52773305001001"/>
    <n v="-13.05"/>
    <n v="763"/>
    <n v="1"/>
    <n v="1"/>
  </r>
  <r>
    <m/>
    <m/>
    <x v="1"/>
    <s v="52839681001001"/>
    <n v="-29.65"/>
    <n v="1733"/>
    <n v="1"/>
    <n v="1"/>
  </r>
  <r>
    <m/>
    <m/>
    <x v="1"/>
    <s v="52989782005001"/>
    <n v="-28.03"/>
    <n v="1638"/>
    <n v="1"/>
    <n v="1"/>
  </r>
  <r>
    <m/>
    <m/>
    <x v="1"/>
    <s v="53096079004003"/>
    <n v="-20.46"/>
    <n v="1196"/>
    <n v="1"/>
    <n v="1"/>
  </r>
  <r>
    <m/>
    <m/>
    <x v="1"/>
    <s v="53444975001003"/>
    <n v="-45.34"/>
    <n v="2650"/>
    <n v="1"/>
    <n v="1"/>
  </r>
  <r>
    <m/>
    <m/>
    <x v="1"/>
    <s v="53498836001001"/>
    <n v="-17.2"/>
    <n v="1005"/>
    <n v="1"/>
    <n v="1"/>
  </r>
  <r>
    <m/>
    <m/>
    <x v="1"/>
    <s v="53854476001004"/>
    <n v="-37.51"/>
    <n v="2192"/>
    <n v="1"/>
    <n v="1"/>
  </r>
  <r>
    <m/>
    <m/>
    <x v="1"/>
    <s v="53931640001001"/>
    <n v="-32.18"/>
    <n v="1881"/>
    <n v="1"/>
    <n v="1"/>
  </r>
  <r>
    <m/>
    <m/>
    <x v="1"/>
    <s v="54028064001002"/>
    <n v="-30.56"/>
    <n v="1786"/>
    <n v="1"/>
    <n v="1"/>
  </r>
  <r>
    <m/>
    <m/>
    <x v="1"/>
    <s v="54088357001001"/>
    <n v="-20.53"/>
    <n v="1200"/>
    <n v="1"/>
    <n v="1"/>
  </r>
  <r>
    <m/>
    <m/>
    <x v="1"/>
    <s v="54213868001001"/>
    <n v="-41.71"/>
    <n v="2438"/>
    <n v="1"/>
    <n v="1"/>
  </r>
  <r>
    <m/>
    <m/>
    <x v="1"/>
    <s v="54338530001001"/>
    <n v="-32.08"/>
    <n v="1875"/>
    <n v="1"/>
    <n v="1"/>
  </r>
  <r>
    <m/>
    <m/>
    <x v="1"/>
    <s v="54362749001005"/>
    <n v="-14.8"/>
    <n v="865"/>
    <n v="1"/>
    <n v="1"/>
  </r>
  <r>
    <m/>
    <m/>
    <x v="1"/>
    <s v="54867100001005"/>
    <n v="-24.28"/>
    <n v="1419"/>
    <n v="1"/>
    <n v="1"/>
  </r>
  <r>
    <m/>
    <m/>
    <x v="1"/>
    <s v="55096000001001"/>
    <n v="-15.74"/>
    <n v="920"/>
    <n v="1"/>
    <n v="1"/>
  </r>
  <r>
    <m/>
    <m/>
    <x v="1"/>
    <s v="55174948001001"/>
    <n v="-10.25"/>
    <n v="599"/>
    <n v="1"/>
    <n v="1"/>
  </r>
  <r>
    <m/>
    <m/>
    <x v="1"/>
    <s v="55208319002001"/>
    <n v="-33.69"/>
    <n v="1969"/>
    <n v="1"/>
    <n v="1"/>
  </r>
  <r>
    <m/>
    <m/>
    <x v="1"/>
    <s v="55654237001001"/>
    <n v="-14.89"/>
    <n v="870"/>
    <n v="1"/>
    <n v="1"/>
  </r>
  <r>
    <m/>
    <m/>
    <x v="1"/>
    <s v="55780956001003"/>
    <n v="-6.91"/>
    <n v="404"/>
    <n v="1"/>
    <n v="1"/>
  </r>
  <r>
    <m/>
    <m/>
    <x v="1"/>
    <s v="55782975001001"/>
    <n v="-21.2"/>
    <n v="1239"/>
    <n v="1"/>
    <n v="1"/>
  </r>
  <r>
    <m/>
    <m/>
    <x v="1"/>
    <s v="55843209001001"/>
    <n v="-20.63"/>
    <n v="1206"/>
    <n v="1"/>
    <n v="1"/>
  </r>
  <r>
    <m/>
    <m/>
    <x v="1"/>
    <s v="55905100001001"/>
    <n v="-29.91"/>
    <n v="1748"/>
    <n v="1"/>
    <n v="1"/>
  </r>
  <r>
    <m/>
    <m/>
    <x v="1"/>
    <s v="55999268001005"/>
    <n v="-13.84"/>
    <n v="809"/>
    <n v="1"/>
    <n v="1"/>
  </r>
  <r>
    <m/>
    <m/>
    <x v="1"/>
    <s v="56315778001004"/>
    <n v="-38.94"/>
    <n v="2276"/>
    <n v="1"/>
    <n v="1"/>
  </r>
  <r>
    <m/>
    <m/>
    <x v="1"/>
    <s v="56776164001008"/>
    <n v="-17.47"/>
    <n v="1021"/>
    <n v="1"/>
    <n v="1"/>
  </r>
  <r>
    <m/>
    <m/>
    <x v="1"/>
    <s v="56847828001005"/>
    <n v="-9.43"/>
    <n v="551"/>
    <n v="1"/>
    <n v="1"/>
  </r>
  <r>
    <m/>
    <m/>
    <x v="1"/>
    <s v="57144962001002"/>
    <n v="-24.26"/>
    <n v="1418"/>
    <n v="1"/>
    <n v="1"/>
  </r>
  <r>
    <m/>
    <m/>
    <x v="1"/>
    <s v="57165863001001"/>
    <n v="-39.47"/>
    <n v="2307"/>
    <n v="1"/>
    <n v="1"/>
  </r>
  <r>
    <m/>
    <m/>
    <x v="1"/>
    <s v="57271203001001"/>
    <n v="-15.06"/>
    <n v="880"/>
    <n v="1"/>
    <n v="1"/>
  </r>
  <r>
    <m/>
    <m/>
    <x v="1"/>
    <s v="57690835002001"/>
    <n v="-13.94"/>
    <n v="815"/>
    <n v="1"/>
    <n v="1"/>
  </r>
  <r>
    <m/>
    <m/>
    <x v="1"/>
    <s v="57834181001001"/>
    <n v="-19.28"/>
    <n v="1127"/>
    <n v="1"/>
    <n v="1"/>
  </r>
  <r>
    <m/>
    <m/>
    <x v="1"/>
    <s v="58010908001002"/>
    <n v="-49.12"/>
    <n v="2871"/>
    <n v="1"/>
    <n v="1"/>
  </r>
  <r>
    <m/>
    <m/>
    <x v="1"/>
    <s v="58133349001003"/>
    <n v="-22.91"/>
    <n v="1339"/>
    <n v="1"/>
    <n v="1"/>
  </r>
  <r>
    <m/>
    <m/>
    <x v="1"/>
    <s v="58619499001001"/>
    <n v="-45.68"/>
    <n v="2670"/>
    <n v="1"/>
    <n v="1"/>
  </r>
  <r>
    <m/>
    <m/>
    <x v="1"/>
    <s v="58959510002004"/>
    <n v="-11.6"/>
    <n v="678"/>
    <n v="1"/>
    <n v="1"/>
  </r>
  <r>
    <m/>
    <m/>
    <x v="1"/>
    <s v="59268197006001"/>
    <n v="-60.54"/>
    <n v="3538"/>
    <n v="1"/>
    <n v="1"/>
  </r>
  <r>
    <m/>
    <m/>
    <x v="1"/>
    <s v="59498637001004"/>
    <n v="-26.55"/>
    <n v="1552"/>
    <n v="1"/>
    <n v="1"/>
  </r>
  <r>
    <m/>
    <m/>
    <x v="1"/>
    <s v="59549396001001"/>
    <n v="-13.94"/>
    <n v="815"/>
    <n v="1"/>
    <n v="1"/>
  </r>
  <r>
    <m/>
    <m/>
    <x v="1"/>
    <s v="59804283001007"/>
    <n v="-27.86"/>
    <n v="1628"/>
    <n v="1"/>
    <n v="1"/>
  </r>
  <r>
    <m/>
    <m/>
    <x v="1"/>
    <s v="60058247006001"/>
    <n v="-13.52"/>
    <n v="790"/>
    <n v="1"/>
    <n v="1"/>
  </r>
  <r>
    <m/>
    <m/>
    <x v="1"/>
    <s v="60292201001002"/>
    <n v="-15.06"/>
    <n v="880"/>
    <n v="1"/>
    <n v="1"/>
  </r>
  <r>
    <m/>
    <m/>
    <x v="1"/>
    <s v="60682907001001"/>
    <n v="-24.78"/>
    <n v="1448"/>
    <n v="1"/>
    <n v="1"/>
  </r>
  <r>
    <m/>
    <m/>
    <x v="1"/>
    <s v="60891092001002"/>
    <n v="-29.33"/>
    <n v="1714"/>
    <n v="1"/>
    <n v="1"/>
  </r>
  <r>
    <m/>
    <m/>
    <x v="1"/>
    <s v="60944617001001"/>
    <n v="-26.95"/>
    <n v="1575"/>
    <n v="1"/>
    <n v="1"/>
  </r>
  <r>
    <m/>
    <m/>
    <x v="1"/>
    <s v="61431302001001"/>
    <n v="-10.32"/>
    <n v="603"/>
    <n v="1"/>
    <n v="1"/>
  </r>
  <r>
    <m/>
    <m/>
    <x v="1"/>
    <s v="61432189003001"/>
    <n v="-9.44"/>
    <n v="552"/>
    <n v="1"/>
    <n v="1"/>
  </r>
  <r>
    <m/>
    <m/>
    <x v="1"/>
    <s v="61618913001001"/>
    <n v="-23.83"/>
    <n v="1393"/>
    <n v="1"/>
    <n v="1"/>
  </r>
  <r>
    <m/>
    <m/>
    <x v="1"/>
    <s v="61677240001009"/>
    <n v="-36.03"/>
    <n v="2106"/>
    <n v="1"/>
    <n v="1"/>
  </r>
  <r>
    <m/>
    <m/>
    <x v="1"/>
    <s v="61754124002001"/>
    <n v="-14.37"/>
    <n v="840"/>
    <n v="1"/>
    <n v="1"/>
  </r>
  <r>
    <m/>
    <m/>
    <x v="1"/>
    <s v="62003086001001"/>
    <n v="-21.56"/>
    <n v="1260"/>
    <n v="1"/>
    <n v="1"/>
  </r>
  <r>
    <m/>
    <m/>
    <x v="1"/>
    <s v="62112959003001"/>
    <n v="-26.73"/>
    <n v="1562"/>
    <n v="1"/>
    <n v="1"/>
  </r>
  <r>
    <m/>
    <m/>
    <x v="1"/>
    <s v="62125470001002"/>
    <n v="-17.5"/>
    <n v="1023"/>
    <n v="1"/>
    <n v="1"/>
  </r>
  <r>
    <m/>
    <m/>
    <x v="1"/>
    <s v="62139312001006"/>
    <n v="-18.100000000000001"/>
    <n v="1058"/>
    <n v="1"/>
    <n v="1"/>
  </r>
  <r>
    <m/>
    <m/>
    <x v="1"/>
    <s v="62235479001001"/>
    <n v="-7.07"/>
    <n v="413"/>
    <n v="1"/>
    <n v="1"/>
  </r>
  <r>
    <m/>
    <m/>
    <x v="1"/>
    <s v="62334129001003"/>
    <n v="-22.05"/>
    <n v="1289"/>
    <n v="1"/>
    <n v="1"/>
  </r>
  <r>
    <m/>
    <m/>
    <x v="1"/>
    <s v="62495514001001"/>
    <n v="-20.5"/>
    <n v="1198"/>
    <n v="1"/>
    <n v="1"/>
  </r>
  <r>
    <m/>
    <m/>
    <x v="1"/>
    <s v="62826325002002"/>
    <n v="-16.559999999999999"/>
    <n v="968"/>
    <n v="1"/>
    <n v="1"/>
  </r>
  <r>
    <m/>
    <m/>
    <x v="1"/>
    <s v="62852130001002"/>
    <n v="-0.28999999999999998"/>
    <n v="17"/>
    <n v="1"/>
    <n v="1"/>
  </r>
  <r>
    <m/>
    <m/>
    <x v="1"/>
    <s v="62941252001003"/>
    <n v="-38.549999999999997"/>
    <n v="2253"/>
    <n v="1"/>
    <n v="1"/>
  </r>
  <r>
    <m/>
    <m/>
    <x v="1"/>
    <s v="63101970001001"/>
    <n v="-3.83"/>
    <n v="224"/>
    <n v="1"/>
    <n v="1"/>
  </r>
  <r>
    <m/>
    <m/>
    <x v="1"/>
    <s v="63189646005005"/>
    <n v="-15.38"/>
    <n v="899"/>
    <n v="1"/>
    <n v="1"/>
  </r>
  <r>
    <m/>
    <m/>
    <x v="1"/>
    <s v="63462936001004"/>
    <n v="-23.44"/>
    <n v="1370"/>
    <n v="1"/>
    <n v="1"/>
  </r>
  <r>
    <m/>
    <m/>
    <x v="1"/>
    <s v="63473427001003"/>
    <n v="-32.18"/>
    <n v="1881"/>
    <n v="1"/>
    <n v="1"/>
  </r>
  <r>
    <m/>
    <m/>
    <x v="1"/>
    <s v="63681093001001"/>
    <n v="-30.27"/>
    <n v="1769"/>
    <n v="1"/>
    <n v="1"/>
  </r>
  <r>
    <m/>
    <m/>
    <x v="1"/>
    <s v="63697179001006"/>
    <n v="-28.32"/>
    <n v="1655"/>
    <n v="1"/>
    <n v="1"/>
  </r>
  <r>
    <m/>
    <m/>
    <x v="1"/>
    <s v="64727466001005"/>
    <n v="-34"/>
    <n v="1987"/>
    <n v="1"/>
    <n v="1"/>
  </r>
  <r>
    <m/>
    <m/>
    <x v="1"/>
    <s v="64729708001001"/>
    <n v="-14.12"/>
    <n v="825"/>
    <n v="1"/>
    <n v="1"/>
  </r>
  <r>
    <m/>
    <m/>
    <x v="1"/>
    <s v="65288119001001"/>
    <n v="-0.53"/>
    <n v="31"/>
    <n v="1"/>
    <n v="1"/>
  </r>
  <r>
    <m/>
    <m/>
    <x v="1"/>
    <s v="65349971001003"/>
    <n v="-16.649999999999999"/>
    <n v="973"/>
    <n v="1"/>
    <n v="1"/>
  </r>
  <r>
    <m/>
    <m/>
    <x v="1"/>
    <s v="65497555001001"/>
    <n v="-16.170000000000002"/>
    <n v="945"/>
    <n v="1"/>
    <n v="1"/>
  </r>
  <r>
    <m/>
    <m/>
    <x v="1"/>
    <s v="66083905003003"/>
    <n v="-11.21"/>
    <n v="655"/>
    <n v="1"/>
    <n v="1"/>
  </r>
  <r>
    <m/>
    <m/>
    <x v="1"/>
    <s v="66293697001004"/>
    <n v="-36.97"/>
    <n v="2161"/>
    <n v="1"/>
    <n v="1"/>
  </r>
  <r>
    <m/>
    <m/>
    <x v="1"/>
    <s v="67090070001001"/>
    <n v="-18.8"/>
    <n v="1099"/>
    <n v="1"/>
    <n v="1"/>
  </r>
  <r>
    <m/>
    <m/>
    <x v="1"/>
    <s v="67118226001001"/>
    <n v="-9.17"/>
    <n v="536"/>
    <n v="1"/>
    <n v="1"/>
  </r>
  <r>
    <m/>
    <m/>
    <x v="1"/>
    <s v="67456537001003"/>
    <n v="-19.21"/>
    <n v="1123"/>
    <n v="1"/>
    <n v="1"/>
  </r>
  <r>
    <m/>
    <m/>
    <x v="1"/>
    <s v="67565406001001"/>
    <n v="-22.05"/>
    <n v="1289"/>
    <n v="1"/>
    <n v="1"/>
  </r>
  <r>
    <m/>
    <m/>
    <x v="1"/>
    <s v="67580955001002"/>
    <n v="-24.64"/>
    <n v="1440"/>
    <n v="1"/>
    <n v="1"/>
  </r>
  <r>
    <m/>
    <m/>
    <x v="1"/>
    <s v="67993777004001"/>
    <n v="-55.37"/>
    <n v="3236"/>
    <n v="1"/>
    <n v="1"/>
  </r>
  <r>
    <m/>
    <m/>
    <x v="1"/>
    <s v="68002987001001"/>
    <n v="-9.0299999999999994"/>
    <n v="528"/>
    <n v="1"/>
    <n v="1"/>
  </r>
  <r>
    <m/>
    <m/>
    <x v="1"/>
    <s v="68146157001004"/>
    <n v="-8.69"/>
    <n v="508"/>
    <n v="1"/>
    <n v="1"/>
  </r>
  <r>
    <m/>
    <m/>
    <x v="1"/>
    <s v="68156471001004"/>
    <n v="-9.1"/>
    <n v="532"/>
    <n v="1"/>
    <n v="1"/>
  </r>
  <r>
    <m/>
    <m/>
    <x v="1"/>
    <s v="68186045001001"/>
    <n v="-19.37"/>
    <n v="1132"/>
    <n v="1"/>
    <n v="1"/>
  </r>
  <r>
    <m/>
    <m/>
    <x v="1"/>
    <s v="68461671002003"/>
    <n v="-24.18"/>
    <n v="1413"/>
    <n v="1"/>
    <n v="1"/>
  </r>
  <r>
    <m/>
    <m/>
    <x v="1"/>
    <s v="68565772001001"/>
    <n v="-9.58"/>
    <n v="560"/>
    <n v="1"/>
    <n v="1"/>
  </r>
  <r>
    <m/>
    <m/>
    <x v="1"/>
    <s v="69567080001004"/>
    <n v="-6.09"/>
    <n v="356"/>
    <n v="1"/>
    <n v="1"/>
  </r>
  <r>
    <m/>
    <m/>
    <x v="1"/>
    <s v="69589294001001"/>
    <n v="-10.8"/>
    <n v="631"/>
    <n v="1"/>
    <n v="1"/>
  </r>
  <r>
    <m/>
    <m/>
    <x v="1"/>
    <s v="70119713001003"/>
    <n v="-20.74"/>
    <n v="1212"/>
    <n v="1"/>
    <n v="1"/>
  </r>
  <r>
    <m/>
    <m/>
    <x v="1"/>
    <s v="70262426002001"/>
    <n v="-16.63"/>
    <n v="972"/>
    <n v="1"/>
    <n v="1"/>
  </r>
  <r>
    <m/>
    <m/>
    <x v="1"/>
    <s v="70262974001001"/>
    <n v="-10.71"/>
    <n v="626"/>
    <n v="1"/>
    <n v="1"/>
  </r>
  <r>
    <m/>
    <m/>
    <x v="1"/>
    <s v="70498831001001"/>
    <n v="-22.59"/>
    <n v="1320"/>
    <n v="1"/>
    <n v="1"/>
  </r>
  <r>
    <m/>
    <m/>
    <x v="1"/>
    <s v="70529428001001"/>
    <n v="-23.46"/>
    <n v="1371"/>
    <n v="1"/>
    <n v="1"/>
  </r>
  <r>
    <m/>
    <m/>
    <x v="1"/>
    <s v="70530404003001"/>
    <n v="-32.799999999999997"/>
    <n v="1917"/>
    <n v="1"/>
    <n v="1"/>
  </r>
  <r>
    <m/>
    <m/>
    <x v="1"/>
    <s v="70925378002003"/>
    <n v="-15.86"/>
    <n v="927"/>
    <n v="1"/>
    <n v="1"/>
  </r>
  <r>
    <m/>
    <m/>
    <x v="1"/>
    <s v="71127815001002"/>
    <n v="-3.66"/>
    <n v="214"/>
    <n v="1"/>
    <n v="1"/>
  </r>
  <r>
    <m/>
    <m/>
    <x v="1"/>
    <s v="71181295001001"/>
    <n v="-11.53"/>
    <n v="674"/>
    <n v="1"/>
    <n v="1"/>
  </r>
  <r>
    <m/>
    <m/>
    <x v="1"/>
    <s v="71297342003003"/>
    <n v="-25.44"/>
    <n v="1487"/>
    <n v="1"/>
    <n v="1"/>
  </r>
  <r>
    <m/>
    <m/>
    <x v="1"/>
    <s v="71338480001002"/>
    <n v="-14.85"/>
    <n v="868"/>
    <n v="1"/>
    <n v="1"/>
  </r>
  <r>
    <m/>
    <m/>
    <x v="1"/>
    <s v="71361970001005"/>
    <n v="-5.33"/>
    <n v="312"/>
    <n v="2"/>
    <n v="1"/>
  </r>
  <r>
    <m/>
    <m/>
    <x v="1"/>
    <s v="71508543001001"/>
    <n v="-3.03"/>
    <n v="177"/>
    <n v="1"/>
    <n v="1"/>
  </r>
  <r>
    <m/>
    <m/>
    <x v="1"/>
    <s v="71751256001002"/>
    <n v="-23.01"/>
    <n v="1345"/>
    <n v="1"/>
    <n v="1"/>
  </r>
  <r>
    <m/>
    <m/>
    <x v="1"/>
    <s v="71822800001001"/>
    <n v="-44.08"/>
    <n v="2576"/>
    <n v="1"/>
    <n v="1"/>
  </r>
  <r>
    <m/>
    <m/>
    <x v="1"/>
    <s v="72327193001003"/>
    <n v="-25.12"/>
    <n v="1468"/>
    <n v="1"/>
    <n v="1"/>
  </r>
  <r>
    <m/>
    <m/>
    <x v="1"/>
    <s v="72330780003005"/>
    <n v="-8.56"/>
    <n v="500"/>
    <n v="1"/>
    <n v="1"/>
  </r>
  <r>
    <m/>
    <m/>
    <x v="1"/>
    <s v="72332635001005"/>
    <n v="-32.75"/>
    <n v="1914"/>
    <n v="1"/>
    <n v="1"/>
  </r>
  <r>
    <m/>
    <m/>
    <x v="1"/>
    <s v="72414106001005"/>
    <n v="-33.21"/>
    <n v="1941"/>
    <n v="1"/>
    <n v="1"/>
  </r>
  <r>
    <m/>
    <m/>
    <x v="1"/>
    <s v="73001153001001"/>
    <n v="-7.67"/>
    <n v="448"/>
    <n v="1"/>
    <n v="1"/>
  </r>
  <r>
    <m/>
    <m/>
    <x v="1"/>
    <s v="73220801001001"/>
    <n v="-16"/>
    <n v="935"/>
    <n v="1"/>
    <n v="1"/>
  </r>
  <r>
    <m/>
    <m/>
    <x v="1"/>
    <s v="73558422001001"/>
    <n v="-7.9"/>
    <n v="462"/>
    <n v="1"/>
    <n v="1"/>
  </r>
  <r>
    <m/>
    <m/>
    <x v="1"/>
    <s v="73642053002003"/>
    <n v="-23.03"/>
    <n v="1346"/>
    <n v="1"/>
    <n v="1"/>
  </r>
  <r>
    <m/>
    <m/>
    <x v="1"/>
    <s v="73743305001005"/>
    <n v="-40.07"/>
    <n v="2342"/>
    <n v="1"/>
    <n v="1"/>
  </r>
  <r>
    <m/>
    <m/>
    <x v="1"/>
    <s v="74039552001001"/>
    <n v="-12.83"/>
    <n v="750"/>
    <n v="1"/>
    <n v="1"/>
  </r>
  <r>
    <m/>
    <m/>
    <x v="1"/>
    <s v="74101362001001"/>
    <n v="-18.89"/>
    <n v="1104"/>
    <n v="1"/>
    <n v="1"/>
  </r>
  <r>
    <m/>
    <m/>
    <x v="1"/>
    <s v="74233906001003"/>
    <n v="-24.43"/>
    <n v="1428"/>
    <n v="1"/>
    <n v="1"/>
  </r>
  <r>
    <m/>
    <m/>
    <x v="1"/>
    <s v="74632852001001"/>
    <n v="-22.21"/>
    <n v="1298"/>
    <n v="1"/>
    <n v="1"/>
  </r>
  <r>
    <m/>
    <m/>
    <x v="1"/>
    <s v="74916061001001"/>
    <n v="-21.1"/>
    <n v="1233"/>
    <n v="1"/>
    <n v="1"/>
  </r>
  <r>
    <m/>
    <m/>
    <x v="1"/>
    <s v="75178826001001"/>
    <n v="-3.37"/>
    <n v="197"/>
    <n v="1"/>
    <n v="1"/>
  </r>
  <r>
    <m/>
    <m/>
    <x v="1"/>
    <s v="75448417001001"/>
    <n v="-6.48"/>
    <n v="379"/>
    <n v="1"/>
    <n v="1"/>
  </r>
  <r>
    <m/>
    <m/>
    <x v="1"/>
    <s v="75492701001001"/>
    <n v="-21.34"/>
    <n v="1247"/>
    <n v="1"/>
    <n v="1"/>
  </r>
  <r>
    <m/>
    <m/>
    <x v="1"/>
    <s v="75544198001002"/>
    <n v="-25.22"/>
    <n v="1474"/>
    <n v="1"/>
    <n v="1"/>
  </r>
  <r>
    <m/>
    <m/>
    <x v="1"/>
    <s v="75558866002001"/>
    <n v="-30.64"/>
    <n v="1791"/>
    <n v="1"/>
    <n v="1"/>
  </r>
  <r>
    <m/>
    <m/>
    <x v="1"/>
    <s v="76017664001001"/>
    <n v="-10.98"/>
    <n v="642"/>
    <n v="1"/>
    <n v="1"/>
  </r>
  <r>
    <m/>
    <m/>
    <x v="1"/>
    <s v="76068750001001"/>
    <n v="-6.84"/>
    <n v="400"/>
    <n v="1"/>
    <n v="1"/>
  </r>
  <r>
    <m/>
    <m/>
    <x v="1"/>
    <s v="76170368001004"/>
    <n v="-5.94"/>
    <n v="347"/>
    <n v="1"/>
    <n v="1"/>
  </r>
  <r>
    <m/>
    <m/>
    <x v="1"/>
    <s v="76242332001003"/>
    <n v="-34.68"/>
    <n v="2027"/>
    <n v="1"/>
    <n v="1"/>
  </r>
  <r>
    <m/>
    <m/>
    <x v="1"/>
    <s v="76297115001001"/>
    <n v="-5.65"/>
    <n v="330"/>
    <n v="1"/>
    <n v="1"/>
  </r>
  <r>
    <m/>
    <m/>
    <x v="1"/>
    <s v="76559936001004"/>
    <n v="-8.64"/>
    <n v="505"/>
    <n v="1"/>
    <n v="1"/>
  </r>
  <r>
    <m/>
    <m/>
    <x v="1"/>
    <s v="76590700001002"/>
    <n v="-1.61"/>
    <n v="94"/>
    <n v="1"/>
    <n v="1"/>
  </r>
  <r>
    <m/>
    <m/>
    <x v="1"/>
    <s v="76595548001001"/>
    <n v="-17.97"/>
    <n v="1050"/>
    <n v="1"/>
    <n v="1"/>
  </r>
  <r>
    <m/>
    <m/>
    <x v="1"/>
    <s v="76615869001006"/>
    <n v="-24.38"/>
    <n v="1425"/>
    <n v="1"/>
    <n v="1"/>
  </r>
  <r>
    <m/>
    <m/>
    <x v="1"/>
    <s v="76670454001001"/>
    <n v="-34.15"/>
    <n v="1996"/>
    <n v="1"/>
    <n v="1"/>
  </r>
  <r>
    <m/>
    <m/>
    <x v="1"/>
    <s v="77153785002001"/>
    <n v="-37.08"/>
    <n v="2167"/>
    <n v="1"/>
    <n v="1"/>
  </r>
  <r>
    <m/>
    <m/>
    <x v="1"/>
    <s v="77587631001002"/>
    <n v="-23.32"/>
    <n v="1363"/>
    <n v="1"/>
    <n v="1"/>
  </r>
  <r>
    <m/>
    <m/>
    <x v="1"/>
    <s v="77633291001003"/>
    <n v="-19.350000000000001"/>
    <n v="1131"/>
    <n v="1"/>
    <n v="1"/>
  </r>
  <r>
    <m/>
    <m/>
    <x v="1"/>
    <s v="77810743001005"/>
    <n v="-23.3"/>
    <n v="1362"/>
    <n v="1"/>
    <n v="1"/>
  </r>
  <r>
    <m/>
    <m/>
    <x v="1"/>
    <s v="77963852001001"/>
    <n v="-11.6"/>
    <n v="678"/>
    <n v="1"/>
    <n v="1"/>
  </r>
  <r>
    <m/>
    <m/>
    <x v="1"/>
    <s v="78306458001001"/>
    <n v="-18.38"/>
    <n v="1074"/>
    <n v="1"/>
    <n v="1"/>
  </r>
  <r>
    <m/>
    <m/>
    <x v="1"/>
    <s v="78764555001002"/>
    <n v="-21.76"/>
    <n v="1272"/>
    <n v="1"/>
    <n v="1"/>
  </r>
  <r>
    <m/>
    <m/>
    <x v="1"/>
    <s v="78978822002001"/>
    <n v="-14.97"/>
    <n v="875"/>
    <n v="1"/>
    <n v="1"/>
  </r>
  <r>
    <m/>
    <m/>
    <x v="1"/>
    <s v="79620926001001"/>
    <n v="-38.99"/>
    <n v="2279"/>
    <n v="1"/>
    <n v="1"/>
  </r>
  <r>
    <m/>
    <m/>
    <x v="1"/>
    <s v="79932201001006"/>
    <n v="-17.61"/>
    <n v="1029"/>
    <n v="1"/>
    <n v="1"/>
  </r>
  <r>
    <m/>
    <m/>
    <x v="1"/>
    <s v="79989931001001"/>
    <n v="-14.92"/>
    <n v="872"/>
    <n v="1"/>
    <n v="1"/>
  </r>
  <r>
    <m/>
    <m/>
    <x v="1"/>
    <s v="80270144001001"/>
    <n v="-20.89"/>
    <n v="1221"/>
    <n v="1"/>
    <n v="1"/>
  </r>
  <r>
    <m/>
    <m/>
    <x v="1"/>
    <s v="80293559001001"/>
    <n v="-11.74"/>
    <n v="686"/>
    <n v="1"/>
    <n v="1"/>
  </r>
  <r>
    <m/>
    <m/>
    <x v="1"/>
    <s v="80509039001001"/>
    <n v="-3.1"/>
    <n v="181"/>
    <n v="1"/>
    <n v="1"/>
  </r>
  <r>
    <m/>
    <m/>
    <x v="1"/>
    <s v="80867382002003"/>
    <n v="-16.920000000000002"/>
    <n v="989"/>
    <n v="1"/>
    <n v="1"/>
  </r>
  <r>
    <m/>
    <m/>
    <x v="1"/>
    <s v="81331550002001"/>
    <n v="-1.32"/>
    <n v="77"/>
    <n v="1"/>
    <n v="1"/>
  </r>
  <r>
    <m/>
    <m/>
    <x v="1"/>
    <s v="81416667001004"/>
    <n v="-7.46"/>
    <n v="436"/>
    <n v="1"/>
    <n v="1"/>
  </r>
  <r>
    <m/>
    <m/>
    <x v="1"/>
    <s v="81635154007001"/>
    <n v="-66.44"/>
    <n v="3883"/>
    <n v="1"/>
    <n v="1"/>
  </r>
  <r>
    <m/>
    <m/>
    <x v="1"/>
    <s v="81964610001001"/>
    <n v="-30.1"/>
    <n v="1759"/>
    <n v="1"/>
    <n v="1"/>
  </r>
  <r>
    <m/>
    <m/>
    <x v="1"/>
    <s v="82088762001001"/>
    <n v="-32.659999999999997"/>
    <n v="1909"/>
    <n v="1"/>
    <n v="1"/>
  </r>
  <r>
    <m/>
    <m/>
    <x v="1"/>
    <s v="82225464001008"/>
    <n v="-26.62"/>
    <n v="1556"/>
    <n v="1"/>
    <n v="1"/>
  </r>
  <r>
    <m/>
    <m/>
    <x v="1"/>
    <s v="82247199001001"/>
    <n v="-7.12"/>
    <n v="416"/>
    <n v="1"/>
    <n v="1"/>
  </r>
  <r>
    <m/>
    <m/>
    <x v="1"/>
    <s v="82371195001001"/>
    <n v="-2.02"/>
    <n v="118"/>
    <n v="1"/>
    <n v="1"/>
  </r>
  <r>
    <m/>
    <m/>
    <x v="1"/>
    <s v="82480022001002"/>
    <n v="-9.6"/>
    <n v="561"/>
    <n v="1"/>
    <n v="1"/>
  </r>
  <r>
    <m/>
    <m/>
    <x v="1"/>
    <s v="82689503003001"/>
    <n v="-55.44"/>
    <n v="3240"/>
    <n v="1"/>
    <n v="1"/>
  </r>
  <r>
    <m/>
    <m/>
    <x v="1"/>
    <s v="82844671001002"/>
    <n v="-50.32"/>
    <n v="2941"/>
    <n v="1"/>
    <n v="1"/>
  </r>
  <r>
    <m/>
    <m/>
    <x v="1"/>
    <s v="83010955001001"/>
    <n v="-3.95"/>
    <n v="231"/>
    <n v="1"/>
    <n v="1"/>
  </r>
  <r>
    <m/>
    <m/>
    <x v="1"/>
    <s v="83489581002001"/>
    <n v="-16.899999999999999"/>
    <n v="988"/>
    <n v="1"/>
    <n v="1"/>
  </r>
  <r>
    <m/>
    <m/>
    <x v="1"/>
    <s v="83624396002001"/>
    <n v="-19.899999999999999"/>
    <n v="1163"/>
    <n v="1"/>
    <n v="1"/>
  </r>
  <r>
    <m/>
    <m/>
    <x v="1"/>
    <s v="83648881001001"/>
    <n v="-21.66"/>
    <n v="1266"/>
    <n v="1"/>
    <n v="1"/>
  </r>
  <r>
    <m/>
    <m/>
    <x v="1"/>
    <s v="83700495001001"/>
    <n v="-9.7899999999999991"/>
    <n v="572"/>
    <n v="1"/>
    <n v="1"/>
  </r>
  <r>
    <m/>
    <m/>
    <x v="1"/>
    <s v="84001278001001"/>
    <n v="-5.89"/>
    <n v="344"/>
    <n v="1"/>
    <n v="1"/>
  </r>
  <r>
    <m/>
    <m/>
    <x v="1"/>
    <s v="84301238001003"/>
    <n v="-27.65"/>
    <n v="1616"/>
    <n v="1"/>
    <n v="1"/>
  </r>
  <r>
    <m/>
    <m/>
    <x v="1"/>
    <s v="84345456001001"/>
    <n v="-18"/>
    <n v="1052"/>
    <n v="1"/>
    <n v="1"/>
  </r>
  <r>
    <m/>
    <m/>
    <x v="1"/>
    <s v="84749539001001"/>
    <n v="-17.52"/>
    <n v="1024"/>
    <n v="1"/>
    <n v="1"/>
  </r>
  <r>
    <m/>
    <m/>
    <x v="1"/>
    <s v="84764694001005"/>
    <n v="-3.92"/>
    <n v="229"/>
    <n v="1"/>
    <n v="1"/>
  </r>
  <r>
    <m/>
    <m/>
    <x v="1"/>
    <s v="84768096001002"/>
    <n v="-35.35"/>
    <n v="2066"/>
    <n v="1"/>
    <n v="1"/>
  </r>
  <r>
    <m/>
    <m/>
    <x v="1"/>
    <s v="84934447001001"/>
    <n v="-13.43"/>
    <n v="785"/>
    <n v="1"/>
    <n v="1"/>
  </r>
  <r>
    <m/>
    <m/>
    <x v="1"/>
    <s v="85004567002008"/>
    <n v="-29.89"/>
    <n v="1747"/>
    <n v="1"/>
    <n v="1"/>
  </r>
  <r>
    <m/>
    <m/>
    <x v="1"/>
    <s v="85155127001002"/>
    <n v="-22.55"/>
    <n v="1318"/>
    <n v="1"/>
    <n v="1"/>
  </r>
  <r>
    <m/>
    <m/>
    <x v="1"/>
    <s v="85419820001002"/>
    <n v="-19.559999999999999"/>
    <n v="1143"/>
    <n v="1"/>
    <n v="1"/>
  </r>
  <r>
    <m/>
    <m/>
    <x v="1"/>
    <s v="85581047001001"/>
    <n v="-32.83"/>
    <n v="1919"/>
    <n v="1"/>
    <n v="1"/>
  </r>
  <r>
    <m/>
    <m/>
    <x v="1"/>
    <s v="85785045001005"/>
    <n v="-64.45"/>
    <n v="3767"/>
    <n v="1"/>
    <n v="1"/>
  </r>
  <r>
    <m/>
    <m/>
    <x v="1"/>
    <s v="85975789001001"/>
    <n v="-26.59"/>
    <n v="1554"/>
    <n v="1"/>
    <n v="1"/>
  </r>
  <r>
    <m/>
    <m/>
    <x v="1"/>
    <s v="86168663001003"/>
    <n v="-4.1100000000000003"/>
    <n v="240"/>
    <n v="1"/>
    <n v="1"/>
  </r>
  <r>
    <m/>
    <m/>
    <x v="1"/>
    <s v="86296772001001"/>
    <n v="-26.66"/>
    <n v="1558"/>
    <n v="1"/>
    <n v="1"/>
  </r>
  <r>
    <m/>
    <m/>
    <x v="1"/>
    <s v="86363752001001"/>
    <n v="-13.96"/>
    <n v="816"/>
    <n v="1"/>
    <n v="1"/>
  </r>
  <r>
    <m/>
    <m/>
    <x v="1"/>
    <s v="86381411001001"/>
    <n v="-16.03"/>
    <n v="937"/>
    <n v="1"/>
    <n v="1"/>
  </r>
  <r>
    <m/>
    <m/>
    <x v="1"/>
    <s v="86518069001001"/>
    <n v="-11.74"/>
    <n v="686"/>
    <n v="1"/>
    <n v="1"/>
  </r>
  <r>
    <m/>
    <m/>
    <x v="1"/>
    <s v="87452134001003"/>
    <n v="-32.590000000000003"/>
    <n v="1905"/>
    <n v="1"/>
    <n v="1"/>
  </r>
  <r>
    <m/>
    <m/>
    <x v="1"/>
    <s v="87569375001001"/>
    <n v="-30.839999999999996"/>
    <n v="1803"/>
    <n v="3"/>
    <n v="1"/>
  </r>
  <r>
    <m/>
    <m/>
    <x v="1"/>
    <s v="87885809001004"/>
    <n v="-22.72"/>
    <n v="1328"/>
    <n v="1"/>
    <n v="1"/>
  </r>
  <r>
    <m/>
    <m/>
    <x v="1"/>
    <s v="87989600001003"/>
    <n v="-41.51"/>
    <n v="2426"/>
    <n v="1"/>
    <n v="1"/>
  </r>
  <r>
    <m/>
    <m/>
    <x v="1"/>
    <s v="88075199001001"/>
    <n v="-8.5"/>
    <n v="497"/>
    <n v="1"/>
    <n v="1"/>
  </r>
  <r>
    <m/>
    <m/>
    <x v="1"/>
    <s v="88101027001008"/>
    <n v="-18.579999999999998"/>
    <n v="1086"/>
    <n v="1"/>
    <n v="1"/>
  </r>
  <r>
    <m/>
    <m/>
    <x v="1"/>
    <s v="88142714001001"/>
    <n v="-39.200000000000003"/>
    <n v="2291"/>
    <n v="1"/>
    <n v="1"/>
  </r>
  <r>
    <m/>
    <m/>
    <x v="1"/>
    <s v="88152741001004"/>
    <n v="-22.67"/>
    <n v="1325"/>
    <n v="1"/>
    <n v="1"/>
  </r>
  <r>
    <m/>
    <m/>
    <x v="1"/>
    <s v="88233884001001"/>
    <n v="-1.4"/>
    <n v="82"/>
    <n v="1"/>
    <n v="1"/>
  </r>
  <r>
    <m/>
    <m/>
    <x v="1"/>
    <s v="88770508001006"/>
    <n v="-11.65"/>
    <n v="681"/>
    <n v="1"/>
    <n v="1"/>
  </r>
  <r>
    <m/>
    <m/>
    <x v="1"/>
    <s v="88777401001007"/>
    <n v="-20.45"/>
    <n v="1195"/>
    <n v="1"/>
    <n v="1"/>
  </r>
  <r>
    <m/>
    <m/>
    <x v="1"/>
    <s v="88847370001001"/>
    <n v="-4.57"/>
    <n v="267"/>
    <n v="1"/>
    <n v="1"/>
  </r>
  <r>
    <m/>
    <m/>
    <x v="1"/>
    <s v="89520809001009"/>
    <n v="-15.01"/>
    <n v="877"/>
    <n v="1"/>
    <n v="1"/>
  </r>
  <r>
    <m/>
    <m/>
    <x v="1"/>
    <s v="89599726001001"/>
    <n v="-22.26"/>
    <n v="1301"/>
    <n v="1"/>
    <n v="1"/>
  </r>
  <r>
    <m/>
    <m/>
    <x v="1"/>
    <s v="89709361001001"/>
    <n v="-17.760000000000002"/>
    <n v="1038"/>
    <n v="1"/>
    <n v="1"/>
  </r>
  <r>
    <m/>
    <m/>
    <x v="1"/>
    <s v="89718018001006"/>
    <n v="-1.47"/>
    <n v="86"/>
    <n v="1"/>
    <n v="1"/>
  </r>
  <r>
    <m/>
    <m/>
    <x v="1"/>
    <s v="89987541001001"/>
    <n v="-5.41"/>
    <n v="316"/>
    <n v="1"/>
    <n v="1"/>
  </r>
  <r>
    <m/>
    <m/>
    <x v="1"/>
    <s v="90085570001001"/>
    <n v="-4.2300000000000004"/>
    <n v="247"/>
    <n v="1"/>
    <n v="1"/>
  </r>
  <r>
    <m/>
    <m/>
    <x v="1"/>
    <s v="90314519001006"/>
    <n v="-20.02"/>
    <n v="1170"/>
    <n v="1"/>
    <n v="1"/>
  </r>
  <r>
    <m/>
    <m/>
    <x v="1"/>
    <s v="90516824001003"/>
    <n v="-25.72"/>
    <n v="1503"/>
    <n v="1"/>
    <n v="1"/>
  </r>
  <r>
    <m/>
    <m/>
    <x v="1"/>
    <s v="90527747001001"/>
    <n v="-19.86"/>
    <n v="1161"/>
    <n v="1"/>
    <n v="1"/>
  </r>
  <r>
    <m/>
    <m/>
    <x v="1"/>
    <s v="90651605001001"/>
    <n v="-17.14"/>
    <n v="1002"/>
    <n v="1"/>
    <n v="1"/>
  </r>
  <r>
    <m/>
    <m/>
    <x v="1"/>
    <s v="90805481002003"/>
    <n v="-31.48"/>
    <n v="1840"/>
    <n v="1"/>
    <n v="1"/>
  </r>
  <r>
    <m/>
    <m/>
    <x v="1"/>
    <s v="91095063001001"/>
    <n v="-2.2400000000000002"/>
    <n v="131"/>
    <n v="1"/>
    <n v="1"/>
  </r>
  <r>
    <m/>
    <m/>
    <x v="1"/>
    <s v="91666691002003"/>
    <n v="-54.1"/>
    <n v="3162"/>
    <n v="1"/>
    <n v="1"/>
  </r>
  <r>
    <m/>
    <m/>
    <x v="1"/>
    <s v="91750195001001"/>
    <n v="-16.489999999999998"/>
    <n v="964"/>
    <n v="1"/>
    <n v="1"/>
  </r>
  <r>
    <m/>
    <m/>
    <x v="1"/>
    <s v="92326056001001"/>
    <n v="-8.23"/>
    <n v="481"/>
    <n v="1"/>
    <n v="1"/>
  </r>
  <r>
    <m/>
    <m/>
    <x v="1"/>
    <s v="92573504001002"/>
    <n v="-17.66"/>
    <n v="1032"/>
    <n v="1"/>
    <n v="1"/>
  </r>
  <r>
    <m/>
    <m/>
    <x v="1"/>
    <s v="92602233001001"/>
    <n v="-27.24"/>
    <n v="1592"/>
    <n v="1"/>
    <n v="1"/>
  </r>
  <r>
    <m/>
    <m/>
    <x v="1"/>
    <s v="92711390001001"/>
    <n v="-23.7"/>
    <n v="1385"/>
    <n v="1"/>
    <n v="1"/>
  </r>
  <r>
    <m/>
    <m/>
    <x v="1"/>
    <s v="92914807001001"/>
    <n v="-7.41"/>
    <n v="433"/>
    <n v="1"/>
    <n v="1"/>
  </r>
  <r>
    <m/>
    <m/>
    <x v="1"/>
    <s v="93208083001001"/>
    <n v="-30.58"/>
    <n v="1787"/>
    <n v="1"/>
    <n v="1"/>
  </r>
  <r>
    <m/>
    <m/>
    <x v="1"/>
    <s v="93596601001001"/>
    <n v="-37.78"/>
    <n v="2208"/>
    <n v="1"/>
    <n v="1"/>
  </r>
  <r>
    <m/>
    <m/>
    <x v="1"/>
    <s v="93723374003001"/>
    <n v="-47.39"/>
    <n v="2770"/>
    <n v="1"/>
    <n v="1"/>
  </r>
  <r>
    <m/>
    <m/>
    <x v="1"/>
    <s v="93767754001003"/>
    <n v="-23.41"/>
    <n v="1368"/>
    <n v="1"/>
    <n v="1"/>
  </r>
  <r>
    <m/>
    <m/>
    <x v="1"/>
    <s v="93793236001001"/>
    <n v="-30.97"/>
    <n v="1810"/>
    <n v="1"/>
    <n v="1"/>
  </r>
  <r>
    <m/>
    <m/>
    <x v="1"/>
    <s v="93853061001004"/>
    <n v="-17.010000000000002"/>
    <n v="994"/>
    <n v="1"/>
    <n v="1"/>
  </r>
  <r>
    <m/>
    <m/>
    <x v="1"/>
    <s v="94634126001001"/>
    <n v="-17.670000000000002"/>
    <n v="1033"/>
    <n v="1"/>
    <n v="1"/>
  </r>
  <r>
    <m/>
    <m/>
    <x v="1"/>
    <s v="94684058001001"/>
    <n v="-14.13"/>
    <n v="826"/>
    <n v="1"/>
    <n v="1"/>
  </r>
  <r>
    <m/>
    <m/>
    <x v="1"/>
    <s v="94938062001001"/>
    <n v="-30.82"/>
    <n v="1801"/>
    <n v="1"/>
    <n v="1"/>
  </r>
  <r>
    <m/>
    <m/>
    <x v="1"/>
    <s v="95131113004001"/>
    <n v="-27.26"/>
    <n v="1593"/>
    <n v="1"/>
    <n v="1"/>
  </r>
  <r>
    <m/>
    <m/>
    <x v="1"/>
    <s v="95342054001001"/>
    <n v="-42.14"/>
    <n v="2463"/>
    <n v="1"/>
    <n v="1"/>
  </r>
  <r>
    <m/>
    <m/>
    <x v="1"/>
    <s v="95347210001001"/>
    <n v="-16.8"/>
    <n v="982"/>
    <n v="1"/>
    <n v="1"/>
  </r>
  <r>
    <m/>
    <m/>
    <x v="1"/>
    <s v="95431402002004"/>
    <n v="-1.69"/>
    <n v="99"/>
    <n v="1"/>
    <n v="1"/>
  </r>
  <r>
    <m/>
    <m/>
    <x v="1"/>
    <s v="95527245001004"/>
    <n v="-12.95"/>
    <n v="757"/>
    <n v="1"/>
    <n v="1"/>
  </r>
  <r>
    <m/>
    <m/>
    <x v="1"/>
    <s v="95581312001002"/>
    <n v="-34.17"/>
    <n v="1997"/>
    <n v="1"/>
    <n v="1"/>
  </r>
  <r>
    <m/>
    <m/>
    <x v="1"/>
    <s v="95646960001001"/>
    <n v="-19.489999999999998"/>
    <n v="1139"/>
    <n v="1"/>
    <n v="1"/>
  </r>
  <r>
    <m/>
    <m/>
    <x v="1"/>
    <s v="95952271001001"/>
    <n v="-10.54"/>
    <n v="616"/>
    <n v="1"/>
    <n v="1"/>
  </r>
  <r>
    <m/>
    <m/>
    <x v="1"/>
    <s v="95991535001001"/>
    <n v="-13.12"/>
    <n v="767"/>
    <n v="1"/>
    <n v="1"/>
  </r>
  <r>
    <m/>
    <m/>
    <x v="1"/>
    <s v="96042645001001"/>
    <n v="-3.9"/>
    <n v="228"/>
    <n v="1"/>
    <n v="1"/>
  </r>
  <r>
    <m/>
    <m/>
    <x v="1"/>
    <s v="96186430001005"/>
    <n v="-7.05"/>
    <n v="412"/>
    <n v="1"/>
    <n v="1"/>
  </r>
  <r>
    <m/>
    <m/>
    <x v="1"/>
    <s v="96258552001004"/>
    <n v="-3.94"/>
    <n v="230"/>
    <n v="1"/>
    <n v="1"/>
  </r>
  <r>
    <m/>
    <m/>
    <x v="1"/>
    <s v="96306013001003"/>
    <n v="-3.51"/>
    <n v="205"/>
    <n v="1"/>
    <n v="1"/>
  </r>
  <r>
    <m/>
    <m/>
    <x v="1"/>
    <s v="96369039001001"/>
    <n v="-36.74"/>
    <n v="2147"/>
    <n v="1"/>
    <n v="1"/>
  </r>
  <r>
    <m/>
    <m/>
    <x v="1"/>
    <s v="96386777001002"/>
    <n v="-30.28"/>
    <n v="1770"/>
    <n v="1"/>
    <n v="1"/>
  </r>
  <r>
    <m/>
    <m/>
    <x v="1"/>
    <s v="96472741002003"/>
    <n v="-11.63"/>
    <n v="680"/>
    <n v="1"/>
    <n v="1"/>
  </r>
  <r>
    <m/>
    <m/>
    <x v="1"/>
    <s v="96478184001006"/>
    <n v="-6.9"/>
    <n v="403"/>
    <n v="1"/>
    <n v="1"/>
  </r>
  <r>
    <m/>
    <m/>
    <x v="1"/>
    <s v="96949041001001"/>
    <n v="-12.92"/>
    <n v="755"/>
    <n v="1"/>
    <n v="1"/>
  </r>
  <r>
    <m/>
    <m/>
    <x v="1"/>
    <s v="96986090001001"/>
    <n v="-31.88"/>
    <n v="1863"/>
    <n v="1"/>
    <n v="1"/>
  </r>
  <r>
    <m/>
    <m/>
    <x v="1"/>
    <s v="97005215001001"/>
    <n v="-28.27"/>
    <n v="1652"/>
    <n v="1"/>
    <n v="1"/>
  </r>
  <r>
    <m/>
    <m/>
    <x v="1"/>
    <s v="97521847001001"/>
    <n v="-17.399999999999999"/>
    <n v="1017"/>
    <n v="1"/>
    <n v="1"/>
  </r>
  <r>
    <m/>
    <m/>
    <x v="1"/>
    <s v="97919016001004"/>
    <n v="-19.010000000000002"/>
    <n v="1111"/>
    <n v="1"/>
    <n v="1"/>
  </r>
  <r>
    <m/>
    <m/>
    <x v="1"/>
    <s v="98004963001002"/>
    <n v="-32.119999999999997"/>
    <n v="1877"/>
    <n v="1"/>
    <n v="1"/>
  </r>
  <r>
    <m/>
    <m/>
    <x v="1"/>
    <s v="98150139003001"/>
    <n v="-18.239999999999998"/>
    <n v="1066"/>
    <n v="1"/>
    <n v="1"/>
  </r>
  <r>
    <m/>
    <m/>
    <x v="1"/>
    <s v="98185698002001"/>
    <n v="-36.14"/>
    <n v="2112"/>
    <n v="1"/>
    <n v="1"/>
  </r>
  <r>
    <m/>
    <m/>
    <x v="1"/>
    <s v="98256974001001"/>
    <n v="-11.87"/>
    <n v="694"/>
    <n v="1"/>
    <n v="1"/>
  </r>
  <r>
    <m/>
    <m/>
    <x v="1"/>
    <s v="98323580001002"/>
    <n v="-13.35"/>
    <n v="780"/>
    <n v="1"/>
    <n v="1"/>
  </r>
  <r>
    <m/>
    <m/>
    <x v="1"/>
    <s v="98330170002001"/>
    <n v="-5.05"/>
    <n v="295"/>
    <n v="1"/>
    <n v="1"/>
  </r>
  <r>
    <m/>
    <m/>
    <x v="1"/>
    <s v="98514689005003"/>
    <n v="-16.84"/>
    <n v="984"/>
    <n v="1"/>
    <n v="1"/>
  </r>
  <r>
    <m/>
    <m/>
    <x v="1"/>
    <s v="98627781002001"/>
    <n v="-3.42"/>
    <n v="200"/>
    <n v="1"/>
    <n v="1"/>
  </r>
  <r>
    <m/>
    <m/>
    <x v="1"/>
    <s v="98734416001003"/>
    <n v="-3.64"/>
    <n v="213"/>
    <n v="1"/>
    <n v="1"/>
  </r>
  <r>
    <m/>
    <m/>
    <x v="1"/>
    <s v="98928729005009"/>
    <n v="-13.55"/>
    <n v="792"/>
    <n v="1"/>
    <n v="1"/>
  </r>
  <r>
    <m/>
    <m/>
    <x v="1"/>
    <s v="99045043001003"/>
    <n v="-14.39"/>
    <n v="841"/>
    <n v="1"/>
    <n v="1"/>
  </r>
  <r>
    <m/>
    <m/>
    <x v="1"/>
    <s v="99088785001001"/>
    <n v="-28.83"/>
    <n v="1685"/>
    <n v="1"/>
    <n v="1"/>
  </r>
  <r>
    <m/>
    <m/>
    <x v="1"/>
    <s v="99558695001002"/>
    <n v="-27.6"/>
    <n v="1613"/>
    <n v="1"/>
    <n v="1"/>
  </r>
  <r>
    <m/>
    <m/>
    <x v="1"/>
    <s v="99831171001001"/>
    <n v="-55.85"/>
    <n v="3264"/>
    <n v="1"/>
    <n v="1"/>
  </r>
  <r>
    <m/>
    <m/>
    <x v="1"/>
    <s v="99960737001001"/>
    <n v="-20.86"/>
    <n v="1219"/>
    <n v="1"/>
    <n v="1"/>
  </r>
  <r>
    <m/>
    <m/>
    <x v="2"/>
    <m/>
    <n v="-17523.459999999988"/>
    <n v="1024159"/>
    <n v="847"/>
    <n v="843"/>
  </r>
  <r>
    <m/>
    <m/>
    <x v="3"/>
    <s v="00129382001001"/>
    <n v="-8.84"/>
    <n v="323"/>
    <n v="1"/>
    <n v="1"/>
  </r>
  <r>
    <m/>
    <m/>
    <x v="1"/>
    <s v="00416718001001"/>
    <n v="-44.44"/>
    <n v="1623"/>
    <n v="1"/>
    <n v="1"/>
  </r>
  <r>
    <m/>
    <m/>
    <x v="1"/>
    <s v="00438452001003"/>
    <n v="-0.41"/>
    <n v="15"/>
    <n v="1"/>
    <n v="1"/>
  </r>
  <r>
    <m/>
    <m/>
    <x v="1"/>
    <s v="00573765002001"/>
    <n v="-52.1"/>
    <n v="1903"/>
    <n v="1"/>
    <n v="1"/>
  </r>
  <r>
    <m/>
    <m/>
    <x v="1"/>
    <s v="00595168001001"/>
    <n v="-10.210000000000001"/>
    <n v="373"/>
    <n v="1"/>
    <n v="1"/>
  </r>
  <r>
    <m/>
    <m/>
    <x v="1"/>
    <s v="00620929001002"/>
    <n v="-29.52"/>
    <n v="1078"/>
    <n v="1"/>
    <n v="1"/>
  </r>
  <r>
    <m/>
    <m/>
    <x v="1"/>
    <s v="01423270002001"/>
    <n v="-31.02"/>
    <n v="1133"/>
    <n v="1"/>
    <n v="1"/>
  </r>
  <r>
    <m/>
    <m/>
    <x v="1"/>
    <s v="01775038001002"/>
    <n v="-43.15"/>
    <n v="1576"/>
    <n v="1"/>
    <n v="1"/>
  </r>
  <r>
    <m/>
    <m/>
    <x v="1"/>
    <s v="01883451001001"/>
    <n v="-45.86"/>
    <n v="1675"/>
    <n v="1"/>
    <n v="1"/>
  </r>
  <r>
    <m/>
    <m/>
    <x v="1"/>
    <s v="01911223001001"/>
    <n v="-19.690000000000001"/>
    <n v="719"/>
    <n v="1"/>
    <n v="1"/>
  </r>
  <r>
    <m/>
    <m/>
    <x v="1"/>
    <s v="01933876002003"/>
    <n v="-36.799999999999997"/>
    <n v="1344"/>
    <n v="1"/>
    <n v="1"/>
  </r>
  <r>
    <m/>
    <m/>
    <x v="1"/>
    <s v="02155866001004"/>
    <n v="-56.81"/>
    <n v="2075"/>
    <n v="1"/>
    <n v="1"/>
  </r>
  <r>
    <m/>
    <m/>
    <x v="1"/>
    <s v="02249862002005"/>
    <n v="-19.3"/>
    <n v="705"/>
    <n v="1"/>
    <n v="1"/>
  </r>
  <r>
    <m/>
    <m/>
    <x v="1"/>
    <s v="02309710001002"/>
    <n v="-15.33"/>
    <n v="560"/>
    <n v="1"/>
    <n v="1"/>
  </r>
  <r>
    <m/>
    <m/>
    <x v="1"/>
    <s v="02319140001001"/>
    <n v="-2.85"/>
    <n v="104"/>
    <n v="1"/>
    <n v="1"/>
  </r>
  <r>
    <m/>
    <m/>
    <x v="1"/>
    <s v="02382323002001"/>
    <n v="-43.1"/>
    <n v="1574"/>
    <n v="1"/>
    <n v="1"/>
  </r>
  <r>
    <m/>
    <m/>
    <x v="1"/>
    <s v="02489977001002"/>
    <n v="-25.55"/>
    <n v="933"/>
    <n v="1"/>
    <n v="1"/>
  </r>
  <r>
    <m/>
    <m/>
    <x v="1"/>
    <s v="02523107001004"/>
    <n v="-15.14"/>
    <n v="553"/>
    <n v="1"/>
    <n v="1"/>
  </r>
  <r>
    <m/>
    <m/>
    <x v="1"/>
    <s v="02622939001003"/>
    <n v="-45.04"/>
    <n v="1645"/>
    <n v="1"/>
    <n v="1"/>
  </r>
  <r>
    <m/>
    <m/>
    <x v="1"/>
    <s v="02625530001001"/>
    <n v="-12.1"/>
    <n v="442"/>
    <n v="1"/>
    <n v="1"/>
  </r>
  <r>
    <m/>
    <m/>
    <x v="1"/>
    <s v="02761318001001"/>
    <n v="-25.55"/>
    <n v="933"/>
    <n v="1"/>
    <n v="1"/>
  </r>
  <r>
    <m/>
    <m/>
    <x v="1"/>
    <s v="02788965005001"/>
    <n v="-110.83"/>
    <n v="4048"/>
    <n v="1"/>
    <n v="1"/>
  </r>
  <r>
    <m/>
    <m/>
    <x v="1"/>
    <s v="02975140001002"/>
    <n v="-8.76"/>
    <n v="320"/>
    <n v="1"/>
    <n v="1"/>
  </r>
  <r>
    <m/>
    <m/>
    <x v="1"/>
    <s v="03017381002007"/>
    <n v="-5.67"/>
    <n v="207"/>
    <n v="1"/>
    <n v="1"/>
  </r>
  <r>
    <m/>
    <m/>
    <x v="1"/>
    <s v="03289754002001"/>
    <n v="-53.01"/>
    <n v="1936"/>
    <n v="1"/>
    <n v="1"/>
  </r>
  <r>
    <m/>
    <m/>
    <x v="1"/>
    <s v="03351704002008"/>
    <n v="-17.8"/>
    <n v="650"/>
    <n v="1"/>
    <n v="1"/>
  </r>
  <r>
    <m/>
    <m/>
    <x v="1"/>
    <s v="03379746001001"/>
    <n v="-32.72"/>
    <n v="1195"/>
    <n v="1"/>
    <n v="1"/>
  </r>
  <r>
    <m/>
    <m/>
    <x v="1"/>
    <s v="03428866001001"/>
    <n v="-9.64"/>
    <n v="352"/>
    <n v="1"/>
    <n v="1"/>
  </r>
  <r>
    <m/>
    <m/>
    <x v="1"/>
    <s v="03494646001002"/>
    <n v="-13.03"/>
    <n v="476"/>
    <n v="1"/>
    <n v="1"/>
  </r>
  <r>
    <m/>
    <m/>
    <x v="1"/>
    <s v="03765771001003"/>
    <n v="-48.65"/>
    <n v="1777"/>
    <n v="1"/>
    <n v="1"/>
  </r>
  <r>
    <m/>
    <m/>
    <x v="1"/>
    <s v="03931679001001"/>
    <n v="-45.2"/>
    <n v="1651"/>
    <n v="1"/>
    <n v="1"/>
  </r>
  <r>
    <m/>
    <m/>
    <x v="1"/>
    <s v="03953360002003"/>
    <n v="-7.61"/>
    <n v="278"/>
    <n v="1"/>
    <n v="1"/>
  </r>
  <r>
    <m/>
    <m/>
    <x v="1"/>
    <s v="04036291001005"/>
    <n v="-32.64"/>
    <n v="1192"/>
    <n v="1"/>
    <n v="1"/>
  </r>
  <r>
    <m/>
    <m/>
    <x v="1"/>
    <s v="04139605001002"/>
    <n v="-19.41"/>
    <n v="709"/>
    <n v="1"/>
    <n v="1"/>
  </r>
  <r>
    <m/>
    <m/>
    <x v="1"/>
    <s v="04235477001011"/>
    <n v="-21.77"/>
    <n v="795"/>
    <n v="1"/>
    <n v="1"/>
  </r>
  <r>
    <m/>
    <m/>
    <x v="1"/>
    <s v="04316925001001"/>
    <n v="-69.949999999999989"/>
    <n v="2555"/>
    <n v="2"/>
    <n v="1"/>
  </r>
  <r>
    <m/>
    <m/>
    <x v="1"/>
    <s v="04330395001006"/>
    <n v="-36.99"/>
    <n v="1351"/>
    <n v="1"/>
    <n v="1"/>
  </r>
  <r>
    <m/>
    <m/>
    <x v="1"/>
    <s v="04587647002001"/>
    <n v="-47.92"/>
    <n v="1750"/>
    <n v="1"/>
    <n v="1"/>
  </r>
  <r>
    <m/>
    <m/>
    <x v="1"/>
    <s v="04668888001001"/>
    <n v="-24.42"/>
    <n v="892"/>
    <n v="1"/>
    <n v="1"/>
  </r>
  <r>
    <m/>
    <m/>
    <x v="1"/>
    <s v="04767750001002"/>
    <n v="-20.23"/>
    <n v="739"/>
    <n v="1"/>
    <n v="1"/>
  </r>
  <r>
    <m/>
    <m/>
    <x v="1"/>
    <s v="04891223001003"/>
    <n v="-35.07"/>
    <n v="1281"/>
    <n v="1"/>
    <n v="1"/>
  </r>
  <r>
    <m/>
    <m/>
    <x v="1"/>
    <s v="05077769001001"/>
    <n v="-18.95"/>
    <n v="692"/>
    <n v="1"/>
    <n v="1"/>
  </r>
  <r>
    <m/>
    <m/>
    <x v="1"/>
    <s v="05169515001001"/>
    <n v="-13.69"/>
    <n v="500"/>
    <n v="1"/>
    <n v="1"/>
  </r>
  <r>
    <m/>
    <m/>
    <x v="1"/>
    <s v="05415666001005"/>
    <n v="-30.99"/>
    <n v="1132"/>
    <n v="1"/>
    <n v="1"/>
  </r>
  <r>
    <m/>
    <m/>
    <x v="1"/>
    <s v="05776636001001"/>
    <n v="-45.37"/>
    <n v="1657"/>
    <n v="1"/>
    <n v="1"/>
  </r>
  <r>
    <m/>
    <m/>
    <x v="1"/>
    <s v="05861722001003"/>
    <n v="-49.89"/>
    <n v="1822"/>
    <n v="1"/>
    <n v="1"/>
  </r>
  <r>
    <m/>
    <m/>
    <x v="1"/>
    <s v="05896822001001"/>
    <n v="-98.73"/>
    <n v="3606"/>
    <n v="1"/>
    <n v="1"/>
  </r>
  <r>
    <m/>
    <m/>
    <x v="1"/>
    <s v="06014943001001"/>
    <n v="-44.3"/>
    <n v="1618"/>
    <n v="1"/>
    <n v="1"/>
  </r>
  <r>
    <m/>
    <m/>
    <x v="1"/>
    <s v="06437475001006"/>
    <n v="-37.369999999999997"/>
    <n v="1365"/>
    <n v="1"/>
    <n v="1"/>
  </r>
  <r>
    <m/>
    <m/>
    <x v="1"/>
    <s v="06563369001001"/>
    <n v="-39.97"/>
    <n v="1460"/>
    <n v="1"/>
    <n v="1"/>
  </r>
  <r>
    <m/>
    <m/>
    <x v="1"/>
    <s v="06651048001002"/>
    <n v="-55.53"/>
    <n v="2028"/>
    <n v="1"/>
    <n v="1"/>
  </r>
  <r>
    <m/>
    <m/>
    <x v="1"/>
    <s v="06659459001005"/>
    <n v="-35.92"/>
    <n v="1312"/>
    <n v="1"/>
    <n v="1"/>
  </r>
  <r>
    <m/>
    <m/>
    <x v="1"/>
    <s v="06740214001001"/>
    <n v="-16.62"/>
    <n v="607"/>
    <n v="1"/>
    <n v="1"/>
  </r>
  <r>
    <m/>
    <m/>
    <x v="1"/>
    <s v="06785690001004"/>
    <n v="-2.74"/>
    <n v="100"/>
    <n v="1"/>
    <n v="1"/>
  </r>
  <r>
    <m/>
    <m/>
    <x v="1"/>
    <s v="06840429001001"/>
    <n v="-22.81"/>
    <n v="833"/>
    <n v="1"/>
    <n v="1"/>
  </r>
  <r>
    <m/>
    <m/>
    <x v="1"/>
    <s v="06870862001001"/>
    <n v="-42.69"/>
    <n v="1559"/>
    <n v="1"/>
    <n v="1"/>
  </r>
  <r>
    <m/>
    <m/>
    <x v="1"/>
    <s v="07270859001004"/>
    <n v="-16.89"/>
    <n v="617"/>
    <n v="1"/>
    <n v="1"/>
  </r>
  <r>
    <m/>
    <m/>
    <x v="1"/>
    <s v="07299621001001"/>
    <n v="-13.44"/>
    <n v="491"/>
    <n v="1"/>
    <n v="1"/>
  </r>
  <r>
    <m/>
    <m/>
    <x v="1"/>
    <s v="07782109001001"/>
    <n v="-27.9"/>
    <n v="1019"/>
    <n v="1"/>
    <n v="1"/>
  </r>
  <r>
    <m/>
    <m/>
    <x v="1"/>
    <s v="08005911001002"/>
    <n v="-45.86"/>
    <n v="1675"/>
    <n v="1"/>
    <n v="1"/>
  </r>
  <r>
    <m/>
    <m/>
    <x v="1"/>
    <s v="08008932001009"/>
    <n v="-58.29"/>
    <n v="2129"/>
    <n v="1"/>
    <n v="1"/>
  </r>
  <r>
    <m/>
    <m/>
    <x v="1"/>
    <s v="08263254001001"/>
    <n v="-20.07"/>
    <n v="733"/>
    <n v="1"/>
    <n v="1"/>
  </r>
  <r>
    <m/>
    <m/>
    <x v="1"/>
    <s v="08352681002008"/>
    <n v="-32.340000000000003"/>
    <n v="1181"/>
    <n v="1"/>
    <n v="1"/>
  </r>
  <r>
    <m/>
    <m/>
    <x v="1"/>
    <s v="08567574001005"/>
    <n v="-25.82"/>
    <n v="943"/>
    <n v="1"/>
    <n v="1"/>
  </r>
  <r>
    <m/>
    <m/>
    <x v="1"/>
    <s v="08598891001001"/>
    <n v="-10.51"/>
    <n v="384"/>
    <n v="1"/>
    <n v="1"/>
  </r>
  <r>
    <m/>
    <m/>
    <x v="1"/>
    <s v="08606353001001"/>
    <n v="-30.47"/>
    <n v="1113"/>
    <n v="1"/>
    <n v="1"/>
  </r>
  <r>
    <m/>
    <m/>
    <x v="1"/>
    <s v="08685884001001"/>
    <n v="-8.84"/>
    <n v="323"/>
    <n v="1"/>
    <n v="1"/>
  </r>
  <r>
    <m/>
    <m/>
    <x v="1"/>
    <s v="08985843002001"/>
    <n v="-62.13"/>
    <n v="2269"/>
    <n v="1"/>
    <n v="1"/>
  </r>
  <r>
    <m/>
    <m/>
    <x v="1"/>
    <s v="09159151001002"/>
    <n v="-59.8"/>
    <n v="2184"/>
    <n v="1"/>
    <n v="1"/>
  </r>
  <r>
    <m/>
    <m/>
    <x v="1"/>
    <s v="09321662001006"/>
    <n v="-50.02"/>
    <n v="1827"/>
    <n v="1"/>
    <n v="1"/>
  </r>
  <r>
    <m/>
    <m/>
    <x v="1"/>
    <s v="09554541001001"/>
    <n v="-28.01"/>
    <n v="1023"/>
    <n v="1"/>
    <n v="1"/>
  </r>
  <r>
    <m/>
    <m/>
    <x v="1"/>
    <s v="09912352001004"/>
    <n v="-18.04"/>
    <n v="659"/>
    <n v="1"/>
    <n v="1"/>
  </r>
  <r>
    <m/>
    <m/>
    <x v="1"/>
    <s v="09917655001001"/>
    <n v="-50.82"/>
    <n v="1856"/>
    <n v="1"/>
    <n v="1"/>
  </r>
  <r>
    <m/>
    <m/>
    <x v="1"/>
    <s v="10182549001001"/>
    <n v="-39.18"/>
    <n v="1431"/>
    <n v="1"/>
    <n v="1"/>
  </r>
  <r>
    <m/>
    <m/>
    <x v="1"/>
    <s v="10301176001001"/>
    <n v="-5.75"/>
    <n v="210"/>
    <n v="1"/>
    <n v="1"/>
  </r>
  <r>
    <m/>
    <m/>
    <x v="1"/>
    <s v="10344859001004"/>
    <n v="-1.18"/>
    <n v="43"/>
    <n v="1"/>
    <n v="1"/>
  </r>
  <r>
    <m/>
    <m/>
    <x v="1"/>
    <s v="10394731002001"/>
    <n v="-9.77"/>
    <n v="357"/>
    <n v="1"/>
    <n v="1"/>
  </r>
  <r>
    <m/>
    <m/>
    <x v="1"/>
    <s v="10559503001001"/>
    <n v="-27.22"/>
    <n v="994"/>
    <n v="1"/>
    <n v="1"/>
  </r>
  <r>
    <m/>
    <m/>
    <x v="1"/>
    <s v="10636126001004"/>
    <n v="-26.28"/>
    <n v="960"/>
    <n v="1"/>
    <n v="1"/>
  </r>
  <r>
    <m/>
    <m/>
    <x v="1"/>
    <s v="10678960001002"/>
    <n v="-21.19"/>
    <n v="774"/>
    <n v="1"/>
    <n v="1"/>
  </r>
  <r>
    <m/>
    <m/>
    <x v="1"/>
    <s v="10818393001003"/>
    <n v="-2.41"/>
    <n v="88"/>
    <n v="1"/>
    <n v="1"/>
  </r>
  <r>
    <m/>
    <m/>
    <x v="1"/>
    <s v="11044266002005"/>
    <n v="-57.36"/>
    <n v="2095"/>
    <n v="1"/>
    <n v="1"/>
  </r>
  <r>
    <m/>
    <m/>
    <x v="1"/>
    <s v="11073517001003"/>
    <n v="-13.8"/>
    <n v="504"/>
    <n v="1"/>
    <n v="1"/>
  </r>
  <r>
    <m/>
    <m/>
    <x v="1"/>
    <s v="11266870001001"/>
    <n v="-7.45"/>
    <n v="272"/>
    <n v="1"/>
    <n v="1"/>
  </r>
  <r>
    <m/>
    <m/>
    <x v="1"/>
    <s v="11905162001002"/>
    <n v="-1.56"/>
    <n v="57"/>
    <n v="1"/>
    <n v="1"/>
  </r>
  <r>
    <m/>
    <m/>
    <x v="1"/>
    <s v="11913025001002"/>
    <n v="-40.03"/>
    <n v="1462"/>
    <n v="1"/>
    <n v="1"/>
  </r>
  <r>
    <m/>
    <m/>
    <x v="1"/>
    <s v="11917791001004"/>
    <n v="-21.11"/>
    <n v="771"/>
    <n v="1"/>
    <n v="1"/>
  </r>
  <r>
    <m/>
    <m/>
    <x v="1"/>
    <s v="11918881001001"/>
    <n v="-16.649999999999999"/>
    <n v="608"/>
    <n v="1"/>
    <n v="1"/>
  </r>
  <r>
    <m/>
    <m/>
    <x v="1"/>
    <s v="11937030001007"/>
    <n v="-20.149999999999999"/>
    <n v="736"/>
    <n v="1"/>
    <n v="1"/>
  </r>
  <r>
    <m/>
    <m/>
    <x v="1"/>
    <s v="11968828001003"/>
    <n v="-27.43"/>
    <n v="1002"/>
    <n v="1"/>
    <n v="1"/>
  </r>
  <r>
    <m/>
    <m/>
    <x v="1"/>
    <s v="12325069001003"/>
    <n v="-18.43"/>
    <n v="673"/>
    <n v="1"/>
    <n v="1"/>
  </r>
  <r>
    <m/>
    <m/>
    <x v="1"/>
    <s v="12455414001003"/>
    <n v="-30.17"/>
    <n v="1102"/>
    <n v="1"/>
    <n v="1"/>
  </r>
  <r>
    <m/>
    <m/>
    <x v="1"/>
    <s v="12568170001002"/>
    <n v="-36.72"/>
    <n v="1341"/>
    <n v="1"/>
    <n v="1"/>
  </r>
  <r>
    <m/>
    <m/>
    <x v="1"/>
    <s v="12823849001003"/>
    <n v="-33.81"/>
    <n v="1235"/>
    <n v="1"/>
    <n v="1"/>
  </r>
  <r>
    <m/>
    <m/>
    <x v="1"/>
    <s v="12836175001001"/>
    <n v="-75.709999999999994"/>
    <n v="2765"/>
    <n v="1"/>
    <n v="1"/>
  </r>
  <r>
    <m/>
    <m/>
    <x v="1"/>
    <s v="12968693001002"/>
    <n v="-20.100000000000001"/>
    <n v="734"/>
    <n v="1"/>
    <n v="1"/>
  </r>
  <r>
    <m/>
    <m/>
    <x v="1"/>
    <s v="13033808001005"/>
    <n v="-12.79"/>
    <n v="467"/>
    <n v="1"/>
    <n v="1"/>
  </r>
  <r>
    <m/>
    <m/>
    <x v="1"/>
    <s v="13064786005003"/>
    <n v="-8.35"/>
    <n v="305"/>
    <n v="1"/>
    <n v="1"/>
  </r>
  <r>
    <m/>
    <m/>
    <x v="1"/>
    <s v="13074980001004"/>
    <n v="-5.26"/>
    <n v="192"/>
    <n v="1"/>
    <n v="1"/>
  </r>
  <r>
    <m/>
    <m/>
    <x v="1"/>
    <s v="13184132001003"/>
    <n v="-32.42"/>
    <n v="1184"/>
    <n v="1"/>
    <n v="1"/>
  </r>
  <r>
    <m/>
    <m/>
    <x v="1"/>
    <s v="13343334001004"/>
    <n v="-6"/>
    <n v="219"/>
    <n v="1"/>
    <n v="1"/>
  </r>
  <r>
    <m/>
    <m/>
    <x v="1"/>
    <s v="13573194001001"/>
    <n v="-42.06"/>
    <n v="1536"/>
    <n v="1"/>
    <n v="1"/>
  </r>
  <r>
    <m/>
    <m/>
    <x v="1"/>
    <s v="13623153001006"/>
    <n v="-63.52"/>
    <n v="2320"/>
    <n v="1"/>
    <n v="1"/>
  </r>
  <r>
    <m/>
    <m/>
    <x v="1"/>
    <s v="13653453001001"/>
    <n v="-43.04"/>
    <n v="1572"/>
    <n v="1"/>
    <n v="1"/>
  </r>
  <r>
    <m/>
    <m/>
    <x v="1"/>
    <s v="13942590001005"/>
    <n v="-22.92"/>
    <n v="837"/>
    <n v="1"/>
    <n v="1"/>
  </r>
  <r>
    <m/>
    <m/>
    <x v="1"/>
    <s v="14223962001009"/>
    <n v="-16.89"/>
    <n v="617"/>
    <n v="1"/>
    <n v="1"/>
  </r>
  <r>
    <m/>
    <m/>
    <x v="1"/>
    <s v="14533471002003"/>
    <n v="-2.98"/>
    <n v="109"/>
    <n v="1"/>
    <n v="1"/>
  </r>
  <r>
    <m/>
    <m/>
    <x v="1"/>
    <s v="14880751002003"/>
    <n v="-37.32"/>
    <n v="1363"/>
    <n v="1"/>
    <n v="1"/>
  </r>
  <r>
    <m/>
    <m/>
    <x v="1"/>
    <s v="14986800001003"/>
    <n v="-36.14"/>
    <n v="1320"/>
    <n v="1"/>
    <n v="1"/>
  </r>
  <r>
    <m/>
    <m/>
    <x v="1"/>
    <s v="15113741003003"/>
    <n v="-12.79"/>
    <n v="467"/>
    <n v="1"/>
    <n v="1"/>
  </r>
  <r>
    <m/>
    <m/>
    <x v="1"/>
    <s v="15120810001001"/>
    <n v="-4.79"/>
    <n v="175"/>
    <n v="1"/>
    <n v="1"/>
  </r>
  <r>
    <m/>
    <m/>
    <x v="1"/>
    <s v="15150196001001"/>
    <n v="-32.83"/>
    <n v="1199"/>
    <n v="1"/>
    <n v="1"/>
  </r>
  <r>
    <m/>
    <m/>
    <x v="1"/>
    <s v="15171809001001"/>
    <n v="-34.96"/>
    <n v="1277"/>
    <n v="1"/>
    <n v="1"/>
  </r>
  <r>
    <m/>
    <m/>
    <x v="1"/>
    <s v="15210168001005"/>
    <n v="-42.6"/>
    <n v="1556"/>
    <n v="1"/>
    <n v="1"/>
  </r>
  <r>
    <m/>
    <m/>
    <x v="1"/>
    <s v="15330418003001"/>
    <n v="-23.77"/>
    <n v="868"/>
    <n v="1"/>
    <n v="1"/>
  </r>
  <r>
    <m/>
    <m/>
    <x v="1"/>
    <s v="15433507001001"/>
    <n v="-4.24"/>
    <n v="155"/>
    <n v="1"/>
    <n v="1"/>
  </r>
  <r>
    <m/>
    <m/>
    <x v="1"/>
    <s v="15503453001003"/>
    <n v="-90.93"/>
    <n v="3321"/>
    <n v="1"/>
    <n v="1"/>
  </r>
  <r>
    <m/>
    <m/>
    <x v="1"/>
    <s v="15572981001001"/>
    <n v="-25.96"/>
    <n v="948"/>
    <n v="1"/>
    <n v="1"/>
  </r>
  <r>
    <m/>
    <m/>
    <x v="1"/>
    <s v="15769056001001"/>
    <n v="-24.59"/>
    <n v="898"/>
    <n v="1"/>
    <n v="1"/>
  </r>
  <r>
    <m/>
    <m/>
    <x v="1"/>
    <s v="15908468001001"/>
    <n v="-48.41"/>
    <n v="1768"/>
    <n v="1"/>
    <n v="1"/>
  </r>
  <r>
    <m/>
    <m/>
    <x v="1"/>
    <s v="15945184001001"/>
    <n v="-10.4"/>
    <n v="380"/>
    <n v="1"/>
    <n v="1"/>
  </r>
  <r>
    <m/>
    <m/>
    <x v="1"/>
    <s v="16709268001002"/>
    <n v="-30.53"/>
    <n v="1115"/>
    <n v="1"/>
    <n v="1"/>
  </r>
  <r>
    <m/>
    <m/>
    <x v="1"/>
    <s v="16766325001001"/>
    <n v="-21.96"/>
    <n v="802"/>
    <n v="1"/>
    <n v="1"/>
  </r>
  <r>
    <m/>
    <m/>
    <x v="1"/>
    <s v="16910854001003"/>
    <n v="-24.29"/>
    <n v="887"/>
    <n v="1"/>
    <n v="1"/>
  </r>
  <r>
    <m/>
    <m/>
    <x v="1"/>
    <s v="16954651006001"/>
    <n v="-6"/>
    <n v="219"/>
    <n v="1"/>
    <n v="1"/>
  </r>
  <r>
    <m/>
    <m/>
    <x v="1"/>
    <s v="16955898001003"/>
    <n v="-29.16"/>
    <n v="1065"/>
    <n v="1"/>
    <n v="1"/>
  </r>
  <r>
    <m/>
    <m/>
    <x v="1"/>
    <s v="17064549001001"/>
    <n v="-54.9"/>
    <n v="2005"/>
    <n v="1"/>
    <n v="1"/>
  </r>
  <r>
    <m/>
    <m/>
    <x v="1"/>
    <s v="17226786001001"/>
    <n v="-10.1"/>
    <n v="369"/>
    <n v="1"/>
    <n v="1"/>
  </r>
  <r>
    <m/>
    <m/>
    <x v="1"/>
    <s v="17540542001001"/>
    <n v="-58.16"/>
    <n v="2124"/>
    <n v="1"/>
    <n v="1"/>
  </r>
  <r>
    <m/>
    <m/>
    <x v="1"/>
    <s v="17581646001002"/>
    <n v="-4.63"/>
    <n v="169"/>
    <n v="1"/>
    <n v="1"/>
  </r>
  <r>
    <m/>
    <m/>
    <x v="1"/>
    <s v="18002664001003"/>
    <n v="-13.09"/>
    <n v="478"/>
    <n v="1"/>
    <n v="1"/>
  </r>
  <r>
    <m/>
    <m/>
    <x v="1"/>
    <s v="18140709001008"/>
    <n v="-50.43"/>
    <n v="1842"/>
    <n v="1"/>
    <n v="1"/>
  </r>
  <r>
    <m/>
    <m/>
    <x v="1"/>
    <s v="18387937001003"/>
    <n v="-39.92"/>
    <n v="1458"/>
    <n v="1"/>
    <n v="1"/>
  </r>
  <r>
    <m/>
    <m/>
    <x v="1"/>
    <s v="18519490001001"/>
    <n v="-66.37"/>
    <n v="2424"/>
    <n v="1"/>
    <n v="1"/>
  </r>
  <r>
    <m/>
    <m/>
    <x v="1"/>
    <s v="18598550001004"/>
    <n v="-7.75"/>
    <n v="283"/>
    <n v="1"/>
    <n v="1"/>
  </r>
  <r>
    <m/>
    <m/>
    <x v="1"/>
    <s v="18733572001003"/>
    <n v="-49.67"/>
    <n v="1814"/>
    <n v="1"/>
    <n v="1"/>
  </r>
  <r>
    <m/>
    <m/>
    <x v="1"/>
    <s v="18997905001003"/>
    <n v="-40.630000000000003"/>
    <n v="1484"/>
    <n v="1"/>
    <n v="1"/>
  </r>
  <r>
    <m/>
    <m/>
    <x v="1"/>
    <s v="19092898002001"/>
    <n v="-4.46"/>
    <n v="163"/>
    <n v="1"/>
    <n v="1"/>
  </r>
  <r>
    <m/>
    <m/>
    <x v="1"/>
    <s v="19156129001001"/>
    <n v="-30.47"/>
    <n v="1113"/>
    <n v="1"/>
    <n v="1"/>
  </r>
  <r>
    <m/>
    <m/>
    <x v="1"/>
    <s v="19264796002001"/>
    <n v="-31.54"/>
    <n v="1152"/>
    <n v="1"/>
    <n v="1"/>
  </r>
  <r>
    <m/>
    <m/>
    <x v="1"/>
    <s v="19625257001005"/>
    <n v="-59.36"/>
    <n v="2168"/>
    <n v="1"/>
    <n v="1"/>
  </r>
  <r>
    <m/>
    <m/>
    <x v="1"/>
    <s v="20242520001001"/>
    <n v="-13.69"/>
    <n v="500"/>
    <n v="1"/>
    <n v="1"/>
  </r>
  <r>
    <m/>
    <m/>
    <x v="1"/>
    <s v="20263571001001"/>
    <n v="-11.36"/>
    <n v="415"/>
    <n v="1"/>
    <n v="1"/>
  </r>
  <r>
    <m/>
    <m/>
    <x v="1"/>
    <s v="20283219003003"/>
    <n v="-55.14"/>
    <n v="2014"/>
    <n v="1"/>
    <n v="1"/>
  </r>
  <r>
    <m/>
    <m/>
    <x v="1"/>
    <s v="20367566001001"/>
    <n v="-60.4"/>
    <n v="2206"/>
    <n v="1"/>
    <n v="1"/>
  </r>
  <r>
    <m/>
    <m/>
    <x v="1"/>
    <s v="20416812001003"/>
    <n v="-24.92"/>
    <n v="910"/>
    <n v="1"/>
    <n v="1"/>
  </r>
  <r>
    <m/>
    <m/>
    <x v="1"/>
    <s v="20480851001001"/>
    <n v="-21.06"/>
    <n v="769"/>
    <n v="1"/>
    <n v="1"/>
  </r>
  <r>
    <m/>
    <m/>
    <x v="1"/>
    <s v="20683934001002"/>
    <n v="-31.1"/>
    <n v="1136"/>
    <n v="1"/>
    <n v="1"/>
  </r>
  <r>
    <m/>
    <m/>
    <x v="1"/>
    <s v="20802406001001"/>
    <n v="-19"/>
    <n v="694"/>
    <n v="1"/>
    <n v="1"/>
  </r>
  <r>
    <m/>
    <m/>
    <x v="1"/>
    <s v="21045838003008"/>
    <n v="-38.11"/>
    <n v="1392"/>
    <n v="1"/>
    <n v="1"/>
  </r>
  <r>
    <m/>
    <m/>
    <x v="1"/>
    <s v="21046205001001"/>
    <n v="-2.27"/>
    <n v="83"/>
    <n v="1"/>
    <n v="1"/>
  </r>
  <r>
    <m/>
    <m/>
    <x v="1"/>
    <s v="21219326001001"/>
    <n v="-116.31"/>
    <n v="4248"/>
    <n v="1"/>
    <n v="1"/>
  </r>
  <r>
    <m/>
    <m/>
    <x v="1"/>
    <s v="21418321004001"/>
    <n v="-7.75"/>
    <n v="283"/>
    <n v="1"/>
    <n v="1"/>
  </r>
  <r>
    <m/>
    <m/>
    <x v="1"/>
    <s v="21429755001006"/>
    <n v="-9.99"/>
    <n v="365"/>
    <n v="1"/>
    <n v="1"/>
  </r>
  <r>
    <m/>
    <m/>
    <x v="1"/>
    <s v="21530313001003"/>
    <n v="-18.149999999999999"/>
    <n v="663"/>
    <n v="1"/>
    <n v="1"/>
  </r>
  <r>
    <m/>
    <m/>
    <x v="1"/>
    <s v="21809926001003"/>
    <n v="-18.32"/>
    <n v="669"/>
    <n v="1"/>
    <n v="1"/>
  </r>
  <r>
    <m/>
    <m/>
    <x v="1"/>
    <s v="21943625001001"/>
    <n v="-15.61"/>
    <n v="570"/>
    <n v="1"/>
    <n v="1"/>
  </r>
  <r>
    <m/>
    <m/>
    <x v="1"/>
    <s v="22106063002001"/>
    <n v="-31.71"/>
    <n v="1158"/>
    <n v="1"/>
    <n v="1"/>
  </r>
  <r>
    <m/>
    <m/>
    <x v="1"/>
    <s v="22358815001001"/>
    <n v="-5.86"/>
    <n v="214"/>
    <n v="1"/>
    <n v="1"/>
  </r>
  <r>
    <m/>
    <m/>
    <x v="1"/>
    <s v="22380133001001"/>
    <n v="-39.76"/>
    <n v="1452"/>
    <n v="1"/>
    <n v="1"/>
  </r>
  <r>
    <m/>
    <m/>
    <x v="1"/>
    <s v="22617306001001"/>
    <n v="-17.82"/>
    <n v="651"/>
    <n v="1"/>
    <n v="1"/>
  </r>
  <r>
    <m/>
    <m/>
    <x v="1"/>
    <s v="22642605006001"/>
    <n v="-68.37"/>
    <n v="2497"/>
    <n v="1"/>
    <n v="1"/>
  </r>
  <r>
    <m/>
    <m/>
    <x v="1"/>
    <s v="22784555001001"/>
    <n v="-26.94"/>
    <n v="984"/>
    <n v="1"/>
    <n v="1"/>
  </r>
  <r>
    <m/>
    <m/>
    <x v="1"/>
    <s v="22793293001002"/>
    <n v="-9.4499999999999993"/>
    <n v="345"/>
    <n v="1"/>
    <n v="1"/>
  </r>
  <r>
    <m/>
    <m/>
    <x v="1"/>
    <s v="22837225001002"/>
    <n v="-30.31"/>
    <n v="1107"/>
    <n v="1"/>
    <n v="1"/>
  </r>
  <r>
    <m/>
    <m/>
    <x v="1"/>
    <s v="22849605001001"/>
    <n v="-75.209999999999994"/>
    <n v="2747"/>
    <n v="1"/>
    <n v="1"/>
  </r>
  <r>
    <m/>
    <m/>
    <x v="1"/>
    <s v="23176970001001"/>
    <n v="-39.1"/>
    <n v="1428"/>
    <n v="1"/>
    <n v="1"/>
  </r>
  <r>
    <m/>
    <m/>
    <x v="1"/>
    <s v="23407345001001"/>
    <n v="-24.72"/>
    <n v="903"/>
    <n v="1"/>
    <n v="1"/>
  </r>
  <r>
    <m/>
    <m/>
    <x v="1"/>
    <s v="23572773001002"/>
    <n v="-24.89"/>
    <n v="909"/>
    <n v="1"/>
    <n v="1"/>
  </r>
  <r>
    <m/>
    <m/>
    <x v="1"/>
    <s v="23628172001004"/>
    <n v="-52.65"/>
    <n v="1923"/>
    <n v="1"/>
    <n v="1"/>
  </r>
  <r>
    <m/>
    <m/>
    <x v="1"/>
    <s v="24288214001003"/>
    <n v="-25.96"/>
    <n v="948"/>
    <n v="1"/>
    <n v="1"/>
  </r>
  <r>
    <m/>
    <m/>
    <x v="1"/>
    <s v="24488041001001"/>
    <n v="-35.049999999999997"/>
    <n v="1280"/>
    <n v="1"/>
    <n v="1"/>
  </r>
  <r>
    <m/>
    <m/>
    <x v="1"/>
    <s v="24497890004003"/>
    <n v="-10.68"/>
    <n v="390"/>
    <n v="1"/>
    <n v="1"/>
  </r>
  <r>
    <m/>
    <m/>
    <x v="1"/>
    <s v="24516542001001"/>
    <n v="-11.12"/>
    <n v="406"/>
    <n v="1"/>
    <n v="1"/>
  </r>
  <r>
    <m/>
    <m/>
    <x v="1"/>
    <s v="24596484001001"/>
    <n v="-5.83"/>
    <n v="213"/>
    <n v="1"/>
    <n v="1"/>
  </r>
  <r>
    <m/>
    <m/>
    <x v="1"/>
    <s v="24717192001004"/>
    <n v="-27.63"/>
    <n v="1009"/>
    <n v="1"/>
    <n v="1"/>
  </r>
  <r>
    <m/>
    <m/>
    <x v="1"/>
    <s v="24897958001001"/>
    <n v="-22.23"/>
    <n v="812"/>
    <n v="1"/>
    <n v="1"/>
  </r>
  <r>
    <m/>
    <m/>
    <x v="1"/>
    <s v="25004556001001"/>
    <n v="-49.8"/>
    <n v="1819"/>
    <n v="1"/>
    <n v="1"/>
  </r>
  <r>
    <m/>
    <m/>
    <x v="1"/>
    <s v="25126731001002"/>
    <n v="-26.7"/>
    <n v="975"/>
    <n v="1"/>
    <n v="1"/>
  </r>
  <r>
    <m/>
    <m/>
    <x v="1"/>
    <s v="25549425001001"/>
    <n v="-67.709999999999994"/>
    <n v="2473"/>
    <n v="1"/>
    <n v="1"/>
  </r>
  <r>
    <m/>
    <m/>
    <x v="1"/>
    <s v="25577769001001"/>
    <n v="-0.33"/>
    <n v="12"/>
    <n v="1"/>
    <n v="1"/>
  </r>
  <r>
    <m/>
    <m/>
    <x v="1"/>
    <s v="25747866004001"/>
    <n v="-0.08"/>
    <n v="3"/>
    <n v="1"/>
    <n v="1"/>
  </r>
  <r>
    <m/>
    <m/>
    <x v="1"/>
    <s v="25782349001008"/>
    <n v="-1.59"/>
    <n v="58"/>
    <n v="1"/>
    <n v="1"/>
  </r>
  <r>
    <m/>
    <m/>
    <x v="1"/>
    <s v="25810340001001"/>
    <n v="-61.5"/>
    <n v="2246"/>
    <n v="1"/>
    <n v="1"/>
  </r>
  <r>
    <m/>
    <m/>
    <x v="1"/>
    <s v="25915661001001"/>
    <n v="-51.42"/>
    <n v="1878"/>
    <n v="1"/>
    <n v="1"/>
  </r>
  <r>
    <m/>
    <m/>
    <x v="1"/>
    <s v="26054021001002"/>
    <n v="-19.079999999999998"/>
    <n v="697"/>
    <n v="1"/>
    <n v="1"/>
  </r>
  <r>
    <m/>
    <m/>
    <x v="1"/>
    <s v="26083422001005"/>
    <n v="-13.06"/>
    <n v="477"/>
    <n v="1"/>
    <n v="1"/>
  </r>
  <r>
    <m/>
    <m/>
    <x v="1"/>
    <s v="26176102001007"/>
    <n v="-5.12"/>
    <n v="187"/>
    <n v="1"/>
    <n v="1"/>
  </r>
  <r>
    <m/>
    <m/>
    <x v="1"/>
    <s v="26300310001002"/>
    <n v="-4.4400000000000004"/>
    <n v="162"/>
    <n v="1"/>
    <n v="1"/>
  </r>
  <r>
    <m/>
    <m/>
    <x v="1"/>
    <s v="26369110002001"/>
    <n v="-47.53"/>
    <n v="1736"/>
    <n v="1"/>
    <n v="1"/>
  </r>
  <r>
    <m/>
    <m/>
    <x v="1"/>
    <s v="26406770002001"/>
    <n v="-41.54"/>
    <n v="1517"/>
    <n v="1"/>
    <n v="1"/>
  </r>
  <r>
    <m/>
    <m/>
    <x v="1"/>
    <s v="26564429001001"/>
    <n v="-2.71"/>
    <n v="99"/>
    <n v="1"/>
    <n v="1"/>
  </r>
  <r>
    <m/>
    <m/>
    <x v="1"/>
    <s v="26702999001001"/>
    <n v="-36.22"/>
    <n v="1323"/>
    <n v="1"/>
    <n v="1"/>
  </r>
  <r>
    <m/>
    <m/>
    <x v="1"/>
    <s v="26826704001001"/>
    <n v="-44"/>
    <n v="1607"/>
    <n v="1"/>
    <n v="1"/>
  </r>
  <r>
    <m/>
    <m/>
    <x v="1"/>
    <s v="27035079002007"/>
    <n v="-11.01"/>
    <n v="402"/>
    <n v="1"/>
    <n v="1"/>
  </r>
  <r>
    <m/>
    <m/>
    <x v="1"/>
    <s v="27356342001008"/>
    <n v="-22.73"/>
    <n v="830"/>
    <n v="1"/>
    <n v="1"/>
  </r>
  <r>
    <m/>
    <m/>
    <x v="1"/>
    <s v="27378709001002"/>
    <n v="-46.96"/>
    <n v="1715"/>
    <n v="1"/>
    <n v="1"/>
  </r>
  <r>
    <m/>
    <m/>
    <x v="1"/>
    <s v="27457180001003"/>
    <n v="-35.21"/>
    <n v="1286"/>
    <n v="1"/>
    <n v="1"/>
  </r>
  <r>
    <m/>
    <m/>
    <x v="1"/>
    <s v="27492583001002"/>
    <n v="-12.27"/>
    <n v="448"/>
    <n v="1"/>
    <n v="1"/>
  </r>
  <r>
    <m/>
    <m/>
    <x v="1"/>
    <s v="27623010002002"/>
    <n v="-17.690000000000001"/>
    <n v="646"/>
    <n v="1"/>
    <n v="1"/>
  </r>
  <r>
    <m/>
    <m/>
    <x v="1"/>
    <s v="27757021006001"/>
    <n v="-24.61"/>
    <n v="899"/>
    <n v="1"/>
    <n v="1"/>
  </r>
  <r>
    <m/>
    <m/>
    <x v="1"/>
    <s v="27759845001003"/>
    <n v="-41.56"/>
    <n v="1518"/>
    <n v="1"/>
    <n v="1"/>
  </r>
  <r>
    <m/>
    <m/>
    <x v="1"/>
    <s v="27949688001001"/>
    <n v="-36.83"/>
    <n v="1345"/>
    <n v="1"/>
    <n v="1"/>
  </r>
  <r>
    <m/>
    <m/>
    <x v="1"/>
    <s v="27986038001001"/>
    <n v="-90.76"/>
    <n v="3315"/>
    <n v="1"/>
    <n v="1"/>
  </r>
  <r>
    <m/>
    <m/>
    <x v="1"/>
    <s v="27991196001001"/>
    <n v="-26.07"/>
    <n v="952"/>
    <n v="1"/>
    <n v="1"/>
  </r>
  <r>
    <m/>
    <m/>
    <x v="1"/>
    <s v="28227700001002"/>
    <n v="-29.87"/>
    <n v="1091"/>
    <n v="1"/>
    <n v="1"/>
  </r>
  <r>
    <m/>
    <m/>
    <x v="1"/>
    <s v="28293045001006"/>
    <n v="-9.58"/>
    <n v="350"/>
    <n v="1"/>
    <n v="1"/>
  </r>
  <r>
    <m/>
    <m/>
    <x v="1"/>
    <s v="28477040001004"/>
    <n v="-13.47"/>
    <n v="492"/>
    <n v="1"/>
    <n v="1"/>
  </r>
  <r>
    <m/>
    <m/>
    <x v="1"/>
    <s v="28758621002006"/>
    <n v="-11.34"/>
    <n v="414"/>
    <n v="1"/>
    <n v="1"/>
  </r>
  <r>
    <m/>
    <m/>
    <x v="1"/>
    <s v="28937856003001"/>
    <n v="-34.83"/>
    <n v="1272"/>
    <n v="1"/>
    <n v="1"/>
  </r>
  <r>
    <m/>
    <m/>
    <x v="1"/>
    <s v="29786462001001"/>
    <n v="-30.86"/>
    <n v="1127"/>
    <n v="1"/>
    <n v="1"/>
  </r>
  <r>
    <m/>
    <m/>
    <x v="1"/>
    <s v="30127101002001"/>
    <n v="-11.28"/>
    <n v="412"/>
    <n v="1"/>
    <n v="1"/>
  </r>
  <r>
    <m/>
    <m/>
    <x v="1"/>
    <s v="30133433001001"/>
    <n v="-43.92"/>
    <n v="1604"/>
    <n v="1"/>
    <n v="1"/>
  </r>
  <r>
    <m/>
    <m/>
    <x v="1"/>
    <s v="30249803005001"/>
    <n v="-40.14"/>
    <n v="1466"/>
    <n v="1"/>
    <n v="1"/>
  </r>
  <r>
    <m/>
    <m/>
    <x v="1"/>
    <s v="30842696001001"/>
    <n v="-28.28"/>
    <n v="1033"/>
    <n v="1"/>
    <n v="1"/>
  </r>
  <r>
    <m/>
    <m/>
    <x v="1"/>
    <s v="30947723001004"/>
    <n v="-43.51"/>
    <n v="1589"/>
    <n v="1"/>
    <n v="1"/>
  </r>
  <r>
    <m/>
    <m/>
    <x v="1"/>
    <s v="31266211001004"/>
    <n v="-40.36"/>
    <n v="1474"/>
    <n v="1"/>
    <n v="1"/>
  </r>
  <r>
    <m/>
    <m/>
    <x v="1"/>
    <s v="31309940001001"/>
    <n v="-32.42"/>
    <n v="1184"/>
    <n v="1"/>
    <n v="1"/>
  </r>
  <r>
    <m/>
    <m/>
    <x v="1"/>
    <s v="31641990001004"/>
    <n v="-51.8"/>
    <n v="1892"/>
    <n v="1"/>
    <n v="1"/>
  </r>
  <r>
    <m/>
    <m/>
    <x v="1"/>
    <s v="31945371001001"/>
    <n v="-19.93"/>
    <n v="728"/>
    <n v="1"/>
    <n v="1"/>
  </r>
  <r>
    <m/>
    <m/>
    <x v="1"/>
    <s v="32202242001001"/>
    <n v="-12.4"/>
    <n v="453"/>
    <n v="1"/>
    <n v="1"/>
  </r>
  <r>
    <m/>
    <m/>
    <x v="1"/>
    <s v="32579187001001"/>
    <n v="-13.22"/>
    <n v="483"/>
    <n v="1"/>
    <n v="1"/>
  </r>
  <r>
    <m/>
    <m/>
    <x v="1"/>
    <s v="32822815001001"/>
    <n v="-33.700000000000003"/>
    <n v="1231"/>
    <n v="1"/>
    <n v="1"/>
  </r>
  <r>
    <m/>
    <m/>
    <x v="1"/>
    <s v="32893706001001"/>
    <n v="-1.72"/>
    <n v="63"/>
    <n v="1"/>
    <n v="1"/>
  </r>
  <r>
    <m/>
    <m/>
    <x v="1"/>
    <s v="32974621002003"/>
    <n v="-28.56"/>
    <n v="1043"/>
    <n v="1"/>
    <n v="1"/>
  </r>
  <r>
    <m/>
    <m/>
    <x v="1"/>
    <s v="32981616001003"/>
    <n v="-20.43"/>
    <n v="746"/>
    <n v="1"/>
    <n v="1"/>
  </r>
  <r>
    <m/>
    <m/>
    <x v="1"/>
    <s v="33406654004008"/>
    <n v="-36.22"/>
    <n v="1323"/>
    <n v="1"/>
    <n v="1"/>
  </r>
  <r>
    <m/>
    <m/>
    <x v="1"/>
    <s v="33550060001001"/>
    <n v="-22.7"/>
    <n v="829"/>
    <n v="1"/>
    <n v="1"/>
  </r>
  <r>
    <m/>
    <m/>
    <x v="1"/>
    <s v="33599323001007"/>
    <n v="-27.38"/>
    <n v="1000"/>
    <n v="1"/>
    <n v="1"/>
  </r>
  <r>
    <m/>
    <m/>
    <x v="1"/>
    <s v="33610753004001"/>
    <n v="-74.56"/>
    <n v="2723"/>
    <n v="1"/>
    <n v="1"/>
  </r>
  <r>
    <m/>
    <m/>
    <x v="1"/>
    <s v="33642246001005"/>
    <n v="-21.38"/>
    <n v="781"/>
    <n v="1"/>
    <n v="1"/>
  </r>
  <r>
    <m/>
    <m/>
    <x v="1"/>
    <s v="33687453001001"/>
    <n v="-47.86"/>
    <n v="1748"/>
    <n v="1"/>
    <n v="1"/>
  </r>
  <r>
    <m/>
    <m/>
    <x v="1"/>
    <s v="33824960001003"/>
    <n v="-39.590000000000003"/>
    <n v="1446"/>
    <n v="1"/>
    <n v="1"/>
  </r>
  <r>
    <m/>
    <m/>
    <x v="1"/>
    <s v="33829956002003"/>
    <n v="-32.39"/>
    <n v="1183"/>
    <n v="1"/>
    <n v="1"/>
  </r>
  <r>
    <m/>
    <m/>
    <x v="1"/>
    <s v="33918140005001"/>
    <n v="-52.49"/>
    <n v="1917"/>
    <n v="1"/>
    <n v="1"/>
  </r>
  <r>
    <m/>
    <m/>
    <x v="1"/>
    <s v="34024657001003"/>
    <n v="-106.95"/>
    <n v="3906"/>
    <n v="1"/>
    <n v="1"/>
  </r>
  <r>
    <m/>
    <m/>
    <x v="1"/>
    <s v="34181343001001"/>
    <n v="-36.909999999999997"/>
    <n v="1348"/>
    <n v="1"/>
    <n v="1"/>
  </r>
  <r>
    <m/>
    <m/>
    <x v="1"/>
    <s v="34494485004001"/>
    <n v="-61.66"/>
    <n v="2252"/>
    <n v="1"/>
    <n v="1"/>
  </r>
  <r>
    <m/>
    <m/>
    <x v="1"/>
    <s v="34671364002001"/>
    <n v="-15.31"/>
    <n v="559"/>
    <n v="1"/>
    <n v="1"/>
  </r>
  <r>
    <m/>
    <m/>
    <x v="1"/>
    <s v="34758238001001"/>
    <n v="-18.13"/>
    <n v="662"/>
    <n v="1"/>
    <n v="1"/>
  </r>
  <r>
    <m/>
    <m/>
    <x v="1"/>
    <s v="34795801001004"/>
    <n v="-0.52"/>
    <n v="19"/>
    <n v="1"/>
    <n v="1"/>
  </r>
  <r>
    <m/>
    <m/>
    <x v="1"/>
    <s v="34861184002001"/>
    <n v="-81.73"/>
    <n v="2985"/>
    <n v="1"/>
    <n v="1"/>
  </r>
  <r>
    <m/>
    <m/>
    <x v="1"/>
    <s v="34874155001002"/>
    <n v="-13.72"/>
    <n v="501"/>
    <n v="1"/>
    <n v="1"/>
  </r>
  <r>
    <m/>
    <m/>
    <x v="1"/>
    <s v="35696004001001"/>
    <n v="-68.56"/>
    <n v="2504"/>
    <n v="1"/>
    <n v="1"/>
  </r>
  <r>
    <m/>
    <m/>
    <x v="1"/>
    <s v="35707173001005"/>
    <n v="-30.72"/>
    <n v="1122"/>
    <n v="1"/>
    <n v="1"/>
  </r>
  <r>
    <m/>
    <m/>
    <x v="1"/>
    <s v="35934041001007"/>
    <n v="-7.26"/>
    <n v="265"/>
    <n v="1"/>
    <n v="1"/>
  </r>
  <r>
    <m/>
    <m/>
    <x v="1"/>
    <s v="35958850001005"/>
    <n v="-10.87"/>
    <n v="397"/>
    <n v="1"/>
    <n v="1"/>
  </r>
  <r>
    <m/>
    <m/>
    <x v="1"/>
    <s v="35994242001002"/>
    <n v="-38.36"/>
    <n v="1401"/>
    <n v="1"/>
    <n v="1"/>
  </r>
  <r>
    <m/>
    <m/>
    <x v="1"/>
    <s v="36008083001001"/>
    <n v="-35.79"/>
    <n v="1307"/>
    <n v="1"/>
    <n v="1"/>
  </r>
  <r>
    <m/>
    <m/>
    <x v="1"/>
    <s v="36103245002011"/>
    <n v="-70.069999999999993"/>
    <n v="2559"/>
    <n v="1"/>
    <n v="1"/>
  </r>
  <r>
    <m/>
    <m/>
    <x v="1"/>
    <s v="36178447001001"/>
    <n v="-23.08"/>
    <n v="843"/>
    <n v="1"/>
    <n v="1"/>
  </r>
  <r>
    <m/>
    <m/>
    <x v="1"/>
    <s v="36557126001001"/>
    <n v="-6.82"/>
    <n v="249"/>
    <n v="1"/>
    <n v="1"/>
  </r>
  <r>
    <m/>
    <m/>
    <x v="1"/>
    <s v="36713764001001"/>
    <n v="-33.6"/>
    <n v="1227"/>
    <n v="1"/>
    <n v="1"/>
  </r>
  <r>
    <m/>
    <m/>
    <x v="1"/>
    <s v="37389778001008"/>
    <n v="-5.04"/>
    <n v="184"/>
    <n v="1"/>
    <n v="1"/>
  </r>
  <r>
    <m/>
    <m/>
    <x v="1"/>
    <s v="37403625004001"/>
    <n v="-64.7"/>
    <n v="2363"/>
    <n v="1"/>
    <n v="1"/>
  </r>
  <r>
    <m/>
    <m/>
    <x v="1"/>
    <s v="37546855001001"/>
    <n v="-27.63"/>
    <n v="1009"/>
    <n v="1"/>
    <n v="1"/>
  </r>
  <r>
    <m/>
    <m/>
    <x v="1"/>
    <s v="37562851001001"/>
    <n v="-30.23"/>
    <n v="1104"/>
    <n v="1"/>
    <n v="1"/>
  </r>
  <r>
    <m/>
    <m/>
    <x v="1"/>
    <s v="37568875001003"/>
    <n v="-12.35"/>
    <n v="451"/>
    <n v="1"/>
    <n v="1"/>
  </r>
  <r>
    <m/>
    <m/>
    <x v="1"/>
    <s v="37597820001001"/>
    <n v="-42.33"/>
    <n v="1546"/>
    <n v="1"/>
    <n v="1"/>
  </r>
  <r>
    <m/>
    <m/>
    <x v="1"/>
    <s v="37726680001001"/>
    <n v="-66.400000000000006"/>
    <n v="2425"/>
    <n v="1"/>
    <n v="1"/>
  </r>
  <r>
    <m/>
    <m/>
    <x v="1"/>
    <s v="37921865001003"/>
    <n v="-5.48"/>
    <n v="200"/>
    <n v="1"/>
    <n v="1"/>
  </r>
  <r>
    <m/>
    <m/>
    <x v="1"/>
    <s v="38003358004003"/>
    <n v="-24.53"/>
    <n v="896"/>
    <n v="1"/>
    <n v="1"/>
  </r>
  <r>
    <m/>
    <m/>
    <x v="1"/>
    <s v="38014563001003"/>
    <n v="-51.06"/>
    <n v="1865"/>
    <n v="1"/>
    <n v="1"/>
  </r>
  <r>
    <m/>
    <m/>
    <x v="1"/>
    <s v="38075496001014"/>
    <n v="-48.71"/>
    <n v="1779"/>
    <n v="1"/>
    <n v="1"/>
  </r>
  <r>
    <m/>
    <m/>
    <x v="1"/>
    <s v="38132797001001"/>
    <n v="-75.489999999999995"/>
    <n v="2757"/>
    <n v="1"/>
    <n v="1"/>
  </r>
  <r>
    <m/>
    <m/>
    <x v="1"/>
    <s v="38169778001001"/>
    <n v="-37.729999999999997"/>
    <n v="1378"/>
    <n v="1"/>
    <n v="1"/>
  </r>
  <r>
    <m/>
    <m/>
    <x v="1"/>
    <s v="38245625004003"/>
    <n v="-70.86"/>
    <n v="2588"/>
    <n v="1"/>
    <n v="1"/>
  </r>
  <r>
    <m/>
    <m/>
    <x v="1"/>
    <s v="38301543001001"/>
    <n v="-42.47"/>
    <n v="1551"/>
    <n v="1"/>
    <n v="1"/>
  </r>
  <r>
    <m/>
    <m/>
    <x v="1"/>
    <s v="38431217001001"/>
    <n v="-40.909999999999997"/>
    <n v="1494"/>
    <n v="1"/>
    <n v="1"/>
  </r>
  <r>
    <m/>
    <m/>
    <x v="1"/>
    <s v="38815004001003"/>
    <n v="-22.26"/>
    <n v="813"/>
    <n v="1"/>
    <n v="1"/>
  </r>
  <r>
    <m/>
    <m/>
    <x v="1"/>
    <s v="39306286001005"/>
    <n v="-17.61"/>
    <n v="643"/>
    <n v="1"/>
    <n v="1"/>
  </r>
  <r>
    <m/>
    <m/>
    <x v="1"/>
    <s v="39314816001001"/>
    <n v="-2.38"/>
    <n v="87"/>
    <n v="1"/>
    <n v="1"/>
  </r>
  <r>
    <m/>
    <m/>
    <x v="1"/>
    <s v="39322194001002"/>
    <n v="-35.979999999999997"/>
    <n v="1314"/>
    <n v="1"/>
    <n v="1"/>
  </r>
  <r>
    <m/>
    <m/>
    <x v="1"/>
    <s v="39784238001001"/>
    <n v="-27.79"/>
    <n v="1015"/>
    <n v="1"/>
    <n v="1"/>
  </r>
  <r>
    <m/>
    <m/>
    <x v="1"/>
    <s v="39860007001003"/>
    <n v="-22.83"/>
    <n v="834"/>
    <n v="1"/>
    <n v="1"/>
  </r>
  <r>
    <m/>
    <m/>
    <x v="1"/>
    <s v="40054017001004"/>
    <n v="-26.64"/>
    <n v="973"/>
    <n v="1"/>
    <n v="1"/>
  </r>
  <r>
    <m/>
    <m/>
    <x v="1"/>
    <s v="40139824001001"/>
    <n v="-19.93"/>
    <n v="728"/>
    <n v="1"/>
    <n v="1"/>
  </r>
  <r>
    <m/>
    <m/>
    <x v="1"/>
    <s v="40187844001001"/>
    <n v="-8.2100000000000009"/>
    <n v="300"/>
    <n v="1"/>
    <n v="1"/>
  </r>
  <r>
    <m/>
    <m/>
    <x v="1"/>
    <s v="40302520001002"/>
    <n v="-7.99"/>
    <n v="292"/>
    <n v="1"/>
    <n v="1"/>
  </r>
  <r>
    <m/>
    <m/>
    <x v="1"/>
    <s v="40601469001003"/>
    <n v="-48.98"/>
    <n v="1789"/>
    <n v="1"/>
    <n v="1"/>
  </r>
  <r>
    <m/>
    <m/>
    <x v="1"/>
    <s v="40694900001003"/>
    <n v="-15.52"/>
    <n v="567"/>
    <n v="1"/>
    <n v="1"/>
  </r>
  <r>
    <m/>
    <m/>
    <x v="1"/>
    <s v="40702084001003"/>
    <n v="-27.87"/>
    <n v="1018"/>
    <n v="1"/>
    <n v="1"/>
  </r>
  <r>
    <m/>
    <m/>
    <x v="1"/>
    <s v="40821513003001"/>
    <n v="-30.25"/>
    <n v="1105"/>
    <n v="1"/>
    <n v="1"/>
  </r>
  <r>
    <m/>
    <m/>
    <x v="1"/>
    <s v="40913214001003"/>
    <n v="-0.74"/>
    <n v="27"/>
    <n v="1"/>
    <n v="1"/>
  </r>
  <r>
    <m/>
    <m/>
    <x v="1"/>
    <s v="40940003001003"/>
    <n v="-40.770000000000003"/>
    <n v="1489"/>
    <n v="1"/>
    <n v="1"/>
  </r>
  <r>
    <m/>
    <m/>
    <x v="1"/>
    <s v="41147142001001"/>
    <n v="-44.63"/>
    <n v="1630"/>
    <n v="1"/>
    <n v="1"/>
  </r>
  <r>
    <m/>
    <m/>
    <x v="1"/>
    <s v="41291991001001"/>
    <n v="-51.89"/>
    <n v="1895"/>
    <n v="1"/>
    <n v="1"/>
  </r>
  <r>
    <m/>
    <m/>
    <x v="1"/>
    <s v="41541188001001"/>
    <n v="-43.23"/>
    <n v="1579"/>
    <n v="1"/>
    <n v="1"/>
  </r>
  <r>
    <m/>
    <m/>
    <x v="1"/>
    <s v="41547054001001"/>
    <n v="-12.02"/>
    <n v="439"/>
    <n v="1"/>
    <n v="1"/>
  </r>
  <r>
    <m/>
    <m/>
    <x v="1"/>
    <s v="41547810001001"/>
    <n v="-9.2799999999999994"/>
    <n v="339"/>
    <n v="1"/>
    <n v="1"/>
  </r>
  <r>
    <m/>
    <m/>
    <x v="1"/>
    <s v="41580871001004"/>
    <n v="-53.91"/>
    <n v="1969"/>
    <n v="1"/>
    <n v="1"/>
  </r>
  <r>
    <m/>
    <m/>
    <x v="1"/>
    <s v="41605082002003"/>
    <n v="-20.010000000000002"/>
    <n v="731"/>
    <n v="1"/>
    <n v="1"/>
  </r>
  <r>
    <m/>
    <m/>
    <x v="1"/>
    <s v="42015855001008"/>
    <n v="-19.63"/>
    <n v="717"/>
    <n v="1"/>
    <n v="1"/>
  </r>
  <r>
    <m/>
    <m/>
    <x v="1"/>
    <s v="42053353001001"/>
    <n v="-21.49"/>
    <n v="785"/>
    <n v="1"/>
    <n v="1"/>
  </r>
  <r>
    <m/>
    <m/>
    <x v="1"/>
    <s v="42073484003001"/>
    <n v="-48.44"/>
    <n v="1769"/>
    <n v="1"/>
    <n v="1"/>
  </r>
  <r>
    <m/>
    <m/>
    <x v="1"/>
    <s v="42099598001001"/>
    <n v="-19.93"/>
    <n v="728"/>
    <n v="1"/>
    <n v="1"/>
  </r>
  <r>
    <m/>
    <m/>
    <x v="1"/>
    <s v="42453517001001"/>
    <n v="-29.21"/>
    <n v="1067"/>
    <n v="1"/>
    <n v="1"/>
  </r>
  <r>
    <m/>
    <m/>
    <x v="1"/>
    <s v="42490701001001"/>
    <n v="-1.42"/>
    <n v="52"/>
    <n v="1"/>
    <n v="1"/>
  </r>
  <r>
    <m/>
    <m/>
    <x v="1"/>
    <s v="42502321001005"/>
    <n v="-13.64"/>
    <n v="498"/>
    <n v="1"/>
    <n v="1"/>
  </r>
  <r>
    <m/>
    <m/>
    <x v="1"/>
    <s v="42503511001002"/>
    <n v="-22.97"/>
    <n v="839"/>
    <n v="1"/>
    <n v="1"/>
  </r>
  <r>
    <m/>
    <m/>
    <x v="1"/>
    <s v="42503651001002"/>
    <n v="-72.09"/>
    <n v="2633"/>
    <n v="1"/>
    <n v="1"/>
  </r>
  <r>
    <m/>
    <m/>
    <x v="1"/>
    <s v="42503721001001"/>
    <n v="-27.08"/>
    <n v="989"/>
    <n v="1"/>
    <n v="1"/>
  </r>
  <r>
    <m/>
    <m/>
    <x v="1"/>
    <s v="42514151001004"/>
    <n v="-3.23"/>
    <n v="118"/>
    <n v="1"/>
    <n v="1"/>
  </r>
  <r>
    <m/>
    <m/>
    <x v="1"/>
    <s v="42523951001001"/>
    <n v="-10.79"/>
    <n v="394"/>
    <n v="1"/>
    <n v="1"/>
  </r>
  <r>
    <m/>
    <m/>
    <x v="1"/>
    <s v="42539421001001"/>
    <n v="-14.1"/>
    <n v="515"/>
    <n v="1"/>
    <n v="1"/>
  </r>
  <r>
    <m/>
    <m/>
    <x v="1"/>
    <s v="42543901001001"/>
    <n v="-34.5"/>
    <n v="1260"/>
    <n v="1"/>
    <n v="1"/>
  </r>
  <r>
    <m/>
    <m/>
    <x v="1"/>
    <s v="42569591004003"/>
    <n v="-6.16"/>
    <n v="225"/>
    <n v="1"/>
    <n v="1"/>
  </r>
  <r>
    <m/>
    <m/>
    <x v="1"/>
    <s v="42580441001002"/>
    <n v="-25"/>
    <n v="913"/>
    <n v="1"/>
    <n v="1"/>
  </r>
  <r>
    <m/>
    <m/>
    <x v="1"/>
    <s v="42585551001002"/>
    <n v="-27.41"/>
    <n v="1001"/>
    <n v="1"/>
    <n v="1"/>
  </r>
  <r>
    <m/>
    <m/>
    <x v="1"/>
    <s v="42591011001001"/>
    <n v="-39.97"/>
    <n v="1460"/>
    <n v="1"/>
    <n v="1"/>
  </r>
  <r>
    <m/>
    <m/>
    <x v="1"/>
    <s v="42633571002001"/>
    <n v="-7.89"/>
    <n v="288"/>
    <n v="1"/>
    <n v="1"/>
  </r>
  <r>
    <m/>
    <m/>
    <x v="1"/>
    <s v="42637141001007"/>
    <n v="-29"/>
    <n v="1059"/>
    <n v="1"/>
    <n v="1"/>
  </r>
  <r>
    <m/>
    <m/>
    <x v="1"/>
    <s v="42646171001006"/>
    <n v="-19.96"/>
    <n v="729"/>
    <n v="1"/>
    <n v="1"/>
  </r>
  <r>
    <m/>
    <m/>
    <x v="1"/>
    <s v="42649951003006"/>
    <n v="-26.04"/>
    <n v="951"/>
    <n v="1"/>
    <n v="1"/>
  </r>
  <r>
    <m/>
    <m/>
    <x v="1"/>
    <s v="42653101001002"/>
    <n v="-14.18"/>
    <n v="518"/>
    <n v="1"/>
    <n v="1"/>
  </r>
  <r>
    <m/>
    <m/>
    <x v="1"/>
    <s v="42653661001001"/>
    <n v="-6.16"/>
    <n v="225"/>
    <n v="1"/>
    <n v="1"/>
  </r>
  <r>
    <m/>
    <m/>
    <x v="1"/>
    <s v="42654081001004"/>
    <n v="-26.97"/>
    <n v="985"/>
    <n v="1"/>
    <n v="1"/>
  </r>
  <r>
    <m/>
    <m/>
    <x v="1"/>
    <s v="42671651001003"/>
    <n v="-6.19"/>
    <n v="226"/>
    <n v="1"/>
    <n v="1"/>
  </r>
  <r>
    <m/>
    <m/>
    <x v="1"/>
    <s v="42678651001002"/>
    <n v="-48.16"/>
    <n v="1759"/>
    <n v="1"/>
    <n v="1"/>
  </r>
  <r>
    <m/>
    <m/>
    <x v="1"/>
    <s v="42712111003004"/>
    <n v="-18.260000000000002"/>
    <n v="667"/>
    <n v="1"/>
    <n v="1"/>
  </r>
  <r>
    <m/>
    <m/>
    <x v="1"/>
    <s v="42811861001001"/>
    <n v="-76.06"/>
    <n v="2778"/>
    <n v="1"/>
    <n v="1"/>
  </r>
  <r>
    <m/>
    <m/>
    <x v="1"/>
    <s v="42812561001002"/>
    <n v="-48.85"/>
    <n v="1784"/>
    <n v="1"/>
    <n v="1"/>
  </r>
  <r>
    <m/>
    <m/>
    <x v="1"/>
    <s v="42837831001001"/>
    <n v="-1.29"/>
    <n v="47"/>
    <n v="1"/>
    <n v="1"/>
  </r>
  <r>
    <m/>
    <m/>
    <x v="1"/>
    <s v="42888441001001"/>
    <n v="-1.48"/>
    <n v="54"/>
    <n v="1"/>
    <n v="1"/>
  </r>
  <r>
    <m/>
    <m/>
    <x v="1"/>
    <s v="42898451001001"/>
    <n v="-4.3499999999999996"/>
    <n v="159"/>
    <n v="1"/>
    <n v="1"/>
  </r>
  <r>
    <m/>
    <m/>
    <x v="1"/>
    <s v="42972511001003"/>
    <n v="-12.43"/>
    <n v="454"/>
    <n v="1"/>
    <n v="1"/>
  </r>
  <r>
    <m/>
    <m/>
    <x v="1"/>
    <s v="43016751001009"/>
    <n v="-15.39"/>
    <n v="562"/>
    <n v="1"/>
    <n v="1"/>
  </r>
  <r>
    <m/>
    <m/>
    <x v="1"/>
    <s v="43029771001001"/>
    <n v="-1.67"/>
    <n v="61"/>
    <n v="1"/>
    <n v="1"/>
  </r>
  <r>
    <m/>
    <m/>
    <x v="1"/>
    <s v="43036071001003"/>
    <n v="-16.87"/>
    <n v="616"/>
    <n v="1"/>
    <n v="1"/>
  </r>
  <r>
    <m/>
    <m/>
    <x v="1"/>
    <s v="43037331002001"/>
    <n v="-32.42"/>
    <n v="1184"/>
    <n v="1"/>
    <n v="1"/>
  </r>
  <r>
    <m/>
    <m/>
    <x v="1"/>
    <s v="43067921001001"/>
    <n v="-44.08"/>
    <n v="1610"/>
    <n v="1"/>
    <n v="1"/>
  </r>
  <r>
    <m/>
    <m/>
    <x v="1"/>
    <s v="43081641001002"/>
    <n v="-7.04"/>
    <n v="257"/>
    <n v="1"/>
    <n v="1"/>
  </r>
  <r>
    <m/>
    <m/>
    <x v="1"/>
    <s v="43084721005001"/>
    <n v="-45.59"/>
    <n v="1665"/>
    <n v="1"/>
    <n v="1"/>
  </r>
  <r>
    <m/>
    <m/>
    <x v="1"/>
    <s v="43103551001002"/>
    <n v="-8.7899999999999991"/>
    <n v="321"/>
    <n v="1"/>
    <n v="1"/>
  </r>
  <r>
    <m/>
    <m/>
    <x v="1"/>
    <s v="43110271002002"/>
    <n v="-7.39"/>
    <n v="270"/>
    <n v="1"/>
    <n v="1"/>
  </r>
  <r>
    <m/>
    <m/>
    <x v="1"/>
    <s v="43191121002003"/>
    <n v="-62.62"/>
    <n v="2287"/>
    <n v="1"/>
    <n v="1"/>
  </r>
  <r>
    <m/>
    <m/>
    <x v="1"/>
    <s v="43201271002001"/>
    <n v="-36.47"/>
    <n v="1332"/>
    <n v="1"/>
    <n v="1"/>
  </r>
  <r>
    <m/>
    <m/>
    <x v="1"/>
    <s v="43210791001004"/>
    <n v="-2.08"/>
    <n v="76"/>
    <n v="1"/>
    <n v="1"/>
  </r>
  <r>
    <m/>
    <m/>
    <x v="1"/>
    <s v="43218351001006"/>
    <n v="-4.71"/>
    <n v="172"/>
    <n v="1"/>
    <n v="1"/>
  </r>
  <r>
    <m/>
    <m/>
    <x v="1"/>
    <s v="43224441001007"/>
    <n v="-43.42"/>
    <n v="1586"/>
    <n v="1"/>
    <n v="1"/>
  </r>
  <r>
    <m/>
    <m/>
    <x v="1"/>
    <s v="43225001001001"/>
    <n v="-32.86"/>
    <n v="1200"/>
    <n v="1"/>
    <n v="1"/>
  </r>
  <r>
    <m/>
    <m/>
    <x v="1"/>
    <s v="43245091005003"/>
    <n v="-33.619999999999997"/>
    <n v="1228"/>
    <n v="1"/>
    <n v="1"/>
  </r>
  <r>
    <m/>
    <m/>
    <x v="1"/>
    <s v="43257481001001"/>
    <n v="-2.52"/>
    <n v="92"/>
    <n v="1"/>
    <n v="1"/>
  </r>
  <r>
    <m/>
    <m/>
    <x v="1"/>
    <s v="43262451002003"/>
    <n v="-22.45"/>
    <n v="820"/>
    <n v="1"/>
    <n v="1"/>
  </r>
  <r>
    <m/>
    <m/>
    <x v="1"/>
    <s v="43282051003001"/>
    <n v="-17.09"/>
    <n v="624"/>
    <n v="1"/>
    <n v="1"/>
  </r>
  <r>
    <m/>
    <m/>
    <x v="1"/>
    <s v="43282821001002"/>
    <n v="-61.22"/>
    <n v="2236"/>
    <n v="1"/>
    <n v="1"/>
  </r>
  <r>
    <m/>
    <m/>
    <x v="1"/>
    <s v="43291711002001"/>
    <n v="-9.23"/>
    <n v="337"/>
    <n v="1"/>
    <n v="1"/>
  </r>
  <r>
    <m/>
    <m/>
    <x v="1"/>
    <s v="43301912001003"/>
    <n v="-7.23"/>
    <n v="264"/>
    <n v="1"/>
    <n v="1"/>
  </r>
  <r>
    <m/>
    <m/>
    <x v="1"/>
    <s v="43334201001001"/>
    <n v="-34.83"/>
    <n v="1272"/>
    <n v="1"/>
    <n v="1"/>
  </r>
  <r>
    <m/>
    <m/>
    <x v="1"/>
    <s v="43346241001002"/>
    <n v="-25.16"/>
    <n v="919"/>
    <n v="1"/>
    <n v="1"/>
  </r>
  <r>
    <m/>
    <m/>
    <x v="1"/>
    <s v="43347711001001"/>
    <n v="-49.23"/>
    <n v="1798"/>
    <n v="1"/>
    <n v="1"/>
  </r>
  <r>
    <m/>
    <m/>
    <x v="1"/>
    <s v="43363111001003"/>
    <n v="-68.150000000000006"/>
    <n v="2489"/>
    <n v="1"/>
    <n v="1"/>
  </r>
  <r>
    <m/>
    <m/>
    <x v="1"/>
    <s v="43430451001001"/>
    <n v="-12.16"/>
    <n v="444"/>
    <n v="1"/>
    <n v="1"/>
  </r>
  <r>
    <m/>
    <m/>
    <x v="1"/>
    <s v="43485650001007"/>
    <n v="-43.42"/>
    <n v="1586"/>
    <n v="1"/>
    <n v="1"/>
  </r>
  <r>
    <m/>
    <m/>
    <x v="1"/>
    <s v="43530621001001"/>
    <n v="-69.33"/>
    <n v="2532"/>
    <n v="1"/>
    <n v="1"/>
  </r>
  <r>
    <m/>
    <m/>
    <x v="1"/>
    <s v="43581441001001"/>
    <n v="-42.25"/>
    <n v="1543"/>
    <n v="1"/>
    <n v="1"/>
  </r>
  <r>
    <m/>
    <m/>
    <x v="1"/>
    <s v="43586831001002"/>
    <n v="-32.42"/>
    <n v="1184"/>
    <n v="1"/>
    <n v="1"/>
  </r>
  <r>
    <m/>
    <m/>
    <x v="1"/>
    <s v="43611771001002"/>
    <n v="-40.11"/>
    <n v="1465"/>
    <n v="1"/>
    <n v="1"/>
  </r>
  <r>
    <m/>
    <m/>
    <x v="1"/>
    <s v="43678461001003"/>
    <n v="-1.48"/>
    <n v="54"/>
    <n v="1"/>
    <n v="1"/>
  </r>
  <r>
    <m/>
    <m/>
    <x v="1"/>
    <s v="43688479001001"/>
    <n v="-22.21"/>
    <n v="811"/>
    <n v="1"/>
    <n v="1"/>
  </r>
  <r>
    <m/>
    <m/>
    <x v="1"/>
    <s v="43696731001001"/>
    <n v="-33.840000000000003"/>
    <n v="1236"/>
    <n v="1"/>
    <n v="1"/>
  </r>
  <r>
    <m/>
    <m/>
    <x v="1"/>
    <s v="43721161001001"/>
    <n v="-48.57"/>
    <n v="1774"/>
    <n v="1"/>
    <n v="1"/>
  </r>
  <r>
    <m/>
    <m/>
    <x v="1"/>
    <s v="43769391008001"/>
    <n v="-8.43"/>
    <n v="308"/>
    <n v="1"/>
    <n v="1"/>
  </r>
  <r>
    <m/>
    <m/>
    <x v="1"/>
    <s v="43801381001001"/>
    <n v="-45.86"/>
    <n v="1675"/>
    <n v="1"/>
    <n v="1"/>
  </r>
  <r>
    <m/>
    <m/>
    <x v="1"/>
    <s v="43856891001002"/>
    <n v="-49.42"/>
    <n v="1805"/>
    <n v="1"/>
    <n v="1"/>
  </r>
  <r>
    <m/>
    <m/>
    <x v="1"/>
    <s v="43903791001001"/>
    <n v="-2.19"/>
    <n v="80"/>
    <n v="1"/>
    <n v="1"/>
  </r>
  <r>
    <m/>
    <m/>
    <x v="1"/>
    <s v="43914851001001"/>
    <n v="-16.02"/>
    <n v="585"/>
    <n v="1"/>
    <n v="1"/>
  </r>
  <r>
    <m/>
    <m/>
    <x v="1"/>
    <s v="43928151001002"/>
    <n v="-33.1"/>
    <n v="1209"/>
    <n v="1"/>
    <n v="1"/>
  </r>
  <r>
    <m/>
    <m/>
    <x v="1"/>
    <s v="43950201001004"/>
    <n v="-40.22"/>
    <n v="1469"/>
    <n v="1"/>
    <n v="1"/>
  </r>
  <r>
    <m/>
    <m/>
    <x v="1"/>
    <s v="44017401001003"/>
    <n v="-23"/>
    <n v="840"/>
    <n v="1"/>
    <n v="1"/>
  </r>
  <r>
    <m/>
    <m/>
    <x v="1"/>
    <s v="44035671002001"/>
    <n v="-28.48"/>
    <n v="1040"/>
    <n v="1"/>
    <n v="1"/>
  </r>
  <r>
    <m/>
    <m/>
    <x v="1"/>
    <s v="44095871001001"/>
    <n v="-57.03"/>
    <n v="2083"/>
    <n v="1"/>
    <n v="1"/>
  </r>
  <r>
    <m/>
    <m/>
    <x v="1"/>
    <s v="44198701001002"/>
    <n v="-63.41"/>
    <n v="2316"/>
    <n v="1"/>
    <n v="1"/>
  </r>
  <r>
    <m/>
    <m/>
    <x v="1"/>
    <s v="44200871001009"/>
    <n v="-25.9"/>
    <n v="946"/>
    <n v="2"/>
    <n v="1"/>
  </r>
  <r>
    <m/>
    <m/>
    <x v="1"/>
    <s v="44217531004001"/>
    <n v="-56.7"/>
    <n v="2071"/>
    <n v="1"/>
    <n v="1"/>
  </r>
  <r>
    <m/>
    <m/>
    <x v="1"/>
    <s v="44235381001002"/>
    <n v="-63.03"/>
    <n v="2302"/>
    <n v="1"/>
    <n v="1"/>
  </r>
  <r>
    <m/>
    <m/>
    <x v="1"/>
    <s v="44237551001002"/>
    <n v="-38.909999999999997"/>
    <n v="1421"/>
    <n v="1"/>
    <n v="1"/>
  </r>
  <r>
    <m/>
    <m/>
    <x v="1"/>
    <s v="44286551002002"/>
    <n v="-39.78"/>
    <n v="1453"/>
    <n v="1"/>
    <n v="1"/>
  </r>
  <r>
    <m/>
    <m/>
    <x v="1"/>
    <s v="44296841001008"/>
    <n v="-14.81"/>
    <n v="541"/>
    <n v="1"/>
    <n v="1"/>
  </r>
  <r>
    <m/>
    <m/>
    <x v="1"/>
    <s v="44327781001003"/>
    <n v="-6.02"/>
    <n v="220"/>
    <n v="1"/>
    <n v="1"/>
  </r>
  <r>
    <m/>
    <m/>
    <x v="1"/>
    <s v="44340381001001"/>
    <n v="-41.56"/>
    <n v="1518"/>
    <n v="1"/>
    <n v="1"/>
  </r>
  <r>
    <m/>
    <m/>
    <x v="1"/>
    <s v="44342831002003"/>
    <n v="-9.2799999999999994"/>
    <n v="339"/>
    <n v="1"/>
    <n v="1"/>
  </r>
  <r>
    <m/>
    <m/>
    <x v="1"/>
    <s v="44379371001001"/>
    <n v="-6.11"/>
    <n v="223"/>
    <n v="1"/>
    <n v="1"/>
  </r>
  <r>
    <m/>
    <m/>
    <x v="1"/>
    <s v="44390781002001"/>
    <n v="-10.51"/>
    <n v="384"/>
    <n v="1"/>
    <n v="1"/>
  </r>
  <r>
    <m/>
    <m/>
    <x v="1"/>
    <s v="44416401001001"/>
    <n v="-31.05"/>
    <n v="1134"/>
    <n v="1"/>
    <n v="1"/>
  </r>
  <r>
    <m/>
    <m/>
    <x v="1"/>
    <s v="44422491002001"/>
    <n v="-12.62"/>
    <n v="461"/>
    <n v="1"/>
    <n v="1"/>
  </r>
  <r>
    <m/>
    <m/>
    <x v="1"/>
    <s v="44423891001003"/>
    <n v="-24.81"/>
    <n v="906"/>
    <n v="1"/>
    <n v="1"/>
  </r>
  <r>
    <m/>
    <m/>
    <x v="1"/>
    <s v="44424535001002"/>
    <n v="-46.93"/>
    <n v="1714"/>
    <n v="1"/>
    <n v="1"/>
  </r>
  <r>
    <m/>
    <m/>
    <x v="1"/>
    <s v="44431101001001"/>
    <n v="-29.68"/>
    <n v="1084"/>
    <n v="1"/>
    <n v="1"/>
  </r>
  <r>
    <m/>
    <m/>
    <x v="1"/>
    <s v="44463861001002"/>
    <n v="-86.22"/>
    <n v="3149"/>
    <n v="1"/>
    <n v="1"/>
  </r>
  <r>
    <m/>
    <m/>
    <x v="1"/>
    <s v="44470529001002"/>
    <n v="-40.58"/>
    <n v="1482"/>
    <n v="1"/>
    <n v="1"/>
  </r>
  <r>
    <m/>
    <m/>
    <x v="1"/>
    <s v="44484511001002"/>
    <n v="-21.68"/>
    <n v="792"/>
    <n v="1"/>
    <n v="1"/>
  </r>
  <r>
    <m/>
    <m/>
    <x v="1"/>
    <s v="44496438001001"/>
    <n v="-39.4"/>
    <n v="1439"/>
    <n v="1"/>
    <n v="1"/>
  </r>
  <r>
    <m/>
    <m/>
    <x v="1"/>
    <s v="44501801003005"/>
    <n v="-39.840000000000003"/>
    <n v="1455"/>
    <n v="1"/>
    <n v="1"/>
  </r>
  <r>
    <m/>
    <m/>
    <x v="1"/>
    <s v="44502641001003"/>
    <n v="-94.68"/>
    <n v="3458"/>
    <n v="1"/>
    <n v="1"/>
  </r>
  <r>
    <m/>
    <m/>
    <x v="1"/>
    <s v="44545061002001"/>
    <n v="-20.75"/>
    <n v="758"/>
    <n v="1"/>
    <n v="1"/>
  </r>
  <r>
    <m/>
    <m/>
    <x v="1"/>
    <s v="44560811001004"/>
    <n v="-17.5"/>
    <n v="639"/>
    <n v="1"/>
    <n v="1"/>
  </r>
  <r>
    <m/>
    <m/>
    <x v="1"/>
    <s v="44603651002001"/>
    <n v="-49.8"/>
    <n v="1819"/>
    <n v="1"/>
    <n v="1"/>
  </r>
  <r>
    <m/>
    <m/>
    <x v="1"/>
    <s v="44608551005001"/>
    <n v="-20.010000000000002"/>
    <n v="731"/>
    <n v="1"/>
    <n v="1"/>
  </r>
  <r>
    <m/>
    <m/>
    <x v="1"/>
    <s v="44628151002001"/>
    <n v="-4"/>
    <n v="146"/>
    <n v="1"/>
    <n v="1"/>
  </r>
  <r>
    <m/>
    <m/>
    <x v="1"/>
    <s v="44654191001001"/>
    <n v="-10.98"/>
    <n v="401"/>
    <n v="1"/>
    <n v="1"/>
  </r>
  <r>
    <m/>
    <m/>
    <x v="1"/>
    <s v="44688351001001"/>
    <n v="-21.19"/>
    <n v="774"/>
    <n v="1"/>
    <n v="1"/>
  </r>
  <r>
    <m/>
    <m/>
    <x v="1"/>
    <s v="44717961001001"/>
    <n v="-8.02"/>
    <n v="293"/>
    <n v="1"/>
    <n v="1"/>
  </r>
  <r>
    <m/>
    <m/>
    <x v="1"/>
    <s v="44737281001001"/>
    <n v="-46.87"/>
    <n v="1712"/>
    <n v="1"/>
    <n v="1"/>
  </r>
  <r>
    <m/>
    <m/>
    <x v="1"/>
    <s v="44760031004001"/>
    <n v="-53.5"/>
    <n v="1954"/>
    <n v="1"/>
    <n v="1"/>
  </r>
  <r>
    <m/>
    <m/>
    <x v="1"/>
    <s v="44770041002001"/>
    <n v="-33.130000000000003"/>
    <n v="1210"/>
    <n v="1"/>
    <n v="1"/>
  </r>
  <r>
    <m/>
    <m/>
    <x v="1"/>
    <s v="44775221002003"/>
    <n v="-25.74"/>
    <n v="940"/>
    <n v="1"/>
    <n v="1"/>
  </r>
  <r>
    <m/>
    <m/>
    <x v="1"/>
    <s v="44781871001001"/>
    <n v="-41.67"/>
    <n v="1522"/>
    <n v="1"/>
    <n v="1"/>
  </r>
  <r>
    <m/>
    <m/>
    <x v="1"/>
    <s v="44784741001002"/>
    <n v="-33.1"/>
    <n v="1209"/>
    <n v="1"/>
    <n v="1"/>
  </r>
  <r>
    <m/>
    <m/>
    <x v="1"/>
    <s v="44804971001001"/>
    <n v="-7.31"/>
    <n v="267"/>
    <n v="1"/>
    <n v="1"/>
  </r>
  <r>
    <m/>
    <m/>
    <x v="1"/>
    <s v="44811481003005"/>
    <n v="-29.82"/>
    <n v="1089"/>
    <n v="1"/>
    <n v="1"/>
  </r>
  <r>
    <m/>
    <m/>
    <x v="1"/>
    <s v="44827301001001"/>
    <n v="-32.03"/>
    <n v="1170"/>
    <n v="1"/>
    <n v="1"/>
  </r>
  <r>
    <m/>
    <m/>
    <x v="1"/>
    <s v="44828701001004"/>
    <n v="-32.03"/>
    <n v="1170"/>
    <n v="1"/>
    <n v="1"/>
  </r>
  <r>
    <m/>
    <m/>
    <x v="1"/>
    <s v="44828911003009"/>
    <n v="-18.59"/>
    <n v="679"/>
    <n v="1"/>
    <n v="1"/>
  </r>
  <r>
    <m/>
    <m/>
    <x v="1"/>
    <s v="44839691002002"/>
    <n v="-5.04"/>
    <n v="184"/>
    <n v="1"/>
    <n v="1"/>
  </r>
  <r>
    <m/>
    <m/>
    <x v="1"/>
    <s v="44856771002005"/>
    <n v="-28.37"/>
    <n v="1036"/>
    <n v="1"/>
    <n v="1"/>
  </r>
  <r>
    <m/>
    <m/>
    <x v="1"/>
    <s v="44875461001001"/>
    <n v="-6.46"/>
    <n v="236"/>
    <n v="1"/>
    <n v="1"/>
  </r>
  <r>
    <m/>
    <m/>
    <x v="1"/>
    <s v="44877561001002"/>
    <n v="-21.19"/>
    <n v="774"/>
    <n v="1"/>
    <n v="1"/>
  </r>
  <r>
    <m/>
    <m/>
    <x v="1"/>
    <s v="44881621001001"/>
    <n v="-42.63"/>
    <n v="1557"/>
    <n v="1"/>
    <n v="1"/>
  </r>
  <r>
    <m/>
    <m/>
    <x v="1"/>
    <s v="44889251001002"/>
    <n v="-6.57"/>
    <n v="240"/>
    <n v="1"/>
    <n v="1"/>
  </r>
  <r>
    <m/>
    <m/>
    <x v="1"/>
    <s v="44902061004001"/>
    <n v="-47.34"/>
    <n v="1729"/>
    <n v="1"/>
    <n v="1"/>
  </r>
  <r>
    <m/>
    <m/>
    <x v="1"/>
    <s v="44906681002005"/>
    <n v="-27.11"/>
    <n v="990"/>
    <n v="1"/>
    <n v="1"/>
  </r>
  <r>
    <m/>
    <m/>
    <x v="1"/>
    <s v="44908781005001"/>
    <n v="-38.909999999999997"/>
    <n v="1421"/>
    <n v="1"/>
    <n v="1"/>
  </r>
  <r>
    <m/>
    <m/>
    <x v="1"/>
    <s v="44919565001001"/>
    <n v="-6.22"/>
    <n v="227"/>
    <n v="1"/>
    <n v="1"/>
  </r>
  <r>
    <m/>
    <m/>
    <x v="1"/>
    <s v="44939791001001"/>
    <n v="-27.16"/>
    <n v="992"/>
    <n v="1"/>
    <n v="1"/>
  </r>
  <r>
    <m/>
    <m/>
    <x v="1"/>
    <s v="44951971004001"/>
    <n v="-44.22"/>
    <n v="1615"/>
    <n v="1"/>
    <n v="1"/>
  </r>
  <r>
    <m/>
    <m/>
    <x v="1"/>
    <s v="44955261001002"/>
    <n v="-92.49"/>
    <n v="3378"/>
    <n v="1"/>
    <n v="1"/>
  </r>
  <r>
    <m/>
    <m/>
    <x v="1"/>
    <s v="44959251002002"/>
    <n v="-35.76"/>
    <n v="1306"/>
    <n v="1"/>
    <n v="1"/>
  </r>
  <r>
    <m/>
    <m/>
    <x v="1"/>
    <s v="44970917001001"/>
    <n v="-24.34"/>
    <n v="889"/>
    <n v="1"/>
    <n v="1"/>
  </r>
  <r>
    <m/>
    <m/>
    <x v="1"/>
    <s v="44978221001001"/>
    <n v="-59.39"/>
    <n v="2169"/>
    <n v="1"/>
    <n v="1"/>
  </r>
  <r>
    <m/>
    <m/>
    <x v="1"/>
    <s v="44987951001006"/>
    <n v="-53.34"/>
    <n v="1948"/>
    <n v="1"/>
    <n v="1"/>
  </r>
  <r>
    <m/>
    <m/>
    <x v="1"/>
    <s v="44995807001001"/>
    <n v="-5.01"/>
    <n v="183"/>
    <n v="1"/>
    <n v="1"/>
  </r>
  <r>
    <m/>
    <m/>
    <x v="1"/>
    <s v="45037931001001"/>
    <n v="-33.020000000000003"/>
    <n v="1206"/>
    <n v="1"/>
    <n v="1"/>
  </r>
  <r>
    <m/>
    <m/>
    <x v="1"/>
    <s v="45047591003001"/>
    <n v="-19.03"/>
    <n v="695"/>
    <n v="1"/>
    <n v="1"/>
  </r>
  <r>
    <m/>
    <m/>
    <x v="1"/>
    <s v="45048081001001"/>
    <n v="-59.06"/>
    <n v="2157"/>
    <n v="1"/>
    <n v="1"/>
  </r>
  <r>
    <m/>
    <m/>
    <x v="1"/>
    <s v="45048221001001"/>
    <n v="-23.16"/>
    <n v="846"/>
    <n v="1"/>
    <n v="1"/>
  </r>
  <r>
    <m/>
    <m/>
    <x v="1"/>
    <s v="45049061001001"/>
    <n v="-34.01"/>
    <n v="1242"/>
    <n v="1"/>
    <n v="1"/>
  </r>
  <r>
    <m/>
    <m/>
    <x v="1"/>
    <s v="45055431001001"/>
    <n v="-28.86"/>
    <n v="1054"/>
    <n v="1"/>
    <n v="1"/>
  </r>
  <r>
    <m/>
    <m/>
    <x v="1"/>
    <s v="45057251001005"/>
    <n v="-77.7"/>
    <n v="2838"/>
    <n v="1"/>
    <n v="1"/>
  </r>
  <r>
    <m/>
    <m/>
    <x v="1"/>
    <s v="45058021001005"/>
    <n v="-42.44"/>
    <n v="1550"/>
    <n v="1"/>
    <n v="1"/>
  </r>
  <r>
    <m/>
    <m/>
    <x v="1"/>
    <s v="45081401001004"/>
    <n v="-6.49"/>
    <n v="237"/>
    <n v="1"/>
    <n v="1"/>
  </r>
  <r>
    <m/>
    <m/>
    <x v="1"/>
    <s v="45097221001001"/>
    <n v="-36.69"/>
    <n v="1340"/>
    <n v="1"/>
    <n v="1"/>
  </r>
  <r>
    <m/>
    <m/>
    <x v="1"/>
    <s v="45099461003003"/>
    <n v="-42.66"/>
    <n v="1558"/>
    <n v="1"/>
    <n v="1"/>
  </r>
  <r>
    <m/>
    <m/>
    <x v="1"/>
    <s v="45110171002003"/>
    <n v="-29.9"/>
    <n v="1092"/>
    <n v="1"/>
    <n v="1"/>
  </r>
  <r>
    <m/>
    <m/>
    <x v="1"/>
    <s v="45120321002003"/>
    <n v="-15.96"/>
    <n v="583"/>
    <n v="1"/>
    <n v="1"/>
  </r>
  <r>
    <m/>
    <m/>
    <x v="1"/>
    <s v="45128441001005"/>
    <n v="-4.33"/>
    <n v="158"/>
    <n v="1"/>
    <n v="1"/>
  </r>
  <r>
    <m/>
    <m/>
    <x v="1"/>
    <s v="45130821001001"/>
    <n v="-18.48"/>
    <n v="675"/>
    <n v="1"/>
    <n v="1"/>
  </r>
  <r>
    <m/>
    <m/>
    <x v="1"/>
    <s v="45135453001001"/>
    <n v="-10.4"/>
    <n v="380"/>
    <n v="1"/>
    <n v="1"/>
  </r>
  <r>
    <m/>
    <m/>
    <x v="1"/>
    <s v="45136421001001"/>
    <n v="-76.53"/>
    <n v="2795"/>
    <n v="1"/>
    <n v="1"/>
  </r>
  <r>
    <m/>
    <m/>
    <x v="1"/>
    <s v="45143631001001"/>
    <n v="-5.15"/>
    <n v="188"/>
    <n v="1"/>
    <n v="1"/>
  </r>
  <r>
    <m/>
    <m/>
    <x v="1"/>
    <s v="45155461001001"/>
    <n v="-134.85"/>
    <n v="4925"/>
    <n v="1"/>
    <n v="1"/>
  </r>
  <r>
    <m/>
    <m/>
    <x v="1"/>
    <s v="45162811004003"/>
    <n v="-37.979999999999997"/>
    <n v="1387"/>
    <n v="1"/>
    <n v="1"/>
  </r>
  <r>
    <m/>
    <m/>
    <x v="1"/>
    <s v="45171701001001"/>
    <n v="-40.93"/>
    <n v="1495"/>
    <n v="1"/>
    <n v="1"/>
  </r>
  <r>
    <m/>
    <m/>
    <x v="1"/>
    <s v="45174711001001"/>
    <n v="-36.72"/>
    <n v="1341"/>
    <n v="1"/>
    <n v="1"/>
  </r>
  <r>
    <m/>
    <m/>
    <x v="1"/>
    <s v="45177021001002"/>
    <n v="-13.66"/>
    <n v="499"/>
    <n v="1"/>
    <n v="1"/>
  </r>
  <r>
    <m/>
    <m/>
    <x v="1"/>
    <s v="45187451001001"/>
    <n v="-19.03"/>
    <n v="695"/>
    <n v="1"/>
    <n v="1"/>
  </r>
  <r>
    <m/>
    <m/>
    <x v="1"/>
    <s v="45188011001001"/>
    <n v="-20.97"/>
    <n v="766"/>
    <n v="1"/>
    <n v="1"/>
  </r>
  <r>
    <m/>
    <m/>
    <x v="1"/>
    <s v="45191721001004"/>
    <n v="-19.14"/>
    <n v="699"/>
    <n v="1"/>
    <n v="1"/>
  </r>
  <r>
    <m/>
    <m/>
    <x v="1"/>
    <s v="45192001001001"/>
    <n v="-44.6"/>
    <n v="1629"/>
    <n v="1"/>
    <n v="1"/>
  </r>
  <r>
    <m/>
    <m/>
    <x v="1"/>
    <s v="45195991002001"/>
    <n v="-81.62"/>
    <n v="2981"/>
    <n v="1"/>
    <n v="1"/>
  </r>
  <r>
    <m/>
    <m/>
    <x v="1"/>
    <s v="45199631002001"/>
    <n v="-28.28"/>
    <n v="1033"/>
    <n v="1"/>
    <n v="1"/>
  </r>
  <r>
    <m/>
    <m/>
    <x v="1"/>
    <s v="45206841001001"/>
    <n v="-44.16"/>
    <n v="1613"/>
    <n v="1"/>
    <n v="1"/>
  </r>
  <r>
    <m/>
    <m/>
    <x v="1"/>
    <s v="45210061001001"/>
    <n v="-62.7"/>
    <n v="2290"/>
    <n v="1"/>
    <n v="1"/>
  </r>
  <r>
    <m/>
    <m/>
    <x v="1"/>
    <s v="45215369002003"/>
    <n v="-34.96"/>
    <n v="1277"/>
    <n v="1"/>
    <n v="1"/>
  </r>
  <r>
    <m/>
    <m/>
    <x v="1"/>
    <s v="45253671001001"/>
    <n v="-45.15"/>
    <n v="1649"/>
    <n v="1"/>
    <n v="1"/>
  </r>
  <r>
    <m/>
    <m/>
    <x v="1"/>
    <s v="45259201001001"/>
    <n v="-33.18"/>
    <n v="1212"/>
    <n v="1"/>
    <n v="1"/>
  </r>
  <r>
    <m/>
    <m/>
    <x v="1"/>
    <s v="45259341001001"/>
    <n v="-11.99"/>
    <n v="438"/>
    <n v="1"/>
    <n v="1"/>
  </r>
  <r>
    <m/>
    <m/>
    <x v="1"/>
    <s v="45324791001001"/>
    <n v="-83.76"/>
    <n v="3059"/>
    <n v="1"/>
    <n v="1"/>
  </r>
  <r>
    <m/>
    <m/>
    <x v="1"/>
    <s v="45353911001001"/>
    <n v="-23.16"/>
    <n v="846"/>
    <n v="1"/>
    <n v="1"/>
  </r>
  <r>
    <m/>
    <m/>
    <x v="1"/>
    <s v="45356011003001"/>
    <n v="-77.650000000000006"/>
    <n v="2836"/>
    <n v="1"/>
    <n v="1"/>
  </r>
  <r>
    <m/>
    <m/>
    <x v="1"/>
    <s v="45361541002001"/>
    <n v="-50.87"/>
    <n v="1858"/>
    <n v="1"/>
    <n v="1"/>
  </r>
  <r>
    <m/>
    <m/>
    <x v="1"/>
    <s v="45382261001001"/>
    <n v="-50.19"/>
    <n v="1833"/>
    <n v="1"/>
    <n v="1"/>
  </r>
  <r>
    <m/>
    <m/>
    <x v="1"/>
    <s v="45403331001002"/>
    <n v="-78.849999999999994"/>
    <n v="2880"/>
    <n v="1"/>
    <n v="1"/>
  </r>
  <r>
    <m/>
    <m/>
    <x v="1"/>
    <s v="45420831002002"/>
    <n v="-53.61"/>
    <n v="1958"/>
    <n v="1"/>
    <n v="1"/>
  </r>
  <r>
    <m/>
    <m/>
    <x v="1"/>
    <s v="45443161001003"/>
    <n v="-32.090000000000003"/>
    <n v="1172"/>
    <n v="1"/>
    <n v="1"/>
  </r>
  <r>
    <m/>
    <m/>
    <x v="1"/>
    <s v="45451701001002"/>
    <n v="-78.33"/>
    <n v="2861"/>
    <n v="1"/>
    <n v="1"/>
  </r>
  <r>
    <m/>
    <m/>
    <x v="1"/>
    <s v="45469341006001"/>
    <n v="-76.34"/>
    <n v="2788"/>
    <n v="1"/>
    <n v="1"/>
  </r>
  <r>
    <m/>
    <m/>
    <x v="1"/>
    <s v="45473261001002"/>
    <n v="-31.21"/>
    <n v="1140"/>
    <n v="1"/>
    <n v="1"/>
  </r>
  <r>
    <m/>
    <m/>
    <x v="1"/>
    <s v="45485021002002"/>
    <n v="-22.34"/>
    <n v="816"/>
    <n v="1"/>
    <n v="1"/>
  </r>
  <r>
    <m/>
    <m/>
    <x v="1"/>
    <s v="45487611001002"/>
    <n v="-36.799999999999997"/>
    <n v="1344"/>
    <n v="1"/>
    <n v="1"/>
  </r>
  <r>
    <m/>
    <m/>
    <x v="1"/>
    <s v="45497761001001"/>
    <n v="-12.76"/>
    <n v="466"/>
    <n v="1"/>
    <n v="1"/>
  </r>
  <r>
    <m/>
    <m/>
    <x v="1"/>
    <s v="45500071002005"/>
    <n v="-36.090000000000003"/>
    <n v="1318"/>
    <n v="1"/>
    <n v="1"/>
  </r>
  <r>
    <m/>
    <m/>
    <x v="1"/>
    <s v="45503921006001"/>
    <n v="-27.11"/>
    <n v="990"/>
    <n v="1"/>
    <n v="1"/>
  </r>
  <r>
    <m/>
    <m/>
    <x v="1"/>
    <s v="45512671001001"/>
    <n v="-61.19"/>
    <n v="2235"/>
    <n v="1"/>
    <n v="1"/>
  </r>
  <r>
    <m/>
    <m/>
    <x v="1"/>
    <s v="45514281001001"/>
    <n v="-16.7"/>
    <n v="610"/>
    <n v="1"/>
    <n v="1"/>
  </r>
  <r>
    <m/>
    <m/>
    <x v="1"/>
    <s v="45519246001001"/>
    <n v="-57.77"/>
    <n v="2110"/>
    <n v="1"/>
    <n v="1"/>
  </r>
  <r>
    <m/>
    <m/>
    <x v="1"/>
    <s v="45529821001003"/>
    <n v="-2"/>
    <n v="73"/>
    <n v="1"/>
    <n v="1"/>
  </r>
  <r>
    <m/>
    <m/>
    <x v="1"/>
    <s v="45555091001004"/>
    <n v="-51.69"/>
    <n v="1888"/>
    <n v="1"/>
    <n v="1"/>
  </r>
  <r>
    <m/>
    <m/>
    <x v="1"/>
    <s v="45575065001004"/>
    <n v="-8.7899999999999991"/>
    <n v="321"/>
    <n v="1"/>
    <n v="1"/>
  </r>
  <r>
    <m/>
    <m/>
    <x v="1"/>
    <s v="45597371001001"/>
    <n v="-26.31"/>
    <n v="961"/>
    <n v="1"/>
    <n v="1"/>
  </r>
  <r>
    <m/>
    <m/>
    <x v="1"/>
    <s v="45629221001003"/>
    <n v="-44.71"/>
    <n v="1633"/>
    <n v="1"/>
    <n v="1"/>
  </r>
  <r>
    <m/>
    <m/>
    <x v="1"/>
    <s v="45644831001001"/>
    <n v="-15.72"/>
    <n v="574"/>
    <n v="1"/>
    <n v="1"/>
  </r>
  <r>
    <m/>
    <m/>
    <x v="1"/>
    <s v="45645881001002"/>
    <n v="-107.47"/>
    <n v="3925"/>
    <n v="1"/>
    <n v="1"/>
  </r>
  <r>
    <m/>
    <m/>
    <x v="1"/>
    <s v="45665201001006"/>
    <n v="-11.12"/>
    <n v="406"/>
    <n v="1"/>
    <n v="1"/>
  </r>
  <r>
    <m/>
    <m/>
    <x v="1"/>
    <s v="45692851001001"/>
    <n v="-49.97"/>
    <n v="1825"/>
    <n v="1"/>
    <n v="1"/>
  </r>
  <r>
    <m/>
    <m/>
    <x v="1"/>
    <s v="45694601001001"/>
    <n v="-42.19"/>
    <n v="1541"/>
    <n v="1"/>
    <n v="1"/>
  </r>
  <r>
    <m/>
    <m/>
    <x v="1"/>
    <s v="45725261001001"/>
    <n v="-55.14"/>
    <n v="2014"/>
    <n v="1"/>
    <n v="1"/>
  </r>
  <r>
    <m/>
    <m/>
    <x v="1"/>
    <s v="45742621001001"/>
    <n v="-44.71"/>
    <n v="1633"/>
    <n v="1"/>
    <n v="1"/>
  </r>
  <r>
    <m/>
    <m/>
    <x v="1"/>
    <s v="45751371001001"/>
    <n v="-23.6"/>
    <n v="862"/>
    <n v="1"/>
    <n v="1"/>
  </r>
  <r>
    <m/>
    <m/>
    <x v="1"/>
    <s v="45768031001001"/>
    <n v="-29.24"/>
    <n v="1068"/>
    <n v="1"/>
    <n v="1"/>
  </r>
  <r>
    <m/>
    <m/>
    <x v="1"/>
    <s v="45785601001001"/>
    <n v="-10.98"/>
    <n v="401"/>
    <n v="1"/>
    <n v="1"/>
  </r>
  <r>
    <m/>
    <m/>
    <x v="1"/>
    <s v="45787701001001"/>
    <n v="-11.12"/>
    <n v="406"/>
    <n v="1"/>
    <n v="1"/>
  </r>
  <r>
    <m/>
    <m/>
    <x v="1"/>
    <s v="45846991001001"/>
    <n v="-31.21"/>
    <n v="1140"/>
    <n v="1"/>
    <n v="1"/>
  </r>
  <r>
    <m/>
    <m/>
    <x v="1"/>
    <s v="45878001001001"/>
    <n v="-36.22"/>
    <n v="1323"/>
    <n v="1"/>
    <n v="1"/>
  </r>
  <r>
    <m/>
    <m/>
    <x v="1"/>
    <s v="45884231001001"/>
    <n v="-69.33"/>
    <n v="2532"/>
    <n v="1"/>
    <n v="1"/>
  </r>
  <r>
    <m/>
    <m/>
    <x v="1"/>
    <s v="45894564002001"/>
    <n v="-0.99"/>
    <n v="36"/>
    <n v="1"/>
    <n v="1"/>
  </r>
  <r>
    <m/>
    <m/>
    <x v="1"/>
    <s v="45930081004001"/>
    <n v="-15.33"/>
    <n v="560"/>
    <n v="1"/>
    <n v="1"/>
  </r>
  <r>
    <m/>
    <m/>
    <x v="1"/>
    <s v="45934211002001"/>
    <n v="-48.08"/>
    <n v="1756"/>
    <n v="1"/>
    <n v="1"/>
  </r>
  <r>
    <m/>
    <m/>
    <x v="1"/>
    <s v="45934561001007"/>
    <n v="-15.33"/>
    <n v="560"/>
    <n v="1"/>
    <n v="1"/>
  </r>
  <r>
    <m/>
    <m/>
    <x v="1"/>
    <s v="45935331001004"/>
    <n v="-12.27"/>
    <n v="448"/>
    <n v="1"/>
    <n v="1"/>
  </r>
  <r>
    <m/>
    <m/>
    <x v="1"/>
    <s v="46014571002003"/>
    <n v="-24.94"/>
    <n v="911"/>
    <n v="1"/>
    <n v="1"/>
  </r>
  <r>
    <m/>
    <m/>
    <x v="1"/>
    <s v="46041661001003"/>
    <n v="-90.33"/>
    <n v="3299"/>
    <n v="1"/>
    <n v="1"/>
  </r>
  <r>
    <m/>
    <m/>
    <x v="1"/>
    <s v="46074016001001"/>
    <n v="-25.79"/>
    <n v="942"/>
    <n v="1"/>
    <n v="1"/>
  </r>
  <r>
    <m/>
    <m/>
    <x v="1"/>
    <s v="46098781002001"/>
    <n v="-46.63"/>
    <n v="1703"/>
    <n v="1"/>
    <n v="1"/>
  </r>
  <r>
    <m/>
    <m/>
    <x v="1"/>
    <s v="46112081001002"/>
    <n v="-61.5"/>
    <n v="2246"/>
    <n v="1"/>
    <n v="1"/>
  </r>
  <r>
    <m/>
    <m/>
    <x v="1"/>
    <s v="46120971001001"/>
    <n v="-21.79"/>
    <n v="796"/>
    <n v="1"/>
    <n v="1"/>
  </r>
  <r>
    <m/>
    <m/>
    <x v="1"/>
    <s v="46135041001002"/>
    <n v="-67.41"/>
    <n v="2462"/>
    <n v="1"/>
    <n v="1"/>
  </r>
  <r>
    <m/>
    <m/>
    <x v="1"/>
    <s v="46146381001003"/>
    <n v="-56.07"/>
    <n v="2048"/>
    <n v="1"/>
    <n v="1"/>
  </r>
  <r>
    <m/>
    <m/>
    <x v="1"/>
    <s v="46153451002001"/>
    <n v="-26.97"/>
    <n v="985"/>
    <n v="1"/>
    <n v="1"/>
  </r>
  <r>
    <m/>
    <m/>
    <x v="1"/>
    <s v="46164021008001"/>
    <n v="-16.46"/>
    <n v="601"/>
    <n v="1"/>
    <n v="1"/>
  </r>
  <r>
    <m/>
    <m/>
    <x v="1"/>
    <s v="46168151004003"/>
    <n v="-24.2"/>
    <n v="884"/>
    <n v="1"/>
    <n v="1"/>
  </r>
  <r>
    <m/>
    <m/>
    <x v="1"/>
    <s v="46205811013001"/>
    <n v="-107.52"/>
    <n v="3927"/>
    <n v="1"/>
    <n v="1"/>
  </r>
  <r>
    <m/>
    <m/>
    <x v="1"/>
    <s v="46246971001001"/>
    <n v="-95.04"/>
    <n v="3471"/>
    <n v="1"/>
    <n v="1"/>
  </r>
  <r>
    <m/>
    <m/>
    <x v="1"/>
    <s v="46289951001001"/>
    <n v="-35.590000000000003"/>
    <n v="1300"/>
    <n v="1"/>
    <n v="1"/>
  </r>
  <r>
    <m/>
    <m/>
    <x v="1"/>
    <s v="46336781001001"/>
    <n v="-30.56"/>
    <n v="1116"/>
    <n v="1"/>
    <n v="1"/>
  </r>
  <r>
    <m/>
    <m/>
    <x v="1"/>
    <s v="46337411001001"/>
    <n v="-2.14"/>
    <n v="78"/>
    <n v="1"/>
    <n v="1"/>
  </r>
  <r>
    <m/>
    <m/>
    <x v="1"/>
    <s v="46339021001001"/>
    <n v="-48.87"/>
    <n v="1785"/>
    <n v="1"/>
    <n v="1"/>
  </r>
  <r>
    <m/>
    <m/>
    <x v="1"/>
    <s v="46341891001007"/>
    <n v="-43.37"/>
    <n v="1584"/>
    <n v="1"/>
    <n v="1"/>
  </r>
  <r>
    <m/>
    <m/>
    <x v="1"/>
    <s v="46350221006001"/>
    <n v="-7.78"/>
    <n v="284"/>
    <n v="1"/>
    <n v="1"/>
  </r>
  <r>
    <m/>
    <m/>
    <x v="1"/>
    <s v="46365691001001"/>
    <n v="-41.07"/>
    <n v="1500"/>
    <n v="1"/>
    <n v="1"/>
  </r>
  <r>
    <m/>
    <m/>
    <x v="1"/>
    <s v="46367511001005"/>
    <n v="-2.68"/>
    <n v="98"/>
    <n v="1"/>
    <n v="1"/>
  </r>
  <r>
    <m/>
    <m/>
    <x v="1"/>
    <s v="46370031001001"/>
    <n v="-36.25"/>
    <n v="1324"/>
    <n v="1"/>
    <n v="1"/>
  </r>
  <r>
    <m/>
    <m/>
    <x v="1"/>
    <s v="46383371002005"/>
    <n v="-8.65"/>
    <n v="316"/>
    <n v="1"/>
    <n v="1"/>
  </r>
  <r>
    <m/>
    <m/>
    <x v="1"/>
    <s v="46403001005001"/>
    <n v="-66.59"/>
    <n v="2432"/>
    <n v="1"/>
    <n v="1"/>
  </r>
  <r>
    <m/>
    <m/>
    <x v="1"/>
    <s v="46438981001002"/>
    <n v="-80.28"/>
    <n v="2932"/>
    <n v="1"/>
    <n v="1"/>
  </r>
  <r>
    <m/>
    <m/>
    <x v="1"/>
    <s v="46461591002001"/>
    <n v="-17.690000000000001"/>
    <n v="646"/>
    <n v="1"/>
    <n v="1"/>
  </r>
  <r>
    <m/>
    <m/>
    <x v="1"/>
    <s v="46462501001003"/>
    <n v="-50.16"/>
    <n v="1832"/>
    <n v="1"/>
    <n v="1"/>
  </r>
  <r>
    <m/>
    <m/>
    <x v="1"/>
    <s v="46469081002006"/>
    <n v="-14.81"/>
    <n v="541"/>
    <n v="1"/>
    <n v="1"/>
  </r>
  <r>
    <m/>
    <m/>
    <x v="1"/>
    <s v="46475241001003"/>
    <n v="-44.9"/>
    <n v="1640"/>
    <n v="1"/>
    <n v="1"/>
  </r>
  <r>
    <m/>
    <m/>
    <x v="1"/>
    <s v="46482661001005"/>
    <n v="-69.709999999999994"/>
    <n v="2546"/>
    <n v="1"/>
    <n v="1"/>
  </r>
  <r>
    <m/>
    <m/>
    <x v="1"/>
    <s v="46581641003003"/>
    <n v="-11.97"/>
    <n v="437"/>
    <n v="1"/>
    <n v="1"/>
  </r>
  <r>
    <m/>
    <m/>
    <x v="1"/>
    <s v="46605651001001"/>
    <n v="-37.729999999999997"/>
    <n v="1378"/>
    <n v="1"/>
    <n v="1"/>
  </r>
  <r>
    <m/>
    <m/>
    <x v="1"/>
    <s v="46666481001001"/>
    <n v="-66.86"/>
    <n v="2442"/>
    <n v="1"/>
    <n v="1"/>
  </r>
  <r>
    <m/>
    <m/>
    <x v="1"/>
    <s v="46684121001001"/>
    <n v="-71.239999999999995"/>
    <n v="2602"/>
    <n v="1"/>
    <n v="1"/>
  </r>
  <r>
    <m/>
    <m/>
    <x v="1"/>
    <s v="46763571002001"/>
    <n v="-7.39"/>
    <n v="270"/>
    <n v="1"/>
    <n v="1"/>
  </r>
  <r>
    <m/>
    <m/>
    <x v="1"/>
    <s v="46768751006006"/>
    <n v="-38.14"/>
    <n v="1393"/>
    <n v="1"/>
    <n v="1"/>
  </r>
  <r>
    <m/>
    <m/>
    <x v="1"/>
    <s v="46774841003005"/>
    <n v="-28.69"/>
    <n v="1048"/>
    <n v="1"/>
    <n v="1"/>
  </r>
  <r>
    <m/>
    <m/>
    <x v="1"/>
    <s v="46786380002003"/>
    <n v="-61.66"/>
    <n v="2252"/>
    <n v="1"/>
    <n v="1"/>
  </r>
  <r>
    <m/>
    <m/>
    <x v="1"/>
    <s v="46799243001001"/>
    <n v="-51.75"/>
    <n v="1890"/>
    <n v="1"/>
    <n v="1"/>
  </r>
  <r>
    <m/>
    <m/>
    <x v="1"/>
    <s v="46827201001001"/>
    <n v="-28.26"/>
    <n v="1032"/>
    <n v="1"/>
    <n v="1"/>
  </r>
  <r>
    <m/>
    <m/>
    <x v="1"/>
    <s v="46829091001001"/>
    <n v="-25.16"/>
    <n v="919"/>
    <n v="1"/>
    <n v="1"/>
  </r>
  <r>
    <m/>
    <m/>
    <x v="1"/>
    <s v="46831051002001"/>
    <n v="-38.85"/>
    <n v="1419"/>
    <n v="1"/>
    <n v="1"/>
  </r>
  <r>
    <m/>
    <m/>
    <x v="1"/>
    <s v="46834201001001"/>
    <n v="-58.73"/>
    <n v="2145"/>
    <n v="1"/>
    <n v="1"/>
  </r>
  <r>
    <m/>
    <m/>
    <x v="1"/>
    <s v="46847221001002"/>
    <n v="-8.82"/>
    <n v="322"/>
    <n v="1"/>
    <n v="1"/>
  </r>
  <r>
    <m/>
    <m/>
    <x v="1"/>
    <s v="46861661001001"/>
    <n v="-35.619999999999997"/>
    <n v="1301"/>
    <n v="1"/>
    <n v="1"/>
  </r>
  <r>
    <m/>
    <m/>
    <x v="1"/>
    <s v="46948371001001"/>
    <n v="-20.260000000000002"/>
    <n v="740"/>
    <n v="1"/>
    <n v="1"/>
  </r>
  <r>
    <m/>
    <m/>
    <x v="1"/>
    <s v="46962301001002"/>
    <n v="-10.87"/>
    <n v="397"/>
    <n v="1"/>
    <n v="1"/>
  </r>
  <r>
    <m/>
    <m/>
    <x v="1"/>
    <s v="46966151001003"/>
    <n v="-18.149999999999999"/>
    <n v="663"/>
    <n v="1"/>
    <n v="1"/>
  </r>
  <r>
    <m/>
    <m/>
    <x v="1"/>
    <s v="47113431001001"/>
    <n v="-35.29"/>
    <n v="1289"/>
    <n v="1"/>
    <n v="1"/>
  </r>
  <r>
    <m/>
    <m/>
    <x v="1"/>
    <s v="47161241001003"/>
    <n v="-31.79"/>
    <n v="1161"/>
    <n v="1"/>
    <n v="1"/>
  </r>
  <r>
    <m/>
    <m/>
    <x v="1"/>
    <s v="47179931001006"/>
    <n v="-30.88"/>
    <n v="1128"/>
    <n v="1"/>
    <n v="1"/>
  </r>
  <r>
    <m/>
    <m/>
    <x v="1"/>
    <s v="47194351001001"/>
    <n v="-26.39"/>
    <n v="964"/>
    <n v="1"/>
    <n v="1"/>
  </r>
  <r>
    <m/>
    <m/>
    <x v="1"/>
    <s v="47199424001002"/>
    <n v="-37.92"/>
    <n v="1385"/>
    <n v="1"/>
    <n v="1"/>
  </r>
  <r>
    <m/>
    <m/>
    <x v="1"/>
    <s v="47230121003006"/>
    <n v="-10.43"/>
    <n v="381"/>
    <n v="1"/>
    <n v="1"/>
  </r>
  <r>
    <m/>
    <m/>
    <x v="1"/>
    <s v="47260062001002"/>
    <n v="-14.65"/>
    <n v="535"/>
    <n v="1"/>
    <n v="1"/>
  </r>
  <r>
    <m/>
    <m/>
    <x v="1"/>
    <s v="47311671002002"/>
    <n v="-36"/>
    <n v="1315"/>
    <n v="1"/>
    <n v="1"/>
  </r>
  <r>
    <m/>
    <m/>
    <x v="1"/>
    <s v="47321401002002"/>
    <n v="-28.01"/>
    <n v="1023"/>
    <n v="1"/>
    <n v="1"/>
  </r>
  <r>
    <m/>
    <m/>
    <x v="1"/>
    <s v="47327071003002"/>
    <n v="-1.2"/>
    <n v="44"/>
    <n v="1"/>
    <n v="1"/>
  </r>
  <r>
    <m/>
    <m/>
    <x v="1"/>
    <s v="47340721002001"/>
    <n v="-4.13"/>
    <n v="151"/>
    <n v="1"/>
    <n v="1"/>
  </r>
  <r>
    <m/>
    <m/>
    <x v="1"/>
    <s v="47354441001003"/>
    <n v="-86.11"/>
    <n v="3145"/>
    <n v="1"/>
    <n v="1"/>
  </r>
  <r>
    <m/>
    <m/>
    <x v="1"/>
    <s v="47354861004001"/>
    <n v="-4.55"/>
    <n v="166"/>
    <n v="1"/>
    <n v="1"/>
  </r>
  <r>
    <m/>
    <m/>
    <x v="1"/>
    <s v="47356829001002"/>
    <n v="-7.45"/>
    <n v="272"/>
    <n v="1"/>
    <n v="1"/>
  </r>
  <r>
    <m/>
    <m/>
    <x v="1"/>
    <s v="47382371002004"/>
    <n v="-6.11"/>
    <n v="223"/>
    <n v="1"/>
    <n v="1"/>
  </r>
  <r>
    <m/>
    <m/>
    <x v="1"/>
    <s v="47484221001003"/>
    <n v="-13.44"/>
    <n v="491"/>
    <n v="1"/>
    <n v="1"/>
  </r>
  <r>
    <m/>
    <m/>
    <x v="1"/>
    <s v="47501091001002"/>
    <n v="-35.07"/>
    <n v="1281"/>
    <n v="1"/>
    <n v="1"/>
  </r>
  <r>
    <m/>
    <m/>
    <x v="1"/>
    <s v="47557441001002"/>
    <n v="-45.81"/>
    <n v="1673"/>
    <n v="1"/>
    <n v="1"/>
  </r>
  <r>
    <m/>
    <m/>
    <x v="1"/>
    <s v="47600631003001"/>
    <n v="-35.840000000000003"/>
    <n v="1309"/>
    <n v="1"/>
    <n v="1"/>
  </r>
  <r>
    <m/>
    <m/>
    <x v="1"/>
    <s v="47605461003004"/>
    <n v="-28.69"/>
    <n v="1048"/>
    <n v="1"/>
    <n v="1"/>
  </r>
  <r>
    <m/>
    <m/>
    <x v="1"/>
    <s v="47650471003001"/>
    <n v="-45.18"/>
    <n v="1650"/>
    <n v="1"/>
    <n v="1"/>
  </r>
  <r>
    <m/>
    <m/>
    <x v="1"/>
    <s v="47670141001007"/>
    <n v="-12.49"/>
    <n v="456"/>
    <n v="1"/>
    <n v="1"/>
  </r>
  <r>
    <m/>
    <m/>
    <x v="1"/>
    <s v="47673221001005"/>
    <n v="-28.91"/>
    <n v="1056"/>
    <n v="1"/>
    <n v="1"/>
  </r>
  <r>
    <m/>
    <m/>
    <x v="1"/>
    <s v="47682181001016"/>
    <n v="-17.170000000000002"/>
    <n v="627"/>
    <n v="1"/>
    <n v="1"/>
  </r>
  <r>
    <m/>
    <m/>
    <x v="1"/>
    <s v="47756941004001"/>
    <n v="-25.11"/>
    <n v="917"/>
    <n v="1"/>
    <n v="1"/>
  </r>
  <r>
    <m/>
    <m/>
    <x v="1"/>
    <s v="47759881007003"/>
    <n v="-22.48"/>
    <n v="821"/>
    <n v="1"/>
    <n v="1"/>
  </r>
  <r>
    <m/>
    <m/>
    <x v="1"/>
    <s v="47770871001001"/>
    <n v="-40.799999999999997"/>
    <n v="1490"/>
    <n v="1"/>
    <n v="1"/>
  </r>
  <r>
    <m/>
    <m/>
    <x v="1"/>
    <s v="47821341001001"/>
    <n v="-53.06"/>
    <n v="1938"/>
    <n v="1"/>
    <n v="1"/>
  </r>
  <r>
    <m/>
    <m/>
    <x v="1"/>
    <s v="47822951004003"/>
    <n v="-7.99"/>
    <n v="292"/>
    <n v="1"/>
    <n v="1"/>
  </r>
  <r>
    <m/>
    <m/>
    <x v="1"/>
    <s v="47826619001001"/>
    <n v="-48.93"/>
    <n v="1787"/>
    <n v="1"/>
    <n v="1"/>
  </r>
  <r>
    <m/>
    <m/>
    <x v="1"/>
    <s v="47837581001001"/>
    <n v="-30.97"/>
    <n v="1131"/>
    <n v="1"/>
    <n v="1"/>
  </r>
  <r>
    <m/>
    <m/>
    <x v="1"/>
    <s v="47854171001002"/>
    <n v="-59.61"/>
    <n v="2177"/>
    <n v="1"/>
    <n v="1"/>
  </r>
  <r>
    <m/>
    <m/>
    <x v="1"/>
    <s v="47883851001004"/>
    <n v="-54.62"/>
    <n v="1995"/>
    <n v="1"/>
    <n v="1"/>
  </r>
  <r>
    <m/>
    <m/>
    <x v="1"/>
    <s v="47943771004001"/>
    <n v="-47.78"/>
    <n v="1745"/>
    <n v="1"/>
    <n v="1"/>
  </r>
  <r>
    <m/>
    <m/>
    <x v="1"/>
    <s v="47943981001003"/>
    <n v="-24.89"/>
    <n v="909"/>
    <n v="1"/>
    <n v="1"/>
  </r>
  <r>
    <m/>
    <m/>
    <x v="1"/>
    <s v="47945381004001"/>
    <n v="-64.84"/>
    <n v="2368"/>
    <n v="1"/>
    <n v="1"/>
  </r>
  <r>
    <m/>
    <m/>
    <x v="1"/>
    <s v="47971841001005"/>
    <n v="-36.03"/>
    <n v="1316"/>
    <n v="1"/>
    <n v="1"/>
  </r>
  <r>
    <m/>
    <m/>
    <x v="1"/>
    <s v="48036521001001"/>
    <n v="-28.06"/>
    <n v="1025"/>
    <n v="1"/>
    <n v="1"/>
  </r>
  <r>
    <m/>
    <m/>
    <x v="1"/>
    <s v="48037781001001"/>
    <n v="-33.9"/>
    <n v="1238"/>
    <n v="1"/>
    <n v="1"/>
  </r>
  <r>
    <m/>
    <m/>
    <x v="1"/>
    <s v="48109251001002"/>
    <n v="-15.47"/>
    <n v="565"/>
    <n v="1"/>
    <n v="1"/>
  </r>
  <r>
    <m/>
    <m/>
    <x v="1"/>
    <s v="48115551001002"/>
    <n v="-0.47"/>
    <n v="17"/>
    <n v="1"/>
    <n v="1"/>
  </r>
  <r>
    <m/>
    <m/>
    <x v="1"/>
    <s v="48115691001003"/>
    <n v="-18.809999999999999"/>
    <n v="687"/>
    <n v="1"/>
    <n v="1"/>
  </r>
  <r>
    <m/>
    <m/>
    <x v="1"/>
    <s v="48124752001001"/>
    <n v="-42.63"/>
    <n v="1557"/>
    <n v="1"/>
    <n v="1"/>
  </r>
  <r>
    <m/>
    <m/>
    <x v="1"/>
    <s v="48168055001001"/>
    <n v="-59.61"/>
    <n v="2177"/>
    <n v="1"/>
    <n v="1"/>
  </r>
  <r>
    <m/>
    <m/>
    <x v="1"/>
    <s v="48182681001001"/>
    <n v="-19.739999999999998"/>
    <n v="721"/>
    <n v="1"/>
    <n v="1"/>
  </r>
  <r>
    <m/>
    <m/>
    <x v="1"/>
    <s v="48194791003001"/>
    <n v="-29.98"/>
    <n v="1095"/>
    <n v="1"/>
    <n v="1"/>
  </r>
  <r>
    <m/>
    <m/>
    <x v="1"/>
    <s v="48214181001001"/>
    <n v="-44.88"/>
    <n v="1639"/>
    <n v="1"/>
    <n v="1"/>
  </r>
  <r>
    <m/>
    <m/>
    <x v="1"/>
    <s v="48215861001001"/>
    <n v="-40.25"/>
    <n v="1470"/>
    <n v="1"/>
    <n v="1"/>
  </r>
  <r>
    <m/>
    <m/>
    <x v="1"/>
    <s v="48278021001002"/>
    <n v="-9.42"/>
    <n v="344"/>
    <n v="1"/>
    <n v="1"/>
  </r>
  <r>
    <m/>
    <m/>
    <x v="1"/>
    <s v="48474794001001"/>
    <n v="-40.58"/>
    <n v="1482"/>
    <n v="1"/>
    <n v="1"/>
  </r>
  <r>
    <m/>
    <m/>
    <x v="1"/>
    <s v="48524754001001"/>
    <n v="-42.22"/>
    <n v="1542"/>
    <n v="1"/>
    <n v="1"/>
  </r>
  <r>
    <m/>
    <m/>
    <x v="1"/>
    <s v="48561381001003"/>
    <n v="-46.19"/>
    <n v="1687"/>
    <n v="1"/>
    <n v="1"/>
  </r>
  <r>
    <m/>
    <m/>
    <x v="1"/>
    <s v="48629818001001"/>
    <n v="-24.61"/>
    <n v="899"/>
    <n v="1"/>
    <n v="1"/>
  </r>
  <r>
    <m/>
    <m/>
    <x v="1"/>
    <s v="48660341001001"/>
    <n v="-6"/>
    <n v="219"/>
    <n v="1"/>
    <n v="1"/>
  </r>
  <r>
    <m/>
    <m/>
    <x v="1"/>
    <s v="48752136001002"/>
    <n v="-10.130000000000001"/>
    <n v="370"/>
    <n v="1"/>
    <n v="1"/>
  </r>
  <r>
    <m/>
    <m/>
    <x v="1"/>
    <s v="48754161004001"/>
    <n v="-66.75"/>
    <n v="2438"/>
    <n v="1"/>
    <n v="1"/>
  </r>
  <r>
    <m/>
    <m/>
    <x v="1"/>
    <s v="48762278001001"/>
    <n v="-48.35"/>
    <n v="1766"/>
    <n v="1"/>
    <n v="1"/>
  </r>
  <r>
    <m/>
    <m/>
    <x v="1"/>
    <s v="48765518001002"/>
    <n v="-36.58"/>
    <n v="1336"/>
    <n v="1"/>
    <n v="1"/>
  </r>
  <r>
    <m/>
    <m/>
    <x v="1"/>
    <s v="48813381002001"/>
    <n v="-40.99"/>
    <n v="1497"/>
    <n v="1"/>
    <n v="1"/>
  </r>
  <r>
    <m/>
    <m/>
    <x v="1"/>
    <s v="48949115001001"/>
    <n v="-52.3"/>
    <n v="1910"/>
    <n v="1"/>
    <n v="1"/>
  </r>
  <r>
    <m/>
    <m/>
    <x v="1"/>
    <s v="49145181001005"/>
    <n v="-31.76"/>
    <n v="1160"/>
    <n v="1"/>
    <n v="1"/>
  </r>
  <r>
    <m/>
    <m/>
    <x v="1"/>
    <s v="49211191004006"/>
    <n v="-101.22"/>
    <n v="3697"/>
    <n v="1"/>
    <n v="1"/>
  </r>
  <r>
    <m/>
    <m/>
    <x v="1"/>
    <s v="49262361003001"/>
    <n v="-55.94"/>
    <n v="2043"/>
    <n v="1"/>
    <n v="1"/>
  </r>
  <r>
    <m/>
    <m/>
    <x v="1"/>
    <s v="49267961004003"/>
    <n v="-10.46"/>
    <n v="382"/>
    <n v="1"/>
    <n v="1"/>
  </r>
  <r>
    <m/>
    <m/>
    <x v="1"/>
    <s v="49295541002001"/>
    <n v="-47.31"/>
    <n v="1728"/>
    <n v="1"/>
    <n v="1"/>
  </r>
  <r>
    <m/>
    <m/>
    <x v="1"/>
    <s v="49298970001001"/>
    <n v="-27.98"/>
    <n v="1022"/>
    <n v="1"/>
    <n v="1"/>
  </r>
  <r>
    <m/>
    <m/>
    <x v="1"/>
    <s v="49315865001001"/>
    <n v="-15.28"/>
    <n v="558"/>
    <n v="1"/>
    <n v="1"/>
  </r>
  <r>
    <m/>
    <m/>
    <x v="1"/>
    <s v="49371491001002"/>
    <n v="-56.68"/>
    <n v="2070"/>
    <n v="1"/>
    <n v="1"/>
  </r>
  <r>
    <m/>
    <m/>
    <x v="1"/>
    <s v="49418111002001"/>
    <n v="-13.14"/>
    <n v="480"/>
    <n v="1"/>
    <n v="1"/>
  </r>
  <r>
    <m/>
    <m/>
    <x v="1"/>
    <s v="49436870001001"/>
    <n v="-33.49"/>
    <n v="1223"/>
    <n v="1"/>
    <n v="1"/>
  </r>
  <r>
    <m/>
    <m/>
    <x v="1"/>
    <s v="49448561001001"/>
    <n v="-59.09"/>
    <n v="2158"/>
    <n v="1"/>
    <n v="1"/>
  </r>
  <r>
    <m/>
    <m/>
    <x v="1"/>
    <s v="49495461002007"/>
    <n v="-16.62"/>
    <n v="607"/>
    <n v="1"/>
    <n v="1"/>
  </r>
  <r>
    <m/>
    <m/>
    <x v="1"/>
    <s v="49495741001001"/>
    <n v="-38.99"/>
    <n v="1424"/>
    <n v="1"/>
    <n v="1"/>
  </r>
  <r>
    <m/>
    <m/>
    <x v="1"/>
    <s v="49528221002003"/>
    <n v="-48.57"/>
    <n v="1774"/>
    <n v="1"/>
    <n v="1"/>
  </r>
  <r>
    <m/>
    <m/>
    <x v="1"/>
    <s v="49549801001003"/>
    <n v="-35.9"/>
    <n v="1311"/>
    <n v="1"/>
    <n v="1"/>
  </r>
  <r>
    <m/>
    <m/>
    <x v="1"/>
    <s v="49580313001008"/>
    <n v="-35.130000000000003"/>
    <n v="1283"/>
    <n v="1"/>
    <n v="1"/>
  </r>
  <r>
    <m/>
    <m/>
    <x v="1"/>
    <s v="49600181003002"/>
    <n v="-37.89"/>
    <n v="1384"/>
    <n v="1"/>
    <n v="1"/>
  </r>
  <r>
    <m/>
    <m/>
    <x v="1"/>
    <s v="49613481002001"/>
    <n v="-71.3"/>
    <n v="2604"/>
    <n v="1"/>
    <n v="1"/>
  </r>
  <r>
    <m/>
    <m/>
    <x v="1"/>
    <s v="49649391002003"/>
    <n v="-46.74"/>
    <n v="1707"/>
    <n v="1"/>
    <n v="1"/>
  </r>
  <r>
    <m/>
    <m/>
    <x v="1"/>
    <s v="49702654001002"/>
    <n v="-15.36"/>
    <n v="561"/>
    <n v="1"/>
    <n v="1"/>
  </r>
  <r>
    <m/>
    <m/>
    <x v="1"/>
    <s v="49705321003001"/>
    <n v="-47.42"/>
    <n v="1732"/>
    <n v="1"/>
    <n v="1"/>
  </r>
  <r>
    <m/>
    <m/>
    <x v="1"/>
    <s v="49717151001001"/>
    <n v="-37.15"/>
    <n v="1357"/>
    <n v="1"/>
    <n v="1"/>
  </r>
  <r>
    <m/>
    <m/>
    <x v="1"/>
    <s v="49762441001002"/>
    <n v="-2.6"/>
    <n v="95"/>
    <n v="1"/>
    <n v="1"/>
  </r>
  <r>
    <m/>
    <m/>
    <x v="1"/>
    <s v="49866391001002"/>
    <n v="-19.66"/>
    <n v="718"/>
    <n v="1"/>
    <n v="1"/>
  </r>
  <r>
    <m/>
    <m/>
    <x v="1"/>
    <s v="49916861001001"/>
    <n v="-27.35"/>
    <n v="999"/>
    <n v="1"/>
    <n v="1"/>
  </r>
  <r>
    <m/>
    <m/>
    <x v="1"/>
    <s v="49949341001003"/>
    <n v="-2.74"/>
    <n v="100"/>
    <n v="1"/>
    <n v="1"/>
  </r>
  <r>
    <m/>
    <m/>
    <x v="1"/>
    <s v="49950321001002"/>
    <n v="-4.96"/>
    <n v="181"/>
    <n v="1"/>
    <n v="1"/>
  </r>
  <r>
    <m/>
    <m/>
    <x v="1"/>
    <s v="49965791001003"/>
    <n v="-5.28"/>
    <n v="193"/>
    <n v="1"/>
    <n v="1"/>
  </r>
  <r>
    <m/>
    <m/>
    <x v="1"/>
    <s v="49992415001001"/>
    <n v="-26.7"/>
    <n v="975"/>
    <n v="1"/>
    <n v="1"/>
  </r>
  <r>
    <m/>
    <m/>
    <x v="1"/>
    <s v="50027341001001"/>
    <n v="-41.81"/>
    <n v="1527"/>
    <n v="1"/>
    <n v="1"/>
  </r>
  <r>
    <m/>
    <m/>
    <x v="1"/>
    <s v="50032081001001"/>
    <n v="-56.68"/>
    <n v="2070"/>
    <n v="1"/>
    <n v="1"/>
  </r>
  <r>
    <m/>
    <m/>
    <x v="1"/>
    <s v="50034111002001"/>
    <n v="-40.11"/>
    <n v="1465"/>
    <n v="1"/>
    <n v="1"/>
  </r>
  <r>
    <m/>
    <m/>
    <x v="1"/>
    <s v="50095781001001"/>
    <n v="-27.11"/>
    <n v="990"/>
    <n v="1"/>
    <n v="1"/>
  </r>
  <r>
    <m/>
    <m/>
    <x v="1"/>
    <s v="50112861003001"/>
    <n v="-48.24"/>
    <n v="1762"/>
    <n v="1"/>
    <n v="1"/>
  </r>
  <r>
    <m/>
    <m/>
    <x v="1"/>
    <s v="50173481004001"/>
    <n v="-17.88"/>
    <n v="653"/>
    <n v="1"/>
    <n v="1"/>
  </r>
  <r>
    <m/>
    <m/>
    <x v="1"/>
    <s v="50180411011001"/>
    <n v="-29.19"/>
    <n v="1066"/>
    <n v="1"/>
    <n v="1"/>
  </r>
  <r>
    <m/>
    <m/>
    <x v="1"/>
    <s v="50186781001001"/>
    <n v="-53.34"/>
    <n v="1948"/>
    <n v="1"/>
    <n v="1"/>
  </r>
  <r>
    <m/>
    <m/>
    <x v="1"/>
    <s v="50198191001001"/>
    <n v="-60.87"/>
    <n v="2223"/>
    <n v="1"/>
    <n v="1"/>
  </r>
  <r>
    <m/>
    <m/>
    <x v="1"/>
    <s v="50234784001005"/>
    <n v="-52.73"/>
    <n v="1926"/>
    <n v="1"/>
    <n v="1"/>
  </r>
  <r>
    <m/>
    <m/>
    <x v="1"/>
    <s v="50249641001001"/>
    <n v="-62.26"/>
    <n v="2274"/>
    <n v="1"/>
    <n v="1"/>
  </r>
  <r>
    <m/>
    <m/>
    <x v="1"/>
    <s v="50292481001005"/>
    <n v="-10.87"/>
    <n v="397"/>
    <n v="1"/>
    <n v="1"/>
  </r>
  <r>
    <m/>
    <m/>
    <x v="1"/>
    <s v="50305221001001"/>
    <n v="-58.24"/>
    <n v="2127"/>
    <n v="1"/>
    <n v="1"/>
  </r>
  <r>
    <m/>
    <m/>
    <x v="1"/>
    <s v="50368711001001"/>
    <n v="-53.28"/>
    <n v="1946"/>
    <n v="1"/>
    <n v="1"/>
  </r>
  <r>
    <m/>
    <m/>
    <x v="1"/>
    <s v="50396906001003"/>
    <n v="-87.15"/>
    <n v="3183"/>
    <n v="1"/>
    <n v="1"/>
  </r>
  <r>
    <m/>
    <m/>
    <x v="1"/>
    <s v="50425271002004"/>
    <n v="-5.7"/>
    <n v="208"/>
    <n v="1"/>
    <n v="1"/>
  </r>
  <r>
    <m/>
    <m/>
    <x v="1"/>
    <s v="50427931002003"/>
    <n v="-12.84"/>
    <n v="469"/>
    <n v="1"/>
    <n v="1"/>
  </r>
  <r>
    <m/>
    <m/>
    <x v="1"/>
    <s v="50448651006001"/>
    <n v="-36.630000000000003"/>
    <n v="1338"/>
    <n v="1"/>
    <n v="1"/>
  </r>
  <r>
    <m/>
    <m/>
    <x v="1"/>
    <s v="50689606001003"/>
    <n v="-3.92"/>
    <n v="143"/>
    <n v="1"/>
    <n v="1"/>
  </r>
  <r>
    <m/>
    <m/>
    <x v="1"/>
    <s v="50707351001003"/>
    <n v="-95.15"/>
    <n v="3475"/>
    <n v="1"/>
    <n v="1"/>
  </r>
  <r>
    <m/>
    <m/>
    <x v="1"/>
    <s v="50737681001001"/>
    <n v="-16.43"/>
    <n v="600"/>
    <n v="1"/>
    <n v="1"/>
  </r>
  <r>
    <m/>
    <m/>
    <x v="1"/>
    <s v="50739851009002"/>
    <n v="-19.36"/>
    <n v="707"/>
    <n v="1"/>
    <n v="1"/>
  </r>
  <r>
    <m/>
    <m/>
    <x v="1"/>
    <s v="50740761001001"/>
    <n v="-73.13"/>
    <n v="2671"/>
    <n v="1"/>
    <n v="1"/>
  </r>
  <r>
    <m/>
    <m/>
    <x v="1"/>
    <s v="50750911003002"/>
    <n v="-17.14"/>
    <n v="626"/>
    <n v="1"/>
    <n v="1"/>
  </r>
  <r>
    <m/>
    <m/>
    <x v="1"/>
    <s v="50773731001001"/>
    <n v="-15.33"/>
    <n v="560"/>
    <n v="1"/>
    <n v="1"/>
  </r>
  <r>
    <m/>
    <m/>
    <x v="1"/>
    <s v="50774501001001"/>
    <n v="-43.78"/>
    <n v="1599"/>
    <n v="1"/>
    <n v="1"/>
  </r>
  <r>
    <m/>
    <m/>
    <x v="1"/>
    <s v="50779261003001"/>
    <n v="-11.34"/>
    <n v="414"/>
    <n v="1"/>
    <n v="1"/>
  </r>
  <r>
    <m/>
    <m/>
    <x v="1"/>
    <s v="50806272001001"/>
    <n v="-41.21"/>
    <n v="1505"/>
    <n v="1"/>
    <n v="1"/>
  </r>
  <r>
    <m/>
    <m/>
    <x v="1"/>
    <s v="50814821008001"/>
    <n v="-62.4"/>
    <n v="2279"/>
    <n v="1"/>
    <n v="1"/>
  </r>
  <r>
    <m/>
    <m/>
    <x v="1"/>
    <s v="50830571001002"/>
    <n v="-2.27"/>
    <n v="83"/>
    <n v="1"/>
    <n v="1"/>
  </r>
  <r>
    <m/>
    <m/>
    <x v="1"/>
    <s v="50841001001001"/>
    <n v="-0.41"/>
    <n v="15"/>
    <n v="1"/>
    <n v="1"/>
  </r>
  <r>
    <m/>
    <m/>
    <x v="1"/>
    <s v="50849401001002"/>
    <n v="-39.67"/>
    <n v="1449"/>
    <n v="1"/>
    <n v="1"/>
  </r>
  <r>
    <m/>
    <m/>
    <x v="1"/>
    <s v="50858361001001"/>
    <n v="-42.3"/>
    <n v="1545"/>
    <n v="1"/>
    <n v="1"/>
  </r>
  <r>
    <m/>
    <m/>
    <x v="1"/>
    <s v="50858501001001"/>
    <n v="-0.71"/>
    <n v="26"/>
    <n v="1"/>
    <n v="1"/>
  </r>
  <r>
    <m/>
    <m/>
    <x v="1"/>
    <s v="50940891001005"/>
    <n v="-5.37"/>
    <n v="196"/>
    <n v="1"/>
    <n v="1"/>
  </r>
  <r>
    <m/>
    <m/>
    <x v="1"/>
    <s v="50944181001001"/>
    <n v="-11.28"/>
    <n v="412"/>
    <n v="1"/>
    <n v="1"/>
  </r>
  <r>
    <m/>
    <m/>
    <x v="1"/>
    <s v="50968331001004"/>
    <n v="-24.81"/>
    <n v="906"/>
    <n v="1"/>
    <n v="1"/>
  </r>
  <r>
    <m/>
    <m/>
    <x v="1"/>
    <s v="50983591002001"/>
    <n v="-4.41"/>
    <n v="161"/>
    <n v="1"/>
    <n v="1"/>
  </r>
  <r>
    <m/>
    <m/>
    <x v="1"/>
    <s v="50998792001002"/>
    <n v="-28.04"/>
    <n v="1024"/>
    <n v="1"/>
    <n v="1"/>
  </r>
  <r>
    <m/>
    <m/>
    <x v="1"/>
    <s v="51002281001001"/>
    <n v="-45.62"/>
    <n v="1666"/>
    <n v="1"/>
    <n v="1"/>
  </r>
  <r>
    <m/>
    <m/>
    <x v="1"/>
    <s v="51002491002001"/>
    <n v="-10.98"/>
    <n v="401"/>
    <n v="1"/>
    <n v="1"/>
  </r>
  <r>
    <m/>
    <m/>
    <x v="1"/>
    <s v="51004521001001"/>
    <n v="-30.23"/>
    <n v="1104"/>
    <n v="1"/>
    <n v="1"/>
  </r>
  <r>
    <m/>
    <m/>
    <x v="1"/>
    <s v="51005081004002"/>
    <n v="-29.54"/>
    <n v="1079"/>
    <n v="1"/>
    <n v="1"/>
  </r>
  <r>
    <m/>
    <m/>
    <x v="1"/>
    <s v="51006481001002"/>
    <n v="-1.75"/>
    <n v="64"/>
    <n v="1"/>
    <n v="1"/>
  </r>
  <r>
    <m/>
    <m/>
    <x v="1"/>
    <s v="51007181001003"/>
    <n v="-10.98"/>
    <n v="401"/>
    <n v="1"/>
    <n v="1"/>
  </r>
  <r>
    <m/>
    <m/>
    <x v="1"/>
    <s v="51009071001001"/>
    <n v="-26.59"/>
    <n v="971"/>
    <n v="1"/>
    <n v="1"/>
  </r>
  <r>
    <m/>
    <m/>
    <x v="1"/>
    <s v="51010191001001"/>
    <n v="-18.239999999999998"/>
    <n v="666"/>
    <n v="1"/>
    <n v="1"/>
  </r>
  <r>
    <m/>
    <m/>
    <x v="1"/>
    <s v="51027411002001"/>
    <n v="-5.53"/>
    <n v="202"/>
    <n v="1"/>
    <n v="1"/>
  </r>
  <r>
    <m/>
    <m/>
    <x v="1"/>
    <s v="51044080001001"/>
    <n v="-19.989999999999998"/>
    <n v="730"/>
    <n v="1"/>
    <n v="1"/>
  </r>
  <r>
    <m/>
    <m/>
    <x v="1"/>
    <s v="51050021001002"/>
    <n v="-24.4"/>
    <n v="891"/>
    <n v="1"/>
    <n v="1"/>
  </r>
  <r>
    <m/>
    <m/>
    <x v="1"/>
    <s v="51050721001002"/>
    <n v="-33.270000000000003"/>
    <n v="1215"/>
    <n v="1"/>
    <n v="1"/>
  </r>
  <r>
    <m/>
    <m/>
    <x v="1"/>
    <s v="51053871001001"/>
    <n v="-9.4499999999999993"/>
    <n v="345"/>
    <n v="1"/>
    <n v="1"/>
  </r>
  <r>
    <m/>
    <m/>
    <x v="1"/>
    <s v="51067101001006"/>
    <n v="-25.55"/>
    <n v="933"/>
    <n v="1"/>
    <n v="1"/>
  </r>
  <r>
    <m/>
    <m/>
    <x v="1"/>
    <s v="51068641001003"/>
    <n v="-39.76"/>
    <n v="1452"/>
    <n v="1"/>
    <n v="1"/>
  </r>
  <r>
    <m/>
    <m/>
    <x v="1"/>
    <s v="51082221002003"/>
    <n v="-37.07"/>
    <n v="1354"/>
    <n v="1"/>
    <n v="1"/>
  </r>
  <r>
    <m/>
    <m/>
    <x v="1"/>
    <s v="51098181001001"/>
    <n v="-25.98"/>
    <n v="949"/>
    <n v="1"/>
    <n v="1"/>
  </r>
  <r>
    <m/>
    <m/>
    <x v="1"/>
    <s v="51100771003002"/>
    <n v="-100.98"/>
    <n v="3688"/>
    <n v="1"/>
    <n v="1"/>
  </r>
  <r>
    <m/>
    <m/>
    <x v="1"/>
    <s v="51106511001005"/>
    <n v="-35.21"/>
    <n v="1286"/>
    <n v="1"/>
    <n v="1"/>
  </r>
  <r>
    <m/>
    <m/>
    <x v="1"/>
    <s v="51112881010001"/>
    <n v="-57.66"/>
    <n v="2106"/>
    <n v="1"/>
    <n v="1"/>
  </r>
  <r>
    <m/>
    <m/>
    <x v="1"/>
    <s v="51115261001003"/>
    <n v="-23.33"/>
    <n v="852"/>
    <n v="1"/>
    <n v="1"/>
  </r>
  <r>
    <m/>
    <m/>
    <x v="1"/>
    <s v="51118901001001"/>
    <n v="-29.54"/>
    <n v="1079"/>
    <n v="1"/>
    <n v="1"/>
  </r>
  <r>
    <m/>
    <m/>
    <x v="1"/>
    <s v="51122961001001"/>
    <n v="-7.97"/>
    <n v="291"/>
    <n v="1"/>
    <n v="1"/>
  </r>
  <r>
    <m/>
    <m/>
    <x v="1"/>
    <s v="51133041002001"/>
    <n v="-38.549999999999997"/>
    <n v="1408"/>
    <n v="1"/>
    <n v="1"/>
  </r>
  <r>
    <m/>
    <m/>
    <x v="1"/>
    <s v="51136961001002"/>
    <n v="-29.68"/>
    <n v="1084"/>
    <n v="1"/>
    <n v="1"/>
  </r>
  <r>
    <m/>
    <m/>
    <x v="1"/>
    <s v="51138571001004"/>
    <n v="-28.64"/>
    <n v="1046"/>
    <n v="1"/>
    <n v="1"/>
  </r>
  <r>
    <m/>
    <m/>
    <x v="1"/>
    <s v="51151311001002"/>
    <n v="-36.549999999999997"/>
    <n v="1335"/>
    <n v="1"/>
    <n v="1"/>
  </r>
  <r>
    <m/>
    <m/>
    <x v="1"/>
    <s v="51155161001001"/>
    <n v="-21.19"/>
    <n v="774"/>
    <n v="1"/>
    <n v="1"/>
  </r>
  <r>
    <m/>
    <m/>
    <x v="1"/>
    <s v="51155231001001"/>
    <n v="-40.06"/>
    <n v="1463"/>
    <n v="1"/>
    <n v="1"/>
  </r>
  <r>
    <m/>
    <m/>
    <x v="1"/>
    <s v="51165031001003"/>
    <n v="-23.68"/>
    <n v="865"/>
    <n v="1"/>
    <n v="1"/>
  </r>
  <r>
    <m/>
    <m/>
    <x v="1"/>
    <s v="51166641001002"/>
    <n v="-77.680000000000007"/>
    <n v="2837"/>
    <n v="1"/>
    <n v="1"/>
  </r>
  <r>
    <m/>
    <m/>
    <x v="1"/>
    <s v="51169231001001"/>
    <n v="-34.17"/>
    <n v="1248"/>
    <n v="1"/>
    <n v="1"/>
  </r>
  <r>
    <m/>
    <m/>
    <x v="1"/>
    <s v="51173361004001"/>
    <n v="-12.43"/>
    <n v="454"/>
    <n v="1"/>
    <n v="1"/>
  </r>
  <r>
    <m/>
    <m/>
    <x v="1"/>
    <s v="51175111003001"/>
    <n v="-18.510000000000002"/>
    <n v="676"/>
    <n v="1"/>
    <n v="1"/>
  </r>
  <r>
    <m/>
    <m/>
    <x v="1"/>
    <s v="51195901003003"/>
    <n v="-38.17"/>
    <n v="1394"/>
    <n v="1"/>
    <n v="1"/>
  </r>
  <r>
    <m/>
    <m/>
    <x v="1"/>
    <s v="51198001001002"/>
    <n v="-15.5"/>
    <n v="566"/>
    <n v="1"/>
    <n v="1"/>
  </r>
  <r>
    <m/>
    <m/>
    <x v="1"/>
    <s v="51198211001002"/>
    <n v="-32.31"/>
    <n v="1180"/>
    <n v="1"/>
    <n v="1"/>
  </r>
  <r>
    <m/>
    <m/>
    <x v="1"/>
    <s v="51204931003005"/>
    <n v="-25.46"/>
    <n v="930"/>
    <n v="1"/>
    <n v="1"/>
  </r>
  <r>
    <m/>
    <m/>
    <x v="1"/>
    <s v="51211861001003"/>
    <n v="-4.1100000000000003"/>
    <n v="150"/>
    <n v="1"/>
    <n v="1"/>
  </r>
  <r>
    <m/>
    <m/>
    <x v="1"/>
    <s v="51222851001001"/>
    <n v="-17.170000000000002"/>
    <n v="627"/>
    <n v="1"/>
    <n v="1"/>
  </r>
  <r>
    <m/>
    <m/>
    <x v="1"/>
    <s v="51227051001001"/>
    <n v="-8.08"/>
    <n v="295"/>
    <n v="1"/>
    <n v="1"/>
  </r>
  <r>
    <m/>
    <m/>
    <x v="1"/>
    <s v="51230691001001"/>
    <n v="-43.97"/>
    <n v="1606"/>
    <n v="1"/>
    <n v="1"/>
  </r>
  <r>
    <m/>
    <m/>
    <x v="1"/>
    <s v="51232231001002"/>
    <n v="-40.08"/>
    <n v="1464"/>
    <n v="1"/>
    <n v="1"/>
  </r>
  <r>
    <m/>
    <m/>
    <x v="1"/>
    <s v="51236151001001"/>
    <n v="-69.849999999999994"/>
    <n v="2551"/>
    <n v="1"/>
    <n v="1"/>
  </r>
  <r>
    <m/>
    <m/>
    <x v="1"/>
    <s v="51293341001001"/>
    <n v="-47.07"/>
    <n v="1719"/>
    <n v="1"/>
    <n v="1"/>
  </r>
  <r>
    <m/>
    <m/>
    <x v="1"/>
    <s v="51324911001001"/>
    <n v="-27.35"/>
    <n v="999"/>
    <n v="1"/>
    <n v="1"/>
  </r>
  <r>
    <m/>
    <m/>
    <x v="1"/>
    <s v="51328341003001"/>
    <n v="-40.799999999999997"/>
    <n v="1490"/>
    <n v="1"/>
    <n v="1"/>
  </r>
  <r>
    <m/>
    <m/>
    <x v="1"/>
    <s v="51333171001001"/>
    <n v="-77.569999999999993"/>
    <n v="2833"/>
    <n v="1"/>
    <n v="1"/>
  </r>
  <r>
    <m/>
    <m/>
    <x v="1"/>
    <s v="51335971001001"/>
    <n v="-55.47"/>
    <n v="2026"/>
    <n v="1"/>
    <n v="1"/>
  </r>
  <r>
    <m/>
    <m/>
    <x v="1"/>
    <s v="51344791001003"/>
    <n v="-31.98"/>
    <n v="1168"/>
    <n v="1"/>
    <n v="1"/>
  </r>
  <r>
    <m/>
    <m/>
    <x v="1"/>
    <s v="51377341001001"/>
    <n v="-8.49"/>
    <n v="310"/>
    <n v="1"/>
    <n v="1"/>
  </r>
  <r>
    <m/>
    <m/>
    <x v="1"/>
    <s v="51386021001001"/>
    <n v="-1.31"/>
    <n v="48"/>
    <n v="1"/>
    <n v="1"/>
  </r>
  <r>
    <m/>
    <m/>
    <x v="1"/>
    <s v="51405131001001"/>
    <n v="-29"/>
    <n v="1059"/>
    <n v="1"/>
    <n v="1"/>
  </r>
  <r>
    <m/>
    <m/>
    <x v="1"/>
    <s v="51416681001001"/>
    <n v="-42.11"/>
    <n v="1538"/>
    <n v="1"/>
    <n v="1"/>
  </r>
  <r>
    <m/>
    <m/>
    <x v="1"/>
    <s v="51456371002001"/>
    <n v="-2.25"/>
    <n v="82"/>
    <n v="1"/>
    <n v="1"/>
  </r>
  <r>
    <m/>
    <m/>
    <x v="1"/>
    <s v="51462741002002"/>
    <n v="-47.67"/>
    <n v="1741"/>
    <n v="1"/>
    <n v="1"/>
  </r>
  <r>
    <m/>
    <m/>
    <x v="1"/>
    <s v="51513351001001"/>
    <n v="-33.79"/>
    <n v="1234"/>
    <n v="1"/>
    <n v="1"/>
  </r>
  <r>
    <m/>
    <m/>
    <x v="1"/>
    <s v="51514331001001"/>
    <n v="-20.89"/>
    <n v="763"/>
    <n v="1"/>
    <n v="1"/>
  </r>
  <r>
    <m/>
    <m/>
    <x v="1"/>
    <s v="51519861001003"/>
    <n v="-36.03"/>
    <n v="1316"/>
    <n v="1"/>
    <n v="1"/>
  </r>
  <r>
    <m/>
    <m/>
    <x v="1"/>
    <s v="51525601001002"/>
    <n v="-11.64"/>
    <n v="425"/>
    <n v="1"/>
    <n v="1"/>
  </r>
  <r>
    <m/>
    <m/>
    <x v="1"/>
    <s v="51529534001001"/>
    <n v="-30.12"/>
    <n v="1100"/>
    <n v="1"/>
    <n v="1"/>
  </r>
  <r>
    <m/>
    <m/>
    <x v="1"/>
    <s v="51531201001001"/>
    <n v="-14.79"/>
    <n v="540"/>
    <n v="1"/>
    <n v="1"/>
  </r>
  <r>
    <m/>
    <m/>
    <x v="1"/>
    <s v="51536031001001"/>
    <n v="-10.71"/>
    <n v="391"/>
    <n v="1"/>
    <n v="1"/>
  </r>
  <r>
    <m/>
    <m/>
    <x v="1"/>
    <s v="51555701001005"/>
    <n v="-40.36"/>
    <n v="1474"/>
    <n v="1"/>
    <n v="1"/>
  </r>
  <r>
    <m/>
    <m/>
    <x v="1"/>
    <s v="51560951001001"/>
    <n v="-56.27"/>
    <n v="2055"/>
    <n v="1"/>
    <n v="1"/>
  </r>
  <r>
    <m/>
    <m/>
    <x v="1"/>
    <s v="51567531001002"/>
    <n v="-28.67"/>
    <n v="1047"/>
    <n v="1"/>
    <n v="1"/>
  </r>
  <r>
    <m/>
    <m/>
    <x v="1"/>
    <s v="51578031001001"/>
    <n v="-38.770000000000003"/>
    <n v="1416"/>
    <n v="1"/>
    <n v="1"/>
  </r>
  <r>
    <m/>
    <m/>
    <x v="1"/>
    <s v="51579291002005"/>
    <n v="-30.83"/>
    <n v="1126"/>
    <n v="1"/>
    <n v="1"/>
  </r>
  <r>
    <m/>
    <m/>
    <x v="1"/>
    <s v="51591471001001"/>
    <n v="-23.79"/>
    <n v="869"/>
    <n v="1"/>
    <n v="1"/>
  </r>
  <r>
    <m/>
    <m/>
    <x v="1"/>
    <s v="51593291002001"/>
    <n v="-42.25"/>
    <n v="1543"/>
    <n v="1"/>
    <n v="1"/>
  </r>
  <r>
    <m/>
    <m/>
    <x v="1"/>
    <s v="51597701001005"/>
    <n v="-6.05"/>
    <n v="221"/>
    <n v="1"/>
    <n v="1"/>
  </r>
  <r>
    <m/>
    <m/>
    <x v="1"/>
    <s v="51603091001001"/>
    <n v="-53.23"/>
    <n v="1944"/>
    <n v="1"/>
    <n v="1"/>
  </r>
  <r>
    <m/>
    <m/>
    <x v="1"/>
    <s v="51603441001001"/>
    <n v="-35.020000000000003"/>
    <n v="1279"/>
    <n v="1"/>
    <n v="1"/>
  </r>
  <r>
    <m/>
    <m/>
    <x v="1"/>
    <s v="51604071001005"/>
    <n v="-6"/>
    <n v="219"/>
    <n v="1"/>
    <n v="1"/>
  </r>
  <r>
    <m/>
    <m/>
    <x v="1"/>
    <s v="51616671002003"/>
    <n v="-61.41"/>
    <n v="2243"/>
    <n v="1"/>
    <n v="1"/>
  </r>
  <r>
    <m/>
    <m/>
    <x v="1"/>
    <s v="51618981001001"/>
    <n v="-46"/>
    <n v="1680"/>
    <n v="1"/>
    <n v="1"/>
  </r>
  <r>
    <m/>
    <m/>
    <x v="1"/>
    <s v="51625841001001"/>
    <n v="-29.95"/>
    <n v="1094"/>
    <n v="1"/>
    <n v="1"/>
  </r>
  <r>
    <m/>
    <m/>
    <x v="1"/>
    <s v="51625911001001"/>
    <n v="-9.36"/>
    <n v="342"/>
    <n v="1"/>
    <n v="1"/>
  </r>
  <r>
    <m/>
    <m/>
    <x v="1"/>
    <s v="51627031001001"/>
    <n v="-24.61"/>
    <n v="899"/>
    <n v="1"/>
    <n v="1"/>
  </r>
  <r>
    <m/>
    <m/>
    <x v="1"/>
    <s v="51665573001001"/>
    <n v="-32.799999999999997"/>
    <n v="1198"/>
    <n v="1"/>
    <n v="1"/>
  </r>
  <r>
    <m/>
    <m/>
    <x v="1"/>
    <s v="51709201001002"/>
    <n v="-31.16"/>
    <n v="1138"/>
    <n v="1"/>
    <n v="1"/>
  </r>
  <r>
    <m/>
    <m/>
    <x v="1"/>
    <s v="51804380001001"/>
    <n v="-23.36"/>
    <n v="853"/>
    <n v="1"/>
    <n v="1"/>
  </r>
  <r>
    <m/>
    <m/>
    <x v="1"/>
    <s v="51917069001003"/>
    <n v="-11.61"/>
    <n v="424"/>
    <n v="1"/>
    <n v="1"/>
  </r>
  <r>
    <m/>
    <m/>
    <x v="1"/>
    <s v="52062336001003"/>
    <n v="-2.68"/>
    <n v="98"/>
    <n v="1"/>
    <n v="1"/>
  </r>
  <r>
    <m/>
    <m/>
    <x v="1"/>
    <s v="52150699001001"/>
    <n v="-44.77"/>
    <n v="1635"/>
    <n v="1"/>
    <n v="1"/>
  </r>
  <r>
    <m/>
    <m/>
    <x v="1"/>
    <s v="52236917004001"/>
    <n v="-25.9"/>
    <n v="946"/>
    <n v="1"/>
    <n v="1"/>
  </r>
  <r>
    <m/>
    <m/>
    <x v="1"/>
    <s v="52300638004001"/>
    <n v="-9.8800000000000008"/>
    <n v="361"/>
    <n v="1"/>
    <n v="1"/>
  </r>
  <r>
    <m/>
    <m/>
    <x v="1"/>
    <s v="52411414001001"/>
    <n v="-48.44"/>
    <n v="1769"/>
    <n v="1"/>
    <n v="1"/>
  </r>
  <r>
    <m/>
    <m/>
    <x v="1"/>
    <s v="52724555001001"/>
    <n v="-67.88"/>
    <n v="2479"/>
    <n v="1"/>
    <n v="1"/>
  </r>
  <r>
    <m/>
    <m/>
    <x v="1"/>
    <s v="53001899001007"/>
    <n v="-60.02"/>
    <n v="2192"/>
    <n v="1"/>
    <n v="1"/>
  </r>
  <r>
    <m/>
    <m/>
    <x v="1"/>
    <s v="53097867001003"/>
    <n v="-29.87"/>
    <n v="1091"/>
    <n v="1"/>
    <n v="1"/>
  </r>
  <r>
    <m/>
    <m/>
    <x v="1"/>
    <s v="53296048001001"/>
    <n v="-25.82"/>
    <n v="943"/>
    <n v="1"/>
    <n v="1"/>
  </r>
  <r>
    <m/>
    <m/>
    <x v="1"/>
    <s v="53307067003008"/>
    <n v="-95.31"/>
    <n v="3481"/>
    <n v="1"/>
    <n v="1"/>
  </r>
  <r>
    <m/>
    <m/>
    <x v="1"/>
    <s v="53358702001003"/>
    <n v="-10.87"/>
    <n v="397"/>
    <n v="1"/>
    <n v="1"/>
  </r>
  <r>
    <m/>
    <m/>
    <x v="1"/>
    <s v="53400662001001"/>
    <n v="-58.57"/>
    <n v="2139"/>
    <n v="1"/>
    <n v="1"/>
  </r>
  <r>
    <m/>
    <m/>
    <x v="1"/>
    <s v="53513269001001"/>
    <n v="-31.19"/>
    <n v="1139"/>
    <n v="1"/>
    <n v="1"/>
  </r>
  <r>
    <m/>
    <m/>
    <x v="1"/>
    <s v="53697250001001"/>
    <n v="-35.68"/>
    <n v="1303"/>
    <n v="1"/>
    <n v="1"/>
  </r>
  <r>
    <m/>
    <m/>
    <x v="1"/>
    <s v="53915118004001"/>
    <n v="-31.65"/>
    <n v="1156"/>
    <n v="1"/>
    <n v="1"/>
  </r>
  <r>
    <m/>
    <m/>
    <x v="1"/>
    <s v="54346046001001"/>
    <n v="-37.92"/>
    <n v="1385"/>
    <n v="1"/>
    <n v="1"/>
  </r>
  <r>
    <m/>
    <m/>
    <x v="1"/>
    <s v="54604589002003"/>
    <n v="-6.6"/>
    <n v="241"/>
    <n v="1"/>
    <n v="1"/>
  </r>
  <r>
    <m/>
    <m/>
    <x v="1"/>
    <s v="54684255001001"/>
    <n v="-39.67"/>
    <n v="1449"/>
    <n v="1"/>
    <n v="1"/>
  </r>
  <r>
    <m/>
    <m/>
    <x v="1"/>
    <s v="54687727001003"/>
    <n v="-5.67"/>
    <n v="207"/>
    <n v="1"/>
    <n v="1"/>
  </r>
  <r>
    <m/>
    <m/>
    <x v="1"/>
    <s v="54706933001001"/>
    <n v="-39.54"/>
    <n v="1444"/>
    <n v="1"/>
    <n v="1"/>
  </r>
  <r>
    <m/>
    <m/>
    <x v="1"/>
    <s v="54980338001003"/>
    <n v="-59.17"/>
    <n v="2161"/>
    <n v="1"/>
    <n v="1"/>
  </r>
  <r>
    <m/>
    <m/>
    <x v="1"/>
    <s v="55334382001001"/>
    <n v="-42.85"/>
    <n v="1565"/>
    <n v="1"/>
    <n v="1"/>
  </r>
  <r>
    <m/>
    <m/>
    <x v="1"/>
    <s v="55371499001001"/>
    <n v="-29.19"/>
    <n v="1066"/>
    <n v="1"/>
    <n v="1"/>
  </r>
  <r>
    <m/>
    <m/>
    <x v="1"/>
    <s v="55986304001001"/>
    <n v="-50.84"/>
    <n v="1857"/>
    <n v="1"/>
    <n v="1"/>
  </r>
  <r>
    <m/>
    <m/>
    <x v="1"/>
    <s v="56095941001001"/>
    <n v="-82.69"/>
    <n v="3020"/>
    <n v="1"/>
    <n v="1"/>
  </r>
  <r>
    <m/>
    <m/>
    <x v="1"/>
    <s v="56528096001002"/>
    <n v="-26.61"/>
    <n v="972"/>
    <n v="1"/>
    <n v="1"/>
  </r>
  <r>
    <m/>
    <m/>
    <x v="1"/>
    <s v="57023876001009"/>
    <n v="-29.43"/>
    <n v="1075"/>
    <n v="1"/>
    <n v="1"/>
  </r>
  <r>
    <m/>
    <m/>
    <x v="1"/>
    <s v="57038793001001"/>
    <n v="-82.41"/>
    <n v="3010"/>
    <n v="1"/>
    <n v="1"/>
  </r>
  <r>
    <m/>
    <m/>
    <x v="1"/>
    <s v="57157582001007"/>
    <n v="-34.229999999999997"/>
    <n v="1250"/>
    <n v="1"/>
    <n v="1"/>
  </r>
  <r>
    <m/>
    <m/>
    <x v="1"/>
    <s v="57422963001002"/>
    <n v="-30.25"/>
    <n v="1105"/>
    <n v="1"/>
    <n v="1"/>
  </r>
  <r>
    <m/>
    <m/>
    <x v="1"/>
    <s v="57564327001001"/>
    <n v="-13.55"/>
    <n v="495"/>
    <n v="1"/>
    <n v="1"/>
  </r>
  <r>
    <m/>
    <m/>
    <x v="1"/>
    <s v="57674970002001"/>
    <n v="-65.03"/>
    <n v="2375"/>
    <n v="1"/>
    <n v="1"/>
  </r>
  <r>
    <m/>
    <m/>
    <x v="1"/>
    <s v="57703524001001"/>
    <n v="-6.65"/>
    <n v="243"/>
    <n v="1"/>
    <n v="1"/>
  </r>
  <r>
    <m/>
    <m/>
    <x v="1"/>
    <s v="57722519001003"/>
    <n v="-16.43"/>
    <n v="600"/>
    <n v="1"/>
    <n v="1"/>
  </r>
  <r>
    <m/>
    <m/>
    <x v="1"/>
    <s v="57785781001002"/>
    <n v="-54.1"/>
    <n v="1976"/>
    <n v="1"/>
    <n v="1"/>
  </r>
  <r>
    <m/>
    <m/>
    <x v="1"/>
    <s v="57810254001002"/>
    <n v="-48.22"/>
    <n v="1761"/>
    <n v="1"/>
    <n v="1"/>
  </r>
  <r>
    <m/>
    <m/>
    <x v="1"/>
    <s v="58035525001001"/>
    <n v="-12.07"/>
    <n v="441"/>
    <n v="1"/>
    <n v="1"/>
  </r>
  <r>
    <m/>
    <m/>
    <x v="1"/>
    <s v="58232265001001"/>
    <n v="-20.43"/>
    <n v="746"/>
    <n v="1"/>
    <n v="1"/>
  </r>
  <r>
    <m/>
    <m/>
    <x v="1"/>
    <s v="58442302001005"/>
    <n v="-71.239999999999995"/>
    <n v="2602"/>
    <n v="1"/>
    <n v="1"/>
  </r>
  <r>
    <m/>
    <m/>
    <x v="1"/>
    <s v="58478126001001"/>
    <n v="-76.39"/>
    <n v="2790"/>
    <n v="1"/>
    <n v="1"/>
  </r>
  <r>
    <m/>
    <m/>
    <x v="1"/>
    <s v="58515961004001"/>
    <n v="-9.8800000000000008"/>
    <n v="361"/>
    <n v="1"/>
    <n v="1"/>
  </r>
  <r>
    <m/>
    <m/>
    <x v="1"/>
    <s v="58591973002001"/>
    <n v="-39.43"/>
    <n v="1440"/>
    <n v="1"/>
    <n v="1"/>
  </r>
  <r>
    <m/>
    <m/>
    <x v="1"/>
    <s v="58719680001001"/>
    <n v="-22.67"/>
    <n v="828"/>
    <n v="1"/>
    <n v="1"/>
  </r>
  <r>
    <m/>
    <m/>
    <x v="1"/>
    <s v="58909021001001"/>
    <n v="-8.02"/>
    <n v="293"/>
    <n v="1"/>
    <n v="1"/>
  </r>
  <r>
    <m/>
    <m/>
    <x v="1"/>
    <s v="58961407001001"/>
    <n v="-7.28"/>
    <n v="266"/>
    <n v="1"/>
    <n v="1"/>
  </r>
  <r>
    <m/>
    <m/>
    <x v="1"/>
    <s v="59184633002001"/>
    <n v="-22.67"/>
    <n v="828"/>
    <n v="1"/>
    <n v="1"/>
  </r>
  <r>
    <m/>
    <m/>
    <x v="1"/>
    <s v="59521833001010"/>
    <n v="-80.5"/>
    <n v="2940"/>
    <n v="1"/>
    <n v="1"/>
  </r>
  <r>
    <m/>
    <m/>
    <x v="1"/>
    <s v="59739422001001"/>
    <n v="-29.13"/>
    <n v="1064"/>
    <n v="1"/>
    <n v="1"/>
  </r>
  <r>
    <m/>
    <m/>
    <x v="1"/>
    <s v="59766552006003"/>
    <n v="-5.59"/>
    <n v="204"/>
    <n v="1"/>
    <n v="1"/>
  </r>
  <r>
    <m/>
    <m/>
    <x v="1"/>
    <s v="60111846001007"/>
    <n v="-30.34"/>
    <n v="1108"/>
    <n v="1"/>
    <n v="1"/>
  </r>
  <r>
    <m/>
    <m/>
    <x v="1"/>
    <s v="60167588001001"/>
    <n v="-17.91"/>
    <n v="654"/>
    <n v="1"/>
    <n v="1"/>
  </r>
  <r>
    <m/>
    <m/>
    <x v="1"/>
    <s v="60524809001001"/>
    <n v="-64.62"/>
    <n v="2360"/>
    <n v="1"/>
    <n v="1"/>
  </r>
  <r>
    <m/>
    <m/>
    <x v="1"/>
    <s v="60536331001001"/>
    <n v="-36.520000000000003"/>
    <n v="1334"/>
    <n v="1"/>
    <n v="1"/>
  </r>
  <r>
    <m/>
    <m/>
    <x v="1"/>
    <s v="60599585001001"/>
    <n v="-20.04"/>
    <n v="732"/>
    <n v="1"/>
    <n v="1"/>
  </r>
  <r>
    <m/>
    <m/>
    <x v="1"/>
    <s v="60623325001001"/>
    <n v="-29.84"/>
    <n v="1090"/>
    <n v="1"/>
    <n v="1"/>
  </r>
  <r>
    <m/>
    <m/>
    <x v="1"/>
    <s v="60784386002002"/>
    <n v="-25.93"/>
    <n v="947"/>
    <n v="1"/>
    <n v="1"/>
  </r>
  <r>
    <m/>
    <m/>
    <x v="1"/>
    <s v="60957175001001"/>
    <n v="-15.63"/>
    <n v="571"/>
    <n v="1"/>
    <n v="1"/>
  </r>
  <r>
    <m/>
    <m/>
    <x v="1"/>
    <s v="61188221002001"/>
    <n v="-50.79"/>
    <n v="1855"/>
    <n v="1"/>
    <n v="1"/>
  </r>
  <r>
    <m/>
    <m/>
    <x v="1"/>
    <s v="61241854001001"/>
    <n v="-30.99"/>
    <n v="1132"/>
    <n v="1"/>
    <n v="1"/>
  </r>
  <r>
    <m/>
    <m/>
    <x v="1"/>
    <s v="61308081001001"/>
    <n v="-22.26"/>
    <n v="813"/>
    <n v="1"/>
    <n v="1"/>
  </r>
  <r>
    <m/>
    <m/>
    <x v="1"/>
    <s v="61372423001001"/>
    <n v="-98.05"/>
    <n v="3581"/>
    <n v="1"/>
    <n v="1"/>
  </r>
  <r>
    <m/>
    <m/>
    <x v="1"/>
    <s v="61387272001001"/>
    <n v="-3.89"/>
    <n v="142"/>
    <n v="1"/>
    <n v="1"/>
  </r>
  <r>
    <m/>
    <m/>
    <x v="1"/>
    <s v="61514360001001"/>
    <n v="-12.24"/>
    <n v="447"/>
    <n v="1"/>
    <n v="1"/>
  </r>
  <r>
    <m/>
    <m/>
    <x v="1"/>
    <s v="61614836001001"/>
    <n v="-61.39"/>
    <n v="2242"/>
    <n v="1"/>
    <n v="1"/>
  </r>
  <r>
    <m/>
    <m/>
    <x v="1"/>
    <s v="61919998001001"/>
    <n v="-29.57"/>
    <n v="1080"/>
    <n v="1"/>
    <n v="1"/>
  </r>
  <r>
    <m/>
    <m/>
    <x v="1"/>
    <s v="62230536001003"/>
    <n v="-77.459999999999994"/>
    <n v="2829"/>
    <n v="1"/>
    <n v="1"/>
  </r>
  <r>
    <m/>
    <m/>
    <x v="1"/>
    <s v="62263204001001"/>
    <n v="-65.959999999999994"/>
    <n v="2409"/>
    <n v="1"/>
    <n v="1"/>
  </r>
  <r>
    <m/>
    <m/>
    <x v="1"/>
    <s v="62305746001001"/>
    <n v="-30.58"/>
    <n v="1117"/>
    <n v="1"/>
    <n v="1"/>
  </r>
  <r>
    <m/>
    <m/>
    <x v="1"/>
    <s v="62483712001004"/>
    <n v="-24.42"/>
    <n v="892"/>
    <n v="1"/>
    <n v="1"/>
  </r>
  <r>
    <m/>
    <m/>
    <x v="1"/>
    <s v="62498679001005"/>
    <n v="-14.43"/>
    <n v="527"/>
    <n v="1"/>
    <n v="1"/>
  </r>
  <r>
    <m/>
    <m/>
    <x v="1"/>
    <s v="62873190001003"/>
    <n v="-23.77"/>
    <n v="868"/>
    <n v="1"/>
    <n v="1"/>
  </r>
  <r>
    <m/>
    <m/>
    <x v="1"/>
    <s v="63196464001001"/>
    <n v="-66.48"/>
    <n v="2428"/>
    <n v="1"/>
    <n v="1"/>
  </r>
  <r>
    <m/>
    <m/>
    <x v="1"/>
    <s v="63212679001001"/>
    <n v="-27.6"/>
    <n v="1008"/>
    <n v="1"/>
    <n v="1"/>
  </r>
  <r>
    <m/>
    <m/>
    <x v="1"/>
    <s v="63421413002003"/>
    <n v="-1.1000000000000001"/>
    <n v="40"/>
    <n v="1"/>
    <n v="1"/>
  </r>
  <r>
    <m/>
    <m/>
    <x v="1"/>
    <s v="63847291001002"/>
    <n v="-56.92"/>
    <n v="2079"/>
    <n v="1"/>
    <n v="1"/>
  </r>
  <r>
    <m/>
    <m/>
    <x v="1"/>
    <s v="63898256001003"/>
    <n v="-32.28"/>
    <n v="1179"/>
    <n v="1"/>
    <n v="1"/>
  </r>
  <r>
    <m/>
    <m/>
    <x v="1"/>
    <s v="64399841001001"/>
    <n v="-28.89"/>
    <n v="1055"/>
    <n v="1"/>
    <n v="1"/>
  </r>
  <r>
    <m/>
    <m/>
    <x v="1"/>
    <s v="64587795001002"/>
    <n v="-41.37"/>
    <n v="1511"/>
    <n v="1"/>
    <n v="1"/>
  </r>
  <r>
    <m/>
    <m/>
    <x v="1"/>
    <s v="64700335001001"/>
    <n v="-38.33"/>
    <n v="1400"/>
    <n v="1"/>
    <n v="1"/>
  </r>
  <r>
    <m/>
    <m/>
    <x v="1"/>
    <s v="64802495002001"/>
    <n v="-24.34"/>
    <n v="889"/>
    <n v="1"/>
    <n v="1"/>
  </r>
  <r>
    <m/>
    <m/>
    <x v="1"/>
    <s v="64826160001001"/>
    <n v="-29.98"/>
    <n v="1095"/>
    <n v="1"/>
    <n v="1"/>
  </r>
  <r>
    <m/>
    <m/>
    <x v="1"/>
    <s v="64995258001006"/>
    <n v="-17.579999999999998"/>
    <n v="642"/>
    <n v="1"/>
    <n v="1"/>
  </r>
  <r>
    <m/>
    <m/>
    <x v="1"/>
    <s v="65001066001001"/>
    <n v="-32.31"/>
    <n v="1180"/>
    <n v="1"/>
    <n v="1"/>
  </r>
  <r>
    <m/>
    <m/>
    <x v="1"/>
    <s v="65413433002001"/>
    <n v="-22.34"/>
    <n v="816"/>
    <n v="1"/>
    <n v="1"/>
  </r>
  <r>
    <m/>
    <m/>
    <x v="1"/>
    <s v="65474469002008"/>
    <n v="-17.82"/>
    <n v="651"/>
    <n v="1"/>
    <n v="1"/>
  </r>
  <r>
    <m/>
    <m/>
    <x v="1"/>
    <s v="65633759004001"/>
    <n v="-72.69"/>
    <n v="2655"/>
    <n v="1"/>
    <n v="1"/>
  </r>
  <r>
    <m/>
    <m/>
    <x v="1"/>
    <s v="65674917001006"/>
    <n v="-61.19"/>
    <n v="2235"/>
    <n v="1"/>
    <n v="1"/>
  </r>
  <r>
    <m/>
    <m/>
    <x v="1"/>
    <s v="65715070001003"/>
    <n v="-43.37"/>
    <n v="1584"/>
    <n v="1"/>
    <n v="1"/>
  </r>
  <r>
    <m/>
    <m/>
    <x v="1"/>
    <s v="65721814002001"/>
    <n v="-12.05"/>
    <n v="440"/>
    <n v="1"/>
    <n v="1"/>
  </r>
  <r>
    <m/>
    <m/>
    <x v="1"/>
    <s v="65840761001001"/>
    <n v="-18.920000000000002"/>
    <n v="691"/>
    <n v="1"/>
    <n v="1"/>
  </r>
  <r>
    <m/>
    <m/>
    <x v="1"/>
    <s v="66035608002005"/>
    <n v="-33.29"/>
    <n v="1216"/>
    <n v="1"/>
    <n v="1"/>
  </r>
  <r>
    <m/>
    <m/>
    <x v="1"/>
    <s v="66054732001002"/>
    <n v="-26.94"/>
    <n v="984"/>
    <n v="1"/>
    <n v="1"/>
  </r>
  <r>
    <m/>
    <m/>
    <x v="1"/>
    <s v="66122783001004"/>
    <n v="-6.13"/>
    <n v="224"/>
    <n v="1"/>
    <n v="1"/>
  </r>
  <r>
    <m/>
    <m/>
    <x v="1"/>
    <s v="66355473001004"/>
    <n v="-20.73"/>
    <n v="757"/>
    <n v="1"/>
    <n v="1"/>
  </r>
  <r>
    <m/>
    <m/>
    <x v="1"/>
    <s v="66399758001010"/>
    <n v="-1.34"/>
    <n v="49"/>
    <n v="1"/>
    <n v="1"/>
  </r>
  <r>
    <m/>
    <m/>
    <x v="1"/>
    <s v="66682187001001"/>
    <n v="-53.99"/>
    <n v="1972"/>
    <n v="1"/>
    <n v="1"/>
  </r>
  <r>
    <m/>
    <m/>
    <x v="1"/>
    <s v="66758040001002"/>
    <n v="-2.38"/>
    <n v="87"/>
    <n v="1"/>
    <n v="1"/>
  </r>
  <r>
    <m/>
    <m/>
    <x v="1"/>
    <s v="66846616001003"/>
    <n v="-32.69"/>
    <n v="1194"/>
    <n v="1"/>
    <n v="1"/>
  </r>
  <r>
    <m/>
    <m/>
    <x v="1"/>
    <s v="66953942002008"/>
    <n v="-58.32"/>
    <n v="2130"/>
    <n v="1"/>
    <n v="1"/>
  </r>
  <r>
    <m/>
    <m/>
    <x v="1"/>
    <s v="66961339001001"/>
    <n v="-5.2"/>
    <n v="190"/>
    <n v="1"/>
    <n v="1"/>
  </r>
  <r>
    <m/>
    <m/>
    <x v="1"/>
    <s v="67052660001005"/>
    <n v="-30.28"/>
    <n v="1106"/>
    <n v="1"/>
    <n v="1"/>
  </r>
  <r>
    <m/>
    <m/>
    <x v="1"/>
    <s v="67306787001001"/>
    <n v="-55.88"/>
    <n v="2041"/>
    <n v="1"/>
    <n v="1"/>
  </r>
  <r>
    <m/>
    <m/>
    <x v="1"/>
    <s v="67575902001001"/>
    <n v="-63.11"/>
    <n v="2305"/>
    <n v="1"/>
    <n v="1"/>
  </r>
  <r>
    <m/>
    <m/>
    <x v="1"/>
    <s v="67923885001001"/>
    <n v="-24.09"/>
    <n v="880"/>
    <n v="1"/>
    <n v="1"/>
  </r>
  <r>
    <m/>
    <m/>
    <x v="1"/>
    <s v="68039419001001"/>
    <n v="-29.3"/>
    <n v="1070"/>
    <n v="1"/>
    <n v="1"/>
  </r>
  <r>
    <m/>
    <m/>
    <x v="1"/>
    <s v="68082611001001"/>
    <n v="-30.47"/>
    <n v="1113"/>
    <n v="1"/>
    <n v="1"/>
  </r>
  <r>
    <m/>
    <m/>
    <x v="1"/>
    <s v="68107039001001"/>
    <n v="-40.28"/>
    <n v="1471"/>
    <n v="1"/>
    <n v="1"/>
  </r>
  <r>
    <m/>
    <m/>
    <x v="1"/>
    <s v="68173550001001"/>
    <n v="-62.54"/>
    <n v="2284"/>
    <n v="1"/>
    <n v="1"/>
  </r>
  <r>
    <m/>
    <m/>
    <x v="1"/>
    <s v="68316005001001"/>
    <n v="-51.28"/>
    <n v="1873"/>
    <n v="1"/>
    <n v="1"/>
  </r>
  <r>
    <m/>
    <m/>
    <x v="1"/>
    <s v="68333351001002"/>
    <n v="-25.03"/>
    <n v="914"/>
    <n v="1"/>
    <n v="1"/>
  </r>
  <r>
    <m/>
    <m/>
    <x v="1"/>
    <s v="68338933001001"/>
    <n v="-46.9"/>
    <n v="1713"/>
    <n v="1"/>
    <n v="1"/>
  </r>
  <r>
    <m/>
    <m/>
    <x v="1"/>
    <s v="68624650001002"/>
    <n v="-23.93"/>
    <n v="874"/>
    <n v="1"/>
    <n v="1"/>
  </r>
  <r>
    <m/>
    <m/>
    <x v="1"/>
    <s v="68711288001003"/>
    <n v="-107.71"/>
    <n v="3934"/>
    <n v="1"/>
    <n v="1"/>
  </r>
  <r>
    <m/>
    <m/>
    <x v="1"/>
    <s v="68837584001003"/>
    <n v="-6.02"/>
    <n v="220"/>
    <n v="1"/>
    <n v="1"/>
  </r>
  <r>
    <m/>
    <m/>
    <x v="1"/>
    <s v="68970693003001"/>
    <n v="-42.41"/>
    <n v="1549"/>
    <n v="1"/>
    <n v="1"/>
  </r>
  <r>
    <m/>
    <m/>
    <x v="1"/>
    <s v="69172909001001"/>
    <n v="-46.3"/>
    <n v="1691"/>
    <n v="1"/>
    <n v="1"/>
  </r>
  <r>
    <m/>
    <m/>
    <x v="1"/>
    <s v="69182870001007"/>
    <n v="-57.72"/>
    <n v="2108"/>
    <n v="1"/>
    <n v="1"/>
  </r>
  <r>
    <m/>
    <m/>
    <x v="1"/>
    <s v="69208025001001"/>
    <n v="-25.96"/>
    <n v="948"/>
    <n v="1"/>
    <n v="1"/>
  </r>
  <r>
    <m/>
    <m/>
    <x v="1"/>
    <s v="69340720001002"/>
    <n v="-30.36"/>
    <n v="1109"/>
    <n v="1"/>
    <n v="1"/>
  </r>
  <r>
    <m/>
    <m/>
    <x v="1"/>
    <s v="69542400001002"/>
    <n v="-46.16"/>
    <n v="1686"/>
    <n v="1"/>
    <n v="1"/>
  </r>
  <r>
    <m/>
    <m/>
    <x v="1"/>
    <s v="69906946003001"/>
    <n v="-16.73"/>
    <n v="611"/>
    <n v="1"/>
    <n v="1"/>
  </r>
  <r>
    <m/>
    <m/>
    <x v="1"/>
    <s v="69992827001001"/>
    <n v="-42.33"/>
    <n v="1546"/>
    <n v="1"/>
    <n v="1"/>
  </r>
  <r>
    <m/>
    <m/>
    <x v="1"/>
    <s v="70350989002001"/>
    <n v="-4.13"/>
    <n v="151"/>
    <n v="1"/>
    <n v="1"/>
  </r>
  <r>
    <m/>
    <m/>
    <x v="1"/>
    <s v="70557497004001"/>
    <n v="-17.690000000000001"/>
    <n v="646"/>
    <n v="1"/>
    <n v="1"/>
  </r>
  <r>
    <m/>
    <m/>
    <x v="1"/>
    <s v="70566844001001"/>
    <n v="-38.96"/>
    <n v="1423"/>
    <n v="1"/>
    <n v="1"/>
  </r>
  <r>
    <m/>
    <m/>
    <x v="1"/>
    <s v="70930301001003"/>
    <n v="-20.07"/>
    <n v="733"/>
    <n v="1"/>
    <n v="1"/>
  </r>
  <r>
    <m/>
    <m/>
    <x v="1"/>
    <s v="71726966001001"/>
    <n v="-133.97"/>
    <n v="4893"/>
    <n v="1"/>
    <n v="1"/>
  </r>
  <r>
    <m/>
    <m/>
    <x v="1"/>
    <s v="71895732001001"/>
    <n v="-20.48"/>
    <n v="748"/>
    <n v="1"/>
    <n v="1"/>
  </r>
  <r>
    <m/>
    <m/>
    <x v="1"/>
    <s v="71897700001003"/>
    <n v="-24.59"/>
    <n v="898"/>
    <n v="1"/>
    <n v="1"/>
  </r>
  <r>
    <m/>
    <m/>
    <x v="1"/>
    <s v="71925425001001"/>
    <n v="-6.16"/>
    <n v="225"/>
    <n v="1"/>
    <n v="1"/>
  </r>
  <r>
    <m/>
    <m/>
    <x v="1"/>
    <s v="72021826001002"/>
    <n v="-104.1"/>
    <n v="3802"/>
    <n v="1"/>
    <n v="1"/>
  </r>
  <r>
    <m/>
    <m/>
    <x v="1"/>
    <s v="72706041002001"/>
    <n v="-29.41"/>
    <n v="1074"/>
    <n v="1"/>
    <n v="1"/>
  </r>
  <r>
    <m/>
    <m/>
    <x v="1"/>
    <s v="72748480001001"/>
    <n v="-6.22"/>
    <n v="227"/>
    <n v="1"/>
    <n v="1"/>
  </r>
  <r>
    <m/>
    <m/>
    <x v="1"/>
    <s v="72816069001004"/>
    <n v="-12.87"/>
    <n v="470"/>
    <n v="1"/>
    <n v="1"/>
  </r>
  <r>
    <m/>
    <m/>
    <x v="1"/>
    <s v="72820369001003"/>
    <n v="-77.760000000000005"/>
    <n v="2840"/>
    <n v="1"/>
    <n v="1"/>
  </r>
  <r>
    <m/>
    <m/>
    <x v="1"/>
    <s v="72885097001005"/>
    <n v="-14.46"/>
    <n v="528"/>
    <n v="1"/>
    <n v="1"/>
  </r>
  <r>
    <m/>
    <m/>
    <x v="1"/>
    <s v="73391974001001"/>
    <n v="-63.6"/>
    <n v="2323"/>
    <n v="1"/>
    <n v="1"/>
  </r>
  <r>
    <m/>
    <m/>
    <x v="1"/>
    <s v="73497461001001"/>
    <n v="-62.84"/>
    <n v="2295"/>
    <n v="1"/>
    <n v="1"/>
  </r>
  <r>
    <m/>
    <m/>
    <x v="1"/>
    <s v="73932323001001"/>
    <n v="-6.02"/>
    <n v="220"/>
    <n v="1"/>
    <n v="1"/>
  </r>
  <r>
    <m/>
    <m/>
    <x v="1"/>
    <s v="74369035001005"/>
    <n v="-22.23"/>
    <n v="812"/>
    <n v="1"/>
    <n v="1"/>
  </r>
  <r>
    <m/>
    <m/>
    <x v="1"/>
    <s v="74657239001002"/>
    <n v="-8.84"/>
    <n v="323"/>
    <n v="1"/>
    <n v="1"/>
  </r>
  <r>
    <m/>
    <m/>
    <x v="1"/>
    <s v="74792156002002"/>
    <n v="-36.31"/>
    <n v="1326"/>
    <n v="1"/>
    <n v="1"/>
  </r>
  <r>
    <m/>
    <m/>
    <x v="1"/>
    <s v="74797014002001"/>
    <n v="-80.52"/>
    <n v="2941"/>
    <n v="1"/>
    <n v="1"/>
  </r>
  <r>
    <m/>
    <m/>
    <x v="1"/>
    <s v="75055456001001"/>
    <n v="-20.92"/>
    <n v="764"/>
    <n v="1"/>
    <n v="1"/>
  </r>
  <r>
    <m/>
    <m/>
    <x v="1"/>
    <s v="75290016001010"/>
    <n v="-15.22"/>
    <n v="556"/>
    <n v="1"/>
    <n v="1"/>
  </r>
  <r>
    <m/>
    <m/>
    <x v="1"/>
    <s v="75404405001001"/>
    <n v="-19.25"/>
    <n v="703"/>
    <n v="1"/>
    <n v="1"/>
  </r>
  <r>
    <m/>
    <m/>
    <x v="1"/>
    <s v="75599421001001"/>
    <n v="-30.09"/>
    <n v="1099"/>
    <n v="1"/>
    <n v="1"/>
  </r>
  <r>
    <m/>
    <m/>
    <x v="1"/>
    <s v="75761373002005"/>
    <n v="-20.73"/>
    <n v="757"/>
    <n v="1"/>
    <n v="1"/>
  </r>
  <r>
    <m/>
    <m/>
    <x v="1"/>
    <s v="75990063001006"/>
    <n v="-1.72"/>
    <n v="63"/>
    <n v="1"/>
    <n v="1"/>
  </r>
  <r>
    <m/>
    <m/>
    <x v="1"/>
    <s v="76471101001001"/>
    <n v="-42.69"/>
    <n v="1559"/>
    <n v="1"/>
    <n v="1"/>
  </r>
  <r>
    <m/>
    <m/>
    <x v="1"/>
    <s v="76524393002001"/>
    <n v="-45.18"/>
    <n v="1650"/>
    <n v="2"/>
    <n v="1"/>
  </r>
  <r>
    <m/>
    <m/>
    <x v="1"/>
    <s v="76556293001005"/>
    <n v="-74.25"/>
    <n v="2712"/>
    <n v="1"/>
    <n v="1"/>
  </r>
  <r>
    <m/>
    <m/>
    <x v="1"/>
    <s v="76713060001001"/>
    <n v="-43.75"/>
    <n v="1598"/>
    <n v="1"/>
    <n v="1"/>
  </r>
  <r>
    <m/>
    <m/>
    <x v="1"/>
    <s v="76882051001001"/>
    <n v="-8.3800000000000008"/>
    <n v="306"/>
    <n v="1"/>
    <n v="1"/>
  </r>
  <r>
    <m/>
    <m/>
    <x v="1"/>
    <s v="77034079001001"/>
    <n v="-24.81"/>
    <n v="906"/>
    <n v="1"/>
    <n v="1"/>
  </r>
  <r>
    <m/>
    <m/>
    <x v="1"/>
    <s v="77152442001008"/>
    <n v="-44.3"/>
    <n v="1618"/>
    <n v="1"/>
    <n v="1"/>
  </r>
  <r>
    <m/>
    <m/>
    <x v="1"/>
    <s v="77312333001001"/>
    <n v="-45.31"/>
    <n v="1655"/>
    <n v="1"/>
    <n v="1"/>
  </r>
  <r>
    <m/>
    <m/>
    <x v="1"/>
    <s v="77375643003003"/>
    <n v="-9.17"/>
    <n v="335"/>
    <n v="1"/>
    <n v="1"/>
  </r>
  <r>
    <m/>
    <m/>
    <x v="1"/>
    <s v="77813221001001"/>
    <n v="-4.22"/>
    <n v="154"/>
    <n v="1"/>
    <n v="1"/>
  </r>
  <r>
    <m/>
    <m/>
    <x v="1"/>
    <s v="77922884001002"/>
    <n v="-27.98"/>
    <n v="1022"/>
    <n v="1"/>
    <n v="1"/>
  </r>
  <r>
    <m/>
    <m/>
    <x v="1"/>
    <s v="77981276001001"/>
    <n v="-33.43"/>
    <n v="1221"/>
    <n v="1"/>
    <n v="1"/>
  </r>
  <r>
    <m/>
    <m/>
    <x v="1"/>
    <s v="78102550001004"/>
    <n v="-29.16"/>
    <n v="1065"/>
    <n v="1"/>
    <n v="1"/>
  </r>
  <r>
    <m/>
    <m/>
    <x v="1"/>
    <s v="78163683002001"/>
    <n v="-6.71"/>
    <n v="245"/>
    <n v="1"/>
    <n v="1"/>
  </r>
  <r>
    <m/>
    <m/>
    <x v="1"/>
    <s v="78192804001002"/>
    <n v="-15.61"/>
    <n v="570"/>
    <n v="1"/>
    <n v="1"/>
  </r>
  <r>
    <m/>
    <m/>
    <x v="1"/>
    <s v="78258113001003"/>
    <n v="-20.12"/>
    <n v="735"/>
    <n v="1"/>
    <n v="1"/>
  </r>
  <r>
    <m/>
    <m/>
    <x v="1"/>
    <s v="78272932003017"/>
    <n v="-12.43"/>
    <n v="454"/>
    <n v="1"/>
    <n v="1"/>
  </r>
  <r>
    <m/>
    <m/>
    <x v="1"/>
    <s v="78360766001001"/>
    <n v="-84.96"/>
    <n v="3103"/>
    <n v="1"/>
    <n v="1"/>
  </r>
  <r>
    <m/>
    <m/>
    <x v="1"/>
    <s v="78465175004001"/>
    <n v="-44.9"/>
    <n v="1640"/>
    <n v="1"/>
    <n v="1"/>
  </r>
  <r>
    <m/>
    <m/>
    <x v="1"/>
    <s v="79019455001003"/>
    <n v="-18.809999999999999"/>
    <n v="687"/>
    <n v="1"/>
    <n v="1"/>
  </r>
  <r>
    <m/>
    <m/>
    <x v="1"/>
    <s v="79256766001003"/>
    <n v="-2.0499999999999998"/>
    <n v="75"/>
    <n v="1"/>
    <n v="1"/>
  </r>
  <r>
    <m/>
    <m/>
    <x v="1"/>
    <s v="79283500001001"/>
    <n v="-28.69"/>
    <n v="1048"/>
    <n v="1"/>
    <n v="1"/>
  </r>
  <r>
    <m/>
    <m/>
    <x v="1"/>
    <s v="79557576001005"/>
    <n v="-76.53"/>
    <n v="2795"/>
    <n v="1"/>
    <n v="1"/>
  </r>
  <r>
    <m/>
    <m/>
    <x v="1"/>
    <s v="79713989002001"/>
    <n v="-38.770000000000003"/>
    <n v="1416"/>
    <n v="1"/>
    <n v="1"/>
  </r>
  <r>
    <m/>
    <m/>
    <x v="1"/>
    <s v="79758306001002"/>
    <n v="-49.26"/>
    <n v="1799"/>
    <n v="1"/>
    <n v="1"/>
  </r>
  <r>
    <m/>
    <m/>
    <x v="1"/>
    <s v="79889145002003"/>
    <n v="-15.22"/>
    <n v="556"/>
    <n v="1"/>
    <n v="1"/>
  </r>
  <r>
    <m/>
    <m/>
    <x v="1"/>
    <s v="80168519001003"/>
    <n v="-28.23"/>
    <n v="1031"/>
    <n v="1"/>
    <n v="1"/>
  </r>
  <r>
    <m/>
    <m/>
    <x v="1"/>
    <s v="80512321001001"/>
    <n v="-16.95"/>
    <n v="619"/>
    <n v="1"/>
    <n v="1"/>
  </r>
  <r>
    <m/>
    <m/>
    <x v="1"/>
    <s v="80546282001001"/>
    <n v="-32.72"/>
    <n v="1195"/>
    <n v="1"/>
    <n v="1"/>
  </r>
  <r>
    <m/>
    <m/>
    <x v="1"/>
    <s v="80725718001001"/>
    <n v="-16.100000000000001"/>
    <n v="588"/>
    <n v="1"/>
    <n v="1"/>
  </r>
  <r>
    <m/>
    <m/>
    <x v="1"/>
    <s v="80768782001005"/>
    <n v="-34.770000000000003"/>
    <n v="1270"/>
    <n v="1"/>
    <n v="1"/>
  </r>
  <r>
    <m/>
    <m/>
    <x v="1"/>
    <s v="81284913001001"/>
    <n v="-11.09"/>
    <n v="405"/>
    <n v="1"/>
    <n v="1"/>
  </r>
  <r>
    <m/>
    <m/>
    <x v="1"/>
    <s v="81474097001003"/>
    <n v="-29.19"/>
    <n v="1066"/>
    <n v="1"/>
    <n v="1"/>
  </r>
  <r>
    <m/>
    <m/>
    <x v="1"/>
    <s v="81870119001003"/>
    <n v="-9.39"/>
    <n v="343"/>
    <n v="1"/>
    <n v="1"/>
  </r>
  <r>
    <m/>
    <m/>
    <x v="1"/>
    <s v="82161245001007"/>
    <n v="-3.45"/>
    <n v="126"/>
    <n v="1"/>
    <n v="1"/>
  </r>
  <r>
    <m/>
    <m/>
    <x v="1"/>
    <s v="82203094001003"/>
    <n v="-41.26"/>
    <n v="1507"/>
    <n v="1"/>
    <n v="1"/>
  </r>
  <r>
    <m/>
    <m/>
    <x v="1"/>
    <s v="82389671001001"/>
    <n v="-41.1"/>
    <n v="1501"/>
    <n v="1"/>
    <n v="1"/>
  </r>
  <r>
    <m/>
    <m/>
    <x v="1"/>
    <s v="82440956001001"/>
    <n v="-38.69"/>
    <n v="1413"/>
    <n v="1"/>
    <n v="1"/>
  </r>
  <r>
    <m/>
    <m/>
    <x v="1"/>
    <s v="82705141002001"/>
    <n v="-30.23"/>
    <n v="1104"/>
    <n v="1"/>
    <n v="1"/>
  </r>
  <r>
    <m/>
    <m/>
    <x v="1"/>
    <s v="82804369003001"/>
    <n v="-1.34"/>
    <n v="49"/>
    <n v="1"/>
    <n v="1"/>
  </r>
  <r>
    <m/>
    <m/>
    <x v="1"/>
    <s v="83084544001001"/>
    <n v="-33.869999999999997"/>
    <n v="1237"/>
    <n v="1"/>
    <n v="1"/>
  </r>
  <r>
    <m/>
    <m/>
    <x v="1"/>
    <s v="83337256001001"/>
    <n v="-16.02"/>
    <n v="585"/>
    <n v="1"/>
    <n v="1"/>
  </r>
  <r>
    <m/>
    <m/>
    <x v="1"/>
    <s v="83358782001001"/>
    <n v="-38.39"/>
    <n v="1402"/>
    <n v="1"/>
    <n v="1"/>
  </r>
  <r>
    <m/>
    <m/>
    <x v="1"/>
    <s v="83701365002001"/>
    <n v="-50.95"/>
    <n v="1861"/>
    <n v="1"/>
    <n v="1"/>
  </r>
  <r>
    <m/>
    <m/>
    <x v="1"/>
    <s v="83710025001001"/>
    <n v="-31.32"/>
    <n v="1144"/>
    <n v="1"/>
    <n v="1"/>
  </r>
  <r>
    <m/>
    <m/>
    <x v="1"/>
    <s v="83800275001002"/>
    <n v="-3.26"/>
    <n v="119"/>
    <n v="1"/>
    <n v="1"/>
  </r>
  <r>
    <m/>
    <m/>
    <x v="1"/>
    <s v="83981932001002"/>
    <n v="-5.26"/>
    <n v="192"/>
    <n v="1"/>
    <n v="1"/>
  </r>
  <r>
    <m/>
    <m/>
    <x v="1"/>
    <s v="84173742001001"/>
    <n v="-41.75"/>
    <n v="1525"/>
    <n v="1"/>
    <n v="1"/>
  </r>
  <r>
    <m/>
    <m/>
    <x v="1"/>
    <s v="84562358001001"/>
    <n v="-24.31"/>
    <n v="888"/>
    <n v="1"/>
    <n v="1"/>
  </r>
  <r>
    <m/>
    <m/>
    <x v="1"/>
    <s v="84645093001003"/>
    <n v="-4.63"/>
    <n v="169"/>
    <n v="1"/>
    <n v="1"/>
  </r>
  <r>
    <m/>
    <m/>
    <x v="1"/>
    <s v="84649205001001"/>
    <n v="-28.53"/>
    <n v="1042"/>
    <n v="1"/>
    <n v="1"/>
  </r>
  <r>
    <m/>
    <m/>
    <x v="1"/>
    <s v="85052617001009"/>
    <n v="-6.9"/>
    <n v="252"/>
    <n v="1"/>
    <n v="1"/>
  </r>
  <r>
    <m/>
    <m/>
    <x v="1"/>
    <s v="85306232001001"/>
    <n v="-36.96"/>
    <n v="1350"/>
    <n v="1"/>
    <n v="1"/>
  </r>
  <r>
    <m/>
    <m/>
    <x v="1"/>
    <s v="85313155001006"/>
    <n v="-18.78"/>
    <n v="686"/>
    <n v="1"/>
    <n v="1"/>
  </r>
  <r>
    <m/>
    <m/>
    <x v="1"/>
    <s v="85338592002003"/>
    <n v="-38.11"/>
    <n v="1392"/>
    <n v="1"/>
    <n v="1"/>
  </r>
  <r>
    <m/>
    <m/>
    <x v="1"/>
    <s v="85384490001002"/>
    <n v="-11.31"/>
    <n v="413"/>
    <n v="1"/>
    <n v="1"/>
  </r>
  <r>
    <m/>
    <m/>
    <x v="1"/>
    <s v="85464036001001"/>
    <n v="-44.85"/>
    <n v="1638"/>
    <n v="1"/>
    <n v="1"/>
  </r>
  <r>
    <m/>
    <m/>
    <x v="1"/>
    <s v="85590751001003"/>
    <n v="-20.260000000000002"/>
    <n v="740"/>
    <n v="1"/>
    <n v="1"/>
  </r>
  <r>
    <m/>
    <m/>
    <x v="1"/>
    <s v="85655171001003"/>
    <n v="-28.23"/>
    <n v="1031"/>
    <n v="1"/>
    <n v="1"/>
  </r>
  <r>
    <m/>
    <m/>
    <x v="1"/>
    <s v="85758200001003"/>
    <n v="-7.39"/>
    <n v="270"/>
    <n v="1"/>
    <n v="1"/>
  </r>
  <r>
    <m/>
    <m/>
    <x v="1"/>
    <s v="85764397001002"/>
    <n v="-4.0199999999999996"/>
    <n v="147"/>
    <n v="1"/>
    <n v="1"/>
  </r>
  <r>
    <m/>
    <m/>
    <x v="1"/>
    <s v="85767727002001"/>
    <n v="-37.700000000000003"/>
    <n v="1377"/>
    <n v="1"/>
    <n v="1"/>
  </r>
  <r>
    <m/>
    <m/>
    <x v="1"/>
    <s v="85995109001001"/>
    <n v="-14.73"/>
    <n v="538"/>
    <n v="1"/>
    <n v="1"/>
  </r>
  <r>
    <m/>
    <m/>
    <x v="1"/>
    <s v="86090490001001"/>
    <n v="-51.91"/>
    <n v="1896"/>
    <n v="1"/>
    <n v="1"/>
  </r>
  <r>
    <m/>
    <m/>
    <x v="1"/>
    <s v="86167921001001"/>
    <n v="-25.66"/>
    <n v="937"/>
    <n v="1"/>
    <n v="1"/>
  </r>
  <r>
    <m/>
    <m/>
    <x v="1"/>
    <s v="86695884001001"/>
    <n v="-26.15"/>
    <n v="955"/>
    <n v="1"/>
    <n v="1"/>
  </r>
  <r>
    <m/>
    <m/>
    <x v="1"/>
    <s v="86799046001002"/>
    <n v="-35.159999999999997"/>
    <n v="1284"/>
    <n v="1"/>
    <n v="1"/>
  </r>
  <r>
    <m/>
    <m/>
    <x v="1"/>
    <s v="86860532001001"/>
    <n v="-10.68"/>
    <n v="390"/>
    <n v="1"/>
    <n v="1"/>
  </r>
  <r>
    <m/>
    <m/>
    <x v="1"/>
    <s v="86965244003001"/>
    <n v="-28.89"/>
    <n v="1055"/>
    <n v="1"/>
    <n v="1"/>
  </r>
  <r>
    <m/>
    <m/>
    <x v="1"/>
    <s v="86993697001003"/>
    <n v="-4.68"/>
    <n v="171"/>
    <n v="1"/>
    <n v="1"/>
  </r>
  <r>
    <m/>
    <m/>
    <x v="1"/>
    <s v="87080407001006"/>
    <n v="-11.17"/>
    <n v="408"/>
    <n v="1"/>
    <n v="1"/>
  </r>
  <r>
    <m/>
    <m/>
    <x v="1"/>
    <s v="87090986001001"/>
    <n v="-29.79"/>
    <n v="1088"/>
    <n v="1"/>
    <n v="1"/>
  </r>
  <r>
    <m/>
    <m/>
    <x v="1"/>
    <s v="87242554001001"/>
    <n v="-20.64"/>
    <n v="754"/>
    <n v="1"/>
    <n v="1"/>
  </r>
  <r>
    <m/>
    <m/>
    <x v="1"/>
    <s v="87432684001003"/>
    <n v="-16.46"/>
    <n v="601"/>
    <n v="1"/>
    <n v="1"/>
  </r>
  <r>
    <m/>
    <m/>
    <x v="1"/>
    <s v="87486491001002"/>
    <n v="-11.77"/>
    <n v="430"/>
    <n v="1"/>
    <n v="1"/>
  </r>
  <r>
    <m/>
    <m/>
    <x v="1"/>
    <s v="87739868002001"/>
    <n v="-50.84"/>
    <n v="1857"/>
    <n v="1"/>
    <n v="1"/>
  </r>
  <r>
    <m/>
    <m/>
    <x v="1"/>
    <s v="87795931001003"/>
    <n v="-66.180000000000007"/>
    <n v="2417"/>
    <n v="1"/>
    <n v="1"/>
  </r>
  <r>
    <m/>
    <m/>
    <x v="1"/>
    <s v="87902088001001"/>
    <n v="-36.31"/>
    <n v="1326"/>
    <n v="1"/>
    <n v="1"/>
  </r>
  <r>
    <m/>
    <m/>
    <x v="1"/>
    <s v="88182721001002"/>
    <n v="-19.93"/>
    <n v="728"/>
    <n v="1"/>
    <n v="1"/>
  </r>
  <r>
    <m/>
    <m/>
    <x v="1"/>
    <s v="88269625001002"/>
    <n v="-8.6"/>
    <n v="314"/>
    <n v="1"/>
    <n v="1"/>
  </r>
  <r>
    <m/>
    <m/>
    <x v="1"/>
    <s v="88600796001001"/>
    <n v="-24.81"/>
    <n v="906"/>
    <n v="1"/>
    <n v="1"/>
  </r>
  <r>
    <m/>
    <m/>
    <x v="1"/>
    <s v="88795471002001"/>
    <n v="-28.89"/>
    <n v="1055"/>
    <n v="1"/>
    <n v="1"/>
  </r>
  <r>
    <m/>
    <m/>
    <x v="1"/>
    <s v="89257123001003"/>
    <n v="-63.85"/>
    <n v="2332"/>
    <n v="1"/>
    <n v="1"/>
  </r>
  <r>
    <m/>
    <m/>
    <x v="1"/>
    <s v="89346251001001"/>
    <n v="-11.53"/>
    <n v="421"/>
    <n v="1"/>
    <n v="1"/>
  </r>
  <r>
    <m/>
    <m/>
    <x v="1"/>
    <s v="89354683001001"/>
    <n v="-15.41"/>
    <n v="563"/>
    <n v="1"/>
    <n v="1"/>
  </r>
  <r>
    <m/>
    <m/>
    <x v="1"/>
    <s v="89594433002001"/>
    <n v="-59.06"/>
    <n v="2157"/>
    <n v="1"/>
    <n v="1"/>
  </r>
  <r>
    <m/>
    <m/>
    <x v="1"/>
    <s v="89804117001001"/>
    <n v="-9.14"/>
    <n v="334"/>
    <n v="1"/>
    <n v="1"/>
  </r>
  <r>
    <m/>
    <m/>
    <x v="1"/>
    <s v="90244033001001"/>
    <n v="-8.9499999999999993"/>
    <n v="327"/>
    <n v="1"/>
    <n v="1"/>
  </r>
  <r>
    <m/>
    <m/>
    <x v="1"/>
    <s v="90375862001001"/>
    <n v="-1.78"/>
    <n v="65"/>
    <n v="1"/>
    <n v="1"/>
  </r>
  <r>
    <m/>
    <m/>
    <x v="1"/>
    <s v="90561560001001"/>
    <n v="-106.86"/>
    <n v="3903"/>
    <n v="1"/>
    <n v="1"/>
  </r>
  <r>
    <m/>
    <m/>
    <x v="1"/>
    <s v="90729873001001"/>
    <n v="-16.07"/>
    <n v="587"/>
    <n v="1"/>
    <n v="1"/>
  </r>
  <r>
    <m/>
    <m/>
    <x v="1"/>
    <s v="90918094001001"/>
    <n v="-11.44"/>
    <n v="418"/>
    <n v="1"/>
    <n v="1"/>
  </r>
  <r>
    <m/>
    <m/>
    <x v="1"/>
    <s v="90940438001001"/>
    <n v="-56.84"/>
    <n v="2076"/>
    <n v="1"/>
    <n v="1"/>
  </r>
  <r>
    <m/>
    <m/>
    <x v="1"/>
    <s v="91059700002001"/>
    <n v="-49.97"/>
    <n v="1825"/>
    <n v="1"/>
    <n v="1"/>
  </r>
  <r>
    <m/>
    <m/>
    <x v="1"/>
    <s v="91086693001001"/>
    <n v="-4.05"/>
    <n v="148"/>
    <n v="1"/>
    <n v="1"/>
  </r>
  <r>
    <m/>
    <m/>
    <x v="1"/>
    <s v="91108865001003"/>
    <n v="-24.18"/>
    <n v="883"/>
    <n v="1"/>
    <n v="1"/>
  </r>
  <r>
    <m/>
    <m/>
    <x v="1"/>
    <s v="91142812001003"/>
    <n v="-18.100000000000001"/>
    <n v="661"/>
    <n v="1"/>
    <n v="1"/>
  </r>
  <r>
    <m/>
    <m/>
    <x v="1"/>
    <s v="91378375001003"/>
    <n v="-4.1100000000000003"/>
    <n v="150"/>
    <n v="1"/>
    <n v="1"/>
  </r>
  <r>
    <m/>
    <m/>
    <x v="1"/>
    <s v="91549641001001"/>
    <n v="-9.4499999999999993"/>
    <n v="345"/>
    <n v="1"/>
    <n v="1"/>
  </r>
  <r>
    <m/>
    <m/>
    <x v="1"/>
    <s v="91610458001002"/>
    <n v="-52.1"/>
    <n v="1903"/>
    <n v="1"/>
    <n v="1"/>
  </r>
  <r>
    <m/>
    <m/>
    <x v="1"/>
    <s v="91686493001001"/>
    <n v="-34.39"/>
    <n v="1256"/>
    <n v="1"/>
    <n v="1"/>
  </r>
  <r>
    <m/>
    <m/>
    <x v="1"/>
    <s v="91907331002001"/>
    <n v="-15.14"/>
    <n v="553"/>
    <n v="1"/>
    <n v="1"/>
  </r>
  <r>
    <m/>
    <m/>
    <x v="1"/>
    <s v="91933726001002"/>
    <n v="-25.6"/>
    <n v="935"/>
    <n v="1"/>
    <n v="1"/>
  </r>
  <r>
    <m/>
    <m/>
    <x v="1"/>
    <s v="92228839005001"/>
    <n v="-85.04"/>
    <n v="3106"/>
    <n v="1"/>
    <n v="1"/>
  </r>
  <r>
    <m/>
    <m/>
    <x v="1"/>
    <s v="92474314001001"/>
    <n v="-15.99"/>
    <n v="584"/>
    <n v="1"/>
    <n v="1"/>
  </r>
  <r>
    <m/>
    <m/>
    <x v="1"/>
    <s v="92588678003003"/>
    <n v="-20.45"/>
    <n v="747"/>
    <n v="1"/>
    <n v="1"/>
  </r>
  <r>
    <m/>
    <m/>
    <x v="1"/>
    <s v="92595774001001"/>
    <n v="-46.08"/>
    <n v="1683"/>
    <n v="1"/>
    <n v="1"/>
  </r>
  <r>
    <m/>
    <m/>
    <x v="1"/>
    <s v="92684268001001"/>
    <n v="-15"/>
    <n v="548"/>
    <n v="1"/>
    <n v="1"/>
  </r>
  <r>
    <m/>
    <m/>
    <x v="1"/>
    <s v="92749025001001"/>
    <n v="-18.7"/>
    <n v="683"/>
    <n v="1"/>
    <n v="1"/>
  </r>
  <r>
    <m/>
    <m/>
    <x v="1"/>
    <s v="92806696002005"/>
    <n v="-13.25"/>
    <n v="484"/>
    <n v="1"/>
    <n v="1"/>
  </r>
  <r>
    <m/>
    <m/>
    <x v="1"/>
    <s v="92883803001003"/>
    <n v="-52.71"/>
    <n v="1925"/>
    <n v="1"/>
    <n v="1"/>
  </r>
  <r>
    <m/>
    <m/>
    <x v="1"/>
    <s v="93309752001001"/>
    <n v="-38.14"/>
    <n v="1393"/>
    <n v="1"/>
    <n v="1"/>
  </r>
  <r>
    <m/>
    <m/>
    <x v="1"/>
    <s v="93316698001001"/>
    <n v="-18.670000000000002"/>
    <n v="682"/>
    <n v="1"/>
    <n v="1"/>
  </r>
  <r>
    <m/>
    <m/>
    <x v="1"/>
    <s v="93362702006001"/>
    <n v="-41.97"/>
    <n v="1533"/>
    <n v="1"/>
    <n v="1"/>
  </r>
  <r>
    <m/>
    <m/>
    <x v="1"/>
    <s v="93368277001002"/>
    <n v="-31.38"/>
    <n v="1146"/>
    <n v="1"/>
    <n v="1"/>
  </r>
  <r>
    <m/>
    <m/>
    <x v="1"/>
    <s v="93387211001009"/>
    <n v="-46.85"/>
    <n v="1711"/>
    <n v="1"/>
    <n v="1"/>
  </r>
  <r>
    <m/>
    <m/>
    <x v="1"/>
    <s v="93483899001001"/>
    <n v="-33.43"/>
    <n v="1221"/>
    <n v="1"/>
    <n v="1"/>
  </r>
  <r>
    <m/>
    <m/>
    <x v="1"/>
    <s v="93549993001001"/>
    <n v="-84.47"/>
    <n v="3085"/>
    <n v="1"/>
    <n v="1"/>
  </r>
  <r>
    <m/>
    <m/>
    <x v="1"/>
    <s v="93645499001013"/>
    <n v="-18.399999999999999"/>
    <n v="672"/>
    <n v="1"/>
    <n v="1"/>
  </r>
  <r>
    <m/>
    <m/>
    <x v="1"/>
    <s v="94287883002008"/>
    <n v="-21.41"/>
    <n v="782"/>
    <n v="1"/>
    <n v="1"/>
  </r>
  <r>
    <m/>
    <m/>
    <x v="1"/>
    <s v="94506465001003"/>
    <n v="-26.48"/>
    <n v="967"/>
    <n v="1"/>
    <n v="1"/>
  </r>
  <r>
    <m/>
    <m/>
    <x v="1"/>
    <s v="94856892001001"/>
    <n v="-4.3499999999999996"/>
    <n v="159"/>
    <n v="1"/>
    <n v="1"/>
  </r>
  <r>
    <m/>
    <m/>
    <x v="1"/>
    <s v="94860723001003"/>
    <n v="-28.89"/>
    <n v="1055"/>
    <n v="1"/>
    <n v="1"/>
  </r>
  <r>
    <m/>
    <m/>
    <x v="1"/>
    <s v="95036848001006"/>
    <n v="-58.48"/>
    <n v="2136"/>
    <n v="1"/>
    <n v="1"/>
  </r>
  <r>
    <m/>
    <m/>
    <x v="1"/>
    <s v="95248906001001"/>
    <n v="-29.24"/>
    <n v="1068"/>
    <n v="1"/>
    <n v="1"/>
  </r>
  <r>
    <m/>
    <m/>
    <x v="1"/>
    <s v="95385375003003"/>
    <n v="-4.1100000000000003"/>
    <n v="150"/>
    <n v="1"/>
    <n v="1"/>
  </r>
  <r>
    <m/>
    <m/>
    <x v="1"/>
    <s v="95523867004002"/>
    <n v="-62.26"/>
    <n v="2274"/>
    <n v="1"/>
    <n v="1"/>
  </r>
  <r>
    <m/>
    <m/>
    <x v="1"/>
    <s v="95675529001008"/>
    <n v="-13.36"/>
    <n v="488"/>
    <n v="1"/>
    <n v="1"/>
  </r>
  <r>
    <m/>
    <m/>
    <x v="1"/>
    <s v="95837796001001"/>
    <n v="-57.11"/>
    <n v="2086"/>
    <n v="1"/>
    <n v="1"/>
  </r>
  <r>
    <m/>
    <m/>
    <x v="1"/>
    <s v="95880839001001"/>
    <n v="-6.02"/>
    <n v="220"/>
    <n v="1"/>
    <n v="1"/>
  </r>
  <r>
    <m/>
    <m/>
    <x v="1"/>
    <s v="95972381001002"/>
    <n v="-41.02"/>
    <n v="1498"/>
    <n v="1"/>
    <n v="1"/>
  </r>
  <r>
    <m/>
    <m/>
    <x v="1"/>
    <s v="96118559002003"/>
    <n v="-17.3"/>
    <n v="632"/>
    <n v="1"/>
    <n v="1"/>
  </r>
  <r>
    <m/>
    <m/>
    <x v="1"/>
    <s v="96171891001005"/>
    <n v="-22.97"/>
    <n v="839"/>
    <n v="1"/>
    <n v="1"/>
  </r>
  <r>
    <m/>
    <m/>
    <x v="1"/>
    <s v="96336668001003"/>
    <n v="-37.369999999999997"/>
    <n v="1365"/>
    <n v="1"/>
    <n v="1"/>
  </r>
  <r>
    <m/>
    <m/>
    <x v="1"/>
    <s v="96956354001001"/>
    <n v="-93.17"/>
    <n v="3403"/>
    <n v="1"/>
    <n v="1"/>
  </r>
  <r>
    <m/>
    <m/>
    <x v="1"/>
    <s v="97054812001007"/>
    <n v="-21.16"/>
    <n v="773"/>
    <n v="1"/>
    <n v="1"/>
  </r>
  <r>
    <m/>
    <m/>
    <x v="1"/>
    <s v="97148101001003"/>
    <n v="-16.89"/>
    <n v="617"/>
    <n v="1"/>
    <n v="1"/>
  </r>
  <r>
    <m/>
    <m/>
    <x v="1"/>
    <s v="97342863001003"/>
    <n v="-8.02"/>
    <n v="293"/>
    <n v="1"/>
    <n v="1"/>
  </r>
  <r>
    <m/>
    <m/>
    <x v="1"/>
    <s v="97360124001003"/>
    <n v="-34.69"/>
    <n v="1267"/>
    <n v="1"/>
    <n v="1"/>
  </r>
  <r>
    <m/>
    <m/>
    <x v="1"/>
    <s v="97375212002001"/>
    <n v="-40.82"/>
    <n v="1491"/>
    <n v="1"/>
    <n v="1"/>
  </r>
  <r>
    <m/>
    <m/>
    <x v="1"/>
    <s v="97389502001003"/>
    <n v="-3.23"/>
    <n v="118"/>
    <n v="1"/>
    <n v="1"/>
  </r>
  <r>
    <m/>
    <m/>
    <x v="1"/>
    <s v="97637799001002"/>
    <n v="-19.55"/>
    <n v="714"/>
    <n v="1"/>
    <n v="1"/>
  </r>
  <r>
    <m/>
    <m/>
    <x v="1"/>
    <s v="97778274001003"/>
    <n v="-29.16"/>
    <n v="1065"/>
    <n v="1"/>
    <n v="1"/>
  </r>
  <r>
    <m/>
    <m/>
    <x v="1"/>
    <s v="97956025003002"/>
    <n v="-36.909999999999997"/>
    <n v="1348"/>
    <n v="1"/>
    <n v="1"/>
  </r>
  <r>
    <m/>
    <m/>
    <x v="1"/>
    <s v="98411297002003"/>
    <n v="-32.83"/>
    <n v="1199"/>
    <n v="1"/>
    <n v="1"/>
  </r>
  <r>
    <m/>
    <m/>
    <x v="1"/>
    <s v="98420960001001"/>
    <n v="-9.64"/>
    <n v="352"/>
    <n v="1"/>
    <n v="1"/>
  </r>
  <r>
    <m/>
    <m/>
    <x v="1"/>
    <s v="98472260001001"/>
    <n v="-25.13"/>
    <n v="918"/>
    <n v="1"/>
    <n v="1"/>
  </r>
  <r>
    <m/>
    <m/>
    <x v="1"/>
    <s v="98478092001001"/>
    <n v="-17.8"/>
    <n v="650"/>
    <n v="1"/>
    <n v="1"/>
  </r>
  <r>
    <m/>
    <m/>
    <x v="1"/>
    <s v="98485707001001"/>
    <n v="-22.56"/>
    <n v="824"/>
    <n v="1"/>
    <n v="1"/>
  </r>
  <r>
    <m/>
    <m/>
    <x v="1"/>
    <s v="98730311001007"/>
    <n v="-42.19"/>
    <n v="1541"/>
    <n v="1"/>
    <n v="1"/>
  </r>
  <r>
    <m/>
    <m/>
    <x v="1"/>
    <s v="99162209001001"/>
    <n v="-78.55"/>
    <n v="2869"/>
    <n v="1"/>
    <n v="1"/>
  </r>
  <r>
    <m/>
    <m/>
    <x v="1"/>
    <s v="99284431001009"/>
    <n v="-47.64"/>
    <n v="1740"/>
    <n v="1"/>
    <n v="1"/>
  </r>
  <r>
    <m/>
    <m/>
    <x v="1"/>
    <s v="99321769001003"/>
    <n v="-22.64"/>
    <n v="827"/>
    <n v="1"/>
    <n v="1"/>
  </r>
  <r>
    <m/>
    <m/>
    <x v="1"/>
    <s v="99416217001003"/>
    <n v="-20.75"/>
    <n v="758"/>
    <n v="1"/>
    <n v="1"/>
  </r>
  <r>
    <m/>
    <m/>
    <x v="1"/>
    <s v="99547055001003"/>
    <n v="-35.79"/>
    <n v="1307"/>
    <n v="1"/>
    <n v="1"/>
  </r>
  <r>
    <m/>
    <m/>
    <x v="1"/>
    <s v="99887316001003"/>
    <n v="-11.55"/>
    <n v="422"/>
    <n v="1"/>
    <n v="1"/>
  </r>
  <r>
    <m/>
    <m/>
    <x v="4"/>
    <m/>
    <n v="-34268.320000000007"/>
    <n v="1251580"/>
    <n v="1077"/>
    <n v="1074"/>
  </r>
  <r>
    <m/>
    <m/>
    <x v="5"/>
    <s v="00003271001001"/>
    <n v="-90.68"/>
    <n v="2228"/>
    <n v="1"/>
    <n v="1"/>
  </r>
  <r>
    <m/>
    <m/>
    <x v="1"/>
    <s v="00068289001001"/>
    <n v="-30.16"/>
    <n v="741"/>
    <n v="1"/>
    <n v="1"/>
  </r>
  <r>
    <m/>
    <m/>
    <x v="1"/>
    <s v="00088986001001"/>
    <n v="-83.31"/>
    <n v="2047"/>
    <n v="1"/>
    <n v="1"/>
  </r>
  <r>
    <m/>
    <m/>
    <x v="1"/>
    <s v="00089965001003"/>
    <n v="-72.040000000000006"/>
    <n v="1770"/>
    <n v="1"/>
    <n v="1"/>
  </r>
  <r>
    <m/>
    <m/>
    <x v="1"/>
    <s v="00248169001001"/>
    <n v="-16.77"/>
    <n v="412"/>
    <n v="1"/>
    <n v="1"/>
  </r>
  <r>
    <m/>
    <m/>
    <x v="1"/>
    <s v="00251568001001"/>
    <n v="-32.840000000000003"/>
    <n v="807"/>
    <n v="1"/>
    <n v="1"/>
  </r>
  <r>
    <m/>
    <m/>
    <x v="1"/>
    <s v="00319594001001"/>
    <n v="-29.91"/>
    <n v="735"/>
    <n v="1"/>
    <n v="1"/>
  </r>
  <r>
    <m/>
    <m/>
    <x v="1"/>
    <s v="00365733004005"/>
    <n v="-24.66"/>
    <n v="606"/>
    <n v="1"/>
    <n v="1"/>
  </r>
  <r>
    <m/>
    <m/>
    <x v="1"/>
    <s v="00382666001003"/>
    <n v="-263.82"/>
    <n v="6482"/>
    <n v="4"/>
    <n v="1"/>
  </r>
  <r>
    <m/>
    <m/>
    <x v="1"/>
    <s v="00424155001001"/>
    <n v="-33.33"/>
    <n v="819"/>
    <n v="1"/>
    <n v="1"/>
  </r>
  <r>
    <m/>
    <m/>
    <x v="1"/>
    <s v="00479722008001"/>
    <n v="-83.48"/>
    <n v="2051"/>
    <n v="1"/>
    <n v="1"/>
  </r>
  <r>
    <m/>
    <m/>
    <x v="1"/>
    <s v="00507579001002"/>
    <n v="-17.66"/>
    <n v="434"/>
    <n v="1"/>
    <n v="1"/>
  </r>
  <r>
    <m/>
    <m/>
    <x v="1"/>
    <s v="00552042001003"/>
    <n v="-21.16"/>
    <n v="520"/>
    <n v="1"/>
    <n v="1"/>
  </r>
  <r>
    <m/>
    <m/>
    <x v="1"/>
    <s v="00574926001001"/>
    <n v="-58.16"/>
    <n v="1429"/>
    <n v="1"/>
    <n v="1"/>
  </r>
  <r>
    <m/>
    <m/>
    <x v="1"/>
    <s v="00631143001001"/>
    <n v="-34.799999999999997"/>
    <n v="855"/>
    <n v="1"/>
    <n v="1"/>
  </r>
  <r>
    <m/>
    <m/>
    <x v="1"/>
    <s v="00722915001001"/>
    <n v="-17.46"/>
    <n v="429"/>
    <n v="1"/>
    <n v="1"/>
  </r>
  <r>
    <m/>
    <m/>
    <x v="1"/>
    <s v="00730907001001"/>
    <n v="-20.84"/>
    <n v="512"/>
    <n v="1"/>
    <n v="1"/>
  </r>
  <r>
    <m/>
    <m/>
    <x v="1"/>
    <s v="00780738001001"/>
    <n v="-50.63"/>
    <n v="1244"/>
    <n v="1"/>
    <n v="1"/>
  </r>
  <r>
    <m/>
    <m/>
    <x v="1"/>
    <s v="00906029001008"/>
    <n v="-44.53"/>
    <n v="1094"/>
    <n v="1"/>
    <n v="1"/>
  </r>
  <r>
    <m/>
    <m/>
    <x v="1"/>
    <s v="00927680001009"/>
    <n v="-21.16"/>
    <n v="520"/>
    <n v="1"/>
    <n v="1"/>
  </r>
  <r>
    <m/>
    <m/>
    <x v="1"/>
    <s v="01028343001005"/>
    <n v="-36.96"/>
    <n v="908"/>
    <n v="1"/>
    <n v="1"/>
  </r>
  <r>
    <m/>
    <m/>
    <x v="1"/>
    <s v="01046493001001"/>
    <n v="-0.04"/>
    <n v="1"/>
    <n v="1"/>
    <n v="1"/>
  </r>
  <r>
    <m/>
    <m/>
    <x v="1"/>
    <s v="01092252001001"/>
    <n v="-49.25"/>
    <n v="1210"/>
    <n v="1"/>
    <n v="1"/>
  </r>
  <r>
    <m/>
    <m/>
    <x v="1"/>
    <s v="01125392001001"/>
    <n v="-75.209999999999994"/>
    <n v="1848"/>
    <n v="1"/>
    <n v="1"/>
  </r>
  <r>
    <m/>
    <m/>
    <x v="1"/>
    <s v="01190048001002"/>
    <n v="-14.08"/>
    <n v="346"/>
    <n v="1"/>
    <n v="1"/>
  </r>
  <r>
    <m/>
    <m/>
    <x v="1"/>
    <s v="01199376001001"/>
    <n v="-47.66"/>
    <n v="1171"/>
    <n v="1"/>
    <n v="1"/>
  </r>
  <r>
    <m/>
    <m/>
    <x v="1"/>
    <s v="01335294001005"/>
    <n v="-26.46"/>
    <n v="650"/>
    <n v="1"/>
    <n v="1"/>
  </r>
  <r>
    <m/>
    <m/>
    <x v="1"/>
    <s v="01403700005001"/>
    <n v="-40.94"/>
    <n v="1006"/>
    <n v="1"/>
    <n v="1"/>
  </r>
  <r>
    <m/>
    <m/>
    <x v="1"/>
    <s v="01483465001001"/>
    <n v="-43.92"/>
    <n v="1079"/>
    <n v="1"/>
    <n v="1"/>
  </r>
  <r>
    <m/>
    <m/>
    <x v="1"/>
    <s v="01608043001005"/>
    <n v="-111.93"/>
    <n v="2750"/>
    <n v="1"/>
    <n v="1"/>
  </r>
  <r>
    <m/>
    <m/>
    <x v="1"/>
    <s v="01698859001001"/>
    <n v="-42.74"/>
    <n v="1050"/>
    <n v="1"/>
    <n v="1"/>
  </r>
  <r>
    <m/>
    <m/>
    <x v="1"/>
    <s v="01752705001001"/>
    <n v="-97.96"/>
    <n v="2407"/>
    <n v="1"/>
    <n v="1"/>
  </r>
  <r>
    <m/>
    <m/>
    <x v="1"/>
    <s v="01980596001009"/>
    <n v="-78.180000000000007"/>
    <n v="1921"/>
    <n v="1"/>
    <n v="1"/>
  </r>
  <r>
    <m/>
    <m/>
    <x v="1"/>
    <s v="02012192001001"/>
    <n v="-23.73"/>
    <n v="583"/>
    <n v="1"/>
    <n v="1"/>
  </r>
  <r>
    <m/>
    <m/>
    <x v="1"/>
    <s v="02160615003007"/>
    <n v="-87.22"/>
    <n v="2143"/>
    <n v="1"/>
    <n v="1"/>
  </r>
  <r>
    <m/>
    <m/>
    <x v="1"/>
    <s v="02179705001007"/>
    <n v="-70.489999999999995"/>
    <n v="1732"/>
    <n v="1"/>
    <n v="1"/>
  </r>
  <r>
    <m/>
    <m/>
    <x v="1"/>
    <s v="02188680001001"/>
    <n v="-50.51"/>
    <n v="1241"/>
    <n v="1"/>
    <n v="1"/>
  </r>
  <r>
    <m/>
    <m/>
    <x v="1"/>
    <s v="02227362001007"/>
    <n v="-31.99"/>
    <n v="786"/>
    <n v="1"/>
    <n v="1"/>
  </r>
  <r>
    <m/>
    <m/>
    <x v="1"/>
    <s v="02282438001003"/>
    <n v="-43.22"/>
    <n v="1062"/>
    <n v="1"/>
    <n v="1"/>
  </r>
  <r>
    <m/>
    <m/>
    <x v="1"/>
    <s v="02380352001003"/>
    <n v="-85.27"/>
    <n v="2095"/>
    <n v="1"/>
    <n v="1"/>
  </r>
  <r>
    <m/>
    <m/>
    <x v="1"/>
    <s v="02496747002003"/>
    <n v="-74.11"/>
    <n v="1821"/>
    <n v="1"/>
    <n v="1"/>
  </r>
  <r>
    <m/>
    <m/>
    <x v="1"/>
    <s v="02670836001001"/>
    <n v="-16.36"/>
    <n v="402"/>
    <n v="1"/>
    <n v="1"/>
  </r>
  <r>
    <m/>
    <m/>
    <x v="1"/>
    <s v="02683413001001"/>
    <n v="-54.58"/>
    <n v="1341"/>
    <n v="1"/>
    <n v="1"/>
  </r>
  <r>
    <m/>
    <m/>
    <x v="1"/>
    <s v="02717656001001"/>
    <n v="-12.98"/>
    <n v="319"/>
    <n v="1"/>
    <n v="1"/>
  </r>
  <r>
    <m/>
    <m/>
    <x v="1"/>
    <s v="02861062001008"/>
    <n v="-12.45"/>
    <n v="306"/>
    <n v="1"/>
    <n v="1"/>
  </r>
  <r>
    <m/>
    <m/>
    <x v="1"/>
    <s v="02884496001009"/>
    <n v="-55.68"/>
    <n v="1368"/>
    <n v="1"/>
    <n v="1"/>
  </r>
  <r>
    <m/>
    <m/>
    <x v="1"/>
    <s v="02906246001001"/>
    <n v="-19.98"/>
    <n v="491"/>
    <n v="1"/>
    <n v="1"/>
  </r>
  <r>
    <m/>
    <m/>
    <x v="1"/>
    <s v="03018483004001"/>
    <n v="-62.23"/>
    <n v="1529"/>
    <n v="1"/>
    <n v="1"/>
  </r>
  <r>
    <m/>
    <m/>
    <x v="1"/>
    <s v="03051677001003"/>
    <n v="-66.34"/>
    <n v="1630"/>
    <n v="1"/>
    <n v="1"/>
  </r>
  <r>
    <m/>
    <m/>
    <x v="1"/>
    <s v="03088248001005"/>
    <n v="-54.9"/>
    <n v="1349"/>
    <n v="1"/>
    <n v="1"/>
  </r>
  <r>
    <m/>
    <m/>
    <x v="1"/>
    <s v="03091692001001"/>
    <n v="-92.35"/>
    <n v="2269"/>
    <n v="1"/>
    <n v="1"/>
  </r>
  <r>
    <m/>
    <m/>
    <x v="1"/>
    <s v="03308022002001"/>
    <n v="-61.46"/>
    <n v="1510"/>
    <n v="1"/>
    <n v="1"/>
  </r>
  <r>
    <m/>
    <m/>
    <x v="1"/>
    <s v="03330463001002"/>
    <n v="-55.43"/>
    <n v="1362"/>
    <n v="1"/>
    <n v="1"/>
  </r>
  <r>
    <m/>
    <m/>
    <x v="1"/>
    <s v="03363668001003"/>
    <n v="-34.64"/>
    <n v="851"/>
    <n v="1"/>
    <n v="1"/>
  </r>
  <r>
    <m/>
    <m/>
    <x v="1"/>
    <s v="03498939002001"/>
    <n v="-84.09"/>
    <n v="2066"/>
    <n v="1"/>
    <n v="1"/>
  </r>
  <r>
    <m/>
    <m/>
    <x v="1"/>
    <s v="03499851001001"/>
    <n v="-78.84"/>
    <n v="1937"/>
    <n v="1"/>
    <n v="1"/>
  </r>
  <r>
    <m/>
    <m/>
    <x v="1"/>
    <s v="03505698001001"/>
    <n v="-22.06"/>
    <n v="542"/>
    <n v="1"/>
    <n v="1"/>
  </r>
  <r>
    <m/>
    <m/>
    <x v="1"/>
    <s v="03517195001001"/>
    <n v="-8.83"/>
    <n v="217"/>
    <n v="1"/>
    <n v="1"/>
  </r>
  <r>
    <m/>
    <m/>
    <x v="1"/>
    <s v="03527986001006"/>
    <n v="-19.62"/>
    <n v="482"/>
    <n v="1"/>
    <n v="1"/>
  </r>
  <r>
    <m/>
    <m/>
    <x v="1"/>
    <s v="03530774001005"/>
    <n v="-32.19"/>
    <n v="791"/>
    <n v="1"/>
    <n v="1"/>
  </r>
  <r>
    <m/>
    <m/>
    <x v="1"/>
    <s v="03554715002003"/>
    <n v="-52.46"/>
    <n v="1289"/>
    <n v="1"/>
    <n v="1"/>
  </r>
  <r>
    <m/>
    <m/>
    <x v="1"/>
    <s v="03722115001001"/>
    <n v="-87.71"/>
    <n v="2155"/>
    <n v="1"/>
    <n v="1"/>
  </r>
  <r>
    <m/>
    <m/>
    <x v="1"/>
    <s v="03725193001001"/>
    <n v="-108.87"/>
    <n v="2675"/>
    <n v="1"/>
    <n v="1"/>
  </r>
  <r>
    <m/>
    <m/>
    <x v="1"/>
    <s v="03739009002001"/>
    <n v="-151.32999999999998"/>
    <n v="3718"/>
    <n v="2"/>
    <n v="1"/>
  </r>
  <r>
    <m/>
    <m/>
    <x v="1"/>
    <s v="03757292001002"/>
    <n v="-41.51"/>
    <n v="1020"/>
    <n v="1"/>
    <n v="1"/>
  </r>
  <r>
    <m/>
    <m/>
    <x v="1"/>
    <s v="03799095002001"/>
    <n v="-45.01"/>
    <n v="1106"/>
    <n v="1"/>
    <n v="1"/>
  </r>
  <r>
    <m/>
    <m/>
    <x v="1"/>
    <s v="03896011001001"/>
    <n v="-71.75"/>
    <n v="1763"/>
    <n v="1"/>
    <n v="1"/>
  </r>
  <r>
    <m/>
    <m/>
    <x v="1"/>
    <s v="03983250001004"/>
    <n v="-70.33"/>
    <n v="1728"/>
    <n v="1"/>
    <n v="1"/>
  </r>
  <r>
    <m/>
    <m/>
    <x v="1"/>
    <s v="04065926001004"/>
    <n v="-32.93"/>
    <n v="809"/>
    <n v="1"/>
    <n v="1"/>
  </r>
  <r>
    <m/>
    <m/>
    <x v="1"/>
    <s v="04099598001002"/>
    <n v="-86.04"/>
    <n v="2114"/>
    <n v="1"/>
    <n v="1"/>
  </r>
  <r>
    <m/>
    <m/>
    <x v="1"/>
    <s v="04169668001001"/>
    <n v="-25.56"/>
    <n v="628"/>
    <n v="1"/>
    <n v="1"/>
  </r>
  <r>
    <m/>
    <m/>
    <x v="1"/>
    <s v="04226765001003"/>
    <n v="-75.13"/>
    <n v="1846"/>
    <n v="1"/>
    <n v="1"/>
  </r>
  <r>
    <m/>
    <m/>
    <x v="1"/>
    <s v="04280480008001"/>
    <n v="-111.68"/>
    <n v="2744"/>
    <n v="1"/>
    <n v="1"/>
  </r>
  <r>
    <m/>
    <m/>
    <x v="1"/>
    <s v="04348003001001"/>
    <n v="-33.46"/>
    <n v="822"/>
    <n v="1"/>
    <n v="1"/>
  </r>
  <r>
    <m/>
    <m/>
    <x v="1"/>
    <s v="04544587001001"/>
    <n v="-26.58"/>
    <n v="653"/>
    <n v="1"/>
    <n v="1"/>
  </r>
  <r>
    <m/>
    <m/>
    <x v="1"/>
    <s v="04563700003001"/>
    <n v="-55.64"/>
    <n v="1367"/>
    <n v="1"/>
    <n v="1"/>
  </r>
  <r>
    <m/>
    <m/>
    <x v="1"/>
    <s v="04619562001001"/>
    <n v="-47.54"/>
    <n v="1168"/>
    <n v="1"/>
    <n v="1"/>
  </r>
  <r>
    <m/>
    <m/>
    <x v="1"/>
    <s v="04707114001002"/>
    <n v="-37.479999999999997"/>
    <n v="921"/>
    <n v="1"/>
    <n v="1"/>
  </r>
  <r>
    <m/>
    <m/>
    <x v="1"/>
    <s v="04726736001005"/>
    <n v="-66.790000000000006"/>
    <n v="1641"/>
    <n v="1"/>
    <n v="1"/>
  </r>
  <r>
    <m/>
    <m/>
    <x v="1"/>
    <s v="04731425001001"/>
    <n v="-76.48"/>
    <n v="1879"/>
    <n v="1"/>
    <n v="1"/>
  </r>
  <r>
    <m/>
    <m/>
    <x v="1"/>
    <s v="04758207001001"/>
    <n v="-5.33"/>
    <n v="131"/>
    <n v="1"/>
    <n v="1"/>
  </r>
  <r>
    <m/>
    <m/>
    <x v="1"/>
    <s v="04805152001005"/>
    <n v="-104.97"/>
    <n v="2579"/>
    <n v="1"/>
    <n v="1"/>
  </r>
  <r>
    <m/>
    <m/>
    <x v="1"/>
    <s v="04961046001001"/>
    <n v="-53.48"/>
    <n v="1314"/>
    <n v="1"/>
    <n v="1"/>
  </r>
  <r>
    <m/>
    <m/>
    <x v="1"/>
    <s v="05012951001002"/>
    <n v="-76.959999999999994"/>
    <n v="1891"/>
    <n v="1"/>
    <n v="1"/>
  </r>
  <r>
    <m/>
    <m/>
    <x v="1"/>
    <s v="05125129001001"/>
    <n v="-12.49"/>
    <n v="307"/>
    <n v="1"/>
    <n v="1"/>
  </r>
  <r>
    <m/>
    <m/>
    <x v="1"/>
    <s v="05149737001007"/>
    <n v="-45.26"/>
    <n v="1112"/>
    <n v="1"/>
    <n v="1"/>
  </r>
  <r>
    <m/>
    <m/>
    <x v="1"/>
    <s v="05181815001001"/>
    <n v="-24.87"/>
    <n v="611"/>
    <n v="1"/>
    <n v="1"/>
  </r>
  <r>
    <m/>
    <m/>
    <x v="1"/>
    <s v="05429860001003"/>
    <n v="-37.119999999999997"/>
    <n v="912"/>
    <n v="1"/>
    <n v="1"/>
  </r>
  <r>
    <m/>
    <m/>
    <x v="1"/>
    <s v="05489508003005"/>
    <n v="-36.22"/>
    <n v="890"/>
    <n v="1"/>
    <n v="1"/>
  </r>
  <r>
    <m/>
    <m/>
    <x v="1"/>
    <s v="05530045001001"/>
    <n v="-18.93"/>
    <n v="465"/>
    <n v="1"/>
    <n v="1"/>
  </r>
  <r>
    <m/>
    <m/>
    <x v="1"/>
    <s v="05576834001001"/>
    <n v="-24.91"/>
    <n v="612"/>
    <n v="1"/>
    <n v="1"/>
  </r>
  <r>
    <m/>
    <m/>
    <x v="1"/>
    <s v="05623338001005"/>
    <n v="-12.37"/>
    <n v="304"/>
    <n v="1"/>
    <n v="1"/>
  </r>
  <r>
    <m/>
    <m/>
    <x v="1"/>
    <s v="05707361001002"/>
    <n v="-45.75"/>
    <n v="1124"/>
    <n v="1"/>
    <n v="1"/>
  </r>
  <r>
    <m/>
    <m/>
    <x v="1"/>
    <s v="05767750001001"/>
    <n v="-93.53"/>
    <n v="2298"/>
    <n v="1"/>
    <n v="1"/>
  </r>
  <r>
    <m/>
    <m/>
    <x v="1"/>
    <s v="05803986001001"/>
    <n v="-25.97"/>
    <n v="638"/>
    <n v="1"/>
    <n v="1"/>
  </r>
  <r>
    <m/>
    <m/>
    <x v="1"/>
    <s v="05846062001006"/>
    <n v="-64.180000000000007"/>
    <n v="1577"/>
    <n v="1"/>
    <n v="1"/>
  </r>
  <r>
    <m/>
    <m/>
    <x v="1"/>
    <s v="05852224002001"/>
    <n v="-73.63"/>
    <n v="1809"/>
    <n v="1"/>
    <n v="1"/>
  </r>
  <r>
    <m/>
    <m/>
    <x v="1"/>
    <s v="05886414001001"/>
    <n v="-11.76"/>
    <n v="289"/>
    <n v="1"/>
    <n v="1"/>
  </r>
  <r>
    <m/>
    <m/>
    <x v="1"/>
    <s v="05896396001005"/>
    <n v="-5.78"/>
    <n v="142"/>
    <n v="1"/>
    <n v="1"/>
  </r>
  <r>
    <m/>
    <m/>
    <x v="1"/>
    <s v="06217746001001"/>
    <n v="-56"/>
    <n v="1376"/>
    <n v="1"/>
    <n v="1"/>
  </r>
  <r>
    <m/>
    <m/>
    <x v="1"/>
    <s v="06359444001001"/>
    <n v="-90.35"/>
    <n v="2220"/>
    <n v="1"/>
    <n v="1"/>
  </r>
  <r>
    <m/>
    <m/>
    <x v="1"/>
    <s v="06381309001001"/>
    <n v="-39.76"/>
    <n v="977"/>
    <n v="1"/>
    <n v="1"/>
  </r>
  <r>
    <m/>
    <m/>
    <x v="1"/>
    <s v="06382830001001"/>
    <n v="-57.43"/>
    <n v="1411"/>
    <n v="1"/>
    <n v="1"/>
  </r>
  <r>
    <m/>
    <m/>
    <x v="1"/>
    <s v="06483393001003"/>
    <n v="-13.19"/>
    <n v="324"/>
    <n v="1"/>
    <n v="1"/>
  </r>
  <r>
    <m/>
    <m/>
    <x v="1"/>
    <s v="06497744001004"/>
    <n v="-0.12"/>
    <n v="3"/>
    <n v="1"/>
    <n v="1"/>
  </r>
  <r>
    <m/>
    <m/>
    <x v="1"/>
    <s v="06506446002001"/>
    <n v="-43.22"/>
    <n v="1062"/>
    <n v="1"/>
    <n v="1"/>
  </r>
  <r>
    <m/>
    <m/>
    <x v="1"/>
    <s v="06546723004003"/>
    <n v="-105.13"/>
    <n v="2583"/>
    <n v="1"/>
    <n v="1"/>
  </r>
  <r>
    <m/>
    <m/>
    <x v="1"/>
    <s v="06659461001001"/>
    <n v="-8.9499999999999993"/>
    <n v="220"/>
    <n v="1"/>
    <n v="1"/>
  </r>
  <r>
    <m/>
    <m/>
    <x v="1"/>
    <s v="06711370004001"/>
    <n v="-77.7"/>
    <n v="1909"/>
    <n v="1"/>
    <n v="1"/>
  </r>
  <r>
    <m/>
    <m/>
    <x v="1"/>
    <s v="06752272001001"/>
    <n v="-11.64"/>
    <n v="286"/>
    <n v="1"/>
    <n v="1"/>
  </r>
  <r>
    <m/>
    <m/>
    <x v="1"/>
    <s v="06797083002002"/>
    <n v="-29.39"/>
    <n v="722"/>
    <n v="1"/>
    <n v="1"/>
  </r>
  <r>
    <m/>
    <m/>
    <x v="1"/>
    <s v="06815394001001"/>
    <n v="-12.82"/>
    <n v="315"/>
    <n v="1"/>
    <n v="1"/>
  </r>
  <r>
    <m/>
    <m/>
    <x v="1"/>
    <s v="06850200002005"/>
    <n v="-12.82"/>
    <n v="315"/>
    <n v="1"/>
    <n v="1"/>
  </r>
  <r>
    <m/>
    <m/>
    <x v="1"/>
    <s v="06921954001001"/>
    <n v="-73.989999999999995"/>
    <n v="1818"/>
    <n v="1"/>
    <n v="1"/>
  </r>
  <r>
    <m/>
    <m/>
    <x v="1"/>
    <s v="06981091001001"/>
    <n v="-16.04"/>
    <n v="394"/>
    <n v="1"/>
    <n v="1"/>
  </r>
  <r>
    <m/>
    <m/>
    <x v="1"/>
    <s v="06995052002002"/>
    <n v="-75.58"/>
    <n v="1857"/>
    <n v="1"/>
    <n v="1"/>
  </r>
  <r>
    <m/>
    <m/>
    <x v="1"/>
    <s v="07168124001001"/>
    <n v="-53.07"/>
    <n v="1304"/>
    <n v="1"/>
    <n v="1"/>
  </r>
  <r>
    <m/>
    <m/>
    <x v="1"/>
    <s v="07188065001006"/>
    <n v="-14.37"/>
    <n v="353"/>
    <n v="1"/>
    <n v="1"/>
  </r>
  <r>
    <m/>
    <m/>
    <x v="1"/>
    <s v="07402694002004"/>
    <n v="-62.52"/>
    <n v="1536"/>
    <n v="1"/>
    <n v="1"/>
  </r>
  <r>
    <m/>
    <m/>
    <x v="1"/>
    <s v="07467331001001"/>
    <n v="-48.64"/>
    <n v="1195"/>
    <n v="1"/>
    <n v="1"/>
  </r>
  <r>
    <m/>
    <m/>
    <x v="1"/>
    <s v="07497509001002"/>
    <n v="-21.41"/>
    <n v="526"/>
    <n v="1"/>
    <n v="1"/>
  </r>
  <r>
    <m/>
    <m/>
    <x v="1"/>
    <s v="07806495001002"/>
    <n v="-28.49"/>
    <n v="700"/>
    <n v="1"/>
    <n v="1"/>
  </r>
  <r>
    <m/>
    <m/>
    <x v="1"/>
    <s v="07839530002003"/>
    <n v="-124.26"/>
    <n v="3053"/>
    <n v="1"/>
    <n v="1"/>
  </r>
  <r>
    <m/>
    <m/>
    <x v="1"/>
    <s v="07899713001003"/>
    <n v="-27.76"/>
    <n v="682"/>
    <n v="1"/>
    <n v="1"/>
  </r>
  <r>
    <m/>
    <m/>
    <x v="1"/>
    <s v="07928044001004"/>
    <n v="-40.42"/>
    <n v="993"/>
    <n v="1"/>
    <n v="1"/>
  </r>
  <r>
    <m/>
    <m/>
    <x v="1"/>
    <s v="07949521001004"/>
    <n v="-131.41999999999999"/>
    <n v="3229"/>
    <n v="1"/>
    <n v="1"/>
  </r>
  <r>
    <m/>
    <m/>
    <x v="1"/>
    <s v="07950772002001"/>
    <n v="-92.63"/>
    <n v="2276"/>
    <n v="1"/>
    <n v="1"/>
  </r>
  <r>
    <m/>
    <m/>
    <x v="1"/>
    <s v="08001690001003"/>
    <n v="-6.27"/>
    <n v="154"/>
    <n v="1"/>
    <n v="1"/>
  </r>
  <r>
    <m/>
    <m/>
    <x v="1"/>
    <s v="08046015005001"/>
    <n v="-86.08"/>
    <n v="2115"/>
    <n v="1"/>
    <n v="1"/>
  </r>
  <r>
    <m/>
    <m/>
    <x v="1"/>
    <s v="08047179002001"/>
    <n v="-44.32"/>
    <n v="1089"/>
    <n v="1"/>
    <n v="1"/>
  </r>
  <r>
    <m/>
    <m/>
    <x v="1"/>
    <s v="08056389001001"/>
    <n v="-7.24"/>
    <n v="178"/>
    <n v="1"/>
    <n v="1"/>
  </r>
  <r>
    <m/>
    <m/>
    <x v="1"/>
    <s v="08158686001001"/>
    <n v="-21.49"/>
    <n v="528"/>
    <n v="1"/>
    <n v="1"/>
  </r>
  <r>
    <m/>
    <m/>
    <x v="1"/>
    <s v="08220595001001"/>
    <n v="-84.13"/>
    <n v="2067"/>
    <n v="1"/>
    <n v="1"/>
  </r>
  <r>
    <m/>
    <m/>
    <x v="1"/>
    <s v="08233163001004"/>
    <n v="-58.12"/>
    <n v="1428"/>
    <n v="1"/>
    <n v="1"/>
  </r>
  <r>
    <m/>
    <m/>
    <x v="1"/>
    <s v="08504635004005"/>
    <n v="-71.84"/>
    <n v="1765"/>
    <n v="1"/>
    <n v="1"/>
  </r>
  <r>
    <m/>
    <m/>
    <x v="1"/>
    <s v="08549288001007"/>
    <n v="-77.13"/>
    <n v="1895"/>
    <n v="1"/>
    <n v="1"/>
  </r>
  <r>
    <m/>
    <m/>
    <x v="1"/>
    <s v="08580823001001"/>
    <n v="-61.17"/>
    <n v="1503"/>
    <n v="1"/>
    <n v="1"/>
  </r>
  <r>
    <m/>
    <m/>
    <x v="1"/>
    <s v="08694261001001"/>
    <n v="-50.35"/>
    <n v="1237"/>
    <n v="1"/>
    <n v="1"/>
  </r>
  <r>
    <m/>
    <m/>
    <x v="1"/>
    <s v="08733004003004"/>
    <n v="-84.86"/>
    <n v="2085"/>
    <n v="1"/>
    <n v="1"/>
  </r>
  <r>
    <m/>
    <m/>
    <x v="1"/>
    <s v="08794894001001"/>
    <n v="-119.05"/>
    <n v="2925"/>
    <n v="1"/>
    <n v="1"/>
  </r>
  <r>
    <m/>
    <m/>
    <x v="1"/>
    <s v="08808764002006"/>
    <n v="-81.93"/>
    <n v="2013"/>
    <n v="1"/>
    <n v="1"/>
  </r>
  <r>
    <m/>
    <m/>
    <x v="1"/>
    <s v="08951802001002"/>
    <n v="-74.48"/>
    <n v="1830"/>
    <n v="1"/>
    <n v="1"/>
  </r>
  <r>
    <m/>
    <m/>
    <x v="1"/>
    <s v="08974102001003"/>
    <n v="-37.32"/>
    <n v="917"/>
    <n v="1"/>
    <n v="1"/>
  </r>
  <r>
    <m/>
    <m/>
    <x v="1"/>
    <s v="09010397001001"/>
    <n v="-51.81"/>
    <n v="1273"/>
    <n v="1"/>
    <n v="1"/>
  </r>
  <r>
    <m/>
    <m/>
    <x v="1"/>
    <s v="09042855001003"/>
    <n v="-10.58"/>
    <n v="260"/>
    <n v="1"/>
    <n v="1"/>
  </r>
  <r>
    <m/>
    <m/>
    <x v="1"/>
    <s v="09185093001002"/>
    <n v="-24.05"/>
    <n v="591"/>
    <n v="1"/>
    <n v="1"/>
  </r>
  <r>
    <m/>
    <m/>
    <x v="1"/>
    <s v="09269213006001"/>
    <n v="-63.65"/>
    <n v="1564"/>
    <n v="1"/>
    <n v="1"/>
  </r>
  <r>
    <m/>
    <m/>
    <x v="1"/>
    <s v="09289545005001"/>
    <n v="-68.62"/>
    <n v="1686"/>
    <n v="1"/>
    <n v="1"/>
  </r>
  <r>
    <m/>
    <m/>
    <x v="1"/>
    <s v="09315806002001"/>
    <n v="-31.18"/>
    <n v="766"/>
    <n v="1"/>
    <n v="1"/>
  </r>
  <r>
    <m/>
    <m/>
    <x v="1"/>
    <s v="09318796001003"/>
    <n v="-34.6"/>
    <n v="850"/>
    <n v="1"/>
    <n v="1"/>
  </r>
  <r>
    <m/>
    <m/>
    <x v="1"/>
    <s v="09350845002002"/>
    <n v="-66.099999999999994"/>
    <n v="1624"/>
    <n v="1"/>
    <n v="1"/>
  </r>
  <r>
    <m/>
    <m/>
    <x v="1"/>
    <s v="09410352001003"/>
    <n v="-30.24"/>
    <n v="743"/>
    <n v="1"/>
    <n v="1"/>
  </r>
  <r>
    <m/>
    <m/>
    <x v="1"/>
    <s v="09541206009003"/>
    <n v="-45.67"/>
    <n v="1122"/>
    <n v="1"/>
    <n v="1"/>
  </r>
  <r>
    <m/>
    <m/>
    <x v="1"/>
    <s v="09555589001015"/>
    <n v="-40.130000000000003"/>
    <n v="986"/>
    <n v="1"/>
    <n v="1"/>
  </r>
  <r>
    <m/>
    <m/>
    <x v="1"/>
    <s v="09607312001001"/>
    <n v="-109.2"/>
    <n v="2683"/>
    <n v="1"/>
    <n v="1"/>
  </r>
  <r>
    <m/>
    <m/>
    <x v="1"/>
    <s v="09656421001005"/>
    <n v="-140.13"/>
    <n v="3443"/>
    <n v="1"/>
    <n v="1"/>
  </r>
  <r>
    <m/>
    <m/>
    <x v="1"/>
    <s v="09715929001003"/>
    <n v="-26.94"/>
    <n v="662"/>
    <n v="1"/>
    <n v="1"/>
  </r>
  <r>
    <m/>
    <m/>
    <x v="1"/>
    <s v="09717335001001"/>
    <n v="-63.78"/>
    <n v="1567"/>
    <n v="1"/>
    <n v="1"/>
  </r>
  <r>
    <m/>
    <m/>
    <x v="1"/>
    <s v="09742133005001"/>
    <n v="-27.07"/>
    <n v="665"/>
    <n v="1"/>
    <n v="1"/>
  </r>
  <r>
    <m/>
    <m/>
    <x v="1"/>
    <s v="09752135001001"/>
    <n v="-13.15"/>
    <n v="323"/>
    <n v="1"/>
    <n v="1"/>
  </r>
  <r>
    <m/>
    <m/>
    <x v="1"/>
    <s v="09767344004001"/>
    <n v="-126.25"/>
    <n v="3102"/>
    <n v="1"/>
    <n v="1"/>
  </r>
  <r>
    <m/>
    <m/>
    <x v="1"/>
    <s v="10032544001001"/>
    <n v="-41.68"/>
    <n v="1024"/>
    <n v="1"/>
    <n v="1"/>
  </r>
  <r>
    <m/>
    <m/>
    <x v="1"/>
    <s v="10059606001001"/>
    <n v="-57.22"/>
    <n v="1406"/>
    <n v="1"/>
    <n v="1"/>
  </r>
  <r>
    <m/>
    <m/>
    <x v="1"/>
    <s v="10089238001001"/>
    <n v="-33.01"/>
    <n v="811"/>
    <n v="1"/>
    <n v="1"/>
  </r>
  <r>
    <m/>
    <m/>
    <x v="1"/>
    <s v="10095826001001"/>
    <n v="-75.58"/>
    <n v="1857"/>
    <n v="1"/>
    <n v="1"/>
  </r>
  <r>
    <m/>
    <m/>
    <x v="1"/>
    <s v="10286168001001"/>
    <n v="-52.34"/>
    <n v="1286"/>
    <n v="1"/>
    <n v="1"/>
  </r>
  <r>
    <m/>
    <m/>
    <x v="1"/>
    <s v="10291136001005"/>
    <n v="-112.29"/>
    <n v="2759"/>
    <n v="1"/>
    <n v="1"/>
  </r>
  <r>
    <m/>
    <m/>
    <x v="1"/>
    <s v="10346018001001"/>
    <n v="-84.53"/>
    <n v="2077"/>
    <n v="1"/>
    <n v="1"/>
  </r>
  <r>
    <m/>
    <m/>
    <x v="1"/>
    <s v="10356260001001"/>
    <n v="-80.38"/>
    <n v="1975"/>
    <n v="1"/>
    <n v="1"/>
  </r>
  <r>
    <m/>
    <m/>
    <x v="1"/>
    <s v="10377894001016"/>
    <n v="-55.03"/>
    <n v="1352"/>
    <n v="1"/>
    <n v="1"/>
  </r>
  <r>
    <m/>
    <m/>
    <x v="1"/>
    <s v="10447712003003"/>
    <n v="-17.38"/>
    <n v="427"/>
    <n v="1"/>
    <n v="1"/>
  </r>
  <r>
    <m/>
    <m/>
    <x v="1"/>
    <s v="10563066001001"/>
    <n v="-18.399999999999999"/>
    <n v="452"/>
    <n v="1"/>
    <n v="1"/>
  </r>
  <r>
    <m/>
    <m/>
    <x v="1"/>
    <s v="10635301003001"/>
    <n v="-19.98"/>
    <n v="491"/>
    <n v="1"/>
    <n v="1"/>
  </r>
  <r>
    <m/>
    <m/>
    <x v="1"/>
    <s v="10769950001001"/>
    <n v="-18.399999999999999"/>
    <n v="452"/>
    <n v="1"/>
    <n v="1"/>
  </r>
  <r>
    <m/>
    <m/>
    <x v="1"/>
    <s v="10783993001001"/>
    <n v="-21.94"/>
    <n v="539"/>
    <n v="1"/>
    <n v="1"/>
  </r>
  <r>
    <m/>
    <m/>
    <x v="1"/>
    <s v="10792246001002"/>
    <n v="-59.79"/>
    <n v="1469"/>
    <n v="1"/>
    <n v="1"/>
  </r>
  <r>
    <m/>
    <m/>
    <x v="1"/>
    <s v="10865475001001"/>
    <n v="-78.92"/>
    <n v="1939"/>
    <n v="1"/>
    <n v="1"/>
  </r>
  <r>
    <m/>
    <m/>
    <x v="1"/>
    <s v="10931298001005"/>
    <n v="-11.07"/>
    <n v="272"/>
    <n v="1"/>
    <n v="1"/>
  </r>
  <r>
    <m/>
    <m/>
    <x v="1"/>
    <s v="11078715001003"/>
    <n v="-64.31"/>
    <n v="1580"/>
    <n v="1"/>
    <n v="1"/>
  </r>
  <r>
    <m/>
    <m/>
    <x v="1"/>
    <s v="11190686005003"/>
    <n v="-135.04"/>
    <n v="3318"/>
    <n v="1"/>
    <n v="1"/>
  </r>
  <r>
    <m/>
    <m/>
    <x v="1"/>
    <s v="11325923001001"/>
    <n v="-35.94"/>
    <n v="883"/>
    <n v="1"/>
    <n v="1"/>
  </r>
  <r>
    <m/>
    <m/>
    <x v="1"/>
    <s v="11356050001010"/>
    <n v="-18.600000000000001"/>
    <n v="457"/>
    <n v="1"/>
    <n v="1"/>
  </r>
  <r>
    <m/>
    <m/>
    <x v="1"/>
    <s v="11380184001001"/>
    <n v="-3.22"/>
    <n v="79"/>
    <n v="1"/>
    <n v="1"/>
  </r>
  <r>
    <m/>
    <m/>
    <x v="1"/>
    <s v="11498623002001"/>
    <n v="-86.98"/>
    <n v="2137"/>
    <n v="1"/>
    <n v="1"/>
  </r>
  <r>
    <m/>
    <m/>
    <x v="1"/>
    <s v="11511797001002"/>
    <n v="-60.97"/>
    <n v="1498"/>
    <n v="1"/>
    <n v="1"/>
  </r>
  <r>
    <m/>
    <m/>
    <x v="1"/>
    <s v="11558237001001"/>
    <n v="-63.37"/>
    <n v="1557"/>
    <n v="1"/>
    <n v="1"/>
  </r>
  <r>
    <m/>
    <m/>
    <x v="1"/>
    <s v="11649874003001"/>
    <n v="-33.86"/>
    <n v="832"/>
    <n v="1"/>
    <n v="1"/>
  </r>
  <r>
    <m/>
    <m/>
    <x v="1"/>
    <s v="11662460005001"/>
    <n v="-42.29"/>
    <n v="1039"/>
    <n v="1"/>
    <n v="1"/>
  </r>
  <r>
    <m/>
    <m/>
    <x v="1"/>
    <s v="11714515001003"/>
    <n v="-72.53"/>
    <n v="1782"/>
    <n v="1"/>
    <n v="1"/>
  </r>
  <r>
    <m/>
    <m/>
    <x v="1"/>
    <s v="11787709001001"/>
    <n v="-61.99"/>
    <n v="1523"/>
    <n v="1"/>
    <n v="1"/>
  </r>
  <r>
    <m/>
    <m/>
    <x v="1"/>
    <s v="12190639001002"/>
    <n v="-55.03"/>
    <n v="1352"/>
    <n v="1"/>
    <n v="1"/>
  </r>
  <r>
    <m/>
    <m/>
    <x v="1"/>
    <s v="12190744001001"/>
    <n v="-4.5599999999999996"/>
    <n v="112"/>
    <n v="1"/>
    <n v="1"/>
  </r>
  <r>
    <m/>
    <m/>
    <x v="1"/>
    <s v="12193027001001"/>
    <n v="-18.760000000000002"/>
    <n v="461"/>
    <n v="1"/>
    <n v="1"/>
  </r>
  <r>
    <m/>
    <m/>
    <x v="1"/>
    <s v="12199696001001"/>
    <n v="-97.64"/>
    <n v="2399"/>
    <n v="1"/>
    <n v="1"/>
  </r>
  <r>
    <m/>
    <m/>
    <x v="1"/>
    <s v="12199921003001"/>
    <n v="-28.29"/>
    <n v="695"/>
    <n v="1"/>
    <n v="1"/>
  </r>
  <r>
    <m/>
    <m/>
    <x v="1"/>
    <s v="12215901001001"/>
    <n v="-3.17"/>
    <n v="78"/>
    <n v="1"/>
    <n v="1"/>
  </r>
  <r>
    <m/>
    <m/>
    <x v="1"/>
    <s v="12246503002003"/>
    <n v="-65.61"/>
    <n v="1612"/>
    <n v="1"/>
    <n v="1"/>
  </r>
  <r>
    <m/>
    <m/>
    <x v="1"/>
    <s v="12258593002001"/>
    <n v="-54.17"/>
    <n v="1331"/>
    <n v="1"/>
    <n v="1"/>
  </r>
  <r>
    <m/>
    <m/>
    <x v="1"/>
    <s v="12347732001004"/>
    <n v="-69.680000000000007"/>
    <n v="1712"/>
    <n v="1"/>
    <n v="1"/>
  </r>
  <r>
    <m/>
    <m/>
    <x v="1"/>
    <s v="12421088001001"/>
    <n v="-7.65"/>
    <n v="188"/>
    <n v="1"/>
    <n v="1"/>
  </r>
  <r>
    <m/>
    <m/>
    <x v="1"/>
    <s v="12587071001001"/>
    <n v="-113.92"/>
    <n v="2799"/>
    <n v="1"/>
    <n v="1"/>
  </r>
  <r>
    <m/>
    <m/>
    <x v="1"/>
    <s v="12738000001001"/>
    <n v="-105.33"/>
    <n v="2588"/>
    <n v="1"/>
    <n v="1"/>
  </r>
  <r>
    <m/>
    <m/>
    <x v="1"/>
    <s v="12750086001005"/>
    <n v="-68.25"/>
    <n v="1677"/>
    <n v="1"/>
    <n v="1"/>
  </r>
  <r>
    <m/>
    <m/>
    <x v="1"/>
    <s v="12890384003001"/>
    <n v="-78.14"/>
    <n v="1920"/>
    <n v="1"/>
    <n v="1"/>
  </r>
  <r>
    <m/>
    <m/>
    <x v="1"/>
    <s v="12952323002003"/>
    <n v="-7.45"/>
    <n v="183"/>
    <n v="1"/>
    <n v="1"/>
  </r>
  <r>
    <m/>
    <m/>
    <x v="1"/>
    <s v="12961356001003"/>
    <n v="-19.09"/>
    <n v="469"/>
    <n v="1"/>
    <n v="1"/>
  </r>
  <r>
    <m/>
    <m/>
    <x v="1"/>
    <s v="13055066001001"/>
    <n v="-10.130000000000001"/>
    <n v="249"/>
    <n v="1"/>
    <n v="1"/>
  </r>
  <r>
    <m/>
    <m/>
    <x v="1"/>
    <s v="13219544001001"/>
    <n v="-171.39"/>
    <n v="4211"/>
    <n v="1"/>
    <n v="1"/>
  </r>
  <r>
    <m/>
    <m/>
    <x v="1"/>
    <s v="13250149001002"/>
    <n v="-72.12"/>
    <n v="1772"/>
    <n v="1"/>
    <n v="1"/>
  </r>
  <r>
    <m/>
    <m/>
    <x v="1"/>
    <s v="13434804001007"/>
    <n v="-11.56"/>
    <n v="284"/>
    <n v="1"/>
    <n v="1"/>
  </r>
  <r>
    <m/>
    <m/>
    <x v="1"/>
    <s v="13584754001005"/>
    <n v="-51.65"/>
    <n v="1269"/>
    <n v="1"/>
    <n v="1"/>
  </r>
  <r>
    <m/>
    <m/>
    <x v="1"/>
    <s v="13597159001001"/>
    <n v="-83.03"/>
    <n v="2040"/>
    <n v="1"/>
    <n v="1"/>
  </r>
  <r>
    <m/>
    <m/>
    <x v="1"/>
    <s v="13657098001001"/>
    <n v="-44"/>
    <n v="1081"/>
    <n v="1"/>
    <n v="1"/>
  </r>
  <r>
    <m/>
    <m/>
    <x v="1"/>
    <s v="13673984001003"/>
    <n v="-39.28"/>
    <n v="965"/>
    <n v="1"/>
    <n v="1"/>
  </r>
  <r>
    <m/>
    <m/>
    <x v="1"/>
    <s v="13794916004003"/>
    <n v="-75.13"/>
    <n v="1846"/>
    <n v="1"/>
    <n v="1"/>
  </r>
  <r>
    <m/>
    <m/>
    <x v="1"/>
    <s v="13812990001010"/>
    <n v="-69.19"/>
    <n v="1700"/>
    <n v="1"/>
    <n v="1"/>
  </r>
  <r>
    <m/>
    <m/>
    <x v="1"/>
    <s v="13818728001007"/>
    <n v="-32.56"/>
    <n v="800"/>
    <n v="1"/>
    <n v="1"/>
  </r>
  <r>
    <m/>
    <m/>
    <x v="1"/>
    <s v="13852682001001"/>
    <n v="-20.47"/>
    <n v="503"/>
    <n v="1"/>
    <n v="1"/>
  </r>
  <r>
    <m/>
    <m/>
    <x v="1"/>
    <s v="13925545001001"/>
    <n v="-78.709999999999994"/>
    <n v="1934"/>
    <n v="1"/>
    <n v="1"/>
  </r>
  <r>
    <m/>
    <m/>
    <x v="1"/>
    <s v="13972735001001"/>
    <n v="-36.06"/>
    <n v="886"/>
    <n v="1"/>
    <n v="1"/>
  </r>
  <r>
    <m/>
    <m/>
    <x v="1"/>
    <s v="13980714001001"/>
    <n v="-8.34"/>
    <n v="205"/>
    <n v="1"/>
    <n v="1"/>
  </r>
  <r>
    <m/>
    <m/>
    <x v="1"/>
    <s v="14105636001003"/>
    <n v="-149.61000000000001"/>
    <n v="3676"/>
    <n v="1"/>
    <n v="1"/>
  </r>
  <r>
    <m/>
    <m/>
    <x v="1"/>
    <s v="14123583001011"/>
    <n v="-20.07"/>
    <n v="493"/>
    <n v="1"/>
    <n v="1"/>
  </r>
  <r>
    <m/>
    <m/>
    <x v="1"/>
    <s v="14131015001003"/>
    <n v="-7.77"/>
    <n v="191"/>
    <n v="1"/>
    <n v="1"/>
  </r>
  <r>
    <m/>
    <m/>
    <x v="1"/>
    <s v="14158880001001"/>
    <n v="-54.7"/>
    <n v="1344"/>
    <n v="1"/>
    <n v="1"/>
  </r>
  <r>
    <m/>
    <m/>
    <x v="1"/>
    <s v="14171251001006"/>
    <n v="-20.02"/>
    <n v="492"/>
    <n v="1"/>
    <n v="1"/>
  </r>
  <r>
    <m/>
    <m/>
    <x v="1"/>
    <s v="14195593002004"/>
    <n v="-125.6"/>
    <n v="3086"/>
    <n v="1"/>
    <n v="1"/>
  </r>
  <r>
    <m/>
    <m/>
    <x v="1"/>
    <s v="14250991001001"/>
    <n v="-58.49"/>
    <n v="1437"/>
    <n v="1"/>
    <n v="1"/>
  </r>
  <r>
    <m/>
    <m/>
    <x v="1"/>
    <s v="14280190001003"/>
    <n v="-34.72"/>
    <n v="853"/>
    <n v="1"/>
    <n v="1"/>
  </r>
  <r>
    <m/>
    <m/>
    <x v="1"/>
    <s v="14315775001001"/>
    <n v="-6.8"/>
    <n v="167"/>
    <n v="1"/>
    <n v="1"/>
  </r>
  <r>
    <m/>
    <m/>
    <x v="1"/>
    <s v="14339079001003"/>
    <n v="-40.130000000000003"/>
    <n v="986"/>
    <n v="1"/>
    <n v="1"/>
  </r>
  <r>
    <m/>
    <m/>
    <x v="1"/>
    <s v="14387776001005"/>
    <n v="-59.14"/>
    <n v="1453"/>
    <n v="1"/>
    <n v="1"/>
  </r>
  <r>
    <m/>
    <m/>
    <x v="1"/>
    <s v="14417667001001"/>
    <n v="-45.22"/>
    <n v="1111"/>
    <n v="1"/>
    <n v="1"/>
  </r>
  <r>
    <m/>
    <m/>
    <x v="1"/>
    <s v="14496582001001"/>
    <n v="-65.89"/>
    <n v="1619"/>
    <n v="1"/>
    <n v="1"/>
  </r>
  <r>
    <m/>
    <m/>
    <x v="1"/>
    <s v="14502955001001"/>
    <n v="-58.93"/>
    <n v="1448"/>
    <n v="1"/>
    <n v="1"/>
  </r>
  <r>
    <m/>
    <m/>
    <x v="1"/>
    <s v="14612915001001"/>
    <n v="-58.08"/>
    <n v="1427"/>
    <n v="1"/>
    <n v="1"/>
  </r>
  <r>
    <m/>
    <m/>
    <x v="1"/>
    <s v="14663014001002"/>
    <n v="-40.29"/>
    <n v="990"/>
    <n v="1"/>
    <n v="1"/>
  </r>
  <r>
    <m/>
    <m/>
    <x v="1"/>
    <s v="14664113002001"/>
    <n v="-153.03"/>
    <n v="3760"/>
    <n v="1"/>
    <n v="1"/>
  </r>
  <r>
    <m/>
    <m/>
    <x v="1"/>
    <s v="14679367001003"/>
    <n v="-23.69"/>
    <n v="582"/>
    <n v="1"/>
    <n v="1"/>
  </r>
  <r>
    <m/>
    <m/>
    <x v="1"/>
    <s v="14809005001008"/>
    <n v="-8.9499999999999993"/>
    <n v="220"/>
    <n v="1"/>
    <n v="1"/>
  </r>
  <r>
    <m/>
    <m/>
    <x v="1"/>
    <s v="14876434001004"/>
    <n v="-65.849999999999994"/>
    <n v="1618"/>
    <n v="1"/>
    <n v="1"/>
  </r>
  <r>
    <m/>
    <m/>
    <x v="1"/>
    <s v="14895349001006"/>
    <n v="-20.63"/>
    <n v="507"/>
    <n v="1"/>
    <n v="1"/>
  </r>
  <r>
    <m/>
    <m/>
    <x v="1"/>
    <s v="15125902001001"/>
    <n v="-19.82"/>
    <n v="487"/>
    <n v="1"/>
    <n v="1"/>
  </r>
  <r>
    <m/>
    <m/>
    <x v="1"/>
    <s v="15242262002003"/>
    <n v="-18.32"/>
    <n v="450"/>
    <n v="1"/>
    <n v="1"/>
  </r>
  <r>
    <m/>
    <m/>
    <x v="1"/>
    <s v="15264531001003"/>
    <n v="-32.229999999999997"/>
    <n v="792"/>
    <n v="1"/>
    <n v="1"/>
  </r>
  <r>
    <m/>
    <m/>
    <x v="1"/>
    <s v="15335726001008"/>
    <n v="-16.809999999999999"/>
    <n v="413"/>
    <n v="1"/>
    <n v="1"/>
  </r>
  <r>
    <m/>
    <m/>
    <x v="1"/>
    <s v="15371962001008"/>
    <n v="-15.87"/>
    <n v="390"/>
    <n v="1"/>
    <n v="1"/>
  </r>
  <r>
    <m/>
    <m/>
    <x v="1"/>
    <s v="15431936001001"/>
    <n v="-22.95"/>
    <n v="564"/>
    <n v="1"/>
    <n v="1"/>
  </r>
  <r>
    <m/>
    <m/>
    <x v="1"/>
    <s v="15497150001007"/>
    <n v="-34.229999999999997"/>
    <n v="841"/>
    <n v="1"/>
    <n v="1"/>
  </r>
  <r>
    <m/>
    <m/>
    <x v="1"/>
    <s v="15515287001002"/>
    <n v="-58.65"/>
    <n v="1441"/>
    <n v="1"/>
    <n v="1"/>
  </r>
  <r>
    <m/>
    <m/>
    <x v="1"/>
    <s v="15524581001001"/>
    <n v="-78.39"/>
    <n v="1926"/>
    <n v="1"/>
    <n v="1"/>
  </r>
  <r>
    <m/>
    <m/>
    <x v="1"/>
    <s v="15567974001002"/>
    <n v="-36.869999999999997"/>
    <n v="906"/>
    <n v="1"/>
    <n v="1"/>
  </r>
  <r>
    <m/>
    <m/>
    <x v="1"/>
    <s v="15574419001008"/>
    <n v="-59.67"/>
    <n v="1466"/>
    <n v="1"/>
    <n v="1"/>
  </r>
  <r>
    <m/>
    <m/>
    <x v="1"/>
    <s v="15723578001004"/>
    <n v="-83.31"/>
    <n v="2047"/>
    <n v="1"/>
    <n v="1"/>
  </r>
  <r>
    <m/>
    <m/>
    <x v="1"/>
    <s v="15745592001001"/>
    <n v="-82.78"/>
    <n v="2034"/>
    <n v="1"/>
    <n v="1"/>
  </r>
  <r>
    <m/>
    <m/>
    <x v="1"/>
    <s v="15889369001001"/>
    <n v="-51.12"/>
    <n v="1256"/>
    <n v="1"/>
    <n v="1"/>
  </r>
  <r>
    <m/>
    <m/>
    <x v="1"/>
    <s v="15925995001001"/>
    <n v="-31.66"/>
    <n v="778"/>
    <n v="1"/>
    <n v="1"/>
  </r>
  <r>
    <m/>
    <m/>
    <x v="1"/>
    <s v="16066896001005"/>
    <n v="-40.82"/>
    <n v="1003"/>
    <n v="1"/>
    <n v="1"/>
  </r>
  <r>
    <m/>
    <m/>
    <x v="1"/>
    <s v="16099578001001"/>
    <n v="-48.35"/>
    <n v="1188"/>
    <n v="1"/>
    <n v="1"/>
  </r>
  <r>
    <m/>
    <m/>
    <x v="1"/>
    <s v="16129169001001"/>
    <n v="-82.62"/>
    <n v="2030"/>
    <n v="1"/>
    <n v="1"/>
  </r>
  <r>
    <m/>
    <m/>
    <x v="1"/>
    <s v="16141513003001"/>
    <n v="-38.909999999999997"/>
    <n v="956"/>
    <n v="1"/>
    <n v="1"/>
  </r>
  <r>
    <m/>
    <m/>
    <x v="1"/>
    <s v="16161055001004"/>
    <n v="-27.27"/>
    <n v="670"/>
    <n v="1"/>
    <n v="1"/>
  </r>
  <r>
    <m/>
    <m/>
    <x v="1"/>
    <s v="16175755001003"/>
    <n v="-13.96"/>
    <n v="343"/>
    <n v="1"/>
    <n v="1"/>
  </r>
  <r>
    <m/>
    <m/>
    <x v="1"/>
    <s v="16222691001005"/>
    <n v="-57.67"/>
    <n v="1417"/>
    <n v="1"/>
    <n v="1"/>
  </r>
  <r>
    <m/>
    <m/>
    <x v="1"/>
    <s v="16268790001003"/>
    <n v="-47.94"/>
    <n v="1178"/>
    <n v="1"/>
    <n v="1"/>
  </r>
  <r>
    <m/>
    <m/>
    <x v="1"/>
    <s v="16272128001001"/>
    <n v="-24.05"/>
    <n v="591"/>
    <n v="1"/>
    <n v="1"/>
  </r>
  <r>
    <m/>
    <m/>
    <x v="1"/>
    <s v="16324942001001"/>
    <n v="-22.55"/>
    <n v="554"/>
    <n v="1"/>
    <n v="1"/>
  </r>
  <r>
    <m/>
    <m/>
    <x v="1"/>
    <s v="16450177001001"/>
    <n v="-20.84"/>
    <n v="512"/>
    <n v="1"/>
    <n v="1"/>
  </r>
  <r>
    <m/>
    <m/>
    <x v="1"/>
    <s v="16506070001002"/>
    <n v="-49.41"/>
    <n v="1214"/>
    <n v="1"/>
    <n v="1"/>
  </r>
  <r>
    <m/>
    <m/>
    <x v="1"/>
    <s v="16578645001005"/>
    <n v="-21.82"/>
    <n v="536"/>
    <n v="1"/>
    <n v="1"/>
  </r>
  <r>
    <m/>
    <m/>
    <x v="1"/>
    <s v="16580528001001"/>
    <n v="-49.37"/>
    <n v="1213"/>
    <n v="1"/>
    <n v="1"/>
  </r>
  <r>
    <m/>
    <m/>
    <x v="1"/>
    <s v="16593753001001"/>
    <n v="-38.1"/>
    <n v="936"/>
    <n v="1"/>
    <n v="1"/>
  </r>
  <r>
    <m/>
    <m/>
    <x v="1"/>
    <s v="16865540003001"/>
    <n v="-7.57"/>
    <n v="186"/>
    <n v="1"/>
    <n v="1"/>
  </r>
  <r>
    <m/>
    <m/>
    <x v="1"/>
    <s v="16884109001002"/>
    <n v="-51.24"/>
    <n v="1259"/>
    <n v="1"/>
    <n v="1"/>
  </r>
  <r>
    <m/>
    <m/>
    <x v="1"/>
    <s v="16946064001004"/>
    <n v="-7.53"/>
    <n v="185"/>
    <n v="1"/>
    <n v="1"/>
  </r>
  <r>
    <m/>
    <m/>
    <x v="1"/>
    <s v="16958956001003"/>
    <n v="-31.83"/>
    <n v="782"/>
    <n v="1"/>
    <n v="1"/>
  </r>
  <r>
    <m/>
    <m/>
    <x v="1"/>
    <s v="17145119002004"/>
    <n v="-37.28"/>
    <n v="916"/>
    <n v="1"/>
    <n v="1"/>
  </r>
  <r>
    <m/>
    <m/>
    <x v="1"/>
    <s v="17193208001001"/>
    <n v="-40.29"/>
    <n v="990"/>
    <n v="1"/>
    <n v="1"/>
  </r>
  <r>
    <m/>
    <m/>
    <x v="1"/>
    <s v="17236061001003"/>
    <n v="-59.14"/>
    <n v="1453"/>
    <n v="1"/>
    <n v="1"/>
  </r>
  <r>
    <m/>
    <m/>
    <x v="1"/>
    <s v="17277532001001"/>
    <n v="-40.74"/>
    <n v="1001"/>
    <n v="1"/>
    <n v="1"/>
  </r>
  <r>
    <m/>
    <m/>
    <x v="1"/>
    <s v="17378301001002"/>
    <n v="-62.07"/>
    <n v="1525"/>
    <n v="1"/>
    <n v="1"/>
  </r>
  <r>
    <m/>
    <m/>
    <x v="1"/>
    <s v="17606006001001"/>
    <n v="-64.84"/>
    <n v="1593"/>
    <n v="1"/>
    <n v="1"/>
  </r>
  <r>
    <m/>
    <m/>
    <x v="1"/>
    <s v="17662465001001"/>
    <n v="-6.88"/>
    <n v="169"/>
    <n v="1"/>
    <n v="1"/>
  </r>
  <r>
    <m/>
    <m/>
    <x v="1"/>
    <s v="17706944001001"/>
    <n v="-65.489999999999995"/>
    <n v="1609"/>
    <n v="1"/>
    <n v="1"/>
  </r>
  <r>
    <m/>
    <m/>
    <x v="1"/>
    <s v="17724609001006"/>
    <n v="-45.99"/>
    <n v="1130"/>
    <n v="1"/>
    <n v="1"/>
  </r>
  <r>
    <m/>
    <m/>
    <x v="1"/>
    <s v="17740472001001"/>
    <n v="-29.43"/>
    <n v="723"/>
    <n v="1"/>
    <n v="1"/>
  </r>
  <r>
    <m/>
    <m/>
    <x v="1"/>
    <s v="17760079001001"/>
    <n v="-62.11"/>
    <n v="1526"/>
    <n v="1"/>
    <n v="1"/>
  </r>
  <r>
    <m/>
    <m/>
    <x v="1"/>
    <s v="17861861001001"/>
    <n v="-96.99"/>
    <n v="2383"/>
    <n v="1"/>
    <n v="1"/>
  </r>
  <r>
    <m/>
    <m/>
    <x v="1"/>
    <s v="17953292001001"/>
    <n v="-46.28"/>
    <n v="1137"/>
    <n v="1"/>
    <n v="1"/>
  </r>
  <r>
    <m/>
    <m/>
    <x v="1"/>
    <s v="17980153001002"/>
    <n v="-50.88"/>
    <n v="1250"/>
    <n v="1"/>
    <n v="1"/>
  </r>
  <r>
    <m/>
    <m/>
    <x v="1"/>
    <s v="18004459001001"/>
    <n v="-22.75"/>
    <n v="559"/>
    <n v="1"/>
    <n v="1"/>
  </r>
  <r>
    <m/>
    <m/>
    <x v="1"/>
    <s v="18025275001001"/>
    <n v="-25.6"/>
    <n v="629"/>
    <n v="1"/>
    <n v="1"/>
  </r>
  <r>
    <m/>
    <m/>
    <x v="1"/>
    <s v="18092440001003"/>
    <n v="-43.14"/>
    <n v="1060"/>
    <n v="1"/>
    <n v="1"/>
  </r>
  <r>
    <m/>
    <m/>
    <x v="1"/>
    <s v="18093249001001"/>
    <n v="-115.38"/>
    <n v="2835"/>
    <n v="1"/>
    <n v="1"/>
  </r>
  <r>
    <m/>
    <m/>
    <x v="1"/>
    <s v="18172453001003"/>
    <n v="-60.32"/>
    <n v="1482"/>
    <n v="1"/>
    <n v="1"/>
  </r>
  <r>
    <m/>
    <m/>
    <x v="1"/>
    <s v="18214356001003"/>
    <n v="-32.44"/>
    <n v="797"/>
    <n v="1"/>
    <n v="1"/>
  </r>
  <r>
    <m/>
    <m/>
    <x v="1"/>
    <s v="18273680003003"/>
    <n v="-38.22"/>
    <n v="939"/>
    <n v="1"/>
    <n v="1"/>
  </r>
  <r>
    <m/>
    <m/>
    <x v="1"/>
    <s v="18390546001001"/>
    <n v="-3.74"/>
    <n v="92"/>
    <n v="1"/>
    <n v="1"/>
  </r>
  <r>
    <m/>
    <m/>
    <x v="1"/>
    <s v="18510970001001"/>
    <n v="-50.18"/>
    <n v="1233"/>
    <n v="1"/>
    <n v="1"/>
  </r>
  <r>
    <m/>
    <m/>
    <x v="1"/>
    <s v="18517557001005"/>
    <n v="-19.25"/>
    <n v="473"/>
    <n v="1"/>
    <n v="1"/>
  </r>
  <r>
    <m/>
    <m/>
    <x v="1"/>
    <s v="18631095001001"/>
    <n v="-55.56"/>
    <n v="1365"/>
    <n v="1"/>
    <n v="1"/>
  </r>
  <r>
    <m/>
    <m/>
    <x v="1"/>
    <s v="18699658001004"/>
    <n v="-60.93"/>
    <n v="1497"/>
    <n v="1"/>
    <n v="1"/>
  </r>
  <r>
    <m/>
    <m/>
    <x v="1"/>
    <s v="18702333001003"/>
    <n v="-115.3"/>
    <n v="2833"/>
    <n v="1"/>
    <n v="1"/>
  </r>
  <r>
    <m/>
    <m/>
    <x v="1"/>
    <s v="18898892001003"/>
    <n v="-49.82"/>
    <n v="1224"/>
    <n v="1"/>
    <n v="1"/>
  </r>
  <r>
    <m/>
    <m/>
    <x v="1"/>
    <s v="18996467001003"/>
    <n v="-44"/>
    <n v="1081"/>
    <n v="1"/>
    <n v="1"/>
  </r>
  <r>
    <m/>
    <m/>
    <x v="1"/>
    <s v="19003606001001"/>
    <n v="-21.69"/>
    <n v="533"/>
    <n v="1"/>
    <n v="1"/>
  </r>
  <r>
    <m/>
    <m/>
    <x v="1"/>
    <s v="19109796001004"/>
    <n v="-44.49"/>
    <n v="1093"/>
    <n v="1"/>
    <n v="1"/>
  </r>
  <r>
    <m/>
    <m/>
    <x v="1"/>
    <s v="19152907001005"/>
    <n v="-32.97"/>
    <n v="810"/>
    <n v="1"/>
    <n v="1"/>
  </r>
  <r>
    <m/>
    <m/>
    <x v="1"/>
    <s v="19242774001002"/>
    <n v="-23.4"/>
    <n v="575"/>
    <n v="1"/>
    <n v="1"/>
  </r>
  <r>
    <m/>
    <m/>
    <x v="1"/>
    <s v="19345185001001"/>
    <n v="-40.25"/>
    <n v="989"/>
    <n v="1"/>
    <n v="1"/>
  </r>
  <r>
    <m/>
    <m/>
    <x v="1"/>
    <s v="19422871001001"/>
    <n v="-69.31"/>
    <n v="1703"/>
    <n v="1"/>
    <n v="1"/>
  </r>
  <r>
    <m/>
    <m/>
    <x v="1"/>
    <s v="19435050001001"/>
    <n v="-65.73"/>
    <n v="1615"/>
    <n v="1"/>
    <n v="1"/>
  </r>
  <r>
    <m/>
    <m/>
    <x v="1"/>
    <s v="19496026001002"/>
    <n v="-36.51"/>
    <n v="897"/>
    <n v="1"/>
    <n v="1"/>
  </r>
  <r>
    <m/>
    <m/>
    <x v="1"/>
    <s v="19549167001005"/>
    <n v="-78.709999999999994"/>
    <n v="1934"/>
    <n v="1"/>
    <n v="1"/>
  </r>
  <r>
    <m/>
    <m/>
    <x v="1"/>
    <s v="19669200001002"/>
    <n v="-52.22"/>
    <n v="1283"/>
    <n v="1"/>
    <n v="1"/>
  </r>
  <r>
    <m/>
    <m/>
    <x v="1"/>
    <s v="19748155001005"/>
    <n v="-67.11"/>
    <n v="1649"/>
    <n v="1"/>
    <n v="1"/>
  </r>
  <r>
    <m/>
    <m/>
    <x v="1"/>
    <s v="19844787001003"/>
    <n v="-38.01"/>
    <n v="934"/>
    <n v="1"/>
    <n v="1"/>
  </r>
  <r>
    <m/>
    <m/>
    <x v="1"/>
    <s v="19860152001001"/>
    <n v="-76.31"/>
    <n v="1875"/>
    <n v="1"/>
    <n v="1"/>
  </r>
  <r>
    <m/>
    <m/>
    <x v="1"/>
    <s v="19981285001002"/>
    <n v="-44.65"/>
    <n v="1097"/>
    <n v="1"/>
    <n v="1"/>
  </r>
  <r>
    <m/>
    <m/>
    <x v="1"/>
    <s v="19984149003003"/>
    <n v="-35.69"/>
    <n v="877"/>
    <n v="1"/>
    <n v="1"/>
  </r>
  <r>
    <m/>
    <m/>
    <x v="1"/>
    <s v="20017970001001"/>
    <n v="-16.93"/>
    <n v="416"/>
    <n v="1"/>
    <n v="1"/>
  </r>
  <r>
    <m/>
    <m/>
    <x v="1"/>
    <s v="20373554001003"/>
    <n v="-78.63"/>
    <n v="1932"/>
    <n v="1"/>
    <n v="1"/>
  </r>
  <r>
    <m/>
    <m/>
    <x v="1"/>
    <s v="20387598002003"/>
    <n v="-25.48"/>
    <n v="626"/>
    <n v="1"/>
    <n v="1"/>
  </r>
  <r>
    <m/>
    <m/>
    <x v="1"/>
    <s v="20481559001003"/>
    <n v="-19.579999999999998"/>
    <n v="481"/>
    <n v="1"/>
    <n v="1"/>
  </r>
  <r>
    <m/>
    <m/>
    <x v="1"/>
    <s v="20516782001001"/>
    <n v="-30.48"/>
    <n v="749"/>
    <n v="1"/>
    <n v="1"/>
  </r>
  <r>
    <m/>
    <m/>
    <x v="1"/>
    <s v="20531435001001"/>
    <n v="-70.41"/>
    <n v="1730"/>
    <n v="1"/>
    <n v="1"/>
  </r>
  <r>
    <m/>
    <m/>
    <x v="1"/>
    <s v="20615535002001"/>
    <n v="-52.01"/>
    <n v="1278"/>
    <n v="1"/>
    <n v="1"/>
  </r>
  <r>
    <m/>
    <m/>
    <x v="1"/>
    <s v="20656930001009"/>
    <n v="-14.29"/>
    <n v="351"/>
    <n v="1"/>
    <n v="1"/>
  </r>
  <r>
    <m/>
    <m/>
    <x v="1"/>
    <s v="21025729001001"/>
    <n v="-42.98"/>
    <n v="1056"/>
    <n v="1"/>
    <n v="1"/>
  </r>
  <r>
    <m/>
    <m/>
    <x v="1"/>
    <s v="21129192001006"/>
    <n v="-34.64"/>
    <n v="851"/>
    <n v="1"/>
    <n v="1"/>
  </r>
  <r>
    <m/>
    <m/>
    <x v="1"/>
    <s v="21211434001004"/>
    <n v="-80.22"/>
    <n v="1971"/>
    <n v="1"/>
    <n v="1"/>
  </r>
  <r>
    <m/>
    <m/>
    <x v="1"/>
    <s v="21279456001002"/>
    <n v="-37.36"/>
    <n v="918"/>
    <n v="1"/>
    <n v="1"/>
  </r>
  <r>
    <m/>
    <m/>
    <x v="1"/>
    <s v="21286629001006"/>
    <n v="-65.97"/>
    <n v="1621"/>
    <n v="1"/>
    <n v="1"/>
  </r>
  <r>
    <m/>
    <m/>
    <x v="1"/>
    <s v="21330324001003"/>
    <n v="-17.18"/>
    <n v="422"/>
    <n v="1"/>
    <n v="1"/>
  </r>
  <r>
    <m/>
    <m/>
    <x v="1"/>
    <s v="21479614002001"/>
    <n v="-20.8"/>
    <n v="511"/>
    <n v="1"/>
    <n v="1"/>
  </r>
  <r>
    <m/>
    <m/>
    <x v="1"/>
    <s v="21555911001001"/>
    <n v="-58.28"/>
    <n v="1432"/>
    <n v="1"/>
    <n v="1"/>
  </r>
  <r>
    <m/>
    <m/>
    <x v="1"/>
    <s v="21594867001004"/>
    <n v="-57.26"/>
    <n v="1407"/>
    <n v="1"/>
    <n v="1"/>
  </r>
  <r>
    <m/>
    <m/>
    <x v="1"/>
    <s v="21600687001001"/>
    <n v="-74.11"/>
    <n v="1821"/>
    <n v="1"/>
    <n v="1"/>
  </r>
  <r>
    <m/>
    <m/>
    <x v="1"/>
    <s v="21669619001001"/>
    <n v="-26.46"/>
    <n v="650"/>
    <n v="1"/>
    <n v="1"/>
  </r>
  <r>
    <m/>
    <m/>
    <x v="1"/>
    <s v="21694077001003"/>
    <n v="-29.63"/>
    <n v="728"/>
    <n v="1"/>
    <n v="1"/>
  </r>
  <r>
    <m/>
    <m/>
    <x v="1"/>
    <s v="21820617001002"/>
    <n v="-12.45"/>
    <n v="306"/>
    <n v="1"/>
    <n v="1"/>
  </r>
  <r>
    <m/>
    <m/>
    <x v="1"/>
    <s v="21889784001001"/>
    <n v="-42.82"/>
    <n v="1052"/>
    <n v="1"/>
    <n v="1"/>
  </r>
  <r>
    <m/>
    <m/>
    <x v="1"/>
    <s v="22010468001003"/>
    <n v="-39.76"/>
    <n v="977"/>
    <n v="1"/>
    <n v="1"/>
  </r>
  <r>
    <m/>
    <m/>
    <x v="1"/>
    <s v="22022857001005"/>
    <n v="-49.33"/>
    <n v="1212"/>
    <n v="1"/>
    <n v="1"/>
  </r>
  <r>
    <m/>
    <m/>
    <x v="1"/>
    <s v="22102529001008"/>
    <n v="-37.89"/>
    <n v="931"/>
    <n v="1"/>
    <n v="1"/>
  </r>
  <r>
    <m/>
    <m/>
    <x v="1"/>
    <s v="22108251008001"/>
    <n v="-113.47"/>
    <n v="2788"/>
    <n v="1"/>
    <n v="1"/>
  </r>
  <r>
    <m/>
    <m/>
    <x v="1"/>
    <s v="22118281001001"/>
    <n v="-39.479999999999997"/>
    <n v="970"/>
    <n v="1"/>
    <n v="1"/>
  </r>
  <r>
    <m/>
    <m/>
    <x v="1"/>
    <s v="22131630002004"/>
    <n v="-30.57"/>
    <n v="751"/>
    <n v="1"/>
    <n v="1"/>
  </r>
  <r>
    <m/>
    <m/>
    <x v="1"/>
    <s v="22171732002001"/>
    <n v="-42.41"/>
    <n v="1042"/>
    <n v="1"/>
    <n v="1"/>
  </r>
  <r>
    <m/>
    <m/>
    <x v="1"/>
    <s v="22178371001001"/>
    <n v="-37.4"/>
    <n v="919"/>
    <n v="1"/>
    <n v="1"/>
  </r>
  <r>
    <m/>
    <m/>
    <x v="1"/>
    <s v="22203778001002"/>
    <n v="-15.55"/>
    <n v="382"/>
    <n v="1"/>
    <n v="1"/>
  </r>
  <r>
    <m/>
    <m/>
    <x v="1"/>
    <s v="22234236001005"/>
    <n v="-31.62"/>
    <n v="777"/>
    <n v="1"/>
    <n v="1"/>
  </r>
  <r>
    <m/>
    <m/>
    <x v="1"/>
    <s v="22237180001003"/>
    <n v="-30.4"/>
    <n v="747"/>
    <n v="1"/>
    <n v="1"/>
  </r>
  <r>
    <m/>
    <m/>
    <x v="1"/>
    <s v="22368801002001"/>
    <n v="-102.24"/>
    <n v="2512"/>
    <n v="1"/>
    <n v="1"/>
  </r>
  <r>
    <m/>
    <m/>
    <x v="1"/>
    <s v="22386532007001"/>
    <n v="-39.68"/>
    <n v="975"/>
    <n v="1"/>
    <n v="1"/>
  </r>
  <r>
    <m/>
    <m/>
    <x v="1"/>
    <s v="22448306001006"/>
    <n v="-29.67"/>
    <n v="729"/>
    <n v="1"/>
    <n v="1"/>
  </r>
  <r>
    <m/>
    <m/>
    <x v="1"/>
    <s v="22537776001001"/>
    <n v="-63.45"/>
    <n v="1559"/>
    <n v="1"/>
    <n v="1"/>
  </r>
  <r>
    <m/>
    <m/>
    <x v="1"/>
    <s v="22697285001003"/>
    <n v="-46.89"/>
    <n v="1152"/>
    <n v="1"/>
    <n v="1"/>
  </r>
  <r>
    <m/>
    <m/>
    <x v="1"/>
    <s v="22817915001006"/>
    <n v="-19.25"/>
    <n v="473"/>
    <n v="1"/>
    <n v="1"/>
  </r>
  <r>
    <m/>
    <m/>
    <x v="1"/>
    <s v="22968302004001"/>
    <n v="-45.79"/>
    <n v="1125"/>
    <n v="1"/>
    <n v="1"/>
  </r>
  <r>
    <m/>
    <m/>
    <x v="1"/>
    <s v="23029958001003"/>
    <n v="-17.989999999999998"/>
    <n v="442"/>
    <n v="1"/>
    <n v="1"/>
  </r>
  <r>
    <m/>
    <m/>
    <x v="1"/>
    <s v="23056711001001"/>
    <n v="-54.86"/>
    <n v="1348"/>
    <n v="1"/>
    <n v="1"/>
  </r>
  <r>
    <m/>
    <m/>
    <x v="1"/>
    <s v="23103586001001"/>
    <n v="-32.32"/>
    <n v="794"/>
    <n v="1"/>
    <n v="1"/>
  </r>
  <r>
    <m/>
    <m/>
    <x v="1"/>
    <s v="23131202001001"/>
    <n v="-56.74"/>
    <n v="1394"/>
    <n v="1"/>
    <n v="1"/>
  </r>
  <r>
    <m/>
    <m/>
    <x v="1"/>
    <s v="23143876001001"/>
    <n v="-29.83"/>
    <n v="733"/>
    <n v="1"/>
    <n v="1"/>
  </r>
  <r>
    <m/>
    <m/>
    <x v="1"/>
    <s v="23161227001003"/>
    <n v="-48.51"/>
    <n v="1192"/>
    <n v="1"/>
    <n v="1"/>
  </r>
  <r>
    <m/>
    <m/>
    <x v="1"/>
    <s v="23175753003005"/>
    <n v="-14.45"/>
    <n v="355"/>
    <n v="1"/>
    <n v="1"/>
  </r>
  <r>
    <m/>
    <m/>
    <x v="1"/>
    <s v="23191485002001"/>
    <n v="-72.69"/>
    <n v="1786"/>
    <n v="1"/>
    <n v="1"/>
  </r>
  <r>
    <m/>
    <m/>
    <x v="1"/>
    <s v="23207064001005"/>
    <n v="-53.93"/>
    <n v="1325"/>
    <n v="1"/>
    <n v="1"/>
  </r>
  <r>
    <m/>
    <m/>
    <x v="1"/>
    <s v="23361845001001"/>
    <n v="-40.25"/>
    <n v="989"/>
    <n v="1"/>
    <n v="1"/>
  </r>
  <r>
    <m/>
    <m/>
    <x v="1"/>
    <s v="23403071001003"/>
    <n v="-21.2"/>
    <n v="521"/>
    <n v="1"/>
    <n v="1"/>
  </r>
  <r>
    <m/>
    <m/>
    <x v="1"/>
    <s v="23460849001001"/>
    <n v="-32.799999999999997"/>
    <n v="806"/>
    <n v="1"/>
    <n v="1"/>
  </r>
  <r>
    <m/>
    <m/>
    <x v="1"/>
    <s v="23465139001008"/>
    <n v="-121.16"/>
    <n v="2977"/>
    <n v="1"/>
    <n v="1"/>
  </r>
  <r>
    <m/>
    <m/>
    <x v="1"/>
    <s v="23535049001001"/>
    <n v="-33.700000000000003"/>
    <n v="828"/>
    <n v="1"/>
    <n v="1"/>
  </r>
  <r>
    <m/>
    <m/>
    <x v="1"/>
    <s v="23567089001003"/>
    <n v="-40.090000000000003"/>
    <n v="985"/>
    <n v="1"/>
    <n v="1"/>
  </r>
  <r>
    <m/>
    <m/>
    <x v="1"/>
    <s v="23600074001001"/>
    <n v="-32.68"/>
    <n v="803"/>
    <n v="1"/>
    <n v="1"/>
  </r>
  <r>
    <m/>
    <m/>
    <x v="1"/>
    <s v="23754170011001"/>
    <n v="-35.29"/>
    <n v="867"/>
    <n v="1"/>
    <n v="1"/>
  </r>
  <r>
    <m/>
    <m/>
    <x v="1"/>
    <s v="23863133001011"/>
    <n v="-38.869999999999997"/>
    <n v="955"/>
    <n v="1"/>
    <n v="1"/>
  </r>
  <r>
    <m/>
    <m/>
    <x v="1"/>
    <s v="23921856001004"/>
    <n v="-30.12"/>
    <n v="740"/>
    <n v="1"/>
    <n v="1"/>
  </r>
  <r>
    <m/>
    <m/>
    <x v="1"/>
    <s v="24274679001001"/>
    <n v="-50.06"/>
    <n v="1230"/>
    <n v="1"/>
    <n v="1"/>
  </r>
  <r>
    <m/>
    <m/>
    <x v="1"/>
    <s v="24291697001001"/>
    <n v="-57.43"/>
    <n v="1411"/>
    <n v="1"/>
    <n v="1"/>
  </r>
  <r>
    <m/>
    <m/>
    <x v="1"/>
    <s v="24336943003005"/>
    <n v="-141.76"/>
    <n v="3483"/>
    <n v="1"/>
    <n v="1"/>
  </r>
  <r>
    <m/>
    <m/>
    <x v="1"/>
    <s v="24352693002004"/>
    <n v="-126.37"/>
    <n v="3105"/>
    <n v="1"/>
    <n v="1"/>
  </r>
  <r>
    <m/>
    <m/>
    <x v="1"/>
    <s v="24416805001001"/>
    <n v="-18.64"/>
    <n v="458"/>
    <n v="1"/>
    <n v="1"/>
  </r>
  <r>
    <m/>
    <m/>
    <x v="1"/>
    <s v="24503591001001"/>
    <n v="-42.86"/>
    <n v="1053"/>
    <n v="1"/>
    <n v="1"/>
  </r>
  <r>
    <m/>
    <m/>
    <x v="1"/>
    <s v="24546313001003"/>
    <n v="-45.62"/>
    <n v="1121"/>
    <n v="1"/>
    <n v="1"/>
  </r>
  <r>
    <m/>
    <m/>
    <x v="1"/>
    <s v="24558803001001"/>
    <n v="-21.73"/>
    <n v="534"/>
    <n v="1"/>
    <n v="1"/>
  </r>
  <r>
    <m/>
    <m/>
    <x v="1"/>
    <s v="24571934001005"/>
    <n v="-18.27"/>
    <n v="449"/>
    <n v="1"/>
    <n v="1"/>
  </r>
  <r>
    <m/>
    <m/>
    <x v="1"/>
    <s v="24605344003001"/>
    <n v="-17.260000000000002"/>
    <n v="424"/>
    <n v="1"/>
    <n v="1"/>
  </r>
  <r>
    <m/>
    <m/>
    <x v="1"/>
    <s v="24678011002004"/>
    <n v="-67.16"/>
    <n v="1650"/>
    <n v="1"/>
    <n v="1"/>
  </r>
  <r>
    <m/>
    <m/>
    <x v="1"/>
    <s v="24678131001007"/>
    <n v="-65.08"/>
    <n v="1599"/>
    <n v="1"/>
    <n v="1"/>
  </r>
  <r>
    <m/>
    <m/>
    <x v="1"/>
    <s v="24684171002001"/>
    <n v="-91.74"/>
    <n v="2254"/>
    <n v="1"/>
    <n v="1"/>
  </r>
  <r>
    <m/>
    <m/>
    <x v="1"/>
    <s v="24806438001006"/>
    <n v="-37.32"/>
    <n v="917"/>
    <n v="1"/>
    <n v="1"/>
  </r>
  <r>
    <m/>
    <m/>
    <x v="1"/>
    <s v="24823730001001"/>
    <n v="-82.21"/>
    <n v="2020"/>
    <n v="1"/>
    <n v="1"/>
  </r>
  <r>
    <m/>
    <m/>
    <x v="1"/>
    <s v="24824356001005"/>
    <n v="-121.65"/>
    <n v="2989"/>
    <n v="1"/>
    <n v="1"/>
  </r>
  <r>
    <m/>
    <m/>
    <x v="1"/>
    <s v="24884421006001"/>
    <n v="-8.5500000000000007"/>
    <n v="210"/>
    <n v="1"/>
    <n v="1"/>
  </r>
  <r>
    <m/>
    <m/>
    <x v="1"/>
    <s v="24891420005001"/>
    <n v="-62.23"/>
    <n v="1529"/>
    <n v="1"/>
    <n v="1"/>
  </r>
  <r>
    <m/>
    <m/>
    <x v="1"/>
    <s v="24901880001001"/>
    <n v="-36.79"/>
    <n v="904"/>
    <n v="1"/>
    <n v="1"/>
  </r>
  <r>
    <m/>
    <m/>
    <x v="1"/>
    <s v="24915827001003"/>
    <n v="-103.99"/>
    <n v="2555"/>
    <n v="1"/>
    <n v="1"/>
  </r>
  <r>
    <m/>
    <m/>
    <x v="1"/>
    <s v="25160457001004"/>
    <n v="-20.350000000000001"/>
    <n v="500"/>
    <n v="1"/>
    <n v="1"/>
  </r>
  <r>
    <m/>
    <m/>
    <x v="1"/>
    <s v="25266054001002"/>
    <n v="-54.62"/>
    <n v="1342"/>
    <n v="1"/>
    <n v="1"/>
  </r>
  <r>
    <m/>
    <m/>
    <x v="1"/>
    <s v="25397635001001"/>
    <n v="-22.55"/>
    <n v="554"/>
    <n v="1"/>
    <n v="1"/>
  </r>
  <r>
    <m/>
    <m/>
    <x v="1"/>
    <s v="25741551007013"/>
    <n v="-88.81"/>
    <n v="2182"/>
    <n v="1"/>
    <n v="1"/>
  </r>
  <r>
    <m/>
    <m/>
    <x v="1"/>
    <s v="25829665002002"/>
    <n v="-128.69"/>
    <n v="3162"/>
    <n v="1"/>
    <n v="1"/>
  </r>
  <r>
    <m/>
    <m/>
    <x v="1"/>
    <s v="25874153001001"/>
    <n v="-34.68"/>
    <n v="852"/>
    <n v="1"/>
    <n v="1"/>
  </r>
  <r>
    <m/>
    <m/>
    <x v="1"/>
    <s v="25919981001001"/>
    <n v="-10.87"/>
    <n v="267"/>
    <n v="1"/>
    <n v="1"/>
  </r>
  <r>
    <m/>
    <m/>
    <x v="1"/>
    <s v="26133946001003"/>
    <n v="-61.54"/>
    <n v="1512"/>
    <n v="1"/>
    <n v="1"/>
  </r>
  <r>
    <m/>
    <m/>
    <x v="1"/>
    <s v="26360288004001"/>
    <n v="-25.23"/>
    <n v="620"/>
    <n v="1"/>
    <n v="1"/>
  </r>
  <r>
    <m/>
    <m/>
    <x v="1"/>
    <s v="26425910001010"/>
    <n v="-4.88"/>
    <n v="120"/>
    <n v="1"/>
    <n v="1"/>
  </r>
  <r>
    <m/>
    <m/>
    <x v="1"/>
    <s v="26449890001003"/>
    <n v="-12.01"/>
    <n v="295"/>
    <n v="1"/>
    <n v="1"/>
  </r>
  <r>
    <m/>
    <m/>
    <x v="1"/>
    <s v="26458905001002"/>
    <n v="-22.75"/>
    <n v="559"/>
    <n v="1"/>
    <n v="1"/>
  </r>
  <r>
    <m/>
    <m/>
    <x v="1"/>
    <s v="26481593001002"/>
    <n v="-60.07"/>
    <n v="1476"/>
    <n v="1"/>
    <n v="1"/>
  </r>
  <r>
    <m/>
    <m/>
    <x v="1"/>
    <s v="26543152001004"/>
    <n v="-55.11"/>
    <n v="1354"/>
    <n v="1"/>
    <n v="1"/>
  </r>
  <r>
    <m/>
    <m/>
    <x v="1"/>
    <s v="26574451002003"/>
    <n v="-198.29"/>
    <n v="4872"/>
    <n v="1"/>
    <n v="1"/>
  </r>
  <r>
    <m/>
    <m/>
    <x v="1"/>
    <s v="26711382001002"/>
    <n v="-0.33"/>
    <n v="8"/>
    <n v="1"/>
    <n v="1"/>
  </r>
  <r>
    <m/>
    <m/>
    <x v="1"/>
    <s v="26719169001001"/>
    <n v="-31.54"/>
    <n v="775"/>
    <n v="1"/>
    <n v="1"/>
  </r>
  <r>
    <m/>
    <m/>
    <x v="1"/>
    <s v="26763592001011"/>
    <n v="-17.13"/>
    <n v="421"/>
    <n v="1"/>
    <n v="1"/>
  </r>
  <r>
    <m/>
    <m/>
    <x v="1"/>
    <s v="26792221001002"/>
    <n v="-38.049999999999997"/>
    <n v="935"/>
    <n v="1"/>
    <n v="1"/>
  </r>
  <r>
    <m/>
    <m/>
    <x v="1"/>
    <s v="26902722002003"/>
    <n v="-80.5"/>
    <n v="1978"/>
    <n v="1"/>
    <n v="1"/>
  </r>
  <r>
    <m/>
    <m/>
    <x v="1"/>
    <s v="26975811002001"/>
    <n v="-42.45"/>
    <n v="1043"/>
    <n v="1"/>
    <n v="1"/>
  </r>
  <r>
    <m/>
    <m/>
    <x v="1"/>
    <s v="27004406001004"/>
    <n v="-8.14"/>
    <n v="200"/>
    <n v="1"/>
    <n v="1"/>
  </r>
  <r>
    <m/>
    <m/>
    <x v="1"/>
    <s v="27126363001003"/>
    <n v="-87.34"/>
    <n v="2146"/>
    <n v="1"/>
    <n v="1"/>
  </r>
  <r>
    <m/>
    <m/>
    <x v="1"/>
    <s v="27132055004001"/>
    <n v="-74.36"/>
    <n v="1827"/>
    <n v="1"/>
    <n v="1"/>
  </r>
  <r>
    <m/>
    <m/>
    <x v="1"/>
    <s v="27160905001001"/>
    <n v="-39.56"/>
    <n v="972"/>
    <n v="1"/>
    <n v="1"/>
  </r>
  <r>
    <m/>
    <m/>
    <x v="1"/>
    <s v="27214758001001"/>
    <n v="-38.049999999999997"/>
    <n v="935"/>
    <n v="1"/>
    <n v="1"/>
  </r>
  <r>
    <m/>
    <m/>
    <x v="1"/>
    <s v="27335211003001"/>
    <n v="-38.5"/>
    <n v="946"/>
    <n v="1"/>
    <n v="1"/>
  </r>
  <r>
    <m/>
    <m/>
    <x v="1"/>
    <s v="27612583002003"/>
    <n v="-71.55"/>
    <n v="1758"/>
    <n v="1"/>
    <n v="1"/>
  </r>
  <r>
    <m/>
    <m/>
    <x v="1"/>
    <s v="27614236002001"/>
    <n v="-40.74"/>
    <n v="1001"/>
    <n v="1"/>
    <n v="1"/>
  </r>
  <r>
    <m/>
    <m/>
    <x v="1"/>
    <s v="27629352001002"/>
    <n v="-108.02"/>
    <n v="2654"/>
    <n v="1"/>
    <n v="1"/>
  </r>
  <r>
    <m/>
    <m/>
    <x v="1"/>
    <s v="27643675001002"/>
    <n v="-78.59"/>
    <n v="1931"/>
    <n v="1"/>
    <n v="1"/>
  </r>
  <r>
    <m/>
    <m/>
    <x v="1"/>
    <s v="27670002001006"/>
    <n v="-86.08"/>
    <n v="2115"/>
    <n v="1"/>
    <n v="1"/>
  </r>
  <r>
    <m/>
    <m/>
    <x v="1"/>
    <s v="27691065001006"/>
    <n v="-66.5"/>
    <n v="1634"/>
    <n v="1"/>
    <n v="1"/>
  </r>
  <r>
    <m/>
    <m/>
    <x v="1"/>
    <s v="27805020001001"/>
    <n v="-4.88"/>
    <n v="120"/>
    <n v="1"/>
    <n v="1"/>
  </r>
  <r>
    <m/>
    <m/>
    <x v="1"/>
    <s v="27808881001014"/>
    <n v="-68.25"/>
    <n v="1677"/>
    <n v="1"/>
    <n v="1"/>
  </r>
  <r>
    <m/>
    <m/>
    <x v="1"/>
    <s v="27809870001003"/>
    <n v="-83.6"/>
    <n v="2054"/>
    <n v="1"/>
    <n v="1"/>
  </r>
  <r>
    <m/>
    <m/>
    <x v="1"/>
    <s v="27883736001001"/>
    <n v="-100.24"/>
    <n v="2463"/>
    <n v="1"/>
    <n v="1"/>
  </r>
  <r>
    <m/>
    <m/>
    <x v="1"/>
    <s v="27899952001001"/>
    <n v="-38.01"/>
    <n v="934"/>
    <n v="1"/>
    <n v="1"/>
  </r>
  <r>
    <m/>
    <m/>
    <x v="1"/>
    <s v="27943716001001"/>
    <n v="-9.08"/>
    <n v="223"/>
    <n v="1"/>
    <n v="1"/>
  </r>
  <r>
    <m/>
    <m/>
    <x v="1"/>
    <s v="28033693002001"/>
    <n v="-19.899999999999999"/>
    <n v="489"/>
    <n v="1"/>
    <n v="1"/>
  </r>
  <r>
    <m/>
    <m/>
    <x v="1"/>
    <s v="28057729001001"/>
    <n v="-9.44"/>
    <n v="232"/>
    <n v="1"/>
    <n v="1"/>
  </r>
  <r>
    <m/>
    <m/>
    <x v="1"/>
    <s v="28059627001003"/>
    <n v="-23.32"/>
    <n v="573"/>
    <n v="1"/>
    <n v="1"/>
  </r>
  <r>
    <m/>
    <m/>
    <x v="1"/>
    <s v="28195746001005"/>
    <n v="-158.12"/>
    <n v="3885"/>
    <n v="1"/>
    <n v="1"/>
  </r>
  <r>
    <m/>
    <m/>
    <x v="1"/>
    <s v="28200340004001"/>
    <n v="-89.01"/>
    <n v="2187"/>
    <n v="1"/>
    <n v="1"/>
  </r>
  <r>
    <m/>
    <m/>
    <x v="1"/>
    <s v="28261263001001"/>
    <n v="-60.15"/>
    <n v="1478"/>
    <n v="1"/>
    <n v="1"/>
  </r>
  <r>
    <m/>
    <m/>
    <x v="1"/>
    <s v="28320978001001"/>
    <n v="-25.6"/>
    <n v="629"/>
    <n v="1"/>
    <n v="1"/>
  </r>
  <r>
    <m/>
    <m/>
    <x v="1"/>
    <s v="28330708001001"/>
    <n v="-76.680000000000007"/>
    <n v="1884"/>
    <n v="1"/>
    <n v="1"/>
  </r>
  <r>
    <m/>
    <m/>
    <x v="1"/>
    <s v="28452386002001"/>
    <n v="-48.47"/>
    <n v="1191"/>
    <n v="1"/>
    <n v="1"/>
  </r>
  <r>
    <m/>
    <m/>
    <x v="1"/>
    <s v="28472317001001"/>
    <n v="-48.35"/>
    <n v="1188"/>
    <n v="1"/>
    <n v="1"/>
  </r>
  <r>
    <m/>
    <m/>
    <x v="1"/>
    <s v="28584427001008"/>
    <n v="-51.69"/>
    <n v="1270"/>
    <n v="1"/>
    <n v="1"/>
  </r>
  <r>
    <m/>
    <m/>
    <x v="1"/>
    <s v="28592432001002"/>
    <n v="-65.36"/>
    <n v="1606"/>
    <n v="1"/>
    <n v="1"/>
  </r>
  <r>
    <m/>
    <m/>
    <x v="1"/>
    <s v="28647586001001"/>
    <n v="-30.73"/>
    <n v="755"/>
    <n v="1"/>
    <n v="1"/>
  </r>
  <r>
    <m/>
    <m/>
    <x v="1"/>
    <s v="28748611001008"/>
    <n v="-96.17"/>
    <n v="2363"/>
    <n v="1"/>
    <n v="1"/>
  </r>
  <r>
    <m/>
    <m/>
    <x v="1"/>
    <s v="28868417001005"/>
    <n v="-20.84"/>
    <n v="512"/>
    <n v="1"/>
    <n v="1"/>
  </r>
  <r>
    <m/>
    <m/>
    <x v="1"/>
    <s v="28950576001002"/>
    <n v="-19.29"/>
    <n v="474"/>
    <n v="1"/>
    <n v="1"/>
  </r>
  <r>
    <m/>
    <m/>
    <x v="1"/>
    <s v="28959951001001"/>
    <n v="-112.54"/>
    <n v="2765"/>
    <n v="1"/>
    <n v="1"/>
  </r>
  <r>
    <m/>
    <m/>
    <x v="1"/>
    <s v="29003410001001"/>
    <n v="-104.84"/>
    <n v="2576"/>
    <n v="1"/>
    <n v="1"/>
  </r>
  <r>
    <m/>
    <m/>
    <x v="1"/>
    <s v="29121023001001"/>
    <n v="-56.57"/>
    <n v="1390"/>
    <n v="1"/>
    <n v="1"/>
  </r>
  <r>
    <m/>
    <m/>
    <x v="1"/>
    <s v="29195239002001"/>
    <n v="-88.52"/>
    <n v="2175"/>
    <n v="1"/>
    <n v="1"/>
  </r>
  <r>
    <m/>
    <m/>
    <x v="1"/>
    <s v="29197433001003"/>
    <n v="-56.53"/>
    <n v="1389"/>
    <n v="1"/>
    <n v="1"/>
  </r>
  <r>
    <m/>
    <m/>
    <x v="1"/>
    <s v="29250485007001"/>
    <n v="-113.11"/>
    <n v="2779"/>
    <n v="1"/>
    <n v="1"/>
  </r>
  <r>
    <m/>
    <m/>
    <x v="1"/>
    <s v="29296094001001"/>
    <n v="-71.790000000000006"/>
    <n v="1764"/>
    <n v="1"/>
    <n v="1"/>
  </r>
  <r>
    <m/>
    <m/>
    <x v="1"/>
    <s v="29316455001004"/>
    <n v="-41.55"/>
    <n v="1021"/>
    <n v="1"/>
    <n v="1"/>
  </r>
  <r>
    <m/>
    <m/>
    <x v="1"/>
    <s v="29333477001001"/>
    <n v="-54.5"/>
    <n v="1339"/>
    <n v="1"/>
    <n v="1"/>
  </r>
  <r>
    <m/>
    <m/>
    <x v="1"/>
    <s v="29365356001002"/>
    <n v="-83.39"/>
    <n v="2049"/>
    <n v="1"/>
    <n v="1"/>
  </r>
  <r>
    <m/>
    <m/>
    <x v="1"/>
    <s v="29448259001002"/>
    <n v="-23.93"/>
    <n v="588"/>
    <n v="1"/>
    <n v="1"/>
  </r>
  <r>
    <m/>
    <m/>
    <x v="1"/>
    <s v="29493157001001"/>
    <n v="-47.66"/>
    <n v="1171"/>
    <n v="1"/>
    <n v="1"/>
  </r>
  <r>
    <m/>
    <m/>
    <x v="1"/>
    <s v="29527274001001"/>
    <n v="-34.68"/>
    <n v="852"/>
    <n v="1"/>
    <n v="1"/>
  </r>
  <r>
    <m/>
    <m/>
    <x v="1"/>
    <s v="29600057008001"/>
    <n v="-8.5500000000000007"/>
    <n v="210"/>
    <n v="1"/>
    <n v="1"/>
  </r>
  <r>
    <m/>
    <m/>
    <x v="1"/>
    <s v="29729927001003"/>
    <n v="-18.36"/>
    <n v="451"/>
    <n v="1"/>
    <n v="1"/>
  </r>
  <r>
    <m/>
    <m/>
    <x v="1"/>
    <s v="29746522001002"/>
    <n v="-54.54"/>
    <n v="1340"/>
    <n v="1"/>
    <n v="1"/>
  </r>
  <r>
    <m/>
    <m/>
    <x v="1"/>
    <s v="29810873001003"/>
    <n v="-95.69"/>
    <n v="2351"/>
    <n v="1"/>
    <n v="1"/>
  </r>
  <r>
    <m/>
    <m/>
    <x v="1"/>
    <s v="30002964001001"/>
    <n v="-25.72"/>
    <n v="632"/>
    <n v="1"/>
    <n v="1"/>
  </r>
  <r>
    <m/>
    <m/>
    <x v="1"/>
    <s v="30023292002005"/>
    <n v="-43.75"/>
    <n v="1075"/>
    <n v="1"/>
    <n v="1"/>
  </r>
  <r>
    <m/>
    <m/>
    <x v="1"/>
    <s v="30128006001003"/>
    <n v="-28.57"/>
    <n v="702"/>
    <n v="1"/>
    <n v="1"/>
  </r>
  <r>
    <m/>
    <m/>
    <x v="1"/>
    <s v="30199968001001"/>
    <n v="-15.14"/>
    <n v="372"/>
    <n v="1"/>
    <n v="1"/>
  </r>
  <r>
    <m/>
    <m/>
    <x v="1"/>
    <s v="30234293001001"/>
    <n v="-87.59"/>
    <n v="2152"/>
    <n v="1"/>
    <n v="1"/>
  </r>
  <r>
    <m/>
    <m/>
    <x v="1"/>
    <s v="30336396002007"/>
    <n v="-73.83"/>
    <n v="1814"/>
    <n v="1"/>
    <n v="1"/>
  </r>
  <r>
    <m/>
    <m/>
    <x v="1"/>
    <s v="30340768001001"/>
    <n v="-41.6"/>
    <n v="1022"/>
    <n v="1"/>
    <n v="1"/>
  </r>
  <r>
    <m/>
    <m/>
    <x v="1"/>
    <s v="30370464002001"/>
    <n v="-65.73"/>
    <n v="1615"/>
    <n v="1"/>
    <n v="1"/>
  </r>
  <r>
    <m/>
    <m/>
    <x v="1"/>
    <s v="30522741002006"/>
    <n v="-47.33"/>
    <n v="1163"/>
    <n v="1"/>
    <n v="1"/>
  </r>
  <r>
    <m/>
    <m/>
    <x v="1"/>
    <s v="30816545001001"/>
    <n v="-82.5"/>
    <n v="2027"/>
    <n v="1"/>
    <n v="1"/>
  </r>
  <r>
    <m/>
    <m/>
    <x v="1"/>
    <s v="30957294003003"/>
    <n v="-106.19"/>
    <n v="2609"/>
    <n v="1"/>
    <n v="1"/>
  </r>
  <r>
    <m/>
    <m/>
    <x v="1"/>
    <s v="30965089001001"/>
    <n v="-27.35"/>
    <n v="672"/>
    <n v="1"/>
    <n v="1"/>
  </r>
  <r>
    <m/>
    <m/>
    <x v="1"/>
    <s v="31033019001001"/>
    <n v="-117.01"/>
    <n v="2875"/>
    <n v="1"/>
    <n v="1"/>
  </r>
  <r>
    <m/>
    <m/>
    <x v="1"/>
    <s v="31036584001003"/>
    <n v="-107.57"/>
    <n v="2643"/>
    <n v="1"/>
    <n v="1"/>
  </r>
  <r>
    <m/>
    <m/>
    <x v="1"/>
    <s v="31065355001007"/>
    <n v="-59.38"/>
    <n v="1459"/>
    <n v="1"/>
    <n v="1"/>
  </r>
  <r>
    <m/>
    <m/>
    <x v="1"/>
    <s v="31128641001003"/>
    <n v="-37.200000000000003"/>
    <n v="914"/>
    <n v="1"/>
    <n v="1"/>
  </r>
  <r>
    <m/>
    <m/>
    <x v="1"/>
    <s v="31180110007001"/>
    <n v="-71.84"/>
    <n v="1765"/>
    <n v="1"/>
    <n v="1"/>
  </r>
  <r>
    <m/>
    <m/>
    <x v="1"/>
    <s v="31196731002001"/>
    <n v="-182.13"/>
    <n v="4475"/>
    <n v="1"/>
    <n v="1"/>
  </r>
  <r>
    <m/>
    <m/>
    <x v="1"/>
    <s v="31283347001004"/>
    <n v="-51.44"/>
    <n v="1264"/>
    <n v="1"/>
    <n v="1"/>
  </r>
  <r>
    <m/>
    <m/>
    <x v="1"/>
    <s v="31347134001001"/>
    <n v="-98.58"/>
    <n v="2422"/>
    <n v="1"/>
    <n v="1"/>
  </r>
  <r>
    <m/>
    <m/>
    <x v="1"/>
    <s v="31363659001003"/>
    <n v="-9.85"/>
    <n v="242"/>
    <n v="1"/>
    <n v="1"/>
  </r>
  <r>
    <m/>
    <m/>
    <x v="1"/>
    <s v="31408462001001"/>
    <n v="-14.08"/>
    <n v="346"/>
    <n v="1"/>
    <n v="1"/>
  </r>
  <r>
    <m/>
    <m/>
    <x v="1"/>
    <s v="31441919002003"/>
    <n v="-56.86"/>
    <n v="1397"/>
    <n v="1"/>
    <n v="1"/>
  </r>
  <r>
    <m/>
    <m/>
    <x v="1"/>
    <s v="31484435001001"/>
    <n v="-66.38"/>
    <n v="1631"/>
    <n v="1"/>
    <n v="1"/>
  </r>
  <r>
    <m/>
    <m/>
    <x v="1"/>
    <s v="31531349001001"/>
    <n v="-17.3"/>
    <n v="425"/>
    <n v="1"/>
    <n v="1"/>
  </r>
  <r>
    <m/>
    <m/>
    <x v="1"/>
    <s v="31533047001001"/>
    <n v="-79.239999999999995"/>
    <n v="1947"/>
    <n v="1"/>
    <n v="1"/>
  </r>
  <r>
    <m/>
    <m/>
    <x v="1"/>
    <s v="31765487002001"/>
    <n v="-34.31"/>
    <n v="843"/>
    <n v="1"/>
    <n v="1"/>
  </r>
  <r>
    <m/>
    <m/>
    <x v="1"/>
    <s v="31770964001004"/>
    <n v="-75.86"/>
    <n v="1864"/>
    <n v="1"/>
    <n v="1"/>
  </r>
  <r>
    <m/>
    <m/>
    <x v="1"/>
    <s v="31817682001003"/>
    <n v="-9.44"/>
    <n v="232"/>
    <n v="1"/>
    <n v="1"/>
  </r>
  <r>
    <m/>
    <m/>
    <x v="1"/>
    <s v="31849917001001"/>
    <n v="-39.76"/>
    <n v="977"/>
    <n v="1"/>
    <n v="1"/>
  </r>
  <r>
    <m/>
    <m/>
    <x v="1"/>
    <s v="31873971002001"/>
    <n v="-66.87"/>
    <n v="1643"/>
    <n v="1"/>
    <n v="1"/>
  </r>
  <r>
    <m/>
    <m/>
    <x v="1"/>
    <s v="31987952001001"/>
    <n v="-14.12"/>
    <n v="347"/>
    <n v="1"/>
    <n v="1"/>
  </r>
  <r>
    <m/>
    <m/>
    <x v="1"/>
    <s v="31999957003003"/>
    <n v="-61.58"/>
    <n v="1513"/>
    <n v="1"/>
    <n v="1"/>
  </r>
  <r>
    <m/>
    <m/>
    <x v="1"/>
    <s v="32123494001003"/>
    <n v="-60.68"/>
    <n v="1491"/>
    <n v="1"/>
    <n v="1"/>
  </r>
  <r>
    <m/>
    <m/>
    <x v="1"/>
    <s v="32186699001004"/>
    <n v="-31.66"/>
    <n v="778"/>
    <n v="1"/>
    <n v="1"/>
  </r>
  <r>
    <m/>
    <m/>
    <x v="1"/>
    <s v="32275518001005"/>
    <n v="-12.29"/>
    <n v="302"/>
    <n v="1"/>
    <n v="1"/>
  </r>
  <r>
    <m/>
    <m/>
    <x v="1"/>
    <s v="32293901002001"/>
    <n v="-60.4"/>
    <n v="1484"/>
    <n v="1"/>
    <n v="1"/>
  </r>
  <r>
    <m/>
    <m/>
    <x v="1"/>
    <s v="32321580001004"/>
    <n v="-52.58"/>
    <n v="1292"/>
    <n v="1"/>
    <n v="1"/>
  </r>
  <r>
    <m/>
    <m/>
    <x v="1"/>
    <s v="32346038007001"/>
    <n v="-66.38"/>
    <n v="1631"/>
    <n v="1"/>
    <n v="1"/>
  </r>
  <r>
    <m/>
    <m/>
    <x v="1"/>
    <s v="32419368001001"/>
    <n v="-47.09"/>
    <n v="1157"/>
    <n v="1"/>
    <n v="1"/>
  </r>
  <r>
    <m/>
    <m/>
    <x v="1"/>
    <s v="32423731007001"/>
    <n v="-5.41"/>
    <n v="133"/>
    <n v="1"/>
    <n v="1"/>
  </r>
  <r>
    <m/>
    <m/>
    <x v="1"/>
    <s v="32445799001001"/>
    <n v="-51.16"/>
    <n v="1257"/>
    <n v="1"/>
    <n v="1"/>
  </r>
  <r>
    <m/>
    <m/>
    <x v="1"/>
    <s v="32510019001001"/>
    <n v="-87.1"/>
    <n v="2140"/>
    <n v="1"/>
    <n v="1"/>
  </r>
  <r>
    <m/>
    <m/>
    <x v="1"/>
    <s v="32552612006001"/>
    <n v="-12.9"/>
    <n v="317"/>
    <n v="1"/>
    <n v="1"/>
  </r>
  <r>
    <m/>
    <m/>
    <x v="1"/>
    <s v="32762616001002"/>
    <n v="-27.8"/>
    <n v="683"/>
    <n v="1"/>
    <n v="1"/>
  </r>
  <r>
    <m/>
    <m/>
    <x v="1"/>
    <s v="32767929001001"/>
    <n v="-54.46"/>
    <n v="1338"/>
    <n v="1"/>
    <n v="1"/>
  </r>
  <r>
    <m/>
    <m/>
    <x v="1"/>
    <s v="32853341001004"/>
    <n v="-73.34"/>
    <n v="1802"/>
    <n v="1"/>
    <n v="1"/>
  </r>
  <r>
    <m/>
    <m/>
    <x v="1"/>
    <s v="32983109001005"/>
    <n v="-44.53"/>
    <n v="1094"/>
    <n v="1"/>
    <n v="1"/>
  </r>
  <r>
    <m/>
    <m/>
    <x v="1"/>
    <s v="33003317001001"/>
    <n v="-71.27"/>
    <n v="1751"/>
    <n v="1"/>
    <n v="1"/>
  </r>
  <r>
    <m/>
    <m/>
    <x v="1"/>
    <s v="33090993001001"/>
    <n v="-48.35"/>
    <n v="1188"/>
    <n v="1"/>
    <n v="1"/>
  </r>
  <r>
    <m/>
    <m/>
    <x v="1"/>
    <s v="33155295001002"/>
    <n v="-108.51"/>
    <n v="2666"/>
    <n v="1"/>
    <n v="1"/>
  </r>
  <r>
    <m/>
    <m/>
    <x v="1"/>
    <s v="33209129001005"/>
    <n v="-69.19"/>
    <n v="1700"/>
    <n v="1"/>
    <n v="1"/>
  </r>
  <r>
    <m/>
    <m/>
    <x v="1"/>
    <s v="33292898001002"/>
    <n v="-35.78"/>
    <n v="879"/>
    <n v="1"/>
    <n v="1"/>
  </r>
  <r>
    <m/>
    <m/>
    <x v="1"/>
    <s v="33418787001002"/>
    <n v="-48.84"/>
    <n v="1200"/>
    <n v="1"/>
    <n v="1"/>
  </r>
  <r>
    <m/>
    <m/>
    <x v="1"/>
    <s v="33439179001002"/>
    <n v="-60.2"/>
    <n v="1479"/>
    <n v="1"/>
    <n v="1"/>
  </r>
  <r>
    <m/>
    <m/>
    <x v="1"/>
    <s v="33459488001004"/>
    <n v="-40.9"/>
    <n v="1005"/>
    <n v="1"/>
    <n v="1"/>
  </r>
  <r>
    <m/>
    <m/>
    <x v="1"/>
    <s v="33465688002001"/>
    <n v="-73.75"/>
    <n v="1812"/>
    <n v="1"/>
    <n v="1"/>
  </r>
  <r>
    <m/>
    <m/>
    <x v="1"/>
    <s v="33529526001001"/>
    <n v="-36.83"/>
    <n v="905"/>
    <n v="1"/>
    <n v="1"/>
  </r>
  <r>
    <m/>
    <m/>
    <x v="1"/>
    <s v="33533745001003"/>
    <n v="-80.75"/>
    <n v="1984"/>
    <n v="1"/>
    <n v="1"/>
  </r>
  <r>
    <m/>
    <m/>
    <x v="1"/>
    <s v="33544933002001"/>
    <n v="-90.6"/>
    <n v="2226"/>
    <n v="1"/>
    <n v="1"/>
  </r>
  <r>
    <m/>
    <m/>
    <x v="1"/>
    <s v="33551931001003"/>
    <n v="-88.73"/>
    <n v="2180"/>
    <n v="1"/>
    <n v="1"/>
  </r>
  <r>
    <m/>
    <m/>
    <x v="1"/>
    <s v="33559246001001"/>
    <n v="-41.43"/>
    <n v="1018"/>
    <n v="1"/>
    <n v="1"/>
  </r>
  <r>
    <m/>
    <m/>
    <x v="1"/>
    <s v="33563818001002"/>
    <n v="-39.64"/>
    <n v="974"/>
    <n v="1"/>
    <n v="1"/>
  </r>
  <r>
    <m/>
    <m/>
    <x v="1"/>
    <s v="33674854001001"/>
    <n v="-54.29"/>
    <n v="1334"/>
    <n v="1"/>
    <n v="1"/>
  </r>
  <r>
    <m/>
    <m/>
    <x v="1"/>
    <s v="33692101001001"/>
    <n v="-5.62"/>
    <n v="138"/>
    <n v="1"/>
    <n v="1"/>
  </r>
  <r>
    <m/>
    <m/>
    <x v="1"/>
    <s v="33758373001010"/>
    <n v="-61.33"/>
    <n v="1507"/>
    <n v="1"/>
    <n v="1"/>
  </r>
  <r>
    <m/>
    <m/>
    <x v="1"/>
    <s v="33804703001003"/>
    <n v="-51.04"/>
    <n v="1254"/>
    <n v="1"/>
    <n v="1"/>
  </r>
  <r>
    <m/>
    <m/>
    <x v="1"/>
    <s v="33808192001001"/>
    <n v="-48.43"/>
    <n v="1190"/>
    <n v="1"/>
    <n v="1"/>
  </r>
  <r>
    <m/>
    <m/>
    <x v="1"/>
    <s v="33897699003002"/>
    <n v="-52.95"/>
    <n v="1301"/>
    <n v="1"/>
    <n v="1"/>
  </r>
  <r>
    <m/>
    <m/>
    <x v="1"/>
    <s v="33988440001001"/>
    <n v="-68.459999999999994"/>
    <n v="1682"/>
    <n v="1"/>
    <n v="1"/>
  </r>
  <r>
    <m/>
    <m/>
    <x v="1"/>
    <s v="33992123001003"/>
    <n v="-53.03"/>
    <n v="1303"/>
    <n v="1"/>
    <n v="1"/>
  </r>
  <r>
    <m/>
    <m/>
    <x v="1"/>
    <s v="34080235001002"/>
    <n v="-21.86"/>
    <n v="537"/>
    <n v="1"/>
    <n v="1"/>
  </r>
  <r>
    <m/>
    <m/>
    <x v="1"/>
    <s v="34135500001003"/>
    <n v="-83.8"/>
    <n v="2059"/>
    <n v="1"/>
    <n v="1"/>
  </r>
  <r>
    <m/>
    <m/>
    <x v="1"/>
    <s v="34246525001001"/>
    <n v="-124.83"/>
    <n v="3067"/>
    <n v="1"/>
    <n v="1"/>
  </r>
  <r>
    <m/>
    <m/>
    <x v="1"/>
    <s v="34489601001003"/>
    <n v="-64.67"/>
    <n v="1589"/>
    <n v="1"/>
    <n v="1"/>
  </r>
  <r>
    <m/>
    <m/>
    <x v="1"/>
    <s v="34506194001002"/>
    <n v="-37.81"/>
    <n v="929"/>
    <n v="1"/>
    <n v="1"/>
  </r>
  <r>
    <m/>
    <m/>
    <x v="1"/>
    <s v="34683105001001"/>
    <n v="-44.69"/>
    <n v="1098"/>
    <n v="1"/>
    <n v="1"/>
  </r>
  <r>
    <m/>
    <m/>
    <x v="1"/>
    <s v="34717698001005"/>
    <n v="-24.5"/>
    <n v="602"/>
    <n v="1"/>
    <n v="1"/>
  </r>
  <r>
    <m/>
    <m/>
    <x v="1"/>
    <s v="34761544001003"/>
    <n v="-68.62"/>
    <n v="1686"/>
    <n v="1"/>
    <n v="1"/>
  </r>
  <r>
    <m/>
    <m/>
    <x v="1"/>
    <s v="34847231001001"/>
    <n v="-35.08"/>
    <n v="862"/>
    <n v="1"/>
    <n v="1"/>
  </r>
  <r>
    <m/>
    <m/>
    <x v="1"/>
    <s v="34859648001001"/>
    <n v="-11.48"/>
    <n v="282"/>
    <n v="1"/>
    <n v="1"/>
  </r>
  <r>
    <m/>
    <m/>
    <x v="1"/>
    <s v="35012953001002"/>
    <n v="-36.67"/>
    <n v="901"/>
    <n v="1"/>
    <n v="1"/>
  </r>
  <r>
    <m/>
    <m/>
    <x v="1"/>
    <s v="35037850001001"/>
    <n v="-59.14"/>
    <n v="1453"/>
    <n v="1"/>
    <n v="1"/>
  </r>
  <r>
    <m/>
    <m/>
    <x v="1"/>
    <s v="35060732007001"/>
    <n v="-6.27"/>
    <n v="154"/>
    <n v="1"/>
    <n v="1"/>
  </r>
  <r>
    <m/>
    <m/>
    <x v="1"/>
    <s v="35063888001003"/>
    <n v="-81.069999999999993"/>
    <n v="1992"/>
    <n v="1"/>
    <n v="1"/>
  </r>
  <r>
    <m/>
    <m/>
    <x v="1"/>
    <s v="35116339001001"/>
    <n v="-17.420000000000002"/>
    <n v="428"/>
    <n v="1"/>
    <n v="1"/>
  </r>
  <r>
    <m/>
    <m/>
    <x v="1"/>
    <s v="35266479001002"/>
    <n v="-54.01"/>
    <n v="1327"/>
    <n v="1"/>
    <n v="1"/>
  </r>
  <r>
    <m/>
    <m/>
    <x v="1"/>
    <s v="35268541002002"/>
    <n v="-38.58"/>
    <n v="948"/>
    <n v="1"/>
    <n v="1"/>
  </r>
  <r>
    <m/>
    <m/>
    <x v="1"/>
    <s v="35296076001001"/>
    <n v="-22.1"/>
    <n v="543"/>
    <n v="1"/>
    <n v="1"/>
  </r>
  <r>
    <m/>
    <m/>
    <x v="1"/>
    <s v="35340232002001"/>
    <n v="-39.07"/>
    <n v="960"/>
    <n v="1"/>
    <n v="1"/>
  </r>
  <r>
    <m/>
    <m/>
    <x v="1"/>
    <s v="35387208001001"/>
    <n v="-99.51"/>
    <n v="2445"/>
    <n v="1"/>
    <n v="1"/>
  </r>
  <r>
    <m/>
    <m/>
    <x v="1"/>
    <s v="35423655001001"/>
    <n v="-49.04"/>
    <n v="1205"/>
    <n v="1"/>
    <n v="1"/>
  </r>
  <r>
    <m/>
    <m/>
    <x v="1"/>
    <s v="35453275001007"/>
    <n v="-77.819999999999993"/>
    <n v="1912"/>
    <n v="1"/>
    <n v="1"/>
  </r>
  <r>
    <m/>
    <m/>
    <x v="1"/>
    <s v="35761120001001"/>
    <n v="-46.36"/>
    <n v="1139"/>
    <n v="1"/>
    <n v="1"/>
  </r>
  <r>
    <m/>
    <m/>
    <x v="1"/>
    <s v="35796162001005"/>
    <n v="-84"/>
    <n v="2064"/>
    <n v="1"/>
    <n v="1"/>
  </r>
  <r>
    <m/>
    <m/>
    <x v="1"/>
    <s v="35861191001002"/>
    <n v="-29.1"/>
    <n v="715"/>
    <n v="1"/>
    <n v="1"/>
  </r>
  <r>
    <m/>
    <m/>
    <x v="1"/>
    <s v="35881910001001"/>
    <n v="-95.36"/>
    <n v="2343"/>
    <n v="1"/>
    <n v="1"/>
  </r>
  <r>
    <m/>
    <m/>
    <x v="1"/>
    <s v="35900670002005"/>
    <n v="-4.72"/>
    <n v="116"/>
    <n v="1"/>
    <n v="1"/>
  </r>
  <r>
    <m/>
    <m/>
    <x v="1"/>
    <s v="36015931001004"/>
    <n v="-44.32"/>
    <n v="1089"/>
    <n v="1"/>
    <n v="1"/>
  </r>
  <r>
    <m/>
    <m/>
    <x v="1"/>
    <s v="36026930001001"/>
    <n v="-64.39"/>
    <n v="1582"/>
    <n v="1"/>
    <n v="1"/>
  </r>
  <r>
    <m/>
    <m/>
    <x v="1"/>
    <s v="36048131001001"/>
    <n v="-93.65"/>
    <n v="2301"/>
    <n v="1"/>
    <n v="1"/>
  </r>
  <r>
    <m/>
    <m/>
    <x v="1"/>
    <s v="36052702001001"/>
    <n v="-53.97"/>
    <n v="1326"/>
    <n v="1"/>
    <n v="1"/>
  </r>
  <r>
    <m/>
    <m/>
    <x v="1"/>
    <s v="36079563001001"/>
    <n v="-56.08"/>
    <n v="1378"/>
    <n v="1"/>
    <n v="1"/>
  </r>
  <r>
    <m/>
    <m/>
    <x v="1"/>
    <s v="36127419001006"/>
    <n v="-77.489999999999995"/>
    <n v="1904"/>
    <n v="1"/>
    <n v="1"/>
  </r>
  <r>
    <m/>
    <m/>
    <x v="1"/>
    <s v="36181263001002"/>
    <n v="-61.66"/>
    <n v="1515"/>
    <n v="1"/>
    <n v="1"/>
  </r>
  <r>
    <m/>
    <m/>
    <x v="1"/>
    <s v="36248225001001"/>
    <n v="-120.07"/>
    <n v="2950"/>
    <n v="1"/>
    <n v="1"/>
  </r>
  <r>
    <m/>
    <m/>
    <x v="1"/>
    <s v="36264381001001"/>
    <n v="-54.25"/>
    <n v="1333"/>
    <n v="1"/>
    <n v="1"/>
  </r>
  <r>
    <m/>
    <m/>
    <x v="1"/>
    <s v="36284955001001"/>
    <n v="-16"/>
    <n v="393"/>
    <n v="1"/>
    <n v="1"/>
  </r>
  <r>
    <m/>
    <m/>
    <x v="1"/>
    <s v="36292176001002"/>
    <n v="-153.93"/>
    <n v="3782"/>
    <n v="1"/>
    <n v="1"/>
  </r>
  <r>
    <m/>
    <m/>
    <x v="1"/>
    <s v="36294296001004"/>
    <n v="-46.6"/>
    <n v="1145"/>
    <n v="1"/>
    <n v="1"/>
  </r>
  <r>
    <m/>
    <m/>
    <x v="1"/>
    <s v="36405485001001"/>
    <n v="-44.28"/>
    <n v="1088"/>
    <n v="1"/>
    <n v="1"/>
  </r>
  <r>
    <m/>
    <m/>
    <x v="1"/>
    <s v="36529463001001"/>
    <n v="-50.26"/>
    <n v="1235"/>
    <n v="1"/>
    <n v="1"/>
  </r>
  <r>
    <m/>
    <m/>
    <x v="1"/>
    <s v="36618779001001"/>
    <n v="-40.78"/>
    <n v="1002"/>
    <n v="1"/>
    <n v="1"/>
  </r>
  <r>
    <m/>
    <m/>
    <x v="1"/>
    <s v="36658787001001"/>
    <n v="-13.84"/>
    <n v="340"/>
    <n v="1"/>
    <n v="1"/>
  </r>
  <r>
    <m/>
    <m/>
    <x v="1"/>
    <s v="36710944001004"/>
    <n v="-36.1"/>
    <n v="887"/>
    <n v="1"/>
    <n v="1"/>
  </r>
  <r>
    <m/>
    <m/>
    <x v="1"/>
    <s v="36785538001001"/>
    <n v="-2.93"/>
    <n v="72"/>
    <n v="1"/>
    <n v="1"/>
  </r>
  <r>
    <m/>
    <m/>
    <x v="1"/>
    <s v="36829904002001"/>
    <n v="-161.16999999999999"/>
    <n v="3960"/>
    <n v="1"/>
    <n v="1"/>
  </r>
  <r>
    <m/>
    <m/>
    <x v="1"/>
    <s v="36892371001003"/>
    <n v="-39.520000000000003"/>
    <n v="971"/>
    <n v="1"/>
    <n v="1"/>
  </r>
  <r>
    <m/>
    <m/>
    <x v="1"/>
    <s v="36921006001004"/>
    <n v="-5.58"/>
    <n v="137"/>
    <n v="1"/>
    <n v="1"/>
  </r>
  <r>
    <m/>
    <m/>
    <x v="1"/>
    <s v="36994507001001"/>
    <n v="-49.37"/>
    <n v="1213"/>
    <n v="1"/>
    <n v="1"/>
  </r>
  <r>
    <m/>
    <m/>
    <x v="1"/>
    <s v="37043182001006"/>
    <n v="-79.12"/>
    <n v="1944"/>
    <n v="1"/>
    <n v="1"/>
  </r>
  <r>
    <m/>
    <m/>
    <x v="1"/>
    <s v="37387403001001"/>
    <n v="-88.48"/>
    <n v="2174"/>
    <n v="1"/>
    <n v="1"/>
  </r>
  <r>
    <m/>
    <m/>
    <x v="1"/>
    <s v="37486921001001"/>
    <n v="-19.09"/>
    <n v="469"/>
    <n v="1"/>
    <n v="1"/>
  </r>
  <r>
    <m/>
    <m/>
    <x v="1"/>
    <s v="37578682001001"/>
    <n v="-31.01"/>
    <n v="762"/>
    <n v="1"/>
    <n v="1"/>
  </r>
  <r>
    <m/>
    <m/>
    <x v="1"/>
    <s v="37649110001001"/>
    <n v="-15.18"/>
    <n v="373"/>
    <n v="1"/>
    <n v="1"/>
  </r>
  <r>
    <m/>
    <m/>
    <x v="1"/>
    <s v="37682914001001"/>
    <n v="-29.26"/>
    <n v="719"/>
    <n v="1"/>
    <n v="1"/>
  </r>
  <r>
    <m/>
    <m/>
    <x v="1"/>
    <s v="37734979001001"/>
    <n v="-13.96"/>
    <n v="343"/>
    <n v="1"/>
    <n v="1"/>
  </r>
  <r>
    <m/>
    <m/>
    <x v="1"/>
    <s v="37758573001006"/>
    <n v="-2.56"/>
    <n v="63"/>
    <n v="1"/>
    <n v="1"/>
  </r>
  <r>
    <m/>
    <m/>
    <x v="1"/>
    <s v="37811888001008"/>
    <n v="-18.190000000000001"/>
    <n v="447"/>
    <n v="1"/>
    <n v="1"/>
  </r>
  <r>
    <m/>
    <m/>
    <x v="1"/>
    <s v="37926637001001"/>
    <n v="-40.29"/>
    <n v="990"/>
    <n v="1"/>
    <n v="1"/>
  </r>
  <r>
    <m/>
    <m/>
    <x v="1"/>
    <s v="38026902001001"/>
    <n v="-66.02"/>
    <n v="1622"/>
    <n v="1"/>
    <n v="1"/>
  </r>
  <r>
    <m/>
    <m/>
    <x v="1"/>
    <s v="38052228001001"/>
    <n v="-112.74"/>
    <n v="2770"/>
    <n v="1"/>
    <n v="1"/>
  </r>
  <r>
    <m/>
    <m/>
    <x v="1"/>
    <s v="38058429001003"/>
    <n v="-24.99"/>
    <n v="614"/>
    <n v="1"/>
    <n v="1"/>
  </r>
  <r>
    <m/>
    <m/>
    <x v="1"/>
    <s v="38215045004002"/>
    <n v="-16.559999999999999"/>
    <n v="407"/>
    <n v="1"/>
    <n v="1"/>
  </r>
  <r>
    <m/>
    <m/>
    <x v="1"/>
    <s v="38237955003002"/>
    <n v="-49.49"/>
    <n v="1216"/>
    <n v="1"/>
    <n v="1"/>
  </r>
  <r>
    <m/>
    <m/>
    <x v="1"/>
    <s v="38301351001001"/>
    <n v="-60.64"/>
    <n v="1490"/>
    <n v="1"/>
    <n v="1"/>
  </r>
  <r>
    <m/>
    <m/>
    <x v="1"/>
    <s v="38337468001001"/>
    <n v="-58.45"/>
    <n v="1436"/>
    <n v="1"/>
    <n v="1"/>
  </r>
  <r>
    <m/>
    <m/>
    <x v="1"/>
    <s v="38377929001001"/>
    <n v="-106.02"/>
    <n v="2605"/>
    <n v="1"/>
    <n v="1"/>
  </r>
  <r>
    <m/>
    <m/>
    <x v="1"/>
    <s v="38397225001002"/>
    <n v="-115.22"/>
    <n v="2831"/>
    <n v="1"/>
    <n v="1"/>
  </r>
  <r>
    <m/>
    <m/>
    <x v="1"/>
    <s v="38413246001001"/>
    <n v="-79.77"/>
    <n v="1960"/>
    <n v="1"/>
    <n v="1"/>
  </r>
  <r>
    <m/>
    <m/>
    <x v="1"/>
    <s v="38444251002005"/>
    <n v="-38.71"/>
    <n v="951"/>
    <n v="1"/>
    <n v="1"/>
  </r>
  <r>
    <m/>
    <m/>
    <x v="1"/>
    <s v="38448826001003"/>
    <n v="-80.67"/>
    <n v="1982"/>
    <n v="1"/>
    <n v="1"/>
  </r>
  <r>
    <m/>
    <m/>
    <x v="1"/>
    <s v="38499863001004"/>
    <n v="-67.11"/>
    <n v="1649"/>
    <n v="1"/>
    <n v="1"/>
  </r>
  <r>
    <m/>
    <m/>
    <x v="1"/>
    <s v="38500551001001"/>
    <n v="-116.93"/>
    <n v="2873"/>
    <n v="1"/>
    <n v="1"/>
  </r>
  <r>
    <m/>
    <m/>
    <x v="1"/>
    <s v="38527198001001"/>
    <n v="-43.87"/>
    <n v="1078"/>
    <n v="1"/>
    <n v="1"/>
  </r>
  <r>
    <m/>
    <m/>
    <x v="1"/>
    <s v="38540989001007"/>
    <n v="-29.55"/>
    <n v="726"/>
    <n v="1"/>
    <n v="1"/>
  </r>
  <r>
    <m/>
    <m/>
    <x v="1"/>
    <s v="38577493001007"/>
    <n v="-69.03"/>
    <n v="1696"/>
    <n v="1"/>
    <n v="1"/>
  </r>
  <r>
    <m/>
    <m/>
    <x v="1"/>
    <s v="38611961001001"/>
    <n v="-68.819999999999993"/>
    <n v="1691"/>
    <n v="1"/>
    <n v="1"/>
  </r>
  <r>
    <m/>
    <m/>
    <x v="1"/>
    <s v="38776351002003"/>
    <n v="-33.049999999999997"/>
    <n v="812"/>
    <n v="1"/>
    <n v="1"/>
  </r>
  <r>
    <m/>
    <m/>
    <x v="1"/>
    <s v="38911036001003"/>
    <n v="-11.6"/>
    <n v="285"/>
    <n v="1"/>
    <n v="1"/>
  </r>
  <r>
    <m/>
    <m/>
    <x v="1"/>
    <s v="38940264003001"/>
    <n v="-43.3"/>
    <n v="1064"/>
    <n v="1"/>
    <n v="1"/>
  </r>
  <r>
    <m/>
    <m/>
    <x v="1"/>
    <s v="38964048001001"/>
    <n v="-12.66"/>
    <n v="311"/>
    <n v="1"/>
    <n v="1"/>
  </r>
  <r>
    <m/>
    <m/>
    <x v="1"/>
    <s v="39075374001002"/>
    <n v="-45.58"/>
    <n v="1120"/>
    <n v="1"/>
    <n v="1"/>
  </r>
  <r>
    <m/>
    <m/>
    <x v="1"/>
    <s v="39105361003001"/>
    <n v="-25.8"/>
    <n v="634"/>
    <n v="1"/>
    <n v="1"/>
  </r>
  <r>
    <m/>
    <m/>
    <x v="1"/>
    <s v="39177585002001"/>
    <n v="-5.82"/>
    <n v="143"/>
    <n v="1"/>
    <n v="1"/>
  </r>
  <r>
    <m/>
    <m/>
    <x v="1"/>
    <s v="39206681001007"/>
    <n v="-105.13"/>
    <n v="2583"/>
    <n v="1"/>
    <n v="1"/>
  </r>
  <r>
    <m/>
    <m/>
    <x v="1"/>
    <s v="39250671001002"/>
    <n v="-64.47"/>
    <n v="1584"/>
    <n v="1"/>
    <n v="1"/>
  </r>
  <r>
    <m/>
    <m/>
    <x v="1"/>
    <s v="39300831002001"/>
    <n v="-44.12"/>
    <n v="1084"/>
    <n v="1"/>
    <n v="1"/>
  </r>
  <r>
    <m/>
    <m/>
    <x v="1"/>
    <s v="39356056001005"/>
    <n v="-31.14"/>
    <n v="765"/>
    <n v="1"/>
    <n v="1"/>
  </r>
  <r>
    <m/>
    <m/>
    <x v="1"/>
    <s v="39388823001003"/>
    <n v="-22.79"/>
    <n v="560"/>
    <n v="1"/>
    <n v="1"/>
  </r>
  <r>
    <m/>
    <m/>
    <x v="1"/>
    <s v="39398603002003"/>
    <n v="-38.380000000000003"/>
    <n v="943"/>
    <n v="1"/>
    <n v="1"/>
  </r>
  <r>
    <m/>
    <m/>
    <x v="1"/>
    <s v="39419789001003"/>
    <n v="-15.95"/>
    <n v="392"/>
    <n v="1"/>
    <n v="1"/>
  </r>
  <r>
    <m/>
    <m/>
    <x v="1"/>
    <s v="39421231001001"/>
    <n v="-3.95"/>
    <n v="97"/>
    <n v="1"/>
    <n v="1"/>
  </r>
  <r>
    <m/>
    <m/>
    <x v="1"/>
    <s v="39500179007001"/>
    <n v="-33.58"/>
    <n v="825"/>
    <n v="1"/>
    <n v="1"/>
  </r>
  <r>
    <m/>
    <m/>
    <x v="1"/>
    <s v="39509588001001"/>
    <n v="-48.68"/>
    <n v="1196"/>
    <n v="1"/>
    <n v="1"/>
  </r>
  <r>
    <m/>
    <m/>
    <x v="1"/>
    <s v="39521370001002"/>
    <n v="-11.15"/>
    <n v="274"/>
    <n v="1"/>
    <n v="1"/>
  </r>
  <r>
    <m/>
    <m/>
    <x v="1"/>
    <s v="39525577001001"/>
    <n v="-32.520000000000003"/>
    <n v="799"/>
    <n v="1"/>
    <n v="1"/>
  </r>
  <r>
    <m/>
    <m/>
    <x v="1"/>
    <s v="39545289001005"/>
    <n v="-68.989999999999995"/>
    <n v="1695"/>
    <n v="1"/>
    <n v="1"/>
  </r>
  <r>
    <m/>
    <m/>
    <x v="1"/>
    <s v="39604852001009"/>
    <n v="-57.35"/>
    <n v="1409"/>
    <n v="1"/>
    <n v="1"/>
  </r>
  <r>
    <m/>
    <m/>
    <x v="1"/>
    <s v="39766526001003"/>
    <n v="-65.53"/>
    <n v="1610"/>
    <n v="1"/>
    <n v="1"/>
  </r>
  <r>
    <m/>
    <m/>
    <x v="1"/>
    <s v="39773816001001"/>
    <n v="-75.209999999999994"/>
    <n v="1848"/>
    <n v="1"/>
    <n v="1"/>
  </r>
  <r>
    <m/>
    <m/>
    <x v="1"/>
    <s v="39810811001003"/>
    <n v="-39.15"/>
    <n v="962"/>
    <n v="1"/>
    <n v="1"/>
  </r>
  <r>
    <m/>
    <m/>
    <x v="1"/>
    <s v="39837826001005"/>
    <n v="-15.91"/>
    <n v="391"/>
    <n v="1"/>
    <n v="1"/>
  </r>
  <r>
    <m/>
    <m/>
    <x v="1"/>
    <s v="39857500001003"/>
    <n v="-40.369999999999997"/>
    <n v="992"/>
    <n v="1"/>
    <n v="1"/>
  </r>
  <r>
    <m/>
    <m/>
    <x v="1"/>
    <s v="39879831002001"/>
    <n v="-38.22"/>
    <n v="939"/>
    <n v="1"/>
    <n v="1"/>
  </r>
  <r>
    <m/>
    <m/>
    <x v="1"/>
    <s v="39896845001003"/>
    <n v="-30.44"/>
    <n v="748"/>
    <n v="1"/>
    <n v="1"/>
  </r>
  <r>
    <m/>
    <m/>
    <x v="1"/>
    <s v="39956943001001"/>
    <n v="-20.63"/>
    <n v="507"/>
    <n v="1"/>
    <n v="1"/>
  </r>
  <r>
    <m/>
    <m/>
    <x v="1"/>
    <s v="40009788001007"/>
    <n v="-33.94"/>
    <n v="834"/>
    <n v="1"/>
    <n v="1"/>
  </r>
  <r>
    <m/>
    <m/>
    <x v="1"/>
    <s v="40055909001004"/>
    <n v="-47.94"/>
    <n v="1178"/>
    <n v="1"/>
    <n v="1"/>
  </r>
  <r>
    <m/>
    <m/>
    <x v="1"/>
    <s v="40077250001001"/>
    <n v="-39.15"/>
    <n v="962"/>
    <n v="1"/>
    <n v="1"/>
  </r>
  <r>
    <m/>
    <m/>
    <x v="1"/>
    <s v="40089329001001"/>
    <n v="-18.190000000000001"/>
    <n v="447"/>
    <n v="1"/>
    <n v="1"/>
  </r>
  <r>
    <m/>
    <m/>
    <x v="1"/>
    <s v="40354936001001"/>
    <n v="-40.86"/>
    <n v="1004"/>
    <n v="1"/>
    <n v="1"/>
  </r>
  <r>
    <m/>
    <m/>
    <x v="1"/>
    <s v="40485294001001"/>
    <n v="-46.89"/>
    <n v="1152"/>
    <n v="1"/>
    <n v="1"/>
  </r>
  <r>
    <m/>
    <m/>
    <x v="1"/>
    <s v="40507964001001"/>
    <n v="-41.43"/>
    <n v="1018"/>
    <n v="1"/>
    <n v="1"/>
  </r>
  <r>
    <m/>
    <m/>
    <x v="1"/>
    <s v="40551150001001"/>
    <n v="-37.119999999999997"/>
    <n v="912"/>
    <n v="1"/>
    <n v="1"/>
  </r>
  <r>
    <m/>
    <m/>
    <x v="1"/>
    <s v="40647033004003"/>
    <n v="-85.88"/>
    <n v="2110"/>
    <n v="1"/>
    <n v="1"/>
  </r>
  <r>
    <m/>
    <m/>
    <x v="1"/>
    <s v="40647134001006"/>
    <n v="-46.81"/>
    <n v="1150"/>
    <n v="1"/>
    <n v="1"/>
  </r>
  <r>
    <m/>
    <m/>
    <x v="1"/>
    <s v="40680887001001"/>
    <n v="-108.75"/>
    <n v="2672"/>
    <n v="1"/>
    <n v="1"/>
  </r>
  <r>
    <m/>
    <m/>
    <x v="1"/>
    <s v="40766679002007"/>
    <n v="-42.08"/>
    <n v="1034"/>
    <n v="1"/>
    <n v="1"/>
  </r>
  <r>
    <m/>
    <m/>
    <x v="1"/>
    <s v="40775591001001"/>
    <n v="-87.1"/>
    <n v="2140"/>
    <n v="1"/>
    <n v="1"/>
  </r>
  <r>
    <m/>
    <m/>
    <x v="1"/>
    <s v="40811850001001"/>
    <n v="-13.68"/>
    <n v="336"/>
    <n v="1"/>
    <n v="1"/>
  </r>
  <r>
    <m/>
    <m/>
    <x v="1"/>
    <s v="40832381001001"/>
    <n v="-27.15"/>
    <n v="667"/>
    <n v="1"/>
    <n v="1"/>
  </r>
  <r>
    <m/>
    <m/>
    <x v="1"/>
    <s v="40849252002003"/>
    <n v="-99.88"/>
    <n v="2454"/>
    <n v="1"/>
    <n v="1"/>
  </r>
  <r>
    <m/>
    <m/>
    <x v="1"/>
    <s v="41057260001001"/>
    <n v="-86.49"/>
    <n v="2125"/>
    <n v="1"/>
    <n v="1"/>
  </r>
  <r>
    <m/>
    <m/>
    <x v="1"/>
    <s v="41130002001001"/>
    <n v="-77.09"/>
    <n v="1894"/>
    <n v="1"/>
    <n v="1"/>
  </r>
  <r>
    <m/>
    <m/>
    <x v="1"/>
    <s v="41179299003006"/>
    <n v="-49.33"/>
    <n v="1212"/>
    <n v="1"/>
    <n v="1"/>
  </r>
  <r>
    <m/>
    <m/>
    <x v="1"/>
    <s v="41205948001001"/>
    <n v="-89.99"/>
    <n v="2211"/>
    <n v="1"/>
    <n v="1"/>
  </r>
  <r>
    <m/>
    <m/>
    <x v="1"/>
    <s v="41221819001001"/>
    <n v="-11.56"/>
    <n v="284"/>
    <n v="1"/>
    <n v="1"/>
  </r>
  <r>
    <m/>
    <m/>
    <x v="1"/>
    <s v="41343811001004"/>
    <n v="-39.07"/>
    <n v="960"/>
    <n v="1"/>
    <n v="1"/>
  </r>
  <r>
    <m/>
    <m/>
    <x v="1"/>
    <s v="41401860001002"/>
    <n v="-30.44"/>
    <n v="748"/>
    <n v="1"/>
    <n v="1"/>
  </r>
  <r>
    <m/>
    <m/>
    <x v="1"/>
    <s v="41410810001002"/>
    <n v="-77.33"/>
    <n v="1900"/>
    <n v="1"/>
    <n v="1"/>
  </r>
  <r>
    <m/>
    <m/>
    <x v="1"/>
    <s v="41445973001001"/>
    <n v="-28.61"/>
    <n v="703"/>
    <n v="1"/>
    <n v="1"/>
  </r>
  <r>
    <m/>
    <m/>
    <x v="1"/>
    <s v="41456955003007"/>
    <n v="-84"/>
    <n v="2064"/>
    <n v="1"/>
    <n v="1"/>
  </r>
  <r>
    <m/>
    <m/>
    <x v="1"/>
    <s v="41508622002001"/>
    <n v="-42.49"/>
    <n v="1044"/>
    <n v="1"/>
    <n v="1"/>
  </r>
  <r>
    <m/>
    <m/>
    <x v="1"/>
    <s v="41611615001003"/>
    <n v="-6.06"/>
    <n v="149"/>
    <n v="1"/>
    <n v="1"/>
  </r>
  <r>
    <m/>
    <m/>
    <x v="1"/>
    <s v="41643514001001"/>
    <n v="-89.42"/>
    <n v="2197"/>
    <n v="1"/>
    <n v="1"/>
  </r>
  <r>
    <m/>
    <m/>
    <x v="1"/>
    <s v="41660309001001"/>
    <n v="-59.34"/>
    <n v="1458"/>
    <n v="1"/>
    <n v="1"/>
  </r>
  <r>
    <m/>
    <m/>
    <x v="1"/>
    <s v="41731451001005"/>
    <n v="-5.37"/>
    <n v="132"/>
    <n v="1"/>
    <n v="1"/>
  </r>
  <r>
    <m/>
    <m/>
    <x v="1"/>
    <s v="41791652002003"/>
    <n v="-26.5"/>
    <n v="651"/>
    <n v="1"/>
    <n v="1"/>
  </r>
  <r>
    <m/>
    <m/>
    <x v="1"/>
    <s v="41837630002003"/>
    <n v="-66.22"/>
    <n v="1627"/>
    <n v="1"/>
    <n v="1"/>
  </r>
  <r>
    <m/>
    <m/>
    <x v="1"/>
    <s v="41878216001003"/>
    <n v="-61.62"/>
    <n v="1514"/>
    <n v="1"/>
    <n v="1"/>
  </r>
  <r>
    <m/>
    <m/>
    <x v="1"/>
    <s v="41980548001001"/>
    <n v="-87.38"/>
    <n v="2147"/>
    <n v="1"/>
    <n v="1"/>
  </r>
  <r>
    <m/>
    <m/>
    <x v="1"/>
    <s v="42025371002002"/>
    <n v="-28.53"/>
    <n v="701"/>
    <n v="1"/>
    <n v="1"/>
  </r>
  <r>
    <m/>
    <m/>
    <x v="1"/>
    <s v="42100131001001"/>
    <n v="-81.36"/>
    <n v="1999"/>
    <n v="1"/>
    <n v="1"/>
  </r>
  <r>
    <m/>
    <m/>
    <x v="1"/>
    <s v="42149831001001"/>
    <n v="-47.86"/>
    <n v="1176"/>
    <n v="1"/>
    <n v="1"/>
  </r>
  <r>
    <m/>
    <m/>
    <x v="1"/>
    <s v="42343001003003"/>
    <n v="-37.08"/>
    <n v="911"/>
    <n v="1"/>
    <n v="1"/>
  </r>
  <r>
    <m/>
    <m/>
    <x v="1"/>
    <s v="42367522001001"/>
    <n v="-46.6"/>
    <n v="1145"/>
    <n v="1"/>
    <n v="1"/>
  </r>
  <r>
    <m/>
    <m/>
    <x v="1"/>
    <s v="42433691001006"/>
    <n v="-42.29"/>
    <n v="1039"/>
    <n v="1"/>
    <n v="1"/>
  </r>
  <r>
    <m/>
    <m/>
    <x v="1"/>
    <s v="42442381001001"/>
    <n v="-73.95"/>
    <n v="1817"/>
    <n v="1"/>
    <n v="1"/>
  </r>
  <r>
    <m/>
    <m/>
    <x v="1"/>
    <s v="42472781003002"/>
    <n v="-22.79"/>
    <n v="560"/>
    <n v="1"/>
    <n v="1"/>
  </r>
  <r>
    <m/>
    <m/>
    <x v="1"/>
    <s v="42488881004001"/>
    <n v="-7.37"/>
    <n v="181"/>
    <n v="1"/>
    <n v="1"/>
  </r>
  <r>
    <m/>
    <m/>
    <x v="1"/>
    <s v="42498331001004"/>
    <n v="-28.49"/>
    <n v="700"/>
    <n v="1"/>
    <n v="1"/>
  </r>
  <r>
    <m/>
    <m/>
    <x v="1"/>
    <s v="42500151001003"/>
    <n v="-65.239999999999995"/>
    <n v="1603"/>
    <n v="1"/>
    <n v="1"/>
  </r>
  <r>
    <m/>
    <m/>
    <x v="1"/>
    <s v="42515551001011"/>
    <n v="-23.16"/>
    <n v="569"/>
    <n v="1"/>
    <n v="1"/>
  </r>
  <r>
    <m/>
    <m/>
    <x v="1"/>
    <s v="42517161002001"/>
    <n v="-34.229999999999997"/>
    <n v="841"/>
    <n v="1"/>
    <n v="1"/>
  </r>
  <r>
    <m/>
    <m/>
    <x v="1"/>
    <s v="42531581001002"/>
    <n v="-45.26"/>
    <n v="1112"/>
    <n v="1"/>
    <n v="1"/>
  </r>
  <r>
    <m/>
    <m/>
    <x v="1"/>
    <s v="42537321002001"/>
    <n v="-18.760000000000002"/>
    <n v="461"/>
    <n v="1"/>
    <n v="1"/>
  </r>
  <r>
    <m/>
    <m/>
    <x v="1"/>
    <s v="42559441005001"/>
    <n v="-87.1"/>
    <n v="2140"/>
    <n v="1"/>
    <n v="1"/>
  </r>
  <r>
    <m/>
    <m/>
    <x v="1"/>
    <s v="42561606001009"/>
    <n v="-49.53"/>
    <n v="1217"/>
    <n v="1"/>
    <n v="1"/>
  </r>
  <r>
    <m/>
    <m/>
    <x v="1"/>
    <s v="42572601003003"/>
    <n v="-8.75"/>
    <n v="215"/>
    <n v="1"/>
    <n v="1"/>
  </r>
  <r>
    <m/>
    <m/>
    <x v="1"/>
    <s v="42577991002002"/>
    <n v="-80.55"/>
    <n v="1979"/>
    <n v="1"/>
    <n v="1"/>
  </r>
  <r>
    <m/>
    <m/>
    <x v="1"/>
    <s v="42600391001002"/>
    <n v="-9.48"/>
    <n v="233"/>
    <n v="1"/>
    <n v="1"/>
  </r>
  <r>
    <m/>
    <m/>
    <x v="1"/>
    <s v="42604451021001"/>
    <n v="-62.35"/>
    <n v="1532"/>
    <n v="1"/>
    <n v="1"/>
  </r>
  <r>
    <m/>
    <m/>
    <x v="1"/>
    <s v="42639241005001"/>
    <n v="-32.11"/>
    <n v="789"/>
    <n v="1"/>
    <n v="1"/>
  </r>
  <r>
    <m/>
    <m/>
    <x v="1"/>
    <s v="42640711003001"/>
    <n v="-49.57"/>
    <n v="1218"/>
    <n v="1"/>
    <n v="1"/>
  </r>
  <r>
    <m/>
    <m/>
    <x v="1"/>
    <s v="42642741002001"/>
    <n v="-24.54"/>
    <n v="603"/>
    <n v="1"/>
    <n v="1"/>
  </r>
  <r>
    <m/>
    <m/>
    <x v="1"/>
    <s v="42642951010001"/>
    <n v="-26.46"/>
    <n v="650"/>
    <n v="1"/>
    <n v="1"/>
  </r>
  <r>
    <m/>
    <m/>
    <x v="1"/>
    <s v="42675015004001"/>
    <n v="-63.21"/>
    <n v="1553"/>
    <n v="1"/>
    <n v="1"/>
  </r>
  <r>
    <m/>
    <m/>
    <x v="1"/>
    <s v="42679491001001"/>
    <n v="-47.05"/>
    <n v="1156"/>
    <n v="1"/>
    <n v="1"/>
  </r>
  <r>
    <m/>
    <m/>
    <x v="1"/>
    <s v="42686841002004"/>
    <n v="-19.25"/>
    <n v="473"/>
    <n v="1"/>
    <n v="1"/>
  </r>
  <r>
    <m/>
    <m/>
    <x v="1"/>
    <s v="42689921004001"/>
    <n v="-61.42"/>
    <n v="1509"/>
    <n v="1"/>
    <n v="1"/>
  </r>
  <r>
    <m/>
    <m/>
    <x v="1"/>
    <s v="42701961001004"/>
    <n v="-20.68"/>
    <n v="508"/>
    <n v="1"/>
    <n v="1"/>
  </r>
  <r>
    <m/>
    <m/>
    <x v="1"/>
    <s v="42718551001001"/>
    <n v="-31.66"/>
    <n v="778"/>
    <n v="1"/>
    <n v="1"/>
  </r>
  <r>
    <m/>
    <m/>
    <x v="1"/>
    <s v="42723241001001"/>
    <n v="-48.27"/>
    <n v="1186"/>
    <n v="1"/>
    <n v="1"/>
  </r>
  <r>
    <m/>
    <m/>
    <x v="1"/>
    <s v="42734931001007"/>
    <n v="-39.799999999999997"/>
    <n v="978"/>
    <n v="1"/>
    <n v="1"/>
  </r>
  <r>
    <m/>
    <m/>
    <x v="1"/>
    <s v="42737381006001"/>
    <n v="-61.78"/>
    <n v="1518"/>
    <n v="1"/>
    <n v="1"/>
  </r>
  <r>
    <m/>
    <m/>
    <x v="1"/>
    <s v="42775461005001"/>
    <n v="-64.14"/>
    <n v="1576"/>
    <n v="1"/>
    <n v="1"/>
  </r>
  <r>
    <m/>
    <m/>
    <x v="1"/>
    <s v="42802481004001"/>
    <n v="-81.16"/>
    <n v="1994"/>
    <n v="1"/>
    <n v="1"/>
  </r>
  <r>
    <m/>
    <m/>
    <x v="1"/>
    <s v="42875841001008"/>
    <n v="-1.18"/>
    <n v="29"/>
    <n v="1"/>
    <n v="1"/>
  </r>
  <r>
    <m/>
    <m/>
    <x v="1"/>
    <s v="42889211005001"/>
    <n v="-115.87"/>
    <n v="2847"/>
    <n v="1"/>
    <n v="1"/>
  </r>
  <r>
    <m/>
    <m/>
    <x v="1"/>
    <s v="42896771001009"/>
    <n v="-78.47"/>
    <n v="1928"/>
    <n v="1"/>
    <n v="1"/>
  </r>
  <r>
    <m/>
    <m/>
    <x v="1"/>
    <s v="42901041001001"/>
    <n v="-23.44"/>
    <n v="576"/>
    <n v="1"/>
    <n v="1"/>
  </r>
  <r>
    <m/>
    <m/>
    <x v="1"/>
    <s v="42972931001004"/>
    <n v="-52.67"/>
    <n v="1294"/>
    <n v="1"/>
    <n v="1"/>
  </r>
  <r>
    <m/>
    <m/>
    <x v="1"/>
    <s v="42997221001001"/>
    <n v="-18.27"/>
    <n v="449"/>
    <n v="1"/>
    <n v="1"/>
  </r>
  <r>
    <m/>
    <m/>
    <x v="1"/>
    <s v="43023681011001"/>
    <n v="-15.67"/>
    <n v="385"/>
    <n v="1"/>
    <n v="1"/>
  </r>
  <r>
    <m/>
    <m/>
    <x v="1"/>
    <s v="43060291001001"/>
    <n v="-38.909999999999997"/>
    <n v="956"/>
    <n v="1"/>
    <n v="1"/>
  </r>
  <r>
    <m/>
    <m/>
    <x v="1"/>
    <s v="43122241004003"/>
    <n v="-104.6"/>
    <n v="2570"/>
    <n v="1"/>
    <n v="1"/>
  </r>
  <r>
    <m/>
    <m/>
    <x v="1"/>
    <s v="43139951001001"/>
    <n v="-9.85"/>
    <n v="242"/>
    <n v="1"/>
    <n v="1"/>
  </r>
  <r>
    <m/>
    <m/>
    <x v="1"/>
    <s v="43172221002008"/>
    <n v="-136.38999999999999"/>
    <n v="3351"/>
    <n v="1"/>
    <n v="1"/>
  </r>
  <r>
    <m/>
    <m/>
    <x v="1"/>
    <s v="43172690004001"/>
    <n v="-51.32"/>
    <n v="1261"/>
    <n v="1"/>
    <n v="1"/>
  </r>
  <r>
    <m/>
    <m/>
    <x v="1"/>
    <s v="43209041003003"/>
    <n v="-14.81"/>
    <n v="364"/>
    <n v="1"/>
    <n v="1"/>
  </r>
  <r>
    <m/>
    <m/>
    <x v="1"/>
    <s v="43223951001010"/>
    <n v="-31.01"/>
    <n v="762"/>
    <n v="1"/>
    <n v="1"/>
  </r>
  <r>
    <m/>
    <m/>
    <x v="1"/>
    <s v="43240331001004"/>
    <n v="-56.04"/>
    <n v="1377"/>
    <n v="1"/>
    <n v="1"/>
  </r>
  <r>
    <m/>
    <m/>
    <x v="1"/>
    <s v="43240401001003"/>
    <n v="-67.52"/>
    <n v="1659"/>
    <n v="1"/>
    <n v="1"/>
  </r>
  <r>
    <m/>
    <m/>
    <x v="1"/>
    <s v="43243411001002"/>
    <n v="-45.99"/>
    <n v="1130"/>
    <n v="1"/>
    <n v="1"/>
  </r>
  <r>
    <m/>
    <m/>
    <x v="1"/>
    <s v="43248661002001"/>
    <n v="-68.38"/>
    <n v="1680"/>
    <n v="1"/>
    <n v="1"/>
  </r>
  <r>
    <m/>
    <m/>
    <x v="1"/>
    <s v="43251181001001"/>
    <n v="-28.82"/>
    <n v="708"/>
    <n v="1"/>
    <n v="1"/>
  </r>
  <r>
    <m/>
    <m/>
    <x v="1"/>
    <s v="43254121001004"/>
    <n v="-47.21"/>
    <n v="1160"/>
    <n v="1"/>
    <n v="1"/>
  </r>
  <r>
    <m/>
    <m/>
    <x v="1"/>
    <s v="43261541001001"/>
    <n v="-40.130000000000003"/>
    <n v="986"/>
    <n v="1"/>
    <n v="1"/>
  </r>
  <r>
    <m/>
    <m/>
    <x v="1"/>
    <s v="43268821001001"/>
    <n v="-73.989999999999995"/>
    <n v="1818"/>
    <n v="1"/>
    <n v="1"/>
  </r>
  <r>
    <m/>
    <m/>
    <x v="1"/>
    <s v="43273931004001"/>
    <n v="-48.72"/>
    <n v="1197"/>
    <n v="1"/>
    <n v="1"/>
  </r>
  <r>
    <m/>
    <m/>
    <x v="1"/>
    <s v="43285971001002"/>
    <n v="-3.83"/>
    <n v="94"/>
    <n v="1"/>
    <n v="1"/>
  </r>
  <r>
    <m/>
    <m/>
    <x v="1"/>
    <s v="43291781001001"/>
    <n v="-24.09"/>
    <n v="592"/>
    <n v="1"/>
    <n v="1"/>
  </r>
  <r>
    <m/>
    <m/>
    <x v="1"/>
    <s v="43296891001001"/>
    <n v="-109.36"/>
    <n v="2687"/>
    <n v="1"/>
    <n v="1"/>
  </r>
  <r>
    <m/>
    <m/>
    <x v="1"/>
    <s v="43330105002001"/>
    <n v="-165.93"/>
    <n v="4077"/>
    <n v="1"/>
    <n v="1"/>
  </r>
  <r>
    <m/>
    <m/>
    <x v="1"/>
    <s v="43424081002001"/>
    <n v="-9.32"/>
    <n v="229"/>
    <n v="1"/>
    <n v="1"/>
  </r>
  <r>
    <m/>
    <m/>
    <x v="1"/>
    <s v="43523521003001"/>
    <n v="-19.09"/>
    <n v="469"/>
    <n v="1"/>
    <n v="1"/>
  </r>
  <r>
    <m/>
    <m/>
    <x v="1"/>
    <s v="43575421002001"/>
    <n v="-91.29"/>
    <n v="2243"/>
    <n v="1"/>
    <n v="1"/>
  </r>
  <r>
    <m/>
    <m/>
    <x v="1"/>
    <s v="43586411001002"/>
    <n v="-8.91"/>
    <n v="219"/>
    <n v="1"/>
    <n v="1"/>
  </r>
  <r>
    <m/>
    <m/>
    <x v="1"/>
    <s v="43606427009001"/>
    <n v="-46.52"/>
    <n v="1143"/>
    <n v="1"/>
    <n v="1"/>
  </r>
  <r>
    <m/>
    <m/>
    <x v="1"/>
    <s v="43675311001004"/>
    <n v="-2.65"/>
    <n v="65"/>
    <n v="1"/>
    <n v="1"/>
  </r>
  <r>
    <m/>
    <m/>
    <x v="1"/>
    <s v="43675731002001"/>
    <n v="-53.28"/>
    <n v="1309"/>
    <n v="1"/>
    <n v="1"/>
  </r>
  <r>
    <m/>
    <m/>
    <x v="1"/>
    <s v="43685671001004"/>
    <n v="-10.3"/>
    <n v="253"/>
    <n v="1"/>
    <n v="1"/>
  </r>
  <r>
    <m/>
    <m/>
    <x v="1"/>
    <s v="43686721001006"/>
    <n v="-19.54"/>
    <n v="480"/>
    <n v="1"/>
    <n v="1"/>
  </r>
  <r>
    <m/>
    <m/>
    <x v="1"/>
    <s v="43735940002001"/>
    <n v="-52.1"/>
    <n v="1280"/>
    <n v="1"/>
    <n v="1"/>
  </r>
  <r>
    <m/>
    <m/>
    <x v="1"/>
    <s v="43761831007001"/>
    <n v="-159.34"/>
    <n v="3915"/>
    <n v="1"/>
    <n v="1"/>
  </r>
  <r>
    <m/>
    <m/>
    <x v="1"/>
    <s v="43822311002001"/>
    <n v="-4.92"/>
    <n v="121"/>
    <n v="1"/>
    <n v="1"/>
  </r>
  <r>
    <m/>
    <m/>
    <x v="1"/>
    <s v="43865752001004"/>
    <n v="-31.26"/>
    <n v="768"/>
    <n v="1"/>
    <n v="1"/>
  </r>
  <r>
    <m/>
    <m/>
    <x v="1"/>
    <s v="43901831002001"/>
    <n v="-53.11"/>
    <n v="1305"/>
    <n v="1"/>
    <n v="1"/>
  </r>
  <r>
    <m/>
    <m/>
    <x v="1"/>
    <s v="43908201002002"/>
    <n v="-8.99"/>
    <n v="221"/>
    <n v="1"/>
    <n v="1"/>
  </r>
  <r>
    <m/>
    <m/>
    <x v="1"/>
    <s v="43924371003001"/>
    <n v="-28.73"/>
    <n v="706"/>
    <n v="1"/>
    <n v="1"/>
  </r>
  <r>
    <m/>
    <m/>
    <x v="1"/>
    <s v="43937246005001"/>
    <n v="-21.82"/>
    <n v="536"/>
    <n v="1"/>
    <n v="1"/>
  </r>
  <r>
    <m/>
    <m/>
    <x v="1"/>
    <s v="43953794001001"/>
    <n v="-52.18"/>
    <n v="1282"/>
    <n v="1"/>
    <n v="1"/>
  </r>
  <r>
    <m/>
    <m/>
    <x v="1"/>
    <s v="43991683002001"/>
    <n v="-64.47"/>
    <n v="1584"/>
    <n v="1"/>
    <n v="1"/>
  </r>
  <r>
    <m/>
    <m/>
    <x v="1"/>
    <s v="44027831001002"/>
    <n v="-42.61"/>
    <n v="1047"/>
    <n v="1"/>
    <n v="1"/>
  </r>
  <r>
    <m/>
    <m/>
    <x v="1"/>
    <s v="44172520001001"/>
    <n v="-90.6"/>
    <n v="2226"/>
    <n v="1"/>
    <n v="1"/>
  </r>
  <r>
    <m/>
    <m/>
    <x v="1"/>
    <s v="44213401001003"/>
    <n v="-54.13"/>
    <n v="1330"/>
    <n v="1"/>
    <n v="1"/>
  </r>
  <r>
    <m/>
    <m/>
    <x v="1"/>
    <s v="44261911001001"/>
    <n v="-39.56"/>
    <n v="972"/>
    <n v="1"/>
    <n v="1"/>
  </r>
  <r>
    <m/>
    <m/>
    <x v="1"/>
    <s v="44295021002002"/>
    <n v="-19.78"/>
    <n v="486"/>
    <n v="1"/>
    <n v="1"/>
  </r>
  <r>
    <m/>
    <m/>
    <x v="1"/>
    <s v="44301741001003"/>
    <n v="-87.51"/>
    <n v="2150"/>
    <n v="1"/>
    <n v="1"/>
  </r>
  <r>
    <m/>
    <m/>
    <x v="1"/>
    <s v="44313851003003"/>
    <n v="-44.69"/>
    <n v="1098"/>
    <n v="1"/>
    <n v="1"/>
  </r>
  <r>
    <m/>
    <m/>
    <x v="1"/>
    <s v="44346821001002"/>
    <n v="-77.37"/>
    <n v="1901"/>
    <n v="1"/>
    <n v="1"/>
  </r>
  <r>
    <m/>
    <m/>
    <x v="1"/>
    <s v="44347031002001"/>
    <n v="-48.03"/>
    <n v="1180"/>
    <n v="1"/>
    <n v="1"/>
  </r>
  <r>
    <m/>
    <m/>
    <x v="1"/>
    <s v="44365791001001"/>
    <n v="-2.81"/>
    <n v="69"/>
    <n v="1"/>
    <n v="1"/>
  </r>
  <r>
    <m/>
    <m/>
    <x v="1"/>
    <s v="44371461001006"/>
    <n v="-59.02"/>
    <n v="1450"/>
    <n v="1"/>
    <n v="1"/>
  </r>
  <r>
    <m/>
    <m/>
    <x v="1"/>
    <s v="44380071003001"/>
    <n v="-75.3"/>
    <n v="1850"/>
    <n v="1"/>
    <n v="1"/>
  </r>
  <r>
    <m/>
    <m/>
    <x v="1"/>
    <s v="44400231001002"/>
    <n v="-44.4"/>
    <n v="1091"/>
    <n v="1"/>
    <n v="1"/>
  </r>
  <r>
    <m/>
    <m/>
    <x v="1"/>
    <s v="44437541001001"/>
    <n v="-117.26"/>
    <n v="2881"/>
    <n v="1"/>
    <n v="1"/>
  </r>
  <r>
    <m/>
    <m/>
    <x v="1"/>
    <s v="44477199001001"/>
    <n v="-15.55"/>
    <n v="382"/>
    <n v="1"/>
    <n v="1"/>
  </r>
  <r>
    <m/>
    <m/>
    <x v="1"/>
    <s v="44504531002005"/>
    <n v="-86.49"/>
    <n v="2125"/>
    <n v="1"/>
    <n v="1"/>
  </r>
  <r>
    <m/>
    <m/>
    <x v="1"/>
    <s v="44510901001001"/>
    <n v="-58.65"/>
    <n v="1441"/>
    <n v="1"/>
    <n v="1"/>
  </r>
  <r>
    <m/>
    <m/>
    <x v="1"/>
    <s v="44512971001001"/>
    <n v="-36.43"/>
    <n v="895"/>
    <n v="1"/>
    <n v="1"/>
  </r>
  <r>
    <m/>
    <m/>
    <x v="1"/>
    <s v="44514712001002"/>
    <n v="-55.96"/>
    <n v="1375"/>
    <n v="1"/>
    <n v="1"/>
  </r>
  <r>
    <m/>
    <m/>
    <x v="1"/>
    <s v="44518951007001"/>
    <n v="-68.13"/>
    <n v="1674"/>
    <n v="1"/>
    <n v="1"/>
  </r>
  <r>
    <m/>
    <m/>
    <x v="1"/>
    <s v="44522381001001"/>
    <n v="-72.89"/>
    <n v="1791"/>
    <n v="1"/>
    <n v="1"/>
  </r>
  <r>
    <m/>
    <m/>
    <x v="1"/>
    <s v="44524901001003"/>
    <n v="-54.25"/>
    <n v="1333"/>
    <n v="1"/>
    <n v="1"/>
  </r>
  <r>
    <m/>
    <m/>
    <x v="1"/>
    <s v="44528121001001"/>
    <n v="-32.64"/>
    <n v="802"/>
    <n v="1"/>
    <n v="1"/>
  </r>
  <r>
    <m/>
    <m/>
    <x v="1"/>
    <s v="44533511002002"/>
    <n v="-59.38"/>
    <n v="1459"/>
    <n v="1"/>
    <n v="1"/>
  </r>
  <r>
    <m/>
    <m/>
    <x v="1"/>
    <s v="44545341001001"/>
    <n v="-41.68"/>
    <n v="1024"/>
    <n v="1"/>
    <n v="1"/>
  </r>
  <r>
    <m/>
    <m/>
    <x v="1"/>
    <s v="44560475001003"/>
    <n v="-108.1"/>
    <n v="2656"/>
    <n v="1"/>
    <n v="1"/>
  </r>
  <r>
    <m/>
    <m/>
    <x v="1"/>
    <s v="44562981001002"/>
    <n v="-78.75"/>
    <n v="1935"/>
    <n v="1"/>
    <n v="1"/>
  </r>
  <r>
    <m/>
    <m/>
    <x v="1"/>
    <s v="44563681004003"/>
    <n v="-107.57"/>
    <n v="2643"/>
    <n v="1"/>
    <n v="1"/>
  </r>
  <r>
    <m/>
    <m/>
    <x v="1"/>
    <s v="44568316003001"/>
    <n v="-79.239999999999995"/>
    <n v="1947"/>
    <n v="1"/>
    <n v="1"/>
  </r>
  <r>
    <m/>
    <m/>
    <x v="1"/>
    <s v="44570056001001"/>
    <n v="-8.3000000000000007"/>
    <n v="204"/>
    <n v="1"/>
    <n v="1"/>
  </r>
  <r>
    <m/>
    <m/>
    <x v="1"/>
    <s v="44572361001002"/>
    <n v="-60.07"/>
    <n v="1476"/>
    <n v="1"/>
    <n v="1"/>
  </r>
  <r>
    <m/>
    <m/>
    <x v="1"/>
    <s v="44577121001003"/>
    <n v="-65.569999999999993"/>
    <n v="1611"/>
    <n v="1"/>
    <n v="1"/>
  </r>
  <r>
    <m/>
    <m/>
    <x v="1"/>
    <s v="44577611002002"/>
    <n v="-34.39"/>
    <n v="845"/>
    <n v="1"/>
    <n v="1"/>
  </r>
  <r>
    <m/>
    <m/>
    <x v="1"/>
    <s v="44578101001008"/>
    <n v="-30.81"/>
    <n v="757"/>
    <n v="1"/>
    <n v="1"/>
  </r>
  <r>
    <m/>
    <m/>
    <x v="1"/>
    <s v="44580411001002"/>
    <n v="-54.78"/>
    <n v="1346"/>
    <n v="1"/>
    <n v="1"/>
  </r>
  <r>
    <m/>
    <m/>
    <x v="1"/>
    <s v="44596091002001"/>
    <n v="-19.5"/>
    <n v="479"/>
    <n v="1"/>
    <n v="1"/>
  </r>
  <r>
    <m/>
    <m/>
    <x v="1"/>
    <s v="44617161001001"/>
    <n v="-58.2"/>
    <n v="1430"/>
    <n v="1"/>
    <n v="1"/>
  </r>
  <r>
    <m/>
    <m/>
    <x v="1"/>
    <s v="44617721001003"/>
    <n v="-24.54"/>
    <n v="603"/>
    <n v="1"/>
    <n v="1"/>
  </r>
  <r>
    <m/>
    <m/>
    <x v="1"/>
    <s v="44620801001001"/>
    <n v="-0.81"/>
    <n v="20"/>
    <n v="1"/>
    <n v="1"/>
  </r>
  <r>
    <m/>
    <m/>
    <x v="1"/>
    <s v="44627031001005"/>
    <n v="-142.94"/>
    <n v="3512"/>
    <n v="1"/>
    <n v="1"/>
  </r>
  <r>
    <m/>
    <m/>
    <x v="1"/>
    <s v="44663409001001"/>
    <n v="-81.73"/>
    <n v="2008"/>
    <n v="1"/>
    <n v="1"/>
  </r>
  <r>
    <m/>
    <m/>
    <x v="1"/>
    <s v="44688771001005"/>
    <n v="-92.8"/>
    <n v="2280"/>
    <n v="1"/>
    <n v="1"/>
  </r>
  <r>
    <m/>
    <m/>
    <x v="1"/>
    <s v="44706621001001"/>
    <n v="-32.4"/>
    <n v="796"/>
    <n v="1"/>
    <n v="1"/>
  </r>
  <r>
    <m/>
    <m/>
    <x v="1"/>
    <s v="44710891001001"/>
    <n v="-58.08"/>
    <n v="1427"/>
    <n v="1"/>
    <n v="1"/>
  </r>
  <r>
    <m/>
    <m/>
    <x v="1"/>
    <s v="44717821001014"/>
    <n v="-8.14"/>
    <n v="200"/>
    <n v="1"/>
    <n v="1"/>
  </r>
  <r>
    <m/>
    <m/>
    <x v="1"/>
    <s v="44726291001003"/>
    <n v="-28.29"/>
    <n v="695"/>
    <n v="1"/>
    <n v="1"/>
  </r>
  <r>
    <m/>
    <m/>
    <x v="1"/>
    <s v="44732801001003"/>
    <n v="-29.51"/>
    <n v="725"/>
    <n v="1"/>
    <n v="1"/>
  </r>
  <r>
    <m/>
    <m/>
    <x v="1"/>
    <s v="44746871002001"/>
    <n v="-38.1"/>
    <n v="936"/>
    <n v="1"/>
    <n v="1"/>
  </r>
  <r>
    <m/>
    <m/>
    <x v="1"/>
    <s v="44749671001002"/>
    <n v="-91.25"/>
    <n v="2242"/>
    <n v="1"/>
    <n v="1"/>
  </r>
  <r>
    <m/>
    <m/>
    <x v="1"/>
    <s v="44753381001001"/>
    <n v="-40.01"/>
    <n v="983"/>
    <n v="1"/>
    <n v="1"/>
  </r>
  <r>
    <m/>
    <m/>
    <x v="1"/>
    <s v="44761361002003"/>
    <n v="-48.19"/>
    <n v="1184"/>
    <n v="1"/>
    <n v="1"/>
  </r>
  <r>
    <m/>
    <m/>
    <x v="1"/>
    <s v="44774521001002"/>
    <n v="-55.6"/>
    <n v="1366"/>
    <n v="1"/>
    <n v="1"/>
  </r>
  <r>
    <m/>
    <m/>
    <x v="1"/>
    <s v="44784461002001"/>
    <n v="-65.319999999999993"/>
    <n v="1605"/>
    <n v="1"/>
    <n v="1"/>
  </r>
  <r>
    <m/>
    <m/>
    <x v="1"/>
    <s v="44800981002004"/>
    <n v="-40.25"/>
    <n v="989"/>
    <n v="1"/>
    <n v="1"/>
  </r>
  <r>
    <m/>
    <m/>
    <x v="1"/>
    <s v="44808191002002"/>
    <n v="-77.53"/>
    <n v="1905"/>
    <n v="1"/>
    <n v="1"/>
  </r>
  <r>
    <m/>
    <m/>
    <x v="1"/>
    <s v="44813091001002"/>
    <n v="-52.26"/>
    <n v="1284"/>
    <n v="1"/>
    <n v="1"/>
  </r>
  <r>
    <m/>
    <m/>
    <x v="1"/>
    <s v="44817081001006"/>
    <n v="-82.54"/>
    <n v="2028"/>
    <n v="1"/>
    <n v="1"/>
  </r>
  <r>
    <m/>
    <m/>
    <x v="1"/>
    <s v="44846761001001"/>
    <n v="-139.72"/>
    <n v="3433"/>
    <n v="1"/>
    <n v="1"/>
  </r>
  <r>
    <m/>
    <m/>
    <x v="1"/>
    <s v="44863491001001"/>
    <n v="-69.39"/>
    <n v="1705"/>
    <n v="1"/>
    <n v="1"/>
  </r>
  <r>
    <m/>
    <m/>
    <x v="1"/>
    <s v="44876721001002"/>
    <n v="-109.28"/>
    <n v="2685"/>
    <n v="1"/>
    <n v="1"/>
  </r>
  <r>
    <m/>
    <m/>
    <x v="1"/>
    <s v="44879801001001"/>
    <n v="-6.88"/>
    <n v="169"/>
    <n v="1"/>
    <n v="1"/>
  </r>
  <r>
    <m/>
    <m/>
    <x v="1"/>
    <s v="44881201001001"/>
    <n v="-40.25"/>
    <n v="989"/>
    <n v="1"/>
    <n v="1"/>
  </r>
  <r>
    <m/>
    <m/>
    <x v="1"/>
    <s v="44881271001004"/>
    <n v="-103.22"/>
    <n v="2536"/>
    <n v="1"/>
    <n v="1"/>
  </r>
  <r>
    <m/>
    <m/>
    <x v="1"/>
    <s v="44893661001002"/>
    <n v="-13.23"/>
    <n v="325"/>
    <n v="1"/>
    <n v="1"/>
  </r>
  <r>
    <m/>
    <m/>
    <x v="1"/>
    <s v="44896251001001"/>
    <n v="-48.31"/>
    <n v="1187"/>
    <n v="1"/>
    <n v="1"/>
  </r>
  <r>
    <m/>
    <m/>
    <x v="1"/>
    <s v="44898351001001"/>
    <n v="-103.22"/>
    <n v="2536"/>
    <n v="1"/>
    <n v="1"/>
  </r>
  <r>
    <m/>
    <m/>
    <x v="1"/>
    <s v="44954561001001"/>
    <n v="-65.16"/>
    <n v="1601"/>
    <n v="1"/>
    <n v="1"/>
  </r>
  <r>
    <m/>
    <m/>
    <x v="1"/>
    <s v="44956311001001"/>
    <n v="-45.87"/>
    <n v="1127"/>
    <n v="1"/>
    <n v="1"/>
  </r>
  <r>
    <m/>
    <m/>
    <x v="1"/>
    <s v="44956731001001"/>
    <n v="-76.84"/>
    <n v="1888"/>
    <n v="1"/>
    <n v="1"/>
  </r>
  <r>
    <m/>
    <m/>
    <x v="1"/>
    <s v="44962961004001"/>
    <n v="-32.28"/>
    <n v="793"/>
    <n v="1"/>
    <n v="1"/>
  </r>
  <r>
    <m/>
    <m/>
    <x v="1"/>
    <s v="44964291001001"/>
    <n v="-24.83"/>
    <n v="610"/>
    <n v="1"/>
    <n v="1"/>
  </r>
  <r>
    <m/>
    <m/>
    <x v="1"/>
    <s v="44967161001001"/>
    <n v="-101.59"/>
    <n v="2496"/>
    <n v="1"/>
    <n v="1"/>
  </r>
  <r>
    <m/>
    <m/>
    <x v="1"/>
    <s v="44972551004001"/>
    <n v="-50.71"/>
    <n v="1246"/>
    <n v="1"/>
    <n v="1"/>
  </r>
  <r>
    <m/>
    <m/>
    <x v="1"/>
    <s v="44988441001013"/>
    <n v="-57.92"/>
    <n v="1423"/>
    <n v="1"/>
    <n v="1"/>
  </r>
  <r>
    <m/>
    <m/>
    <x v="1"/>
    <s v="44990541001001"/>
    <n v="-12.82"/>
    <n v="315"/>
    <n v="1"/>
    <n v="1"/>
  </r>
  <r>
    <m/>
    <m/>
    <x v="1"/>
    <s v="44995231002001"/>
    <n v="-41.47"/>
    <n v="1019"/>
    <n v="1"/>
    <n v="1"/>
  </r>
  <r>
    <m/>
    <m/>
    <x v="1"/>
    <s v="45016581002001"/>
    <n v="-37.4"/>
    <n v="919"/>
    <n v="1"/>
    <n v="1"/>
  </r>
  <r>
    <m/>
    <m/>
    <x v="1"/>
    <s v="45022531002001"/>
    <n v="-31.62"/>
    <n v="777"/>
    <n v="1"/>
    <n v="1"/>
  </r>
  <r>
    <m/>
    <m/>
    <x v="1"/>
    <s v="45022671002001"/>
    <n v="-9.16"/>
    <n v="225"/>
    <n v="1"/>
    <n v="1"/>
  </r>
  <r>
    <m/>
    <m/>
    <x v="1"/>
    <s v="45023091001001"/>
    <n v="-0.9"/>
    <n v="22"/>
    <n v="1"/>
    <n v="1"/>
  </r>
  <r>
    <m/>
    <m/>
    <x v="1"/>
    <s v="45024346002005"/>
    <n v="-81.599999999999994"/>
    <n v="2005"/>
    <n v="1"/>
    <n v="1"/>
  </r>
  <r>
    <m/>
    <m/>
    <x v="1"/>
    <s v="45028411001001"/>
    <n v="-22.87"/>
    <n v="562"/>
    <n v="1"/>
    <n v="1"/>
  </r>
  <r>
    <m/>
    <m/>
    <x v="1"/>
    <s v="45029951001001"/>
    <n v="-0.61"/>
    <n v="15"/>
    <n v="1"/>
    <n v="1"/>
  </r>
  <r>
    <m/>
    <m/>
    <x v="1"/>
    <s v="45045911001001"/>
    <n v="-41.19"/>
    <n v="1012"/>
    <n v="1"/>
    <n v="1"/>
  </r>
  <r>
    <m/>
    <m/>
    <x v="1"/>
    <s v="45046471001001"/>
    <n v="-0.2"/>
    <n v="5"/>
    <n v="1"/>
    <n v="1"/>
  </r>
  <r>
    <m/>
    <m/>
    <x v="1"/>
    <s v="45051931001001"/>
    <n v="-15.51"/>
    <n v="381"/>
    <n v="1"/>
    <n v="1"/>
  </r>
  <r>
    <m/>
    <m/>
    <x v="1"/>
    <s v="45054593001001"/>
    <n v="-122.95"/>
    <n v="3021"/>
    <n v="1"/>
    <n v="1"/>
  </r>
  <r>
    <m/>
    <m/>
    <x v="1"/>
    <s v="45057461003001"/>
    <n v="-19.98"/>
    <n v="491"/>
    <n v="1"/>
    <n v="1"/>
  </r>
  <r>
    <m/>
    <m/>
    <x v="1"/>
    <s v="45058426001005"/>
    <n v="-48.03"/>
    <n v="1180"/>
    <n v="1"/>
    <n v="1"/>
  </r>
  <r>
    <m/>
    <m/>
    <x v="1"/>
    <s v="45064461001001"/>
    <n v="-48.27"/>
    <n v="1186"/>
    <n v="1"/>
    <n v="1"/>
  </r>
  <r>
    <m/>
    <m/>
    <x v="1"/>
    <s v="45064881001001"/>
    <n v="-100.2"/>
    <n v="2462"/>
    <n v="1"/>
    <n v="1"/>
  </r>
  <r>
    <m/>
    <m/>
    <x v="1"/>
    <s v="45068661003001"/>
    <n v="-35.65"/>
    <n v="876"/>
    <n v="1"/>
    <n v="1"/>
  </r>
  <r>
    <m/>
    <m/>
    <x v="1"/>
    <s v="45072791003019"/>
    <n v="-72.08"/>
    <n v="1771"/>
    <n v="1"/>
    <n v="1"/>
  </r>
  <r>
    <m/>
    <m/>
    <x v="1"/>
    <s v="45076781001003"/>
    <n v="-47.37"/>
    <n v="1164"/>
    <n v="1"/>
    <n v="1"/>
  </r>
  <r>
    <m/>
    <m/>
    <x v="1"/>
    <s v="45077271001001"/>
    <n v="-7.98"/>
    <n v="196"/>
    <n v="1"/>
    <n v="1"/>
  </r>
  <r>
    <m/>
    <m/>
    <x v="1"/>
    <s v="45095930001001"/>
    <n v="-20.92"/>
    <n v="514"/>
    <n v="1"/>
    <n v="1"/>
  </r>
  <r>
    <m/>
    <m/>
    <x v="1"/>
    <s v="45099251001001"/>
    <n v="-75.540000000000006"/>
    <n v="1856"/>
    <n v="1"/>
    <n v="1"/>
  </r>
  <r>
    <m/>
    <m/>
    <x v="1"/>
    <s v="45100292001003"/>
    <n v="-11.97"/>
    <n v="294"/>
    <n v="1"/>
    <n v="1"/>
  </r>
  <r>
    <m/>
    <m/>
    <x v="1"/>
    <s v="45101911002002"/>
    <n v="-59.06"/>
    <n v="1451"/>
    <n v="1"/>
    <n v="1"/>
  </r>
  <r>
    <m/>
    <m/>
    <x v="1"/>
    <s v="45114021001001"/>
    <n v="-70.290000000000006"/>
    <n v="1727"/>
    <n v="1"/>
    <n v="1"/>
  </r>
  <r>
    <m/>
    <m/>
    <x v="1"/>
    <s v="45128931001001"/>
    <n v="-28.29"/>
    <n v="695"/>
    <n v="1"/>
    <n v="1"/>
  </r>
  <r>
    <m/>
    <m/>
    <x v="1"/>
    <s v="45131871004001"/>
    <n v="-77.900000000000006"/>
    <n v="1914"/>
    <n v="1"/>
    <n v="1"/>
  </r>
  <r>
    <m/>
    <m/>
    <x v="1"/>
    <s v="45137261001001"/>
    <n v="-90.76"/>
    <n v="2230"/>
    <n v="1"/>
    <n v="1"/>
  </r>
  <r>
    <m/>
    <m/>
    <x v="1"/>
    <s v="45146501001004"/>
    <n v="-90.72"/>
    <n v="2229"/>
    <n v="1"/>
    <n v="1"/>
  </r>
  <r>
    <m/>
    <m/>
    <x v="1"/>
    <s v="45146571017003"/>
    <n v="-65.53"/>
    <n v="1610"/>
    <n v="1"/>
    <n v="1"/>
  </r>
  <r>
    <m/>
    <m/>
    <x v="1"/>
    <s v="45153011001003"/>
    <n v="-56.82"/>
    <n v="1396"/>
    <n v="1"/>
    <n v="1"/>
  </r>
  <r>
    <m/>
    <m/>
    <x v="1"/>
    <s v="45156161001001"/>
    <n v="-39.479999999999997"/>
    <n v="970"/>
    <n v="1"/>
    <n v="1"/>
  </r>
  <r>
    <m/>
    <m/>
    <x v="1"/>
    <s v="45160921001001"/>
    <n v="-49.21"/>
    <n v="1209"/>
    <n v="1"/>
    <n v="1"/>
  </r>
  <r>
    <m/>
    <m/>
    <x v="1"/>
    <s v="45162391001001"/>
    <n v="-64.59"/>
    <n v="1587"/>
    <n v="1"/>
    <n v="1"/>
  </r>
  <r>
    <m/>
    <m/>
    <x v="1"/>
    <s v="45171288002001"/>
    <n v="-61.13"/>
    <n v="1502"/>
    <n v="1"/>
    <n v="1"/>
  </r>
  <r>
    <m/>
    <m/>
    <x v="1"/>
    <s v="45177721002001"/>
    <n v="-57.51"/>
    <n v="1413"/>
    <n v="1"/>
    <n v="1"/>
  </r>
  <r>
    <m/>
    <m/>
    <x v="1"/>
    <s v="45182691001001"/>
    <n v="-65.489999999999995"/>
    <n v="1609"/>
    <n v="1"/>
    <n v="1"/>
  </r>
  <r>
    <m/>
    <m/>
    <x v="1"/>
    <s v="45194521001003"/>
    <n v="-39.479999999999997"/>
    <n v="970"/>
    <n v="1"/>
    <n v="1"/>
  </r>
  <r>
    <m/>
    <m/>
    <x v="1"/>
    <s v="45194661001001"/>
    <n v="-60.56"/>
    <n v="1488"/>
    <n v="1"/>
    <n v="1"/>
  </r>
  <r>
    <m/>
    <m/>
    <x v="1"/>
    <s v="45195221001002"/>
    <n v="-65.239999999999995"/>
    <n v="1603"/>
    <n v="1"/>
    <n v="1"/>
  </r>
  <r>
    <m/>
    <m/>
    <x v="1"/>
    <s v="45195641001001"/>
    <n v="-68.13"/>
    <n v="1674"/>
    <n v="1"/>
    <n v="1"/>
  </r>
  <r>
    <m/>
    <m/>
    <x v="1"/>
    <s v="45204881002001"/>
    <n v="-5.74"/>
    <n v="141"/>
    <n v="1"/>
    <n v="1"/>
  </r>
  <r>
    <m/>
    <m/>
    <x v="1"/>
    <s v="45208591002003"/>
    <n v="-14.2"/>
    <n v="349"/>
    <n v="1"/>
    <n v="1"/>
  </r>
  <r>
    <m/>
    <m/>
    <x v="1"/>
    <s v="45221093002001"/>
    <n v="-43.59"/>
    <n v="1071"/>
    <n v="1"/>
    <n v="1"/>
  </r>
  <r>
    <m/>
    <m/>
    <x v="1"/>
    <s v="45230011001002"/>
    <n v="-56.25"/>
    <n v="1382"/>
    <n v="1"/>
    <n v="1"/>
  </r>
  <r>
    <m/>
    <m/>
    <x v="1"/>
    <s v="45233441001001"/>
    <n v="-82.05"/>
    <n v="2016"/>
    <n v="1"/>
    <n v="1"/>
  </r>
  <r>
    <m/>
    <m/>
    <x v="1"/>
    <s v="45242051001003"/>
    <n v="-92.02"/>
    <n v="2261"/>
    <n v="1"/>
    <n v="1"/>
  </r>
  <r>
    <m/>
    <m/>
    <x v="1"/>
    <s v="45244851001001"/>
    <n v="-2.44"/>
    <n v="60"/>
    <n v="1"/>
    <n v="1"/>
  </r>
  <r>
    <m/>
    <m/>
    <x v="1"/>
    <s v="45259481001001"/>
    <n v="-43.22"/>
    <n v="1062"/>
    <n v="1"/>
    <n v="1"/>
  </r>
  <r>
    <m/>
    <m/>
    <x v="1"/>
    <s v="45270949001004"/>
    <n v="-52.42"/>
    <n v="1288"/>
    <n v="1"/>
    <n v="1"/>
  </r>
  <r>
    <m/>
    <m/>
    <x v="1"/>
    <s v="45304141001001"/>
    <n v="-37.159999999999997"/>
    <n v="913"/>
    <n v="1"/>
    <n v="1"/>
  </r>
  <r>
    <m/>
    <m/>
    <x v="1"/>
    <s v="45329621001002"/>
    <n v="-90.88"/>
    <n v="2233"/>
    <n v="1"/>
    <n v="1"/>
  </r>
  <r>
    <m/>
    <m/>
    <x v="1"/>
    <s v="45353841001001"/>
    <n v="-35.21"/>
    <n v="865"/>
    <n v="1"/>
    <n v="1"/>
  </r>
  <r>
    <m/>
    <m/>
    <x v="1"/>
    <s v="45363081001002"/>
    <n v="-44.85"/>
    <n v="1102"/>
    <n v="1"/>
    <n v="1"/>
  </r>
  <r>
    <m/>
    <m/>
    <x v="1"/>
    <s v="45363781001003"/>
    <n v="-110.46"/>
    <n v="2714"/>
    <n v="1"/>
    <n v="1"/>
  </r>
  <r>
    <m/>
    <m/>
    <x v="1"/>
    <s v="45372041008001"/>
    <n v="-90.52"/>
    <n v="2224"/>
    <n v="1"/>
    <n v="1"/>
  </r>
  <r>
    <m/>
    <m/>
    <x v="1"/>
    <s v="45372181002001"/>
    <n v="-70.900000000000006"/>
    <n v="1742"/>
    <n v="1"/>
    <n v="1"/>
  </r>
  <r>
    <m/>
    <m/>
    <x v="1"/>
    <s v="45379041001001"/>
    <n v="-96.26"/>
    <n v="2365"/>
    <n v="1"/>
    <n v="1"/>
  </r>
  <r>
    <m/>
    <m/>
    <x v="1"/>
    <s v="45382121001001"/>
    <n v="-39.44"/>
    <n v="969"/>
    <n v="1"/>
    <n v="1"/>
  </r>
  <r>
    <m/>
    <m/>
    <x v="1"/>
    <s v="45395421001001"/>
    <n v="-27.19"/>
    <n v="668"/>
    <n v="1"/>
    <n v="1"/>
  </r>
  <r>
    <m/>
    <m/>
    <x v="1"/>
    <s v="45406543001004"/>
    <n v="-8.6300000000000008"/>
    <n v="212"/>
    <n v="1"/>
    <n v="1"/>
  </r>
  <r>
    <m/>
    <m/>
    <x v="1"/>
    <s v="45408608002003"/>
    <n v="-79.489999999999995"/>
    <n v="1953"/>
    <n v="1"/>
    <n v="1"/>
  </r>
  <r>
    <m/>
    <m/>
    <x v="1"/>
    <s v="45412781001004"/>
    <n v="-48.07"/>
    <n v="1181"/>
    <n v="1"/>
    <n v="1"/>
  </r>
  <r>
    <m/>
    <m/>
    <x v="1"/>
    <s v="45432941001004"/>
    <n v="-50.02"/>
    <n v="1229"/>
    <n v="1"/>
    <n v="1"/>
  </r>
  <r>
    <m/>
    <m/>
    <x v="1"/>
    <s v="45433851004001"/>
    <n v="-30.77"/>
    <n v="756"/>
    <n v="1"/>
    <n v="1"/>
  </r>
  <r>
    <m/>
    <m/>
    <x v="1"/>
    <s v="45442391004001"/>
    <n v="-14.86"/>
    <n v="365"/>
    <n v="1"/>
    <n v="1"/>
  </r>
  <r>
    <m/>
    <m/>
    <x v="1"/>
    <s v="45446941001001"/>
    <n v="-73.459999999999994"/>
    <n v="1805"/>
    <n v="1"/>
    <n v="1"/>
  </r>
  <r>
    <m/>
    <m/>
    <x v="1"/>
    <s v="45447641001001"/>
    <n v="-43.02"/>
    <n v="1057"/>
    <n v="1"/>
    <n v="1"/>
  </r>
  <r>
    <m/>
    <m/>
    <x v="1"/>
    <s v="45452652002005"/>
    <n v="-42.25"/>
    <n v="1038"/>
    <n v="1"/>
    <n v="1"/>
  </r>
  <r>
    <m/>
    <m/>
    <x v="1"/>
    <s v="45466051001001"/>
    <n v="-50.92"/>
    <n v="1251"/>
    <n v="1"/>
    <n v="1"/>
  </r>
  <r>
    <m/>
    <m/>
    <x v="1"/>
    <s v="45472001001001"/>
    <n v="-30.69"/>
    <n v="754"/>
    <n v="1"/>
    <n v="1"/>
  </r>
  <r>
    <m/>
    <m/>
    <x v="1"/>
    <s v="45479491004001"/>
    <n v="-72.650000000000006"/>
    <n v="1785"/>
    <n v="1"/>
    <n v="1"/>
  </r>
  <r>
    <m/>
    <m/>
    <x v="1"/>
    <s v="45487471012001"/>
    <n v="-29.75"/>
    <n v="731"/>
    <n v="1"/>
    <n v="1"/>
  </r>
  <r>
    <m/>
    <m/>
    <x v="1"/>
    <s v="45490131002003"/>
    <n v="-79.08"/>
    <n v="1943"/>
    <n v="1"/>
    <n v="1"/>
  </r>
  <r>
    <m/>
    <m/>
    <x v="1"/>
    <s v="45496641001001"/>
    <n v="-12.98"/>
    <n v="319"/>
    <n v="1"/>
    <n v="1"/>
  </r>
  <r>
    <m/>
    <m/>
    <x v="1"/>
    <s v="45496921001002"/>
    <n v="-43.22"/>
    <n v="1062"/>
    <n v="1"/>
    <n v="1"/>
  </r>
  <r>
    <m/>
    <m/>
    <x v="1"/>
    <s v="45500981001001"/>
    <n v="-50.1"/>
    <n v="1231"/>
    <n v="1"/>
    <n v="1"/>
  </r>
  <r>
    <m/>
    <m/>
    <x v="1"/>
    <s v="45502521001001"/>
    <n v="-7.08"/>
    <n v="174"/>
    <n v="1"/>
    <n v="1"/>
  </r>
  <r>
    <m/>
    <m/>
    <x v="1"/>
    <s v="45513791001001"/>
    <n v="-41.76"/>
    <n v="1026"/>
    <n v="1"/>
    <n v="1"/>
  </r>
  <r>
    <m/>
    <m/>
    <x v="1"/>
    <s v="45517641003008"/>
    <n v="-40.17"/>
    <n v="987"/>
    <n v="1"/>
    <n v="1"/>
  </r>
  <r>
    <m/>
    <m/>
    <x v="1"/>
    <s v="45518411001001"/>
    <n v="-36.51"/>
    <n v="897"/>
    <n v="1"/>
    <n v="1"/>
  </r>
  <r>
    <m/>
    <m/>
    <x v="1"/>
    <s v="45518691001001"/>
    <n v="-47.09"/>
    <n v="1157"/>
    <n v="1"/>
    <n v="1"/>
  </r>
  <r>
    <m/>
    <m/>
    <x v="1"/>
    <s v="45528421001002"/>
    <n v="-64.349999999999994"/>
    <n v="1581"/>
    <n v="1"/>
    <n v="1"/>
  </r>
  <r>
    <m/>
    <m/>
    <x v="1"/>
    <s v="45532411001002"/>
    <n v="-18.84"/>
    <n v="463"/>
    <n v="1"/>
    <n v="1"/>
  </r>
  <r>
    <m/>
    <m/>
    <x v="1"/>
    <s v="45543243001003"/>
    <n v="-76.8"/>
    <n v="1887"/>
    <n v="1"/>
    <n v="1"/>
  </r>
  <r>
    <m/>
    <m/>
    <x v="1"/>
    <s v="45553131003004"/>
    <n v="-13.35"/>
    <n v="328"/>
    <n v="1"/>
    <n v="1"/>
  </r>
  <r>
    <m/>
    <m/>
    <x v="1"/>
    <s v="45591768003001"/>
    <n v="-148.07"/>
    <n v="3638"/>
    <n v="1"/>
    <n v="1"/>
  </r>
  <r>
    <m/>
    <m/>
    <x v="1"/>
    <s v="45623271008003"/>
    <n v="-41.55"/>
    <n v="1021"/>
    <n v="1"/>
    <n v="1"/>
  </r>
  <r>
    <m/>
    <m/>
    <x v="1"/>
    <s v="45634593001003"/>
    <n v="-68.209999999999994"/>
    <n v="1676"/>
    <n v="1"/>
    <n v="1"/>
  </r>
  <r>
    <m/>
    <m/>
    <x v="1"/>
    <s v="45668001003001"/>
    <n v="-72.53"/>
    <n v="1782"/>
    <n v="1"/>
    <n v="1"/>
  </r>
  <r>
    <m/>
    <m/>
    <x v="1"/>
    <s v="45764531001001"/>
    <n v="-29.18"/>
    <n v="717"/>
    <n v="1"/>
    <n v="1"/>
  </r>
  <r>
    <m/>
    <m/>
    <x v="1"/>
    <s v="45765931005001"/>
    <n v="-81.64"/>
    <n v="2006"/>
    <n v="1"/>
    <n v="1"/>
  </r>
  <r>
    <m/>
    <m/>
    <x v="1"/>
    <s v="45786091001001"/>
    <n v="-134.43"/>
    <n v="3303"/>
    <n v="1"/>
    <n v="1"/>
  </r>
  <r>
    <m/>
    <m/>
    <x v="1"/>
    <s v="45805748001001"/>
    <n v="-17.7"/>
    <n v="435"/>
    <n v="1"/>
    <n v="1"/>
  </r>
  <r>
    <m/>
    <m/>
    <x v="1"/>
    <s v="45859311004004"/>
    <n v="-93.65"/>
    <n v="2301"/>
    <n v="1"/>
    <n v="1"/>
  </r>
  <r>
    <m/>
    <m/>
    <x v="1"/>
    <s v="45861551007007"/>
    <n v="-36.83"/>
    <n v="905"/>
    <n v="1"/>
    <n v="1"/>
  </r>
  <r>
    <m/>
    <m/>
    <x v="1"/>
    <s v="45871701012003"/>
    <n v="-62.03"/>
    <n v="1524"/>
    <n v="1"/>
    <n v="1"/>
  </r>
  <r>
    <m/>
    <m/>
    <x v="1"/>
    <s v="45874431001005"/>
    <n v="-61.78"/>
    <n v="1518"/>
    <n v="1"/>
    <n v="1"/>
  </r>
  <r>
    <m/>
    <m/>
    <x v="1"/>
    <s v="45895291003003"/>
    <n v="-62.92"/>
    <n v="1546"/>
    <n v="1"/>
    <n v="1"/>
  </r>
  <r>
    <m/>
    <m/>
    <x v="1"/>
    <s v="45918111001001"/>
    <n v="-9.16"/>
    <n v="225"/>
    <n v="1"/>
    <n v="1"/>
  </r>
  <r>
    <m/>
    <m/>
    <x v="1"/>
    <s v="45918951003002"/>
    <n v="-53.07"/>
    <n v="1304"/>
    <n v="1"/>
    <n v="1"/>
  </r>
  <r>
    <m/>
    <m/>
    <x v="1"/>
    <s v="45919021001009"/>
    <n v="-18.23"/>
    <n v="448"/>
    <n v="1"/>
    <n v="1"/>
  </r>
  <r>
    <m/>
    <m/>
    <x v="1"/>
    <s v="45922199001001"/>
    <n v="-27.35"/>
    <n v="672"/>
    <n v="1"/>
    <n v="1"/>
  </r>
  <r>
    <m/>
    <m/>
    <x v="1"/>
    <s v="45930277001003"/>
    <n v="-28.29"/>
    <n v="695"/>
    <n v="1"/>
    <n v="1"/>
  </r>
  <r>
    <m/>
    <m/>
    <x v="1"/>
    <s v="45931061001003"/>
    <n v="-56.53"/>
    <n v="1389"/>
    <n v="1"/>
    <n v="1"/>
  </r>
  <r>
    <m/>
    <m/>
    <x v="1"/>
    <s v="45934421003003"/>
    <n v="-28.98"/>
    <n v="712"/>
    <n v="1"/>
    <n v="1"/>
  </r>
  <r>
    <m/>
    <m/>
    <x v="1"/>
    <s v="45939881001006"/>
    <n v="-27.55"/>
    <n v="677"/>
    <n v="1"/>
    <n v="1"/>
  </r>
  <r>
    <m/>
    <m/>
    <x v="1"/>
    <s v="45956471002002"/>
    <n v="-20.190000000000001"/>
    <n v="496"/>
    <n v="1"/>
    <n v="1"/>
  </r>
  <r>
    <m/>
    <m/>
    <x v="1"/>
    <s v="45979501004001"/>
    <n v="-48.8"/>
    <n v="1199"/>
    <n v="1"/>
    <n v="1"/>
  </r>
  <r>
    <m/>
    <m/>
    <x v="1"/>
    <s v="46003091002002"/>
    <n v="-25.44"/>
    <n v="625"/>
    <n v="1"/>
    <n v="1"/>
  </r>
  <r>
    <m/>
    <m/>
    <x v="1"/>
    <s v="46024168001001"/>
    <n v="-12.09"/>
    <n v="297"/>
    <n v="1"/>
    <n v="1"/>
  </r>
  <r>
    <m/>
    <m/>
    <x v="1"/>
    <s v="46042851003005"/>
    <n v="-82.21"/>
    <n v="2020"/>
    <n v="1"/>
    <n v="1"/>
  </r>
  <r>
    <m/>
    <m/>
    <x v="1"/>
    <s v="46058267001001"/>
    <n v="-119.45"/>
    <n v="2935"/>
    <n v="1"/>
    <n v="1"/>
  </r>
  <r>
    <m/>
    <m/>
    <x v="1"/>
    <s v="46075331001001"/>
    <n v="-17.95"/>
    <n v="441"/>
    <n v="1"/>
    <n v="1"/>
  </r>
  <r>
    <m/>
    <m/>
    <x v="1"/>
    <s v="46096471001002"/>
    <n v="-18.11"/>
    <n v="445"/>
    <n v="1"/>
    <n v="1"/>
  </r>
  <r>
    <m/>
    <m/>
    <x v="1"/>
    <s v="46112501001001"/>
    <n v="-70.569999999999993"/>
    <n v="1734"/>
    <n v="1"/>
    <n v="1"/>
  </r>
  <r>
    <m/>
    <m/>
    <x v="1"/>
    <s v="46119641003003"/>
    <n v="-4.07"/>
    <n v="100"/>
    <n v="1"/>
    <n v="1"/>
  </r>
  <r>
    <m/>
    <m/>
    <x v="1"/>
    <s v="46133011004007"/>
    <n v="-11.76"/>
    <n v="289"/>
    <n v="1"/>
    <n v="1"/>
  </r>
  <r>
    <m/>
    <m/>
    <x v="1"/>
    <s v="46133151002005"/>
    <n v="-75.66"/>
    <n v="1859"/>
    <n v="1"/>
    <n v="1"/>
  </r>
  <r>
    <m/>
    <m/>
    <x v="1"/>
    <s v="46140291003004"/>
    <n v="-49.69"/>
    <n v="1221"/>
    <n v="1"/>
    <n v="1"/>
  </r>
  <r>
    <m/>
    <m/>
    <x v="1"/>
    <s v="46141131001003"/>
    <n v="-64.55"/>
    <n v="1586"/>
    <n v="1"/>
    <n v="1"/>
  </r>
  <r>
    <m/>
    <m/>
    <x v="1"/>
    <s v="46155016001001"/>
    <n v="-16.04"/>
    <n v="394"/>
    <n v="1"/>
    <n v="1"/>
  </r>
  <r>
    <m/>
    <m/>
    <x v="1"/>
    <s v="46176053001002"/>
    <n v="-63.41"/>
    <n v="1558"/>
    <n v="1"/>
    <n v="1"/>
  </r>
  <r>
    <m/>
    <m/>
    <x v="1"/>
    <s v="46189291010003"/>
    <n v="-51.89"/>
    <n v="1275"/>
    <n v="1"/>
    <n v="1"/>
  </r>
  <r>
    <m/>
    <m/>
    <x v="1"/>
    <s v="46190901003009"/>
    <n v="-14.29"/>
    <n v="351"/>
    <n v="1"/>
    <n v="1"/>
  </r>
  <r>
    <m/>
    <m/>
    <x v="1"/>
    <s v="46191123001001"/>
    <n v="-21.9"/>
    <n v="538"/>
    <n v="1"/>
    <n v="1"/>
  </r>
  <r>
    <m/>
    <m/>
    <x v="1"/>
    <s v="46196011001004"/>
    <n v="-29.59"/>
    <n v="727"/>
    <n v="1"/>
    <n v="1"/>
  </r>
  <r>
    <m/>
    <m/>
    <x v="1"/>
    <s v="46217501012001"/>
    <n v="-59.79"/>
    <n v="1469"/>
    <n v="1"/>
    <n v="1"/>
  </r>
  <r>
    <m/>
    <m/>
    <x v="1"/>
    <s v="46283959001004"/>
    <n v="-33.78"/>
    <n v="830"/>
    <n v="1"/>
    <n v="1"/>
  </r>
  <r>
    <m/>
    <m/>
    <x v="1"/>
    <s v="46290511001002"/>
    <n v="-58.2"/>
    <n v="1430"/>
    <n v="1"/>
    <n v="1"/>
  </r>
  <r>
    <m/>
    <m/>
    <x v="1"/>
    <s v="46323621003008"/>
    <n v="-44.04"/>
    <n v="1082"/>
    <n v="1"/>
    <n v="1"/>
  </r>
  <r>
    <m/>
    <m/>
    <x v="1"/>
    <s v="46337411004003"/>
    <n v="-98.98"/>
    <n v="2432"/>
    <n v="1"/>
    <n v="1"/>
  </r>
  <r>
    <m/>
    <m/>
    <x v="1"/>
    <s v="46345111015001"/>
    <n v="-56.61"/>
    <n v="1391"/>
    <n v="1"/>
    <n v="1"/>
  </r>
  <r>
    <m/>
    <m/>
    <x v="1"/>
    <s v="46352741003004"/>
    <n v="-20.350000000000001"/>
    <n v="500"/>
    <n v="1"/>
    <n v="1"/>
  </r>
  <r>
    <m/>
    <m/>
    <x v="1"/>
    <s v="46363031009001"/>
    <n v="-32.19"/>
    <n v="791"/>
    <n v="1"/>
    <n v="1"/>
  </r>
  <r>
    <m/>
    <m/>
    <x v="1"/>
    <s v="46395161007007"/>
    <n v="-79.69"/>
    <n v="1958"/>
    <n v="1"/>
    <n v="1"/>
  </r>
  <r>
    <m/>
    <m/>
    <x v="1"/>
    <s v="46406546001001"/>
    <n v="-74.28"/>
    <n v="1825"/>
    <n v="1"/>
    <n v="1"/>
  </r>
  <r>
    <m/>
    <m/>
    <x v="1"/>
    <s v="46425681001003"/>
    <n v="-63.57"/>
    <n v="1562"/>
    <n v="1"/>
    <n v="1"/>
  </r>
  <r>
    <m/>
    <m/>
    <x v="1"/>
    <s v="46426241001001"/>
    <n v="-14"/>
    <n v="344"/>
    <n v="1"/>
    <n v="1"/>
  </r>
  <r>
    <m/>
    <m/>
    <x v="1"/>
    <s v="46426871002003"/>
    <n v="-4.2699999999999996"/>
    <n v="105"/>
    <n v="1"/>
    <n v="1"/>
  </r>
  <r>
    <m/>
    <m/>
    <x v="1"/>
    <s v="46463061001001"/>
    <n v="-42.33"/>
    <n v="1040"/>
    <n v="1"/>
    <n v="1"/>
  </r>
  <r>
    <m/>
    <m/>
    <x v="1"/>
    <s v="46464041009001"/>
    <n v="-79.650000000000006"/>
    <n v="1957"/>
    <n v="1"/>
    <n v="1"/>
  </r>
  <r>
    <m/>
    <m/>
    <x v="1"/>
    <s v="46467611002001"/>
    <n v="-33.5"/>
    <n v="823"/>
    <n v="1"/>
    <n v="1"/>
  </r>
  <r>
    <m/>
    <m/>
    <x v="1"/>
    <s v="46483221001003"/>
    <n v="-53.81"/>
    <n v="1322"/>
    <n v="1"/>
    <n v="1"/>
  </r>
  <r>
    <m/>
    <m/>
    <x v="1"/>
    <s v="46486091009001"/>
    <n v="-23.65"/>
    <n v="581"/>
    <n v="1"/>
    <n v="1"/>
  </r>
  <r>
    <m/>
    <m/>
    <x v="1"/>
    <s v="46515686001001"/>
    <n v="-137.97"/>
    <n v="3390"/>
    <n v="1"/>
    <n v="1"/>
  </r>
  <r>
    <m/>
    <m/>
    <x v="1"/>
    <s v="46567205001001"/>
    <n v="-68.91"/>
    <n v="1693"/>
    <n v="1"/>
    <n v="1"/>
  </r>
  <r>
    <m/>
    <m/>
    <x v="1"/>
    <s v="46612347003001"/>
    <n v="-60.77"/>
    <n v="1493"/>
    <n v="1"/>
    <n v="1"/>
  </r>
  <r>
    <m/>
    <m/>
    <x v="1"/>
    <s v="46709404001001"/>
    <n v="-18.48"/>
    <n v="454"/>
    <n v="1"/>
    <n v="1"/>
  </r>
  <r>
    <m/>
    <m/>
    <x v="1"/>
    <s v="46754681003012"/>
    <n v="-10.050000000000001"/>
    <n v="247"/>
    <n v="1"/>
    <n v="1"/>
  </r>
  <r>
    <m/>
    <m/>
    <x v="1"/>
    <s v="46767001003001"/>
    <n v="-53.93"/>
    <n v="1325"/>
    <n v="1"/>
    <n v="1"/>
  </r>
  <r>
    <m/>
    <m/>
    <x v="1"/>
    <s v="46768121004001"/>
    <n v="-6.23"/>
    <n v="153"/>
    <n v="1"/>
    <n v="1"/>
  </r>
  <r>
    <m/>
    <m/>
    <x v="1"/>
    <s v="46772111002005"/>
    <n v="-63.82"/>
    <n v="1568"/>
    <n v="1"/>
    <n v="1"/>
  </r>
  <r>
    <m/>
    <m/>
    <x v="1"/>
    <s v="46778971002001"/>
    <n v="-39.229999999999997"/>
    <n v="964"/>
    <n v="1"/>
    <n v="1"/>
  </r>
  <r>
    <m/>
    <m/>
    <x v="1"/>
    <s v="46792621001001"/>
    <n v="-73.59"/>
    <n v="1808"/>
    <n v="1"/>
    <n v="1"/>
  </r>
  <r>
    <m/>
    <m/>
    <x v="1"/>
    <s v="46809911002003"/>
    <n v="-46.48"/>
    <n v="1142"/>
    <n v="1"/>
    <n v="1"/>
  </r>
  <r>
    <m/>
    <m/>
    <x v="1"/>
    <s v="46819081001002"/>
    <n v="-43.55"/>
    <n v="1070"/>
    <n v="1"/>
    <n v="1"/>
  </r>
  <r>
    <m/>
    <m/>
    <x v="1"/>
    <s v="46831191008001"/>
    <n v="-94.83"/>
    <n v="2330"/>
    <n v="1"/>
    <n v="1"/>
  </r>
  <r>
    <m/>
    <m/>
    <x v="1"/>
    <s v="46834341003003"/>
    <n v="-98.9"/>
    <n v="2430"/>
    <n v="1"/>
    <n v="1"/>
  </r>
  <r>
    <m/>
    <m/>
    <x v="1"/>
    <s v="46837771002001"/>
    <n v="-101.1"/>
    <n v="2484"/>
    <n v="1"/>
    <n v="1"/>
  </r>
  <r>
    <m/>
    <m/>
    <x v="1"/>
    <s v="46847431016001"/>
    <n v="-93.53"/>
    <n v="2298"/>
    <n v="1"/>
    <n v="1"/>
  </r>
  <r>
    <m/>
    <m/>
    <x v="1"/>
    <s v="46853523001007"/>
    <n v="-33.46"/>
    <n v="822"/>
    <n v="1"/>
    <n v="1"/>
  </r>
  <r>
    <m/>
    <m/>
    <x v="1"/>
    <s v="46867031001004"/>
    <n v="-1.06"/>
    <n v="26"/>
    <n v="1"/>
    <n v="1"/>
  </r>
  <r>
    <m/>
    <m/>
    <x v="1"/>
    <s v="46913740001001"/>
    <n v="-49.33"/>
    <n v="1212"/>
    <n v="1"/>
    <n v="1"/>
  </r>
  <r>
    <m/>
    <m/>
    <x v="1"/>
    <s v="46950191001002"/>
    <n v="-4.5199999999999996"/>
    <n v="111"/>
    <n v="1"/>
    <n v="1"/>
  </r>
  <r>
    <m/>
    <m/>
    <x v="1"/>
    <s v="46960006001001"/>
    <n v="-73.180000000000007"/>
    <n v="1798"/>
    <n v="1"/>
    <n v="1"/>
  </r>
  <r>
    <m/>
    <m/>
    <x v="1"/>
    <s v="46962021001002"/>
    <n v="-25.4"/>
    <n v="624"/>
    <n v="1"/>
    <n v="1"/>
  </r>
  <r>
    <m/>
    <m/>
    <x v="1"/>
    <s v="47056381002002"/>
    <n v="-61.9"/>
    <n v="1521"/>
    <n v="1"/>
    <n v="1"/>
  </r>
  <r>
    <m/>
    <m/>
    <x v="1"/>
    <s v="47070580001001"/>
    <n v="-40.130000000000003"/>
    <n v="986"/>
    <n v="1"/>
    <n v="1"/>
  </r>
  <r>
    <m/>
    <m/>
    <x v="1"/>
    <s v="47117211001001"/>
    <n v="-61.95"/>
    <n v="1522"/>
    <n v="1"/>
    <n v="1"/>
  </r>
  <r>
    <m/>
    <m/>
    <x v="1"/>
    <s v="47138771008005"/>
    <n v="-62.35"/>
    <n v="1532"/>
    <n v="1"/>
    <n v="1"/>
  </r>
  <r>
    <m/>
    <m/>
    <x v="1"/>
    <s v="47152981002001"/>
    <n v="-37.61"/>
    <n v="924"/>
    <n v="1"/>
    <n v="1"/>
  </r>
  <r>
    <m/>
    <m/>
    <x v="1"/>
    <s v="47164607001003"/>
    <n v="-3.66"/>
    <n v="90"/>
    <n v="1"/>
    <n v="1"/>
  </r>
  <r>
    <m/>
    <m/>
    <x v="1"/>
    <s v="47177481001007"/>
    <n v="-39.85"/>
    <n v="979"/>
    <n v="1"/>
    <n v="1"/>
  </r>
  <r>
    <m/>
    <m/>
    <x v="1"/>
    <s v="47178760001004"/>
    <n v="-59.38"/>
    <n v="1459"/>
    <n v="1"/>
    <n v="1"/>
  </r>
  <r>
    <m/>
    <m/>
    <x v="1"/>
    <s v="47202611002002"/>
    <n v="-9.1999999999999993"/>
    <n v="226"/>
    <n v="1"/>
    <n v="1"/>
  </r>
  <r>
    <m/>
    <m/>
    <x v="1"/>
    <s v="47233131004002"/>
    <n v="-79.930000000000007"/>
    <n v="1964"/>
    <n v="1"/>
    <n v="1"/>
  </r>
  <r>
    <m/>
    <m/>
    <x v="1"/>
    <s v="47275061002003"/>
    <n v="-29.14"/>
    <n v="716"/>
    <n v="1"/>
    <n v="1"/>
  </r>
  <r>
    <m/>
    <m/>
    <x v="1"/>
    <s v="47309291001002"/>
    <n v="-16.36"/>
    <n v="402"/>
    <n v="1"/>
    <n v="1"/>
  </r>
  <r>
    <m/>
    <m/>
    <x v="1"/>
    <s v="47318111004001"/>
    <n v="-199.67"/>
    <n v="4906"/>
    <n v="1"/>
    <n v="1"/>
  </r>
  <r>
    <m/>
    <m/>
    <x v="1"/>
    <s v="47323291001003"/>
    <n v="-61.01"/>
    <n v="1499"/>
    <n v="1"/>
    <n v="1"/>
  </r>
  <r>
    <m/>
    <m/>
    <x v="1"/>
    <s v="47324621003001"/>
    <n v="-28.69"/>
    <n v="705"/>
    <n v="1"/>
    <n v="1"/>
  </r>
  <r>
    <m/>
    <m/>
    <x v="1"/>
    <s v="47326848001001"/>
    <n v="-23.12"/>
    <n v="568"/>
    <n v="1"/>
    <n v="1"/>
  </r>
  <r>
    <m/>
    <m/>
    <x v="1"/>
    <s v="47327631001001"/>
    <n v="-63.9"/>
    <n v="1570"/>
    <n v="1"/>
    <n v="1"/>
  </r>
  <r>
    <m/>
    <m/>
    <x v="1"/>
    <s v="47341211003001"/>
    <n v="-43.22"/>
    <n v="1062"/>
    <n v="1"/>
    <n v="1"/>
  </r>
  <r>
    <m/>
    <m/>
    <x v="1"/>
    <s v="47369561001004"/>
    <n v="-38.14"/>
    <n v="937"/>
    <n v="1"/>
    <n v="1"/>
  </r>
  <r>
    <m/>
    <m/>
    <x v="1"/>
    <s v="47375581005013"/>
    <n v="-60.56"/>
    <n v="1488"/>
    <n v="1"/>
    <n v="1"/>
  </r>
  <r>
    <m/>
    <m/>
    <x v="1"/>
    <s v="47378451002003"/>
    <n v="-65.53"/>
    <n v="1610"/>
    <n v="1"/>
    <n v="1"/>
  </r>
  <r>
    <m/>
    <m/>
    <x v="1"/>
    <s v="47406521002002"/>
    <n v="-83.84"/>
    <n v="2060"/>
    <n v="1"/>
    <n v="1"/>
  </r>
  <r>
    <m/>
    <m/>
    <x v="1"/>
    <s v="47425421003001"/>
    <n v="-57.96"/>
    <n v="1424"/>
    <n v="1"/>
    <n v="1"/>
  </r>
  <r>
    <m/>
    <m/>
    <x v="1"/>
    <s v="47550931002002"/>
    <n v="-12.17"/>
    <n v="299"/>
    <n v="1"/>
    <n v="1"/>
  </r>
  <r>
    <m/>
    <m/>
    <x v="1"/>
    <s v="47596151001005"/>
    <n v="-32.68"/>
    <n v="803"/>
    <n v="1"/>
    <n v="1"/>
  </r>
  <r>
    <m/>
    <m/>
    <x v="1"/>
    <s v="47600016001001"/>
    <n v="-9.56"/>
    <n v="235"/>
    <n v="1"/>
    <n v="1"/>
  </r>
  <r>
    <m/>
    <m/>
    <x v="1"/>
    <s v="47602655001004"/>
    <n v="-3.87"/>
    <n v="95"/>
    <n v="1"/>
    <n v="1"/>
  </r>
  <r>
    <m/>
    <m/>
    <x v="1"/>
    <s v="47619881001001"/>
    <n v="-20.11"/>
    <n v="494"/>
    <n v="1"/>
    <n v="1"/>
  </r>
  <r>
    <m/>
    <m/>
    <x v="1"/>
    <s v="47674271002001"/>
    <n v="-43.3"/>
    <n v="1064"/>
    <n v="1"/>
    <n v="1"/>
  </r>
  <r>
    <m/>
    <m/>
    <x v="1"/>
    <s v="47723831004001"/>
    <n v="-23.04"/>
    <n v="566"/>
    <n v="1"/>
    <n v="1"/>
  </r>
  <r>
    <m/>
    <m/>
    <x v="1"/>
    <s v="47757781007001"/>
    <n v="-49.45"/>
    <n v="1215"/>
    <n v="1"/>
    <n v="1"/>
  </r>
  <r>
    <m/>
    <m/>
    <x v="1"/>
    <s v="47760721004001"/>
    <n v="-43.18"/>
    <n v="1061"/>
    <n v="1"/>
    <n v="1"/>
  </r>
  <r>
    <m/>
    <m/>
    <x v="1"/>
    <s v="47762681005001"/>
    <n v="-55.92"/>
    <n v="1374"/>
    <n v="1"/>
    <n v="1"/>
  </r>
  <r>
    <m/>
    <m/>
    <x v="1"/>
    <s v="47764921003003"/>
    <n v="-138.01"/>
    <n v="3391"/>
    <n v="1"/>
    <n v="1"/>
  </r>
  <r>
    <m/>
    <m/>
    <x v="1"/>
    <s v="47778151001004"/>
    <n v="-127.47"/>
    <n v="3132"/>
    <n v="1"/>
    <n v="1"/>
  </r>
  <r>
    <m/>
    <m/>
    <x v="1"/>
    <s v="47839821001002"/>
    <n v="-51.97"/>
    <n v="1277"/>
    <n v="1"/>
    <n v="1"/>
  </r>
  <r>
    <m/>
    <m/>
    <x v="1"/>
    <s v="47842341003001"/>
    <n v="-20.96"/>
    <n v="515"/>
    <n v="1"/>
    <n v="1"/>
  </r>
  <r>
    <m/>
    <m/>
    <x v="1"/>
    <s v="47874432001002"/>
    <n v="-98.82"/>
    <n v="2428"/>
    <n v="1"/>
    <n v="1"/>
  </r>
  <r>
    <m/>
    <m/>
    <x v="1"/>
    <s v="47874541005001"/>
    <n v="-55.84"/>
    <n v="1372"/>
    <n v="1"/>
    <n v="1"/>
  </r>
  <r>
    <m/>
    <m/>
    <x v="1"/>
    <s v="47907161002001"/>
    <n v="-103.58"/>
    <n v="2545"/>
    <n v="1"/>
    <n v="1"/>
  </r>
  <r>
    <m/>
    <m/>
    <x v="1"/>
    <s v="47912897001001"/>
    <n v="-15.06"/>
    <n v="370"/>
    <n v="1"/>
    <n v="1"/>
  </r>
  <r>
    <m/>
    <m/>
    <x v="1"/>
    <s v="47951681001003"/>
    <n v="-46.97"/>
    <n v="1154"/>
    <n v="1"/>
    <n v="1"/>
  </r>
  <r>
    <m/>
    <m/>
    <x v="1"/>
    <s v="47958961001001"/>
    <n v="-72.569999999999993"/>
    <n v="1783"/>
    <n v="1"/>
    <n v="1"/>
  </r>
  <r>
    <m/>
    <m/>
    <x v="1"/>
    <s v="47976321005002"/>
    <n v="-14.77"/>
    <n v="363"/>
    <n v="1"/>
    <n v="1"/>
  </r>
  <r>
    <m/>
    <m/>
    <x v="1"/>
    <s v="48023920001005"/>
    <n v="-52.3"/>
    <n v="1285"/>
    <n v="1"/>
    <n v="1"/>
  </r>
  <r>
    <m/>
    <m/>
    <x v="1"/>
    <s v="48037431004001"/>
    <n v="-100.12"/>
    <n v="2460"/>
    <n v="1"/>
    <n v="1"/>
  </r>
  <r>
    <m/>
    <m/>
    <x v="1"/>
    <s v="48065577001005"/>
    <n v="-53.28"/>
    <n v="1309"/>
    <n v="1"/>
    <n v="1"/>
  </r>
  <r>
    <m/>
    <m/>
    <x v="1"/>
    <s v="48076533001001"/>
    <n v="-67.239999999999995"/>
    <n v="1652"/>
    <n v="1"/>
    <n v="1"/>
  </r>
  <r>
    <m/>
    <m/>
    <x v="1"/>
    <s v="48085381001001"/>
    <n v="-25.68"/>
    <n v="631"/>
    <n v="1"/>
    <n v="1"/>
  </r>
  <r>
    <m/>
    <m/>
    <x v="1"/>
    <s v="48098490001001"/>
    <n v="-68.739999999999995"/>
    <n v="1689"/>
    <n v="1"/>
    <n v="1"/>
  </r>
  <r>
    <m/>
    <m/>
    <x v="1"/>
    <s v="48117301003004"/>
    <n v="-70.040000000000006"/>
    <n v="1721"/>
    <n v="1"/>
    <n v="1"/>
  </r>
  <r>
    <m/>
    <m/>
    <x v="1"/>
    <s v="48121641002006"/>
    <n v="-97.72"/>
    <n v="2401"/>
    <n v="1"/>
    <n v="1"/>
  </r>
  <r>
    <m/>
    <m/>
    <x v="1"/>
    <s v="48121991001001"/>
    <n v="-65.89"/>
    <n v="1619"/>
    <n v="1"/>
    <n v="1"/>
  </r>
  <r>
    <m/>
    <m/>
    <x v="1"/>
    <s v="48222791001001"/>
    <n v="-59.46"/>
    <n v="1461"/>
    <n v="1"/>
    <n v="1"/>
  </r>
  <r>
    <m/>
    <m/>
    <x v="1"/>
    <s v="48282431004001"/>
    <n v="-80.38"/>
    <n v="1975"/>
    <n v="1"/>
    <n v="1"/>
  </r>
  <r>
    <m/>
    <m/>
    <x v="1"/>
    <s v="48354461005003"/>
    <n v="-66.83"/>
    <n v="1642"/>
    <n v="1"/>
    <n v="1"/>
  </r>
  <r>
    <m/>
    <m/>
    <x v="1"/>
    <s v="48367273001004"/>
    <n v="-14.12"/>
    <n v="347"/>
    <n v="1"/>
    <n v="1"/>
  </r>
  <r>
    <m/>
    <m/>
    <x v="1"/>
    <s v="48367307001003"/>
    <n v="-9.77"/>
    <n v="240"/>
    <n v="1"/>
    <n v="1"/>
  </r>
  <r>
    <m/>
    <m/>
    <x v="1"/>
    <s v="48440642001003"/>
    <n v="-15.18"/>
    <n v="373"/>
    <n v="1"/>
    <n v="1"/>
  </r>
  <r>
    <m/>
    <m/>
    <x v="1"/>
    <s v="48464378001001"/>
    <n v="-26.74"/>
    <n v="657"/>
    <n v="1"/>
    <n v="1"/>
  </r>
  <r>
    <m/>
    <m/>
    <x v="1"/>
    <s v="48525331002003"/>
    <n v="-59.87"/>
    <n v="1471"/>
    <n v="1"/>
    <n v="1"/>
  </r>
  <r>
    <m/>
    <m/>
    <x v="1"/>
    <s v="48540064005001"/>
    <n v="-47.21"/>
    <n v="1160"/>
    <n v="1"/>
    <n v="1"/>
  </r>
  <r>
    <m/>
    <m/>
    <x v="1"/>
    <s v="48704876001001"/>
    <n v="-56.65"/>
    <n v="1392"/>
    <n v="1"/>
    <n v="1"/>
  </r>
  <r>
    <m/>
    <m/>
    <x v="1"/>
    <s v="48751742001006"/>
    <n v="-26.66"/>
    <n v="655"/>
    <n v="1"/>
    <n v="1"/>
  </r>
  <r>
    <m/>
    <m/>
    <x v="1"/>
    <s v="48753629001003"/>
    <n v="-36.1"/>
    <n v="887"/>
    <n v="1"/>
    <n v="1"/>
  </r>
  <r>
    <m/>
    <m/>
    <x v="1"/>
    <s v="48798510001003"/>
    <n v="-77.819999999999993"/>
    <n v="1912"/>
    <n v="1"/>
    <n v="1"/>
  </r>
  <r>
    <m/>
    <m/>
    <x v="1"/>
    <s v="48845721001001"/>
    <n v="-30"/>
    <n v="737"/>
    <n v="1"/>
    <n v="1"/>
  </r>
  <r>
    <m/>
    <m/>
    <x v="1"/>
    <s v="48852009003001"/>
    <n v="-130.28"/>
    <n v="3201"/>
    <n v="2"/>
    <n v="1"/>
  </r>
  <r>
    <m/>
    <m/>
    <x v="1"/>
    <s v="48867586002005"/>
    <n v="-54.21"/>
    <n v="1332"/>
    <n v="1"/>
    <n v="1"/>
  </r>
  <r>
    <m/>
    <m/>
    <x v="1"/>
    <s v="48924821001008"/>
    <n v="-42.57"/>
    <n v="1046"/>
    <n v="1"/>
    <n v="1"/>
  </r>
  <r>
    <m/>
    <m/>
    <x v="1"/>
    <s v="48930701001003"/>
    <n v="-38.83"/>
    <n v="954"/>
    <n v="1"/>
    <n v="1"/>
  </r>
  <r>
    <m/>
    <m/>
    <x v="1"/>
    <s v="48937755001003"/>
    <n v="-47.78"/>
    <n v="1174"/>
    <n v="1"/>
    <n v="1"/>
  </r>
  <r>
    <m/>
    <m/>
    <x v="1"/>
    <s v="48972001002006"/>
    <n v="-9.4"/>
    <n v="231"/>
    <n v="1"/>
    <n v="1"/>
  </r>
  <r>
    <m/>
    <m/>
    <x v="1"/>
    <s v="48996360001005"/>
    <n v="-68.17"/>
    <n v="1675"/>
    <n v="1"/>
    <n v="1"/>
  </r>
  <r>
    <m/>
    <m/>
    <x v="1"/>
    <s v="49050157001001"/>
    <n v="-54.05"/>
    <n v="1328"/>
    <n v="1"/>
    <n v="1"/>
  </r>
  <r>
    <m/>
    <m/>
    <x v="1"/>
    <s v="49075371001010"/>
    <n v="-77.61"/>
    <n v="1907"/>
    <n v="1"/>
    <n v="1"/>
  </r>
  <r>
    <m/>
    <m/>
    <x v="1"/>
    <s v="49136131005001"/>
    <n v="-15.14"/>
    <n v="372"/>
    <n v="1"/>
    <n v="1"/>
  </r>
  <r>
    <m/>
    <m/>
    <x v="1"/>
    <s v="49200673001001"/>
    <n v="-27.47"/>
    <n v="675"/>
    <n v="1"/>
    <n v="1"/>
  </r>
  <r>
    <m/>
    <m/>
    <x v="1"/>
    <s v="49301351007003"/>
    <n v="-34.68"/>
    <n v="852"/>
    <n v="1"/>
    <n v="1"/>
  </r>
  <r>
    <m/>
    <m/>
    <x v="1"/>
    <s v="49305498001003"/>
    <n v="-45.22"/>
    <n v="1111"/>
    <n v="1"/>
    <n v="1"/>
  </r>
  <r>
    <m/>
    <m/>
    <x v="1"/>
    <s v="49325151001002"/>
    <n v="-48.35"/>
    <n v="1188"/>
    <n v="1"/>
    <n v="1"/>
  </r>
  <r>
    <m/>
    <m/>
    <x v="1"/>
    <s v="49341111002001"/>
    <n v="-49.98"/>
    <n v="1228"/>
    <n v="1"/>
    <n v="1"/>
  </r>
  <r>
    <m/>
    <m/>
    <x v="1"/>
    <s v="49394025001001"/>
    <n v="-12.58"/>
    <n v="309"/>
    <n v="1"/>
    <n v="1"/>
  </r>
  <r>
    <m/>
    <m/>
    <x v="1"/>
    <s v="49472851001001"/>
    <n v="-28.73"/>
    <n v="706"/>
    <n v="1"/>
    <n v="1"/>
  </r>
  <r>
    <m/>
    <m/>
    <x v="1"/>
    <s v="49538441006001"/>
    <n v="-102.56"/>
    <n v="2520"/>
    <n v="1"/>
    <n v="1"/>
  </r>
  <r>
    <m/>
    <m/>
    <x v="1"/>
    <s v="49558741001001"/>
    <n v="-13.96"/>
    <n v="343"/>
    <n v="1"/>
    <n v="1"/>
  </r>
  <r>
    <m/>
    <m/>
    <x v="1"/>
    <s v="49568961002001"/>
    <n v="-112.94"/>
    <n v="2775"/>
    <n v="1"/>
    <n v="1"/>
  </r>
  <r>
    <m/>
    <m/>
    <x v="1"/>
    <s v="49574631001007"/>
    <n v="-46.24"/>
    <n v="1136"/>
    <n v="1"/>
    <n v="1"/>
  </r>
  <r>
    <m/>
    <m/>
    <x v="1"/>
    <s v="49576941007001"/>
    <n v="-19.5"/>
    <n v="479"/>
    <n v="1"/>
    <n v="1"/>
  </r>
  <r>
    <m/>
    <m/>
    <x v="1"/>
    <s v="49581965001001"/>
    <n v="-23.93"/>
    <n v="588"/>
    <n v="1"/>
    <n v="1"/>
  </r>
  <r>
    <m/>
    <m/>
    <x v="1"/>
    <s v="49590101003001"/>
    <n v="-73.34"/>
    <n v="1802"/>
    <n v="1"/>
    <n v="1"/>
  </r>
  <r>
    <m/>
    <m/>
    <x v="1"/>
    <s v="49602561001001"/>
    <n v="-36.22"/>
    <n v="890"/>
    <n v="1"/>
    <n v="1"/>
  </r>
  <r>
    <m/>
    <m/>
    <x v="1"/>
    <s v="49606271002004"/>
    <n v="-45.38"/>
    <n v="1115"/>
    <n v="1"/>
    <n v="1"/>
  </r>
  <r>
    <m/>
    <m/>
    <x v="1"/>
    <s v="49608231003009"/>
    <n v="-81.849999999999994"/>
    <n v="2011"/>
    <n v="1"/>
    <n v="1"/>
  </r>
  <r>
    <m/>
    <m/>
    <x v="1"/>
    <s v="49616351002001"/>
    <n v="-86.94"/>
    <n v="2136"/>
    <n v="1"/>
    <n v="1"/>
  </r>
  <r>
    <m/>
    <m/>
    <x v="1"/>
    <s v="49632381001008"/>
    <n v="-47.66"/>
    <n v="1171"/>
    <n v="1"/>
    <n v="1"/>
  </r>
  <r>
    <m/>
    <m/>
    <x v="1"/>
    <s v="49656951001001"/>
    <n v="-55.92"/>
    <n v="1374"/>
    <n v="1"/>
    <n v="1"/>
  </r>
  <r>
    <m/>
    <m/>
    <x v="1"/>
    <s v="49686351001004"/>
    <n v="-53.03"/>
    <n v="1303"/>
    <n v="1"/>
    <n v="1"/>
  </r>
  <r>
    <m/>
    <m/>
    <x v="1"/>
    <s v="49705601001006"/>
    <n v="-68.58"/>
    <n v="1685"/>
    <n v="1"/>
    <n v="1"/>
  </r>
  <r>
    <m/>
    <m/>
    <x v="1"/>
    <s v="49731501002003"/>
    <n v="-75.34"/>
    <n v="1851"/>
    <n v="1"/>
    <n v="1"/>
  </r>
  <r>
    <m/>
    <m/>
    <x v="1"/>
    <s v="49735399001001"/>
    <n v="-20.92"/>
    <n v="514"/>
    <n v="1"/>
    <n v="1"/>
  </r>
  <r>
    <m/>
    <m/>
    <x v="1"/>
    <s v="49767991001002"/>
    <n v="-60.44"/>
    <n v="1485"/>
    <n v="1"/>
    <n v="1"/>
  </r>
  <r>
    <m/>
    <m/>
    <x v="1"/>
    <s v="49827555001001"/>
    <n v="-3.5"/>
    <n v="86"/>
    <n v="1"/>
    <n v="1"/>
  </r>
  <r>
    <m/>
    <m/>
    <x v="1"/>
    <s v="49828031002004"/>
    <n v="-82.3"/>
    <n v="2022"/>
    <n v="1"/>
    <n v="1"/>
  </r>
  <r>
    <m/>
    <m/>
    <x v="1"/>
    <s v="49841331001004"/>
    <n v="-39.68"/>
    <n v="975"/>
    <n v="1"/>
    <n v="1"/>
  </r>
  <r>
    <m/>
    <m/>
    <x v="1"/>
    <s v="49876891004001"/>
    <n v="-65.040000000000006"/>
    <n v="1598"/>
    <n v="1"/>
    <n v="1"/>
  </r>
  <r>
    <m/>
    <m/>
    <x v="1"/>
    <s v="49897285001001"/>
    <n v="-78.430000000000007"/>
    <n v="1927"/>
    <n v="2"/>
    <n v="1"/>
  </r>
  <r>
    <m/>
    <m/>
    <x v="1"/>
    <s v="49922671001002"/>
    <n v="-105.58"/>
    <n v="2594"/>
    <n v="1"/>
    <n v="1"/>
  </r>
  <r>
    <m/>
    <m/>
    <x v="1"/>
    <s v="49948361001002"/>
    <n v="-55.56"/>
    <n v="1365"/>
    <n v="1"/>
    <n v="1"/>
  </r>
  <r>
    <m/>
    <m/>
    <x v="1"/>
    <s v="49953330001004"/>
    <n v="-23.65"/>
    <n v="581"/>
    <n v="1"/>
    <n v="1"/>
  </r>
  <r>
    <m/>
    <m/>
    <x v="1"/>
    <s v="49996634002003"/>
    <n v="-21.73"/>
    <n v="534"/>
    <n v="1"/>
    <n v="1"/>
  </r>
  <r>
    <m/>
    <m/>
    <x v="1"/>
    <s v="50011086001001"/>
    <n v="-24.46"/>
    <n v="601"/>
    <n v="1"/>
    <n v="1"/>
  </r>
  <r>
    <m/>
    <m/>
    <x v="1"/>
    <s v="50012621002003"/>
    <n v="-48.68"/>
    <n v="1196"/>
    <n v="1"/>
    <n v="1"/>
  </r>
  <r>
    <m/>
    <m/>
    <x v="1"/>
    <s v="50027260001005"/>
    <n v="-77.98"/>
    <n v="1916"/>
    <n v="1"/>
    <n v="1"/>
  </r>
  <r>
    <m/>
    <m/>
    <x v="1"/>
    <s v="50042468003001"/>
    <n v="-4.03"/>
    <n v="99"/>
    <n v="1"/>
    <n v="1"/>
  </r>
  <r>
    <m/>
    <m/>
    <x v="1"/>
    <s v="50047513001001"/>
    <n v="-56.65"/>
    <n v="1392"/>
    <n v="1"/>
    <n v="1"/>
  </r>
  <r>
    <m/>
    <m/>
    <x v="1"/>
    <s v="50062111001001"/>
    <n v="-76.39"/>
    <n v="1877"/>
    <n v="1"/>
    <n v="1"/>
  </r>
  <r>
    <m/>
    <m/>
    <x v="1"/>
    <s v="50125531002001"/>
    <n v="-18.399999999999999"/>
    <n v="452"/>
    <n v="1"/>
    <n v="1"/>
  </r>
  <r>
    <m/>
    <m/>
    <x v="1"/>
    <s v="50146181002001"/>
    <n v="-64.510000000000005"/>
    <n v="1585"/>
    <n v="1"/>
    <n v="1"/>
  </r>
  <r>
    <m/>
    <m/>
    <x v="1"/>
    <s v="50149956001001"/>
    <n v="-58.45"/>
    <n v="1436"/>
    <n v="1"/>
    <n v="1"/>
  </r>
  <r>
    <m/>
    <m/>
    <x v="1"/>
    <s v="50175157001006"/>
    <n v="-0.85"/>
    <n v="21"/>
    <n v="1"/>
    <n v="1"/>
  </r>
  <r>
    <m/>
    <m/>
    <x v="1"/>
    <s v="50179851002003"/>
    <n v="-80.91"/>
    <n v="1988"/>
    <n v="1"/>
    <n v="1"/>
  </r>
  <r>
    <m/>
    <m/>
    <x v="1"/>
    <s v="50180049001002"/>
    <n v="-64.22"/>
    <n v="1578"/>
    <n v="1"/>
    <n v="1"/>
  </r>
  <r>
    <m/>
    <m/>
    <x v="1"/>
    <s v="50191609001002"/>
    <n v="-48.56"/>
    <n v="1193"/>
    <n v="1"/>
    <n v="1"/>
  </r>
  <r>
    <m/>
    <m/>
    <x v="1"/>
    <s v="50245081001005"/>
    <n v="-73.540000000000006"/>
    <n v="1807"/>
    <n v="1"/>
    <n v="1"/>
  </r>
  <r>
    <m/>
    <m/>
    <x v="1"/>
    <s v="50254821001001"/>
    <n v="-116.77"/>
    <n v="2869"/>
    <n v="1"/>
    <n v="1"/>
  </r>
  <r>
    <m/>
    <m/>
    <x v="1"/>
    <s v="50271551003001"/>
    <n v="-55.27"/>
    <n v="1358"/>
    <n v="1"/>
    <n v="1"/>
  </r>
  <r>
    <m/>
    <m/>
    <x v="1"/>
    <s v="50306876001004"/>
    <n v="-56.17"/>
    <n v="1380"/>
    <n v="1"/>
    <n v="1"/>
  </r>
  <r>
    <m/>
    <m/>
    <x v="1"/>
    <s v="50340550001005"/>
    <n v="-33.25"/>
    <n v="817"/>
    <n v="1"/>
    <n v="1"/>
  </r>
  <r>
    <m/>
    <m/>
    <x v="1"/>
    <s v="50409381003001"/>
    <n v="-14.49"/>
    <n v="356"/>
    <n v="1"/>
    <n v="1"/>
  </r>
  <r>
    <m/>
    <m/>
    <x v="1"/>
    <s v="50455091002001"/>
    <n v="-61.21"/>
    <n v="1504"/>
    <n v="1"/>
    <n v="1"/>
  </r>
  <r>
    <m/>
    <m/>
    <x v="1"/>
    <s v="50472322001001"/>
    <n v="-54.66"/>
    <n v="1343"/>
    <n v="1"/>
    <n v="1"/>
  </r>
  <r>
    <m/>
    <m/>
    <x v="1"/>
    <s v="50550393001001"/>
    <n v="-46.6"/>
    <n v="1145"/>
    <n v="1"/>
    <n v="1"/>
  </r>
  <r>
    <m/>
    <m/>
    <x v="1"/>
    <s v="50552391002001"/>
    <n v="-77.7"/>
    <n v="1909"/>
    <n v="1"/>
    <n v="1"/>
  </r>
  <r>
    <m/>
    <m/>
    <x v="1"/>
    <s v="50577986002006"/>
    <n v="-85.02"/>
    <n v="2089"/>
    <n v="1"/>
    <n v="1"/>
  </r>
  <r>
    <m/>
    <m/>
    <x v="1"/>
    <s v="50583810001001"/>
    <n v="-119.74"/>
    <n v="2942"/>
    <n v="1"/>
    <n v="1"/>
  </r>
  <r>
    <m/>
    <m/>
    <x v="1"/>
    <s v="50584521001002"/>
    <n v="-19.37"/>
    <n v="476"/>
    <n v="1"/>
    <n v="1"/>
  </r>
  <r>
    <m/>
    <m/>
    <x v="1"/>
    <s v="50632541001006"/>
    <n v="-13.59"/>
    <n v="334"/>
    <n v="1"/>
    <n v="1"/>
  </r>
  <r>
    <m/>
    <m/>
    <x v="1"/>
    <s v="50718011001001"/>
    <n v="-106.35"/>
    <n v="2613"/>
    <n v="1"/>
    <n v="1"/>
  </r>
  <r>
    <m/>
    <m/>
    <x v="1"/>
    <s v="50720811001003"/>
    <n v="-5.94"/>
    <n v="146"/>
    <n v="1"/>
    <n v="1"/>
  </r>
  <r>
    <m/>
    <m/>
    <x v="1"/>
    <s v="50741531001002"/>
    <n v="-35.69"/>
    <n v="877"/>
    <n v="1"/>
    <n v="1"/>
  </r>
  <r>
    <m/>
    <m/>
    <x v="1"/>
    <s v="50742301001008"/>
    <n v="-40.130000000000003"/>
    <n v="986"/>
    <n v="1"/>
    <n v="1"/>
  </r>
  <r>
    <m/>
    <m/>
    <x v="1"/>
    <s v="50750548001001"/>
    <n v="-55.03"/>
    <n v="1352"/>
    <n v="1"/>
    <n v="1"/>
  </r>
  <r>
    <m/>
    <m/>
    <x v="1"/>
    <s v="50754012001003"/>
    <n v="-14.65"/>
    <n v="360"/>
    <n v="1"/>
    <n v="1"/>
  </r>
  <r>
    <m/>
    <m/>
    <x v="1"/>
    <s v="50756231001002"/>
    <n v="-17.18"/>
    <n v="422"/>
    <n v="1"/>
    <n v="1"/>
  </r>
  <r>
    <m/>
    <m/>
    <x v="1"/>
    <s v="50756301002009"/>
    <n v="-146.47999999999999"/>
    <n v="3599"/>
    <n v="1"/>
    <n v="1"/>
  </r>
  <r>
    <m/>
    <m/>
    <x v="1"/>
    <s v="50757351002006"/>
    <n v="-37.04"/>
    <n v="910"/>
    <n v="1"/>
    <n v="1"/>
  </r>
  <r>
    <m/>
    <m/>
    <x v="1"/>
    <s v="50773031005001"/>
    <n v="-28.86"/>
    <n v="709"/>
    <n v="1"/>
    <n v="1"/>
  </r>
  <r>
    <m/>
    <m/>
    <x v="1"/>
    <s v="50783321001003"/>
    <n v="-58.28"/>
    <n v="1432"/>
    <n v="1"/>
    <n v="1"/>
  </r>
  <r>
    <m/>
    <m/>
    <x v="1"/>
    <s v="50791371001002"/>
    <n v="-45.5"/>
    <n v="1118"/>
    <n v="1"/>
    <n v="1"/>
  </r>
  <r>
    <m/>
    <m/>
    <x v="1"/>
    <s v="50791861001001"/>
    <n v="-75.78"/>
    <n v="1862"/>
    <n v="1"/>
    <n v="1"/>
  </r>
  <r>
    <m/>
    <m/>
    <x v="1"/>
    <s v="50801451001001"/>
    <n v="-19.329999999999998"/>
    <n v="475"/>
    <n v="1"/>
    <n v="1"/>
  </r>
  <r>
    <m/>
    <m/>
    <x v="1"/>
    <s v="50809571001001"/>
    <n v="-39.520000000000003"/>
    <n v="971"/>
    <n v="1"/>
    <n v="1"/>
  </r>
  <r>
    <m/>
    <m/>
    <x v="1"/>
    <s v="50813001003001"/>
    <n v="-80.22"/>
    <n v="1971"/>
    <n v="1"/>
    <n v="1"/>
  </r>
  <r>
    <m/>
    <m/>
    <x v="1"/>
    <s v="50823431001001"/>
    <n v="-42.9"/>
    <n v="1054"/>
    <n v="1"/>
    <n v="1"/>
  </r>
  <r>
    <m/>
    <m/>
    <x v="1"/>
    <s v="50825051001005"/>
    <n v="-83.96"/>
    <n v="2063"/>
    <n v="1"/>
    <n v="1"/>
  </r>
  <r>
    <m/>
    <m/>
    <x v="1"/>
    <s v="50830011002001"/>
    <n v="-8.34"/>
    <n v="205"/>
    <n v="1"/>
    <n v="1"/>
  </r>
  <r>
    <m/>
    <m/>
    <x v="1"/>
    <s v="50873620001001"/>
    <n v="-123.08"/>
    <n v="3024"/>
    <n v="1"/>
    <n v="1"/>
  </r>
  <r>
    <m/>
    <m/>
    <x v="1"/>
    <s v="50874321001001"/>
    <n v="-31.26"/>
    <n v="768"/>
    <n v="1"/>
    <n v="1"/>
  </r>
  <r>
    <m/>
    <m/>
    <x v="1"/>
    <s v="50980301002006"/>
    <n v="-49"/>
    <n v="1204"/>
    <n v="1"/>
    <n v="1"/>
  </r>
  <r>
    <m/>
    <m/>
    <x v="1"/>
    <s v="50987091001012"/>
    <n v="-92.1"/>
    <n v="2263"/>
    <n v="1"/>
    <n v="1"/>
  </r>
  <r>
    <m/>
    <m/>
    <x v="1"/>
    <s v="50997031001001"/>
    <n v="-5.78"/>
    <n v="142"/>
    <n v="1"/>
    <n v="1"/>
  </r>
  <r>
    <m/>
    <m/>
    <x v="1"/>
    <s v="51001301006001"/>
    <n v="-53.15"/>
    <n v="1306"/>
    <n v="1"/>
    <n v="1"/>
  </r>
  <r>
    <m/>
    <m/>
    <x v="1"/>
    <s v="51011101001001"/>
    <n v="-61.01"/>
    <n v="1499"/>
    <n v="1"/>
    <n v="1"/>
  </r>
  <r>
    <m/>
    <m/>
    <x v="1"/>
    <s v="51021905005001"/>
    <n v="-72.61"/>
    <n v="1784"/>
    <n v="1"/>
    <n v="1"/>
  </r>
  <r>
    <m/>
    <m/>
    <x v="1"/>
    <s v="51027691001003"/>
    <n v="-71.47"/>
    <n v="1756"/>
    <n v="1"/>
    <n v="1"/>
  </r>
  <r>
    <m/>
    <m/>
    <x v="1"/>
    <s v="51033711001004"/>
    <n v="-37.81"/>
    <n v="929"/>
    <n v="1"/>
    <n v="1"/>
  </r>
  <r>
    <m/>
    <m/>
    <x v="1"/>
    <s v="51040151001001"/>
    <n v="-19.41"/>
    <n v="477"/>
    <n v="1"/>
    <n v="1"/>
  </r>
  <r>
    <m/>
    <m/>
    <x v="1"/>
    <s v="51046801003005"/>
    <n v="-5.33"/>
    <n v="131"/>
    <n v="1"/>
    <n v="1"/>
  </r>
  <r>
    <m/>
    <m/>
    <x v="1"/>
    <s v="51047991002005"/>
    <n v="-22.18"/>
    <n v="545"/>
    <n v="1"/>
    <n v="1"/>
  </r>
  <r>
    <m/>
    <m/>
    <x v="1"/>
    <s v="51048061001001"/>
    <n v="-3.58"/>
    <n v="88"/>
    <n v="1"/>
    <n v="1"/>
  </r>
  <r>
    <m/>
    <m/>
    <x v="1"/>
    <s v="51048201005001"/>
    <n v="-57.71"/>
    <n v="1418"/>
    <n v="1"/>
    <n v="1"/>
  </r>
  <r>
    <m/>
    <m/>
    <x v="1"/>
    <s v="51053381001002"/>
    <n v="-6.76"/>
    <n v="166"/>
    <n v="1"/>
    <n v="1"/>
  </r>
  <r>
    <m/>
    <m/>
    <x v="1"/>
    <s v="51054450001001"/>
    <n v="-19.329999999999998"/>
    <n v="475"/>
    <n v="1"/>
    <n v="1"/>
  </r>
  <r>
    <m/>
    <m/>
    <x v="1"/>
    <s v="51057441001003"/>
    <n v="-60.77"/>
    <n v="1493"/>
    <n v="1"/>
    <n v="1"/>
  </r>
  <r>
    <m/>
    <m/>
    <x v="1"/>
    <s v="51060871001002"/>
    <n v="-20.68"/>
    <n v="508"/>
    <n v="1"/>
    <n v="1"/>
  </r>
  <r>
    <m/>
    <m/>
    <x v="1"/>
    <s v="51068361001002"/>
    <n v="-36.869999999999997"/>
    <n v="906"/>
    <n v="1"/>
    <n v="1"/>
  </r>
  <r>
    <m/>
    <m/>
    <x v="1"/>
    <s v="51072211003001"/>
    <n v="-139.44"/>
    <n v="3426"/>
    <n v="1"/>
    <n v="1"/>
  </r>
  <r>
    <m/>
    <m/>
    <x v="1"/>
    <s v="51073821001002"/>
    <n v="-53.6"/>
    <n v="1317"/>
    <n v="1"/>
    <n v="1"/>
  </r>
  <r>
    <m/>
    <m/>
    <x v="1"/>
    <s v="51084811002002"/>
    <n v="-65.97"/>
    <n v="1621"/>
    <n v="1"/>
    <n v="1"/>
  </r>
  <r>
    <m/>
    <m/>
    <x v="1"/>
    <s v="51093652001008"/>
    <n v="-107.69"/>
    <n v="2646"/>
    <n v="1"/>
    <n v="1"/>
  </r>
  <r>
    <m/>
    <m/>
    <x v="1"/>
    <s v="51097131003001"/>
    <n v="-126.17"/>
    <n v="3100"/>
    <n v="1"/>
    <n v="1"/>
  </r>
  <r>
    <m/>
    <m/>
    <x v="1"/>
    <s v="51103431001002"/>
    <n v="-34.43"/>
    <n v="846"/>
    <n v="1"/>
    <n v="1"/>
  </r>
  <r>
    <m/>
    <m/>
    <x v="1"/>
    <s v="51114841002001"/>
    <n v="-60.52"/>
    <n v="1487"/>
    <n v="1"/>
    <n v="1"/>
  </r>
  <r>
    <m/>
    <m/>
    <x v="1"/>
    <s v="51125341001001"/>
    <n v="-6.15"/>
    <n v="151"/>
    <n v="1"/>
    <n v="1"/>
  </r>
  <r>
    <m/>
    <m/>
    <x v="1"/>
    <s v="51126391001001"/>
    <n v="-35.08"/>
    <n v="862"/>
    <n v="1"/>
    <n v="1"/>
  </r>
  <r>
    <m/>
    <m/>
    <x v="1"/>
    <s v="51130731001001"/>
    <n v="-2.3199999999999998"/>
    <n v="57"/>
    <n v="1"/>
    <n v="1"/>
  </r>
  <r>
    <m/>
    <m/>
    <x v="1"/>
    <s v="51130801001001"/>
    <n v="-62.47"/>
    <n v="1535"/>
    <n v="1"/>
    <n v="1"/>
  </r>
  <r>
    <m/>
    <m/>
    <x v="1"/>
    <s v="51138081002001"/>
    <n v="-66.42"/>
    <n v="1632"/>
    <n v="1"/>
    <n v="1"/>
  </r>
  <r>
    <m/>
    <m/>
    <x v="1"/>
    <s v="51139481001001"/>
    <n v="-56.13"/>
    <n v="1379"/>
    <n v="1"/>
    <n v="1"/>
  </r>
  <r>
    <m/>
    <m/>
    <x v="1"/>
    <s v="51163211002005"/>
    <n v="-87.14"/>
    <n v="2141"/>
    <n v="1"/>
    <n v="1"/>
  </r>
  <r>
    <m/>
    <m/>
    <x v="1"/>
    <s v="51163561001003"/>
    <n v="-43.51"/>
    <n v="1069"/>
    <n v="1"/>
    <n v="1"/>
  </r>
  <r>
    <m/>
    <m/>
    <x v="1"/>
    <s v="51164261005001"/>
    <n v="-69.8"/>
    <n v="1715"/>
    <n v="1"/>
    <n v="1"/>
  </r>
  <r>
    <m/>
    <m/>
    <x v="1"/>
    <s v="51165241001003"/>
    <n v="-129.43"/>
    <n v="3180"/>
    <n v="1"/>
    <n v="1"/>
  </r>
  <r>
    <m/>
    <m/>
    <x v="1"/>
    <s v="51165871003001"/>
    <n v="-63.04"/>
    <n v="1549"/>
    <n v="1"/>
    <n v="1"/>
  </r>
  <r>
    <m/>
    <m/>
    <x v="1"/>
    <s v="51165941001001"/>
    <n v="-51.44"/>
    <n v="1264"/>
    <n v="1"/>
    <n v="1"/>
  </r>
  <r>
    <m/>
    <m/>
    <x v="1"/>
    <s v="51172913001002"/>
    <n v="-119.94"/>
    <n v="2947"/>
    <n v="1"/>
    <n v="1"/>
  </r>
  <r>
    <m/>
    <m/>
    <x v="1"/>
    <s v="51174276001001"/>
    <n v="-27.47"/>
    <n v="675"/>
    <n v="1"/>
    <n v="1"/>
  </r>
  <r>
    <m/>
    <m/>
    <x v="1"/>
    <s v="51175041001001"/>
    <n v="-6.15"/>
    <n v="151"/>
    <n v="1"/>
    <n v="1"/>
  </r>
  <r>
    <m/>
    <m/>
    <x v="1"/>
    <s v="51180361001001"/>
    <n v="-3.26"/>
    <n v="80"/>
    <n v="1"/>
    <n v="1"/>
  </r>
  <r>
    <m/>
    <m/>
    <x v="1"/>
    <s v="51184281006001"/>
    <n v="-50.88"/>
    <n v="1250"/>
    <n v="1"/>
    <n v="1"/>
  </r>
  <r>
    <m/>
    <m/>
    <x v="1"/>
    <s v="51185891001001"/>
    <n v="-2.3199999999999998"/>
    <n v="57"/>
    <n v="1"/>
    <n v="1"/>
  </r>
  <r>
    <m/>
    <m/>
    <x v="1"/>
    <s v="51187711001001"/>
    <n v="-44.44"/>
    <n v="1092"/>
    <n v="1"/>
    <n v="1"/>
  </r>
  <r>
    <m/>
    <m/>
    <x v="1"/>
    <s v="51194991001002"/>
    <n v="-76.48"/>
    <n v="1879"/>
    <n v="1"/>
    <n v="1"/>
  </r>
  <r>
    <m/>
    <m/>
    <x v="1"/>
    <s v="51201221014001"/>
    <n v="-67.2"/>
    <n v="1651"/>
    <n v="1"/>
    <n v="1"/>
  </r>
  <r>
    <m/>
    <m/>
    <x v="1"/>
    <s v="51206821003009"/>
    <n v="-72.239999999999995"/>
    <n v="1775"/>
    <n v="1"/>
    <n v="1"/>
  </r>
  <r>
    <m/>
    <m/>
    <x v="1"/>
    <s v="51208991001001"/>
    <n v="-31.38"/>
    <n v="771"/>
    <n v="1"/>
    <n v="1"/>
  </r>
  <r>
    <m/>
    <m/>
    <x v="1"/>
    <s v="51221801001005"/>
    <n v="-35.25"/>
    <n v="866"/>
    <n v="1"/>
    <n v="1"/>
  </r>
  <r>
    <m/>
    <m/>
    <x v="1"/>
    <s v="51225161002001"/>
    <n v="-34.07"/>
    <n v="837"/>
    <n v="1"/>
    <n v="1"/>
  </r>
  <r>
    <m/>
    <m/>
    <x v="1"/>
    <s v="51230131007001"/>
    <n v="-16.399999999999999"/>
    <n v="403"/>
    <n v="1"/>
    <n v="1"/>
  </r>
  <r>
    <m/>
    <m/>
    <x v="1"/>
    <s v="51237341002006"/>
    <n v="-61.95"/>
    <n v="1522"/>
    <n v="1"/>
    <n v="1"/>
  </r>
  <r>
    <m/>
    <m/>
    <x v="1"/>
    <s v="51309651001001"/>
    <n v="-61.09"/>
    <n v="1501"/>
    <n v="1"/>
    <n v="1"/>
  </r>
  <r>
    <m/>
    <m/>
    <x v="1"/>
    <s v="51309721001001"/>
    <n v="-146.4"/>
    <n v="3597"/>
    <n v="1"/>
    <n v="1"/>
  </r>
  <r>
    <m/>
    <m/>
    <x v="1"/>
    <s v="51316301003004"/>
    <n v="-52.06"/>
    <n v="1279"/>
    <n v="1"/>
    <n v="1"/>
  </r>
  <r>
    <m/>
    <m/>
    <x v="1"/>
    <s v="51318751001001"/>
    <n v="-51.28"/>
    <n v="1260"/>
    <n v="1"/>
    <n v="1"/>
  </r>
  <r>
    <m/>
    <m/>
    <x v="1"/>
    <s v="51320291002006"/>
    <n v="-12.82"/>
    <n v="315"/>
    <n v="1"/>
    <n v="1"/>
  </r>
  <r>
    <m/>
    <m/>
    <x v="1"/>
    <s v="51323511001002"/>
    <n v="-43.71"/>
    <n v="1074"/>
    <n v="1"/>
    <n v="1"/>
  </r>
  <r>
    <m/>
    <m/>
    <x v="1"/>
    <s v="51333166001001"/>
    <n v="-41.51"/>
    <n v="1020"/>
    <n v="1"/>
    <n v="1"/>
  </r>
  <r>
    <m/>
    <m/>
    <x v="1"/>
    <s v="51333941006001"/>
    <n v="-82.95"/>
    <n v="2038"/>
    <n v="1"/>
    <n v="1"/>
  </r>
  <r>
    <m/>
    <m/>
    <x v="1"/>
    <s v="51344861001001"/>
    <n v="-77.739999999999995"/>
    <n v="1910"/>
    <n v="1"/>
    <n v="1"/>
  </r>
  <r>
    <m/>
    <m/>
    <x v="1"/>
    <s v="51370481001001"/>
    <n v="-19.41"/>
    <n v="477"/>
    <n v="1"/>
    <n v="1"/>
  </r>
  <r>
    <m/>
    <m/>
    <x v="1"/>
    <s v="51370831001001"/>
    <n v="-150.59"/>
    <n v="3700"/>
    <n v="1"/>
    <n v="1"/>
  </r>
  <r>
    <m/>
    <m/>
    <x v="1"/>
    <s v="51377691005001"/>
    <n v="-27.88"/>
    <n v="685"/>
    <n v="1"/>
    <n v="1"/>
  </r>
  <r>
    <m/>
    <m/>
    <x v="1"/>
    <s v="51401561004001"/>
    <n v="-75.819999999999993"/>
    <n v="1863"/>
    <n v="1"/>
    <n v="1"/>
  </r>
  <r>
    <m/>
    <m/>
    <x v="1"/>
    <s v="51424031003001"/>
    <n v="-61.78"/>
    <n v="1518"/>
    <n v="1"/>
    <n v="1"/>
  </r>
  <r>
    <m/>
    <m/>
    <x v="1"/>
    <s v="51439011010001"/>
    <n v="-69.11"/>
    <n v="1698"/>
    <n v="1"/>
    <n v="1"/>
  </r>
  <r>
    <m/>
    <m/>
    <x v="1"/>
    <s v="51443606001006"/>
    <n v="-28.16"/>
    <n v="692"/>
    <n v="1"/>
    <n v="1"/>
  </r>
  <r>
    <m/>
    <m/>
    <x v="1"/>
    <s v="51450421001005"/>
    <n v="-104.4"/>
    <n v="2565"/>
    <n v="1"/>
    <n v="1"/>
  </r>
  <r>
    <m/>
    <m/>
    <x v="1"/>
    <s v="51453851003001"/>
    <n v="-60.07"/>
    <n v="1476"/>
    <n v="1"/>
    <n v="1"/>
  </r>
  <r>
    <m/>
    <m/>
    <x v="1"/>
    <s v="51461761001001"/>
    <n v="-36.67"/>
    <n v="901"/>
    <n v="1"/>
    <n v="1"/>
  </r>
  <r>
    <m/>
    <m/>
    <x v="1"/>
    <s v="51469191001007"/>
    <n v="-21.16"/>
    <n v="520"/>
    <n v="1"/>
    <n v="1"/>
  </r>
  <r>
    <m/>
    <m/>
    <x v="1"/>
    <s v="51516081001002"/>
    <n v="-20.27"/>
    <n v="498"/>
    <n v="1"/>
    <n v="1"/>
  </r>
  <r>
    <m/>
    <m/>
    <x v="1"/>
    <s v="51516361003001"/>
    <n v="-32.64"/>
    <n v="802"/>
    <n v="1"/>
    <n v="1"/>
  </r>
  <r>
    <m/>
    <m/>
    <x v="1"/>
    <s v="51521791001001"/>
    <n v="-43.02"/>
    <n v="1057"/>
    <n v="1"/>
    <n v="1"/>
  </r>
  <r>
    <m/>
    <m/>
    <x v="1"/>
    <s v="51528681001002"/>
    <n v="-15.63"/>
    <n v="384"/>
    <n v="1"/>
    <n v="1"/>
  </r>
  <r>
    <m/>
    <m/>
    <x v="1"/>
    <s v="51542891001003"/>
    <n v="-37.97"/>
    <n v="933"/>
    <n v="1"/>
    <n v="1"/>
  </r>
  <r>
    <m/>
    <m/>
    <x v="1"/>
    <s v="51543591001002"/>
    <n v="-46.52"/>
    <n v="1143"/>
    <n v="1"/>
    <n v="1"/>
  </r>
  <r>
    <m/>
    <m/>
    <x v="1"/>
    <s v="51549471001001"/>
    <n v="-5.98"/>
    <n v="147"/>
    <n v="1"/>
    <n v="1"/>
  </r>
  <r>
    <m/>
    <m/>
    <x v="1"/>
    <s v="51554091001001"/>
    <n v="-68.13"/>
    <n v="1674"/>
    <n v="1"/>
    <n v="1"/>
  </r>
  <r>
    <m/>
    <m/>
    <x v="1"/>
    <s v="51575021002004"/>
    <n v="-16.399999999999999"/>
    <n v="403"/>
    <n v="1"/>
    <n v="1"/>
  </r>
  <r>
    <m/>
    <m/>
    <x v="1"/>
    <s v="51582215001003"/>
    <n v="-97.6"/>
    <n v="2398"/>
    <n v="1"/>
    <n v="1"/>
  </r>
  <r>
    <m/>
    <m/>
    <x v="1"/>
    <s v="51584751002008"/>
    <n v="-56.94"/>
    <n v="1399"/>
    <n v="1"/>
    <n v="1"/>
  </r>
  <r>
    <m/>
    <m/>
    <x v="1"/>
    <s v="51585171003003"/>
    <n v="-73.3"/>
    <n v="1801"/>
    <n v="1"/>
    <n v="1"/>
  </r>
  <r>
    <m/>
    <m/>
    <x v="1"/>
    <s v="51590001001003"/>
    <n v="-58.36"/>
    <n v="1434"/>
    <n v="1"/>
    <n v="1"/>
  </r>
  <r>
    <m/>
    <m/>
    <x v="1"/>
    <s v="51593431001001"/>
    <n v="-122.02"/>
    <n v="2998"/>
    <n v="1"/>
    <n v="1"/>
  </r>
  <r>
    <m/>
    <m/>
    <x v="1"/>
    <s v="51597141001007"/>
    <n v="-49.25"/>
    <n v="1210"/>
    <n v="1"/>
    <n v="1"/>
  </r>
  <r>
    <m/>
    <m/>
    <x v="1"/>
    <s v="51603861001001"/>
    <n v="-41.19"/>
    <n v="1012"/>
    <n v="1"/>
    <n v="1"/>
  </r>
  <r>
    <m/>
    <m/>
    <x v="1"/>
    <s v="51609671007001"/>
    <n v="-32.269999999999996"/>
    <n v="793"/>
    <n v="2"/>
    <n v="1"/>
  </r>
  <r>
    <m/>
    <m/>
    <x v="1"/>
    <s v="51613101001001"/>
    <n v="-95.24"/>
    <n v="2340"/>
    <n v="1"/>
    <n v="1"/>
  </r>
  <r>
    <m/>
    <m/>
    <x v="1"/>
    <s v="51614151001002"/>
    <n v="-51.4"/>
    <n v="1263"/>
    <n v="1"/>
    <n v="1"/>
  </r>
  <r>
    <m/>
    <m/>
    <x v="1"/>
    <s v="51614291001001"/>
    <n v="-33.58"/>
    <n v="825"/>
    <n v="1"/>
    <n v="1"/>
  </r>
  <r>
    <m/>
    <m/>
    <x v="1"/>
    <s v="51615411001001"/>
    <n v="-64.959999999999994"/>
    <n v="1596"/>
    <n v="1"/>
    <n v="1"/>
  </r>
  <r>
    <m/>
    <m/>
    <x v="1"/>
    <s v="51615551001001"/>
    <n v="-87.18"/>
    <n v="2142"/>
    <n v="1"/>
    <n v="1"/>
  </r>
  <r>
    <m/>
    <m/>
    <x v="1"/>
    <s v="51634941001001"/>
    <n v="-143.47"/>
    <n v="3525"/>
    <n v="1"/>
    <n v="1"/>
  </r>
  <r>
    <m/>
    <m/>
    <x v="1"/>
    <s v="51697745002001"/>
    <n v="-83.72"/>
    <n v="2057"/>
    <n v="1"/>
    <n v="1"/>
  </r>
  <r>
    <m/>
    <m/>
    <x v="1"/>
    <s v="51764139001006"/>
    <n v="-18.52"/>
    <n v="455"/>
    <n v="1"/>
    <n v="1"/>
  </r>
  <r>
    <m/>
    <m/>
    <x v="1"/>
    <s v="51790155001001"/>
    <n v="-43.87"/>
    <n v="1078"/>
    <n v="1"/>
    <n v="1"/>
  </r>
  <r>
    <m/>
    <m/>
    <x v="1"/>
    <s v="51808006003005"/>
    <n v="-41.07"/>
    <n v="1009"/>
    <n v="1"/>
    <n v="1"/>
  </r>
  <r>
    <m/>
    <m/>
    <x v="1"/>
    <s v="51910701001008"/>
    <n v="-34.15"/>
    <n v="839"/>
    <n v="1"/>
    <n v="1"/>
  </r>
  <r>
    <m/>
    <m/>
    <x v="1"/>
    <s v="51973472002001"/>
    <n v="-56.04"/>
    <n v="1377"/>
    <n v="1"/>
    <n v="1"/>
  </r>
  <r>
    <m/>
    <m/>
    <x v="1"/>
    <s v="52028581001001"/>
    <n v="-53.56"/>
    <n v="1316"/>
    <n v="1"/>
    <n v="1"/>
  </r>
  <r>
    <m/>
    <m/>
    <x v="1"/>
    <s v="52042325001001"/>
    <n v="-138.66"/>
    <n v="3407"/>
    <n v="1"/>
    <n v="1"/>
  </r>
  <r>
    <m/>
    <m/>
    <x v="1"/>
    <s v="52046011003003"/>
    <n v="-27.68"/>
    <n v="680"/>
    <n v="1"/>
    <n v="1"/>
  </r>
  <r>
    <m/>
    <m/>
    <x v="1"/>
    <s v="52117368001007"/>
    <n v="-168.01"/>
    <n v="4128"/>
    <n v="1"/>
    <n v="1"/>
  </r>
  <r>
    <m/>
    <m/>
    <x v="1"/>
    <s v="52165482001003"/>
    <n v="-71.84"/>
    <n v="1765"/>
    <n v="1"/>
    <n v="1"/>
  </r>
  <r>
    <m/>
    <m/>
    <x v="1"/>
    <s v="52219112001001"/>
    <n v="-35.979999999999997"/>
    <n v="884"/>
    <n v="1"/>
    <n v="1"/>
  </r>
  <r>
    <m/>
    <m/>
    <x v="1"/>
    <s v="52226629002001"/>
    <n v="-60.81"/>
    <n v="1494"/>
    <n v="1"/>
    <n v="1"/>
  </r>
  <r>
    <m/>
    <m/>
    <x v="1"/>
    <s v="52232547001001"/>
    <n v="-47.94"/>
    <n v="1178"/>
    <n v="1"/>
    <n v="1"/>
  </r>
  <r>
    <m/>
    <m/>
    <x v="1"/>
    <s v="52259109001002"/>
    <n v="-56.74"/>
    <n v="1394"/>
    <n v="1"/>
    <n v="1"/>
  </r>
  <r>
    <m/>
    <m/>
    <x v="1"/>
    <s v="52295167001001"/>
    <n v="-87.34"/>
    <n v="2146"/>
    <n v="1"/>
    <n v="1"/>
  </r>
  <r>
    <m/>
    <m/>
    <x v="1"/>
    <s v="52325404001004"/>
    <n v="-47.9"/>
    <n v="1177"/>
    <n v="1"/>
    <n v="1"/>
  </r>
  <r>
    <m/>
    <m/>
    <x v="1"/>
    <s v="52399384002001"/>
    <n v="-27.31"/>
    <n v="671"/>
    <n v="1"/>
    <n v="1"/>
  </r>
  <r>
    <m/>
    <m/>
    <x v="1"/>
    <s v="52507041001001"/>
    <n v="-11.52"/>
    <n v="283"/>
    <n v="1"/>
    <n v="1"/>
  </r>
  <r>
    <m/>
    <m/>
    <x v="1"/>
    <s v="52533908001001"/>
    <n v="-67.77"/>
    <n v="1665"/>
    <n v="1"/>
    <n v="1"/>
  </r>
  <r>
    <m/>
    <m/>
    <x v="1"/>
    <s v="52553675001009"/>
    <n v="-16.850000000000001"/>
    <n v="414"/>
    <n v="1"/>
    <n v="1"/>
  </r>
  <r>
    <m/>
    <m/>
    <x v="1"/>
    <s v="52557185001003"/>
    <n v="-30.28"/>
    <n v="744"/>
    <n v="1"/>
    <n v="1"/>
  </r>
  <r>
    <m/>
    <m/>
    <x v="1"/>
    <s v="52659071001002"/>
    <n v="-88.69"/>
    <n v="2179"/>
    <n v="1"/>
    <n v="1"/>
  </r>
  <r>
    <m/>
    <m/>
    <x v="1"/>
    <s v="52682385001007"/>
    <n v="-48.8"/>
    <n v="1199"/>
    <n v="1"/>
    <n v="1"/>
  </r>
  <r>
    <m/>
    <m/>
    <x v="1"/>
    <s v="52778254001001"/>
    <n v="-47.5"/>
    <n v="1167"/>
    <n v="1"/>
    <n v="1"/>
  </r>
  <r>
    <m/>
    <m/>
    <x v="1"/>
    <s v="52822965001001"/>
    <n v="-3.01"/>
    <n v="74"/>
    <n v="2"/>
    <n v="1"/>
  </r>
  <r>
    <m/>
    <m/>
    <x v="1"/>
    <s v="53082444001001"/>
    <n v="-13.47"/>
    <n v="331"/>
    <n v="1"/>
    <n v="1"/>
  </r>
  <r>
    <m/>
    <m/>
    <x v="1"/>
    <s v="53087879001001"/>
    <n v="-17.62"/>
    <n v="433"/>
    <n v="1"/>
    <n v="1"/>
  </r>
  <r>
    <m/>
    <m/>
    <x v="1"/>
    <s v="53108976001002"/>
    <n v="-48.68"/>
    <n v="1196"/>
    <n v="1"/>
    <n v="1"/>
  </r>
  <r>
    <m/>
    <m/>
    <x v="1"/>
    <s v="53124174001007"/>
    <n v="-65.53"/>
    <n v="1610"/>
    <n v="1"/>
    <n v="1"/>
  </r>
  <r>
    <m/>
    <m/>
    <x v="1"/>
    <s v="53224751002001"/>
    <n v="-47.7"/>
    <n v="1172"/>
    <n v="1"/>
    <n v="1"/>
  </r>
  <r>
    <m/>
    <m/>
    <x v="1"/>
    <s v="53317522001003"/>
    <n v="-70.09"/>
    <n v="1722"/>
    <n v="1"/>
    <n v="1"/>
  </r>
  <r>
    <m/>
    <m/>
    <x v="1"/>
    <s v="53320365001001"/>
    <n v="-19.899999999999999"/>
    <n v="489"/>
    <n v="1"/>
    <n v="1"/>
  </r>
  <r>
    <m/>
    <m/>
    <x v="1"/>
    <s v="53350345002005"/>
    <n v="-30.32"/>
    <n v="745"/>
    <n v="1"/>
    <n v="1"/>
  </r>
  <r>
    <m/>
    <m/>
    <x v="1"/>
    <s v="53356156002001"/>
    <n v="-56.37"/>
    <n v="1385"/>
    <n v="1"/>
    <n v="1"/>
  </r>
  <r>
    <m/>
    <m/>
    <x v="1"/>
    <s v="53369288001006"/>
    <n v="-11.76"/>
    <n v="289"/>
    <n v="1"/>
    <n v="1"/>
  </r>
  <r>
    <m/>
    <m/>
    <x v="1"/>
    <s v="53410550003001"/>
    <n v="-17.7"/>
    <n v="435"/>
    <n v="1"/>
    <n v="1"/>
  </r>
  <r>
    <m/>
    <m/>
    <x v="1"/>
    <s v="53488010001002"/>
    <n v="-31.05"/>
    <n v="763"/>
    <n v="1"/>
    <n v="1"/>
  </r>
  <r>
    <m/>
    <m/>
    <x v="1"/>
    <s v="53681358001001"/>
    <n v="-36.43"/>
    <n v="895"/>
    <n v="1"/>
    <n v="1"/>
  </r>
  <r>
    <m/>
    <m/>
    <x v="1"/>
    <s v="53713362001001"/>
    <n v="-21.04"/>
    <n v="517"/>
    <n v="1"/>
    <n v="1"/>
  </r>
  <r>
    <m/>
    <m/>
    <x v="1"/>
    <s v="53808670001004"/>
    <n v="-13.19"/>
    <n v="324"/>
    <n v="1"/>
    <n v="1"/>
  </r>
  <r>
    <m/>
    <m/>
    <x v="1"/>
    <s v="53812406001002"/>
    <n v="-46.81"/>
    <n v="1150"/>
    <n v="1"/>
    <n v="1"/>
  </r>
  <r>
    <m/>
    <m/>
    <x v="1"/>
    <s v="53848555001002"/>
    <n v="-61.5"/>
    <n v="1511"/>
    <n v="1"/>
    <n v="1"/>
  </r>
  <r>
    <m/>
    <m/>
    <x v="1"/>
    <s v="53914791002001"/>
    <n v="-38.79"/>
    <n v="953"/>
    <n v="1"/>
    <n v="1"/>
  </r>
  <r>
    <m/>
    <m/>
    <x v="1"/>
    <s v="53953758001001"/>
    <n v="-50.79"/>
    <n v="1248"/>
    <n v="1"/>
    <n v="1"/>
  </r>
  <r>
    <m/>
    <m/>
    <x v="1"/>
    <s v="53970846001001"/>
    <n v="-49.04"/>
    <n v="1205"/>
    <n v="1"/>
    <n v="1"/>
  </r>
  <r>
    <m/>
    <m/>
    <x v="1"/>
    <s v="54011290001001"/>
    <n v="-53.15"/>
    <n v="1306"/>
    <n v="1"/>
    <n v="1"/>
  </r>
  <r>
    <m/>
    <m/>
    <x v="1"/>
    <s v="54015677001009"/>
    <n v="-77.209999999999994"/>
    <n v="1897"/>
    <n v="1"/>
    <n v="1"/>
  </r>
  <r>
    <m/>
    <m/>
    <x v="1"/>
    <s v="54019982001004"/>
    <n v="-101.99"/>
    <n v="2506"/>
    <n v="1"/>
    <n v="1"/>
  </r>
  <r>
    <m/>
    <m/>
    <x v="1"/>
    <s v="54099172001001"/>
    <n v="-17.34"/>
    <n v="426"/>
    <n v="1"/>
    <n v="1"/>
  </r>
  <r>
    <m/>
    <m/>
    <x v="1"/>
    <s v="54147532001001"/>
    <n v="-55.84"/>
    <n v="1372"/>
    <n v="1"/>
    <n v="1"/>
  </r>
  <r>
    <m/>
    <m/>
    <x v="1"/>
    <s v="54179632002003"/>
    <n v="-8.06"/>
    <n v="198"/>
    <n v="1"/>
    <n v="1"/>
  </r>
  <r>
    <m/>
    <m/>
    <x v="1"/>
    <s v="54256535001001"/>
    <n v="-37.729999999999997"/>
    <n v="927"/>
    <n v="1"/>
    <n v="1"/>
  </r>
  <r>
    <m/>
    <m/>
    <x v="1"/>
    <s v="54329736005001"/>
    <n v="-19.37"/>
    <n v="476"/>
    <n v="1"/>
    <n v="1"/>
  </r>
  <r>
    <m/>
    <m/>
    <x v="1"/>
    <s v="54399460003005"/>
    <n v="-38.869999999999997"/>
    <n v="955"/>
    <n v="1"/>
    <n v="1"/>
  </r>
  <r>
    <m/>
    <m/>
    <x v="1"/>
    <s v="54477932001003"/>
    <n v="-61.66"/>
    <n v="1515"/>
    <n v="1"/>
    <n v="1"/>
  </r>
  <r>
    <m/>
    <m/>
    <x v="1"/>
    <s v="54514113001001"/>
    <n v="-0.61"/>
    <n v="15"/>
    <n v="1"/>
    <n v="1"/>
  </r>
  <r>
    <m/>
    <m/>
    <x v="1"/>
    <s v="54523601001001"/>
    <n v="-102.36"/>
    <n v="2515"/>
    <n v="1"/>
    <n v="1"/>
  </r>
  <r>
    <m/>
    <m/>
    <x v="1"/>
    <s v="54582419004001"/>
    <n v="-22.34"/>
    <n v="549"/>
    <n v="1"/>
    <n v="1"/>
  </r>
  <r>
    <m/>
    <m/>
    <x v="1"/>
    <s v="54609162004002"/>
    <n v="-13.35"/>
    <n v="328"/>
    <n v="1"/>
    <n v="1"/>
  </r>
  <r>
    <m/>
    <m/>
    <x v="1"/>
    <s v="54633989001003"/>
    <n v="-77.86"/>
    <n v="1913"/>
    <n v="1"/>
    <n v="1"/>
  </r>
  <r>
    <m/>
    <m/>
    <x v="1"/>
    <s v="54677837001001"/>
    <n v="-35"/>
    <n v="860"/>
    <n v="1"/>
    <n v="1"/>
  </r>
  <r>
    <m/>
    <m/>
    <x v="1"/>
    <s v="54740330002001"/>
    <n v="-48.03"/>
    <n v="1180"/>
    <n v="1"/>
    <n v="1"/>
  </r>
  <r>
    <m/>
    <m/>
    <x v="1"/>
    <s v="54844815001003"/>
    <n v="-21.73"/>
    <n v="534"/>
    <n v="1"/>
    <n v="1"/>
  </r>
  <r>
    <m/>
    <m/>
    <x v="1"/>
    <s v="54884722001003"/>
    <n v="-2.85"/>
    <n v="70"/>
    <n v="1"/>
    <n v="1"/>
  </r>
  <r>
    <m/>
    <m/>
    <x v="1"/>
    <s v="54897257001001"/>
    <n v="-36.51"/>
    <n v="897"/>
    <n v="1"/>
    <n v="1"/>
  </r>
  <r>
    <m/>
    <m/>
    <x v="1"/>
    <s v="54978920001003"/>
    <n v="-44.53"/>
    <n v="1094"/>
    <n v="1"/>
    <n v="1"/>
  </r>
  <r>
    <m/>
    <m/>
    <x v="1"/>
    <s v="55036747001002"/>
    <n v="-76.56"/>
    <n v="1881"/>
    <n v="1"/>
    <n v="1"/>
  </r>
  <r>
    <m/>
    <m/>
    <x v="1"/>
    <s v="55121276001005"/>
    <n v="-38.1"/>
    <n v="936"/>
    <n v="1"/>
    <n v="1"/>
  </r>
  <r>
    <m/>
    <m/>
    <x v="1"/>
    <s v="55185996001003"/>
    <n v="-41.43"/>
    <n v="1018"/>
    <n v="1"/>
    <n v="1"/>
  </r>
  <r>
    <m/>
    <m/>
    <x v="1"/>
    <s v="55389283006001"/>
    <n v="-52.34"/>
    <n v="1286"/>
    <n v="1"/>
    <n v="1"/>
  </r>
  <r>
    <m/>
    <m/>
    <x v="1"/>
    <s v="55476730001005"/>
    <n v="-100.2"/>
    <n v="2462"/>
    <n v="1"/>
    <n v="1"/>
  </r>
  <r>
    <m/>
    <m/>
    <x v="1"/>
    <s v="55524078001001"/>
    <n v="-22.1"/>
    <n v="543"/>
    <n v="1"/>
    <n v="1"/>
  </r>
  <r>
    <m/>
    <m/>
    <x v="1"/>
    <s v="55536729004001"/>
    <n v="-50.55"/>
    <n v="1242"/>
    <n v="1"/>
    <n v="1"/>
  </r>
  <r>
    <m/>
    <m/>
    <x v="1"/>
    <s v="55644406001001"/>
    <n v="-9.61"/>
    <n v="236"/>
    <n v="1"/>
    <n v="1"/>
  </r>
  <r>
    <m/>
    <m/>
    <x v="1"/>
    <s v="55698018001001"/>
    <n v="-2.2799999999999998"/>
    <n v="56"/>
    <n v="1"/>
    <n v="1"/>
  </r>
  <r>
    <m/>
    <m/>
    <x v="1"/>
    <s v="55743493002001"/>
    <n v="-55.23"/>
    <n v="1357"/>
    <n v="1"/>
    <n v="1"/>
  </r>
  <r>
    <m/>
    <m/>
    <x v="1"/>
    <s v="55776761001011"/>
    <n v="-83.56"/>
    <n v="2053"/>
    <n v="1"/>
    <n v="1"/>
  </r>
  <r>
    <m/>
    <m/>
    <x v="1"/>
    <s v="55781832001008"/>
    <n v="-60.2"/>
    <n v="1479"/>
    <n v="1"/>
    <n v="1"/>
  </r>
  <r>
    <m/>
    <m/>
    <x v="1"/>
    <s v="55852549001004"/>
    <n v="-31.26"/>
    <n v="768"/>
    <n v="1"/>
    <n v="1"/>
  </r>
  <r>
    <m/>
    <m/>
    <x v="1"/>
    <s v="55894222001001"/>
    <n v="-47.78"/>
    <n v="1174"/>
    <n v="1"/>
    <n v="1"/>
  </r>
  <r>
    <m/>
    <m/>
    <x v="1"/>
    <s v="56027623001001"/>
    <n v="-111.97"/>
    <n v="2751"/>
    <n v="1"/>
    <n v="1"/>
  </r>
  <r>
    <m/>
    <m/>
    <x v="1"/>
    <s v="56063826001003"/>
    <n v="-57.96"/>
    <n v="1424"/>
    <n v="1"/>
    <n v="1"/>
  </r>
  <r>
    <m/>
    <m/>
    <x v="1"/>
    <s v="56072830001004"/>
    <n v="-51.12"/>
    <n v="1256"/>
    <n v="1"/>
    <n v="1"/>
  </r>
  <r>
    <m/>
    <m/>
    <x v="1"/>
    <s v="56079112001004"/>
    <n v="-25.64"/>
    <n v="630"/>
    <n v="1"/>
    <n v="1"/>
  </r>
  <r>
    <m/>
    <m/>
    <x v="1"/>
    <s v="56116311001001"/>
    <n v="-47.94"/>
    <n v="1178"/>
    <n v="1"/>
    <n v="1"/>
  </r>
  <r>
    <m/>
    <m/>
    <x v="1"/>
    <s v="56158181001001"/>
    <n v="-24.22"/>
    <n v="595"/>
    <n v="1"/>
    <n v="1"/>
  </r>
  <r>
    <m/>
    <m/>
    <x v="1"/>
    <s v="56180731001001"/>
    <n v="-8.42"/>
    <n v="207"/>
    <n v="1"/>
    <n v="1"/>
  </r>
  <r>
    <m/>
    <m/>
    <x v="1"/>
    <s v="56272890001001"/>
    <n v="-15.47"/>
    <n v="380"/>
    <n v="1"/>
    <n v="1"/>
  </r>
  <r>
    <m/>
    <m/>
    <x v="1"/>
    <s v="56277887001003"/>
    <n v="-38.5"/>
    <n v="946"/>
    <n v="1"/>
    <n v="1"/>
  </r>
  <r>
    <m/>
    <m/>
    <x v="1"/>
    <s v="56294504001001"/>
    <n v="-37.32"/>
    <n v="917"/>
    <n v="1"/>
    <n v="1"/>
  </r>
  <r>
    <m/>
    <m/>
    <x v="1"/>
    <s v="56326619001001"/>
    <n v="-31.05"/>
    <n v="763"/>
    <n v="1"/>
    <n v="1"/>
  </r>
  <r>
    <m/>
    <m/>
    <x v="1"/>
    <s v="56533159001001"/>
    <n v="-61.25"/>
    <n v="1505"/>
    <n v="1"/>
    <n v="1"/>
  </r>
  <r>
    <m/>
    <m/>
    <x v="1"/>
    <s v="56545421001001"/>
    <n v="-36.39"/>
    <n v="894"/>
    <n v="1"/>
    <n v="1"/>
  </r>
  <r>
    <m/>
    <m/>
    <x v="1"/>
    <s v="56725042001004"/>
    <n v="-25.84"/>
    <n v="635"/>
    <n v="1"/>
    <n v="1"/>
  </r>
  <r>
    <m/>
    <m/>
    <x v="1"/>
    <s v="56745375001001"/>
    <n v="-45.91"/>
    <n v="1128"/>
    <n v="1"/>
    <n v="1"/>
  </r>
  <r>
    <m/>
    <m/>
    <x v="1"/>
    <s v="56918510001001"/>
    <n v="-47.05"/>
    <n v="1156"/>
    <n v="1"/>
    <n v="1"/>
  </r>
  <r>
    <m/>
    <m/>
    <x v="1"/>
    <s v="56940246001005"/>
    <n v="-45.1"/>
    <n v="1108"/>
    <n v="1"/>
    <n v="1"/>
  </r>
  <r>
    <m/>
    <m/>
    <x v="1"/>
    <s v="56947002001001"/>
    <n v="-40.54"/>
    <n v="996"/>
    <n v="1"/>
    <n v="1"/>
  </r>
  <r>
    <m/>
    <m/>
    <x v="1"/>
    <s v="57000650001002"/>
    <n v="-43.39"/>
    <n v="1066"/>
    <n v="1"/>
    <n v="1"/>
  </r>
  <r>
    <m/>
    <m/>
    <x v="1"/>
    <s v="57049582001005"/>
    <n v="-45.79"/>
    <n v="1125"/>
    <n v="1"/>
    <n v="1"/>
  </r>
  <r>
    <m/>
    <m/>
    <x v="1"/>
    <s v="57097404001004"/>
    <n v="-57.1"/>
    <n v="1403"/>
    <n v="1"/>
    <n v="1"/>
  </r>
  <r>
    <m/>
    <m/>
    <x v="1"/>
    <s v="57110729007001"/>
    <n v="-3.66"/>
    <n v="90"/>
    <n v="1"/>
    <n v="1"/>
  </r>
  <r>
    <m/>
    <m/>
    <x v="1"/>
    <s v="57232509003001"/>
    <n v="-52.34"/>
    <n v="1286"/>
    <n v="1"/>
    <n v="1"/>
  </r>
  <r>
    <m/>
    <m/>
    <x v="1"/>
    <s v="57356716001002"/>
    <n v="-48.19"/>
    <n v="1184"/>
    <n v="1"/>
    <n v="1"/>
  </r>
  <r>
    <m/>
    <m/>
    <x v="1"/>
    <s v="57453412001005"/>
    <n v="-50.31"/>
    <n v="1236"/>
    <n v="1"/>
    <n v="1"/>
  </r>
  <r>
    <m/>
    <m/>
    <x v="1"/>
    <s v="57455935001001"/>
    <n v="-83.44"/>
    <n v="2050"/>
    <n v="1"/>
    <n v="1"/>
  </r>
  <r>
    <m/>
    <m/>
    <x v="1"/>
    <s v="57511006004003"/>
    <n v="-19.21"/>
    <n v="472"/>
    <n v="1"/>
    <n v="1"/>
  </r>
  <r>
    <m/>
    <m/>
    <x v="1"/>
    <s v="57634785001001"/>
    <n v="-69.760000000000005"/>
    <n v="1714"/>
    <n v="1"/>
    <n v="1"/>
  </r>
  <r>
    <m/>
    <m/>
    <x v="1"/>
    <s v="57760862001001"/>
    <n v="-3.38"/>
    <n v="83"/>
    <n v="1"/>
    <n v="1"/>
  </r>
  <r>
    <m/>
    <m/>
    <x v="1"/>
    <s v="57832229001001"/>
    <n v="-22.1"/>
    <n v="543"/>
    <n v="1"/>
    <n v="1"/>
  </r>
  <r>
    <m/>
    <m/>
    <x v="1"/>
    <s v="58009799001001"/>
    <n v="-3.62"/>
    <n v="89"/>
    <n v="1"/>
    <n v="1"/>
  </r>
  <r>
    <m/>
    <m/>
    <x v="1"/>
    <s v="58070087003003"/>
    <n v="-81.680000000000007"/>
    <n v="2007"/>
    <n v="1"/>
    <n v="1"/>
  </r>
  <r>
    <m/>
    <m/>
    <x v="1"/>
    <s v="58123333001002"/>
    <n v="-43.51"/>
    <n v="1069"/>
    <n v="1"/>
    <n v="1"/>
  </r>
  <r>
    <m/>
    <m/>
    <x v="1"/>
    <s v="58144822001002"/>
    <n v="-64.47"/>
    <n v="1584"/>
    <n v="1"/>
    <n v="1"/>
  </r>
  <r>
    <m/>
    <m/>
    <x v="1"/>
    <s v="58167581001001"/>
    <n v="-53.93"/>
    <n v="1325"/>
    <n v="1"/>
    <n v="1"/>
  </r>
  <r>
    <m/>
    <m/>
    <x v="1"/>
    <s v="58199492001003"/>
    <n v="-51.65"/>
    <n v="1269"/>
    <n v="1"/>
    <n v="1"/>
  </r>
  <r>
    <m/>
    <m/>
    <x v="1"/>
    <s v="58238806001004"/>
    <n v="-12.74"/>
    <n v="313"/>
    <n v="1"/>
    <n v="1"/>
  </r>
  <r>
    <m/>
    <m/>
    <x v="1"/>
    <s v="58254409001002"/>
    <n v="-25.6"/>
    <n v="629"/>
    <n v="1"/>
    <n v="1"/>
  </r>
  <r>
    <m/>
    <m/>
    <x v="1"/>
    <s v="58363535001001"/>
    <n v="-16.809999999999999"/>
    <n v="413"/>
    <n v="1"/>
    <n v="1"/>
  </r>
  <r>
    <m/>
    <m/>
    <x v="1"/>
    <s v="58433748001002"/>
    <n v="-47.17"/>
    <n v="1159"/>
    <n v="1"/>
    <n v="1"/>
  </r>
  <r>
    <m/>
    <m/>
    <x v="1"/>
    <s v="58436858001004"/>
    <n v="-71.709999999999994"/>
    <n v="1762"/>
    <n v="1"/>
    <n v="1"/>
  </r>
  <r>
    <m/>
    <m/>
    <x v="1"/>
    <s v="58468448002001"/>
    <n v="-66.099999999999994"/>
    <n v="1624"/>
    <n v="1"/>
    <n v="1"/>
  </r>
  <r>
    <m/>
    <m/>
    <x v="1"/>
    <s v="58473274001001"/>
    <n v="-108.14"/>
    <n v="2657"/>
    <n v="1"/>
    <n v="1"/>
  </r>
  <r>
    <m/>
    <m/>
    <x v="1"/>
    <s v="58496743001008"/>
    <n v="-3.01"/>
    <n v="74"/>
    <n v="1"/>
    <n v="1"/>
  </r>
  <r>
    <m/>
    <m/>
    <x v="1"/>
    <s v="58521117005001"/>
    <n v="-16.079999999999998"/>
    <n v="395"/>
    <n v="1"/>
    <n v="1"/>
  </r>
  <r>
    <m/>
    <m/>
    <x v="1"/>
    <s v="58549564001001"/>
    <n v="-46.11"/>
    <n v="1133"/>
    <n v="1"/>
    <n v="1"/>
  </r>
  <r>
    <m/>
    <m/>
    <x v="1"/>
    <s v="58643665001003"/>
    <n v="-50.22"/>
    <n v="1234"/>
    <n v="1"/>
    <n v="1"/>
  </r>
  <r>
    <m/>
    <m/>
    <x v="1"/>
    <s v="58665150001005"/>
    <n v="-52.99"/>
    <n v="1302"/>
    <n v="1"/>
    <n v="1"/>
  </r>
  <r>
    <m/>
    <m/>
    <x v="1"/>
    <s v="58704052001001"/>
    <n v="-11.19"/>
    <n v="275"/>
    <n v="1"/>
    <n v="1"/>
  </r>
  <r>
    <m/>
    <m/>
    <x v="1"/>
    <s v="58815775001003"/>
    <n v="-54.5"/>
    <n v="1339"/>
    <n v="1"/>
    <n v="1"/>
  </r>
  <r>
    <m/>
    <m/>
    <x v="1"/>
    <s v="58828870007001"/>
    <n v="-57.43"/>
    <n v="1411"/>
    <n v="1"/>
    <n v="1"/>
  </r>
  <r>
    <m/>
    <m/>
    <x v="1"/>
    <s v="58952317002005"/>
    <n v="-65.77"/>
    <n v="1616"/>
    <n v="1"/>
    <n v="1"/>
  </r>
  <r>
    <m/>
    <m/>
    <x v="1"/>
    <s v="59053011001001"/>
    <n v="-53.93"/>
    <n v="1325"/>
    <n v="1"/>
    <n v="1"/>
  </r>
  <r>
    <m/>
    <m/>
    <x v="1"/>
    <s v="59085749001001"/>
    <n v="-61.95"/>
    <n v="1522"/>
    <n v="1"/>
    <n v="1"/>
  </r>
  <r>
    <m/>
    <m/>
    <x v="1"/>
    <s v="59136213001001"/>
    <n v="-62.43"/>
    <n v="1534"/>
    <n v="1"/>
    <n v="1"/>
  </r>
  <r>
    <m/>
    <m/>
    <x v="1"/>
    <s v="59417675001003"/>
    <n v="-23"/>
    <n v="565"/>
    <n v="1"/>
    <n v="1"/>
  </r>
  <r>
    <m/>
    <m/>
    <x v="1"/>
    <s v="59547463005003"/>
    <n v="-72.53"/>
    <n v="1782"/>
    <n v="1"/>
    <n v="1"/>
  </r>
  <r>
    <m/>
    <m/>
    <x v="1"/>
    <s v="59582257003001"/>
    <n v="-35.119999999999997"/>
    <n v="863"/>
    <n v="1"/>
    <n v="1"/>
  </r>
  <r>
    <m/>
    <m/>
    <x v="1"/>
    <s v="59712638001001"/>
    <n v="-4.5999999999999996"/>
    <n v="113"/>
    <n v="1"/>
    <n v="1"/>
  </r>
  <r>
    <m/>
    <m/>
    <x v="1"/>
    <s v="59835939001001"/>
    <n v="-41.35"/>
    <n v="1016"/>
    <n v="1"/>
    <n v="1"/>
  </r>
  <r>
    <m/>
    <m/>
    <x v="1"/>
    <s v="59904249001001"/>
    <n v="-103.3"/>
    <n v="2538"/>
    <n v="1"/>
    <n v="1"/>
  </r>
  <r>
    <m/>
    <m/>
    <x v="1"/>
    <s v="60000842001003"/>
    <n v="-52.58"/>
    <n v="1292"/>
    <n v="1"/>
    <n v="1"/>
  </r>
  <r>
    <m/>
    <m/>
    <x v="1"/>
    <s v="60085172002003"/>
    <n v="-67.599999999999994"/>
    <n v="1661"/>
    <n v="1"/>
    <n v="1"/>
  </r>
  <r>
    <m/>
    <m/>
    <x v="1"/>
    <s v="60103851002003"/>
    <n v="-24.5"/>
    <n v="602"/>
    <n v="1"/>
    <n v="1"/>
  </r>
  <r>
    <m/>
    <m/>
    <x v="1"/>
    <s v="60129080001001"/>
    <n v="-27.39"/>
    <n v="673"/>
    <n v="1"/>
    <n v="1"/>
  </r>
  <r>
    <m/>
    <m/>
    <x v="1"/>
    <s v="60239588001006"/>
    <n v="-69.84"/>
    <n v="1716"/>
    <n v="1"/>
    <n v="1"/>
  </r>
  <r>
    <m/>
    <m/>
    <x v="1"/>
    <s v="60311880001002"/>
    <n v="-55.6"/>
    <n v="1366"/>
    <n v="1"/>
    <n v="1"/>
  </r>
  <r>
    <m/>
    <m/>
    <x v="1"/>
    <s v="60332663002001"/>
    <n v="-1.75"/>
    <n v="43"/>
    <n v="1"/>
    <n v="1"/>
  </r>
  <r>
    <m/>
    <m/>
    <x v="1"/>
    <s v="60362120001002"/>
    <n v="-31.42"/>
    <n v="772"/>
    <n v="1"/>
    <n v="1"/>
  </r>
  <r>
    <m/>
    <m/>
    <x v="1"/>
    <s v="60372686002003"/>
    <n v="-14.94"/>
    <n v="367"/>
    <n v="1"/>
    <n v="1"/>
  </r>
  <r>
    <m/>
    <m/>
    <x v="1"/>
    <s v="60378444004001"/>
    <n v="-65.45"/>
    <n v="1608"/>
    <n v="1"/>
    <n v="1"/>
  </r>
  <r>
    <m/>
    <m/>
    <x v="1"/>
    <s v="60473262001001"/>
    <n v="-39.11"/>
    <n v="961"/>
    <n v="1"/>
    <n v="1"/>
  </r>
  <r>
    <m/>
    <m/>
    <x v="1"/>
    <s v="60503071001008"/>
    <n v="-50.63"/>
    <n v="1244"/>
    <n v="1"/>
    <n v="1"/>
  </r>
  <r>
    <m/>
    <m/>
    <x v="1"/>
    <s v="60570725002001"/>
    <n v="-104.19"/>
    <n v="2560"/>
    <n v="1"/>
    <n v="1"/>
  </r>
  <r>
    <m/>
    <m/>
    <x v="1"/>
    <s v="60588107001001"/>
    <n v="-0.08"/>
    <n v="2"/>
    <n v="1"/>
    <n v="1"/>
  </r>
  <r>
    <m/>
    <m/>
    <x v="1"/>
    <s v="60790565001008"/>
    <n v="-97.84"/>
    <n v="2404"/>
    <n v="1"/>
    <n v="1"/>
  </r>
  <r>
    <m/>
    <m/>
    <x v="1"/>
    <s v="60942818001007"/>
    <n v="-57.26"/>
    <n v="1407"/>
    <n v="1"/>
    <n v="1"/>
  </r>
  <r>
    <m/>
    <m/>
    <x v="1"/>
    <s v="61029624002001"/>
    <n v="-63.25"/>
    <n v="1554"/>
    <n v="1"/>
    <n v="1"/>
  </r>
  <r>
    <m/>
    <m/>
    <x v="1"/>
    <s v="61096024001005"/>
    <n v="-77.489999999999995"/>
    <n v="1904"/>
    <n v="1"/>
    <n v="1"/>
  </r>
  <r>
    <m/>
    <m/>
    <x v="1"/>
    <s v="61107475001005"/>
    <n v="-14.73"/>
    <n v="362"/>
    <n v="1"/>
    <n v="1"/>
  </r>
  <r>
    <m/>
    <m/>
    <x v="1"/>
    <s v="61185457001001"/>
    <n v="-71.06"/>
    <n v="1746"/>
    <n v="1"/>
    <n v="1"/>
  </r>
  <r>
    <m/>
    <m/>
    <x v="1"/>
    <s v="61201741001001"/>
    <n v="-25.44"/>
    <n v="625"/>
    <n v="1"/>
    <n v="1"/>
  </r>
  <r>
    <m/>
    <m/>
    <x v="1"/>
    <s v="61237473001001"/>
    <n v="-59.75"/>
    <n v="1468"/>
    <n v="1"/>
    <n v="1"/>
  </r>
  <r>
    <m/>
    <m/>
    <x v="1"/>
    <s v="61254120001004"/>
    <n v="-32.19"/>
    <n v="791"/>
    <n v="1"/>
    <n v="1"/>
  </r>
  <r>
    <m/>
    <m/>
    <x v="1"/>
    <s v="61309008001005"/>
    <n v="-33.33"/>
    <n v="819"/>
    <n v="1"/>
    <n v="1"/>
  </r>
  <r>
    <m/>
    <m/>
    <x v="1"/>
    <s v="61327383003001"/>
    <n v="-6.11"/>
    <n v="150"/>
    <n v="1"/>
    <n v="1"/>
  </r>
  <r>
    <m/>
    <m/>
    <x v="1"/>
    <s v="61446494004007"/>
    <n v="-24.3"/>
    <n v="597"/>
    <n v="1"/>
    <n v="1"/>
  </r>
  <r>
    <m/>
    <m/>
    <x v="1"/>
    <s v="61517595001002"/>
    <n v="-28"/>
    <n v="688"/>
    <n v="1"/>
    <n v="1"/>
  </r>
  <r>
    <m/>
    <m/>
    <x v="1"/>
    <s v="61553021001001"/>
    <n v="-71.84"/>
    <n v="1765"/>
    <n v="1"/>
    <n v="1"/>
  </r>
  <r>
    <m/>
    <m/>
    <x v="1"/>
    <s v="61590681001006"/>
    <n v="-36.06"/>
    <n v="886"/>
    <n v="1"/>
    <n v="1"/>
  </r>
  <r>
    <m/>
    <m/>
    <x v="1"/>
    <s v="61630580001002"/>
    <n v="-17.05"/>
    <n v="419"/>
    <n v="1"/>
    <n v="1"/>
  </r>
  <r>
    <m/>
    <m/>
    <x v="1"/>
    <s v="61690664001003"/>
    <n v="-14.45"/>
    <n v="355"/>
    <n v="1"/>
    <n v="1"/>
  </r>
  <r>
    <m/>
    <m/>
    <x v="1"/>
    <s v="61791165002003"/>
    <n v="-13.02"/>
    <n v="320"/>
    <n v="1"/>
    <n v="1"/>
  </r>
  <r>
    <m/>
    <m/>
    <x v="1"/>
    <s v="61792646001001"/>
    <n v="-91.17"/>
    <n v="2240"/>
    <n v="1"/>
    <n v="1"/>
  </r>
  <r>
    <m/>
    <m/>
    <x v="1"/>
    <s v="61831600002001"/>
    <n v="-94.63"/>
    <n v="2325"/>
    <n v="1"/>
    <n v="1"/>
  </r>
  <r>
    <m/>
    <m/>
    <x v="1"/>
    <s v="61880035001006"/>
    <n v="-94.51"/>
    <n v="2322"/>
    <n v="1"/>
    <n v="1"/>
  </r>
  <r>
    <m/>
    <m/>
    <x v="1"/>
    <s v="61935568001001"/>
    <n v="-3.7"/>
    <n v="91"/>
    <n v="1"/>
    <n v="1"/>
  </r>
  <r>
    <m/>
    <m/>
    <x v="1"/>
    <s v="62065609001001"/>
    <n v="-82.38"/>
    <n v="2024"/>
    <n v="1"/>
    <n v="1"/>
  </r>
  <r>
    <m/>
    <m/>
    <x v="1"/>
    <s v="62089132001003"/>
    <n v="-24.34"/>
    <n v="598"/>
    <n v="1"/>
    <n v="1"/>
  </r>
  <r>
    <m/>
    <m/>
    <x v="1"/>
    <s v="62125139001001"/>
    <n v="-2.85"/>
    <n v="70"/>
    <n v="1"/>
    <n v="1"/>
  </r>
  <r>
    <m/>
    <m/>
    <x v="1"/>
    <s v="62209532002001"/>
    <n v="-47.74"/>
    <n v="1173"/>
    <n v="1"/>
    <n v="1"/>
  </r>
  <r>
    <m/>
    <m/>
    <x v="1"/>
    <s v="62244159001003"/>
    <n v="-83.11"/>
    <n v="2042"/>
    <n v="1"/>
    <n v="1"/>
  </r>
  <r>
    <m/>
    <m/>
    <x v="1"/>
    <s v="62313382001001"/>
    <n v="-10.58"/>
    <n v="260"/>
    <n v="1"/>
    <n v="1"/>
  </r>
  <r>
    <m/>
    <m/>
    <x v="1"/>
    <s v="62406515001008"/>
    <n v="-92.23"/>
    <n v="2266"/>
    <n v="1"/>
    <n v="1"/>
  </r>
  <r>
    <m/>
    <m/>
    <x v="1"/>
    <s v="62447696001001"/>
    <n v="-5.49"/>
    <n v="135"/>
    <n v="1"/>
    <n v="1"/>
  </r>
  <r>
    <m/>
    <m/>
    <x v="1"/>
    <s v="62485672001001"/>
    <n v="-36.71"/>
    <n v="902"/>
    <n v="1"/>
    <n v="1"/>
  </r>
  <r>
    <m/>
    <m/>
    <x v="1"/>
    <s v="62590261001001"/>
    <n v="-26.66"/>
    <n v="655"/>
    <n v="1"/>
    <n v="1"/>
  </r>
  <r>
    <m/>
    <m/>
    <x v="1"/>
    <s v="62610781001004"/>
    <n v="-65.73"/>
    <n v="1615"/>
    <n v="1"/>
    <n v="1"/>
  </r>
  <r>
    <m/>
    <m/>
    <x v="1"/>
    <s v="62620561001002"/>
    <n v="-69.88"/>
    <n v="1717"/>
    <n v="1"/>
    <n v="1"/>
  </r>
  <r>
    <m/>
    <m/>
    <x v="1"/>
    <s v="62633524002001"/>
    <n v="-49.74"/>
    <n v="1222"/>
    <n v="1"/>
    <n v="1"/>
  </r>
  <r>
    <m/>
    <m/>
    <x v="1"/>
    <s v="62691329005001"/>
    <n v="-106.59"/>
    <n v="2619"/>
    <n v="1"/>
    <n v="1"/>
  </r>
  <r>
    <m/>
    <m/>
    <x v="1"/>
    <s v="62717858001005"/>
    <n v="-23.32"/>
    <n v="573"/>
    <n v="1"/>
    <n v="1"/>
  </r>
  <r>
    <m/>
    <m/>
    <x v="1"/>
    <s v="62843836001005"/>
    <n v="-10.220000000000001"/>
    <n v="251"/>
    <n v="1"/>
    <n v="1"/>
  </r>
  <r>
    <m/>
    <m/>
    <x v="1"/>
    <s v="62912547001003"/>
    <n v="-95.77"/>
    <n v="2353"/>
    <n v="1"/>
    <n v="1"/>
  </r>
  <r>
    <m/>
    <m/>
    <x v="1"/>
    <s v="63050925001004"/>
    <n v="-27.64"/>
    <n v="679"/>
    <n v="1"/>
    <n v="1"/>
  </r>
  <r>
    <m/>
    <m/>
    <x v="1"/>
    <s v="63172903002001"/>
    <n v="-14.9"/>
    <n v="366"/>
    <n v="1"/>
    <n v="1"/>
  </r>
  <r>
    <m/>
    <m/>
    <x v="1"/>
    <s v="63179517001005"/>
    <n v="-46.6"/>
    <n v="1145"/>
    <n v="1"/>
    <n v="1"/>
  </r>
  <r>
    <m/>
    <m/>
    <x v="1"/>
    <s v="63202392001004"/>
    <n v="-49.29"/>
    <n v="1211"/>
    <n v="1"/>
    <n v="1"/>
  </r>
  <r>
    <m/>
    <m/>
    <x v="1"/>
    <s v="63207813001001"/>
    <n v="-80.34"/>
    <n v="1974"/>
    <n v="1"/>
    <n v="1"/>
  </r>
  <r>
    <m/>
    <m/>
    <x v="1"/>
    <s v="63329115001002"/>
    <n v="-30.57"/>
    <n v="751"/>
    <n v="1"/>
    <n v="1"/>
  </r>
  <r>
    <m/>
    <m/>
    <x v="1"/>
    <s v="63415000003005"/>
    <n v="-60.85"/>
    <n v="1495"/>
    <n v="1"/>
    <n v="1"/>
  </r>
  <r>
    <m/>
    <m/>
    <x v="1"/>
    <s v="63432424001001"/>
    <n v="-105.82"/>
    <n v="2600"/>
    <n v="1"/>
    <n v="1"/>
  </r>
  <r>
    <m/>
    <m/>
    <x v="1"/>
    <s v="63448216001004"/>
    <n v="-66.22"/>
    <n v="1627"/>
    <n v="1"/>
    <n v="1"/>
  </r>
  <r>
    <m/>
    <m/>
    <x v="1"/>
    <s v="63451251001003"/>
    <n v="-36.26"/>
    <n v="891"/>
    <n v="1"/>
    <n v="1"/>
  </r>
  <r>
    <m/>
    <m/>
    <x v="1"/>
    <s v="63481341001004"/>
    <n v="-25.89"/>
    <n v="636"/>
    <n v="1"/>
    <n v="1"/>
  </r>
  <r>
    <m/>
    <m/>
    <x v="1"/>
    <s v="63536256001003"/>
    <n v="-12.41"/>
    <n v="305"/>
    <n v="1"/>
    <n v="1"/>
  </r>
  <r>
    <m/>
    <m/>
    <x v="1"/>
    <s v="63569005002001"/>
    <n v="-28.73"/>
    <n v="706"/>
    <n v="1"/>
    <n v="1"/>
  </r>
  <r>
    <m/>
    <m/>
    <x v="1"/>
    <s v="63572704001006"/>
    <n v="-36.299999999999997"/>
    <n v="892"/>
    <n v="1"/>
    <n v="1"/>
  </r>
  <r>
    <m/>
    <m/>
    <x v="1"/>
    <s v="63707556001001"/>
    <n v="-76.680000000000007"/>
    <n v="1884"/>
    <n v="1"/>
    <n v="1"/>
  </r>
  <r>
    <m/>
    <m/>
    <x v="1"/>
    <s v="63730275001001"/>
    <n v="-62.43"/>
    <n v="1534"/>
    <n v="1"/>
    <n v="1"/>
  </r>
  <r>
    <m/>
    <m/>
    <x v="1"/>
    <s v="63734655001004"/>
    <n v="-24.91"/>
    <n v="612"/>
    <n v="1"/>
    <n v="1"/>
  </r>
  <r>
    <m/>
    <m/>
    <x v="1"/>
    <s v="63836931001003"/>
    <n v="-32.6"/>
    <n v="801"/>
    <n v="1"/>
    <n v="1"/>
  </r>
  <r>
    <m/>
    <m/>
    <x v="1"/>
    <s v="63889252001005"/>
    <n v="-24.99"/>
    <n v="614"/>
    <n v="1"/>
    <n v="1"/>
  </r>
  <r>
    <m/>
    <m/>
    <x v="1"/>
    <s v="63921435001001"/>
    <n v="-67.11"/>
    <n v="1649"/>
    <n v="1"/>
    <n v="1"/>
  </r>
  <r>
    <m/>
    <m/>
    <x v="1"/>
    <s v="63997968001003"/>
    <n v="-82.99"/>
    <n v="2039"/>
    <n v="1"/>
    <n v="1"/>
  </r>
  <r>
    <m/>
    <m/>
    <x v="1"/>
    <s v="64085179001001"/>
    <n v="-59.06"/>
    <n v="1451"/>
    <n v="1"/>
    <n v="1"/>
  </r>
  <r>
    <m/>
    <m/>
    <x v="1"/>
    <s v="64118220001004"/>
    <n v="-39.229999999999997"/>
    <n v="964"/>
    <n v="1"/>
    <n v="1"/>
  </r>
  <r>
    <m/>
    <m/>
    <x v="1"/>
    <s v="64119790001003"/>
    <n v="-38.42"/>
    <n v="944"/>
    <n v="1"/>
    <n v="1"/>
  </r>
  <r>
    <m/>
    <m/>
    <x v="1"/>
    <s v="64166284001002"/>
    <n v="-53.28"/>
    <n v="1309"/>
    <n v="1"/>
    <n v="1"/>
  </r>
  <r>
    <m/>
    <m/>
    <x v="1"/>
    <s v="64227891001003"/>
    <n v="-66.34"/>
    <n v="1630"/>
    <n v="1"/>
    <n v="1"/>
  </r>
  <r>
    <m/>
    <m/>
    <x v="1"/>
    <s v="64243431001001"/>
    <n v="-70.7"/>
    <n v="1737"/>
    <n v="1"/>
    <n v="1"/>
  </r>
  <r>
    <m/>
    <m/>
    <x v="1"/>
    <s v="64352398001002"/>
    <n v="-40.25"/>
    <n v="989"/>
    <n v="1"/>
    <n v="1"/>
  </r>
  <r>
    <m/>
    <m/>
    <x v="1"/>
    <s v="64412831001001"/>
    <n v="-67.16"/>
    <n v="1650"/>
    <n v="1"/>
    <n v="1"/>
  </r>
  <r>
    <m/>
    <m/>
    <x v="1"/>
    <s v="64457891005001"/>
    <n v="-4.4400000000000004"/>
    <n v="109"/>
    <n v="1"/>
    <n v="1"/>
  </r>
  <r>
    <m/>
    <m/>
    <x v="1"/>
    <s v="64579615002001"/>
    <n v="-180.71"/>
    <n v="4440"/>
    <n v="1"/>
    <n v="1"/>
  </r>
  <r>
    <m/>
    <m/>
    <x v="1"/>
    <s v="64598979001001"/>
    <n v="-55.51"/>
    <n v="1364"/>
    <n v="1"/>
    <n v="1"/>
  </r>
  <r>
    <m/>
    <m/>
    <x v="1"/>
    <s v="64718002001001"/>
    <n v="-34.880000000000003"/>
    <n v="857"/>
    <n v="1"/>
    <n v="1"/>
  </r>
  <r>
    <m/>
    <m/>
    <x v="1"/>
    <s v="64764760001001"/>
    <n v="-33.130000000000003"/>
    <n v="814"/>
    <n v="1"/>
    <n v="1"/>
  </r>
  <r>
    <m/>
    <m/>
    <x v="1"/>
    <s v="64815090001001"/>
    <n v="-18.52"/>
    <n v="455"/>
    <n v="1"/>
    <n v="1"/>
  </r>
  <r>
    <m/>
    <m/>
    <x v="1"/>
    <s v="64851960001004"/>
    <n v="-92.96"/>
    <n v="2284"/>
    <n v="1"/>
    <n v="1"/>
  </r>
  <r>
    <m/>
    <m/>
    <x v="1"/>
    <s v="64941226002005"/>
    <n v="-23.4"/>
    <n v="575"/>
    <n v="1"/>
    <n v="1"/>
  </r>
  <r>
    <m/>
    <m/>
    <x v="1"/>
    <s v="65005121001001"/>
    <n v="-40.090000000000003"/>
    <n v="985"/>
    <n v="1"/>
    <n v="1"/>
  </r>
  <r>
    <m/>
    <m/>
    <x v="1"/>
    <s v="65026421001002"/>
    <n v="-5.13"/>
    <n v="126"/>
    <n v="1"/>
    <n v="1"/>
  </r>
  <r>
    <m/>
    <m/>
    <x v="1"/>
    <s v="65047530001001"/>
    <n v="-62.15"/>
    <n v="1527"/>
    <n v="1"/>
    <n v="1"/>
  </r>
  <r>
    <m/>
    <m/>
    <x v="1"/>
    <s v="65237142002001"/>
    <n v="-54.7"/>
    <n v="1344"/>
    <n v="1"/>
    <n v="1"/>
  </r>
  <r>
    <m/>
    <m/>
    <x v="1"/>
    <s v="65270935001002"/>
    <n v="-64.709999999999994"/>
    <n v="1590"/>
    <n v="1"/>
    <n v="1"/>
  </r>
  <r>
    <m/>
    <m/>
    <x v="1"/>
    <s v="65368514001004"/>
    <n v="-47.62"/>
    <n v="1170"/>
    <n v="1"/>
    <n v="1"/>
  </r>
  <r>
    <m/>
    <m/>
    <x v="1"/>
    <s v="65369611001005"/>
    <n v="-16.2"/>
    <n v="398"/>
    <n v="1"/>
    <n v="1"/>
  </r>
  <r>
    <m/>
    <m/>
    <x v="1"/>
    <s v="65622408001002"/>
    <n v="-59.34"/>
    <n v="1458"/>
    <n v="1"/>
    <n v="1"/>
  </r>
  <r>
    <m/>
    <m/>
    <x v="1"/>
    <s v="65628483001001"/>
    <n v="-14.33"/>
    <n v="352"/>
    <n v="1"/>
    <n v="1"/>
  </r>
  <r>
    <m/>
    <m/>
    <x v="1"/>
    <s v="65734956001007"/>
    <n v="-71.06"/>
    <n v="1746"/>
    <n v="1"/>
    <n v="1"/>
  </r>
  <r>
    <m/>
    <m/>
    <x v="1"/>
    <s v="65819822001001"/>
    <n v="-6.92"/>
    <n v="170"/>
    <n v="1"/>
    <n v="1"/>
  </r>
  <r>
    <m/>
    <m/>
    <x v="1"/>
    <s v="65839251002007"/>
    <n v="-28.73"/>
    <n v="706"/>
    <n v="1"/>
    <n v="1"/>
  </r>
  <r>
    <m/>
    <m/>
    <x v="1"/>
    <s v="66113464003004"/>
    <n v="-14.04"/>
    <n v="345"/>
    <n v="1"/>
    <n v="1"/>
  </r>
  <r>
    <m/>
    <m/>
    <x v="1"/>
    <s v="66136740001003"/>
    <n v="-93.65"/>
    <n v="2301"/>
    <n v="1"/>
    <n v="1"/>
  </r>
  <r>
    <m/>
    <m/>
    <x v="1"/>
    <s v="66262731001003"/>
    <n v="-27.8"/>
    <n v="683"/>
    <n v="1"/>
    <n v="1"/>
  </r>
  <r>
    <m/>
    <m/>
    <x v="1"/>
    <s v="66418644001004"/>
    <n v="-65.650000000000006"/>
    <n v="1613"/>
    <n v="1"/>
    <n v="1"/>
  </r>
  <r>
    <m/>
    <m/>
    <x v="1"/>
    <s v="66438713001007"/>
    <n v="-98.45"/>
    <n v="2419"/>
    <n v="1"/>
    <n v="1"/>
  </r>
  <r>
    <m/>
    <m/>
    <x v="1"/>
    <s v="66498540001001"/>
    <n v="-12.62"/>
    <n v="310"/>
    <n v="1"/>
    <n v="1"/>
  </r>
  <r>
    <m/>
    <m/>
    <x v="1"/>
    <s v="66541721002003"/>
    <n v="-53.32"/>
    <n v="1310"/>
    <n v="1"/>
    <n v="1"/>
  </r>
  <r>
    <m/>
    <m/>
    <x v="1"/>
    <s v="67060193001001"/>
    <n v="-31.26"/>
    <n v="768"/>
    <n v="1"/>
    <n v="1"/>
  </r>
  <r>
    <m/>
    <m/>
    <x v="1"/>
    <s v="67083125001001"/>
    <n v="-61.29"/>
    <n v="1506"/>
    <n v="1"/>
    <n v="1"/>
  </r>
  <r>
    <m/>
    <m/>
    <x v="1"/>
    <s v="67204908002001"/>
    <n v="-44.69"/>
    <n v="1098"/>
    <n v="1"/>
    <n v="1"/>
  </r>
  <r>
    <m/>
    <m/>
    <x v="1"/>
    <s v="67271689001005"/>
    <n v="-58.16"/>
    <n v="1429"/>
    <n v="1"/>
    <n v="1"/>
  </r>
  <r>
    <m/>
    <m/>
    <x v="1"/>
    <s v="67347226001001"/>
    <n v="-24.14"/>
    <n v="593"/>
    <n v="1"/>
    <n v="1"/>
  </r>
  <r>
    <m/>
    <m/>
    <x v="1"/>
    <s v="67399952001001"/>
    <n v="-109.56"/>
    <n v="2692"/>
    <n v="1"/>
    <n v="1"/>
  </r>
  <r>
    <m/>
    <m/>
    <x v="1"/>
    <s v="67401944001001"/>
    <n v="-97.4"/>
    <n v="2393"/>
    <n v="1"/>
    <n v="1"/>
  </r>
  <r>
    <m/>
    <m/>
    <x v="1"/>
    <s v="67440113001009"/>
    <n v="-26.82"/>
    <n v="659"/>
    <n v="1"/>
    <n v="1"/>
  </r>
  <r>
    <m/>
    <m/>
    <x v="1"/>
    <s v="67479940002009"/>
    <n v="-49.25"/>
    <n v="1210"/>
    <n v="1"/>
    <n v="1"/>
  </r>
  <r>
    <m/>
    <m/>
    <x v="1"/>
    <s v="67629881002003"/>
    <n v="-35.29"/>
    <n v="867"/>
    <n v="1"/>
    <n v="1"/>
  </r>
  <r>
    <m/>
    <m/>
    <x v="1"/>
    <s v="67650637001001"/>
    <n v="-25.36"/>
    <n v="623"/>
    <n v="1"/>
    <n v="1"/>
  </r>
  <r>
    <m/>
    <m/>
    <x v="1"/>
    <s v="67738055001003"/>
    <n v="-62.52"/>
    <n v="1536"/>
    <n v="1"/>
    <n v="1"/>
  </r>
  <r>
    <m/>
    <m/>
    <x v="1"/>
    <s v="67745822001001"/>
    <n v="-58.28"/>
    <n v="1432"/>
    <n v="1"/>
    <n v="1"/>
  </r>
  <r>
    <m/>
    <m/>
    <x v="1"/>
    <s v="67782140001005"/>
    <n v="-21.57"/>
    <n v="530"/>
    <n v="1"/>
    <n v="1"/>
  </r>
  <r>
    <m/>
    <m/>
    <x v="1"/>
    <s v="67805859001001"/>
    <n v="-74.73"/>
    <n v="1836"/>
    <n v="1"/>
    <n v="1"/>
  </r>
  <r>
    <m/>
    <m/>
    <x v="1"/>
    <s v="67822527001001"/>
    <n v="-20.68"/>
    <n v="508"/>
    <n v="1"/>
    <n v="1"/>
  </r>
  <r>
    <m/>
    <m/>
    <x v="1"/>
    <s v="68031934001001"/>
    <n v="-56.94"/>
    <n v="1399"/>
    <n v="1"/>
    <n v="1"/>
  </r>
  <r>
    <m/>
    <m/>
    <x v="1"/>
    <s v="68121219001001"/>
    <n v="-7.86"/>
    <n v="193"/>
    <n v="1"/>
    <n v="1"/>
  </r>
  <r>
    <m/>
    <m/>
    <x v="1"/>
    <s v="68146477002001"/>
    <n v="-100.77"/>
    <n v="2476"/>
    <n v="1"/>
    <n v="1"/>
  </r>
  <r>
    <m/>
    <m/>
    <x v="1"/>
    <s v="68221241001001"/>
    <n v="-12.17"/>
    <n v="299"/>
    <n v="1"/>
    <n v="1"/>
  </r>
  <r>
    <m/>
    <m/>
    <x v="1"/>
    <s v="68251608001001"/>
    <n v="-21.69"/>
    <n v="533"/>
    <n v="1"/>
    <n v="1"/>
  </r>
  <r>
    <m/>
    <m/>
    <x v="1"/>
    <s v="68261372001003"/>
    <n v="-14.61"/>
    <n v="359"/>
    <n v="1"/>
    <n v="1"/>
  </r>
  <r>
    <m/>
    <m/>
    <x v="1"/>
    <s v="68326356001009"/>
    <n v="-60.2"/>
    <n v="1479"/>
    <n v="1"/>
    <n v="1"/>
  </r>
  <r>
    <m/>
    <m/>
    <x v="1"/>
    <s v="68362600001007"/>
    <n v="-96.58"/>
    <n v="2373"/>
    <n v="1"/>
    <n v="1"/>
  </r>
  <r>
    <m/>
    <m/>
    <x v="1"/>
    <s v="68373597002003"/>
    <n v="-42.53"/>
    <n v="1045"/>
    <n v="1"/>
    <n v="1"/>
  </r>
  <r>
    <m/>
    <m/>
    <x v="1"/>
    <s v="68374425001001"/>
    <n v="-121.08"/>
    <n v="2975"/>
    <n v="1"/>
    <n v="1"/>
  </r>
  <r>
    <m/>
    <m/>
    <x v="1"/>
    <s v="68382740001008"/>
    <n v="-0.94"/>
    <n v="23"/>
    <n v="1"/>
    <n v="1"/>
  </r>
  <r>
    <m/>
    <m/>
    <x v="1"/>
    <s v="68400908001007"/>
    <n v="-98.9"/>
    <n v="2430"/>
    <n v="1"/>
    <n v="1"/>
  </r>
  <r>
    <m/>
    <m/>
    <x v="1"/>
    <s v="68441476001004"/>
    <n v="-76.069999999999993"/>
    <n v="1869"/>
    <n v="1"/>
    <n v="1"/>
  </r>
  <r>
    <m/>
    <m/>
    <x v="1"/>
    <s v="68497807001010"/>
    <n v="-53.56"/>
    <n v="1316"/>
    <n v="1"/>
    <n v="1"/>
  </r>
  <r>
    <m/>
    <m/>
    <x v="1"/>
    <s v="68561006001001"/>
    <n v="-72.61"/>
    <n v="1784"/>
    <n v="1"/>
    <n v="1"/>
  </r>
  <r>
    <m/>
    <m/>
    <x v="1"/>
    <s v="68562129001001"/>
    <n v="-59.95"/>
    <n v="1473"/>
    <n v="1"/>
    <n v="1"/>
  </r>
  <r>
    <m/>
    <m/>
    <x v="1"/>
    <s v="68616474001004"/>
    <n v="-66.22"/>
    <n v="1627"/>
    <n v="1"/>
    <n v="1"/>
  </r>
  <r>
    <m/>
    <m/>
    <x v="1"/>
    <s v="68631709001005"/>
    <n v="-18.600000000000001"/>
    <n v="457"/>
    <n v="1"/>
    <n v="1"/>
  </r>
  <r>
    <m/>
    <m/>
    <x v="1"/>
    <s v="68665924002001"/>
    <n v="-53.6"/>
    <n v="1317"/>
    <n v="1"/>
    <n v="1"/>
  </r>
  <r>
    <m/>
    <m/>
    <x v="1"/>
    <s v="68732877001001"/>
    <n v="-34.96"/>
    <n v="859"/>
    <n v="1"/>
    <n v="1"/>
  </r>
  <r>
    <m/>
    <m/>
    <x v="1"/>
    <s v="68845646002005"/>
    <n v="-31.95"/>
    <n v="785"/>
    <n v="1"/>
    <n v="1"/>
  </r>
  <r>
    <m/>
    <m/>
    <x v="1"/>
    <s v="68940427001001"/>
    <n v="-41.76"/>
    <n v="1026"/>
    <n v="1"/>
    <n v="1"/>
  </r>
  <r>
    <m/>
    <m/>
    <x v="1"/>
    <s v="69000077001002"/>
    <n v="-97.92"/>
    <n v="2406"/>
    <n v="1"/>
    <n v="1"/>
  </r>
  <r>
    <m/>
    <m/>
    <x v="1"/>
    <s v="69028266002003"/>
    <n v="-26.17"/>
    <n v="643"/>
    <n v="1"/>
    <n v="1"/>
  </r>
  <r>
    <m/>
    <m/>
    <x v="1"/>
    <s v="69135376002001"/>
    <n v="-29.14"/>
    <n v="716"/>
    <n v="1"/>
    <n v="1"/>
  </r>
  <r>
    <m/>
    <m/>
    <x v="1"/>
    <s v="69175081002005"/>
    <n v="-98.94"/>
    <n v="2431"/>
    <n v="1"/>
    <n v="1"/>
  </r>
  <r>
    <m/>
    <m/>
    <x v="1"/>
    <s v="69212535001003"/>
    <n v="-46.24"/>
    <n v="1136"/>
    <n v="1"/>
    <n v="1"/>
  </r>
  <r>
    <m/>
    <m/>
    <x v="1"/>
    <s v="69413741001001"/>
    <n v="-55.92"/>
    <n v="1374"/>
    <n v="1"/>
    <n v="1"/>
  </r>
  <r>
    <m/>
    <m/>
    <x v="1"/>
    <s v="69455470001001"/>
    <n v="-41.23"/>
    <n v="1013"/>
    <n v="1"/>
    <n v="1"/>
  </r>
  <r>
    <m/>
    <m/>
    <x v="1"/>
    <s v="69552955001005"/>
    <n v="-26.46"/>
    <n v="650"/>
    <n v="1"/>
    <n v="1"/>
  </r>
  <r>
    <m/>
    <m/>
    <x v="1"/>
    <s v="69692573001005"/>
    <n v="-57.92"/>
    <n v="1423"/>
    <n v="1"/>
    <n v="1"/>
  </r>
  <r>
    <m/>
    <m/>
    <x v="1"/>
    <s v="69726976003004"/>
    <n v="-21.16"/>
    <n v="520"/>
    <n v="1"/>
    <n v="1"/>
  </r>
  <r>
    <m/>
    <m/>
    <x v="1"/>
    <s v="69776815003001"/>
    <n v="-46.56"/>
    <n v="1144"/>
    <n v="1"/>
    <n v="1"/>
  </r>
  <r>
    <m/>
    <m/>
    <x v="1"/>
    <s v="69778160001001"/>
    <n v="-61.74"/>
    <n v="1517"/>
    <n v="1"/>
    <n v="1"/>
  </r>
  <r>
    <m/>
    <m/>
    <x v="1"/>
    <s v="69795270001001"/>
    <n v="-40.130000000000003"/>
    <n v="986"/>
    <n v="1"/>
    <n v="1"/>
  </r>
  <r>
    <m/>
    <m/>
    <x v="1"/>
    <s v="69860350001003"/>
    <n v="-30.08"/>
    <n v="739"/>
    <n v="1"/>
    <n v="1"/>
  </r>
  <r>
    <m/>
    <m/>
    <x v="1"/>
    <s v="69932677002001"/>
    <n v="-58.28"/>
    <n v="1432"/>
    <n v="1"/>
    <n v="1"/>
  </r>
  <r>
    <m/>
    <m/>
    <x v="1"/>
    <s v="69952866001005"/>
    <n v="-11.31"/>
    <n v="278"/>
    <n v="1"/>
    <n v="1"/>
  </r>
  <r>
    <m/>
    <m/>
    <x v="1"/>
    <s v="69991566001003"/>
    <n v="-64.430000000000007"/>
    <n v="1583"/>
    <n v="1"/>
    <n v="1"/>
  </r>
  <r>
    <m/>
    <m/>
    <x v="1"/>
    <s v="69998683001001"/>
    <n v="-26.58"/>
    <n v="653"/>
    <n v="1"/>
    <n v="1"/>
  </r>
  <r>
    <m/>
    <m/>
    <x v="1"/>
    <s v="70041367001007"/>
    <n v="-14.12"/>
    <n v="347"/>
    <n v="1"/>
    <n v="1"/>
  </r>
  <r>
    <m/>
    <m/>
    <x v="1"/>
    <s v="70196025001001"/>
    <n v="-9.4"/>
    <n v="231"/>
    <n v="1"/>
    <n v="1"/>
  </r>
  <r>
    <m/>
    <m/>
    <x v="1"/>
    <s v="70453399001001"/>
    <n v="-15.3"/>
    <n v="376"/>
    <n v="1"/>
    <n v="1"/>
  </r>
  <r>
    <m/>
    <m/>
    <x v="1"/>
    <s v="70468885005005"/>
    <n v="-25.84"/>
    <n v="635"/>
    <n v="1"/>
    <n v="1"/>
  </r>
  <r>
    <m/>
    <m/>
    <x v="1"/>
    <s v="70587997002003"/>
    <n v="-43.87"/>
    <n v="1078"/>
    <n v="1"/>
    <n v="1"/>
  </r>
  <r>
    <m/>
    <m/>
    <x v="1"/>
    <s v="70593073001001"/>
    <n v="-51"/>
    <n v="1253"/>
    <n v="1"/>
    <n v="1"/>
  </r>
  <r>
    <m/>
    <m/>
    <x v="1"/>
    <s v="70620955003003"/>
    <n v="-16.48"/>
    <n v="405"/>
    <n v="1"/>
    <n v="1"/>
  </r>
  <r>
    <m/>
    <m/>
    <x v="1"/>
    <s v="70655150003008"/>
    <n v="-43.14"/>
    <n v="1060"/>
    <n v="1"/>
    <n v="1"/>
  </r>
  <r>
    <m/>
    <m/>
    <x v="1"/>
    <s v="70723544001001"/>
    <n v="-45.83"/>
    <n v="1126"/>
    <n v="1"/>
    <n v="1"/>
  </r>
  <r>
    <m/>
    <m/>
    <x v="1"/>
    <s v="70761570001001"/>
    <n v="-30.85"/>
    <n v="758"/>
    <n v="1"/>
    <n v="1"/>
  </r>
  <r>
    <m/>
    <m/>
    <x v="1"/>
    <s v="70804751001003"/>
    <n v="-70.94"/>
    <n v="1743"/>
    <n v="1"/>
    <n v="1"/>
  </r>
  <r>
    <m/>
    <m/>
    <x v="1"/>
    <s v="70914149001001"/>
    <n v="-126.98"/>
    <n v="3120"/>
    <n v="1"/>
    <n v="1"/>
  </r>
  <r>
    <m/>
    <m/>
    <x v="1"/>
    <s v="70922853001003"/>
    <n v="-38.869999999999997"/>
    <n v="955"/>
    <n v="1"/>
    <n v="1"/>
  </r>
  <r>
    <m/>
    <m/>
    <x v="1"/>
    <s v="71047342001002"/>
    <n v="-44.77"/>
    <n v="1100"/>
    <n v="1"/>
    <n v="1"/>
  </r>
  <r>
    <m/>
    <m/>
    <x v="1"/>
    <s v="71067872001007"/>
    <n v="-25.07"/>
    <n v="616"/>
    <n v="1"/>
    <n v="1"/>
  </r>
  <r>
    <m/>
    <m/>
    <x v="1"/>
    <s v="71079674002001"/>
    <n v="-43.02"/>
    <n v="1057"/>
    <n v="1"/>
    <n v="1"/>
  </r>
  <r>
    <m/>
    <m/>
    <x v="1"/>
    <s v="71196011001009"/>
    <n v="-66.459999999999994"/>
    <n v="1633"/>
    <n v="1"/>
    <n v="1"/>
  </r>
  <r>
    <m/>
    <m/>
    <x v="1"/>
    <s v="71197984001001"/>
    <n v="-62.92"/>
    <n v="1546"/>
    <n v="1"/>
    <n v="1"/>
  </r>
  <r>
    <m/>
    <m/>
    <x v="1"/>
    <s v="71339719006001"/>
    <n v="-21.86"/>
    <n v="537"/>
    <n v="1"/>
    <n v="1"/>
  </r>
  <r>
    <m/>
    <m/>
    <x v="1"/>
    <s v="71391581006001"/>
    <n v="-89.21"/>
    <n v="2192"/>
    <n v="1"/>
    <n v="1"/>
  </r>
  <r>
    <m/>
    <m/>
    <x v="1"/>
    <s v="71502529001003"/>
    <n v="-10.5"/>
    <n v="258"/>
    <n v="1"/>
    <n v="1"/>
  </r>
  <r>
    <m/>
    <m/>
    <x v="1"/>
    <s v="71528185001004"/>
    <n v="-56.45"/>
    <n v="1387"/>
    <n v="1"/>
    <n v="1"/>
  </r>
  <r>
    <m/>
    <m/>
    <x v="1"/>
    <s v="71649441001001"/>
    <n v="-59.91"/>
    <n v="1472"/>
    <n v="1"/>
    <n v="1"/>
  </r>
  <r>
    <m/>
    <m/>
    <x v="1"/>
    <s v="71730448002001"/>
    <n v="-21.41"/>
    <n v="526"/>
    <n v="1"/>
    <n v="1"/>
  </r>
  <r>
    <m/>
    <m/>
    <x v="1"/>
    <s v="71769014004002"/>
    <n v="-64.88"/>
    <n v="1594"/>
    <n v="1"/>
    <n v="1"/>
  </r>
  <r>
    <m/>
    <m/>
    <x v="1"/>
    <s v="71824810001006"/>
    <n v="-56.29"/>
    <n v="1383"/>
    <n v="1"/>
    <n v="1"/>
  </r>
  <r>
    <m/>
    <m/>
    <x v="1"/>
    <s v="71833276001003"/>
    <n v="-3.95"/>
    <n v="97"/>
    <n v="1"/>
    <n v="1"/>
  </r>
  <r>
    <m/>
    <m/>
    <x v="1"/>
    <s v="72034597001001"/>
    <n v="-72.81"/>
    <n v="1789"/>
    <n v="1"/>
    <n v="1"/>
  </r>
  <r>
    <m/>
    <m/>
    <x v="1"/>
    <s v="72074341001003"/>
    <n v="-141.51"/>
    <n v="3477"/>
    <n v="1"/>
    <n v="1"/>
  </r>
  <r>
    <m/>
    <m/>
    <x v="1"/>
    <s v="72106643001003"/>
    <n v="-78.23"/>
    <n v="1922"/>
    <n v="1"/>
    <n v="1"/>
  </r>
  <r>
    <m/>
    <m/>
    <x v="1"/>
    <s v="72163255001003"/>
    <n v="-15.06"/>
    <n v="370"/>
    <n v="1"/>
    <n v="1"/>
  </r>
  <r>
    <m/>
    <m/>
    <x v="1"/>
    <s v="72174875001001"/>
    <n v="-33.659999999999997"/>
    <n v="827"/>
    <n v="1"/>
    <n v="1"/>
  </r>
  <r>
    <m/>
    <m/>
    <x v="1"/>
    <s v="72209762001001"/>
    <n v="-14.45"/>
    <n v="355"/>
    <n v="1"/>
    <n v="1"/>
  </r>
  <r>
    <m/>
    <m/>
    <x v="1"/>
    <s v="72237773002003"/>
    <n v="-68.7"/>
    <n v="1688"/>
    <n v="1"/>
    <n v="1"/>
  </r>
  <r>
    <m/>
    <m/>
    <x v="1"/>
    <s v="72281719002001"/>
    <n v="-23.93"/>
    <n v="588"/>
    <n v="1"/>
    <n v="1"/>
  </r>
  <r>
    <m/>
    <m/>
    <x v="1"/>
    <s v="72339786001001"/>
    <n v="-59.63"/>
    <n v="1465"/>
    <n v="1"/>
    <n v="1"/>
  </r>
  <r>
    <m/>
    <m/>
    <x v="1"/>
    <s v="72349625001002"/>
    <n v="-0.45"/>
    <n v="11"/>
    <n v="1"/>
    <n v="1"/>
  </r>
  <r>
    <m/>
    <m/>
    <x v="1"/>
    <s v="72459581001010"/>
    <n v="-85.71"/>
    <n v="2106"/>
    <n v="1"/>
    <n v="1"/>
  </r>
  <r>
    <m/>
    <m/>
    <x v="1"/>
    <s v="72521223001005"/>
    <n v="-12.13"/>
    <n v="298"/>
    <n v="1"/>
    <n v="1"/>
  </r>
  <r>
    <m/>
    <m/>
    <x v="1"/>
    <s v="72634089001009"/>
    <n v="-40.17"/>
    <n v="987"/>
    <n v="1"/>
    <n v="1"/>
  </r>
  <r>
    <m/>
    <m/>
    <x v="1"/>
    <s v="72649617001013"/>
    <n v="-33.659999999999997"/>
    <n v="827"/>
    <n v="1"/>
    <n v="1"/>
  </r>
  <r>
    <m/>
    <m/>
    <x v="1"/>
    <s v="72668251001001"/>
    <n v="-68.7"/>
    <n v="1688"/>
    <n v="1"/>
    <n v="1"/>
  </r>
  <r>
    <m/>
    <m/>
    <x v="1"/>
    <s v="72693737001001"/>
    <n v="-94.71"/>
    <n v="2327"/>
    <n v="1"/>
    <n v="1"/>
  </r>
  <r>
    <m/>
    <m/>
    <x v="1"/>
    <s v="72775835004003"/>
    <n v="-11.76"/>
    <n v="289"/>
    <n v="1"/>
    <n v="1"/>
  </r>
  <r>
    <m/>
    <m/>
    <x v="1"/>
    <s v="72779015001004"/>
    <n v="-92.19"/>
    <n v="2265"/>
    <n v="1"/>
    <n v="1"/>
  </r>
  <r>
    <m/>
    <m/>
    <x v="1"/>
    <s v="72779515007001"/>
    <n v="-1.71"/>
    <n v="42"/>
    <n v="1"/>
    <n v="1"/>
  </r>
  <r>
    <m/>
    <m/>
    <x v="1"/>
    <s v="72889636001003"/>
    <n v="-102.2"/>
    <n v="2511"/>
    <n v="1"/>
    <n v="1"/>
  </r>
  <r>
    <m/>
    <m/>
    <x v="1"/>
    <s v="72946000004001"/>
    <n v="-84.37"/>
    <n v="2073"/>
    <n v="1"/>
    <n v="1"/>
  </r>
  <r>
    <m/>
    <m/>
    <x v="1"/>
    <s v="72971733002003"/>
    <n v="-20.92"/>
    <n v="514"/>
    <n v="1"/>
    <n v="1"/>
  </r>
  <r>
    <m/>
    <m/>
    <x v="1"/>
    <s v="72993733003001"/>
    <n v="-65.97"/>
    <n v="1621"/>
    <n v="1"/>
    <n v="1"/>
  </r>
  <r>
    <m/>
    <m/>
    <x v="1"/>
    <s v="73047819001004"/>
    <n v="-29.55"/>
    <n v="726"/>
    <n v="1"/>
    <n v="1"/>
  </r>
  <r>
    <m/>
    <m/>
    <x v="1"/>
    <s v="73073162002001"/>
    <n v="-11.48"/>
    <n v="282"/>
    <n v="1"/>
    <n v="1"/>
  </r>
  <r>
    <m/>
    <m/>
    <x v="1"/>
    <s v="73088070001002"/>
    <n v="-22.14"/>
    <n v="544"/>
    <n v="1"/>
    <n v="1"/>
  </r>
  <r>
    <m/>
    <m/>
    <x v="1"/>
    <s v="73108651001003"/>
    <n v="-18.149999999999999"/>
    <n v="446"/>
    <n v="1"/>
    <n v="1"/>
  </r>
  <r>
    <m/>
    <m/>
    <x v="1"/>
    <s v="73173555001001"/>
    <n v="-81.48"/>
    <n v="2002"/>
    <n v="1"/>
    <n v="1"/>
  </r>
  <r>
    <m/>
    <m/>
    <x v="1"/>
    <s v="73183610001001"/>
    <n v="-32.11"/>
    <n v="789"/>
    <n v="1"/>
    <n v="1"/>
  </r>
  <r>
    <m/>
    <m/>
    <x v="1"/>
    <s v="73257691001002"/>
    <n v="-20.309999999999999"/>
    <n v="499"/>
    <n v="1"/>
    <n v="1"/>
  </r>
  <r>
    <m/>
    <m/>
    <x v="1"/>
    <s v="73396535001003"/>
    <n v="-29.51"/>
    <n v="725"/>
    <n v="1"/>
    <n v="1"/>
  </r>
  <r>
    <m/>
    <m/>
    <x v="1"/>
    <s v="73413066001003"/>
    <n v="-21.57"/>
    <n v="530"/>
    <n v="1"/>
    <n v="1"/>
  </r>
  <r>
    <m/>
    <m/>
    <x v="1"/>
    <s v="73477303001005"/>
    <n v="-24.18"/>
    <n v="594"/>
    <n v="1"/>
    <n v="1"/>
  </r>
  <r>
    <m/>
    <m/>
    <x v="1"/>
    <s v="73496965001001"/>
    <n v="-71.63"/>
    <n v="1760"/>
    <n v="1"/>
    <n v="1"/>
  </r>
  <r>
    <m/>
    <m/>
    <x v="1"/>
    <s v="73571632001001"/>
    <n v="-38.71"/>
    <n v="951"/>
    <n v="1"/>
    <n v="1"/>
  </r>
  <r>
    <m/>
    <m/>
    <x v="1"/>
    <s v="73718834002001"/>
    <n v="-60.4"/>
    <n v="1484"/>
    <n v="1"/>
    <n v="1"/>
  </r>
  <r>
    <m/>
    <m/>
    <x v="1"/>
    <s v="73774640001002"/>
    <n v="-57.55"/>
    <n v="1414"/>
    <n v="1"/>
    <n v="1"/>
  </r>
  <r>
    <m/>
    <m/>
    <x v="1"/>
    <s v="73774824001005"/>
    <n v="-79.37"/>
    <n v="1950"/>
    <n v="1"/>
    <n v="1"/>
  </r>
  <r>
    <m/>
    <m/>
    <x v="1"/>
    <s v="73783764001001"/>
    <n v="-237.04000000000002"/>
    <n v="5824"/>
    <n v="4"/>
    <n v="1"/>
  </r>
  <r>
    <m/>
    <m/>
    <x v="1"/>
    <s v="73887552001001"/>
    <n v="-17.18"/>
    <n v="422"/>
    <n v="1"/>
    <n v="1"/>
  </r>
  <r>
    <m/>
    <m/>
    <x v="1"/>
    <s v="73935992001002"/>
    <n v="-121.41"/>
    <n v="2983"/>
    <n v="1"/>
    <n v="1"/>
  </r>
  <r>
    <m/>
    <m/>
    <x v="1"/>
    <s v="74037047001002"/>
    <n v="-29.43"/>
    <n v="723"/>
    <n v="1"/>
    <n v="1"/>
  </r>
  <r>
    <m/>
    <m/>
    <x v="1"/>
    <s v="74055933001001"/>
    <n v="-94.55"/>
    <n v="2323"/>
    <n v="1"/>
    <n v="1"/>
  </r>
  <r>
    <m/>
    <m/>
    <x v="1"/>
    <s v="74076340001003"/>
    <n v="-16.93"/>
    <n v="416"/>
    <n v="1"/>
    <n v="1"/>
  </r>
  <r>
    <m/>
    <m/>
    <x v="1"/>
    <s v="74197454001001"/>
    <n v="-19.739999999999998"/>
    <n v="485"/>
    <n v="1"/>
    <n v="1"/>
  </r>
  <r>
    <m/>
    <m/>
    <x v="1"/>
    <s v="74242350003001"/>
    <n v="-43.43"/>
    <n v="1067"/>
    <n v="1"/>
    <n v="1"/>
  </r>
  <r>
    <m/>
    <m/>
    <x v="1"/>
    <s v="74312616001001"/>
    <n v="-57.31"/>
    <n v="1408"/>
    <n v="1"/>
    <n v="1"/>
  </r>
  <r>
    <m/>
    <m/>
    <x v="1"/>
    <s v="74322803001001"/>
    <n v="-50.75"/>
    <n v="1247"/>
    <n v="1"/>
    <n v="1"/>
  </r>
  <r>
    <m/>
    <m/>
    <x v="1"/>
    <s v="74325215001001"/>
    <n v="-25.64"/>
    <n v="630"/>
    <n v="1"/>
    <n v="1"/>
  </r>
  <r>
    <m/>
    <m/>
    <x v="1"/>
    <s v="74349005002009"/>
    <n v="-10.66"/>
    <n v="262"/>
    <n v="1"/>
    <n v="1"/>
  </r>
  <r>
    <m/>
    <m/>
    <x v="1"/>
    <s v="74386329001002"/>
    <n v="-24.22"/>
    <n v="595"/>
    <n v="1"/>
    <n v="1"/>
  </r>
  <r>
    <m/>
    <m/>
    <x v="1"/>
    <s v="74429992001006"/>
    <n v="-65.2"/>
    <n v="1602"/>
    <n v="1"/>
    <n v="1"/>
  </r>
  <r>
    <m/>
    <m/>
    <x v="1"/>
    <s v="74432140004001"/>
    <n v="-45.14"/>
    <n v="1109"/>
    <n v="1"/>
    <n v="1"/>
  </r>
  <r>
    <m/>
    <m/>
    <x v="1"/>
    <s v="74440719001001"/>
    <n v="-11.76"/>
    <n v="289"/>
    <n v="1"/>
    <n v="1"/>
  </r>
  <r>
    <m/>
    <m/>
    <x v="1"/>
    <s v="74601184002001"/>
    <n v="-111.11"/>
    <n v="2730"/>
    <n v="1"/>
    <n v="1"/>
  </r>
  <r>
    <m/>
    <m/>
    <x v="1"/>
    <s v="74802804001001"/>
    <n v="-52.71"/>
    <n v="1295"/>
    <n v="1"/>
    <n v="1"/>
  </r>
  <r>
    <m/>
    <m/>
    <x v="1"/>
    <s v="74897585001003"/>
    <n v="-58.49"/>
    <n v="1437"/>
    <n v="1"/>
    <n v="1"/>
  </r>
  <r>
    <m/>
    <m/>
    <x v="1"/>
    <s v="74921730001003"/>
    <n v="-35.29"/>
    <n v="867"/>
    <n v="1"/>
    <n v="1"/>
  </r>
  <r>
    <m/>
    <m/>
    <x v="1"/>
    <s v="74967292001001"/>
    <n v="-20.68"/>
    <n v="508"/>
    <n v="1"/>
    <n v="1"/>
  </r>
  <r>
    <m/>
    <m/>
    <x v="1"/>
    <s v="74982765004003"/>
    <n v="-93.85"/>
    <n v="2306"/>
    <n v="1"/>
    <n v="1"/>
  </r>
  <r>
    <m/>
    <m/>
    <x v="1"/>
    <s v="74985601001004"/>
    <n v="-55.76"/>
    <n v="1370"/>
    <n v="1"/>
    <n v="1"/>
  </r>
  <r>
    <m/>
    <m/>
    <x v="1"/>
    <s v="75149375001006"/>
    <n v="-28.69"/>
    <n v="705"/>
    <n v="1"/>
    <n v="1"/>
  </r>
  <r>
    <m/>
    <m/>
    <x v="1"/>
    <s v="75195091001003"/>
    <n v="-46.44"/>
    <n v="1141"/>
    <n v="1"/>
    <n v="1"/>
  </r>
  <r>
    <m/>
    <m/>
    <x v="1"/>
    <s v="75436572002003"/>
    <n v="-39.32"/>
    <n v="966"/>
    <n v="1"/>
    <n v="1"/>
  </r>
  <r>
    <m/>
    <m/>
    <x v="1"/>
    <s v="75453212001001"/>
    <n v="-28.94"/>
    <n v="711"/>
    <n v="1"/>
    <n v="1"/>
  </r>
  <r>
    <m/>
    <m/>
    <x v="1"/>
    <s v="75656650001006"/>
    <n v="-43.71"/>
    <n v="1074"/>
    <n v="1"/>
    <n v="1"/>
  </r>
  <r>
    <m/>
    <m/>
    <x v="1"/>
    <s v="75675274001003"/>
    <n v="-20.23"/>
    <n v="497"/>
    <n v="1"/>
    <n v="1"/>
  </r>
  <r>
    <m/>
    <m/>
    <x v="1"/>
    <s v="75758051001005"/>
    <n v="-40.17"/>
    <n v="987"/>
    <n v="1"/>
    <n v="1"/>
  </r>
  <r>
    <m/>
    <m/>
    <x v="1"/>
    <s v="75764971002001"/>
    <n v="-19.78"/>
    <n v="486"/>
    <n v="1"/>
    <n v="1"/>
  </r>
  <r>
    <m/>
    <m/>
    <x v="1"/>
    <s v="75795046001003"/>
    <n v="-36.590000000000003"/>
    <n v="899"/>
    <n v="1"/>
    <n v="1"/>
  </r>
  <r>
    <m/>
    <m/>
    <x v="1"/>
    <s v="75932167001003"/>
    <n v="-18.760000000000002"/>
    <n v="461"/>
    <n v="1"/>
    <n v="1"/>
  </r>
  <r>
    <m/>
    <m/>
    <x v="1"/>
    <s v="76010246001001"/>
    <n v="-10.09"/>
    <n v="248"/>
    <n v="1"/>
    <n v="1"/>
  </r>
  <r>
    <m/>
    <m/>
    <x v="1"/>
    <s v="76126934004001"/>
    <n v="-6.92"/>
    <n v="170"/>
    <n v="1"/>
    <n v="1"/>
  </r>
  <r>
    <m/>
    <m/>
    <x v="1"/>
    <s v="76205410001002"/>
    <n v="-52.95"/>
    <n v="1301"/>
    <n v="1"/>
    <n v="1"/>
  </r>
  <r>
    <m/>
    <m/>
    <x v="1"/>
    <s v="76321169001002"/>
    <n v="-35.450000000000003"/>
    <n v="871"/>
    <n v="1"/>
    <n v="1"/>
  </r>
  <r>
    <m/>
    <m/>
    <x v="1"/>
    <s v="76381196002001"/>
    <n v="-77.25"/>
    <n v="1898"/>
    <n v="1"/>
    <n v="1"/>
  </r>
  <r>
    <m/>
    <m/>
    <x v="1"/>
    <s v="76400076002003"/>
    <n v="-65.97"/>
    <n v="1621"/>
    <n v="1"/>
    <n v="1"/>
  </r>
  <r>
    <m/>
    <m/>
    <x v="1"/>
    <s v="76563942002003"/>
    <n v="-44.08"/>
    <n v="1083"/>
    <n v="1"/>
    <n v="1"/>
  </r>
  <r>
    <m/>
    <m/>
    <x v="1"/>
    <s v="76608992001003"/>
    <n v="-31.99"/>
    <n v="786"/>
    <n v="1"/>
    <n v="1"/>
  </r>
  <r>
    <m/>
    <m/>
    <x v="1"/>
    <s v="76614777003003"/>
    <n v="-119.33"/>
    <n v="2932"/>
    <n v="1"/>
    <n v="1"/>
  </r>
  <r>
    <m/>
    <m/>
    <x v="1"/>
    <s v="76680484001004"/>
    <n v="-86.57"/>
    <n v="2127"/>
    <n v="1"/>
    <n v="1"/>
  </r>
  <r>
    <m/>
    <m/>
    <x v="1"/>
    <s v="76834821003003"/>
    <n v="-14.49"/>
    <n v="356"/>
    <n v="1"/>
    <n v="1"/>
  </r>
  <r>
    <m/>
    <m/>
    <x v="1"/>
    <s v="76840100001001"/>
    <n v="-70.61"/>
    <n v="1735"/>
    <n v="1"/>
    <n v="1"/>
  </r>
  <r>
    <m/>
    <m/>
    <x v="1"/>
    <s v="76893121001007"/>
    <n v="-77.41"/>
    <n v="1902"/>
    <n v="1"/>
    <n v="1"/>
  </r>
  <r>
    <m/>
    <m/>
    <x v="1"/>
    <s v="76903196001004"/>
    <n v="-49.86"/>
    <n v="1225"/>
    <n v="1"/>
    <n v="1"/>
  </r>
  <r>
    <m/>
    <m/>
    <x v="1"/>
    <s v="76944469001001"/>
    <n v="-76.430000000000007"/>
    <n v="1878"/>
    <n v="1"/>
    <n v="1"/>
  </r>
  <r>
    <m/>
    <m/>
    <x v="1"/>
    <s v="77028597002005"/>
    <n v="-17.95"/>
    <n v="441"/>
    <n v="1"/>
    <n v="1"/>
  </r>
  <r>
    <m/>
    <m/>
    <x v="1"/>
    <s v="77053776001001"/>
    <n v="-10.42"/>
    <n v="256"/>
    <n v="1"/>
    <n v="1"/>
  </r>
  <r>
    <m/>
    <m/>
    <x v="1"/>
    <s v="77098046002002"/>
    <n v="-23.36"/>
    <n v="574"/>
    <n v="1"/>
    <n v="1"/>
  </r>
  <r>
    <m/>
    <m/>
    <x v="1"/>
    <s v="77102966001003"/>
    <n v="-33.9"/>
    <n v="833"/>
    <n v="1"/>
    <n v="1"/>
  </r>
  <r>
    <m/>
    <m/>
    <x v="1"/>
    <s v="77313318003001"/>
    <n v="-62.43"/>
    <n v="1534"/>
    <n v="1"/>
    <n v="1"/>
  </r>
  <r>
    <m/>
    <m/>
    <x v="1"/>
    <s v="77408957003001"/>
    <n v="-63.57"/>
    <n v="1562"/>
    <n v="1"/>
    <n v="1"/>
  </r>
  <r>
    <m/>
    <m/>
    <x v="1"/>
    <s v="77426157006001"/>
    <n v="-17.95"/>
    <n v="441"/>
    <n v="1"/>
    <n v="1"/>
  </r>
  <r>
    <m/>
    <m/>
    <x v="1"/>
    <s v="77464420009001"/>
    <n v="-51.69"/>
    <n v="1270"/>
    <n v="1"/>
    <n v="1"/>
  </r>
  <r>
    <m/>
    <m/>
    <x v="1"/>
    <s v="77501830002003"/>
    <n v="-24.95"/>
    <n v="613"/>
    <n v="1"/>
    <n v="1"/>
  </r>
  <r>
    <m/>
    <m/>
    <x v="1"/>
    <s v="77671725001005"/>
    <n v="-6.43"/>
    <n v="158"/>
    <n v="1"/>
    <n v="1"/>
  </r>
  <r>
    <m/>
    <m/>
    <x v="1"/>
    <s v="77681333001007"/>
    <n v="-51.36"/>
    <n v="1262"/>
    <n v="1"/>
    <n v="1"/>
  </r>
  <r>
    <m/>
    <m/>
    <x v="1"/>
    <s v="77743243001001"/>
    <n v="-27.07"/>
    <n v="665"/>
    <n v="1"/>
    <n v="1"/>
  </r>
  <r>
    <m/>
    <m/>
    <x v="1"/>
    <s v="77965715001003"/>
    <n v="-34.51"/>
    <n v="848"/>
    <n v="1"/>
    <n v="1"/>
  </r>
  <r>
    <m/>
    <m/>
    <x v="1"/>
    <s v="77965745001001"/>
    <n v="-59.18"/>
    <n v="1454"/>
    <n v="1"/>
    <n v="1"/>
  </r>
  <r>
    <m/>
    <m/>
    <x v="1"/>
    <s v="78170608001003"/>
    <n v="-47.7"/>
    <n v="1172"/>
    <n v="1"/>
    <n v="1"/>
  </r>
  <r>
    <m/>
    <m/>
    <x v="1"/>
    <s v="78288740003001"/>
    <n v="-137.57"/>
    <n v="3380"/>
    <n v="1"/>
    <n v="1"/>
  </r>
  <r>
    <m/>
    <m/>
    <x v="1"/>
    <s v="78305476001002"/>
    <n v="-55.68"/>
    <n v="1368"/>
    <n v="1"/>
    <n v="1"/>
  </r>
  <r>
    <m/>
    <m/>
    <x v="1"/>
    <s v="78319567001011"/>
    <n v="-61.74"/>
    <n v="1517"/>
    <n v="1"/>
    <n v="1"/>
  </r>
  <r>
    <m/>
    <m/>
    <x v="1"/>
    <s v="78344001001008"/>
    <n v="-19.21"/>
    <n v="472"/>
    <n v="1"/>
    <n v="1"/>
  </r>
  <r>
    <m/>
    <m/>
    <x v="1"/>
    <s v="78408331001003"/>
    <n v="-71.27"/>
    <n v="1751"/>
    <n v="1"/>
    <n v="1"/>
  </r>
  <r>
    <m/>
    <m/>
    <x v="1"/>
    <s v="78621225002001"/>
    <n v="-70.33"/>
    <n v="1728"/>
    <n v="1"/>
    <n v="1"/>
  </r>
  <r>
    <m/>
    <m/>
    <x v="1"/>
    <s v="78709729003001"/>
    <n v="-57.88"/>
    <n v="1422"/>
    <n v="1"/>
    <n v="1"/>
  </r>
  <r>
    <m/>
    <m/>
    <x v="1"/>
    <s v="78933573001002"/>
    <n v="-65.45"/>
    <n v="1608"/>
    <n v="1"/>
    <n v="1"/>
  </r>
  <r>
    <m/>
    <m/>
    <x v="1"/>
    <s v="79021044002001"/>
    <n v="-63.25"/>
    <n v="1554"/>
    <n v="1"/>
    <n v="1"/>
  </r>
  <r>
    <m/>
    <m/>
    <x v="1"/>
    <s v="79030418001001"/>
    <n v="-52.42"/>
    <n v="1288"/>
    <n v="1"/>
    <n v="1"/>
  </r>
  <r>
    <m/>
    <m/>
    <x v="1"/>
    <s v="79100730002005"/>
    <n v="-29.02"/>
    <n v="713"/>
    <n v="1"/>
    <n v="1"/>
  </r>
  <r>
    <m/>
    <m/>
    <x v="1"/>
    <s v="79103866001003"/>
    <n v="-11.48"/>
    <n v="282"/>
    <n v="1"/>
    <n v="1"/>
  </r>
  <r>
    <m/>
    <m/>
    <x v="1"/>
    <s v="79209847002003"/>
    <n v="-49.94"/>
    <n v="1227"/>
    <n v="1"/>
    <n v="1"/>
  </r>
  <r>
    <m/>
    <m/>
    <x v="1"/>
    <s v="79262329001005"/>
    <n v="-52.14"/>
    <n v="1281"/>
    <n v="1"/>
    <n v="1"/>
  </r>
  <r>
    <m/>
    <m/>
    <x v="1"/>
    <s v="79306812001001"/>
    <n v="-50.14"/>
    <n v="1232"/>
    <n v="1"/>
    <n v="1"/>
  </r>
  <r>
    <m/>
    <m/>
    <x v="1"/>
    <s v="79543609001001"/>
    <n v="-44.81"/>
    <n v="1101"/>
    <n v="1"/>
    <n v="1"/>
  </r>
  <r>
    <m/>
    <m/>
    <x v="1"/>
    <s v="79576446001001"/>
    <n v="-8.4700000000000006"/>
    <n v="208"/>
    <n v="1"/>
    <n v="1"/>
  </r>
  <r>
    <m/>
    <m/>
    <x v="1"/>
    <s v="79692122001001"/>
    <n v="-71.27"/>
    <n v="1751"/>
    <n v="1"/>
    <n v="1"/>
  </r>
  <r>
    <m/>
    <m/>
    <x v="1"/>
    <s v="79770536002001"/>
    <n v="-110.87"/>
    <n v="2724"/>
    <n v="1"/>
    <n v="1"/>
  </r>
  <r>
    <m/>
    <m/>
    <x v="1"/>
    <s v="79804496001003"/>
    <n v="-9.1199999999999992"/>
    <n v="224"/>
    <n v="1"/>
    <n v="1"/>
  </r>
  <r>
    <m/>
    <m/>
    <x v="1"/>
    <s v="79923140001002"/>
    <n v="-101.79"/>
    <n v="2501"/>
    <n v="1"/>
    <n v="1"/>
  </r>
  <r>
    <m/>
    <m/>
    <x v="1"/>
    <s v="79955342001001"/>
    <n v="-83.15"/>
    <n v="2043"/>
    <n v="1"/>
    <n v="1"/>
  </r>
  <r>
    <m/>
    <m/>
    <x v="1"/>
    <s v="79992996001001"/>
    <n v="-88.89"/>
    <n v="2184"/>
    <n v="1"/>
    <n v="1"/>
  </r>
  <r>
    <m/>
    <m/>
    <x v="1"/>
    <s v="80342056002002"/>
    <n v="-21.94"/>
    <n v="539"/>
    <n v="1"/>
    <n v="1"/>
  </r>
  <r>
    <m/>
    <m/>
    <x v="1"/>
    <s v="80429336001003"/>
    <n v="-24.42"/>
    <n v="600"/>
    <n v="1"/>
    <n v="1"/>
  </r>
  <r>
    <m/>
    <m/>
    <x v="1"/>
    <s v="80469234001007"/>
    <n v="-45.26"/>
    <n v="1112"/>
    <n v="1"/>
    <n v="1"/>
  </r>
  <r>
    <m/>
    <m/>
    <x v="1"/>
    <s v="80538341001002"/>
    <n v="-77.739999999999995"/>
    <n v="1910"/>
    <n v="1"/>
    <n v="1"/>
  </r>
  <r>
    <m/>
    <m/>
    <x v="1"/>
    <s v="80547178001002"/>
    <n v="-31.26"/>
    <n v="768"/>
    <n v="1"/>
    <n v="1"/>
  </r>
  <r>
    <m/>
    <m/>
    <x v="1"/>
    <s v="80568343004001"/>
    <n v="-55.07"/>
    <n v="1353"/>
    <n v="1"/>
    <n v="1"/>
  </r>
  <r>
    <m/>
    <m/>
    <x v="1"/>
    <s v="80643686001001"/>
    <n v="-62.47"/>
    <n v="1535"/>
    <n v="1"/>
    <n v="1"/>
  </r>
  <r>
    <m/>
    <m/>
    <x v="1"/>
    <s v="80745052001006"/>
    <n v="-6.76"/>
    <n v="166"/>
    <n v="1"/>
    <n v="1"/>
  </r>
  <r>
    <m/>
    <m/>
    <x v="1"/>
    <s v="80748492001001"/>
    <n v="-53.6"/>
    <n v="1317"/>
    <n v="1"/>
    <n v="1"/>
  </r>
  <r>
    <m/>
    <m/>
    <x v="1"/>
    <s v="80829169004007"/>
    <n v="-88.81"/>
    <n v="2182"/>
    <n v="1"/>
    <n v="1"/>
  </r>
  <r>
    <m/>
    <m/>
    <x v="1"/>
    <s v="80917149001001"/>
    <n v="-26.74"/>
    <n v="657"/>
    <n v="1"/>
    <n v="1"/>
  </r>
  <r>
    <m/>
    <m/>
    <x v="1"/>
    <s v="80918426001002"/>
    <n v="-56.49"/>
    <n v="1388"/>
    <n v="1"/>
    <n v="1"/>
  </r>
  <r>
    <m/>
    <m/>
    <x v="1"/>
    <s v="80965084001001"/>
    <n v="-53.32"/>
    <n v="1310"/>
    <n v="1"/>
    <n v="1"/>
  </r>
  <r>
    <m/>
    <m/>
    <x v="1"/>
    <s v="81092601001003"/>
    <n v="-65.650000000000006"/>
    <n v="1613"/>
    <n v="1"/>
    <n v="1"/>
  </r>
  <r>
    <m/>
    <m/>
    <x v="1"/>
    <s v="81235844001001"/>
    <n v="-51.77"/>
    <n v="1272"/>
    <n v="1"/>
    <n v="1"/>
  </r>
  <r>
    <m/>
    <m/>
    <x v="1"/>
    <s v="81336263001001"/>
    <n v="-46.24"/>
    <n v="1136"/>
    <n v="1"/>
    <n v="1"/>
  </r>
  <r>
    <m/>
    <m/>
    <x v="1"/>
    <s v="81376958001002"/>
    <n v="-85.71"/>
    <n v="2106"/>
    <n v="1"/>
    <n v="1"/>
  </r>
  <r>
    <m/>
    <m/>
    <x v="1"/>
    <s v="81498585001003"/>
    <n v="-14.65"/>
    <n v="360"/>
    <n v="1"/>
    <n v="1"/>
  </r>
  <r>
    <m/>
    <m/>
    <x v="1"/>
    <s v="81678039001001"/>
    <n v="-93.77"/>
    <n v="2304"/>
    <n v="1"/>
    <n v="1"/>
  </r>
  <r>
    <m/>
    <m/>
    <x v="1"/>
    <s v="81762889001004"/>
    <n v="-27.31"/>
    <n v="671"/>
    <n v="1"/>
    <n v="1"/>
  </r>
  <r>
    <m/>
    <m/>
    <x v="1"/>
    <s v="81782046001003"/>
    <n v="-46.89"/>
    <n v="1152"/>
    <n v="1"/>
    <n v="1"/>
  </r>
  <r>
    <m/>
    <m/>
    <x v="1"/>
    <s v="81796976001002"/>
    <n v="-32.520000000000003"/>
    <n v="799"/>
    <n v="1"/>
    <n v="1"/>
  </r>
  <r>
    <m/>
    <m/>
    <x v="1"/>
    <s v="81873538001001"/>
    <n v="-40.29"/>
    <n v="990"/>
    <n v="1"/>
    <n v="1"/>
  </r>
  <r>
    <m/>
    <m/>
    <x v="1"/>
    <s v="81908653002007"/>
    <n v="-83.07"/>
    <n v="2041"/>
    <n v="1"/>
    <n v="1"/>
  </r>
  <r>
    <m/>
    <m/>
    <x v="1"/>
    <s v="82001717001003"/>
    <n v="-14.33"/>
    <n v="352"/>
    <n v="1"/>
    <n v="1"/>
  </r>
  <r>
    <m/>
    <m/>
    <x v="1"/>
    <s v="82041298001001"/>
    <n v="-66.3"/>
    <n v="1629"/>
    <n v="1"/>
    <n v="1"/>
  </r>
  <r>
    <m/>
    <m/>
    <x v="1"/>
    <s v="82204885001007"/>
    <n v="-31.14"/>
    <n v="765"/>
    <n v="1"/>
    <n v="1"/>
  </r>
  <r>
    <m/>
    <m/>
    <x v="1"/>
    <s v="82503971001003"/>
    <n v="-35.65"/>
    <n v="876"/>
    <n v="1"/>
    <n v="1"/>
  </r>
  <r>
    <m/>
    <m/>
    <x v="1"/>
    <s v="82551362001001"/>
    <n v="-17.989999999999998"/>
    <n v="442"/>
    <n v="1"/>
    <n v="1"/>
  </r>
  <r>
    <m/>
    <m/>
    <x v="1"/>
    <s v="82713739001001"/>
    <n v="-9.2799999999999994"/>
    <n v="228"/>
    <n v="1"/>
    <n v="1"/>
  </r>
  <r>
    <m/>
    <m/>
    <x v="1"/>
    <s v="82742339002001"/>
    <n v="-64.349999999999994"/>
    <n v="1581"/>
    <n v="1"/>
    <n v="1"/>
  </r>
  <r>
    <m/>
    <m/>
    <x v="1"/>
    <s v="82768682001003"/>
    <n v="-52.06"/>
    <n v="1279"/>
    <n v="1"/>
    <n v="1"/>
  </r>
  <r>
    <m/>
    <m/>
    <x v="1"/>
    <s v="82891685001001"/>
    <n v="-13.02"/>
    <n v="320"/>
    <n v="1"/>
    <n v="1"/>
  </r>
  <r>
    <m/>
    <m/>
    <x v="1"/>
    <s v="82896055001001"/>
    <n v="-23.85"/>
    <n v="586"/>
    <n v="1"/>
    <n v="1"/>
  </r>
  <r>
    <m/>
    <m/>
    <x v="1"/>
    <s v="82995786002003"/>
    <n v="-45.01"/>
    <n v="1106"/>
    <n v="1"/>
    <n v="1"/>
  </r>
  <r>
    <m/>
    <m/>
    <x v="1"/>
    <s v="83035336005001"/>
    <n v="-10.5"/>
    <n v="258"/>
    <n v="1"/>
    <n v="1"/>
  </r>
  <r>
    <m/>
    <m/>
    <x v="1"/>
    <s v="83058315001003"/>
    <n v="-86"/>
    <n v="2113"/>
    <n v="1"/>
    <n v="1"/>
  </r>
  <r>
    <m/>
    <m/>
    <x v="1"/>
    <s v="83271249001001"/>
    <n v="-57.02"/>
    <n v="1401"/>
    <n v="1"/>
    <n v="1"/>
  </r>
  <r>
    <m/>
    <m/>
    <x v="1"/>
    <s v="83298969001003"/>
    <n v="-12.7"/>
    <n v="312"/>
    <n v="1"/>
    <n v="1"/>
  </r>
  <r>
    <m/>
    <m/>
    <x v="1"/>
    <s v="83316320002001"/>
    <n v="-43.51"/>
    <n v="1069"/>
    <n v="1"/>
    <n v="1"/>
  </r>
  <r>
    <m/>
    <m/>
    <x v="1"/>
    <s v="83336149003004"/>
    <n v="-14.41"/>
    <n v="354"/>
    <n v="1"/>
    <n v="1"/>
  </r>
  <r>
    <m/>
    <m/>
    <x v="1"/>
    <s v="83430858001001"/>
    <n v="-56.78"/>
    <n v="1395"/>
    <n v="1"/>
    <n v="1"/>
  </r>
  <r>
    <m/>
    <m/>
    <x v="1"/>
    <s v="83532056001002"/>
    <n v="-10.66"/>
    <n v="262"/>
    <n v="1"/>
    <n v="1"/>
  </r>
  <r>
    <m/>
    <m/>
    <x v="1"/>
    <s v="83534984001009"/>
    <n v="-34.229999999999997"/>
    <n v="841"/>
    <n v="1"/>
    <n v="1"/>
  </r>
  <r>
    <m/>
    <m/>
    <x v="1"/>
    <s v="83590012003001"/>
    <n v="-100.28"/>
    <n v="2464"/>
    <n v="1"/>
    <n v="1"/>
  </r>
  <r>
    <m/>
    <m/>
    <x v="1"/>
    <s v="83638855001001"/>
    <n v="-45.5"/>
    <n v="1118"/>
    <n v="1"/>
    <n v="1"/>
  </r>
  <r>
    <m/>
    <m/>
    <x v="1"/>
    <s v="83665512001001"/>
    <n v="-107.81"/>
    <n v="2649"/>
    <n v="1"/>
    <n v="1"/>
  </r>
  <r>
    <m/>
    <m/>
    <x v="1"/>
    <s v="83822694001003"/>
    <n v="-12.98"/>
    <n v="319"/>
    <n v="1"/>
    <n v="1"/>
  </r>
  <r>
    <m/>
    <m/>
    <x v="1"/>
    <s v="83899589001009"/>
    <n v="-4.2699999999999996"/>
    <n v="105"/>
    <n v="1"/>
    <n v="1"/>
  </r>
  <r>
    <m/>
    <m/>
    <x v="1"/>
    <s v="83921448001001"/>
    <n v="-118.23"/>
    <n v="2905"/>
    <n v="1"/>
    <n v="1"/>
  </r>
  <r>
    <m/>
    <m/>
    <x v="1"/>
    <s v="83926751003001"/>
    <n v="-53.97"/>
    <n v="1326"/>
    <n v="1"/>
    <n v="1"/>
  </r>
  <r>
    <m/>
    <m/>
    <x v="1"/>
    <s v="83985151001001"/>
    <n v="-103.99"/>
    <n v="2555"/>
    <n v="1"/>
    <n v="1"/>
  </r>
  <r>
    <m/>
    <m/>
    <x v="1"/>
    <s v="84172805003001"/>
    <n v="-59.79"/>
    <n v="1469"/>
    <n v="1"/>
    <n v="1"/>
  </r>
  <r>
    <m/>
    <m/>
    <x v="1"/>
    <s v="84270072001001"/>
    <n v="-62.64"/>
    <n v="1539"/>
    <n v="1"/>
    <n v="1"/>
  </r>
  <r>
    <m/>
    <m/>
    <x v="1"/>
    <s v="84291714001001"/>
    <n v="-88.28"/>
    <n v="2169"/>
    <n v="1"/>
    <n v="1"/>
  </r>
  <r>
    <m/>
    <m/>
    <x v="1"/>
    <s v="84323944001003"/>
    <n v="-86.37"/>
    <n v="2122"/>
    <n v="1"/>
    <n v="1"/>
  </r>
  <r>
    <m/>
    <m/>
    <x v="1"/>
    <s v="84341077001001"/>
    <n v="-57.55"/>
    <n v="1414"/>
    <n v="1"/>
    <n v="1"/>
  </r>
  <r>
    <m/>
    <m/>
    <x v="1"/>
    <s v="84393062001001"/>
    <n v="-51.65"/>
    <n v="1269"/>
    <n v="1"/>
    <n v="1"/>
  </r>
  <r>
    <m/>
    <m/>
    <x v="1"/>
    <s v="84505506001001"/>
    <n v="-13.59"/>
    <n v="334"/>
    <n v="1"/>
    <n v="1"/>
  </r>
  <r>
    <m/>
    <m/>
    <x v="1"/>
    <s v="84539713001002"/>
    <n v="-5.45"/>
    <n v="134"/>
    <n v="1"/>
    <n v="1"/>
  </r>
  <r>
    <m/>
    <m/>
    <x v="1"/>
    <s v="84762200002001"/>
    <n v="-77.78"/>
    <n v="1911"/>
    <n v="1"/>
    <n v="1"/>
  </r>
  <r>
    <m/>
    <m/>
    <x v="1"/>
    <s v="84892204001006"/>
    <n v="-30.04"/>
    <n v="738"/>
    <n v="1"/>
    <n v="1"/>
  </r>
  <r>
    <m/>
    <m/>
    <x v="1"/>
    <s v="84915098001001"/>
    <n v="-39.520000000000003"/>
    <n v="971"/>
    <n v="1"/>
    <n v="1"/>
  </r>
  <r>
    <m/>
    <m/>
    <x v="1"/>
    <s v="84944676001003"/>
    <n v="-56.9"/>
    <n v="1398"/>
    <n v="1"/>
    <n v="1"/>
  </r>
  <r>
    <m/>
    <m/>
    <x v="1"/>
    <s v="84961216001001"/>
    <n v="-24.54"/>
    <n v="603"/>
    <n v="1"/>
    <n v="1"/>
  </r>
  <r>
    <m/>
    <m/>
    <x v="1"/>
    <s v="84968906001001"/>
    <n v="-0.61"/>
    <n v="15"/>
    <n v="1"/>
    <n v="1"/>
  </r>
  <r>
    <m/>
    <m/>
    <x v="1"/>
    <s v="85026024001001"/>
    <n v="-18.149999999999999"/>
    <n v="446"/>
    <n v="1"/>
    <n v="1"/>
  </r>
  <r>
    <m/>
    <m/>
    <x v="1"/>
    <s v="85036880003001"/>
    <n v="-16.32"/>
    <n v="401"/>
    <n v="1"/>
    <n v="1"/>
  </r>
  <r>
    <m/>
    <m/>
    <x v="1"/>
    <s v="85145810002001"/>
    <n v="-73.989999999999995"/>
    <n v="1818"/>
    <n v="1"/>
    <n v="1"/>
  </r>
  <r>
    <m/>
    <m/>
    <x v="1"/>
    <s v="85361201001008"/>
    <n v="-37.200000000000003"/>
    <n v="914"/>
    <n v="1"/>
    <n v="1"/>
  </r>
  <r>
    <m/>
    <m/>
    <x v="1"/>
    <s v="85368082001007"/>
    <n v="-35.369999999999997"/>
    <n v="869"/>
    <n v="1"/>
    <n v="1"/>
  </r>
  <r>
    <m/>
    <m/>
    <x v="1"/>
    <s v="85443154001001"/>
    <n v="-33.130000000000003"/>
    <n v="814"/>
    <n v="1"/>
    <n v="1"/>
  </r>
  <r>
    <m/>
    <m/>
    <x v="1"/>
    <s v="85593168001001"/>
    <n v="-78.709999999999994"/>
    <n v="1934"/>
    <n v="1"/>
    <n v="1"/>
  </r>
  <r>
    <m/>
    <m/>
    <x v="1"/>
    <s v="85607571003001"/>
    <n v="-59.75"/>
    <n v="1468"/>
    <n v="1"/>
    <n v="1"/>
  </r>
  <r>
    <m/>
    <m/>
    <x v="1"/>
    <s v="85645329001001"/>
    <n v="-10.66"/>
    <n v="262"/>
    <n v="1"/>
    <n v="1"/>
  </r>
  <r>
    <m/>
    <m/>
    <x v="1"/>
    <s v="85663723001011"/>
    <n v="-24.05"/>
    <n v="591"/>
    <n v="1"/>
    <n v="1"/>
  </r>
  <r>
    <m/>
    <m/>
    <x v="1"/>
    <s v="85691100003003"/>
    <n v="-30.85"/>
    <n v="758"/>
    <n v="1"/>
    <n v="1"/>
  </r>
  <r>
    <m/>
    <m/>
    <x v="1"/>
    <s v="85820968001001"/>
    <n v="-53.93"/>
    <n v="1325"/>
    <n v="1"/>
    <n v="1"/>
  </r>
  <r>
    <m/>
    <m/>
    <x v="1"/>
    <s v="85887194001001"/>
    <n v="-23.69"/>
    <n v="582"/>
    <n v="1"/>
    <n v="1"/>
  </r>
  <r>
    <m/>
    <m/>
    <x v="1"/>
    <s v="86054286001001"/>
    <n v="-35.450000000000003"/>
    <n v="871"/>
    <n v="1"/>
    <n v="1"/>
  </r>
  <r>
    <m/>
    <m/>
    <x v="1"/>
    <s v="86084151001007"/>
    <n v="-34.840000000000003"/>
    <n v="856"/>
    <n v="1"/>
    <n v="1"/>
  </r>
  <r>
    <m/>
    <m/>
    <x v="1"/>
    <s v="86404752001003"/>
    <n v="-80.989999999999995"/>
    <n v="1990"/>
    <n v="1"/>
    <n v="1"/>
  </r>
  <r>
    <m/>
    <m/>
    <x v="1"/>
    <s v="86408131001004"/>
    <n v="-62.47"/>
    <n v="1535"/>
    <n v="1"/>
    <n v="1"/>
  </r>
  <r>
    <m/>
    <m/>
    <x v="1"/>
    <s v="86420880001004"/>
    <n v="-153.47999999999999"/>
    <n v="3771"/>
    <n v="1"/>
    <n v="1"/>
  </r>
  <r>
    <m/>
    <m/>
    <x v="1"/>
    <s v="86557042001001"/>
    <n v="-80.63"/>
    <n v="1981"/>
    <n v="1"/>
    <n v="1"/>
  </r>
  <r>
    <m/>
    <m/>
    <x v="1"/>
    <s v="86628477001001"/>
    <n v="-58.12"/>
    <n v="1428"/>
    <n v="1"/>
    <n v="1"/>
  </r>
  <r>
    <m/>
    <m/>
    <x v="1"/>
    <s v="86693437001005"/>
    <n v="-91.21"/>
    <n v="2241"/>
    <n v="1"/>
    <n v="1"/>
  </r>
  <r>
    <m/>
    <m/>
    <x v="1"/>
    <s v="86709161001013"/>
    <n v="-12.21"/>
    <n v="300"/>
    <n v="1"/>
    <n v="1"/>
  </r>
  <r>
    <m/>
    <m/>
    <x v="1"/>
    <s v="86736871001001"/>
    <n v="-39.4"/>
    <n v="968"/>
    <n v="1"/>
    <n v="1"/>
  </r>
  <r>
    <m/>
    <m/>
    <x v="1"/>
    <s v="86973909002001"/>
    <n v="-43.87"/>
    <n v="1078"/>
    <n v="1"/>
    <n v="1"/>
  </r>
  <r>
    <m/>
    <m/>
    <x v="1"/>
    <s v="86983732001001"/>
    <n v="-101.87"/>
    <n v="2503"/>
    <n v="1"/>
    <n v="1"/>
  </r>
  <r>
    <m/>
    <m/>
    <x v="1"/>
    <s v="86997021001001"/>
    <n v="-49.49"/>
    <n v="1216"/>
    <n v="1"/>
    <n v="1"/>
  </r>
  <r>
    <m/>
    <m/>
    <x v="1"/>
    <s v="87014077001006"/>
    <n v="-107.73"/>
    <n v="2647"/>
    <n v="1"/>
    <n v="1"/>
  </r>
  <r>
    <m/>
    <m/>
    <x v="1"/>
    <s v="87070925001002"/>
    <n v="-49.41"/>
    <n v="1214"/>
    <n v="1"/>
    <n v="1"/>
  </r>
  <r>
    <m/>
    <m/>
    <x v="1"/>
    <s v="87236238001001"/>
    <n v="-62.11"/>
    <n v="1526"/>
    <n v="1"/>
    <n v="1"/>
  </r>
  <r>
    <m/>
    <m/>
    <x v="1"/>
    <s v="87251090001001"/>
    <n v="-72.489999999999995"/>
    <n v="1781"/>
    <n v="1"/>
    <n v="1"/>
  </r>
  <r>
    <m/>
    <m/>
    <x v="1"/>
    <s v="87298950001009"/>
    <n v="-14.98"/>
    <n v="368"/>
    <n v="1"/>
    <n v="1"/>
  </r>
  <r>
    <m/>
    <m/>
    <x v="1"/>
    <s v="87315623001002"/>
    <n v="-33.21"/>
    <n v="816"/>
    <n v="1"/>
    <n v="1"/>
  </r>
  <r>
    <m/>
    <m/>
    <x v="1"/>
    <s v="87361385001003"/>
    <n v="-76.48"/>
    <n v="1879"/>
    <n v="1"/>
    <n v="1"/>
  </r>
  <r>
    <m/>
    <m/>
    <x v="1"/>
    <s v="87375744001001"/>
    <n v="-35.86"/>
    <n v="881"/>
    <n v="1"/>
    <n v="1"/>
  </r>
  <r>
    <m/>
    <m/>
    <x v="1"/>
    <s v="87496467002001"/>
    <n v="-42.45"/>
    <n v="1043"/>
    <n v="1"/>
    <n v="1"/>
  </r>
  <r>
    <m/>
    <m/>
    <x v="1"/>
    <s v="87518854002005"/>
    <n v="-28.69"/>
    <n v="705"/>
    <n v="1"/>
    <n v="1"/>
  </r>
  <r>
    <m/>
    <m/>
    <x v="1"/>
    <s v="87551644002001"/>
    <n v="-33.21"/>
    <n v="816"/>
    <n v="1"/>
    <n v="1"/>
  </r>
  <r>
    <m/>
    <m/>
    <x v="1"/>
    <s v="87567739001004"/>
    <n v="-72.69"/>
    <n v="1786"/>
    <n v="1"/>
    <n v="1"/>
  </r>
  <r>
    <m/>
    <m/>
    <x v="1"/>
    <s v="87582546001007"/>
    <n v="-76.11"/>
    <n v="1870"/>
    <n v="1"/>
    <n v="1"/>
  </r>
  <r>
    <m/>
    <m/>
    <x v="1"/>
    <s v="87604227002001"/>
    <n v="-23.28"/>
    <n v="572"/>
    <n v="1"/>
    <n v="1"/>
  </r>
  <r>
    <m/>
    <m/>
    <x v="1"/>
    <s v="87672343001003"/>
    <n v="-41.39"/>
    <n v="1017"/>
    <n v="1"/>
    <n v="1"/>
  </r>
  <r>
    <m/>
    <m/>
    <x v="1"/>
    <s v="87750579001001"/>
    <n v="-16.48"/>
    <n v="405"/>
    <n v="1"/>
    <n v="1"/>
  </r>
  <r>
    <m/>
    <m/>
    <x v="1"/>
    <s v="87810851004003"/>
    <n v="-97.92"/>
    <n v="2406"/>
    <n v="1"/>
    <n v="1"/>
  </r>
  <r>
    <m/>
    <m/>
    <x v="1"/>
    <s v="87876958001001"/>
    <n v="-53.11"/>
    <n v="1305"/>
    <n v="1"/>
    <n v="1"/>
  </r>
  <r>
    <m/>
    <m/>
    <x v="1"/>
    <s v="87919824001001"/>
    <n v="-121"/>
    <n v="2973"/>
    <n v="1"/>
    <n v="1"/>
  </r>
  <r>
    <m/>
    <m/>
    <x v="1"/>
    <s v="87972562001003"/>
    <n v="-16.61"/>
    <n v="408"/>
    <n v="1"/>
    <n v="1"/>
  </r>
  <r>
    <m/>
    <m/>
    <x v="1"/>
    <s v="88063060001002"/>
    <n v="-100.04"/>
    <n v="2458"/>
    <n v="1"/>
    <n v="1"/>
  </r>
  <r>
    <m/>
    <m/>
    <x v="1"/>
    <s v="88122486001001"/>
    <n v="-58.49"/>
    <n v="1437"/>
    <n v="1"/>
    <n v="1"/>
  </r>
  <r>
    <m/>
    <m/>
    <x v="1"/>
    <s v="88142806002001"/>
    <n v="-80.459999999999994"/>
    <n v="1977"/>
    <n v="1"/>
    <n v="1"/>
  </r>
  <r>
    <m/>
    <m/>
    <x v="1"/>
    <s v="88196768003001"/>
    <n v="-85.75"/>
    <n v="2107"/>
    <n v="1"/>
    <n v="1"/>
  </r>
  <r>
    <m/>
    <m/>
    <x v="1"/>
    <s v="88304092001001"/>
    <n v="-7.65"/>
    <n v="188"/>
    <n v="1"/>
    <n v="1"/>
  </r>
  <r>
    <m/>
    <m/>
    <x v="1"/>
    <s v="88457516001006"/>
    <n v="-2.6"/>
    <n v="64"/>
    <n v="1"/>
    <n v="1"/>
  </r>
  <r>
    <m/>
    <m/>
    <x v="1"/>
    <s v="88484707001005"/>
    <n v="-15.18"/>
    <n v="373"/>
    <n v="1"/>
    <n v="1"/>
  </r>
  <r>
    <m/>
    <m/>
    <x v="1"/>
    <s v="88560211001003"/>
    <n v="-45.62"/>
    <n v="1121"/>
    <n v="1"/>
    <n v="1"/>
  </r>
  <r>
    <m/>
    <m/>
    <x v="1"/>
    <s v="88573270001001"/>
    <n v="-60.28"/>
    <n v="1481"/>
    <n v="1"/>
    <n v="1"/>
  </r>
  <r>
    <m/>
    <m/>
    <x v="1"/>
    <s v="88732713001004"/>
    <n v="-39.93"/>
    <n v="981"/>
    <n v="1"/>
    <n v="1"/>
  </r>
  <r>
    <m/>
    <m/>
    <x v="1"/>
    <s v="88756758002012"/>
    <n v="-7.04"/>
    <n v="173"/>
    <n v="1"/>
    <n v="1"/>
  </r>
  <r>
    <m/>
    <m/>
    <x v="1"/>
    <s v="88772979001005"/>
    <n v="-21.57"/>
    <n v="530"/>
    <n v="1"/>
    <n v="1"/>
  </r>
  <r>
    <m/>
    <m/>
    <x v="1"/>
    <s v="88908327001003"/>
    <n v="-54.21"/>
    <n v="1332"/>
    <n v="1"/>
    <n v="1"/>
  </r>
  <r>
    <m/>
    <m/>
    <x v="1"/>
    <s v="89037466001001"/>
    <n v="-12.98"/>
    <n v="319"/>
    <n v="1"/>
    <n v="1"/>
  </r>
  <r>
    <m/>
    <m/>
    <x v="1"/>
    <s v="89105915001001"/>
    <n v="-234.55"/>
    <n v="5763"/>
    <n v="1"/>
    <n v="1"/>
  </r>
  <r>
    <m/>
    <m/>
    <x v="1"/>
    <s v="89107006001001"/>
    <n v="-50.47"/>
    <n v="1240"/>
    <n v="1"/>
    <n v="1"/>
  </r>
  <r>
    <m/>
    <m/>
    <x v="1"/>
    <s v="89184529001001"/>
    <n v="-62.8"/>
    <n v="1543"/>
    <n v="1"/>
    <n v="1"/>
  </r>
  <r>
    <m/>
    <m/>
    <x v="1"/>
    <s v="89283834002003"/>
    <n v="-69.52"/>
    <n v="1708"/>
    <n v="1"/>
    <n v="1"/>
  </r>
  <r>
    <m/>
    <m/>
    <x v="1"/>
    <s v="89432491001004"/>
    <n v="-31.46"/>
    <n v="773"/>
    <n v="1"/>
    <n v="1"/>
  </r>
  <r>
    <m/>
    <m/>
    <x v="1"/>
    <s v="89476768001001"/>
    <n v="-76.069999999999993"/>
    <n v="1869"/>
    <n v="1"/>
    <n v="1"/>
  </r>
  <r>
    <m/>
    <m/>
    <x v="1"/>
    <s v="89636629003001"/>
    <n v="-20.43"/>
    <n v="502"/>
    <n v="1"/>
    <n v="1"/>
  </r>
  <r>
    <m/>
    <m/>
    <x v="1"/>
    <s v="89768877001001"/>
    <n v="-52.22"/>
    <n v="1283"/>
    <n v="1"/>
    <n v="1"/>
  </r>
  <r>
    <m/>
    <m/>
    <x v="1"/>
    <s v="89805136001001"/>
    <n v="-120.47"/>
    <n v="2960"/>
    <n v="1"/>
    <n v="1"/>
  </r>
  <r>
    <m/>
    <m/>
    <x v="1"/>
    <s v="90058594005003"/>
    <n v="-56.9"/>
    <n v="1398"/>
    <n v="1"/>
    <n v="1"/>
  </r>
  <r>
    <m/>
    <m/>
    <x v="1"/>
    <s v="90167563001003"/>
    <n v="-50.47"/>
    <n v="1240"/>
    <n v="1"/>
    <n v="1"/>
  </r>
  <r>
    <m/>
    <m/>
    <x v="1"/>
    <s v="90177529001008"/>
    <n v="-27.23"/>
    <n v="669"/>
    <n v="1"/>
    <n v="1"/>
  </r>
  <r>
    <m/>
    <m/>
    <x v="1"/>
    <s v="90223411001018"/>
    <n v="-30"/>
    <n v="737"/>
    <n v="1"/>
    <n v="1"/>
  </r>
  <r>
    <m/>
    <m/>
    <x v="1"/>
    <s v="90278607001005"/>
    <n v="-36.020000000000003"/>
    <n v="885"/>
    <n v="1"/>
    <n v="1"/>
  </r>
  <r>
    <m/>
    <m/>
    <x v="1"/>
    <s v="90301796001001"/>
    <n v="-35.04"/>
    <n v="861"/>
    <n v="1"/>
    <n v="1"/>
  </r>
  <r>
    <m/>
    <m/>
    <x v="1"/>
    <s v="90326789001003"/>
    <n v="-70.37"/>
    <n v="1729"/>
    <n v="1"/>
    <n v="1"/>
  </r>
  <r>
    <m/>
    <m/>
    <x v="1"/>
    <s v="90452230001004"/>
    <n v="-64.14"/>
    <n v="1576"/>
    <n v="1"/>
    <n v="1"/>
  </r>
  <r>
    <m/>
    <m/>
    <x v="1"/>
    <s v="90453061001001"/>
    <n v="-64.349999999999994"/>
    <n v="1581"/>
    <n v="1"/>
    <n v="1"/>
  </r>
  <r>
    <m/>
    <m/>
    <x v="1"/>
    <s v="90556685001003"/>
    <n v="-65.28"/>
    <n v="1604"/>
    <n v="1"/>
    <n v="1"/>
  </r>
  <r>
    <m/>
    <m/>
    <x v="1"/>
    <s v="90593570008003"/>
    <n v="-110.54"/>
    <n v="2716"/>
    <n v="1"/>
    <n v="1"/>
  </r>
  <r>
    <m/>
    <m/>
    <x v="1"/>
    <s v="90725573001001"/>
    <n v="-44.49"/>
    <n v="1093"/>
    <n v="1"/>
    <n v="1"/>
  </r>
  <r>
    <m/>
    <m/>
    <x v="1"/>
    <s v="90740546001001"/>
    <n v="-60.4"/>
    <n v="1484"/>
    <n v="1"/>
    <n v="1"/>
  </r>
  <r>
    <m/>
    <m/>
    <x v="1"/>
    <s v="90803817001001"/>
    <n v="-82.74"/>
    <n v="2033"/>
    <n v="1"/>
    <n v="1"/>
  </r>
  <r>
    <m/>
    <m/>
    <x v="1"/>
    <s v="90846228003007"/>
    <n v="-106.76"/>
    <n v="2623"/>
    <n v="1"/>
    <n v="1"/>
  </r>
  <r>
    <m/>
    <m/>
    <x v="1"/>
    <s v="90923089001001"/>
    <n v="-19.5"/>
    <n v="479"/>
    <n v="1"/>
    <n v="1"/>
  </r>
  <r>
    <m/>
    <m/>
    <x v="1"/>
    <s v="90927229001003"/>
    <n v="-43.55"/>
    <n v="1070"/>
    <n v="1"/>
    <n v="1"/>
  </r>
  <r>
    <m/>
    <m/>
    <x v="1"/>
    <s v="91085873002001"/>
    <n v="-11.23"/>
    <n v="276"/>
    <n v="1"/>
    <n v="1"/>
  </r>
  <r>
    <m/>
    <m/>
    <x v="1"/>
    <s v="91155934001001"/>
    <n v="-47.46"/>
    <n v="1166"/>
    <n v="1"/>
    <n v="1"/>
  </r>
  <r>
    <m/>
    <m/>
    <x v="1"/>
    <s v="91237440001003"/>
    <n v="-45.91"/>
    <n v="1128"/>
    <n v="1"/>
    <n v="1"/>
  </r>
  <r>
    <m/>
    <m/>
    <x v="1"/>
    <s v="91537061004005"/>
    <n v="-66.95"/>
    <n v="1645"/>
    <n v="1"/>
    <n v="1"/>
  </r>
  <r>
    <m/>
    <m/>
    <x v="1"/>
    <s v="91552426001001"/>
    <n v="-49.78"/>
    <n v="1223"/>
    <n v="1"/>
    <n v="1"/>
  </r>
  <r>
    <m/>
    <m/>
    <x v="1"/>
    <s v="91577981002004"/>
    <n v="-8.3800000000000008"/>
    <n v="206"/>
    <n v="1"/>
    <n v="1"/>
  </r>
  <r>
    <m/>
    <m/>
    <x v="1"/>
    <s v="91759038001001"/>
    <n v="-72.69"/>
    <n v="1786"/>
    <n v="1"/>
    <n v="1"/>
  </r>
  <r>
    <m/>
    <m/>
    <x v="1"/>
    <s v="91774675002002"/>
    <n v="-89.62"/>
    <n v="2202"/>
    <n v="1"/>
    <n v="1"/>
  </r>
  <r>
    <m/>
    <m/>
    <x v="1"/>
    <s v="91792182001002"/>
    <n v="-38.049999999999997"/>
    <n v="935"/>
    <n v="1"/>
    <n v="1"/>
  </r>
  <r>
    <m/>
    <m/>
    <x v="1"/>
    <s v="91827766001002"/>
    <n v="-55.23"/>
    <n v="1357"/>
    <n v="1"/>
    <n v="1"/>
  </r>
  <r>
    <m/>
    <m/>
    <x v="1"/>
    <s v="91856237001003"/>
    <n v="-25.19"/>
    <n v="619"/>
    <n v="1"/>
    <n v="1"/>
  </r>
  <r>
    <m/>
    <m/>
    <x v="1"/>
    <s v="91895802001005"/>
    <n v="-22.47"/>
    <n v="552"/>
    <n v="1"/>
    <n v="1"/>
  </r>
  <r>
    <m/>
    <m/>
    <x v="1"/>
    <s v="91911316001004"/>
    <n v="-49.08"/>
    <n v="1206"/>
    <n v="1"/>
    <n v="1"/>
  </r>
  <r>
    <m/>
    <m/>
    <x v="1"/>
    <s v="91915411001003"/>
    <n v="-98.74"/>
    <n v="2426"/>
    <n v="1"/>
    <n v="1"/>
  </r>
  <r>
    <m/>
    <m/>
    <x v="1"/>
    <s v="91995451001005"/>
    <n v="-31.91"/>
    <n v="784"/>
    <n v="1"/>
    <n v="1"/>
  </r>
  <r>
    <m/>
    <m/>
    <x v="1"/>
    <s v="92041740001001"/>
    <n v="-36.06"/>
    <n v="886"/>
    <n v="1"/>
    <n v="1"/>
  </r>
  <r>
    <m/>
    <m/>
    <x v="1"/>
    <s v="92061113001004"/>
    <n v="-13.51"/>
    <n v="332"/>
    <n v="1"/>
    <n v="1"/>
  </r>
  <r>
    <m/>
    <m/>
    <x v="1"/>
    <s v="92255766001001"/>
    <n v="-78.55"/>
    <n v="1930"/>
    <n v="1"/>
    <n v="1"/>
  </r>
  <r>
    <m/>
    <m/>
    <x v="1"/>
    <s v="92328846001001"/>
    <n v="-28.12"/>
    <n v="691"/>
    <n v="1"/>
    <n v="1"/>
  </r>
  <r>
    <m/>
    <m/>
    <x v="1"/>
    <s v="92399017001001"/>
    <n v="-31.83"/>
    <n v="782"/>
    <n v="1"/>
    <n v="1"/>
  </r>
  <r>
    <m/>
    <m/>
    <x v="1"/>
    <s v="92452991003001"/>
    <n v="-35.94"/>
    <n v="883"/>
    <n v="1"/>
    <n v="1"/>
  </r>
  <r>
    <m/>
    <m/>
    <x v="1"/>
    <s v="92476559001004"/>
    <n v="-38.42"/>
    <n v="944"/>
    <n v="1"/>
    <n v="1"/>
  </r>
  <r>
    <m/>
    <m/>
    <x v="1"/>
    <s v="92523561001001"/>
    <n v="-60.64"/>
    <n v="1490"/>
    <n v="1"/>
    <n v="1"/>
  </r>
  <r>
    <m/>
    <m/>
    <x v="1"/>
    <s v="92612665001005"/>
    <n v="-26.21"/>
    <n v="644"/>
    <n v="1"/>
    <n v="1"/>
  </r>
  <r>
    <m/>
    <m/>
    <x v="1"/>
    <s v="92643112001001"/>
    <n v="-11.88"/>
    <n v="292"/>
    <n v="1"/>
    <n v="1"/>
  </r>
  <r>
    <m/>
    <m/>
    <x v="1"/>
    <s v="92911654001001"/>
    <n v="-25.6"/>
    <n v="629"/>
    <n v="1"/>
    <n v="1"/>
  </r>
  <r>
    <m/>
    <m/>
    <x v="1"/>
    <s v="92962178001001"/>
    <n v="-57.39"/>
    <n v="1410"/>
    <n v="1"/>
    <n v="1"/>
  </r>
  <r>
    <m/>
    <m/>
    <x v="1"/>
    <s v="93054261001004"/>
    <n v="-27.07"/>
    <n v="665"/>
    <n v="1"/>
    <n v="1"/>
  </r>
  <r>
    <m/>
    <m/>
    <x v="1"/>
    <s v="93261690001003"/>
    <n v="-47.37"/>
    <n v="1164"/>
    <n v="1"/>
    <n v="1"/>
  </r>
  <r>
    <m/>
    <m/>
    <x v="1"/>
    <s v="93293830001004"/>
    <n v="-38.54"/>
    <n v="947"/>
    <n v="1"/>
    <n v="1"/>
  </r>
  <r>
    <m/>
    <m/>
    <x v="1"/>
    <s v="93295699001009"/>
    <n v="-44.2"/>
    <n v="1086"/>
    <n v="1"/>
    <n v="1"/>
  </r>
  <r>
    <m/>
    <m/>
    <x v="1"/>
    <s v="93357124001001"/>
    <n v="-110.7"/>
    <n v="2720"/>
    <n v="1"/>
    <n v="1"/>
  </r>
  <r>
    <m/>
    <m/>
    <x v="1"/>
    <s v="93451293001002"/>
    <n v="-46.52"/>
    <n v="1143"/>
    <n v="1"/>
    <n v="1"/>
  </r>
  <r>
    <m/>
    <m/>
    <x v="1"/>
    <s v="93453320001012"/>
    <n v="-23.57"/>
    <n v="579"/>
    <n v="1"/>
    <n v="1"/>
  </r>
  <r>
    <m/>
    <m/>
    <x v="1"/>
    <s v="93477594002001"/>
    <n v="-24.18"/>
    <n v="594"/>
    <n v="1"/>
    <n v="1"/>
  </r>
  <r>
    <m/>
    <m/>
    <x v="1"/>
    <s v="93502736001008"/>
    <n v="-9.1999999999999993"/>
    <n v="226"/>
    <n v="1"/>
    <n v="1"/>
  </r>
  <r>
    <m/>
    <m/>
    <x v="1"/>
    <s v="93525219001001"/>
    <n v="-46.85"/>
    <n v="1151"/>
    <n v="1"/>
    <n v="1"/>
  </r>
  <r>
    <m/>
    <m/>
    <x v="1"/>
    <s v="93908930001001"/>
    <n v="-129.71"/>
    <n v="3187"/>
    <n v="1"/>
    <n v="1"/>
  </r>
  <r>
    <m/>
    <m/>
    <x v="1"/>
    <s v="93981586001005"/>
    <n v="-52.79"/>
    <n v="1297"/>
    <n v="1"/>
    <n v="1"/>
  </r>
  <r>
    <m/>
    <m/>
    <x v="1"/>
    <s v="94050793001001"/>
    <n v="-17.829999999999998"/>
    <n v="438"/>
    <n v="1"/>
    <n v="1"/>
  </r>
  <r>
    <m/>
    <m/>
    <x v="1"/>
    <s v="94127903001001"/>
    <n v="-32.799999999999997"/>
    <n v="806"/>
    <n v="1"/>
    <n v="1"/>
  </r>
  <r>
    <m/>
    <m/>
    <x v="1"/>
    <s v="94236722001001"/>
    <n v="-73.91"/>
    <n v="1816"/>
    <n v="1"/>
    <n v="1"/>
  </r>
  <r>
    <m/>
    <m/>
    <x v="1"/>
    <s v="94338453002001"/>
    <n v="-79.040000000000006"/>
    <n v="1942"/>
    <n v="1"/>
    <n v="1"/>
  </r>
  <r>
    <m/>
    <m/>
    <x v="1"/>
    <s v="94383185001003"/>
    <n v="-38.049999999999997"/>
    <n v="935"/>
    <n v="1"/>
    <n v="1"/>
  </r>
  <r>
    <m/>
    <m/>
    <x v="1"/>
    <s v="94490206001003"/>
    <n v="-29.26"/>
    <n v="719"/>
    <n v="1"/>
    <n v="1"/>
  </r>
  <r>
    <m/>
    <m/>
    <x v="1"/>
    <s v="94648149001003"/>
    <n v="-42.49"/>
    <n v="1044"/>
    <n v="1"/>
    <n v="1"/>
  </r>
  <r>
    <m/>
    <m/>
    <x v="1"/>
    <s v="94664502002001"/>
    <n v="-34.92"/>
    <n v="858"/>
    <n v="1"/>
    <n v="1"/>
  </r>
  <r>
    <m/>
    <m/>
    <x v="1"/>
    <s v="94670446001001"/>
    <n v="-20.190000000000001"/>
    <n v="496"/>
    <n v="1"/>
    <n v="1"/>
  </r>
  <r>
    <m/>
    <m/>
    <x v="1"/>
    <s v="94725102001001"/>
    <n v="-1.71"/>
    <n v="42"/>
    <n v="1"/>
    <n v="1"/>
  </r>
  <r>
    <m/>
    <m/>
    <x v="1"/>
    <s v="94788572001004"/>
    <n v="-60.36"/>
    <n v="1483"/>
    <n v="1"/>
    <n v="1"/>
  </r>
  <r>
    <m/>
    <m/>
    <x v="1"/>
    <s v="94794096001013"/>
    <n v="-77.489999999999995"/>
    <n v="1904"/>
    <n v="1"/>
    <n v="1"/>
  </r>
  <r>
    <m/>
    <m/>
    <x v="1"/>
    <s v="94825236001003"/>
    <n v="-21.16"/>
    <n v="520"/>
    <n v="1"/>
    <n v="1"/>
  </r>
  <r>
    <m/>
    <m/>
    <x v="1"/>
    <s v="94878471002001"/>
    <n v="-14.41"/>
    <n v="354"/>
    <n v="1"/>
    <n v="1"/>
  </r>
  <r>
    <m/>
    <m/>
    <x v="1"/>
    <s v="94900294001001"/>
    <n v="-94.59"/>
    <n v="2324"/>
    <n v="1"/>
    <n v="1"/>
  </r>
  <r>
    <m/>
    <m/>
    <x v="1"/>
    <s v="95032265001003"/>
    <n v="-60.81"/>
    <n v="1494"/>
    <n v="1"/>
    <n v="1"/>
  </r>
  <r>
    <m/>
    <m/>
    <x v="1"/>
    <s v="95080825001003"/>
    <n v="-47.62"/>
    <n v="1170"/>
    <n v="1"/>
    <n v="1"/>
  </r>
  <r>
    <m/>
    <m/>
    <x v="1"/>
    <s v="95117315001002"/>
    <n v="-43.75"/>
    <n v="1075"/>
    <n v="1"/>
    <n v="1"/>
  </r>
  <r>
    <m/>
    <m/>
    <x v="1"/>
    <s v="95142141001001"/>
    <n v="-57.18"/>
    <n v="1405"/>
    <n v="1"/>
    <n v="1"/>
  </r>
  <r>
    <m/>
    <m/>
    <x v="1"/>
    <s v="95224398001001"/>
    <n v="-31.87"/>
    <n v="783"/>
    <n v="1"/>
    <n v="1"/>
  </r>
  <r>
    <m/>
    <m/>
    <x v="1"/>
    <s v="95275266001003"/>
    <n v="-47.13"/>
    <n v="1158"/>
    <n v="1"/>
    <n v="1"/>
  </r>
  <r>
    <m/>
    <m/>
    <x v="1"/>
    <s v="95382413001005"/>
    <n v="-36.39"/>
    <n v="894"/>
    <n v="1"/>
    <n v="1"/>
  </r>
  <r>
    <m/>
    <m/>
    <x v="1"/>
    <s v="95442300001011"/>
    <n v="-100.28"/>
    <n v="2464"/>
    <n v="1"/>
    <n v="1"/>
  </r>
  <r>
    <m/>
    <m/>
    <x v="1"/>
    <s v="95614176003001"/>
    <n v="-40.659999999999997"/>
    <n v="999"/>
    <n v="1"/>
    <n v="1"/>
  </r>
  <r>
    <m/>
    <m/>
    <x v="1"/>
    <s v="95640914001001"/>
    <n v="-10.01"/>
    <n v="246"/>
    <n v="1"/>
    <n v="1"/>
  </r>
  <r>
    <m/>
    <m/>
    <x v="1"/>
    <s v="95766863001001"/>
    <n v="-8.14"/>
    <n v="200"/>
    <n v="1"/>
    <n v="1"/>
  </r>
  <r>
    <m/>
    <m/>
    <x v="1"/>
    <s v="95773639001006"/>
    <n v="-35.979999999999997"/>
    <n v="884"/>
    <n v="1"/>
    <n v="1"/>
  </r>
  <r>
    <m/>
    <m/>
    <x v="1"/>
    <s v="95815042001004"/>
    <n v="-35.65"/>
    <n v="876"/>
    <n v="1"/>
    <n v="1"/>
  </r>
  <r>
    <m/>
    <m/>
    <x v="1"/>
    <s v="95820648002006"/>
    <n v="-6.88"/>
    <n v="169"/>
    <n v="1"/>
    <n v="1"/>
  </r>
  <r>
    <m/>
    <m/>
    <x v="1"/>
    <s v="96041241001001"/>
    <n v="-28.45"/>
    <n v="699"/>
    <n v="1"/>
    <n v="1"/>
  </r>
  <r>
    <m/>
    <m/>
    <x v="1"/>
    <s v="96057942001003"/>
    <n v="-58.85"/>
    <n v="1446"/>
    <n v="1"/>
    <n v="1"/>
  </r>
  <r>
    <m/>
    <m/>
    <x v="1"/>
    <s v="96139953003003"/>
    <n v="-63.57"/>
    <n v="1562"/>
    <n v="1"/>
    <n v="1"/>
  </r>
  <r>
    <m/>
    <m/>
    <x v="1"/>
    <s v="96145942001001"/>
    <n v="-8.7899999999999991"/>
    <n v="216"/>
    <n v="1"/>
    <n v="1"/>
  </r>
  <r>
    <m/>
    <m/>
    <x v="1"/>
    <s v="96179295004001"/>
    <n v="-42.08"/>
    <n v="1034"/>
    <n v="1"/>
    <n v="1"/>
  </r>
  <r>
    <m/>
    <m/>
    <x v="1"/>
    <s v="96179506001001"/>
    <n v="-71.959999999999994"/>
    <n v="1768"/>
    <n v="1"/>
    <n v="1"/>
  </r>
  <r>
    <m/>
    <m/>
    <x v="1"/>
    <s v="96226382001001"/>
    <n v="-23"/>
    <n v="565"/>
    <n v="1"/>
    <n v="1"/>
  </r>
  <r>
    <m/>
    <m/>
    <x v="1"/>
    <s v="96258332001001"/>
    <n v="-15.22"/>
    <n v="374"/>
    <n v="1"/>
    <n v="1"/>
  </r>
  <r>
    <m/>
    <m/>
    <x v="1"/>
    <s v="96305704001001"/>
    <n v="-72"/>
    <n v="1769"/>
    <n v="1"/>
    <n v="1"/>
  </r>
  <r>
    <m/>
    <m/>
    <x v="1"/>
    <s v="96426781002003"/>
    <n v="-25.23"/>
    <n v="620"/>
    <n v="1"/>
    <n v="1"/>
  </r>
  <r>
    <m/>
    <m/>
    <x v="1"/>
    <s v="96460390002003"/>
    <n v="-9.93"/>
    <n v="244"/>
    <n v="1"/>
    <n v="1"/>
  </r>
  <r>
    <m/>
    <m/>
    <x v="1"/>
    <s v="96526669001001"/>
    <n v="-1.55"/>
    <n v="38"/>
    <n v="1"/>
    <n v="1"/>
  </r>
  <r>
    <m/>
    <m/>
    <x v="1"/>
    <s v="96578754001001"/>
    <n v="-23.81"/>
    <n v="585"/>
    <n v="1"/>
    <n v="1"/>
  </r>
  <r>
    <m/>
    <m/>
    <x v="1"/>
    <s v="96664201001004"/>
    <n v="-39.11"/>
    <n v="961"/>
    <n v="1"/>
    <n v="1"/>
  </r>
  <r>
    <m/>
    <m/>
    <x v="1"/>
    <s v="96678659001003"/>
    <n v="-56.65"/>
    <n v="1392"/>
    <n v="1"/>
    <n v="1"/>
  </r>
  <r>
    <m/>
    <m/>
    <x v="1"/>
    <s v="96692526002001"/>
    <n v="-42.78"/>
    <n v="1051"/>
    <n v="1"/>
    <n v="1"/>
  </r>
  <r>
    <m/>
    <m/>
    <x v="1"/>
    <s v="96740158001001"/>
    <n v="-15.18"/>
    <n v="373"/>
    <n v="1"/>
    <n v="1"/>
  </r>
  <r>
    <m/>
    <m/>
    <x v="1"/>
    <s v="96743423001001"/>
    <n v="-21.16"/>
    <n v="520"/>
    <n v="1"/>
    <n v="1"/>
  </r>
  <r>
    <m/>
    <m/>
    <x v="1"/>
    <s v="96759256001001"/>
    <n v="-31.01"/>
    <n v="762"/>
    <n v="1"/>
    <n v="1"/>
  </r>
  <r>
    <m/>
    <m/>
    <x v="1"/>
    <s v="96913407001002"/>
    <n v="-4.3099999999999996"/>
    <n v="106"/>
    <n v="1"/>
    <n v="1"/>
  </r>
  <r>
    <m/>
    <m/>
    <x v="1"/>
    <s v="96994536001004"/>
    <n v="-61.58"/>
    <n v="1513"/>
    <n v="1"/>
    <n v="1"/>
  </r>
  <r>
    <m/>
    <m/>
    <x v="1"/>
    <s v="97019963001004"/>
    <n v="-58.16"/>
    <n v="1429"/>
    <n v="1"/>
    <n v="1"/>
  </r>
  <r>
    <m/>
    <m/>
    <x v="1"/>
    <s v="97064187001001"/>
    <n v="-60.68"/>
    <n v="1491"/>
    <n v="1"/>
    <n v="1"/>
  </r>
  <r>
    <m/>
    <m/>
    <x v="1"/>
    <s v="97083962001002"/>
    <n v="-27.8"/>
    <n v="683"/>
    <n v="1"/>
    <n v="1"/>
  </r>
  <r>
    <m/>
    <m/>
    <x v="1"/>
    <s v="97096820001001"/>
    <n v="-84.82"/>
    <n v="2084"/>
    <n v="1"/>
    <n v="1"/>
  </r>
  <r>
    <m/>
    <m/>
    <x v="1"/>
    <s v="97150663001009"/>
    <n v="-9.69"/>
    <n v="238"/>
    <n v="1"/>
    <n v="1"/>
  </r>
  <r>
    <m/>
    <m/>
    <x v="1"/>
    <s v="97167024001005"/>
    <n v="-4.1100000000000003"/>
    <n v="101"/>
    <n v="1"/>
    <n v="1"/>
  </r>
  <r>
    <m/>
    <m/>
    <x v="1"/>
    <s v="97170225001001"/>
    <n v="-80.099999999999994"/>
    <n v="1968"/>
    <n v="1"/>
    <n v="1"/>
  </r>
  <r>
    <m/>
    <m/>
    <x v="1"/>
    <s v="97221863001001"/>
    <n v="-23.73"/>
    <n v="583"/>
    <n v="1"/>
    <n v="1"/>
  </r>
  <r>
    <m/>
    <m/>
    <x v="1"/>
    <s v="97253174003002"/>
    <n v="-32.64"/>
    <n v="802"/>
    <n v="1"/>
    <n v="1"/>
  </r>
  <r>
    <m/>
    <m/>
    <x v="1"/>
    <s v="97260900001001"/>
    <n v="-153.15"/>
    <n v="3763"/>
    <n v="1"/>
    <n v="1"/>
  </r>
  <r>
    <m/>
    <m/>
    <x v="1"/>
    <s v="97323566001003"/>
    <n v="-47.33"/>
    <n v="1163"/>
    <n v="1"/>
    <n v="1"/>
  </r>
  <r>
    <m/>
    <m/>
    <x v="1"/>
    <s v="97325763001002"/>
    <n v="-22.06"/>
    <n v="542"/>
    <n v="1"/>
    <n v="1"/>
  </r>
  <r>
    <m/>
    <m/>
    <x v="1"/>
    <s v="97337402002005"/>
    <n v="-65.400000000000006"/>
    <n v="1607"/>
    <n v="1"/>
    <n v="1"/>
  </r>
  <r>
    <m/>
    <m/>
    <x v="1"/>
    <s v="97346635001003"/>
    <n v="-90.23"/>
    <n v="2217"/>
    <n v="1"/>
    <n v="1"/>
  </r>
  <r>
    <m/>
    <m/>
    <x v="1"/>
    <s v="97402482001001"/>
    <n v="-45.58"/>
    <n v="1120"/>
    <n v="1"/>
    <n v="1"/>
  </r>
  <r>
    <m/>
    <m/>
    <x v="1"/>
    <s v="97461416001006"/>
    <n v="-0.12"/>
    <n v="3"/>
    <n v="1"/>
    <n v="1"/>
  </r>
  <r>
    <m/>
    <m/>
    <x v="1"/>
    <s v="97473613001004"/>
    <n v="-32.44"/>
    <n v="797"/>
    <n v="1"/>
    <n v="1"/>
  </r>
  <r>
    <m/>
    <m/>
    <x v="1"/>
    <s v="97538964002001"/>
    <n v="-20.96"/>
    <n v="515"/>
    <n v="1"/>
    <n v="1"/>
  </r>
  <r>
    <m/>
    <m/>
    <x v="1"/>
    <s v="97551459001001"/>
    <n v="-44.24"/>
    <n v="1087"/>
    <n v="1"/>
    <n v="1"/>
  </r>
  <r>
    <m/>
    <m/>
    <x v="1"/>
    <s v="97558477001003"/>
    <n v="-25.52"/>
    <n v="627"/>
    <n v="1"/>
    <n v="1"/>
  </r>
  <r>
    <m/>
    <m/>
    <x v="1"/>
    <s v="97569565011005"/>
    <n v="-65.930000000000007"/>
    <n v="1620"/>
    <n v="1"/>
    <n v="1"/>
  </r>
  <r>
    <m/>
    <m/>
    <x v="1"/>
    <s v="97625233001001"/>
    <n v="-32.93"/>
    <n v="809"/>
    <n v="1"/>
    <n v="1"/>
  </r>
  <r>
    <m/>
    <m/>
    <x v="1"/>
    <s v="97636856002001"/>
    <n v="-24.34"/>
    <n v="598"/>
    <n v="1"/>
    <n v="1"/>
  </r>
  <r>
    <m/>
    <m/>
    <x v="1"/>
    <s v="97651944001007"/>
    <n v="-58.32"/>
    <n v="1433"/>
    <n v="1"/>
    <n v="1"/>
  </r>
  <r>
    <m/>
    <m/>
    <x v="1"/>
    <s v="97659036001003"/>
    <n v="-0.41"/>
    <n v="10"/>
    <n v="1"/>
    <n v="1"/>
  </r>
  <r>
    <m/>
    <m/>
    <x v="1"/>
    <s v="97678050001005"/>
    <n v="-95.08"/>
    <n v="2336"/>
    <n v="1"/>
    <n v="1"/>
  </r>
  <r>
    <m/>
    <m/>
    <x v="1"/>
    <s v="97678237004001"/>
    <n v="-53.19"/>
    <n v="1307"/>
    <n v="1"/>
    <n v="1"/>
  </r>
  <r>
    <m/>
    <m/>
    <x v="1"/>
    <s v="97776060001001"/>
    <n v="-49.04"/>
    <n v="1205"/>
    <n v="1"/>
    <n v="1"/>
  </r>
  <r>
    <m/>
    <m/>
    <x v="1"/>
    <s v="97885984003001"/>
    <n v="-25.89"/>
    <n v="636"/>
    <n v="1"/>
    <n v="1"/>
  </r>
  <r>
    <m/>
    <m/>
    <x v="1"/>
    <s v="97982416001001"/>
    <n v="-133.82"/>
    <n v="3288"/>
    <n v="1"/>
    <n v="1"/>
  </r>
  <r>
    <m/>
    <m/>
    <x v="1"/>
    <s v="97996225001008"/>
    <n v="-88.16"/>
    <n v="2166"/>
    <n v="1"/>
    <n v="1"/>
  </r>
  <r>
    <m/>
    <m/>
    <x v="1"/>
    <s v="98083414004007"/>
    <n v="-26.29"/>
    <n v="646"/>
    <n v="1"/>
    <n v="1"/>
  </r>
  <r>
    <m/>
    <m/>
    <x v="1"/>
    <s v="98090991002001"/>
    <n v="-25.56"/>
    <n v="628"/>
    <n v="1"/>
    <n v="1"/>
  </r>
  <r>
    <m/>
    <m/>
    <x v="1"/>
    <s v="98163492001001"/>
    <n v="-57.71"/>
    <n v="1418"/>
    <n v="1"/>
    <n v="1"/>
  </r>
  <r>
    <m/>
    <m/>
    <x v="1"/>
    <s v="98265055001006"/>
    <n v="-42.53"/>
    <n v="1045"/>
    <n v="1"/>
    <n v="1"/>
  </r>
  <r>
    <m/>
    <m/>
    <x v="1"/>
    <s v="98301629001002"/>
    <n v="-13.02"/>
    <n v="320"/>
    <n v="1"/>
    <n v="1"/>
  </r>
  <r>
    <m/>
    <m/>
    <x v="1"/>
    <s v="98317810002003"/>
    <n v="-68.05"/>
    <n v="1672"/>
    <n v="1"/>
    <n v="1"/>
  </r>
  <r>
    <m/>
    <m/>
    <x v="1"/>
    <s v="98396921001007"/>
    <n v="-55.68"/>
    <n v="1368"/>
    <n v="1"/>
    <n v="1"/>
  </r>
  <r>
    <m/>
    <m/>
    <x v="1"/>
    <s v="98472116001003"/>
    <n v="-58.53"/>
    <n v="1438"/>
    <n v="1"/>
    <n v="1"/>
  </r>
  <r>
    <m/>
    <m/>
    <x v="1"/>
    <s v="98568936001003"/>
    <n v="-62.68"/>
    <n v="1540"/>
    <n v="1"/>
    <n v="1"/>
  </r>
  <r>
    <m/>
    <m/>
    <x v="1"/>
    <s v="98701938003001"/>
    <n v="-29.75"/>
    <n v="731"/>
    <n v="1"/>
    <n v="1"/>
  </r>
  <r>
    <m/>
    <m/>
    <x v="1"/>
    <s v="98835009001001"/>
    <n v="-63.21"/>
    <n v="1553"/>
    <n v="1"/>
    <n v="1"/>
  </r>
  <r>
    <m/>
    <m/>
    <x v="1"/>
    <s v="98869027002005"/>
    <n v="-69.349999999999994"/>
    <n v="1704"/>
    <n v="1"/>
    <n v="1"/>
  </r>
  <r>
    <m/>
    <m/>
    <x v="1"/>
    <s v="98887462001001"/>
    <n v="-76.11"/>
    <n v="1870"/>
    <n v="1"/>
    <n v="1"/>
  </r>
  <r>
    <m/>
    <m/>
    <x v="1"/>
    <s v="99016570002001"/>
    <n v="-16.399999999999999"/>
    <n v="403"/>
    <n v="1"/>
    <n v="1"/>
  </r>
  <r>
    <m/>
    <m/>
    <x v="1"/>
    <s v="99023190002005"/>
    <n v="-64.430000000000007"/>
    <n v="1583"/>
    <n v="1"/>
    <n v="1"/>
  </r>
  <r>
    <m/>
    <m/>
    <x v="1"/>
    <s v="99154035001001"/>
    <n v="-43.87"/>
    <n v="1078"/>
    <n v="1"/>
    <n v="1"/>
  </r>
  <r>
    <m/>
    <m/>
    <x v="1"/>
    <s v="99181573002001"/>
    <n v="-7.08"/>
    <n v="174"/>
    <n v="1"/>
    <n v="1"/>
  </r>
  <r>
    <m/>
    <m/>
    <x v="1"/>
    <s v="99207126001001"/>
    <n v="-56.04"/>
    <n v="1377"/>
    <n v="1"/>
    <n v="1"/>
  </r>
  <r>
    <m/>
    <m/>
    <x v="1"/>
    <s v="99342816001009"/>
    <n v="-22.59"/>
    <n v="555"/>
    <n v="1"/>
    <n v="1"/>
  </r>
  <r>
    <m/>
    <m/>
    <x v="1"/>
    <s v="99435304001001"/>
    <n v="-42.49"/>
    <n v="1044"/>
    <n v="1"/>
    <n v="1"/>
  </r>
  <r>
    <m/>
    <m/>
    <x v="1"/>
    <s v="99442912002001"/>
    <n v="-148.03"/>
    <n v="3637"/>
    <n v="1"/>
    <n v="1"/>
  </r>
  <r>
    <m/>
    <m/>
    <x v="1"/>
    <s v="99546455001001"/>
    <n v="-23.4"/>
    <n v="575"/>
    <n v="1"/>
    <n v="1"/>
  </r>
  <r>
    <m/>
    <m/>
    <x v="1"/>
    <s v="99914779006003"/>
    <n v="-20.8"/>
    <n v="511"/>
    <n v="1"/>
    <n v="1"/>
  </r>
  <r>
    <m/>
    <m/>
    <x v="6"/>
    <m/>
    <n v="-100383.48999999998"/>
    <n v="2466426"/>
    <n v="2025"/>
    <n v="2014"/>
  </r>
  <r>
    <m/>
    <s v="201104"/>
    <x v="0"/>
    <s v="00277098001001"/>
    <n v="-4.5999999999999996"/>
    <n v="262"/>
    <n v="2"/>
    <n v="1"/>
  </r>
  <r>
    <m/>
    <m/>
    <x v="1"/>
    <s v="00447035005007"/>
    <n v="-14.89"/>
    <n v="814"/>
    <n v="2"/>
    <n v="1"/>
  </r>
  <r>
    <m/>
    <m/>
    <x v="1"/>
    <s v="00756296002002"/>
    <n v="-21.4"/>
    <n v="1218"/>
    <n v="2"/>
    <n v="1"/>
  </r>
  <r>
    <m/>
    <m/>
    <x v="1"/>
    <s v="00964949001001"/>
    <n v="-10.1"/>
    <n v="555"/>
    <n v="2"/>
    <n v="1"/>
  </r>
  <r>
    <m/>
    <m/>
    <x v="1"/>
    <s v="01589287001003"/>
    <n v="-8.33"/>
    <n v="487"/>
    <n v="1"/>
    <n v="1"/>
  </r>
  <r>
    <m/>
    <m/>
    <x v="1"/>
    <s v="01734407003001"/>
    <n v="-9.0399999999999991"/>
    <n v="494"/>
    <n v="2"/>
    <n v="1"/>
  </r>
  <r>
    <m/>
    <m/>
    <x v="1"/>
    <s v="01772343001001"/>
    <n v="-31.62"/>
    <n v="1658"/>
    <n v="2"/>
    <n v="1"/>
  </r>
  <r>
    <m/>
    <m/>
    <x v="1"/>
    <s v="01782458001001"/>
    <n v="-12.88"/>
    <n v="667"/>
    <n v="2"/>
    <n v="1"/>
  </r>
  <r>
    <m/>
    <m/>
    <x v="1"/>
    <s v="02113749002001"/>
    <n v="-7.46"/>
    <n v="383"/>
    <n v="2"/>
    <n v="1"/>
  </r>
  <r>
    <m/>
    <m/>
    <x v="1"/>
    <s v="02157263001003"/>
    <n v="-14.83"/>
    <n v="867"/>
    <n v="1"/>
    <n v="1"/>
  </r>
  <r>
    <m/>
    <m/>
    <x v="1"/>
    <s v="02201812001003"/>
    <n v="-7.52"/>
    <n v="430"/>
    <n v="2"/>
    <n v="1"/>
  </r>
  <r>
    <m/>
    <m/>
    <x v="1"/>
    <s v="02367690001003"/>
    <n v="-15.61"/>
    <n v="862"/>
    <n v="2"/>
    <n v="1"/>
  </r>
  <r>
    <m/>
    <m/>
    <x v="1"/>
    <s v="02474190002001"/>
    <n v="-12.34"/>
    <n v="721"/>
    <n v="1"/>
    <n v="1"/>
  </r>
  <r>
    <m/>
    <m/>
    <x v="1"/>
    <s v="02653483001002"/>
    <n v="-24.02"/>
    <n v="1319"/>
    <n v="2"/>
    <n v="1"/>
  </r>
  <r>
    <m/>
    <m/>
    <x v="1"/>
    <s v="02669962002001"/>
    <n v="-4.01"/>
    <n v="219"/>
    <n v="2"/>
    <n v="1"/>
  </r>
  <r>
    <m/>
    <m/>
    <x v="1"/>
    <s v="02962892003001"/>
    <n v="-2.91"/>
    <n v="159"/>
    <n v="2"/>
    <n v="1"/>
  </r>
  <r>
    <m/>
    <m/>
    <x v="1"/>
    <s v="03222937001003"/>
    <n v="-2.02"/>
    <n v="111"/>
    <n v="2"/>
    <n v="1"/>
  </r>
  <r>
    <m/>
    <m/>
    <x v="1"/>
    <s v="03485380001003"/>
    <n v="-1.94"/>
    <n v="102"/>
    <n v="2"/>
    <n v="1"/>
  </r>
  <r>
    <m/>
    <m/>
    <x v="1"/>
    <s v="03563664001001"/>
    <n v="-8.6900000000000013"/>
    <n v="475"/>
    <n v="2"/>
    <n v="1"/>
  </r>
  <r>
    <m/>
    <m/>
    <x v="1"/>
    <s v="04274208001003"/>
    <n v="-2.12"/>
    <n v="124"/>
    <n v="1"/>
    <n v="1"/>
  </r>
  <r>
    <m/>
    <m/>
    <x v="1"/>
    <s v="04813613001001"/>
    <n v="-32.160000000000004"/>
    <n v="1821"/>
    <n v="2"/>
    <n v="1"/>
  </r>
  <r>
    <m/>
    <m/>
    <x v="1"/>
    <s v="04842107001001"/>
    <n v="-24.78"/>
    <n v="1368"/>
    <n v="2"/>
    <n v="1"/>
  </r>
  <r>
    <m/>
    <m/>
    <x v="1"/>
    <s v="04918256001001"/>
    <n v="-1.1599999999999999"/>
    <n v="66"/>
    <n v="2"/>
    <n v="1"/>
  </r>
  <r>
    <m/>
    <m/>
    <x v="1"/>
    <s v="05105357001001"/>
    <n v="-6.08"/>
    <n v="324"/>
    <n v="2"/>
    <n v="1"/>
  </r>
  <r>
    <m/>
    <m/>
    <x v="1"/>
    <s v="05495875001001"/>
    <n v="-36.32"/>
    <n v="1946"/>
    <n v="2"/>
    <n v="1"/>
  </r>
  <r>
    <m/>
    <m/>
    <x v="1"/>
    <s v="05589577002005"/>
    <n v="-25.83"/>
    <n v="1398"/>
    <n v="2"/>
    <n v="1"/>
  </r>
  <r>
    <m/>
    <m/>
    <x v="1"/>
    <s v="05867332001001"/>
    <n v="-14.11"/>
    <n v="771"/>
    <n v="2"/>
    <n v="1"/>
  </r>
  <r>
    <m/>
    <m/>
    <x v="1"/>
    <s v="05955645001001"/>
    <n v="-16.149999999999999"/>
    <n v="924"/>
    <n v="2"/>
    <n v="1"/>
  </r>
  <r>
    <m/>
    <m/>
    <x v="1"/>
    <s v="06477303002003"/>
    <n v="-13.329999999999998"/>
    <n v="687"/>
    <n v="2"/>
    <n v="1"/>
  </r>
  <r>
    <m/>
    <m/>
    <x v="1"/>
    <s v="06507249001002"/>
    <n v="-7.96"/>
    <n v="442"/>
    <n v="2"/>
    <n v="1"/>
  </r>
  <r>
    <m/>
    <m/>
    <x v="1"/>
    <s v="06650635001001"/>
    <n v="-10.75"/>
    <n v="557"/>
    <n v="2"/>
    <n v="1"/>
  </r>
  <r>
    <m/>
    <m/>
    <x v="1"/>
    <s v="06901257001004"/>
    <n v="-20.63"/>
    <n v="1206"/>
    <n v="1"/>
    <n v="1"/>
  </r>
  <r>
    <m/>
    <m/>
    <x v="1"/>
    <s v="07049471001001"/>
    <n v="-1.47"/>
    <n v="75"/>
    <n v="3"/>
    <n v="1"/>
  </r>
  <r>
    <m/>
    <m/>
    <x v="1"/>
    <s v="07225170001003"/>
    <n v="-5.0599999999999996"/>
    <n v="296"/>
    <n v="1"/>
    <n v="1"/>
  </r>
  <r>
    <m/>
    <m/>
    <x v="1"/>
    <s v="07371395001001"/>
    <n v="-23.17"/>
    <n v="1279"/>
    <n v="2"/>
    <n v="1"/>
  </r>
  <r>
    <m/>
    <m/>
    <x v="1"/>
    <s v="07402103002007"/>
    <n v="-15.59"/>
    <n v="800"/>
    <n v="2"/>
    <n v="1"/>
  </r>
  <r>
    <m/>
    <m/>
    <x v="1"/>
    <s v="08205707001001"/>
    <n v="-4.7100000000000009"/>
    <n v="243"/>
    <n v="2"/>
    <n v="1"/>
  </r>
  <r>
    <m/>
    <m/>
    <x v="1"/>
    <s v="08515494002001"/>
    <n v="-18.3"/>
    <n v="939"/>
    <n v="2"/>
    <n v="1"/>
  </r>
  <r>
    <m/>
    <m/>
    <x v="1"/>
    <s v="08747776001001"/>
    <n v="-15.66"/>
    <n v="915"/>
    <n v="1"/>
    <n v="1"/>
  </r>
  <r>
    <m/>
    <m/>
    <x v="1"/>
    <s v="08988845001001"/>
    <n v="-2.31"/>
    <n v="119"/>
    <n v="2"/>
    <n v="1"/>
  </r>
  <r>
    <m/>
    <m/>
    <x v="1"/>
    <s v="09136104001001"/>
    <n v="-1.21"/>
    <n v="69"/>
    <n v="2"/>
    <n v="1"/>
  </r>
  <r>
    <m/>
    <m/>
    <x v="1"/>
    <s v="09136354002001"/>
    <n v="-2.7800000000000002"/>
    <n v="148"/>
    <n v="2"/>
    <n v="1"/>
  </r>
  <r>
    <m/>
    <m/>
    <x v="1"/>
    <s v="09433245001001"/>
    <n v="-6.51"/>
    <n v="347"/>
    <n v="2"/>
    <n v="1"/>
  </r>
  <r>
    <m/>
    <m/>
    <x v="1"/>
    <s v="09547488001001"/>
    <n v="-16.07"/>
    <n v="878"/>
    <n v="2"/>
    <n v="1"/>
  </r>
  <r>
    <m/>
    <m/>
    <x v="1"/>
    <s v="09788113001001"/>
    <n v="-19.93"/>
    <n v="1023"/>
    <n v="2"/>
    <n v="1"/>
  </r>
  <r>
    <m/>
    <m/>
    <x v="1"/>
    <s v="10120469001003"/>
    <n v="-7.92"/>
    <n v="435"/>
    <n v="2"/>
    <n v="1"/>
  </r>
  <r>
    <m/>
    <m/>
    <x v="1"/>
    <s v="10634230001001"/>
    <n v="-0.77"/>
    <n v="45"/>
    <n v="1"/>
    <n v="1"/>
  </r>
  <r>
    <m/>
    <m/>
    <x v="1"/>
    <s v="10863812009001"/>
    <n v="-22.56"/>
    <n v="1221"/>
    <n v="2"/>
    <n v="1"/>
  </r>
  <r>
    <m/>
    <m/>
    <x v="1"/>
    <s v="10870119001001"/>
    <n v="-8.66"/>
    <n v="493"/>
    <n v="2"/>
    <n v="1"/>
  </r>
  <r>
    <m/>
    <m/>
    <x v="1"/>
    <s v="10948443001012"/>
    <n v="-13.93"/>
    <n v="814"/>
    <n v="1"/>
    <n v="1"/>
  </r>
  <r>
    <m/>
    <m/>
    <x v="1"/>
    <s v="11039539001001"/>
    <n v="-23.08"/>
    <n v="1249"/>
    <n v="2"/>
    <n v="1"/>
  </r>
  <r>
    <m/>
    <m/>
    <x v="1"/>
    <s v="11407277001001"/>
    <n v="-8.34"/>
    <n v="475"/>
    <n v="2"/>
    <n v="1"/>
  </r>
  <r>
    <m/>
    <m/>
    <x v="1"/>
    <s v="11542110001001"/>
    <n v="-0.85"/>
    <n v="47"/>
    <n v="2"/>
    <n v="1"/>
  </r>
  <r>
    <m/>
    <m/>
    <x v="1"/>
    <s v="12053528001002"/>
    <n v="-16.84"/>
    <n v="984"/>
    <n v="1"/>
    <n v="1"/>
  </r>
  <r>
    <m/>
    <m/>
    <x v="1"/>
    <s v="12112131001001"/>
    <n v="-25.509999999999998"/>
    <n v="1360"/>
    <n v="2"/>
    <n v="1"/>
  </r>
  <r>
    <m/>
    <m/>
    <x v="1"/>
    <s v="12120157001003"/>
    <n v="-10.199999999999999"/>
    <n v="584"/>
    <n v="2"/>
    <n v="1"/>
  </r>
  <r>
    <m/>
    <m/>
    <x v="1"/>
    <s v="12243987001001"/>
    <n v="-23.6"/>
    <n v="1303"/>
    <n v="2"/>
    <n v="1"/>
  </r>
  <r>
    <m/>
    <m/>
    <x v="1"/>
    <s v="12301273001001"/>
    <n v="-13.82"/>
    <n v="808"/>
    <n v="1"/>
    <n v="1"/>
  </r>
  <r>
    <m/>
    <m/>
    <x v="1"/>
    <s v="12738579001003"/>
    <n v="-13.86"/>
    <n v="711"/>
    <n v="2"/>
    <n v="1"/>
  </r>
  <r>
    <m/>
    <m/>
    <x v="1"/>
    <s v="12902462003001"/>
    <n v="-12.75"/>
    <n v="680"/>
    <n v="2"/>
    <n v="1"/>
  </r>
  <r>
    <m/>
    <m/>
    <x v="1"/>
    <s v="13147069001001"/>
    <n v="-5.25"/>
    <n v="299"/>
    <n v="2"/>
    <n v="1"/>
  </r>
  <r>
    <m/>
    <m/>
    <x v="1"/>
    <s v="13302962002001"/>
    <n v="-14.15"/>
    <n v="751"/>
    <n v="2"/>
    <n v="1"/>
  </r>
  <r>
    <m/>
    <m/>
    <x v="1"/>
    <s v="13950661003001"/>
    <n v="-2.7800000000000002"/>
    <n v="152"/>
    <n v="2"/>
    <n v="1"/>
  </r>
  <r>
    <m/>
    <m/>
    <x v="1"/>
    <s v="14550816001001"/>
    <n v="-2.79"/>
    <n v="163"/>
    <n v="1"/>
    <n v="1"/>
  </r>
  <r>
    <m/>
    <m/>
    <x v="1"/>
    <s v="15035025001001"/>
    <n v="-14.139999999999999"/>
    <n v="726"/>
    <n v="2"/>
    <n v="1"/>
  </r>
  <r>
    <m/>
    <m/>
    <x v="1"/>
    <s v="15044806001002"/>
    <n v="-13.44"/>
    <n v="717"/>
    <n v="2"/>
    <n v="1"/>
  </r>
  <r>
    <m/>
    <m/>
    <x v="1"/>
    <s v="15171884001001"/>
    <n v="-12.72"/>
    <n v="653"/>
    <n v="2"/>
    <n v="1"/>
  </r>
  <r>
    <m/>
    <m/>
    <x v="1"/>
    <s v="15206754001005"/>
    <n v="-3.79"/>
    <n v="216"/>
    <n v="2"/>
    <n v="1"/>
  </r>
  <r>
    <m/>
    <m/>
    <x v="1"/>
    <s v="15488061001002"/>
    <n v="-14.84"/>
    <n v="795"/>
    <n v="2"/>
    <n v="1"/>
  </r>
  <r>
    <m/>
    <m/>
    <x v="1"/>
    <s v="15663563001002"/>
    <n v="-8.5300000000000011"/>
    <n v="462"/>
    <n v="2"/>
    <n v="1"/>
  </r>
  <r>
    <m/>
    <m/>
    <x v="1"/>
    <s v="15801491001003"/>
    <n v="-13.3"/>
    <n v="727"/>
    <n v="2"/>
    <n v="1"/>
  </r>
  <r>
    <m/>
    <m/>
    <x v="1"/>
    <s v="15816206001008"/>
    <n v="-11.52"/>
    <n v="594"/>
    <n v="2"/>
    <n v="1"/>
  </r>
  <r>
    <m/>
    <m/>
    <x v="1"/>
    <s v="15896167001003"/>
    <n v="-1.91"/>
    <n v="98"/>
    <n v="2"/>
    <n v="1"/>
  </r>
  <r>
    <m/>
    <m/>
    <x v="1"/>
    <s v="16309419001005"/>
    <n v="-8.9600000000000009"/>
    <n v="510"/>
    <n v="2"/>
    <n v="1"/>
  </r>
  <r>
    <m/>
    <m/>
    <x v="1"/>
    <s v="16343113001003"/>
    <n v="-13.04"/>
    <n v="720"/>
    <n v="2"/>
    <n v="1"/>
  </r>
  <r>
    <m/>
    <m/>
    <x v="1"/>
    <s v="16948935001002"/>
    <n v="-19.920000000000002"/>
    <n v="1128"/>
    <n v="2"/>
    <n v="1"/>
  </r>
  <r>
    <m/>
    <m/>
    <x v="1"/>
    <s v="16965265001001"/>
    <n v="-14.16"/>
    <n v="727"/>
    <n v="2"/>
    <n v="1"/>
  </r>
  <r>
    <m/>
    <m/>
    <x v="1"/>
    <s v="17002950001001"/>
    <n v="-26.13"/>
    <n v="1527"/>
    <n v="1"/>
    <n v="1"/>
  </r>
  <r>
    <m/>
    <m/>
    <x v="1"/>
    <s v="17078399001001"/>
    <n v="-16.649999999999999"/>
    <n v="953"/>
    <n v="2"/>
    <n v="1"/>
  </r>
  <r>
    <m/>
    <m/>
    <x v="1"/>
    <s v="17695560001001"/>
    <n v="-7.1999999999999993"/>
    <n v="384"/>
    <n v="2"/>
    <n v="1"/>
  </r>
  <r>
    <m/>
    <m/>
    <x v="1"/>
    <s v="17700255001003"/>
    <n v="-12.84"/>
    <n v="695"/>
    <n v="2"/>
    <n v="1"/>
  </r>
  <r>
    <m/>
    <m/>
    <x v="1"/>
    <s v="17836081001001"/>
    <n v="-15.36"/>
    <n v="819"/>
    <n v="2"/>
    <n v="1"/>
  </r>
  <r>
    <m/>
    <m/>
    <x v="1"/>
    <s v="17879957002001"/>
    <n v="-15.120000000000001"/>
    <n v="830"/>
    <n v="2"/>
    <n v="1"/>
  </r>
  <r>
    <m/>
    <m/>
    <x v="1"/>
    <s v="17915609001002"/>
    <n v="-15.85"/>
    <n v="845"/>
    <n v="2"/>
    <n v="1"/>
  </r>
  <r>
    <m/>
    <m/>
    <x v="1"/>
    <s v="17975956002001"/>
    <n v="-2.98"/>
    <n v="158"/>
    <n v="2"/>
    <n v="1"/>
  </r>
  <r>
    <m/>
    <m/>
    <x v="1"/>
    <s v="18165838001002"/>
    <n v="-19.47"/>
    <n v="1120"/>
    <n v="2"/>
    <n v="1"/>
  </r>
  <r>
    <m/>
    <m/>
    <x v="1"/>
    <s v="18339543001003"/>
    <n v="-15.52"/>
    <n v="848"/>
    <n v="2"/>
    <n v="1"/>
  </r>
  <r>
    <m/>
    <m/>
    <x v="1"/>
    <s v="18342361001001"/>
    <n v="-2.91"/>
    <n v="170"/>
    <n v="1"/>
    <n v="1"/>
  </r>
  <r>
    <m/>
    <m/>
    <x v="1"/>
    <s v="18991884001001"/>
    <n v="-19.16"/>
    <n v="1120"/>
    <n v="1"/>
    <n v="1"/>
  </r>
  <r>
    <m/>
    <m/>
    <x v="1"/>
    <s v="19248493001003"/>
    <n v="-5.2899999999999991"/>
    <n v="299"/>
    <n v="2"/>
    <n v="1"/>
  </r>
  <r>
    <m/>
    <m/>
    <x v="1"/>
    <s v="19938960001001"/>
    <n v="-17.759999999999998"/>
    <n v="1012"/>
    <n v="2"/>
    <n v="1"/>
  </r>
  <r>
    <m/>
    <m/>
    <x v="1"/>
    <s v="20011333001001"/>
    <n v="-1.76"/>
    <n v="103"/>
    <n v="1"/>
    <n v="1"/>
  </r>
  <r>
    <m/>
    <m/>
    <x v="1"/>
    <s v="20180113003001"/>
    <n v="-22.75"/>
    <n v="1302"/>
    <n v="2"/>
    <n v="1"/>
  </r>
  <r>
    <m/>
    <m/>
    <x v="1"/>
    <s v="20449624001005"/>
    <n v="-6.6499999999999995"/>
    <n v="353"/>
    <n v="2"/>
    <n v="1"/>
  </r>
  <r>
    <m/>
    <m/>
    <x v="1"/>
    <s v="20938987001003"/>
    <n v="-2.7199999999999998"/>
    <n v="154"/>
    <n v="2"/>
    <n v="1"/>
  </r>
  <r>
    <m/>
    <m/>
    <x v="1"/>
    <s v="21046404001005"/>
    <n v="-18.97"/>
    <n v="1109"/>
    <n v="1"/>
    <n v="1"/>
  </r>
  <r>
    <m/>
    <m/>
    <x v="1"/>
    <s v="21126918001001"/>
    <n v="-7.74"/>
    <n v="399"/>
    <n v="2"/>
    <n v="1"/>
  </r>
  <r>
    <m/>
    <m/>
    <x v="1"/>
    <s v="21343250001003"/>
    <n v="-7.43"/>
    <n v="385"/>
    <n v="2"/>
    <n v="1"/>
  </r>
  <r>
    <m/>
    <m/>
    <x v="1"/>
    <s v="21883954001003"/>
    <n v="-11.23"/>
    <n v="614"/>
    <n v="2"/>
    <n v="1"/>
  </r>
  <r>
    <m/>
    <m/>
    <x v="1"/>
    <s v="22006059001003"/>
    <n v="-6.9300000000000006"/>
    <n v="366"/>
    <n v="2"/>
    <n v="1"/>
  </r>
  <r>
    <m/>
    <m/>
    <x v="1"/>
    <s v="22064595001002"/>
    <n v="-3.99"/>
    <n v="233"/>
    <n v="1"/>
    <n v="1"/>
  </r>
  <r>
    <m/>
    <m/>
    <x v="1"/>
    <s v="22074130001003"/>
    <n v="-24.16"/>
    <n v="1351"/>
    <n v="2"/>
    <n v="1"/>
  </r>
  <r>
    <m/>
    <m/>
    <x v="1"/>
    <s v="22249935001008"/>
    <n v="-6.07"/>
    <n v="332"/>
    <n v="2"/>
    <n v="1"/>
  </r>
  <r>
    <m/>
    <m/>
    <x v="1"/>
    <s v="22361013001001"/>
    <n v="-26.42"/>
    <n v="1544"/>
    <n v="1"/>
    <n v="1"/>
  </r>
  <r>
    <m/>
    <m/>
    <x v="1"/>
    <s v="22479204001001"/>
    <n v="-4.7699999999999996"/>
    <n v="279"/>
    <n v="1"/>
    <n v="1"/>
  </r>
  <r>
    <m/>
    <m/>
    <x v="1"/>
    <s v="22544985001001"/>
    <n v="-12.25"/>
    <n v="716"/>
    <n v="1"/>
    <n v="1"/>
  </r>
  <r>
    <m/>
    <m/>
    <x v="1"/>
    <s v="22786239001001"/>
    <n v="-20.799999999999997"/>
    <n v="1163"/>
    <n v="2"/>
    <n v="1"/>
  </r>
  <r>
    <m/>
    <m/>
    <x v="1"/>
    <s v="23045379001003"/>
    <n v="-4.04"/>
    <n v="215"/>
    <n v="2"/>
    <n v="1"/>
  </r>
  <r>
    <m/>
    <m/>
    <x v="1"/>
    <s v="23072089004002"/>
    <n v="-11.78"/>
    <n v="674"/>
    <n v="2"/>
    <n v="1"/>
  </r>
  <r>
    <m/>
    <m/>
    <x v="1"/>
    <s v="23397291001002"/>
    <n v="-15.370000000000001"/>
    <n v="840"/>
    <n v="2"/>
    <n v="1"/>
  </r>
  <r>
    <m/>
    <m/>
    <x v="1"/>
    <s v="23582904002001"/>
    <n v="-23.39"/>
    <n v="1226"/>
    <n v="2"/>
    <n v="1"/>
  </r>
  <r>
    <m/>
    <m/>
    <x v="1"/>
    <s v="23798048001001"/>
    <n v="-2.11"/>
    <n v="108"/>
    <n v="2"/>
    <n v="1"/>
  </r>
  <r>
    <m/>
    <m/>
    <x v="1"/>
    <s v="23964769001001"/>
    <n v="-36.33"/>
    <n v="2103"/>
    <n v="2"/>
    <n v="1"/>
  </r>
  <r>
    <m/>
    <m/>
    <x v="1"/>
    <s v="24117411001001"/>
    <n v="-0.82000000000000006"/>
    <n v="44"/>
    <n v="2"/>
    <n v="1"/>
  </r>
  <r>
    <m/>
    <m/>
    <x v="1"/>
    <s v="24211542001006"/>
    <n v="-19.7"/>
    <n v="1011"/>
    <n v="2"/>
    <n v="1"/>
  </r>
  <r>
    <m/>
    <m/>
    <x v="1"/>
    <s v="24367594001003"/>
    <n v="-24.34"/>
    <n v="1361"/>
    <n v="2"/>
    <n v="1"/>
  </r>
  <r>
    <m/>
    <m/>
    <x v="1"/>
    <s v="24379908001001"/>
    <n v="-18.240000000000002"/>
    <n v="1020"/>
    <n v="2"/>
    <n v="1"/>
  </r>
  <r>
    <m/>
    <m/>
    <x v="1"/>
    <s v="24700366001005"/>
    <n v="-3.77"/>
    <n v="206"/>
    <n v="2"/>
    <n v="1"/>
  </r>
  <r>
    <m/>
    <m/>
    <x v="1"/>
    <s v="24878853001001"/>
    <n v="-21.8"/>
    <n v="1274"/>
    <n v="1"/>
    <n v="1"/>
  </r>
  <r>
    <m/>
    <m/>
    <x v="1"/>
    <s v="25145853004001"/>
    <n v="-4.0599999999999996"/>
    <n v="224"/>
    <n v="2"/>
    <n v="1"/>
  </r>
  <r>
    <m/>
    <m/>
    <x v="1"/>
    <s v="25212072001001"/>
    <n v="-17.189999999999998"/>
    <n v="954"/>
    <n v="2"/>
    <n v="1"/>
  </r>
  <r>
    <m/>
    <m/>
    <x v="1"/>
    <s v="25543231001002"/>
    <n v="-33.379999999999995"/>
    <n v="1833"/>
    <n v="2"/>
    <n v="1"/>
  </r>
  <r>
    <m/>
    <m/>
    <x v="1"/>
    <s v="25616940003001"/>
    <n v="-4.21"/>
    <n v="230"/>
    <n v="2"/>
    <n v="1"/>
  </r>
  <r>
    <m/>
    <m/>
    <x v="1"/>
    <s v="25645147002001"/>
    <n v="-8.42"/>
    <n v="451"/>
    <n v="2"/>
    <n v="1"/>
  </r>
  <r>
    <m/>
    <m/>
    <x v="1"/>
    <s v="25664446001001"/>
    <n v="-12.11"/>
    <n v="697"/>
    <n v="2"/>
    <n v="1"/>
  </r>
  <r>
    <m/>
    <m/>
    <x v="1"/>
    <s v="25768900001001"/>
    <n v="-12.2"/>
    <n v="677"/>
    <n v="2"/>
    <n v="1"/>
  </r>
  <r>
    <m/>
    <m/>
    <x v="1"/>
    <s v="25934033002010"/>
    <n v="-9.5300000000000011"/>
    <n v="521"/>
    <n v="2"/>
    <n v="1"/>
  </r>
  <r>
    <m/>
    <m/>
    <x v="1"/>
    <s v="26192550001001"/>
    <n v="-27.09"/>
    <n v="1583"/>
    <n v="1"/>
    <n v="1"/>
  </r>
  <r>
    <m/>
    <m/>
    <x v="1"/>
    <s v="26293541004003"/>
    <n v="-42.96"/>
    <n v="2372"/>
    <n v="2"/>
    <n v="1"/>
  </r>
  <r>
    <m/>
    <m/>
    <x v="1"/>
    <s v="26311764001002"/>
    <n v="-13.59"/>
    <n v="794"/>
    <n v="1"/>
    <n v="1"/>
  </r>
  <r>
    <m/>
    <m/>
    <x v="1"/>
    <s v="26366881002001"/>
    <n v="-6.7100000000000009"/>
    <n v="367"/>
    <n v="2"/>
    <n v="1"/>
  </r>
  <r>
    <m/>
    <m/>
    <x v="1"/>
    <s v="26628965001001"/>
    <n v="-4.1400000000000006"/>
    <n v="226"/>
    <n v="2"/>
    <n v="1"/>
  </r>
  <r>
    <m/>
    <m/>
    <x v="1"/>
    <s v="26683813001011"/>
    <n v="-2.83"/>
    <n v="145"/>
    <n v="2"/>
    <n v="1"/>
  </r>
  <r>
    <m/>
    <m/>
    <x v="1"/>
    <s v="26869084007001"/>
    <n v="-8.76"/>
    <n v="467"/>
    <n v="2"/>
    <n v="1"/>
  </r>
  <r>
    <m/>
    <m/>
    <x v="1"/>
    <s v="27171158002003"/>
    <n v="-20.11"/>
    <n v="1099"/>
    <n v="2"/>
    <n v="1"/>
  </r>
  <r>
    <m/>
    <m/>
    <x v="1"/>
    <s v="27353470003003"/>
    <n v="-28.16"/>
    <n v="1611"/>
    <n v="2"/>
    <n v="1"/>
  </r>
  <r>
    <m/>
    <m/>
    <x v="1"/>
    <s v="27696108001012"/>
    <n v="-18.440000000000001"/>
    <n v="946"/>
    <n v="2"/>
    <n v="1"/>
  </r>
  <r>
    <m/>
    <m/>
    <x v="1"/>
    <s v="28006021003005"/>
    <n v="-20.87"/>
    <n v="1220"/>
    <n v="1"/>
    <n v="1"/>
  </r>
  <r>
    <m/>
    <m/>
    <x v="1"/>
    <s v="28014351004008"/>
    <n v="-23.560000000000002"/>
    <n v="1294"/>
    <n v="2"/>
    <n v="1"/>
  </r>
  <r>
    <m/>
    <m/>
    <x v="1"/>
    <s v="28065736001004"/>
    <n v="-25.76"/>
    <n v="1322"/>
    <n v="2"/>
    <n v="1"/>
  </r>
  <r>
    <m/>
    <m/>
    <x v="1"/>
    <s v="28066889003005"/>
    <n v="-0.74"/>
    <n v="40"/>
    <n v="2"/>
    <n v="1"/>
  </r>
  <r>
    <m/>
    <m/>
    <x v="1"/>
    <s v="28177082001005"/>
    <n v="-3.42"/>
    <n v="196"/>
    <n v="2"/>
    <n v="1"/>
  </r>
  <r>
    <m/>
    <m/>
    <x v="1"/>
    <s v="28282482001001"/>
    <n v="-24"/>
    <n v="1342"/>
    <n v="2"/>
    <n v="1"/>
  </r>
  <r>
    <m/>
    <m/>
    <x v="1"/>
    <s v="28645126001006"/>
    <n v="-16.57"/>
    <n v="850"/>
    <n v="2"/>
    <n v="1"/>
  </r>
  <r>
    <m/>
    <m/>
    <x v="1"/>
    <s v="29907188001008"/>
    <n v="-7.4499999999999993"/>
    <n v="397"/>
    <n v="2"/>
    <n v="1"/>
  </r>
  <r>
    <m/>
    <m/>
    <x v="1"/>
    <s v="29966739001002"/>
    <n v="-35.549999999999997"/>
    <n v="1905"/>
    <n v="2"/>
    <n v="1"/>
  </r>
  <r>
    <m/>
    <m/>
    <x v="1"/>
    <s v="30315366001001"/>
    <n v="-33.07"/>
    <n v="1933"/>
    <n v="1"/>
    <n v="1"/>
  </r>
  <r>
    <m/>
    <m/>
    <x v="1"/>
    <s v="30326468002004"/>
    <n v="-28.11"/>
    <n v="1592"/>
    <n v="2"/>
    <n v="1"/>
  </r>
  <r>
    <m/>
    <m/>
    <x v="1"/>
    <s v="30360605008001"/>
    <n v="-19.22"/>
    <n v="991"/>
    <n v="2"/>
    <n v="1"/>
  </r>
  <r>
    <m/>
    <m/>
    <x v="1"/>
    <s v="30361706001001"/>
    <n v="-30.76"/>
    <n v="1698"/>
    <n v="2"/>
    <n v="1"/>
  </r>
  <r>
    <m/>
    <m/>
    <x v="1"/>
    <s v="30618491001003"/>
    <n v="-30.490000000000002"/>
    <n v="1598"/>
    <n v="2"/>
    <n v="1"/>
  </r>
  <r>
    <m/>
    <m/>
    <x v="1"/>
    <s v="30684952001001"/>
    <n v="-10.030000000000001"/>
    <n v="548"/>
    <n v="2"/>
    <n v="1"/>
  </r>
  <r>
    <m/>
    <m/>
    <x v="1"/>
    <s v="30887773005008"/>
    <n v="-10.210000000000001"/>
    <n v="597"/>
    <n v="1"/>
    <n v="1"/>
  </r>
  <r>
    <m/>
    <m/>
    <x v="1"/>
    <s v="30975210001001"/>
    <n v="-24.09"/>
    <n v="1408"/>
    <n v="1"/>
    <n v="1"/>
  </r>
  <r>
    <m/>
    <m/>
    <x v="1"/>
    <s v="31129585001008"/>
    <n v="-21.479999999999997"/>
    <n v="1186"/>
    <n v="2"/>
    <n v="1"/>
  </r>
  <r>
    <m/>
    <m/>
    <x v="1"/>
    <s v="31452473001001"/>
    <n v="-4.1500000000000004"/>
    <n v="213"/>
    <n v="2"/>
    <n v="1"/>
  </r>
  <r>
    <m/>
    <m/>
    <x v="1"/>
    <s v="31590004001001"/>
    <n v="-14.690000000000001"/>
    <n v="815"/>
    <n v="2"/>
    <n v="1"/>
  </r>
  <r>
    <m/>
    <m/>
    <x v="1"/>
    <s v="32135273002001"/>
    <n v="-17.39"/>
    <n v="901"/>
    <n v="2"/>
    <n v="1"/>
  </r>
  <r>
    <m/>
    <m/>
    <x v="1"/>
    <s v="32517568004001"/>
    <n v="-5.93"/>
    <n v="316"/>
    <n v="2"/>
    <n v="1"/>
  </r>
  <r>
    <m/>
    <m/>
    <x v="1"/>
    <s v="32636395001001"/>
    <n v="-30.3"/>
    <n v="1555"/>
    <n v="2"/>
    <n v="1"/>
  </r>
  <r>
    <m/>
    <m/>
    <x v="1"/>
    <s v="32666126001001"/>
    <n v="-8.32"/>
    <n v="486"/>
    <n v="1"/>
    <n v="1"/>
  </r>
  <r>
    <m/>
    <m/>
    <x v="1"/>
    <s v="32759956001001"/>
    <n v="-10.19"/>
    <n v="583"/>
    <n v="2"/>
    <n v="1"/>
  </r>
  <r>
    <m/>
    <m/>
    <x v="1"/>
    <s v="32804453001009"/>
    <n v="-0.92999999999999994"/>
    <n v="48"/>
    <n v="2"/>
    <n v="1"/>
  </r>
  <r>
    <m/>
    <m/>
    <x v="1"/>
    <s v="33383973002003"/>
    <n v="-8.81"/>
    <n v="515"/>
    <n v="1"/>
    <n v="1"/>
  </r>
  <r>
    <m/>
    <m/>
    <x v="1"/>
    <s v="33579124001002"/>
    <n v="-6.7"/>
    <n v="366"/>
    <n v="2"/>
    <n v="1"/>
  </r>
  <r>
    <m/>
    <m/>
    <x v="1"/>
    <s v="33910067001001"/>
    <n v="-5.52"/>
    <n v="316"/>
    <n v="2"/>
    <n v="1"/>
  </r>
  <r>
    <m/>
    <m/>
    <x v="1"/>
    <s v="34088818001004"/>
    <n v="-42.98"/>
    <n v="2385"/>
    <n v="2"/>
    <n v="1"/>
  </r>
  <r>
    <m/>
    <m/>
    <x v="1"/>
    <s v="34099616001006"/>
    <n v="-12.9"/>
    <n v="738"/>
    <n v="2"/>
    <n v="1"/>
  </r>
  <r>
    <m/>
    <m/>
    <x v="1"/>
    <s v="34307833003001"/>
    <n v="-16.77"/>
    <n v="899"/>
    <n v="2"/>
    <n v="1"/>
  </r>
  <r>
    <m/>
    <m/>
    <x v="1"/>
    <s v="34329415001002"/>
    <n v="-1.44"/>
    <n v="80"/>
    <n v="2"/>
    <n v="1"/>
  </r>
  <r>
    <m/>
    <m/>
    <x v="1"/>
    <s v="34892207001001"/>
    <n v="-21.12"/>
    <n v="1154"/>
    <n v="2"/>
    <n v="1"/>
  </r>
  <r>
    <m/>
    <m/>
    <x v="1"/>
    <s v="34902092001003"/>
    <n v="-9.35"/>
    <n v="523"/>
    <n v="2"/>
    <n v="1"/>
  </r>
  <r>
    <m/>
    <m/>
    <x v="1"/>
    <s v="35235596002001"/>
    <n v="-28.57"/>
    <n v="1585"/>
    <n v="2"/>
    <n v="1"/>
  </r>
  <r>
    <m/>
    <m/>
    <x v="1"/>
    <s v="35256283001003"/>
    <n v="-14.059999999999999"/>
    <n v="805"/>
    <n v="2"/>
    <n v="1"/>
  </r>
  <r>
    <m/>
    <m/>
    <x v="1"/>
    <s v="35345438001001"/>
    <n v="-11.889999999999999"/>
    <n v="680"/>
    <n v="2"/>
    <n v="1"/>
  </r>
  <r>
    <m/>
    <m/>
    <x v="1"/>
    <s v="35490120001003"/>
    <n v="-13.8"/>
    <n v="708"/>
    <n v="2"/>
    <n v="1"/>
  </r>
  <r>
    <m/>
    <m/>
    <x v="1"/>
    <s v="35523656001007"/>
    <n v="-5.6"/>
    <n v="297"/>
    <n v="2"/>
    <n v="1"/>
  </r>
  <r>
    <m/>
    <m/>
    <x v="1"/>
    <s v="35588099002003"/>
    <n v="-16.899999999999999"/>
    <n v="901"/>
    <n v="2"/>
    <n v="1"/>
  </r>
  <r>
    <m/>
    <m/>
    <x v="1"/>
    <s v="35691353001006"/>
    <n v="-21.27"/>
    <n v="1243"/>
    <n v="1"/>
    <n v="1"/>
  </r>
  <r>
    <m/>
    <m/>
    <x v="1"/>
    <s v="36065414001009"/>
    <n v="-2.63"/>
    <n v="144"/>
    <n v="2"/>
    <n v="1"/>
  </r>
  <r>
    <m/>
    <m/>
    <x v="1"/>
    <s v="36145080002001"/>
    <n v="-1.06"/>
    <n v="59"/>
    <n v="2"/>
    <n v="1"/>
  </r>
  <r>
    <m/>
    <m/>
    <x v="1"/>
    <s v="36405191001001"/>
    <n v="-13.45"/>
    <n v="752"/>
    <n v="2"/>
    <n v="1"/>
  </r>
  <r>
    <m/>
    <m/>
    <x v="1"/>
    <s v="36459596001003"/>
    <n v="-6.7"/>
    <n v="383"/>
    <n v="2"/>
    <n v="1"/>
  </r>
  <r>
    <m/>
    <m/>
    <x v="1"/>
    <s v="36990379002001"/>
    <n v="-11.17"/>
    <n v="576"/>
    <n v="2"/>
    <n v="1"/>
  </r>
  <r>
    <m/>
    <m/>
    <x v="1"/>
    <s v="36993606001001"/>
    <n v="-36.989999999999995"/>
    <n v="1971"/>
    <n v="3"/>
    <n v="1"/>
  </r>
  <r>
    <m/>
    <m/>
    <x v="1"/>
    <s v="37072302001005"/>
    <n v="-13.540000000000001"/>
    <n v="695"/>
    <n v="2"/>
    <n v="1"/>
  </r>
  <r>
    <m/>
    <m/>
    <x v="1"/>
    <s v="37250462001001"/>
    <n v="-22.31"/>
    <n v="1219"/>
    <n v="2"/>
    <n v="1"/>
  </r>
  <r>
    <m/>
    <m/>
    <x v="1"/>
    <s v="37420592003001"/>
    <n v="-5.36"/>
    <n v="307"/>
    <n v="2"/>
    <n v="1"/>
  </r>
  <r>
    <m/>
    <m/>
    <x v="1"/>
    <s v="37463674001001"/>
    <n v="-19.669999999999998"/>
    <n v="1126"/>
    <n v="2"/>
    <n v="1"/>
  </r>
  <r>
    <m/>
    <m/>
    <x v="1"/>
    <s v="38597136001002"/>
    <n v="-19.22"/>
    <n v="1050"/>
    <n v="2"/>
    <n v="1"/>
  </r>
  <r>
    <m/>
    <m/>
    <x v="1"/>
    <s v="38653947001005"/>
    <n v="-15.219999999999999"/>
    <n v="871"/>
    <n v="2"/>
    <n v="1"/>
  </r>
  <r>
    <m/>
    <m/>
    <x v="1"/>
    <s v="38665012002003"/>
    <n v="-16.95"/>
    <n v="936"/>
    <n v="2"/>
    <n v="1"/>
  </r>
  <r>
    <m/>
    <m/>
    <x v="1"/>
    <s v="38666511001005"/>
    <n v="-36.4"/>
    <n v="2009"/>
    <n v="2"/>
    <n v="1"/>
  </r>
  <r>
    <m/>
    <m/>
    <x v="1"/>
    <s v="38677583001001"/>
    <n v="-17.79"/>
    <n v="977"/>
    <n v="2"/>
    <n v="1"/>
  </r>
  <r>
    <m/>
    <m/>
    <x v="1"/>
    <s v="38860694001003"/>
    <n v="-22.52"/>
    <n v="1156"/>
    <n v="2"/>
    <n v="1"/>
  </r>
  <r>
    <m/>
    <m/>
    <x v="1"/>
    <s v="38891796001003"/>
    <n v="-7.8"/>
    <n v="456"/>
    <n v="1"/>
    <n v="1"/>
  </r>
  <r>
    <m/>
    <m/>
    <x v="1"/>
    <s v="39658784002001"/>
    <n v="-4.8100000000000005"/>
    <n v="263"/>
    <n v="2"/>
    <n v="1"/>
  </r>
  <r>
    <m/>
    <m/>
    <x v="1"/>
    <s v="39662471001003"/>
    <n v="-13"/>
    <n v="740"/>
    <n v="2"/>
    <n v="1"/>
  </r>
  <r>
    <m/>
    <m/>
    <x v="1"/>
    <s v="39954610002010"/>
    <n v="-4.8100000000000005"/>
    <n v="263"/>
    <n v="2"/>
    <n v="1"/>
  </r>
  <r>
    <m/>
    <m/>
    <x v="1"/>
    <s v="39955820001001"/>
    <n v="-14.39"/>
    <n v="779"/>
    <n v="2"/>
    <n v="1"/>
  </r>
  <r>
    <m/>
    <m/>
    <x v="1"/>
    <s v="40304373001005"/>
    <n v="-3.49"/>
    <n v="186"/>
    <n v="2"/>
    <n v="1"/>
  </r>
  <r>
    <m/>
    <m/>
    <x v="1"/>
    <s v="40366913001001"/>
    <n v="-3.54"/>
    <n v="202"/>
    <n v="2"/>
    <n v="1"/>
  </r>
  <r>
    <m/>
    <m/>
    <x v="1"/>
    <s v="40492100002001"/>
    <n v="-2.13"/>
    <n v="118"/>
    <n v="2"/>
    <n v="1"/>
  </r>
  <r>
    <m/>
    <m/>
    <x v="1"/>
    <s v="40602210001001"/>
    <n v="-2.46"/>
    <n v="128"/>
    <n v="2"/>
    <n v="1"/>
  </r>
  <r>
    <m/>
    <m/>
    <x v="1"/>
    <s v="41254471001004"/>
    <n v="-17.2"/>
    <n v="984"/>
    <n v="2"/>
    <n v="1"/>
  </r>
  <r>
    <m/>
    <m/>
    <x v="1"/>
    <s v="41419799002001"/>
    <n v="-0.86"/>
    <n v="44"/>
    <n v="2"/>
    <n v="1"/>
  </r>
  <r>
    <m/>
    <m/>
    <x v="1"/>
    <s v="41938265001001"/>
    <n v="-14.25"/>
    <n v="807"/>
    <n v="2"/>
    <n v="1"/>
  </r>
  <r>
    <m/>
    <m/>
    <x v="1"/>
    <s v="42014470001005"/>
    <n v="-30.160000000000004"/>
    <n v="1665"/>
    <n v="2"/>
    <n v="1"/>
  </r>
  <r>
    <m/>
    <m/>
    <x v="1"/>
    <s v="42066880001001"/>
    <n v="-6.57"/>
    <n v="359"/>
    <n v="2"/>
    <n v="1"/>
  </r>
  <r>
    <m/>
    <m/>
    <x v="1"/>
    <s v="42508761002002"/>
    <n v="-16.559999999999999"/>
    <n v="968"/>
    <n v="1"/>
    <n v="1"/>
  </r>
  <r>
    <m/>
    <m/>
    <x v="1"/>
    <s v="42515901001002"/>
    <n v="-21.98"/>
    <n v="1207"/>
    <n v="2"/>
    <n v="1"/>
  </r>
  <r>
    <m/>
    <m/>
    <x v="1"/>
    <s v="42524441001002"/>
    <n v="-33.11"/>
    <n v="1935"/>
    <n v="1"/>
    <n v="1"/>
  </r>
  <r>
    <m/>
    <m/>
    <x v="1"/>
    <s v="42528501001002"/>
    <n v="-14.76"/>
    <n v="849"/>
    <n v="2"/>
    <n v="1"/>
  </r>
  <r>
    <m/>
    <m/>
    <x v="1"/>
    <s v="42576676002001"/>
    <n v="-12.7"/>
    <n v="742"/>
    <n v="1"/>
    <n v="1"/>
  </r>
  <r>
    <m/>
    <m/>
    <x v="1"/>
    <s v="42586041002001"/>
    <n v="-20.88"/>
    <n v="1201"/>
    <n v="2"/>
    <n v="1"/>
  </r>
  <r>
    <m/>
    <m/>
    <x v="1"/>
    <s v="42613341001001"/>
    <n v="-6.96"/>
    <n v="384"/>
    <n v="2"/>
    <n v="1"/>
  </r>
  <r>
    <m/>
    <m/>
    <x v="1"/>
    <s v="42620271001001"/>
    <n v="-5.0299999999999994"/>
    <n v="278"/>
    <n v="2"/>
    <n v="1"/>
  </r>
  <r>
    <m/>
    <m/>
    <x v="1"/>
    <s v="42624051001002"/>
    <n v="-3.4000000000000004"/>
    <n v="187"/>
    <n v="2"/>
    <n v="1"/>
  </r>
  <r>
    <m/>
    <m/>
    <x v="1"/>
    <s v="42649321001001"/>
    <n v="-3.64"/>
    <n v="201"/>
    <n v="2"/>
    <n v="1"/>
  </r>
  <r>
    <m/>
    <m/>
    <x v="1"/>
    <s v="42659261001004"/>
    <n v="-27.46"/>
    <n v="1589"/>
    <n v="2"/>
    <n v="1"/>
  </r>
  <r>
    <m/>
    <m/>
    <x v="1"/>
    <s v="42662971001011"/>
    <n v="-23.15"/>
    <n v="1295"/>
    <n v="2"/>
    <n v="1"/>
  </r>
  <r>
    <m/>
    <m/>
    <x v="1"/>
    <s v="42725901002002"/>
    <n v="-12.59"/>
    <n v="688"/>
    <n v="2"/>
    <n v="1"/>
  </r>
  <r>
    <m/>
    <m/>
    <x v="1"/>
    <s v="42743757001001"/>
    <n v="-8.09"/>
    <n v="473"/>
    <n v="1"/>
    <n v="1"/>
  </r>
  <r>
    <m/>
    <m/>
    <x v="1"/>
    <s v="42776931001001"/>
    <n v="-21.35"/>
    <n v="1248"/>
    <n v="1"/>
    <n v="1"/>
  </r>
  <r>
    <m/>
    <m/>
    <x v="1"/>
    <s v="42785681001001"/>
    <n v="-33.479999999999997"/>
    <n v="1957"/>
    <n v="1"/>
    <n v="1"/>
  </r>
  <r>
    <m/>
    <m/>
    <x v="1"/>
    <s v="42812881002001"/>
    <n v="-10.639999999999999"/>
    <n v="616"/>
    <n v="2"/>
    <n v="1"/>
  </r>
  <r>
    <m/>
    <m/>
    <x v="1"/>
    <s v="42816621001001"/>
    <n v="-17.98"/>
    <n v="1051"/>
    <n v="1"/>
    <n v="1"/>
  </r>
  <r>
    <m/>
    <m/>
    <x v="1"/>
    <s v="42926275001002"/>
    <n v="-20.81"/>
    <n v="1068"/>
    <n v="2"/>
    <n v="1"/>
  </r>
  <r>
    <m/>
    <m/>
    <x v="1"/>
    <s v="42954661002001"/>
    <n v="-11.53"/>
    <n v="653"/>
    <n v="2"/>
    <n v="1"/>
  </r>
  <r>
    <m/>
    <m/>
    <x v="1"/>
    <s v="43045241001001"/>
    <n v="-1.4700000000000002"/>
    <n v="85"/>
    <n v="2"/>
    <n v="1"/>
  </r>
  <r>
    <m/>
    <m/>
    <x v="1"/>
    <s v="43137151001001"/>
    <n v="-19.950000000000003"/>
    <n v="1142"/>
    <n v="2"/>
    <n v="1"/>
  </r>
  <r>
    <m/>
    <m/>
    <x v="1"/>
    <s v="43163261002001"/>
    <n v="-40.370000000000005"/>
    <n v="2217"/>
    <n v="2"/>
    <n v="1"/>
  </r>
  <r>
    <m/>
    <m/>
    <x v="1"/>
    <s v="43192521002006"/>
    <n v="-9.870000000000001"/>
    <n v="571"/>
    <n v="2"/>
    <n v="1"/>
  </r>
  <r>
    <m/>
    <m/>
    <x v="1"/>
    <s v="43234101001001"/>
    <n v="-6.08"/>
    <n v="350"/>
    <n v="2"/>
    <n v="1"/>
  </r>
  <r>
    <m/>
    <m/>
    <x v="1"/>
    <s v="43254471002001"/>
    <n v="-19.829999999999998"/>
    <n v="1073"/>
    <n v="2"/>
    <n v="1"/>
  </r>
  <r>
    <m/>
    <m/>
    <x v="1"/>
    <s v="43259441001002"/>
    <n v="-1.1800000000000002"/>
    <n v="65"/>
    <n v="2"/>
    <n v="1"/>
  </r>
  <r>
    <m/>
    <m/>
    <x v="1"/>
    <s v="43267071001006"/>
    <n v="-12.73"/>
    <n v="699"/>
    <n v="2"/>
    <n v="1"/>
  </r>
  <r>
    <m/>
    <m/>
    <x v="1"/>
    <s v="43297591001002"/>
    <n v="-23.130000000000003"/>
    <n v="1310"/>
    <n v="2"/>
    <n v="1"/>
  </r>
  <r>
    <m/>
    <m/>
    <x v="1"/>
    <s v="43299411003001"/>
    <n v="-57.58"/>
    <n v="3147"/>
    <n v="2"/>
    <n v="1"/>
  </r>
  <r>
    <m/>
    <m/>
    <x v="1"/>
    <s v="43333711001002"/>
    <n v="-5.04"/>
    <n v="290"/>
    <n v="2"/>
    <n v="1"/>
  </r>
  <r>
    <m/>
    <m/>
    <x v="1"/>
    <s v="43341691001008"/>
    <n v="-12.23"/>
    <n v="715"/>
    <n v="1"/>
    <n v="1"/>
  </r>
  <r>
    <m/>
    <m/>
    <x v="1"/>
    <s v="43399301001003"/>
    <n v="-13.04"/>
    <n v="720"/>
    <n v="2"/>
    <n v="1"/>
  </r>
  <r>
    <m/>
    <m/>
    <x v="1"/>
    <s v="43411551001012"/>
    <n v="-12.6"/>
    <n v="729"/>
    <n v="2"/>
    <n v="1"/>
  </r>
  <r>
    <m/>
    <m/>
    <x v="1"/>
    <s v="43445991001003"/>
    <n v="-25.28"/>
    <n v="1439"/>
    <n v="2"/>
    <n v="1"/>
  </r>
  <r>
    <m/>
    <m/>
    <x v="1"/>
    <s v="43629601001002"/>
    <n v="-11.39"/>
    <n v="607"/>
    <n v="2"/>
    <n v="1"/>
  </r>
  <r>
    <m/>
    <m/>
    <x v="1"/>
    <s v="43717941001003"/>
    <n v="-7.379999999999999"/>
    <n v="405"/>
    <n v="2"/>
    <n v="1"/>
  </r>
  <r>
    <m/>
    <m/>
    <x v="1"/>
    <s v="43736211001004"/>
    <n v="-6.73"/>
    <n v="370"/>
    <n v="2"/>
    <n v="1"/>
  </r>
  <r>
    <m/>
    <m/>
    <x v="1"/>
    <s v="43777301002001"/>
    <n v="-1.99"/>
    <n v="110"/>
    <n v="2"/>
    <n v="1"/>
  </r>
  <r>
    <m/>
    <m/>
    <x v="1"/>
    <s v="43805161001001"/>
    <n v="-9.7899999999999991"/>
    <n v="543"/>
    <n v="2"/>
    <n v="1"/>
  </r>
  <r>
    <m/>
    <m/>
    <x v="1"/>
    <s v="43823991001001"/>
    <n v="-9.89"/>
    <n v="543"/>
    <n v="2"/>
    <n v="1"/>
  </r>
  <r>
    <m/>
    <m/>
    <x v="1"/>
    <s v="43829235001002"/>
    <n v="-13.81"/>
    <n v="807"/>
    <n v="1"/>
    <n v="1"/>
  </r>
  <r>
    <m/>
    <m/>
    <x v="1"/>
    <s v="43829871002001"/>
    <n v="-10.280000000000001"/>
    <n v="565"/>
    <n v="2"/>
    <n v="1"/>
  </r>
  <r>
    <m/>
    <m/>
    <x v="1"/>
    <s v="43835420001001"/>
    <n v="-7.5399999999999991"/>
    <n v="414"/>
    <n v="2"/>
    <n v="1"/>
  </r>
  <r>
    <m/>
    <m/>
    <x v="1"/>
    <s v="43881111001003"/>
    <n v="-7.13"/>
    <n v="417"/>
    <n v="1"/>
    <n v="1"/>
  </r>
  <r>
    <m/>
    <m/>
    <x v="1"/>
    <s v="43883841001001"/>
    <n v="-8.129999999999999"/>
    <n v="446"/>
    <n v="2"/>
    <n v="1"/>
  </r>
  <r>
    <m/>
    <m/>
    <x v="1"/>
    <s v="43890421001006"/>
    <n v="-28.54"/>
    <n v="1568"/>
    <n v="2"/>
    <n v="1"/>
  </r>
  <r>
    <m/>
    <m/>
    <x v="1"/>
    <s v="43937246004001"/>
    <n v="-28.46"/>
    <n v="1492"/>
    <n v="2"/>
    <n v="1"/>
  </r>
  <r>
    <m/>
    <m/>
    <x v="1"/>
    <s v="44032311001001"/>
    <n v="-8.1300000000000008"/>
    <n v="440"/>
    <n v="2"/>
    <n v="1"/>
  </r>
  <r>
    <m/>
    <m/>
    <x v="1"/>
    <s v="44070041001001"/>
    <n v="-51.12"/>
    <n v="2623"/>
    <n v="2"/>
    <n v="1"/>
  </r>
  <r>
    <m/>
    <m/>
    <x v="1"/>
    <s v="44114631002002"/>
    <n v="-11.370000000000001"/>
    <n v="586"/>
    <n v="2"/>
    <n v="1"/>
  </r>
  <r>
    <m/>
    <m/>
    <x v="1"/>
    <s v="44225511001001"/>
    <n v="-27.299999999999997"/>
    <n v="1515"/>
    <n v="2"/>
    <n v="1"/>
  </r>
  <r>
    <m/>
    <m/>
    <x v="1"/>
    <s v="44254071001001"/>
    <n v="-16.130000000000003"/>
    <n v="886"/>
    <n v="2"/>
    <n v="1"/>
  </r>
  <r>
    <m/>
    <m/>
    <x v="1"/>
    <s v="44271711001001"/>
    <n v="-1.42"/>
    <n v="76"/>
    <n v="2"/>
    <n v="1"/>
  </r>
  <r>
    <m/>
    <m/>
    <x v="1"/>
    <s v="44285361001001"/>
    <n v="-5.71"/>
    <n v="309"/>
    <n v="2"/>
    <n v="1"/>
  </r>
  <r>
    <m/>
    <m/>
    <x v="1"/>
    <s v="44339401001001"/>
    <n v="-34.18"/>
    <n v="1792"/>
    <n v="2"/>
    <n v="1"/>
  </r>
  <r>
    <m/>
    <m/>
    <x v="1"/>
    <s v="44351795001005"/>
    <n v="-6.87"/>
    <n v="354"/>
    <n v="2"/>
    <n v="1"/>
  </r>
  <r>
    <m/>
    <m/>
    <x v="1"/>
    <s v="44353961001003"/>
    <n v="-20.810000000000002"/>
    <n v="1073"/>
    <n v="2"/>
    <n v="1"/>
  </r>
  <r>
    <m/>
    <m/>
    <x v="1"/>
    <s v="44355501001004"/>
    <n v="-4.07"/>
    <n v="211"/>
    <n v="2"/>
    <n v="1"/>
  </r>
  <r>
    <m/>
    <m/>
    <x v="1"/>
    <s v="44387071001001"/>
    <n v="-0.02"/>
    <n v="1"/>
    <n v="1"/>
    <n v="1"/>
  </r>
  <r>
    <m/>
    <m/>
    <x v="1"/>
    <s v="44432151001001"/>
    <n v="-6.1899999999999995"/>
    <n v="353"/>
    <n v="2"/>
    <n v="1"/>
  </r>
  <r>
    <m/>
    <m/>
    <x v="1"/>
    <s v="44449861003001"/>
    <n v="-38.36"/>
    <n v="2242"/>
    <n v="1"/>
    <n v="1"/>
  </r>
  <r>
    <m/>
    <m/>
    <x v="1"/>
    <s v="44452381001001"/>
    <n v="-15.93"/>
    <n v="907"/>
    <n v="2"/>
    <n v="1"/>
  </r>
  <r>
    <m/>
    <m/>
    <x v="1"/>
    <s v="44480241001005"/>
    <n v="-20.83"/>
    <n v="1105"/>
    <n v="2"/>
    <n v="1"/>
  </r>
  <r>
    <m/>
    <m/>
    <x v="1"/>
    <s v="44487381001001"/>
    <n v="-31.46"/>
    <n v="1745"/>
    <n v="2"/>
    <n v="1"/>
  </r>
  <r>
    <m/>
    <m/>
    <x v="1"/>
    <s v="44550311001001"/>
    <n v="-10.220000000000001"/>
    <n v="564"/>
    <n v="2"/>
    <n v="1"/>
  </r>
  <r>
    <m/>
    <m/>
    <x v="1"/>
    <s v="44553531002003"/>
    <n v="-33.24"/>
    <n v="1799"/>
    <n v="2"/>
    <n v="1"/>
  </r>
  <r>
    <m/>
    <m/>
    <x v="1"/>
    <s v="44562771002001"/>
    <n v="-4.7699999999999996"/>
    <n v="262"/>
    <n v="2"/>
    <n v="1"/>
  </r>
  <r>
    <m/>
    <m/>
    <x v="1"/>
    <s v="44569071002001"/>
    <n v="-20.97"/>
    <n v="1146"/>
    <n v="2"/>
    <n v="1"/>
  </r>
  <r>
    <m/>
    <m/>
    <x v="1"/>
    <s v="44639981001001"/>
    <n v="-10.6"/>
    <n v="588"/>
    <n v="2"/>
    <n v="1"/>
  </r>
  <r>
    <m/>
    <m/>
    <x v="1"/>
    <s v="44698571001002"/>
    <n v="-3.86"/>
    <n v="211"/>
    <n v="2"/>
    <n v="1"/>
  </r>
  <r>
    <m/>
    <m/>
    <x v="1"/>
    <s v="44702771001003"/>
    <n v="-32.989999999999995"/>
    <n v="1880"/>
    <n v="2"/>
    <n v="1"/>
  </r>
  <r>
    <m/>
    <m/>
    <x v="1"/>
    <s v="44719431001001"/>
    <n v="-7.21"/>
    <n v="394"/>
    <n v="2"/>
    <n v="1"/>
  </r>
  <r>
    <m/>
    <m/>
    <x v="1"/>
    <s v="44775641001002"/>
    <n v="-15.81"/>
    <n v="856"/>
    <n v="2"/>
    <n v="1"/>
  </r>
  <r>
    <m/>
    <m/>
    <x v="1"/>
    <s v="44775991001002"/>
    <n v="-11.88"/>
    <n v="656"/>
    <n v="2"/>
    <n v="1"/>
  </r>
  <r>
    <m/>
    <m/>
    <x v="1"/>
    <s v="44797411005020"/>
    <n v="-7.94"/>
    <n v="409"/>
    <n v="2"/>
    <n v="1"/>
  </r>
  <r>
    <m/>
    <m/>
    <x v="1"/>
    <s v="44805881002002"/>
    <n v="-21.990000000000002"/>
    <n v="1202"/>
    <n v="2"/>
    <n v="1"/>
  </r>
  <r>
    <m/>
    <m/>
    <x v="1"/>
    <s v="44819842001003"/>
    <n v="-37.200000000000003"/>
    <n v="1974"/>
    <n v="2"/>
    <n v="1"/>
  </r>
  <r>
    <m/>
    <m/>
    <x v="1"/>
    <s v="44844661001002"/>
    <n v="-25.41"/>
    <n v="1485"/>
    <n v="1"/>
    <n v="1"/>
  </r>
  <r>
    <m/>
    <m/>
    <x v="1"/>
    <s v="44847951001001"/>
    <n v="-25.5"/>
    <n v="1380"/>
    <n v="2"/>
    <n v="1"/>
  </r>
  <r>
    <m/>
    <m/>
    <x v="1"/>
    <s v="44858844001002"/>
    <n v="-21.68"/>
    <n v="1123"/>
    <n v="2"/>
    <n v="1"/>
  </r>
  <r>
    <m/>
    <m/>
    <x v="1"/>
    <s v="44861671002001"/>
    <n v="-13.219999999999999"/>
    <n v="730"/>
    <n v="2"/>
    <n v="1"/>
  </r>
  <r>
    <m/>
    <m/>
    <x v="1"/>
    <s v="44875811001006"/>
    <n v="-15.59"/>
    <n v="911"/>
    <n v="1"/>
    <n v="1"/>
  </r>
  <r>
    <m/>
    <m/>
    <x v="1"/>
    <s v="44882082003001"/>
    <n v="-17.010000000000002"/>
    <n v="873"/>
    <n v="2"/>
    <n v="1"/>
  </r>
  <r>
    <m/>
    <m/>
    <x v="1"/>
    <s v="44885681001001"/>
    <n v="-10.41"/>
    <n v="569"/>
    <n v="2"/>
    <n v="1"/>
  </r>
  <r>
    <m/>
    <m/>
    <x v="1"/>
    <s v="44891981001003"/>
    <n v="-12.120000000000001"/>
    <n v="662"/>
    <n v="2"/>
    <n v="1"/>
  </r>
  <r>
    <m/>
    <m/>
    <x v="1"/>
    <s v="44905001001001"/>
    <n v="-13.74"/>
    <n v="751"/>
    <n v="2"/>
    <n v="1"/>
  </r>
  <r>
    <m/>
    <m/>
    <x v="1"/>
    <s v="44905701001001"/>
    <n v="-0.26"/>
    <n v="14"/>
    <n v="2"/>
    <n v="1"/>
  </r>
  <r>
    <m/>
    <m/>
    <x v="1"/>
    <s v="44909201001001"/>
    <n v="-7.0000000000000007E-2"/>
    <n v="4"/>
    <n v="2"/>
    <n v="1"/>
  </r>
  <r>
    <m/>
    <m/>
    <x v="1"/>
    <s v="44935424001003"/>
    <n v="-0.54"/>
    <n v="29"/>
    <n v="2"/>
    <n v="1"/>
  </r>
  <r>
    <m/>
    <m/>
    <x v="1"/>
    <s v="44983121001001"/>
    <n v="-12.17"/>
    <n v="665"/>
    <n v="2"/>
    <n v="1"/>
  </r>
  <r>
    <m/>
    <m/>
    <x v="1"/>
    <s v="44992711001001"/>
    <n v="-22.43"/>
    <n v="1214"/>
    <n v="2"/>
    <n v="1"/>
  </r>
  <r>
    <m/>
    <m/>
    <x v="1"/>
    <s v="45041431001002"/>
    <n v="-32.480000000000004"/>
    <n v="1740"/>
    <n v="2"/>
    <n v="1"/>
  </r>
  <r>
    <m/>
    <m/>
    <x v="1"/>
    <s v="45051091001001"/>
    <n v="-17.2"/>
    <n v="917"/>
    <n v="2"/>
    <n v="1"/>
  </r>
  <r>
    <m/>
    <m/>
    <x v="1"/>
    <s v="45060821001003"/>
    <n v="-22.28"/>
    <n v="1236"/>
    <n v="2"/>
    <n v="1"/>
  </r>
  <r>
    <m/>
    <m/>
    <x v="1"/>
    <s v="45073281001004"/>
    <n v="-13.66"/>
    <n v="732"/>
    <n v="2"/>
    <n v="1"/>
  </r>
  <r>
    <m/>
    <m/>
    <x v="1"/>
    <s v="45076991001001"/>
    <n v="-9.81"/>
    <n v="523"/>
    <n v="2"/>
    <n v="1"/>
  </r>
  <r>
    <m/>
    <m/>
    <x v="1"/>
    <s v="45126691002004"/>
    <n v="-24.310000000000002"/>
    <n v="1335"/>
    <n v="2"/>
    <n v="1"/>
  </r>
  <r>
    <m/>
    <m/>
    <x v="1"/>
    <s v="45137401001003"/>
    <n v="-35.44"/>
    <n v="1918"/>
    <n v="2"/>
    <n v="1"/>
  </r>
  <r>
    <m/>
    <m/>
    <x v="1"/>
    <s v="45146851001006"/>
    <n v="-4.45"/>
    <n v="241"/>
    <n v="2"/>
    <n v="1"/>
  </r>
  <r>
    <m/>
    <m/>
    <x v="1"/>
    <s v="45170721001001"/>
    <n v="-23.63"/>
    <n v="1381"/>
    <n v="1"/>
    <n v="1"/>
  </r>
  <r>
    <m/>
    <m/>
    <x v="1"/>
    <s v="45182201001001"/>
    <n v="-13.12"/>
    <n v="767"/>
    <n v="1"/>
    <n v="1"/>
  </r>
  <r>
    <m/>
    <m/>
    <x v="1"/>
    <s v="45200471001003"/>
    <n v="-17.350000000000001"/>
    <n v="1014"/>
    <n v="1"/>
    <n v="1"/>
  </r>
  <r>
    <m/>
    <m/>
    <x v="1"/>
    <s v="45272991001001"/>
    <n v="-1.74"/>
    <n v="100"/>
    <n v="2"/>
    <n v="1"/>
  </r>
  <r>
    <m/>
    <m/>
    <x v="1"/>
    <s v="45290141001001"/>
    <n v="-9.17"/>
    <n v="527"/>
    <n v="2"/>
    <n v="1"/>
  </r>
  <r>
    <m/>
    <m/>
    <x v="1"/>
    <s v="45332981001003"/>
    <n v="-4.8099999999999996"/>
    <n v="281"/>
    <n v="1"/>
    <n v="1"/>
  </r>
  <r>
    <m/>
    <m/>
    <x v="1"/>
    <s v="45360911001001"/>
    <n v="-13.34"/>
    <n v="760"/>
    <n v="2"/>
    <n v="1"/>
  </r>
  <r>
    <m/>
    <m/>
    <x v="1"/>
    <s v="45371411001001"/>
    <n v="-6.1099999999999994"/>
    <n v="348"/>
    <n v="2"/>
    <n v="1"/>
  </r>
  <r>
    <m/>
    <m/>
    <x v="1"/>
    <s v="45384011001002"/>
    <n v="-21.759999999999998"/>
    <n v="1232"/>
    <n v="2"/>
    <n v="1"/>
  </r>
  <r>
    <m/>
    <m/>
    <x v="1"/>
    <s v="45440641002001"/>
    <n v="-6.62"/>
    <n v="387"/>
    <n v="1"/>
    <n v="1"/>
  </r>
  <r>
    <m/>
    <m/>
    <x v="1"/>
    <s v="45445432002001"/>
    <n v="-16.45"/>
    <n v="844"/>
    <n v="2"/>
    <n v="1"/>
  </r>
  <r>
    <m/>
    <m/>
    <x v="1"/>
    <s v="45451631001001"/>
    <n v="-12.12"/>
    <n v="690"/>
    <n v="2"/>
    <n v="1"/>
  </r>
  <r>
    <m/>
    <m/>
    <x v="1"/>
    <s v="45524858001001"/>
    <n v="-9.1300000000000008"/>
    <n v="473"/>
    <n v="2"/>
    <n v="1"/>
  </r>
  <r>
    <m/>
    <m/>
    <x v="1"/>
    <s v="45525621001001"/>
    <n v="-15.25"/>
    <n v="891"/>
    <n v="1"/>
    <n v="1"/>
  </r>
  <r>
    <m/>
    <m/>
    <x v="1"/>
    <s v="45526041001005"/>
    <n v="-14.4"/>
    <n v="820"/>
    <n v="2"/>
    <n v="1"/>
  </r>
  <r>
    <m/>
    <m/>
    <x v="1"/>
    <s v="45546971002001"/>
    <n v="-11.55"/>
    <n v="675"/>
    <n v="1"/>
    <n v="1"/>
  </r>
  <r>
    <m/>
    <m/>
    <x v="1"/>
    <s v="45628101001001"/>
    <n v="-22.79"/>
    <n v="1332"/>
    <n v="1"/>
    <n v="1"/>
  </r>
  <r>
    <m/>
    <m/>
    <x v="1"/>
    <s v="45707786001004"/>
    <n v="-8.15"/>
    <n v="418"/>
    <n v="2"/>
    <n v="1"/>
  </r>
  <r>
    <m/>
    <m/>
    <x v="1"/>
    <s v="45708595001003"/>
    <n v="-10.040000000000001"/>
    <n v="515"/>
    <n v="2"/>
    <n v="1"/>
  </r>
  <r>
    <m/>
    <m/>
    <x v="1"/>
    <s v="45771181001001"/>
    <n v="-24.11"/>
    <n v="1249"/>
    <n v="2"/>
    <n v="1"/>
  </r>
  <r>
    <m/>
    <m/>
    <x v="1"/>
    <s v="45785111001001"/>
    <n v="-4.1400000000000006"/>
    <n v="217"/>
    <n v="2"/>
    <n v="1"/>
  </r>
  <r>
    <m/>
    <m/>
    <x v="1"/>
    <s v="45788681002001"/>
    <n v="-11.54"/>
    <n v="605"/>
    <n v="2"/>
    <n v="1"/>
  </r>
  <r>
    <m/>
    <m/>
    <x v="1"/>
    <s v="45805966004001"/>
    <n v="-14.18"/>
    <n v="829"/>
    <n v="1"/>
    <n v="1"/>
  </r>
  <r>
    <m/>
    <m/>
    <x v="1"/>
    <s v="45842301001002"/>
    <n v="-14.04"/>
    <n v="721"/>
    <n v="2"/>
    <n v="1"/>
  </r>
  <r>
    <m/>
    <m/>
    <x v="1"/>
    <s v="45845101001001"/>
    <n v="-10.49"/>
    <n v="613"/>
    <n v="1"/>
    <n v="1"/>
  </r>
  <r>
    <m/>
    <m/>
    <x v="1"/>
    <s v="45848041001001"/>
    <n v="-32.89"/>
    <n v="1922"/>
    <n v="1"/>
    <n v="1"/>
  </r>
  <r>
    <m/>
    <m/>
    <x v="1"/>
    <s v="45851261001001"/>
    <n v="-17.829999999999998"/>
    <n v="1042"/>
    <n v="1"/>
    <n v="1"/>
  </r>
  <r>
    <m/>
    <m/>
    <x v="1"/>
    <s v="45863581003010"/>
    <n v="-4.0199999999999996"/>
    <n v="207"/>
    <n v="2"/>
    <n v="1"/>
  </r>
  <r>
    <m/>
    <m/>
    <x v="1"/>
    <s v="45918181001001"/>
    <n v="-8.67"/>
    <n v="507"/>
    <n v="1"/>
    <n v="1"/>
  </r>
  <r>
    <m/>
    <m/>
    <x v="1"/>
    <s v="45924481001001"/>
    <n v="-8.64"/>
    <n v="505"/>
    <n v="1"/>
    <n v="1"/>
  </r>
  <r>
    <m/>
    <m/>
    <x v="1"/>
    <s v="46000571001002"/>
    <n v="-28.37"/>
    <n v="1487"/>
    <n v="2"/>
    <n v="1"/>
  </r>
  <r>
    <m/>
    <m/>
    <x v="1"/>
    <s v="46005261001001"/>
    <n v="-13.190000000000001"/>
    <n v="691"/>
    <n v="2"/>
    <n v="1"/>
  </r>
  <r>
    <m/>
    <m/>
    <x v="1"/>
    <s v="46040191001001"/>
    <n v="-0.49"/>
    <n v="25"/>
    <n v="2"/>
    <n v="1"/>
  </r>
  <r>
    <m/>
    <m/>
    <x v="1"/>
    <s v="46061541001001"/>
    <n v="-9.27"/>
    <n v="486"/>
    <n v="2"/>
    <n v="1"/>
  </r>
  <r>
    <m/>
    <m/>
    <x v="1"/>
    <s v="46087791001001"/>
    <n v="-36.97"/>
    <n v="1952"/>
    <n v="2"/>
    <n v="1"/>
  </r>
  <r>
    <m/>
    <m/>
    <x v="1"/>
    <s v="46181801006035"/>
    <n v="-16.96"/>
    <n v="991"/>
    <n v="1"/>
    <n v="1"/>
  </r>
  <r>
    <m/>
    <m/>
    <x v="1"/>
    <s v="46210291002003"/>
    <n v="-38.94"/>
    <n v="2276"/>
    <n v="1"/>
    <n v="1"/>
  </r>
  <r>
    <m/>
    <m/>
    <x v="1"/>
    <s v="46220091004001"/>
    <n v="-34.68"/>
    <n v="1877"/>
    <n v="2"/>
    <n v="1"/>
  </r>
  <r>
    <m/>
    <m/>
    <x v="1"/>
    <s v="46220931001002"/>
    <n v="-16.149999999999999"/>
    <n v="861"/>
    <n v="2"/>
    <n v="1"/>
  </r>
  <r>
    <m/>
    <m/>
    <x v="1"/>
    <s v="46227600003001"/>
    <n v="-3.86"/>
    <n v="199"/>
    <n v="2"/>
    <n v="1"/>
  </r>
  <r>
    <m/>
    <m/>
    <x v="1"/>
    <s v="46235281001001"/>
    <n v="-32.51"/>
    <n v="1704"/>
    <n v="2"/>
    <n v="1"/>
  </r>
  <r>
    <m/>
    <m/>
    <x v="1"/>
    <s v="46279171001001"/>
    <n v="-2.56"/>
    <n v="133"/>
    <n v="2"/>
    <n v="1"/>
  </r>
  <r>
    <m/>
    <m/>
    <x v="1"/>
    <s v="46289181004001"/>
    <n v="-10.059999999999999"/>
    <n v="521"/>
    <n v="2"/>
    <n v="1"/>
  </r>
  <r>
    <m/>
    <m/>
    <x v="1"/>
    <s v="46333701006001"/>
    <n v="-17.809999999999999"/>
    <n v="1041"/>
    <n v="1"/>
    <n v="1"/>
  </r>
  <r>
    <m/>
    <m/>
    <x v="1"/>
    <s v="46341751001001"/>
    <n v="-27.2"/>
    <n v="1590"/>
    <n v="1"/>
    <n v="1"/>
  </r>
  <r>
    <m/>
    <m/>
    <x v="1"/>
    <s v="46345951001005"/>
    <n v="-7.27"/>
    <n v="425"/>
    <n v="1"/>
    <n v="1"/>
  </r>
  <r>
    <m/>
    <m/>
    <x v="1"/>
    <s v="46350571001003"/>
    <n v="-4.5600000000000005"/>
    <n v="234"/>
    <n v="2"/>
    <n v="1"/>
  </r>
  <r>
    <m/>
    <m/>
    <x v="1"/>
    <s v="46361701013001"/>
    <n v="-15.67"/>
    <n v="804"/>
    <n v="2"/>
    <n v="1"/>
  </r>
  <r>
    <m/>
    <m/>
    <x v="1"/>
    <s v="46372481001002"/>
    <n v="-2.2799999999999998"/>
    <n v="133"/>
    <n v="1"/>
    <n v="1"/>
  </r>
  <r>
    <m/>
    <m/>
    <x v="1"/>
    <s v="46392431004003"/>
    <n v="-13.25"/>
    <n v="724"/>
    <n v="2"/>
    <n v="1"/>
  </r>
  <r>
    <m/>
    <m/>
    <x v="1"/>
    <s v="46412521001006"/>
    <n v="-12.88"/>
    <n v="737"/>
    <n v="2"/>
    <n v="1"/>
  </r>
  <r>
    <m/>
    <m/>
    <x v="1"/>
    <s v="46445281001003"/>
    <n v="-20.170000000000002"/>
    <n v="1045"/>
    <n v="2"/>
    <n v="1"/>
  </r>
  <r>
    <m/>
    <m/>
    <x v="1"/>
    <s v="46447731001002"/>
    <n v="-14.94"/>
    <n v="873"/>
    <n v="1"/>
    <n v="1"/>
  </r>
  <r>
    <m/>
    <m/>
    <x v="1"/>
    <s v="46459421003005"/>
    <n v="-18.41"/>
    <n v="1006"/>
    <n v="2"/>
    <n v="1"/>
  </r>
  <r>
    <m/>
    <m/>
    <x v="1"/>
    <s v="46480981001002"/>
    <n v="-6.13"/>
    <n v="358"/>
    <n v="1"/>
    <n v="1"/>
  </r>
  <r>
    <m/>
    <m/>
    <x v="1"/>
    <s v="46504501001001"/>
    <n v="-1.9500000000000002"/>
    <n v="104"/>
    <n v="2"/>
    <n v="1"/>
  </r>
  <r>
    <m/>
    <m/>
    <x v="1"/>
    <s v="46525379001005"/>
    <n v="-8.3699999999999992"/>
    <n v="434"/>
    <n v="2"/>
    <n v="1"/>
  </r>
  <r>
    <m/>
    <m/>
    <x v="1"/>
    <s v="46595026001001"/>
    <n v="-34.880000000000003"/>
    <n v="1986"/>
    <n v="2"/>
    <n v="1"/>
  </r>
  <r>
    <m/>
    <m/>
    <x v="1"/>
    <s v="46613701001001"/>
    <n v="-16.309999999999999"/>
    <n v="874"/>
    <n v="2"/>
    <n v="1"/>
  </r>
  <r>
    <m/>
    <m/>
    <x v="1"/>
    <s v="46663679001002"/>
    <n v="-17.329999999999998"/>
    <n v="898"/>
    <n v="2"/>
    <n v="1"/>
  </r>
  <r>
    <m/>
    <m/>
    <x v="1"/>
    <s v="46689301001005"/>
    <n v="-11.43"/>
    <n v="589"/>
    <n v="2"/>
    <n v="1"/>
  </r>
  <r>
    <m/>
    <m/>
    <x v="1"/>
    <s v="46747261004011"/>
    <n v="-0.13999999999999999"/>
    <n v="7"/>
    <n v="2"/>
    <n v="1"/>
  </r>
  <r>
    <m/>
    <m/>
    <x v="1"/>
    <s v="46767211003001"/>
    <n v="-5.0999999999999996"/>
    <n v="262"/>
    <n v="2"/>
    <n v="1"/>
  </r>
  <r>
    <m/>
    <m/>
    <x v="1"/>
    <s v="46786251002001"/>
    <n v="-15.68"/>
    <n v="857"/>
    <n v="2"/>
    <n v="1"/>
  </r>
  <r>
    <m/>
    <m/>
    <x v="1"/>
    <s v="46794861003003"/>
    <n v="-1.47"/>
    <n v="86"/>
    <n v="1"/>
    <n v="1"/>
  </r>
  <r>
    <m/>
    <m/>
    <x v="1"/>
    <s v="46806971002001"/>
    <n v="-21.88"/>
    <n v="1279"/>
    <n v="1"/>
    <n v="1"/>
  </r>
  <r>
    <m/>
    <m/>
    <x v="1"/>
    <s v="46824191001001"/>
    <n v="-31.52"/>
    <n v="1842"/>
    <n v="1"/>
    <n v="1"/>
  </r>
  <r>
    <m/>
    <m/>
    <x v="1"/>
    <s v="46836751001001"/>
    <n v="-11.63"/>
    <n v="597"/>
    <n v="2"/>
    <n v="1"/>
  </r>
  <r>
    <m/>
    <m/>
    <x v="1"/>
    <s v="46841272001001"/>
    <n v="-7.23"/>
    <n v="371"/>
    <n v="2"/>
    <n v="1"/>
  </r>
  <r>
    <m/>
    <m/>
    <x v="1"/>
    <s v="46866051008003"/>
    <n v="-8.44"/>
    <n v="461"/>
    <n v="2"/>
    <n v="1"/>
  </r>
  <r>
    <m/>
    <m/>
    <x v="1"/>
    <s v="46866331001002"/>
    <n v="-15.32"/>
    <n v="786"/>
    <n v="2"/>
    <n v="1"/>
  </r>
  <r>
    <m/>
    <m/>
    <x v="1"/>
    <s v="46866401001007"/>
    <n v="-41.099999999999994"/>
    <n v="2109"/>
    <n v="2"/>
    <n v="1"/>
  </r>
  <r>
    <m/>
    <m/>
    <x v="1"/>
    <s v="46866681001004"/>
    <n v="-37.61"/>
    <n v="2152"/>
    <n v="2"/>
    <n v="1"/>
  </r>
  <r>
    <m/>
    <m/>
    <x v="1"/>
    <s v="46905092001001"/>
    <n v="-22.61"/>
    <n v="1166"/>
    <n v="2"/>
    <n v="1"/>
  </r>
  <r>
    <m/>
    <m/>
    <x v="1"/>
    <s v="46933740002001"/>
    <n v="-0.94"/>
    <n v="55"/>
    <n v="1"/>
    <n v="1"/>
  </r>
  <r>
    <m/>
    <m/>
    <x v="1"/>
    <s v="46951731001001"/>
    <n v="-0.4"/>
    <n v="22"/>
    <n v="2"/>
    <n v="1"/>
  </r>
  <r>
    <m/>
    <m/>
    <x v="1"/>
    <s v="47140101001006"/>
    <n v="-13.02"/>
    <n v="761"/>
    <n v="1"/>
    <n v="1"/>
  </r>
  <r>
    <m/>
    <m/>
    <x v="1"/>
    <s v="47162081002004"/>
    <n v="-8.3699999999999992"/>
    <n v="489"/>
    <n v="1"/>
    <n v="1"/>
  </r>
  <r>
    <m/>
    <m/>
    <x v="1"/>
    <s v="47176711002001"/>
    <n v="-12.13"/>
    <n v="709"/>
    <n v="1"/>
    <n v="1"/>
  </r>
  <r>
    <m/>
    <m/>
    <x v="1"/>
    <s v="47180631003001"/>
    <n v="-10.34"/>
    <n v="592"/>
    <n v="2"/>
    <n v="1"/>
  </r>
  <r>
    <m/>
    <m/>
    <x v="1"/>
    <s v="47208771001002"/>
    <n v="-18.440000000000001"/>
    <n v="1078"/>
    <n v="1"/>
    <n v="1"/>
  </r>
  <r>
    <m/>
    <m/>
    <x v="1"/>
    <s v="47222141001002"/>
    <n v="-0.79999999999999993"/>
    <n v="41"/>
    <n v="2"/>
    <n v="1"/>
  </r>
  <r>
    <m/>
    <m/>
    <x v="1"/>
    <s v="47244331002001"/>
    <n v="-21.240000000000002"/>
    <n v="1204"/>
    <n v="2"/>
    <n v="1"/>
  </r>
  <r>
    <m/>
    <m/>
    <x v="1"/>
    <s v="47282621001001"/>
    <n v="-10.02"/>
    <n v="553"/>
    <n v="2"/>
    <n v="1"/>
  </r>
  <r>
    <m/>
    <m/>
    <x v="1"/>
    <s v="47302081008001"/>
    <n v="-43.65"/>
    <n v="2240"/>
    <n v="2"/>
    <n v="1"/>
  </r>
  <r>
    <m/>
    <m/>
    <x v="1"/>
    <s v="47309711002003"/>
    <n v="-22.09"/>
    <n v="1291"/>
    <n v="1"/>
    <n v="1"/>
  </r>
  <r>
    <m/>
    <m/>
    <x v="1"/>
    <s v="47323011001001"/>
    <n v="-14.260000000000002"/>
    <n v="816"/>
    <n v="2"/>
    <n v="1"/>
  </r>
  <r>
    <m/>
    <m/>
    <x v="1"/>
    <s v="47328821001007"/>
    <n v="-9.8000000000000007"/>
    <n v="536"/>
    <n v="2"/>
    <n v="1"/>
  </r>
  <r>
    <m/>
    <m/>
    <x v="1"/>
    <s v="47345831001004"/>
    <n v="-8.98"/>
    <n v="514"/>
    <n v="2"/>
    <n v="1"/>
  </r>
  <r>
    <m/>
    <m/>
    <x v="1"/>
    <s v="47372921003003"/>
    <n v="-7.22"/>
    <n v="413"/>
    <n v="2"/>
    <n v="1"/>
  </r>
  <r>
    <m/>
    <m/>
    <x v="1"/>
    <s v="47379221001002"/>
    <n v="-16.97"/>
    <n v="971"/>
    <n v="2"/>
    <n v="1"/>
  </r>
  <r>
    <m/>
    <m/>
    <x v="1"/>
    <s v="47382161001005"/>
    <n v="-16.670000000000002"/>
    <n v="911"/>
    <n v="2"/>
    <n v="1"/>
  </r>
  <r>
    <m/>
    <m/>
    <x v="1"/>
    <s v="47385661002002"/>
    <n v="-6.38"/>
    <n v="340"/>
    <n v="2"/>
    <n v="1"/>
  </r>
  <r>
    <m/>
    <m/>
    <x v="1"/>
    <s v="47386711001003"/>
    <n v="-20.05"/>
    <n v="1172"/>
    <n v="1"/>
    <n v="1"/>
  </r>
  <r>
    <m/>
    <m/>
    <x v="1"/>
    <s v="47387061005001"/>
    <n v="-12.75"/>
    <n v="745"/>
    <n v="1"/>
    <n v="1"/>
  </r>
  <r>
    <m/>
    <m/>
    <x v="1"/>
    <s v="47403091001002"/>
    <n v="-18.440000000000001"/>
    <n v="946"/>
    <n v="2"/>
    <n v="1"/>
  </r>
  <r>
    <m/>
    <m/>
    <x v="1"/>
    <s v="47445167002001"/>
    <n v="-11.440000000000001"/>
    <n v="610"/>
    <n v="2"/>
    <n v="1"/>
  </r>
  <r>
    <m/>
    <m/>
    <x v="1"/>
    <s v="47515391001003"/>
    <n v="-5.75"/>
    <n v="336"/>
    <n v="1"/>
    <n v="1"/>
  </r>
  <r>
    <m/>
    <m/>
    <x v="1"/>
    <s v="47526431005001"/>
    <n v="-11.99"/>
    <n v="662"/>
    <n v="2"/>
    <n v="1"/>
  </r>
  <r>
    <m/>
    <m/>
    <x v="1"/>
    <s v="47550301001001"/>
    <n v="-14.27"/>
    <n v="788"/>
    <n v="2"/>
    <n v="1"/>
  </r>
  <r>
    <m/>
    <m/>
    <x v="1"/>
    <s v="47555411002001"/>
    <n v="-20.18"/>
    <n v="1114"/>
    <n v="2"/>
    <n v="1"/>
  </r>
  <r>
    <m/>
    <m/>
    <x v="1"/>
    <s v="47558607001001"/>
    <n v="-21.19"/>
    <n v="1119"/>
    <n v="2"/>
    <n v="1"/>
  </r>
  <r>
    <m/>
    <m/>
    <x v="1"/>
    <s v="47651311002005"/>
    <n v="-5.69"/>
    <n v="302"/>
    <n v="2"/>
    <n v="1"/>
  </r>
  <r>
    <m/>
    <m/>
    <x v="1"/>
    <s v="47675111001001"/>
    <n v="-21.03"/>
    <n v="1149"/>
    <n v="2"/>
    <n v="1"/>
  </r>
  <r>
    <m/>
    <m/>
    <x v="1"/>
    <s v="47755961001002"/>
    <n v="-35.85"/>
    <n v="1959"/>
    <n v="2"/>
    <n v="1"/>
  </r>
  <r>
    <m/>
    <m/>
    <x v="1"/>
    <s v="47836531001002"/>
    <n v="-23.96"/>
    <n v="1316"/>
    <n v="2"/>
    <n v="1"/>
  </r>
  <r>
    <m/>
    <m/>
    <x v="1"/>
    <s v="47849621001003"/>
    <n v="-21.439999999999998"/>
    <n v="1172"/>
    <n v="2"/>
    <n v="1"/>
  </r>
  <r>
    <m/>
    <m/>
    <x v="1"/>
    <s v="47852771008001"/>
    <n v="-12.9"/>
    <n v="662"/>
    <n v="2"/>
    <n v="1"/>
  </r>
  <r>
    <m/>
    <m/>
    <x v="1"/>
    <s v="47876291003003"/>
    <n v="-8.77"/>
    <n v="502"/>
    <n v="2"/>
    <n v="1"/>
  </r>
  <r>
    <m/>
    <m/>
    <x v="1"/>
    <s v="47884691002003"/>
    <n v="-18.72"/>
    <n v="998"/>
    <n v="2"/>
    <n v="1"/>
  </r>
  <r>
    <m/>
    <m/>
    <x v="1"/>
    <s v="47902401001001"/>
    <n v="-15.32"/>
    <n v="841"/>
    <n v="2"/>
    <n v="1"/>
  </r>
  <r>
    <m/>
    <m/>
    <x v="1"/>
    <s v="47907721006005"/>
    <n v="-9.2899999999999991"/>
    <n v="495"/>
    <n v="2"/>
    <n v="1"/>
  </r>
  <r>
    <m/>
    <m/>
    <x v="1"/>
    <s v="47930051002001"/>
    <n v="-5.73"/>
    <n v="313"/>
    <n v="2"/>
    <n v="1"/>
  </r>
  <r>
    <m/>
    <m/>
    <x v="1"/>
    <s v="47944401002002"/>
    <n v="-28.03"/>
    <n v="1555"/>
    <n v="2"/>
    <n v="1"/>
  </r>
  <r>
    <m/>
    <m/>
    <x v="1"/>
    <s v="47950841001006"/>
    <n v="-9.11"/>
    <n v="472"/>
    <n v="2"/>
    <n v="1"/>
  </r>
  <r>
    <m/>
    <m/>
    <x v="1"/>
    <s v="47977511001001"/>
    <n v="-20.770000000000003"/>
    <n v="1135"/>
    <n v="2"/>
    <n v="1"/>
  </r>
  <r>
    <m/>
    <m/>
    <x v="1"/>
    <s v="47982271001004"/>
    <n v="-1.8900000000000001"/>
    <n v="98"/>
    <n v="2"/>
    <n v="1"/>
  </r>
  <r>
    <m/>
    <m/>
    <x v="1"/>
    <s v="48048211001001"/>
    <n v="-11.4"/>
    <n v="626"/>
    <n v="2"/>
    <n v="1"/>
  </r>
  <r>
    <m/>
    <m/>
    <x v="1"/>
    <s v="48055981001001"/>
    <n v="-12.02"/>
    <n v="667"/>
    <n v="2"/>
    <n v="1"/>
  </r>
  <r>
    <m/>
    <m/>
    <x v="1"/>
    <s v="48058431001001"/>
    <n v="-23.32"/>
    <n v="1294"/>
    <n v="2"/>
    <n v="1"/>
  </r>
  <r>
    <m/>
    <m/>
    <x v="1"/>
    <s v="48259891001001"/>
    <n v="-10.46"/>
    <n v="566"/>
    <n v="2"/>
    <n v="1"/>
  </r>
  <r>
    <m/>
    <m/>
    <x v="1"/>
    <s v="48266891004001"/>
    <n v="-15.18"/>
    <n v="809"/>
    <n v="2"/>
    <n v="1"/>
  </r>
  <r>
    <m/>
    <m/>
    <x v="1"/>
    <s v="48438811004001"/>
    <n v="-15.760000000000002"/>
    <n v="902"/>
    <n v="2"/>
    <n v="1"/>
  </r>
  <r>
    <m/>
    <m/>
    <x v="1"/>
    <s v="48445138001003"/>
    <n v="-10.16"/>
    <n v="555"/>
    <n v="2"/>
    <n v="1"/>
  </r>
  <r>
    <m/>
    <m/>
    <x v="1"/>
    <s v="48488730001001"/>
    <n v="-9.24"/>
    <n v="479"/>
    <n v="2"/>
    <n v="1"/>
  </r>
  <r>
    <m/>
    <m/>
    <x v="1"/>
    <s v="48516511001001"/>
    <n v="-21.35"/>
    <n v="1194"/>
    <n v="2"/>
    <n v="1"/>
  </r>
  <r>
    <m/>
    <m/>
    <x v="1"/>
    <s v="48532611001001"/>
    <n v="-23.15"/>
    <n v="1295"/>
    <n v="2"/>
    <n v="1"/>
  </r>
  <r>
    <m/>
    <m/>
    <x v="1"/>
    <s v="48540941003001"/>
    <n v="-16.489999999999998"/>
    <n v="922"/>
    <n v="2"/>
    <n v="1"/>
  </r>
  <r>
    <m/>
    <m/>
    <x v="1"/>
    <s v="48617101001002"/>
    <n v="-22.66"/>
    <n v="1163"/>
    <n v="2"/>
    <n v="1"/>
  </r>
  <r>
    <m/>
    <m/>
    <x v="1"/>
    <s v="48622948001002"/>
    <n v="-15.17"/>
    <n v="838"/>
    <n v="2"/>
    <n v="1"/>
  </r>
  <r>
    <m/>
    <m/>
    <x v="1"/>
    <s v="48661431001005"/>
    <n v="-15.83"/>
    <n v="896"/>
    <n v="2"/>
    <n v="1"/>
  </r>
  <r>
    <m/>
    <m/>
    <x v="1"/>
    <s v="48684021001001"/>
    <n v="-34.33"/>
    <n v="1920"/>
    <n v="2"/>
    <n v="1"/>
  </r>
  <r>
    <m/>
    <m/>
    <x v="1"/>
    <s v="48802881001001"/>
    <n v="-5.13"/>
    <n v="275"/>
    <n v="2"/>
    <n v="1"/>
  </r>
  <r>
    <m/>
    <m/>
    <x v="1"/>
    <s v="48944491003004"/>
    <n v="-18.880000000000003"/>
    <n v="1002"/>
    <n v="2"/>
    <n v="1"/>
  </r>
  <r>
    <m/>
    <m/>
    <x v="1"/>
    <s v="49078891001002"/>
    <n v="-4.1099999999999994"/>
    <n v="228"/>
    <n v="2"/>
    <n v="1"/>
  </r>
  <r>
    <m/>
    <m/>
    <x v="1"/>
    <s v="49187126001001"/>
    <n v="-29.71"/>
    <n v="1640"/>
    <n v="2"/>
    <n v="1"/>
  </r>
  <r>
    <m/>
    <m/>
    <x v="1"/>
    <s v="49254521001002"/>
    <n v="-0.06"/>
    <n v="3"/>
    <n v="1"/>
    <n v="1"/>
  </r>
  <r>
    <m/>
    <m/>
    <x v="1"/>
    <s v="49283851001002"/>
    <n v="-24.26"/>
    <n v="1418"/>
    <n v="1"/>
    <n v="1"/>
  </r>
  <r>
    <m/>
    <m/>
    <x v="1"/>
    <s v="49301721001001"/>
    <n v="-18.810000000000002"/>
    <n v="1033"/>
    <n v="2"/>
    <n v="1"/>
  </r>
  <r>
    <m/>
    <m/>
    <x v="1"/>
    <s v="49365331001001"/>
    <n v="-19.63"/>
    <n v="1012"/>
    <n v="2"/>
    <n v="1"/>
  </r>
  <r>
    <m/>
    <m/>
    <x v="1"/>
    <s v="49393121003003"/>
    <n v="-13.66"/>
    <n v="786"/>
    <n v="2"/>
    <n v="1"/>
  </r>
  <r>
    <m/>
    <m/>
    <x v="1"/>
    <s v="49399211004004"/>
    <n v="-16.98"/>
    <n v="963"/>
    <n v="2"/>
    <n v="1"/>
  </r>
  <r>
    <m/>
    <m/>
    <x v="1"/>
    <s v="49419650001003"/>
    <n v="-16.809999999999999"/>
    <n v="863"/>
    <n v="2"/>
    <n v="1"/>
  </r>
  <r>
    <m/>
    <m/>
    <x v="1"/>
    <s v="49429043003003"/>
    <n v="-20.810000000000002"/>
    <n v="1099"/>
    <n v="2"/>
    <n v="1"/>
  </r>
  <r>
    <m/>
    <m/>
    <x v="1"/>
    <s v="49469981001001"/>
    <n v="-13.86"/>
    <n v="786"/>
    <n v="2"/>
    <n v="1"/>
  </r>
  <r>
    <m/>
    <m/>
    <x v="1"/>
    <s v="49473341001001"/>
    <n v="-16.899999999999999"/>
    <n v="958"/>
    <n v="2"/>
    <n v="1"/>
  </r>
  <r>
    <m/>
    <m/>
    <x v="1"/>
    <s v="49494020001001"/>
    <n v="-28.64"/>
    <n v="1581"/>
    <n v="2"/>
    <n v="1"/>
  </r>
  <r>
    <m/>
    <m/>
    <x v="1"/>
    <s v="49508621001001"/>
    <n v="-13.56"/>
    <n v="768"/>
    <n v="2"/>
    <n v="1"/>
  </r>
  <r>
    <m/>
    <m/>
    <x v="1"/>
    <s v="49557341001001"/>
    <n v="-11.790000000000001"/>
    <n v="605"/>
    <n v="2"/>
    <n v="1"/>
  </r>
  <r>
    <m/>
    <m/>
    <x v="1"/>
    <s v="49565145002005"/>
    <n v="-13.41"/>
    <n v="691"/>
    <n v="2"/>
    <n v="1"/>
  </r>
  <r>
    <m/>
    <m/>
    <x v="1"/>
    <s v="49566231001001"/>
    <n v="-9.7200000000000006"/>
    <n v="499"/>
    <n v="2"/>
    <n v="1"/>
  </r>
  <r>
    <m/>
    <m/>
    <x v="1"/>
    <s v="49570221001004"/>
    <n v="-14.98"/>
    <n v="819"/>
    <n v="2"/>
    <n v="1"/>
  </r>
  <r>
    <m/>
    <m/>
    <x v="1"/>
    <s v="49577991001002"/>
    <n v="-11.129999999999999"/>
    <n v="602"/>
    <n v="2"/>
    <n v="1"/>
  </r>
  <r>
    <m/>
    <m/>
    <x v="1"/>
    <s v="49577991001003"/>
    <n v="-11.49"/>
    <n v="622"/>
    <n v="2"/>
    <n v="1"/>
  </r>
  <r>
    <m/>
    <m/>
    <x v="1"/>
    <s v="49588421001001"/>
    <n v="-4.3600000000000003"/>
    <n v="224"/>
    <n v="2"/>
    <n v="1"/>
  </r>
  <r>
    <m/>
    <m/>
    <x v="1"/>
    <s v="49595561001001"/>
    <n v="-20.130000000000003"/>
    <n v="1033"/>
    <n v="2"/>
    <n v="1"/>
  </r>
  <r>
    <m/>
    <m/>
    <x v="1"/>
    <s v="49606131001005"/>
    <n v="-2.17"/>
    <n v="111"/>
    <n v="2"/>
    <n v="1"/>
  </r>
  <r>
    <m/>
    <m/>
    <x v="1"/>
    <s v="49608381001001"/>
    <n v="-8.82"/>
    <n v="487"/>
    <n v="2"/>
    <n v="1"/>
  </r>
  <r>
    <m/>
    <m/>
    <x v="1"/>
    <s v="49617249001009"/>
    <n v="-15.66"/>
    <n v="896"/>
    <n v="2"/>
    <n v="1"/>
  </r>
  <r>
    <m/>
    <m/>
    <x v="1"/>
    <s v="49617401001005"/>
    <n v="-41.4"/>
    <n v="2274"/>
    <n v="2"/>
    <n v="1"/>
  </r>
  <r>
    <m/>
    <m/>
    <x v="1"/>
    <s v="49629854001004"/>
    <n v="-14.71"/>
    <n v="860"/>
    <n v="1"/>
    <n v="1"/>
  </r>
  <r>
    <m/>
    <m/>
    <x v="1"/>
    <s v="49705321003001"/>
    <n v="-21.42"/>
    <n v="1252"/>
    <n v="1"/>
    <n v="1"/>
  </r>
  <r>
    <m/>
    <m/>
    <x v="1"/>
    <s v="49743471001001"/>
    <n v="-2.25"/>
    <n v="115"/>
    <n v="2"/>
    <n v="1"/>
  </r>
  <r>
    <m/>
    <m/>
    <x v="1"/>
    <s v="49751381001006"/>
    <n v="-13.579999999999998"/>
    <n v="770"/>
    <n v="2"/>
    <n v="1"/>
  </r>
  <r>
    <m/>
    <m/>
    <x v="1"/>
    <s v="49761531001001"/>
    <n v="-15.690000000000001"/>
    <n v="888"/>
    <n v="2"/>
    <n v="1"/>
  </r>
  <r>
    <m/>
    <m/>
    <x v="1"/>
    <s v="49774436001006"/>
    <n v="-4.34"/>
    <n v="224"/>
    <n v="2"/>
    <n v="1"/>
  </r>
  <r>
    <m/>
    <m/>
    <x v="1"/>
    <s v="49809621001003"/>
    <n v="-3.83"/>
    <n v="217"/>
    <n v="2"/>
    <n v="1"/>
  </r>
  <r>
    <m/>
    <m/>
    <x v="1"/>
    <s v="49876031001002"/>
    <n v="-40.78"/>
    <n v="2251"/>
    <n v="2"/>
    <n v="1"/>
  </r>
  <r>
    <m/>
    <m/>
    <x v="1"/>
    <s v="49929881001003"/>
    <n v="-25.889999999999997"/>
    <n v="1335"/>
    <n v="2"/>
    <n v="1"/>
  </r>
  <r>
    <m/>
    <m/>
    <x v="1"/>
    <s v="49930301001001"/>
    <n v="-11.440000000000001"/>
    <n v="610"/>
    <n v="2"/>
    <n v="1"/>
  </r>
  <r>
    <m/>
    <m/>
    <x v="1"/>
    <s v="49950881001002"/>
    <n v="-1.62"/>
    <n v="86"/>
    <n v="2"/>
    <n v="1"/>
  </r>
  <r>
    <m/>
    <m/>
    <x v="1"/>
    <s v="49951931001004"/>
    <n v="-18.809999999999999"/>
    <n v="1008"/>
    <n v="2"/>
    <n v="1"/>
  </r>
  <r>
    <m/>
    <m/>
    <x v="1"/>
    <s v="49975801002002"/>
    <n v="-14.260000000000002"/>
    <n v="732"/>
    <n v="2"/>
    <n v="1"/>
  </r>
  <r>
    <m/>
    <m/>
    <x v="1"/>
    <s v="49994841002002"/>
    <n v="-2.39"/>
    <n v="123"/>
    <n v="2"/>
    <n v="1"/>
  </r>
  <r>
    <m/>
    <m/>
    <x v="1"/>
    <s v="50034391001002"/>
    <n v="-26.91"/>
    <n v="1540"/>
    <n v="2"/>
    <n v="1"/>
  </r>
  <r>
    <m/>
    <m/>
    <x v="1"/>
    <s v="50043981001003"/>
    <n v="-13.959999999999999"/>
    <n v="799"/>
    <n v="2"/>
    <n v="1"/>
  </r>
  <r>
    <m/>
    <m/>
    <x v="1"/>
    <s v="50072891002002"/>
    <n v="-22.06"/>
    <n v="1165"/>
    <n v="2"/>
    <n v="1"/>
  </r>
  <r>
    <m/>
    <m/>
    <x v="1"/>
    <s v="50097461001002"/>
    <n v="-9.5599999999999987"/>
    <n v="510"/>
    <n v="2"/>
    <n v="1"/>
  </r>
  <r>
    <m/>
    <m/>
    <x v="1"/>
    <s v="50159341001001"/>
    <n v="-11.2"/>
    <n v="597"/>
    <n v="2"/>
    <n v="1"/>
  </r>
  <r>
    <m/>
    <m/>
    <x v="1"/>
    <s v="50160321001001"/>
    <n v="-6.42"/>
    <n v="342"/>
    <n v="2"/>
    <n v="1"/>
  </r>
  <r>
    <m/>
    <m/>
    <x v="1"/>
    <s v="50181601002005"/>
    <n v="-7.07"/>
    <n v="363"/>
    <n v="2"/>
    <n v="1"/>
  </r>
  <r>
    <m/>
    <m/>
    <x v="1"/>
    <s v="50185311001007"/>
    <n v="-11.84"/>
    <n v="692"/>
    <n v="1"/>
    <n v="1"/>
  </r>
  <r>
    <m/>
    <m/>
    <x v="1"/>
    <s v="50193571001001"/>
    <n v="-11.93"/>
    <n v="697"/>
    <n v="1"/>
    <n v="1"/>
  </r>
  <r>
    <m/>
    <m/>
    <x v="1"/>
    <s v="50228781001003"/>
    <n v="-16.11"/>
    <n v="859"/>
    <n v="2"/>
    <n v="1"/>
  </r>
  <r>
    <m/>
    <m/>
    <x v="1"/>
    <s v="50266931001001"/>
    <n v="-14.52"/>
    <n v="835"/>
    <n v="2"/>
    <n v="1"/>
  </r>
  <r>
    <m/>
    <m/>
    <x v="1"/>
    <s v="50315231001002"/>
    <n v="-38.57"/>
    <n v="2219"/>
    <n v="2"/>
    <n v="1"/>
  </r>
  <r>
    <m/>
    <m/>
    <x v="1"/>
    <s v="50378091011001"/>
    <n v="-9.5799999999999983"/>
    <n v="551"/>
    <n v="2"/>
    <n v="1"/>
  </r>
  <r>
    <m/>
    <m/>
    <x v="1"/>
    <s v="50402241001002"/>
    <n v="-11.75"/>
    <n v="636"/>
    <n v="2"/>
    <n v="1"/>
  </r>
  <r>
    <m/>
    <m/>
    <x v="1"/>
    <s v="50421211005001"/>
    <n v="-15.14"/>
    <n v="807"/>
    <n v="2"/>
    <n v="1"/>
  </r>
  <r>
    <m/>
    <m/>
    <x v="1"/>
    <s v="50450191002001"/>
    <n v="-19.740000000000002"/>
    <n v="1013"/>
    <n v="2"/>
    <n v="1"/>
  </r>
  <r>
    <m/>
    <m/>
    <x v="1"/>
    <s v="50492401002001"/>
    <n v="-29.029999999999998"/>
    <n v="1680"/>
    <n v="2"/>
    <n v="1"/>
  </r>
  <r>
    <m/>
    <m/>
    <x v="1"/>
    <s v="50499961001001"/>
    <n v="-11.68"/>
    <n v="676"/>
    <n v="2"/>
    <n v="1"/>
  </r>
  <r>
    <m/>
    <m/>
    <x v="1"/>
    <s v="50517716001001"/>
    <n v="-14.53"/>
    <n v="849"/>
    <n v="1"/>
    <n v="1"/>
  </r>
  <r>
    <m/>
    <m/>
    <x v="1"/>
    <s v="50537633001001"/>
    <n v="-34.9"/>
    <n v="1917"/>
    <n v="2"/>
    <n v="1"/>
  </r>
  <r>
    <m/>
    <m/>
    <x v="1"/>
    <s v="50539651002001"/>
    <n v="-22.26"/>
    <n v="1288"/>
    <n v="2"/>
    <n v="1"/>
  </r>
  <r>
    <m/>
    <m/>
    <x v="1"/>
    <s v="50587853001001"/>
    <n v="-2.4300000000000002"/>
    <n v="125"/>
    <n v="2"/>
    <n v="1"/>
  </r>
  <r>
    <m/>
    <m/>
    <x v="1"/>
    <s v="50603564001001"/>
    <n v="-12.2"/>
    <n v="713"/>
    <n v="1"/>
    <n v="1"/>
  </r>
  <r>
    <m/>
    <m/>
    <x v="1"/>
    <s v="50630930001002"/>
    <n v="-14.86"/>
    <n v="821"/>
    <n v="3"/>
    <n v="1"/>
  </r>
  <r>
    <m/>
    <m/>
    <x v="1"/>
    <s v="50652701001002"/>
    <n v="-34.200000000000003"/>
    <n v="1979"/>
    <n v="2"/>
    <n v="1"/>
  </r>
  <r>
    <m/>
    <m/>
    <x v="1"/>
    <s v="50658581001002"/>
    <n v="-41.17"/>
    <n v="2406"/>
    <n v="1"/>
    <n v="1"/>
  </r>
  <r>
    <m/>
    <m/>
    <x v="1"/>
    <s v="50704851001003"/>
    <n v="-13.58"/>
    <n v="786"/>
    <n v="2"/>
    <n v="1"/>
  </r>
  <r>
    <m/>
    <m/>
    <x v="1"/>
    <s v="50727391001001"/>
    <n v="-22.979999999999997"/>
    <n v="1256"/>
    <n v="2"/>
    <n v="1"/>
  </r>
  <r>
    <m/>
    <m/>
    <x v="1"/>
    <s v="50791002001001"/>
    <n v="-2.46"/>
    <n v="144"/>
    <n v="1"/>
    <n v="1"/>
  </r>
  <r>
    <m/>
    <m/>
    <x v="1"/>
    <s v="50831131004004"/>
    <n v="-10.41"/>
    <n v="546"/>
    <n v="2"/>
    <n v="1"/>
  </r>
  <r>
    <m/>
    <m/>
    <x v="1"/>
    <s v="50835751002001"/>
    <n v="-13.129999999999999"/>
    <n v="677"/>
    <n v="2"/>
    <n v="1"/>
  </r>
  <r>
    <m/>
    <m/>
    <x v="1"/>
    <s v="50839041003008"/>
    <n v="-29.52"/>
    <n v="1529"/>
    <n v="2"/>
    <n v="1"/>
  </r>
  <r>
    <m/>
    <m/>
    <x v="1"/>
    <s v="50860461001005"/>
    <n v="-7.5"/>
    <n v="393"/>
    <n v="2"/>
    <n v="1"/>
  </r>
  <r>
    <m/>
    <m/>
    <x v="1"/>
    <s v="50901131002003"/>
    <n v="-13.77"/>
    <n v="734"/>
    <n v="2"/>
    <n v="1"/>
  </r>
  <r>
    <m/>
    <m/>
    <x v="1"/>
    <s v="50903441001001"/>
    <n v="-52.019999999999996"/>
    <n v="2727"/>
    <n v="2"/>
    <n v="1"/>
  </r>
  <r>
    <m/>
    <m/>
    <x v="1"/>
    <s v="50924581001001"/>
    <n v="-24.669999999999998"/>
    <n v="1309"/>
    <n v="2"/>
    <n v="1"/>
  </r>
  <r>
    <m/>
    <m/>
    <x v="1"/>
    <s v="50978201001001"/>
    <n v="-18.03"/>
    <n v="976"/>
    <n v="2"/>
    <n v="1"/>
  </r>
  <r>
    <m/>
    <m/>
    <x v="1"/>
    <s v="50996471001001"/>
    <n v="-14.219999999999999"/>
    <n v="770"/>
    <n v="2"/>
    <n v="1"/>
  </r>
  <r>
    <m/>
    <m/>
    <x v="1"/>
    <s v="51011661001002"/>
    <n v="-9.56"/>
    <n v="547"/>
    <n v="2"/>
    <n v="1"/>
  </r>
  <r>
    <m/>
    <m/>
    <x v="1"/>
    <s v="51040081001001"/>
    <n v="-12.950000000000001"/>
    <n v="668"/>
    <n v="2"/>
    <n v="1"/>
  </r>
  <r>
    <m/>
    <m/>
    <x v="1"/>
    <s v="51086071003003"/>
    <n v="-23.99"/>
    <n v="1243"/>
    <n v="2"/>
    <n v="1"/>
  </r>
  <r>
    <m/>
    <m/>
    <x v="1"/>
    <s v="51088381003003"/>
    <n v="-2.1399999999999997"/>
    <n v="112"/>
    <n v="2"/>
    <n v="1"/>
  </r>
  <r>
    <m/>
    <m/>
    <x v="1"/>
    <s v="51094401003001"/>
    <n v="-5.32"/>
    <n v="273"/>
    <n v="2"/>
    <n v="1"/>
  </r>
  <r>
    <m/>
    <m/>
    <x v="1"/>
    <s v="51094611001002"/>
    <n v="-3.24"/>
    <n v="167"/>
    <n v="2"/>
    <n v="1"/>
  </r>
  <r>
    <m/>
    <m/>
    <x v="1"/>
    <s v="51099441002001"/>
    <n v="-7.35"/>
    <n v="381"/>
    <n v="2"/>
    <n v="1"/>
  </r>
  <r>
    <m/>
    <m/>
    <x v="1"/>
    <s v="51136541001001"/>
    <n v="-16.149999999999999"/>
    <n v="829"/>
    <n v="2"/>
    <n v="1"/>
  </r>
  <r>
    <m/>
    <m/>
    <x v="1"/>
    <s v="51150051001001"/>
    <n v="-18.16"/>
    <n v="941"/>
    <n v="2"/>
    <n v="1"/>
  </r>
  <r>
    <m/>
    <m/>
    <x v="1"/>
    <s v="51151101001003"/>
    <n v="-20.350000000000001"/>
    <n v="1080"/>
    <n v="2"/>
    <n v="1"/>
  </r>
  <r>
    <m/>
    <m/>
    <x v="1"/>
    <s v="51159431001001"/>
    <n v="-37.43"/>
    <n v="1939"/>
    <n v="2"/>
    <n v="1"/>
  </r>
  <r>
    <m/>
    <m/>
    <x v="1"/>
    <s v="51159641001002"/>
    <n v="-2.2799999999999998"/>
    <n v="118"/>
    <n v="2"/>
    <n v="1"/>
  </r>
  <r>
    <m/>
    <m/>
    <x v="1"/>
    <s v="51163071001001"/>
    <n v="-8.68"/>
    <n v="450"/>
    <n v="2"/>
    <n v="1"/>
  </r>
  <r>
    <m/>
    <m/>
    <x v="1"/>
    <s v="51168881002007"/>
    <n v="-0.08"/>
    <n v="4"/>
    <n v="1"/>
    <n v="1"/>
  </r>
  <r>
    <m/>
    <m/>
    <x v="1"/>
    <s v="51193241002001"/>
    <n v="-24.14"/>
    <n v="1239"/>
    <n v="2"/>
    <n v="1"/>
  </r>
  <r>
    <m/>
    <m/>
    <x v="1"/>
    <s v="51206961001001"/>
    <n v="-7.87"/>
    <n v="408"/>
    <n v="2"/>
    <n v="1"/>
  </r>
  <r>
    <m/>
    <m/>
    <x v="1"/>
    <s v="51210671002001"/>
    <n v="-12.43"/>
    <n v="666"/>
    <n v="2"/>
    <n v="1"/>
  </r>
  <r>
    <m/>
    <m/>
    <x v="1"/>
    <s v="51219771005001"/>
    <n v="-6.83"/>
    <n v="354"/>
    <n v="2"/>
    <n v="1"/>
  </r>
  <r>
    <m/>
    <m/>
    <x v="1"/>
    <s v="51315674001002"/>
    <n v="-10.89"/>
    <n v="604"/>
    <n v="2"/>
    <n v="1"/>
  </r>
  <r>
    <m/>
    <m/>
    <x v="1"/>
    <s v="51386861002001"/>
    <n v="-15.42"/>
    <n v="887"/>
    <n v="2"/>
    <n v="1"/>
  </r>
  <r>
    <m/>
    <m/>
    <x v="1"/>
    <s v="51441601002001"/>
    <n v="-33.700000000000003"/>
    <n v="1908"/>
    <n v="2"/>
    <n v="1"/>
  </r>
  <r>
    <m/>
    <m/>
    <x v="1"/>
    <s v="51505861001001"/>
    <n v="-16.11"/>
    <n v="901"/>
    <n v="2"/>
    <n v="1"/>
  </r>
  <r>
    <m/>
    <m/>
    <x v="1"/>
    <s v="51550311003001"/>
    <n v="-20.299999999999997"/>
    <n v="1082"/>
    <n v="2"/>
    <n v="1"/>
  </r>
  <r>
    <m/>
    <m/>
    <x v="1"/>
    <s v="51568021003007"/>
    <n v="-7.7200000000000006"/>
    <n v="422"/>
    <n v="2"/>
    <n v="1"/>
  </r>
  <r>
    <m/>
    <m/>
    <x v="1"/>
    <s v="51593501001001"/>
    <n v="-15.85"/>
    <n v="858"/>
    <n v="2"/>
    <n v="1"/>
  </r>
  <r>
    <m/>
    <m/>
    <x v="1"/>
    <s v="51596301001003"/>
    <n v="-6.6499999999999995"/>
    <n v="343"/>
    <n v="2"/>
    <n v="1"/>
  </r>
  <r>
    <m/>
    <m/>
    <x v="1"/>
    <s v="51603721001003"/>
    <n v="-24.96"/>
    <n v="1351"/>
    <n v="2"/>
    <n v="1"/>
  </r>
  <r>
    <m/>
    <m/>
    <x v="1"/>
    <s v="51607711002002"/>
    <n v="-9.84"/>
    <n v="538"/>
    <n v="2"/>
    <n v="1"/>
  </r>
  <r>
    <m/>
    <m/>
    <x v="1"/>
    <s v="51609951002002"/>
    <n v="-17.34"/>
    <n v="952"/>
    <n v="2"/>
    <n v="1"/>
  </r>
  <r>
    <m/>
    <m/>
    <x v="1"/>
    <s v="51614221001001"/>
    <n v="-31.22"/>
    <n v="1706"/>
    <n v="2"/>
    <n v="1"/>
  </r>
  <r>
    <m/>
    <m/>
    <x v="1"/>
    <s v="51615621001002"/>
    <n v="-14.600000000000001"/>
    <n v="798"/>
    <n v="2"/>
    <n v="1"/>
  </r>
  <r>
    <m/>
    <m/>
    <x v="1"/>
    <s v="51635221006001"/>
    <n v="-48.59"/>
    <n v="2630"/>
    <n v="2"/>
    <n v="1"/>
  </r>
  <r>
    <m/>
    <m/>
    <x v="1"/>
    <s v="51655896001002"/>
    <n v="-7.2999999999999989"/>
    <n v="401"/>
    <n v="2"/>
    <n v="1"/>
  </r>
  <r>
    <m/>
    <m/>
    <x v="1"/>
    <s v="51696711001001"/>
    <n v="-18.46"/>
    <n v="979"/>
    <n v="2"/>
    <n v="1"/>
  </r>
  <r>
    <m/>
    <m/>
    <x v="1"/>
    <s v="51710411001001"/>
    <n v="-29.43"/>
    <n v="1608"/>
    <n v="2"/>
    <n v="1"/>
  </r>
  <r>
    <m/>
    <m/>
    <x v="1"/>
    <s v="51943401001002"/>
    <n v="-14.370000000000001"/>
    <n v="759"/>
    <n v="2"/>
    <n v="1"/>
  </r>
  <r>
    <m/>
    <m/>
    <x v="1"/>
    <s v="51961148002001"/>
    <n v="-17.649999999999999"/>
    <n v="1010"/>
    <n v="2"/>
    <n v="1"/>
  </r>
  <r>
    <m/>
    <m/>
    <x v="1"/>
    <s v="52179797002001"/>
    <n v="-46.6"/>
    <n v="2606"/>
    <n v="2"/>
    <n v="1"/>
  </r>
  <r>
    <m/>
    <m/>
    <x v="1"/>
    <s v="52231893001002"/>
    <n v="-5.52"/>
    <n v="283"/>
    <n v="2"/>
    <n v="1"/>
  </r>
  <r>
    <m/>
    <m/>
    <x v="1"/>
    <s v="52507741001001"/>
    <n v="-28.87"/>
    <n v="1644"/>
    <n v="2"/>
    <n v="1"/>
  </r>
  <r>
    <m/>
    <m/>
    <x v="1"/>
    <s v="52743980001001"/>
    <n v="-11.129999999999999"/>
    <n v="602"/>
    <n v="2"/>
    <n v="1"/>
  </r>
  <r>
    <m/>
    <m/>
    <x v="1"/>
    <s v="52773305001001"/>
    <n v="-9.9"/>
    <n v="508"/>
    <n v="2"/>
    <n v="1"/>
  </r>
  <r>
    <m/>
    <m/>
    <x v="1"/>
    <s v="52839681001001"/>
    <n v="-24.130000000000003"/>
    <n v="1396"/>
    <n v="2"/>
    <n v="1"/>
  </r>
  <r>
    <m/>
    <m/>
    <x v="1"/>
    <s v="52989782005001"/>
    <n v="-19.61"/>
    <n v="1011"/>
    <n v="2"/>
    <n v="1"/>
  </r>
  <r>
    <m/>
    <m/>
    <x v="1"/>
    <s v="53096079004003"/>
    <n v="-12.06"/>
    <n v="659"/>
    <n v="2"/>
    <n v="1"/>
  </r>
  <r>
    <m/>
    <m/>
    <x v="1"/>
    <s v="53444975001003"/>
    <n v="-33.58"/>
    <n v="1835"/>
    <n v="2"/>
    <n v="1"/>
  </r>
  <r>
    <m/>
    <m/>
    <x v="1"/>
    <s v="53498836001001"/>
    <n v="-14.34"/>
    <n v="736"/>
    <n v="2"/>
    <n v="1"/>
  </r>
  <r>
    <m/>
    <m/>
    <x v="1"/>
    <s v="53854476001004"/>
    <n v="-20.66"/>
    <n v="1129"/>
    <n v="2"/>
    <n v="1"/>
  </r>
  <r>
    <m/>
    <m/>
    <x v="1"/>
    <s v="53931640001001"/>
    <n v="-33.14"/>
    <n v="1937"/>
    <n v="1"/>
    <n v="1"/>
  </r>
  <r>
    <m/>
    <m/>
    <x v="1"/>
    <s v="54028064001002"/>
    <n v="-20.13"/>
    <n v="1141"/>
    <n v="2"/>
    <n v="1"/>
  </r>
  <r>
    <m/>
    <m/>
    <x v="1"/>
    <s v="54088357001001"/>
    <n v="-13.92"/>
    <n v="753"/>
    <n v="2"/>
    <n v="1"/>
  </r>
  <r>
    <m/>
    <m/>
    <x v="1"/>
    <s v="54213868001001"/>
    <n v="-38.790000000000006"/>
    <n v="1991"/>
    <n v="2"/>
    <n v="1"/>
  </r>
  <r>
    <m/>
    <m/>
    <x v="1"/>
    <s v="54338530001001"/>
    <n v="-23.400000000000002"/>
    <n v="1201"/>
    <n v="2"/>
    <n v="1"/>
  </r>
  <r>
    <m/>
    <m/>
    <x v="1"/>
    <s v="54362749001005"/>
    <n v="-12.04"/>
    <n v="621"/>
    <n v="2"/>
    <n v="1"/>
  </r>
  <r>
    <m/>
    <m/>
    <x v="1"/>
    <s v="54867100001005"/>
    <n v="-14.2"/>
    <n v="804"/>
    <n v="2"/>
    <n v="1"/>
  </r>
  <r>
    <m/>
    <m/>
    <x v="1"/>
    <s v="55096000001001"/>
    <n v="-11.53"/>
    <n v="612"/>
    <n v="2"/>
    <n v="1"/>
  </r>
  <r>
    <m/>
    <m/>
    <x v="1"/>
    <s v="55208319002001"/>
    <n v="-22.7"/>
    <n v="1176"/>
    <n v="2"/>
    <n v="1"/>
  </r>
  <r>
    <m/>
    <m/>
    <x v="1"/>
    <s v="55654237001001"/>
    <n v="-11.07"/>
    <n v="627"/>
    <n v="2"/>
    <n v="1"/>
  </r>
  <r>
    <m/>
    <m/>
    <x v="1"/>
    <s v="55780956001003"/>
    <n v="-6.9799999999999995"/>
    <n v="387"/>
    <n v="2"/>
    <n v="1"/>
  </r>
  <r>
    <m/>
    <m/>
    <x v="1"/>
    <s v="55782975001001"/>
    <n v="-8.6999999999999993"/>
    <n v="500"/>
    <n v="2"/>
    <n v="1"/>
  </r>
  <r>
    <m/>
    <m/>
    <x v="1"/>
    <s v="55905100001001"/>
    <n v="-16.989999999999998"/>
    <n v="993"/>
    <n v="1"/>
    <n v="1"/>
  </r>
  <r>
    <m/>
    <m/>
    <x v="1"/>
    <s v="55999268001005"/>
    <n v="-10.89"/>
    <n v="559"/>
    <n v="2"/>
    <n v="1"/>
  </r>
  <r>
    <m/>
    <m/>
    <x v="1"/>
    <s v="56315778001004"/>
    <n v="-30.75"/>
    <n v="1797"/>
    <n v="1"/>
    <n v="1"/>
  </r>
  <r>
    <m/>
    <m/>
    <x v="1"/>
    <s v="56776164001008"/>
    <n v="-10.870000000000001"/>
    <n v="558"/>
    <n v="2"/>
    <n v="1"/>
  </r>
  <r>
    <m/>
    <m/>
    <x v="1"/>
    <s v="56847828001005"/>
    <n v="-5.46"/>
    <n v="280"/>
    <n v="2"/>
    <n v="1"/>
  </r>
  <r>
    <m/>
    <m/>
    <x v="1"/>
    <s v="57144962001002"/>
    <n v="-8.5100000000000016"/>
    <n v="465"/>
    <n v="2"/>
    <n v="1"/>
  </r>
  <r>
    <m/>
    <m/>
    <x v="1"/>
    <s v="57165863001001"/>
    <n v="-25.39"/>
    <n v="1374"/>
    <n v="2"/>
    <n v="1"/>
  </r>
  <r>
    <m/>
    <m/>
    <x v="1"/>
    <s v="57271203001001"/>
    <n v="-9"/>
    <n v="497"/>
    <n v="2"/>
    <n v="1"/>
  </r>
  <r>
    <m/>
    <m/>
    <x v="1"/>
    <s v="57690835002001"/>
    <n v="-13.350000000000001"/>
    <n v="692"/>
    <n v="2"/>
    <n v="1"/>
  </r>
  <r>
    <m/>
    <m/>
    <x v="1"/>
    <s v="57834181001001"/>
    <n v="-12.989999999999998"/>
    <n v="689"/>
    <n v="2"/>
    <n v="1"/>
  </r>
  <r>
    <m/>
    <m/>
    <x v="1"/>
    <s v="58010908001002"/>
    <n v="-31.31"/>
    <n v="1812"/>
    <n v="2"/>
    <n v="1"/>
  </r>
  <r>
    <m/>
    <m/>
    <x v="1"/>
    <s v="58133349001003"/>
    <n v="-7.92"/>
    <n v="453"/>
    <n v="2"/>
    <n v="1"/>
  </r>
  <r>
    <m/>
    <m/>
    <x v="1"/>
    <s v="58619499001001"/>
    <n v="-28.38"/>
    <n v="1624"/>
    <n v="2"/>
    <n v="1"/>
  </r>
  <r>
    <m/>
    <m/>
    <x v="1"/>
    <s v="58912861001009"/>
    <n v="-7.68"/>
    <n v="449"/>
    <n v="1"/>
    <n v="1"/>
  </r>
  <r>
    <m/>
    <m/>
    <x v="1"/>
    <s v="58959510002004"/>
    <n v="-14.629999999999999"/>
    <n v="812"/>
    <n v="2"/>
    <n v="1"/>
  </r>
  <r>
    <m/>
    <m/>
    <x v="1"/>
    <s v="59268197006001"/>
    <n v="-48.86"/>
    <n v="2531"/>
    <n v="2"/>
    <n v="1"/>
  </r>
  <r>
    <m/>
    <m/>
    <x v="1"/>
    <s v="59498637001004"/>
    <n v="-18.62"/>
    <n v="1066"/>
    <n v="2"/>
    <n v="1"/>
  </r>
  <r>
    <m/>
    <m/>
    <x v="1"/>
    <s v="59549396001001"/>
    <n v="-4.84"/>
    <n v="266"/>
    <n v="2"/>
    <n v="1"/>
  </r>
  <r>
    <m/>
    <m/>
    <x v="1"/>
    <s v="59804283001007"/>
    <n v="-16.97"/>
    <n v="967"/>
    <n v="2"/>
    <n v="1"/>
  </r>
  <r>
    <m/>
    <m/>
    <x v="1"/>
    <s v="60058247006001"/>
    <n v="-7.01"/>
    <n v="374"/>
    <n v="2"/>
    <n v="1"/>
  </r>
  <r>
    <m/>
    <m/>
    <x v="1"/>
    <s v="60682907001001"/>
    <n v="-22.19"/>
    <n v="1139"/>
    <n v="2"/>
    <n v="1"/>
  </r>
  <r>
    <m/>
    <m/>
    <x v="1"/>
    <s v="60891092001002"/>
    <n v="-20.87"/>
    <n v="1220"/>
    <n v="1"/>
    <n v="1"/>
  </r>
  <r>
    <m/>
    <m/>
    <x v="1"/>
    <s v="60944617001001"/>
    <n v="-30.16"/>
    <n v="1581"/>
    <n v="2"/>
    <n v="1"/>
  </r>
  <r>
    <m/>
    <m/>
    <x v="1"/>
    <s v="61431302001001"/>
    <n v="-7.5"/>
    <n v="406"/>
    <n v="2"/>
    <n v="1"/>
  </r>
  <r>
    <m/>
    <m/>
    <x v="1"/>
    <s v="61432189003001"/>
    <n v="-4.6500000000000004"/>
    <n v="266"/>
    <n v="2"/>
    <n v="1"/>
  </r>
  <r>
    <m/>
    <m/>
    <x v="1"/>
    <s v="61618913001001"/>
    <n v="-13.59"/>
    <n v="704"/>
    <n v="2"/>
    <n v="1"/>
  </r>
  <r>
    <m/>
    <m/>
    <x v="1"/>
    <s v="61677240001009"/>
    <n v="-30.189999999999998"/>
    <n v="1634"/>
    <n v="2"/>
    <n v="1"/>
  </r>
  <r>
    <m/>
    <m/>
    <x v="1"/>
    <s v="62003086001001"/>
    <n v="-12.690000000000001"/>
    <n v="726"/>
    <n v="2"/>
    <n v="1"/>
  </r>
  <r>
    <m/>
    <m/>
    <x v="1"/>
    <s v="62112959003001"/>
    <n v="-17.48"/>
    <n v="955"/>
    <n v="2"/>
    <n v="1"/>
  </r>
  <r>
    <m/>
    <m/>
    <x v="1"/>
    <s v="62125470001002"/>
    <n v="-13.9"/>
    <n v="713"/>
    <n v="2"/>
    <n v="1"/>
  </r>
  <r>
    <m/>
    <m/>
    <x v="1"/>
    <s v="62139312001006"/>
    <n v="-12.370000000000001"/>
    <n v="676"/>
    <n v="2"/>
    <n v="1"/>
  </r>
  <r>
    <m/>
    <m/>
    <x v="1"/>
    <s v="62235479001001"/>
    <n v="-9.2900000000000009"/>
    <n v="529"/>
    <n v="2"/>
    <n v="1"/>
  </r>
  <r>
    <m/>
    <m/>
    <x v="1"/>
    <s v="62334129001003"/>
    <n v="-19.7"/>
    <n v="1066"/>
    <n v="2"/>
    <n v="1"/>
  </r>
  <r>
    <m/>
    <m/>
    <x v="1"/>
    <s v="62495514001001"/>
    <n v="-13.84"/>
    <n v="809"/>
    <n v="1"/>
    <n v="1"/>
  </r>
  <r>
    <m/>
    <m/>
    <x v="1"/>
    <s v="62798684001003"/>
    <n v="-5.15"/>
    <n v="301"/>
    <n v="1"/>
    <n v="1"/>
  </r>
  <r>
    <m/>
    <m/>
    <x v="1"/>
    <s v="62826325002002"/>
    <n v="-14.870000000000001"/>
    <n v="813"/>
    <n v="2"/>
    <n v="1"/>
  </r>
  <r>
    <m/>
    <m/>
    <x v="1"/>
    <s v="62852130001002"/>
    <n v="-0.92999999999999994"/>
    <n v="53"/>
    <n v="2"/>
    <n v="1"/>
  </r>
  <r>
    <m/>
    <m/>
    <x v="1"/>
    <s v="62941252001003"/>
    <n v="-25.39"/>
    <n v="1420"/>
    <n v="2"/>
    <n v="1"/>
  </r>
  <r>
    <m/>
    <m/>
    <x v="1"/>
    <s v="63101970001001"/>
    <n v="-3.84"/>
    <n v="220"/>
    <n v="2"/>
    <n v="1"/>
  </r>
  <r>
    <m/>
    <m/>
    <x v="1"/>
    <s v="63189646005005"/>
    <n v="-10.68"/>
    <n v="608"/>
    <n v="2"/>
    <n v="1"/>
  </r>
  <r>
    <m/>
    <m/>
    <x v="1"/>
    <s v="63462936001004"/>
    <n v="-15.010000000000002"/>
    <n v="804"/>
    <n v="2"/>
    <n v="1"/>
  </r>
  <r>
    <m/>
    <m/>
    <x v="1"/>
    <s v="63473427001003"/>
    <n v="-20.16"/>
    <n v="1102"/>
    <n v="2"/>
    <n v="1"/>
  </r>
  <r>
    <m/>
    <m/>
    <x v="1"/>
    <s v="63681093001001"/>
    <n v="-21.12"/>
    <n v="1126"/>
    <n v="2"/>
    <n v="1"/>
  </r>
  <r>
    <m/>
    <m/>
    <x v="1"/>
    <s v="64727466001005"/>
    <n v="-22.380000000000003"/>
    <n v="1223"/>
    <n v="2"/>
    <n v="1"/>
  </r>
  <r>
    <m/>
    <m/>
    <x v="1"/>
    <s v="64729708001001"/>
    <n v="-4.68"/>
    <n v="262"/>
    <n v="2"/>
    <n v="1"/>
  </r>
  <r>
    <m/>
    <m/>
    <x v="1"/>
    <s v="65349971001003"/>
    <n v="-15.34"/>
    <n v="804"/>
    <n v="2"/>
    <n v="1"/>
  </r>
  <r>
    <m/>
    <m/>
    <x v="1"/>
    <s v="65497555001001"/>
    <n v="-13.02"/>
    <n v="712"/>
    <n v="2"/>
    <n v="1"/>
  </r>
  <r>
    <m/>
    <m/>
    <x v="1"/>
    <s v="66083905003003"/>
    <n v="-7.0900000000000007"/>
    <n v="364"/>
    <n v="2"/>
    <n v="1"/>
  </r>
  <r>
    <m/>
    <m/>
    <x v="1"/>
    <s v="66293697001004"/>
    <n v="-25.22"/>
    <n v="1428"/>
    <n v="2"/>
    <n v="1"/>
  </r>
  <r>
    <m/>
    <m/>
    <x v="1"/>
    <s v="67090070001001"/>
    <n v="-12.15"/>
    <n v="651"/>
    <n v="2"/>
    <n v="1"/>
  </r>
  <r>
    <m/>
    <m/>
    <x v="1"/>
    <s v="67118226001001"/>
    <n v="-2.21"/>
    <n v="126"/>
    <n v="2"/>
    <n v="1"/>
  </r>
  <r>
    <m/>
    <m/>
    <x v="1"/>
    <s v="67456537001003"/>
    <n v="-12.41"/>
    <n v="682"/>
    <n v="2"/>
    <n v="1"/>
  </r>
  <r>
    <m/>
    <m/>
    <x v="1"/>
    <s v="67565406001001"/>
    <n v="-18.88"/>
    <n v="1069"/>
    <n v="2"/>
    <n v="1"/>
  </r>
  <r>
    <m/>
    <m/>
    <x v="1"/>
    <s v="67580955001002"/>
    <n v="-8.82"/>
    <n v="457"/>
    <n v="2"/>
    <n v="1"/>
  </r>
  <r>
    <m/>
    <m/>
    <x v="1"/>
    <s v="67993777004001"/>
    <n v="-46.43"/>
    <n v="2687"/>
    <n v="2"/>
    <n v="1"/>
  </r>
  <r>
    <m/>
    <m/>
    <x v="1"/>
    <s v="68002987001001"/>
    <n v="-1.8199999999999998"/>
    <n v="100"/>
    <n v="2"/>
    <n v="1"/>
  </r>
  <r>
    <m/>
    <m/>
    <x v="1"/>
    <s v="68146157001004"/>
    <n v="-7.43"/>
    <n v="406"/>
    <n v="2"/>
    <n v="1"/>
  </r>
  <r>
    <m/>
    <m/>
    <x v="1"/>
    <s v="68156471001004"/>
    <n v="-9.1999999999999993"/>
    <n v="498"/>
    <n v="2"/>
    <n v="1"/>
  </r>
  <r>
    <m/>
    <m/>
    <x v="1"/>
    <s v="68186045001001"/>
    <n v="-11.49"/>
    <n v="622"/>
    <n v="2"/>
    <n v="1"/>
  </r>
  <r>
    <m/>
    <m/>
    <x v="1"/>
    <s v="68461671002003"/>
    <n v="-16.16"/>
    <n v="862"/>
    <n v="2"/>
    <n v="1"/>
  </r>
  <r>
    <m/>
    <m/>
    <x v="1"/>
    <s v="68565772001001"/>
    <n v="-7.65"/>
    <n v="420"/>
    <n v="2"/>
    <n v="1"/>
  </r>
  <r>
    <m/>
    <m/>
    <x v="1"/>
    <s v="69567080001004"/>
    <n v="-6.6899999999999995"/>
    <n v="345"/>
    <n v="2"/>
    <n v="1"/>
  </r>
  <r>
    <m/>
    <m/>
    <x v="1"/>
    <s v="69589294001001"/>
    <n v="-5.2299999999999995"/>
    <n v="271"/>
    <n v="2"/>
    <n v="1"/>
  </r>
  <r>
    <m/>
    <m/>
    <x v="1"/>
    <s v="70119713001003"/>
    <n v="-11.5"/>
    <n v="638"/>
    <n v="2"/>
    <n v="1"/>
  </r>
  <r>
    <m/>
    <m/>
    <x v="1"/>
    <s v="70262426002001"/>
    <n v="-8.86"/>
    <n v="518"/>
    <n v="1"/>
    <n v="1"/>
  </r>
  <r>
    <m/>
    <m/>
    <x v="1"/>
    <s v="70262974001001"/>
    <n v="-7.33"/>
    <n v="405"/>
    <n v="2"/>
    <n v="1"/>
  </r>
  <r>
    <m/>
    <m/>
    <x v="1"/>
    <s v="70498831001001"/>
    <n v="-14.26"/>
    <n v="760"/>
    <n v="2"/>
    <n v="1"/>
  </r>
  <r>
    <m/>
    <m/>
    <x v="1"/>
    <s v="70529428001001"/>
    <n v="-18.600000000000001"/>
    <n v="1087"/>
    <n v="1"/>
    <n v="1"/>
  </r>
  <r>
    <m/>
    <m/>
    <x v="1"/>
    <s v="70530404003001"/>
    <n v="-23.64"/>
    <n v="1340"/>
    <n v="2"/>
    <n v="1"/>
  </r>
  <r>
    <m/>
    <m/>
    <x v="1"/>
    <s v="70925378002003"/>
    <n v="-10.09"/>
    <n v="538"/>
    <n v="2"/>
    <n v="1"/>
  </r>
  <r>
    <m/>
    <m/>
    <x v="1"/>
    <s v="71127815001002"/>
    <n v="-2.8600000000000003"/>
    <n v="163"/>
    <n v="2"/>
    <n v="1"/>
  </r>
  <r>
    <m/>
    <m/>
    <x v="1"/>
    <s v="71181295001001"/>
    <n v="-5.3"/>
    <n v="305"/>
    <n v="2"/>
    <n v="1"/>
  </r>
  <r>
    <m/>
    <m/>
    <x v="1"/>
    <s v="71297342003003"/>
    <n v="-16.39"/>
    <n v="929"/>
    <n v="2"/>
    <n v="1"/>
  </r>
  <r>
    <m/>
    <m/>
    <x v="1"/>
    <s v="71338480001002"/>
    <n v="-12.92"/>
    <n v="739"/>
    <n v="2"/>
    <n v="1"/>
  </r>
  <r>
    <m/>
    <m/>
    <x v="1"/>
    <s v="71508543001001"/>
    <n v="-1.92"/>
    <n v="104"/>
    <n v="2"/>
    <n v="1"/>
  </r>
  <r>
    <m/>
    <m/>
    <x v="1"/>
    <s v="71751256001002"/>
    <n v="-16.899999999999999"/>
    <n v="957"/>
    <n v="2"/>
    <n v="1"/>
  </r>
  <r>
    <m/>
    <m/>
    <x v="1"/>
    <s v="71822800001001"/>
    <n v="-20.200000000000003"/>
    <n v="1077"/>
    <n v="2"/>
    <n v="1"/>
  </r>
  <r>
    <m/>
    <m/>
    <x v="1"/>
    <s v="72327193001003"/>
    <n v="-13.71"/>
    <n v="801"/>
    <n v="1"/>
    <n v="1"/>
  </r>
  <r>
    <m/>
    <m/>
    <x v="1"/>
    <s v="72330780003005"/>
    <n v="-9.64"/>
    <n v="546"/>
    <n v="2"/>
    <n v="1"/>
  </r>
  <r>
    <m/>
    <m/>
    <x v="1"/>
    <s v="72414106001005"/>
    <n v="-23.3"/>
    <n v="1326"/>
    <n v="2"/>
    <n v="1"/>
  </r>
  <r>
    <m/>
    <m/>
    <x v="1"/>
    <s v="73001153001001"/>
    <n v="-5.05"/>
    <n v="292"/>
    <n v="2"/>
    <n v="1"/>
  </r>
  <r>
    <m/>
    <m/>
    <x v="1"/>
    <s v="73220801001001"/>
    <n v="-8.4499999999999993"/>
    <n v="494"/>
    <n v="1"/>
    <n v="1"/>
  </r>
  <r>
    <m/>
    <m/>
    <x v="1"/>
    <s v="73558422001001"/>
    <n v="-3.2"/>
    <n v="187"/>
    <n v="1"/>
    <n v="1"/>
  </r>
  <r>
    <m/>
    <m/>
    <x v="1"/>
    <s v="73642053002003"/>
    <n v="-14.870000000000001"/>
    <n v="813"/>
    <n v="2"/>
    <n v="1"/>
  </r>
  <r>
    <m/>
    <m/>
    <x v="1"/>
    <s v="73743305001005"/>
    <n v="-21.04"/>
    <n v="1162"/>
    <n v="2"/>
    <n v="1"/>
  </r>
  <r>
    <m/>
    <m/>
    <x v="1"/>
    <s v="74039552001001"/>
    <n v="-10.08"/>
    <n v="551"/>
    <n v="2"/>
    <n v="1"/>
  </r>
  <r>
    <m/>
    <m/>
    <x v="1"/>
    <s v="74101362001001"/>
    <n v="-12.610000000000001"/>
    <n v="647"/>
    <n v="2"/>
    <n v="1"/>
  </r>
  <r>
    <m/>
    <m/>
    <x v="1"/>
    <s v="74233906001003"/>
    <n v="-19.540000000000003"/>
    <n v="1003"/>
    <n v="2"/>
    <n v="1"/>
  </r>
  <r>
    <m/>
    <m/>
    <x v="1"/>
    <s v="74632852001001"/>
    <n v="-14.89"/>
    <n v="814"/>
    <n v="2"/>
    <n v="1"/>
  </r>
  <r>
    <m/>
    <m/>
    <x v="1"/>
    <s v="74916061001001"/>
    <n v="-13.24"/>
    <n v="706"/>
    <n v="2"/>
    <n v="1"/>
  </r>
  <r>
    <m/>
    <m/>
    <x v="1"/>
    <s v="75178826001001"/>
    <n v="-0.64999999999999991"/>
    <n v="36"/>
    <n v="2"/>
    <n v="1"/>
  </r>
  <r>
    <m/>
    <m/>
    <x v="1"/>
    <s v="75448417001001"/>
    <n v="-6.79"/>
    <n v="373"/>
    <n v="2"/>
    <n v="1"/>
  </r>
  <r>
    <m/>
    <m/>
    <x v="1"/>
    <s v="75492701001001"/>
    <n v="-14.31"/>
    <n v="782"/>
    <n v="2"/>
    <n v="1"/>
  </r>
  <r>
    <m/>
    <m/>
    <x v="1"/>
    <s v="75544198001002"/>
    <n v="-13.33"/>
    <n v="767"/>
    <n v="2"/>
    <n v="1"/>
  </r>
  <r>
    <m/>
    <m/>
    <x v="1"/>
    <s v="75558866002001"/>
    <n v="-19.66"/>
    <n v="1149"/>
    <n v="1"/>
    <n v="1"/>
  </r>
  <r>
    <m/>
    <m/>
    <x v="1"/>
    <s v="76017664001001"/>
    <n v="-4.7200000000000006"/>
    <n v="258"/>
    <n v="2"/>
    <n v="1"/>
  </r>
  <r>
    <m/>
    <m/>
    <x v="1"/>
    <s v="76068750001001"/>
    <n v="-3.3"/>
    <n v="193"/>
    <n v="1"/>
    <n v="1"/>
  </r>
  <r>
    <m/>
    <m/>
    <x v="1"/>
    <s v="76170368001004"/>
    <n v="-3.17"/>
    <n v="169"/>
    <n v="2"/>
    <n v="1"/>
  </r>
  <r>
    <m/>
    <m/>
    <x v="1"/>
    <s v="76242332001003"/>
    <n v="-18.259999999999998"/>
    <n v="998"/>
    <n v="2"/>
    <n v="1"/>
  </r>
  <r>
    <m/>
    <m/>
    <x v="1"/>
    <s v="76297115001001"/>
    <n v="-9.6199999999999992"/>
    <n v="494"/>
    <n v="2"/>
    <n v="1"/>
  </r>
  <r>
    <m/>
    <m/>
    <x v="1"/>
    <s v="76559936001004"/>
    <n v="-10.89"/>
    <n v="589"/>
    <n v="2"/>
    <n v="1"/>
  </r>
  <r>
    <m/>
    <m/>
    <x v="1"/>
    <s v="76590700001002"/>
    <n v="-0.94"/>
    <n v="52"/>
    <n v="2"/>
    <n v="1"/>
  </r>
  <r>
    <m/>
    <m/>
    <x v="1"/>
    <s v="76595548001001"/>
    <n v="-17.64"/>
    <n v="905"/>
    <n v="2"/>
    <n v="1"/>
  </r>
  <r>
    <m/>
    <m/>
    <x v="1"/>
    <s v="76615869001006"/>
    <n v="-12.530000000000001"/>
    <n v="688"/>
    <n v="2"/>
    <n v="1"/>
  </r>
  <r>
    <m/>
    <m/>
    <x v="1"/>
    <s v="76670454001001"/>
    <n v="-28.080000000000002"/>
    <n v="1483"/>
    <n v="2"/>
    <n v="1"/>
  </r>
  <r>
    <m/>
    <m/>
    <x v="1"/>
    <s v="77153785002001"/>
    <n v="-25.41"/>
    <n v="1439"/>
    <n v="2"/>
    <n v="1"/>
  </r>
  <r>
    <m/>
    <m/>
    <x v="1"/>
    <s v="77587631001002"/>
    <n v="-20.91"/>
    <n v="1078"/>
    <n v="2"/>
    <n v="1"/>
  </r>
  <r>
    <m/>
    <m/>
    <x v="1"/>
    <s v="77633291001003"/>
    <n v="-13.46"/>
    <n v="718"/>
    <n v="2"/>
    <n v="1"/>
  </r>
  <r>
    <m/>
    <m/>
    <x v="1"/>
    <s v="77810743001005"/>
    <n v="-17.600000000000001"/>
    <n v="1019"/>
    <n v="2"/>
    <n v="1"/>
  </r>
  <r>
    <m/>
    <m/>
    <x v="1"/>
    <s v="77963852001001"/>
    <n v="-6.3800000000000008"/>
    <n v="329"/>
    <n v="2"/>
    <n v="1"/>
  </r>
  <r>
    <m/>
    <m/>
    <x v="1"/>
    <s v="78306458001001"/>
    <n v="-7.96"/>
    <n v="461"/>
    <n v="2"/>
    <n v="1"/>
  </r>
  <r>
    <m/>
    <m/>
    <x v="1"/>
    <s v="78764555001002"/>
    <n v="-9.56"/>
    <n v="559"/>
    <n v="1"/>
    <n v="1"/>
  </r>
  <r>
    <m/>
    <m/>
    <x v="1"/>
    <s v="78978822002001"/>
    <n v="-7.77"/>
    <n v="454"/>
    <n v="1"/>
    <n v="1"/>
  </r>
  <r>
    <m/>
    <m/>
    <x v="1"/>
    <s v="79620926001001"/>
    <n v="-24.990000000000002"/>
    <n v="1339"/>
    <n v="2"/>
    <n v="1"/>
  </r>
  <r>
    <m/>
    <m/>
    <x v="1"/>
    <s v="79932201001006"/>
    <n v="-8.5399999999999991"/>
    <n v="469"/>
    <n v="2"/>
    <n v="1"/>
  </r>
  <r>
    <m/>
    <m/>
    <x v="1"/>
    <s v="79989931001001"/>
    <n v="-7.57"/>
    <n v="418"/>
    <n v="2"/>
    <n v="1"/>
  </r>
  <r>
    <m/>
    <m/>
    <x v="1"/>
    <s v="80270144001001"/>
    <n v="-10.47"/>
    <n v="602"/>
    <n v="2"/>
    <n v="1"/>
  </r>
  <r>
    <m/>
    <m/>
    <x v="1"/>
    <s v="80293559001001"/>
    <n v="-49.61"/>
    <n v="2546"/>
    <n v="2"/>
    <n v="1"/>
  </r>
  <r>
    <m/>
    <m/>
    <x v="1"/>
    <s v="80509039001001"/>
    <n v="-3.79"/>
    <n v="208"/>
    <n v="2"/>
    <n v="1"/>
  </r>
  <r>
    <m/>
    <m/>
    <x v="1"/>
    <s v="80867382002003"/>
    <n v="-16.329999999999998"/>
    <n v="842"/>
    <n v="2"/>
    <n v="1"/>
  </r>
  <r>
    <m/>
    <m/>
    <x v="1"/>
    <s v="81416667001004"/>
    <n v="-2.78"/>
    <n v="146"/>
    <n v="2"/>
    <n v="1"/>
  </r>
  <r>
    <m/>
    <m/>
    <x v="1"/>
    <s v="81635154007001"/>
    <n v="-35.46"/>
    <n v="1938"/>
    <n v="2"/>
    <n v="1"/>
  </r>
  <r>
    <m/>
    <m/>
    <x v="1"/>
    <s v="81964610001001"/>
    <n v="-14.66"/>
    <n v="774"/>
    <n v="2"/>
    <n v="1"/>
  </r>
  <r>
    <m/>
    <m/>
    <x v="1"/>
    <s v="82088762001001"/>
    <n v="-22.23"/>
    <n v="1299"/>
    <n v="1"/>
    <n v="1"/>
  </r>
  <r>
    <m/>
    <m/>
    <x v="1"/>
    <s v="82225464001008"/>
    <n v="-17.46"/>
    <n v="989"/>
    <n v="2"/>
    <n v="1"/>
  </r>
  <r>
    <m/>
    <m/>
    <x v="1"/>
    <s v="82247199001001"/>
    <n v="-5.27"/>
    <n v="288"/>
    <n v="2"/>
    <n v="1"/>
  </r>
  <r>
    <m/>
    <m/>
    <x v="1"/>
    <s v="82371195001001"/>
    <n v="-3.23"/>
    <n v="179"/>
    <n v="2"/>
    <n v="1"/>
  </r>
  <r>
    <m/>
    <m/>
    <x v="1"/>
    <s v="82480022001002"/>
    <n v="-7.0900000000000007"/>
    <n v="364"/>
    <n v="2"/>
    <n v="1"/>
  </r>
  <r>
    <m/>
    <m/>
    <x v="1"/>
    <s v="82689503003001"/>
    <n v="-26.55"/>
    <n v="1440"/>
    <n v="2"/>
    <n v="1"/>
  </r>
  <r>
    <m/>
    <m/>
    <x v="1"/>
    <s v="82844671001002"/>
    <n v="-39.729999999999997"/>
    <n v="2048"/>
    <n v="2"/>
    <n v="1"/>
  </r>
  <r>
    <m/>
    <m/>
    <x v="1"/>
    <s v="82956544001001"/>
    <n v="-5.3599999999999994"/>
    <n v="293"/>
    <n v="2"/>
    <n v="1"/>
  </r>
  <r>
    <m/>
    <m/>
    <x v="1"/>
    <s v="83010955001001"/>
    <n v="-4.9800000000000004"/>
    <n v="272"/>
    <n v="2"/>
    <n v="1"/>
  </r>
  <r>
    <m/>
    <m/>
    <x v="1"/>
    <s v="83489581002001"/>
    <n v="-12.08"/>
    <n v="660"/>
    <n v="2"/>
    <n v="1"/>
  </r>
  <r>
    <m/>
    <m/>
    <x v="1"/>
    <s v="83624396002001"/>
    <n v="-12.32"/>
    <n v="635"/>
    <n v="2"/>
    <n v="1"/>
  </r>
  <r>
    <m/>
    <m/>
    <x v="1"/>
    <s v="83648881001001"/>
    <n v="-12.55"/>
    <n v="644"/>
    <n v="2"/>
    <n v="1"/>
  </r>
  <r>
    <m/>
    <m/>
    <x v="1"/>
    <s v="83700495001001"/>
    <n v="-6.39"/>
    <n v="328"/>
    <n v="2"/>
    <n v="1"/>
  </r>
  <r>
    <m/>
    <m/>
    <x v="1"/>
    <s v="84001278001001"/>
    <n v="-3.07"/>
    <n v="158"/>
    <n v="2"/>
    <n v="1"/>
  </r>
  <r>
    <m/>
    <m/>
    <x v="1"/>
    <s v="84301238001003"/>
    <n v="-18.46"/>
    <n v="947"/>
    <n v="2"/>
    <n v="1"/>
  </r>
  <r>
    <m/>
    <m/>
    <x v="1"/>
    <s v="84345456001001"/>
    <n v="-11.38"/>
    <n v="665"/>
    <n v="1"/>
    <n v="1"/>
  </r>
  <r>
    <m/>
    <m/>
    <x v="1"/>
    <s v="84749539001001"/>
    <n v="-12.7"/>
    <n v="694"/>
    <n v="2"/>
    <n v="1"/>
  </r>
  <r>
    <m/>
    <m/>
    <x v="1"/>
    <s v="84764694001005"/>
    <n v="-3.96"/>
    <n v="211"/>
    <n v="2"/>
    <n v="1"/>
  </r>
  <r>
    <m/>
    <m/>
    <x v="1"/>
    <s v="84768096001002"/>
    <n v="-29.169999999999998"/>
    <n v="1504"/>
    <n v="2"/>
    <n v="1"/>
  </r>
  <r>
    <m/>
    <m/>
    <x v="1"/>
    <s v="84934447001001"/>
    <n v="-8.68"/>
    <n v="463"/>
    <n v="2"/>
    <n v="1"/>
  </r>
  <r>
    <m/>
    <m/>
    <x v="1"/>
    <s v="85004567002008"/>
    <n v="-24.96"/>
    <n v="1378"/>
    <n v="2"/>
    <n v="1"/>
  </r>
  <r>
    <m/>
    <m/>
    <x v="1"/>
    <s v="85155127001002"/>
    <n v="-20.020000000000003"/>
    <n v="1083"/>
    <n v="2"/>
    <n v="1"/>
  </r>
  <r>
    <m/>
    <m/>
    <x v="1"/>
    <s v="85419820001002"/>
    <n v="-14.93"/>
    <n v="770"/>
    <n v="2"/>
    <n v="1"/>
  </r>
  <r>
    <m/>
    <m/>
    <x v="1"/>
    <s v="85581047001001"/>
    <n v="-23.95"/>
    <n v="1241"/>
    <n v="2"/>
    <n v="1"/>
  </r>
  <r>
    <m/>
    <m/>
    <x v="1"/>
    <s v="85785045001005"/>
    <n v="-46.86"/>
    <n v="2739"/>
    <n v="1"/>
    <n v="1"/>
  </r>
  <r>
    <m/>
    <m/>
    <x v="1"/>
    <s v="85975789001001"/>
    <n v="-18.23"/>
    <n v="1043"/>
    <n v="2"/>
    <n v="1"/>
  </r>
  <r>
    <m/>
    <m/>
    <x v="1"/>
    <s v="86168663001003"/>
    <n v="-1.69"/>
    <n v="99"/>
    <n v="1"/>
    <n v="1"/>
  </r>
  <r>
    <m/>
    <m/>
    <x v="1"/>
    <s v="86296772001001"/>
    <n v="-16.77"/>
    <n v="980"/>
    <n v="1"/>
    <n v="1"/>
  </r>
  <r>
    <m/>
    <m/>
    <x v="1"/>
    <s v="86363752001001"/>
    <n v="-8.59"/>
    <n v="502"/>
    <n v="1"/>
    <n v="1"/>
  </r>
  <r>
    <m/>
    <m/>
    <x v="1"/>
    <s v="86381411001001"/>
    <n v="-11.55"/>
    <n v="593"/>
    <n v="2"/>
    <n v="1"/>
  </r>
  <r>
    <m/>
    <m/>
    <x v="1"/>
    <s v="86518069001001"/>
    <n v="-13.07"/>
    <n v="722"/>
    <n v="2"/>
    <n v="1"/>
  </r>
  <r>
    <m/>
    <m/>
    <x v="1"/>
    <s v="87452134001003"/>
    <n v="-18.920000000000002"/>
    <n v="1106"/>
    <n v="1"/>
    <n v="1"/>
  </r>
  <r>
    <m/>
    <m/>
    <x v="1"/>
    <s v="87569375001001"/>
    <n v="-13.170000000000002"/>
    <n v="758"/>
    <n v="2"/>
    <n v="1"/>
  </r>
  <r>
    <m/>
    <m/>
    <x v="1"/>
    <s v="87885809001004"/>
    <n v="-18.810000000000002"/>
    <n v="1003"/>
    <n v="2"/>
    <n v="1"/>
  </r>
  <r>
    <m/>
    <m/>
    <x v="1"/>
    <s v="87989600001003"/>
    <n v="-27.5"/>
    <n v="1582"/>
    <n v="2"/>
    <n v="1"/>
  </r>
  <r>
    <m/>
    <m/>
    <x v="1"/>
    <s v="88075199001001"/>
    <n v="-11.530000000000001"/>
    <n v="618"/>
    <n v="2"/>
    <n v="1"/>
  </r>
  <r>
    <m/>
    <m/>
    <x v="1"/>
    <s v="88142714001001"/>
    <n v="-31.659999999999997"/>
    <n v="1832"/>
    <n v="2"/>
    <n v="1"/>
  </r>
  <r>
    <m/>
    <m/>
    <x v="1"/>
    <s v="88152741001004"/>
    <n v="-16.05"/>
    <n v="832"/>
    <n v="2"/>
    <n v="1"/>
  </r>
  <r>
    <m/>
    <m/>
    <x v="1"/>
    <s v="88233884001001"/>
    <n v="-0.33"/>
    <n v="19"/>
    <n v="1"/>
    <n v="1"/>
  </r>
  <r>
    <m/>
    <m/>
    <x v="1"/>
    <s v="88770508001006"/>
    <n v="-8.8999999999999986"/>
    <n v="486"/>
    <n v="2"/>
    <n v="1"/>
  </r>
  <r>
    <m/>
    <m/>
    <x v="1"/>
    <s v="88777401001007"/>
    <n v="-14.83"/>
    <n v="761"/>
    <n v="2"/>
    <n v="1"/>
  </r>
  <r>
    <m/>
    <m/>
    <x v="1"/>
    <s v="88847370001001"/>
    <n v="-0.7"/>
    <n v="38"/>
    <n v="2"/>
    <n v="1"/>
  </r>
  <r>
    <m/>
    <m/>
    <x v="1"/>
    <s v="89520809001009"/>
    <n v="-10.26"/>
    <n v="547"/>
    <n v="2"/>
    <n v="1"/>
  </r>
  <r>
    <m/>
    <m/>
    <x v="1"/>
    <s v="89599726001001"/>
    <n v="-10.08"/>
    <n v="589"/>
    <n v="1"/>
    <n v="1"/>
  </r>
  <r>
    <m/>
    <m/>
    <x v="1"/>
    <s v="89709361001001"/>
    <n v="-20.67"/>
    <n v="1177"/>
    <n v="2"/>
    <n v="1"/>
  </r>
  <r>
    <m/>
    <m/>
    <x v="1"/>
    <s v="89718018001006"/>
    <n v="-1.21"/>
    <n v="70"/>
    <n v="2"/>
    <n v="1"/>
  </r>
  <r>
    <m/>
    <m/>
    <x v="1"/>
    <s v="89987541001001"/>
    <n v="-0.13999999999999999"/>
    <n v="8"/>
    <n v="2"/>
    <n v="1"/>
  </r>
  <r>
    <m/>
    <m/>
    <x v="1"/>
    <s v="90314519001006"/>
    <n v="-12.09"/>
    <n v="620"/>
    <n v="2"/>
    <n v="1"/>
  </r>
  <r>
    <m/>
    <m/>
    <x v="1"/>
    <s v="90516824001003"/>
    <n v="-18.920000000000002"/>
    <n v="1106"/>
    <n v="1"/>
    <n v="1"/>
  </r>
  <r>
    <m/>
    <m/>
    <x v="1"/>
    <s v="90527747001001"/>
    <n v="-14.15"/>
    <n v="781"/>
    <n v="2"/>
    <n v="1"/>
  </r>
  <r>
    <m/>
    <m/>
    <x v="1"/>
    <s v="90651605001001"/>
    <n v="-10.82"/>
    <n v="555"/>
    <n v="2"/>
    <n v="1"/>
  </r>
  <r>
    <m/>
    <m/>
    <x v="1"/>
    <s v="90805481002003"/>
    <n v="-18.009999999999998"/>
    <n v="960"/>
    <n v="2"/>
    <n v="1"/>
  </r>
  <r>
    <m/>
    <m/>
    <x v="1"/>
    <s v="91666691002003"/>
    <n v="-38.82"/>
    <n v="2050"/>
    <n v="2"/>
    <n v="1"/>
  </r>
  <r>
    <m/>
    <m/>
    <x v="1"/>
    <s v="91750195001001"/>
    <n v="-10.15"/>
    <n v="578"/>
    <n v="2"/>
    <n v="1"/>
  </r>
  <r>
    <m/>
    <m/>
    <x v="1"/>
    <s v="92326056001001"/>
    <n v="-13.709999999999999"/>
    <n v="793"/>
    <n v="2"/>
    <n v="1"/>
  </r>
  <r>
    <m/>
    <m/>
    <x v="1"/>
    <s v="92573504001002"/>
    <n v="-8.94"/>
    <n v="484"/>
    <n v="2"/>
    <n v="1"/>
  </r>
  <r>
    <m/>
    <m/>
    <x v="1"/>
    <s v="92602233001001"/>
    <n v="-21.45"/>
    <n v="1101"/>
    <n v="2"/>
    <n v="1"/>
  </r>
  <r>
    <m/>
    <m/>
    <x v="1"/>
    <s v="92711390001001"/>
    <n v="-13.86"/>
    <n v="769"/>
    <n v="2"/>
    <n v="1"/>
  </r>
  <r>
    <m/>
    <m/>
    <x v="1"/>
    <s v="92914807001001"/>
    <n v="-5.6899999999999995"/>
    <n v="308"/>
    <n v="2"/>
    <n v="1"/>
  </r>
  <r>
    <m/>
    <m/>
    <x v="1"/>
    <s v="93208083001001"/>
    <n v="-24.560000000000002"/>
    <n v="1421"/>
    <n v="2"/>
    <n v="1"/>
  </r>
  <r>
    <m/>
    <m/>
    <x v="1"/>
    <s v="93596601001001"/>
    <n v="-27.82"/>
    <n v="1600"/>
    <n v="2"/>
    <n v="1"/>
  </r>
  <r>
    <m/>
    <m/>
    <x v="1"/>
    <s v="93723374003001"/>
    <n v="-37.79"/>
    <n v="2140"/>
    <n v="2"/>
    <n v="1"/>
  </r>
  <r>
    <m/>
    <m/>
    <x v="1"/>
    <s v="93767754001003"/>
    <n v="-16.84"/>
    <n v="911"/>
    <n v="2"/>
    <n v="1"/>
  </r>
  <r>
    <m/>
    <m/>
    <x v="1"/>
    <s v="93793236001001"/>
    <n v="-20.5"/>
    <n v="1168"/>
    <n v="2"/>
    <n v="1"/>
  </r>
  <r>
    <m/>
    <m/>
    <x v="1"/>
    <s v="93853061001004"/>
    <n v="-12.43"/>
    <n v="711"/>
    <n v="2"/>
    <n v="1"/>
  </r>
  <r>
    <m/>
    <m/>
    <x v="1"/>
    <s v="94634126001001"/>
    <n v="-13.67"/>
    <n v="747"/>
    <n v="2"/>
    <n v="1"/>
  </r>
  <r>
    <m/>
    <m/>
    <x v="1"/>
    <s v="94684058001001"/>
    <n v="-9.17"/>
    <n v="513"/>
    <n v="2"/>
    <n v="1"/>
  </r>
  <r>
    <m/>
    <m/>
    <x v="1"/>
    <s v="94938062001001"/>
    <n v="-20.16"/>
    <n v="1113"/>
    <n v="2"/>
    <n v="1"/>
  </r>
  <r>
    <m/>
    <m/>
    <x v="1"/>
    <s v="95131113004001"/>
    <n v="-23.82"/>
    <n v="1222"/>
    <n v="2"/>
    <n v="1"/>
  </r>
  <r>
    <m/>
    <m/>
    <x v="1"/>
    <s v="95342054001001"/>
    <n v="-24.22"/>
    <n v="1344"/>
    <n v="2"/>
    <n v="1"/>
  </r>
  <r>
    <m/>
    <m/>
    <x v="1"/>
    <s v="95347210001001"/>
    <n v="-8.0500000000000007"/>
    <n v="447"/>
    <n v="2"/>
    <n v="1"/>
  </r>
  <r>
    <m/>
    <m/>
    <x v="1"/>
    <s v="95581312001002"/>
    <n v="-22.93"/>
    <n v="1298"/>
    <n v="2"/>
    <n v="1"/>
  </r>
  <r>
    <m/>
    <m/>
    <x v="1"/>
    <s v="95952271001001"/>
    <n v="-10.5"/>
    <n v="539"/>
    <n v="2"/>
    <n v="1"/>
  </r>
  <r>
    <m/>
    <m/>
    <x v="1"/>
    <s v="95991535001001"/>
    <n v="-8.18"/>
    <n v="447"/>
    <n v="2"/>
    <n v="1"/>
  </r>
  <r>
    <m/>
    <m/>
    <x v="1"/>
    <s v="96042645001001"/>
    <n v="-5.85"/>
    <n v="339"/>
    <n v="2"/>
    <n v="1"/>
  </r>
  <r>
    <m/>
    <m/>
    <x v="1"/>
    <s v="96186430001005"/>
    <n v="-5.9399999999999995"/>
    <n v="308"/>
    <n v="2"/>
    <n v="1"/>
  </r>
  <r>
    <m/>
    <m/>
    <x v="1"/>
    <s v="96258552001004"/>
    <n v="-4.17"/>
    <n v="222"/>
    <n v="2"/>
    <n v="1"/>
  </r>
  <r>
    <m/>
    <m/>
    <x v="1"/>
    <s v="96306013001003"/>
    <n v="-4.3"/>
    <n v="222"/>
    <n v="2"/>
    <n v="1"/>
  </r>
  <r>
    <m/>
    <m/>
    <x v="1"/>
    <s v="96369039001001"/>
    <n v="-25.22"/>
    <n v="1459"/>
    <n v="2"/>
    <n v="1"/>
  </r>
  <r>
    <m/>
    <m/>
    <x v="1"/>
    <s v="96386777001002"/>
    <n v="-28.65"/>
    <n v="1658"/>
    <n v="2"/>
    <n v="1"/>
  </r>
  <r>
    <m/>
    <m/>
    <x v="1"/>
    <s v="96472741002003"/>
    <n v="-7.24"/>
    <n v="386"/>
    <n v="2"/>
    <n v="1"/>
  </r>
  <r>
    <m/>
    <m/>
    <x v="1"/>
    <s v="96478184001006"/>
    <n v="-13.74"/>
    <n v="795"/>
    <n v="2"/>
    <n v="1"/>
  </r>
  <r>
    <m/>
    <m/>
    <x v="1"/>
    <s v="96949041001001"/>
    <n v="-7.04"/>
    <n v="387"/>
    <n v="2"/>
    <n v="1"/>
  </r>
  <r>
    <m/>
    <m/>
    <x v="1"/>
    <s v="96986090001001"/>
    <n v="-21.470000000000002"/>
    <n v="1235"/>
    <n v="2"/>
    <n v="1"/>
  </r>
  <r>
    <m/>
    <m/>
    <x v="1"/>
    <s v="97005215001001"/>
    <n v="-18.32"/>
    <n v="949"/>
    <n v="2"/>
    <n v="1"/>
  </r>
  <r>
    <m/>
    <m/>
    <x v="1"/>
    <s v="97521847001001"/>
    <n v="-10.47"/>
    <n v="602"/>
    <n v="2"/>
    <n v="1"/>
  </r>
  <r>
    <m/>
    <m/>
    <x v="1"/>
    <s v="97919016001004"/>
    <n v="-20.57"/>
    <n v="1056"/>
    <n v="2"/>
    <n v="1"/>
  </r>
  <r>
    <m/>
    <m/>
    <x v="1"/>
    <s v="98004963001002"/>
    <n v="-19.740000000000002"/>
    <n v="1079"/>
    <n v="2"/>
    <n v="1"/>
  </r>
  <r>
    <m/>
    <m/>
    <x v="1"/>
    <s v="98150139003001"/>
    <n v="-12.49"/>
    <n v="730"/>
    <n v="1"/>
    <n v="1"/>
  </r>
  <r>
    <m/>
    <m/>
    <x v="1"/>
    <s v="98185698002001"/>
    <n v="-18.5"/>
    <n v="1011"/>
    <n v="2"/>
    <n v="1"/>
  </r>
  <r>
    <m/>
    <m/>
    <x v="1"/>
    <s v="98256974001001"/>
    <n v="-7.07"/>
    <n v="413"/>
    <n v="1"/>
    <n v="1"/>
  </r>
  <r>
    <m/>
    <m/>
    <x v="1"/>
    <s v="98323580001002"/>
    <n v="-8.06"/>
    <n v="471"/>
    <n v="1"/>
    <n v="1"/>
  </r>
  <r>
    <m/>
    <m/>
    <x v="1"/>
    <s v="98514689005003"/>
    <n v="-7.41"/>
    <n v="395"/>
    <n v="2"/>
    <n v="1"/>
  </r>
  <r>
    <m/>
    <m/>
    <x v="1"/>
    <s v="98627781002001"/>
    <n v="-3.62"/>
    <n v="198"/>
    <n v="2"/>
    <n v="1"/>
  </r>
  <r>
    <m/>
    <m/>
    <x v="1"/>
    <s v="98734416001003"/>
    <n v="-19.939999999999998"/>
    <n v="1101"/>
    <n v="2"/>
    <n v="1"/>
  </r>
  <r>
    <m/>
    <m/>
    <x v="1"/>
    <s v="98928729005009"/>
    <n v="-1.73"/>
    <n v="99"/>
    <n v="2"/>
    <n v="1"/>
  </r>
  <r>
    <m/>
    <m/>
    <x v="1"/>
    <s v="99045043001003"/>
    <n v="-12.94"/>
    <n v="756"/>
    <n v="1"/>
    <n v="1"/>
  </r>
  <r>
    <m/>
    <m/>
    <x v="1"/>
    <s v="99088785001001"/>
    <n v="-18.29"/>
    <n v="1000"/>
    <n v="2"/>
    <n v="1"/>
  </r>
  <r>
    <m/>
    <m/>
    <x v="1"/>
    <s v="99558695001002"/>
    <n v="-19.23"/>
    <n v="1124"/>
    <n v="1"/>
    <n v="1"/>
  </r>
  <r>
    <m/>
    <m/>
    <x v="1"/>
    <s v="99831171001001"/>
    <n v="-41.94"/>
    <n v="2400"/>
    <n v="2"/>
    <n v="1"/>
  </r>
  <r>
    <m/>
    <m/>
    <x v="1"/>
    <s v="99960737001001"/>
    <n v="-17.869999999999997"/>
    <n v="967"/>
    <n v="2"/>
    <n v="1"/>
  </r>
  <r>
    <m/>
    <m/>
    <x v="2"/>
    <m/>
    <n v="-11992.580000000005"/>
    <n v="659829"/>
    <n v="1491"/>
    <n v="805"/>
  </r>
  <r>
    <m/>
    <m/>
    <x v="3"/>
    <s v="00129382001001"/>
    <n v="-2.33"/>
    <n v="79"/>
    <n v="2"/>
    <n v="1"/>
  </r>
  <r>
    <m/>
    <m/>
    <x v="1"/>
    <s v="00416718001001"/>
    <n v="-28.44"/>
    <n v="1017"/>
    <n v="2"/>
    <n v="1"/>
  </r>
  <r>
    <m/>
    <m/>
    <x v="1"/>
    <s v="00505142001001"/>
    <n v="-3.3899999999999997"/>
    <n v="116"/>
    <n v="2"/>
    <n v="1"/>
  </r>
  <r>
    <m/>
    <m/>
    <x v="1"/>
    <s v="00595168001001"/>
    <n v="-8.2800000000000011"/>
    <n v="286"/>
    <n v="2"/>
    <n v="1"/>
  </r>
  <r>
    <m/>
    <m/>
    <x v="1"/>
    <s v="00620929001002"/>
    <n v="-17.09"/>
    <n v="608"/>
    <n v="2"/>
    <n v="1"/>
  </r>
  <r>
    <m/>
    <m/>
    <x v="1"/>
    <s v="01423270002001"/>
    <n v="-13.79"/>
    <n v="478"/>
    <n v="2"/>
    <n v="1"/>
  </r>
  <r>
    <m/>
    <m/>
    <x v="1"/>
    <s v="01775038001002"/>
    <n v="-18.649999999999999"/>
    <n v="681"/>
    <n v="1"/>
    <n v="1"/>
  </r>
  <r>
    <m/>
    <m/>
    <x v="1"/>
    <s v="01883451001001"/>
    <n v="-32.69"/>
    <n v="1128"/>
    <n v="2"/>
    <n v="1"/>
  </r>
  <r>
    <m/>
    <m/>
    <x v="1"/>
    <s v="01911223001001"/>
    <n v="-8.58"/>
    <n v="281"/>
    <n v="2"/>
    <n v="1"/>
  </r>
  <r>
    <m/>
    <m/>
    <x v="1"/>
    <s v="01933876002003"/>
    <n v="-27.05"/>
    <n v="915"/>
    <n v="2"/>
    <n v="1"/>
  </r>
  <r>
    <m/>
    <m/>
    <x v="1"/>
    <s v="02155866001004"/>
    <n v="-39.36"/>
    <n v="1358"/>
    <n v="2"/>
    <n v="1"/>
  </r>
  <r>
    <m/>
    <m/>
    <x v="1"/>
    <s v="02249862002005"/>
    <n v="-13.219999999999999"/>
    <n v="424"/>
    <n v="2"/>
    <n v="1"/>
  </r>
  <r>
    <m/>
    <m/>
    <x v="1"/>
    <s v="02309710001002"/>
    <n v="-6.46"/>
    <n v="232"/>
    <n v="2"/>
    <n v="1"/>
  </r>
  <r>
    <m/>
    <m/>
    <x v="1"/>
    <s v="02382323002001"/>
    <n v="-29.04"/>
    <n v="982"/>
    <n v="2"/>
    <n v="1"/>
  </r>
  <r>
    <m/>
    <m/>
    <x v="1"/>
    <s v="02489977001002"/>
    <n v="-13.12"/>
    <n v="479"/>
    <n v="1"/>
    <n v="1"/>
  </r>
  <r>
    <m/>
    <m/>
    <x v="1"/>
    <s v="02523107001004"/>
    <n v="-12.27"/>
    <n v="409"/>
    <n v="2"/>
    <n v="1"/>
  </r>
  <r>
    <m/>
    <m/>
    <x v="1"/>
    <s v="02622939001003"/>
    <n v="-29.45"/>
    <n v="996"/>
    <n v="2"/>
    <n v="1"/>
  </r>
  <r>
    <m/>
    <m/>
    <x v="1"/>
    <s v="02625530001001"/>
    <n v="-7.66"/>
    <n v="275"/>
    <n v="2"/>
    <n v="1"/>
  </r>
  <r>
    <m/>
    <m/>
    <x v="1"/>
    <s v="02761318001001"/>
    <n v="-19.78"/>
    <n v="659"/>
    <n v="2"/>
    <n v="1"/>
  </r>
  <r>
    <m/>
    <m/>
    <x v="1"/>
    <s v="02788965005001"/>
    <n v="-80.94"/>
    <n v="2956"/>
    <n v="1"/>
    <n v="1"/>
  </r>
  <r>
    <m/>
    <m/>
    <x v="1"/>
    <s v="02975140001002"/>
    <n v="-4.83"/>
    <n v="165"/>
    <n v="2"/>
    <n v="1"/>
  </r>
  <r>
    <m/>
    <m/>
    <x v="1"/>
    <s v="03017381002007"/>
    <n v="-8.76"/>
    <n v="299"/>
    <n v="2"/>
    <n v="1"/>
  </r>
  <r>
    <m/>
    <m/>
    <x v="1"/>
    <s v="03289754002001"/>
    <n v="-42.19"/>
    <n v="1366"/>
    <n v="2"/>
    <n v="1"/>
  </r>
  <r>
    <m/>
    <m/>
    <x v="1"/>
    <s v="03351704002008"/>
    <n v="-8.41"/>
    <n v="271"/>
    <n v="2"/>
    <n v="1"/>
  </r>
  <r>
    <m/>
    <m/>
    <x v="1"/>
    <s v="03379746001001"/>
    <n v="-18.75"/>
    <n v="674"/>
    <n v="2"/>
    <n v="1"/>
  </r>
  <r>
    <m/>
    <m/>
    <x v="1"/>
    <s v="03494646001002"/>
    <n v="-11.219999999999999"/>
    <n v="399"/>
    <n v="2"/>
    <n v="1"/>
  </r>
  <r>
    <m/>
    <m/>
    <x v="1"/>
    <s v="03765771001003"/>
    <n v="-28.150000000000002"/>
    <n v="971"/>
    <n v="2"/>
    <n v="1"/>
  </r>
  <r>
    <m/>
    <m/>
    <x v="1"/>
    <s v="03931679001001"/>
    <n v="-31.62"/>
    <n v="1155"/>
    <n v="1"/>
    <n v="1"/>
  </r>
  <r>
    <m/>
    <m/>
    <x v="1"/>
    <s v="03953360002003"/>
    <n v="-1.67"/>
    <n v="57"/>
    <n v="2"/>
    <n v="1"/>
  </r>
  <r>
    <m/>
    <m/>
    <x v="1"/>
    <s v="04036291001005"/>
    <n v="-17.3"/>
    <n v="632"/>
    <n v="1"/>
    <n v="1"/>
  </r>
  <r>
    <m/>
    <m/>
    <x v="1"/>
    <s v="04139605001002"/>
    <n v="-12.33"/>
    <n v="411"/>
    <n v="2"/>
    <n v="1"/>
  </r>
  <r>
    <m/>
    <m/>
    <x v="1"/>
    <s v="04235477001011"/>
    <n v="-16.149999999999999"/>
    <n v="538"/>
    <n v="2"/>
    <n v="1"/>
  </r>
  <r>
    <m/>
    <m/>
    <x v="1"/>
    <s v="04330395001006"/>
    <n v="-29.6"/>
    <n v="1081"/>
    <n v="1"/>
    <n v="1"/>
  </r>
  <r>
    <m/>
    <m/>
    <x v="1"/>
    <s v="04587647002001"/>
    <n v="-54.59"/>
    <n v="1908"/>
    <n v="2"/>
    <n v="1"/>
  </r>
  <r>
    <m/>
    <m/>
    <x v="1"/>
    <s v="04668888001001"/>
    <n v="-12.45"/>
    <n v="421"/>
    <n v="2"/>
    <n v="1"/>
  </r>
  <r>
    <m/>
    <m/>
    <x v="1"/>
    <s v="04767750001002"/>
    <n v="-14.16"/>
    <n v="454"/>
    <n v="2"/>
    <n v="1"/>
  </r>
  <r>
    <m/>
    <m/>
    <x v="1"/>
    <s v="04891223001003"/>
    <n v="-43.36"/>
    <n v="1397"/>
    <n v="2"/>
    <n v="1"/>
  </r>
  <r>
    <m/>
    <m/>
    <x v="1"/>
    <s v="05077769001001"/>
    <n v="-11.280000000000001"/>
    <n v="389"/>
    <n v="2"/>
    <n v="1"/>
  </r>
  <r>
    <m/>
    <m/>
    <x v="1"/>
    <s v="05169515001001"/>
    <n v="-11.51"/>
    <n v="380"/>
    <n v="2"/>
    <n v="1"/>
  </r>
  <r>
    <m/>
    <m/>
    <x v="1"/>
    <s v="05415666001005"/>
    <n v="-17.920000000000002"/>
    <n v="606"/>
    <n v="2"/>
    <n v="1"/>
  </r>
  <r>
    <m/>
    <m/>
    <x v="1"/>
    <s v="05776636001001"/>
    <n v="-40.380000000000003"/>
    <n v="1295"/>
    <n v="2"/>
    <n v="1"/>
  </r>
  <r>
    <m/>
    <m/>
    <x v="1"/>
    <s v="05861722001003"/>
    <n v="-8.44"/>
    <n v="291"/>
    <n v="2"/>
    <n v="1"/>
  </r>
  <r>
    <m/>
    <m/>
    <x v="1"/>
    <s v="05896822001001"/>
    <n v="-73.41"/>
    <n v="2639"/>
    <n v="2"/>
    <n v="1"/>
  </r>
  <r>
    <m/>
    <m/>
    <x v="1"/>
    <s v="06014943001001"/>
    <n v="-40.51"/>
    <n v="1327"/>
    <n v="2"/>
    <n v="1"/>
  </r>
  <r>
    <m/>
    <m/>
    <x v="1"/>
    <s v="06437475001006"/>
    <n v="-20.6"/>
    <n v="690"/>
    <n v="2"/>
    <n v="1"/>
  </r>
  <r>
    <m/>
    <m/>
    <x v="1"/>
    <s v="06563369001001"/>
    <n v="-41.09"/>
    <n v="1462"/>
    <n v="2"/>
    <n v="1"/>
  </r>
  <r>
    <m/>
    <m/>
    <x v="1"/>
    <s v="06651048001002"/>
    <n v="-36.369999999999997"/>
    <n v="1271"/>
    <n v="2"/>
    <n v="1"/>
  </r>
  <r>
    <m/>
    <m/>
    <x v="1"/>
    <s v="06659459001005"/>
    <n v="-18.7"/>
    <n v="683"/>
    <n v="1"/>
    <n v="1"/>
  </r>
  <r>
    <m/>
    <m/>
    <x v="1"/>
    <s v="06740214001001"/>
    <n v="-8.1199999999999992"/>
    <n v="266"/>
    <n v="2"/>
    <n v="1"/>
  </r>
  <r>
    <m/>
    <m/>
    <x v="1"/>
    <s v="06840429001001"/>
    <n v="-8.85"/>
    <n v="304"/>
    <n v="2"/>
    <n v="1"/>
  </r>
  <r>
    <m/>
    <m/>
    <x v="1"/>
    <s v="06870862001001"/>
    <n v="-34.25"/>
    <n v="1231"/>
    <n v="2"/>
    <n v="1"/>
  </r>
  <r>
    <m/>
    <m/>
    <x v="1"/>
    <s v="07270859001004"/>
    <n v="-12.290000000000001"/>
    <n v="396"/>
    <n v="2"/>
    <n v="1"/>
  </r>
  <r>
    <m/>
    <m/>
    <x v="1"/>
    <s v="07299621001001"/>
    <n v="-8.4600000000000009"/>
    <n v="282"/>
    <n v="2"/>
    <n v="1"/>
  </r>
  <r>
    <m/>
    <m/>
    <x v="1"/>
    <s v="07782109001001"/>
    <n v="-22.42"/>
    <n v="719"/>
    <n v="2"/>
    <n v="1"/>
  </r>
  <r>
    <m/>
    <m/>
    <x v="1"/>
    <s v="08005911001002"/>
    <n v="-29.22"/>
    <n v="988"/>
    <n v="2"/>
    <n v="1"/>
  </r>
  <r>
    <m/>
    <m/>
    <x v="1"/>
    <s v="08008932001009"/>
    <n v="-40.299999999999997"/>
    <n v="1383"/>
    <n v="2"/>
    <n v="1"/>
  </r>
  <r>
    <m/>
    <m/>
    <x v="1"/>
    <s v="08116506001004"/>
    <n v="-26.89"/>
    <n v="982"/>
    <n v="1"/>
    <n v="1"/>
  </r>
  <r>
    <m/>
    <m/>
    <x v="1"/>
    <s v="08263254001001"/>
    <n v="-11.66"/>
    <n v="426"/>
    <n v="1"/>
    <n v="1"/>
  </r>
  <r>
    <m/>
    <m/>
    <x v="1"/>
    <s v="08352681002008"/>
    <n v="-25.6"/>
    <n v="935"/>
    <n v="1"/>
    <n v="1"/>
  </r>
  <r>
    <m/>
    <m/>
    <x v="1"/>
    <s v="08567574001005"/>
    <n v="-13.93"/>
    <n v="501"/>
    <n v="2"/>
    <n v="1"/>
  </r>
  <r>
    <m/>
    <m/>
    <x v="1"/>
    <s v="08598891001001"/>
    <n v="-1.32"/>
    <n v="48"/>
    <n v="2"/>
    <n v="1"/>
  </r>
  <r>
    <m/>
    <m/>
    <x v="1"/>
    <s v="08606353001001"/>
    <n v="-8.42"/>
    <n v="273"/>
    <n v="2"/>
    <n v="1"/>
  </r>
  <r>
    <m/>
    <m/>
    <x v="1"/>
    <s v="08685884001001"/>
    <n v="-8.2100000000000009"/>
    <n v="297"/>
    <n v="2"/>
    <n v="1"/>
  </r>
  <r>
    <m/>
    <m/>
    <x v="1"/>
    <s v="08985843002001"/>
    <n v="-44.79"/>
    <n v="1636"/>
    <n v="1"/>
    <n v="1"/>
  </r>
  <r>
    <m/>
    <m/>
    <x v="1"/>
    <s v="09159151001002"/>
    <n v="-46.370000000000005"/>
    <n v="1677"/>
    <n v="2"/>
    <n v="1"/>
  </r>
  <r>
    <m/>
    <m/>
    <x v="1"/>
    <s v="09321662001006"/>
    <n v="-33.18"/>
    <n v="1139"/>
    <n v="2"/>
    <n v="1"/>
  </r>
  <r>
    <m/>
    <m/>
    <x v="1"/>
    <s v="09554541001001"/>
    <n v="-13.76"/>
    <n v="487"/>
    <n v="2"/>
    <n v="1"/>
  </r>
  <r>
    <m/>
    <m/>
    <x v="1"/>
    <s v="09912352001004"/>
    <n v="-15.91"/>
    <n v="546"/>
    <n v="2"/>
    <n v="1"/>
  </r>
  <r>
    <m/>
    <m/>
    <x v="1"/>
    <s v="09917655001001"/>
    <n v="-36.42"/>
    <n v="1263"/>
    <n v="2"/>
    <n v="1"/>
  </r>
  <r>
    <m/>
    <m/>
    <x v="1"/>
    <s v="10182549001001"/>
    <n v="-18.990000000000002"/>
    <n v="642"/>
    <n v="2"/>
    <n v="1"/>
  </r>
  <r>
    <m/>
    <m/>
    <x v="1"/>
    <s v="10301176001001"/>
    <n v="-0.11"/>
    <n v="4"/>
    <n v="1"/>
    <n v="1"/>
  </r>
  <r>
    <m/>
    <m/>
    <x v="1"/>
    <s v="10394731002001"/>
    <n v="-15.350000000000001"/>
    <n v="509"/>
    <n v="2"/>
    <n v="1"/>
  </r>
  <r>
    <m/>
    <m/>
    <x v="1"/>
    <s v="10559503001001"/>
    <n v="-15.030000000000001"/>
    <n v="496"/>
    <n v="2"/>
    <n v="1"/>
  </r>
  <r>
    <m/>
    <m/>
    <x v="1"/>
    <s v="10636126001004"/>
    <n v="-22.26"/>
    <n v="796"/>
    <n v="2"/>
    <n v="1"/>
  </r>
  <r>
    <m/>
    <m/>
    <x v="1"/>
    <s v="10678960001002"/>
    <n v="-15.370000000000001"/>
    <n v="525"/>
    <n v="2"/>
    <n v="1"/>
  </r>
  <r>
    <m/>
    <m/>
    <x v="1"/>
    <s v="11044266002005"/>
    <n v="-38.17"/>
    <n v="1394"/>
    <n v="1"/>
    <n v="1"/>
  </r>
  <r>
    <m/>
    <m/>
    <x v="1"/>
    <s v="11073517001003"/>
    <n v="-6.7399999999999993"/>
    <n v="244"/>
    <n v="2"/>
    <n v="1"/>
  </r>
  <r>
    <m/>
    <m/>
    <x v="1"/>
    <s v="11266870001001"/>
    <n v="-5.2"/>
    <n v="190"/>
    <n v="1"/>
    <n v="1"/>
  </r>
  <r>
    <m/>
    <m/>
    <x v="1"/>
    <s v="11913025001002"/>
    <n v="-28.330000000000002"/>
    <n v="944"/>
    <n v="2"/>
    <n v="1"/>
  </r>
  <r>
    <m/>
    <m/>
    <x v="1"/>
    <s v="11917791001004"/>
    <n v="-11.83"/>
    <n v="432"/>
    <n v="1"/>
    <n v="1"/>
  </r>
  <r>
    <m/>
    <m/>
    <x v="1"/>
    <s v="11918881001001"/>
    <n v="-8.67"/>
    <n v="310"/>
    <n v="2"/>
    <n v="1"/>
  </r>
  <r>
    <m/>
    <m/>
    <x v="1"/>
    <s v="11937030001007"/>
    <n v="-24.22"/>
    <n v="876"/>
    <n v="2"/>
    <n v="1"/>
  </r>
  <r>
    <m/>
    <m/>
    <x v="1"/>
    <s v="11968828001003"/>
    <n v="-14.61"/>
    <n v="499"/>
    <n v="2"/>
    <n v="1"/>
  </r>
  <r>
    <m/>
    <m/>
    <x v="1"/>
    <s v="12157176001003"/>
    <n v="-0.55000000000000004"/>
    <n v="20"/>
    <n v="1"/>
    <n v="1"/>
  </r>
  <r>
    <m/>
    <m/>
    <x v="1"/>
    <s v="12325069001003"/>
    <n v="-9.31"/>
    <n v="340"/>
    <n v="1"/>
    <n v="1"/>
  </r>
  <r>
    <m/>
    <m/>
    <x v="1"/>
    <s v="12455414001003"/>
    <n v="-20.619999999999997"/>
    <n v="730"/>
    <n v="2"/>
    <n v="1"/>
  </r>
  <r>
    <m/>
    <m/>
    <x v="1"/>
    <s v="12568170001002"/>
    <n v="-16.649999999999999"/>
    <n v="539"/>
    <n v="2"/>
    <n v="1"/>
  </r>
  <r>
    <m/>
    <m/>
    <x v="1"/>
    <s v="12823849001003"/>
    <n v="-21.63"/>
    <n v="790"/>
    <n v="1"/>
    <n v="1"/>
  </r>
  <r>
    <m/>
    <m/>
    <x v="1"/>
    <s v="12836175001001"/>
    <n v="-52.82"/>
    <n v="1929"/>
    <n v="1"/>
    <n v="1"/>
  </r>
  <r>
    <m/>
    <m/>
    <x v="1"/>
    <s v="12968693001002"/>
    <n v="-9.66"/>
    <n v="330"/>
    <n v="2"/>
    <n v="1"/>
  </r>
  <r>
    <m/>
    <m/>
    <x v="1"/>
    <s v="13033808001005"/>
    <n v="-1.86"/>
    <n v="68"/>
    <n v="1"/>
    <n v="1"/>
  </r>
  <r>
    <m/>
    <m/>
    <x v="1"/>
    <s v="13064786005003"/>
    <n v="-4.3"/>
    <n v="138"/>
    <n v="2"/>
    <n v="1"/>
  </r>
  <r>
    <m/>
    <m/>
    <x v="1"/>
    <s v="13184132001003"/>
    <n v="-29.3"/>
    <n v="991"/>
    <n v="2"/>
    <n v="1"/>
  </r>
  <r>
    <m/>
    <m/>
    <x v="1"/>
    <s v="13343334001004"/>
    <n v="-2.68"/>
    <n v="98"/>
    <n v="1"/>
    <n v="1"/>
  </r>
  <r>
    <m/>
    <m/>
    <x v="1"/>
    <s v="13623153001006"/>
    <n v="-8.370000000000001"/>
    <n v="283"/>
    <n v="2"/>
    <n v="1"/>
  </r>
  <r>
    <m/>
    <m/>
    <x v="1"/>
    <s v="13653453001001"/>
    <n v="-21.369999999999997"/>
    <n v="730"/>
    <n v="2"/>
    <n v="1"/>
  </r>
  <r>
    <m/>
    <m/>
    <x v="1"/>
    <s v="13942590001005"/>
    <n v="-14.21"/>
    <n v="519"/>
    <n v="1"/>
    <n v="1"/>
  </r>
  <r>
    <m/>
    <m/>
    <x v="1"/>
    <s v="14223962001009"/>
    <n v="-13.75"/>
    <n v="465"/>
    <n v="2"/>
    <n v="1"/>
  </r>
  <r>
    <m/>
    <m/>
    <x v="1"/>
    <s v="14880751002003"/>
    <n v="-21.06"/>
    <n v="682"/>
    <n v="2"/>
    <n v="1"/>
  </r>
  <r>
    <m/>
    <m/>
    <x v="1"/>
    <s v="14986800001003"/>
    <n v="-26.23"/>
    <n v="958"/>
    <n v="1"/>
    <n v="1"/>
  </r>
  <r>
    <m/>
    <m/>
    <x v="1"/>
    <s v="15113741003003"/>
    <n v="-9.19"/>
    <n v="306"/>
    <n v="2"/>
    <n v="1"/>
  </r>
  <r>
    <m/>
    <m/>
    <x v="1"/>
    <s v="15120810001001"/>
    <n v="-2.21"/>
    <n v="76"/>
    <n v="2"/>
    <n v="1"/>
  </r>
  <r>
    <m/>
    <m/>
    <x v="1"/>
    <s v="15150196001001"/>
    <n v="-17.91"/>
    <n v="612"/>
    <n v="2"/>
    <n v="1"/>
  </r>
  <r>
    <m/>
    <m/>
    <x v="1"/>
    <s v="15171809001001"/>
    <n v="-25.22"/>
    <n v="870"/>
    <n v="2"/>
    <n v="1"/>
  </r>
  <r>
    <m/>
    <m/>
    <x v="1"/>
    <s v="15210168001005"/>
    <n v="-22.73"/>
    <n v="788"/>
    <n v="2"/>
    <n v="1"/>
  </r>
  <r>
    <m/>
    <m/>
    <x v="1"/>
    <s v="15330418003001"/>
    <n v="-18.68"/>
    <n v="599"/>
    <n v="2"/>
    <n v="1"/>
  </r>
  <r>
    <m/>
    <m/>
    <x v="1"/>
    <s v="15503453001003"/>
    <n v="-71.289999999999992"/>
    <n v="2297"/>
    <n v="2"/>
    <n v="1"/>
  </r>
  <r>
    <m/>
    <m/>
    <x v="1"/>
    <s v="15572981001001"/>
    <n v="-21.88"/>
    <n v="799"/>
    <n v="1"/>
    <n v="1"/>
  </r>
  <r>
    <m/>
    <m/>
    <x v="1"/>
    <s v="15769056001001"/>
    <n v="-14.67"/>
    <n v="501"/>
    <n v="2"/>
    <n v="1"/>
  </r>
  <r>
    <m/>
    <m/>
    <x v="1"/>
    <s v="15908468001001"/>
    <n v="-39.51"/>
    <n v="1356"/>
    <n v="2"/>
    <n v="1"/>
  </r>
  <r>
    <m/>
    <m/>
    <x v="1"/>
    <s v="15945184001001"/>
    <n v="-1.53"/>
    <n v="51"/>
    <n v="2"/>
    <n v="1"/>
  </r>
  <r>
    <m/>
    <m/>
    <x v="1"/>
    <s v="16709268001002"/>
    <n v="-17.63"/>
    <n v="627"/>
    <n v="2"/>
    <n v="1"/>
  </r>
  <r>
    <m/>
    <m/>
    <x v="1"/>
    <s v="16766325001001"/>
    <n v="-10.309999999999999"/>
    <n v="352"/>
    <n v="2"/>
    <n v="1"/>
  </r>
  <r>
    <m/>
    <m/>
    <x v="1"/>
    <s v="16910854001003"/>
    <n v="-14.649999999999999"/>
    <n v="472"/>
    <n v="2"/>
    <n v="1"/>
  </r>
  <r>
    <m/>
    <m/>
    <x v="1"/>
    <s v="16954651006001"/>
    <n v="-1.4200000000000002"/>
    <n v="50"/>
    <n v="2"/>
    <n v="1"/>
  </r>
  <r>
    <m/>
    <m/>
    <x v="1"/>
    <s v="16955898001003"/>
    <n v="-22.31"/>
    <n v="815"/>
    <n v="1"/>
    <n v="1"/>
  </r>
  <r>
    <m/>
    <m/>
    <x v="1"/>
    <s v="17064549001001"/>
    <n v="-41.480000000000004"/>
    <n v="1343"/>
    <n v="2"/>
    <n v="1"/>
  </r>
  <r>
    <m/>
    <m/>
    <x v="1"/>
    <s v="17226786001001"/>
    <n v="-6.12"/>
    <n v="196"/>
    <n v="2"/>
    <n v="1"/>
  </r>
  <r>
    <m/>
    <m/>
    <x v="1"/>
    <s v="17540542001001"/>
    <n v="-49.67"/>
    <n v="1627"/>
    <n v="2"/>
    <n v="1"/>
  </r>
  <r>
    <m/>
    <m/>
    <x v="1"/>
    <s v="17581646001002"/>
    <n v="-4.58"/>
    <n v="158"/>
    <n v="2"/>
    <n v="1"/>
  </r>
  <r>
    <m/>
    <m/>
    <x v="1"/>
    <s v="17916622001001"/>
    <n v="-59.39"/>
    <n v="2104"/>
    <n v="2"/>
    <n v="1"/>
  </r>
  <r>
    <m/>
    <m/>
    <x v="1"/>
    <s v="18002664001003"/>
    <n v="-13.23"/>
    <n v="473"/>
    <n v="2"/>
    <n v="1"/>
  </r>
  <r>
    <m/>
    <m/>
    <x v="1"/>
    <s v="18140709001008"/>
    <n v="-37.36"/>
    <n v="1336"/>
    <n v="2"/>
    <n v="1"/>
  </r>
  <r>
    <m/>
    <m/>
    <x v="1"/>
    <s v="18387937001003"/>
    <n v="-22.41"/>
    <n v="769"/>
    <n v="2"/>
    <n v="1"/>
  </r>
  <r>
    <m/>
    <m/>
    <x v="1"/>
    <s v="18519490001001"/>
    <n v="-48.32"/>
    <n v="1710"/>
    <n v="2"/>
    <n v="1"/>
  </r>
  <r>
    <m/>
    <m/>
    <x v="1"/>
    <s v="18598550001004"/>
    <n v="-1.6099999999999999"/>
    <n v="53"/>
    <n v="2"/>
    <n v="1"/>
  </r>
  <r>
    <m/>
    <m/>
    <x v="1"/>
    <s v="18733572001003"/>
    <n v="-33.93"/>
    <n v="1136"/>
    <n v="2"/>
    <n v="1"/>
  </r>
  <r>
    <m/>
    <m/>
    <x v="1"/>
    <s v="18997905001003"/>
    <n v="-45.180000000000007"/>
    <n v="1528"/>
    <n v="2"/>
    <n v="1"/>
  </r>
  <r>
    <m/>
    <m/>
    <x v="1"/>
    <s v="19156129001001"/>
    <n v="-18.899999999999999"/>
    <n v="652"/>
    <n v="2"/>
    <n v="1"/>
  </r>
  <r>
    <m/>
    <m/>
    <x v="1"/>
    <s v="19264796002001"/>
    <n v="-18.27"/>
    <n v="624"/>
    <n v="2"/>
    <n v="1"/>
  </r>
  <r>
    <m/>
    <m/>
    <x v="1"/>
    <s v="19625257001005"/>
    <n v="-41.18"/>
    <n v="1327"/>
    <n v="2"/>
    <n v="1"/>
  </r>
  <r>
    <m/>
    <m/>
    <x v="1"/>
    <s v="20242520001001"/>
    <n v="-4.96"/>
    <n v="181"/>
    <n v="1"/>
    <n v="1"/>
  </r>
  <r>
    <m/>
    <m/>
    <x v="1"/>
    <s v="20263571001001"/>
    <n v="-6.17"/>
    <n v="198"/>
    <n v="2"/>
    <n v="1"/>
  </r>
  <r>
    <m/>
    <m/>
    <x v="1"/>
    <s v="20283219003003"/>
    <n v="-44.769999999999996"/>
    <n v="1529"/>
    <n v="2"/>
    <n v="1"/>
  </r>
  <r>
    <m/>
    <m/>
    <x v="1"/>
    <s v="20367566001001"/>
    <n v="-10.860000000000001"/>
    <n v="350"/>
    <n v="2"/>
    <n v="1"/>
  </r>
  <r>
    <m/>
    <m/>
    <x v="1"/>
    <s v="20416812001003"/>
    <n v="-15.459999999999999"/>
    <n v="498"/>
    <n v="2"/>
    <n v="1"/>
  </r>
  <r>
    <m/>
    <m/>
    <x v="1"/>
    <s v="20480851001001"/>
    <n v="-14.84"/>
    <n v="502"/>
    <n v="2"/>
    <n v="1"/>
  </r>
  <r>
    <m/>
    <m/>
    <x v="1"/>
    <s v="20683934001002"/>
    <n v="-21.1"/>
    <n v="680"/>
    <n v="2"/>
    <n v="1"/>
  </r>
  <r>
    <m/>
    <m/>
    <x v="1"/>
    <s v="20802406001001"/>
    <n v="-8.93"/>
    <n v="301"/>
    <n v="3"/>
    <n v="1"/>
  </r>
  <r>
    <m/>
    <m/>
    <x v="1"/>
    <s v="21045838003008"/>
    <n v="-27.02"/>
    <n v="962"/>
    <n v="2"/>
    <n v="1"/>
  </r>
  <r>
    <m/>
    <m/>
    <x v="1"/>
    <s v="21219326001001"/>
    <n v="-87.240000000000009"/>
    <n v="3087"/>
    <n v="2"/>
    <n v="1"/>
  </r>
  <r>
    <m/>
    <m/>
    <x v="1"/>
    <s v="21429755001006"/>
    <n v="-7.06"/>
    <n v="258"/>
    <n v="1"/>
    <n v="1"/>
  </r>
  <r>
    <m/>
    <m/>
    <x v="1"/>
    <s v="21530313001003"/>
    <n v="-11.86"/>
    <n v="433"/>
    <n v="1"/>
    <n v="1"/>
  </r>
  <r>
    <m/>
    <m/>
    <x v="1"/>
    <s v="21809926001003"/>
    <n v="-16.489999999999998"/>
    <n v="540"/>
    <n v="2"/>
    <n v="1"/>
  </r>
  <r>
    <m/>
    <m/>
    <x v="1"/>
    <s v="21943625001001"/>
    <n v="-8.25"/>
    <n v="283"/>
    <n v="2"/>
    <n v="1"/>
  </r>
  <r>
    <m/>
    <m/>
    <x v="1"/>
    <s v="22106063002001"/>
    <n v="-17.119999999999997"/>
    <n v="585"/>
    <n v="2"/>
    <n v="1"/>
  </r>
  <r>
    <m/>
    <m/>
    <x v="1"/>
    <s v="22358815001001"/>
    <n v="-6.17"/>
    <n v="213"/>
    <n v="2"/>
    <n v="1"/>
  </r>
  <r>
    <m/>
    <m/>
    <x v="1"/>
    <s v="22380133001001"/>
    <n v="-20.25"/>
    <n v="724"/>
    <n v="2"/>
    <n v="1"/>
  </r>
  <r>
    <m/>
    <m/>
    <x v="1"/>
    <s v="22617306001001"/>
    <n v="-15.87"/>
    <n v="542"/>
    <n v="2"/>
    <n v="1"/>
  </r>
  <r>
    <m/>
    <m/>
    <x v="1"/>
    <s v="22642605006001"/>
    <n v="-45.72"/>
    <n v="1531"/>
    <n v="2"/>
    <n v="1"/>
  </r>
  <r>
    <m/>
    <m/>
    <x v="1"/>
    <s v="22784555001001"/>
    <n v="-16.43"/>
    <n v="600"/>
    <n v="1"/>
    <n v="1"/>
  </r>
  <r>
    <m/>
    <m/>
    <x v="1"/>
    <s v="22793293001002"/>
    <n v="-5.53"/>
    <n v="184"/>
    <n v="2"/>
    <n v="1"/>
  </r>
  <r>
    <m/>
    <m/>
    <x v="1"/>
    <s v="22837225001002"/>
    <n v="-18.600000000000001"/>
    <n v="620"/>
    <n v="2"/>
    <n v="1"/>
  </r>
  <r>
    <m/>
    <m/>
    <x v="1"/>
    <s v="22849605001001"/>
    <n v="-57.41"/>
    <n v="1850"/>
    <n v="2"/>
    <n v="1"/>
  </r>
  <r>
    <m/>
    <m/>
    <x v="1"/>
    <s v="23176970001001"/>
    <n v="-26.73"/>
    <n v="947"/>
    <n v="2"/>
    <n v="1"/>
  </r>
  <r>
    <m/>
    <m/>
    <x v="1"/>
    <s v="23407345001001"/>
    <n v="-12.42"/>
    <n v="444"/>
    <n v="2"/>
    <n v="1"/>
  </r>
  <r>
    <m/>
    <m/>
    <x v="1"/>
    <s v="23572773001002"/>
    <n v="-15.580000000000002"/>
    <n v="532"/>
    <n v="2"/>
    <n v="1"/>
  </r>
  <r>
    <m/>
    <m/>
    <x v="1"/>
    <s v="23628172001004"/>
    <n v="-38.11"/>
    <n v="1332"/>
    <n v="2"/>
    <n v="1"/>
  </r>
  <r>
    <m/>
    <m/>
    <x v="1"/>
    <s v="24288214001003"/>
    <n v="-22.529999999999998"/>
    <n v="738"/>
    <n v="2"/>
    <n v="1"/>
  </r>
  <r>
    <m/>
    <m/>
    <x v="1"/>
    <s v="24488041001001"/>
    <n v="-26.48"/>
    <n v="947"/>
    <n v="2"/>
    <n v="1"/>
  </r>
  <r>
    <m/>
    <m/>
    <x v="1"/>
    <s v="24497890004003"/>
    <n v="-2.98"/>
    <n v="102"/>
    <n v="2"/>
    <n v="1"/>
  </r>
  <r>
    <m/>
    <m/>
    <x v="1"/>
    <s v="24516542001001"/>
    <n v="-12.04"/>
    <n v="388"/>
    <n v="2"/>
    <n v="1"/>
  </r>
  <r>
    <m/>
    <m/>
    <x v="1"/>
    <s v="24596484001001"/>
    <n v="-1.01"/>
    <n v="35"/>
    <n v="2"/>
    <n v="1"/>
  </r>
  <r>
    <m/>
    <m/>
    <x v="1"/>
    <s v="24717192001004"/>
    <n v="-19.66"/>
    <n v="700"/>
    <n v="2"/>
    <n v="1"/>
  </r>
  <r>
    <m/>
    <m/>
    <x v="1"/>
    <s v="24897958001001"/>
    <n v="-13.12"/>
    <n v="437"/>
    <n v="2"/>
    <n v="1"/>
  </r>
  <r>
    <m/>
    <m/>
    <x v="1"/>
    <s v="25004556001001"/>
    <n v="-31.490000000000002"/>
    <n v="1092"/>
    <n v="2"/>
    <n v="1"/>
  </r>
  <r>
    <m/>
    <m/>
    <x v="1"/>
    <s v="25126731001002"/>
    <n v="-26.5"/>
    <n v="850"/>
    <n v="2"/>
    <n v="1"/>
  </r>
  <r>
    <m/>
    <m/>
    <x v="1"/>
    <s v="25549425001001"/>
    <n v="-50.13"/>
    <n v="1738"/>
    <n v="2"/>
    <n v="1"/>
  </r>
  <r>
    <m/>
    <m/>
    <x v="1"/>
    <s v="25810340001001"/>
    <n v="-32.47"/>
    <n v="1186"/>
    <n v="1"/>
    <n v="1"/>
  </r>
  <r>
    <m/>
    <m/>
    <x v="1"/>
    <s v="25915661001001"/>
    <n v="-32.370000000000005"/>
    <n v="1111"/>
    <n v="2"/>
    <n v="1"/>
  </r>
  <r>
    <m/>
    <m/>
    <x v="1"/>
    <s v="26054021001002"/>
    <n v="-9.26"/>
    <n v="318"/>
    <n v="2"/>
    <n v="1"/>
  </r>
  <r>
    <m/>
    <m/>
    <x v="1"/>
    <s v="26083422001005"/>
    <n v="-1.1499999999999999"/>
    <n v="42"/>
    <n v="1"/>
    <n v="1"/>
  </r>
  <r>
    <m/>
    <m/>
    <x v="1"/>
    <s v="26176102001007"/>
    <n v="-3.9000000000000004"/>
    <n v="130"/>
    <n v="2"/>
    <n v="1"/>
  </r>
  <r>
    <m/>
    <m/>
    <x v="1"/>
    <s v="26369110002001"/>
    <n v="-25.75"/>
    <n v="911"/>
    <n v="2"/>
    <n v="1"/>
  </r>
  <r>
    <m/>
    <m/>
    <x v="1"/>
    <s v="26406770002001"/>
    <n v="-24.4"/>
    <n v="891"/>
    <n v="1"/>
    <n v="1"/>
  </r>
  <r>
    <m/>
    <m/>
    <x v="1"/>
    <s v="26702999001001"/>
    <n v="-20.7"/>
    <n v="714"/>
    <n v="2"/>
    <n v="1"/>
  </r>
  <r>
    <m/>
    <m/>
    <x v="1"/>
    <s v="26826704001001"/>
    <n v="-43"/>
    <n v="1379"/>
    <n v="2"/>
    <n v="1"/>
  </r>
  <r>
    <m/>
    <m/>
    <x v="1"/>
    <s v="27035079002007"/>
    <n v="-2.4900000000000002"/>
    <n v="91"/>
    <n v="1"/>
    <n v="1"/>
  </r>
  <r>
    <m/>
    <m/>
    <x v="1"/>
    <s v="27356342001008"/>
    <n v="-14.72"/>
    <n v="503"/>
    <n v="2"/>
    <n v="1"/>
  </r>
  <r>
    <m/>
    <m/>
    <x v="1"/>
    <s v="27378709001002"/>
    <n v="-32.129999999999995"/>
    <n v="1149"/>
    <n v="2"/>
    <n v="1"/>
  </r>
  <r>
    <m/>
    <m/>
    <x v="1"/>
    <s v="27457180001003"/>
    <n v="-21.189999999999998"/>
    <n v="686"/>
    <n v="2"/>
    <n v="1"/>
  </r>
  <r>
    <m/>
    <m/>
    <x v="1"/>
    <s v="27492583001002"/>
    <n v="-1.69"/>
    <n v="55"/>
    <n v="2"/>
    <n v="1"/>
  </r>
  <r>
    <m/>
    <m/>
    <x v="1"/>
    <s v="27623010002002"/>
    <n v="-9.129999999999999"/>
    <n v="294"/>
    <n v="2"/>
    <n v="1"/>
  </r>
  <r>
    <m/>
    <m/>
    <x v="1"/>
    <s v="27757021006001"/>
    <n v="-19.509999999999998"/>
    <n v="639"/>
    <n v="2"/>
    <n v="1"/>
  </r>
  <r>
    <m/>
    <m/>
    <x v="1"/>
    <s v="27759845001003"/>
    <n v="-27.52"/>
    <n v="917"/>
    <n v="2"/>
    <n v="1"/>
  </r>
  <r>
    <m/>
    <m/>
    <x v="1"/>
    <s v="27949688001001"/>
    <n v="-37.020000000000003"/>
    <n v="1352"/>
    <n v="1"/>
    <n v="1"/>
  </r>
  <r>
    <m/>
    <m/>
    <x v="1"/>
    <s v="27980753001002"/>
    <n v="-37.020000000000003"/>
    <n v="1352"/>
    <n v="1"/>
    <n v="1"/>
  </r>
  <r>
    <m/>
    <m/>
    <x v="1"/>
    <s v="27986038001001"/>
    <n v="-66.52"/>
    <n v="2272"/>
    <n v="2"/>
    <n v="1"/>
  </r>
  <r>
    <m/>
    <m/>
    <x v="1"/>
    <s v="27991196001001"/>
    <n v="-12.629999999999999"/>
    <n v="427"/>
    <n v="2"/>
    <n v="1"/>
  </r>
  <r>
    <m/>
    <m/>
    <x v="1"/>
    <s v="28227700001002"/>
    <n v="-17.89"/>
    <n v="620"/>
    <n v="2"/>
    <n v="1"/>
  </r>
  <r>
    <m/>
    <m/>
    <x v="1"/>
    <s v="28477040001004"/>
    <n v="-8.52"/>
    <n v="291"/>
    <n v="2"/>
    <n v="1"/>
  </r>
  <r>
    <m/>
    <m/>
    <x v="1"/>
    <s v="28758621002006"/>
    <n v="-11.49"/>
    <n v="370"/>
    <n v="2"/>
    <n v="1"/>
  </r>
  <r>
    <m/>
    <m/>
    <x v="1"/>
    <s v="28937856003001"/>
    <n v="-28.58"/>
    <n v="1044"/>
    <n v="1"/>
    <n v="1"/>
  </r>
  <r>
    <m/>
    <m/>
    <x v="1"/>
    <s v="29018049002001"/>
    <n v="-44.849999999999994"/>
    <n v="1452"/>
    <n v="2"/>
    <n v="1"/>
  </r>
  <r>
    <m/>
    <m/>
    <x v="1"/>
    <s v="29786462001001"/>
    <n v="-14.830000000000002"/>
    <n v="494"/>
    <n v="2"/>
    <n v="1"/>
  </r>
  <r>
    <m/>
    <m/>
    <x v="1"/>
    <s v="30127101002001"/>
    <n v="-18.16"/>
    <n v="646"/>
    <n v="2"/>
    <n v="1"/>
  </r>
  <r>
    <m/>
    <m/>
    <x v="1"/>
    <s v="30133433001001"/>
    <n v="-35.08"/>
    <n v="1226"/>
    <n v="2"/>
    <n v="1"/>
  </r>
  <r>
    <m/>
    <m/>
    <x v="1"/>
    <s v="30249803005001"/>
    <n v="-12.82"/>
    <n v="411"/>
    <n v="2"/>
    <n v="1"/>
  </r>
  <r>
    <m/>
    <m/>
    <x v="1"/>
    <s v="30842696001001"/>
    <n v="-11.22"/>
    <n v="389"/>
    <n v="2"/>
    <n v="1"/>
  </r>
  <r>
    <m/>
    <m/>
    <x v="1"/>
    <s v="30947723001004"/>
    <n v="-21.37"/>
    <n v="741"/>
    <n v="2"/>
    <n v="1"/>
  </r>
  <r>
    <m/>
    <m/>
    <x v="1"/>
    <s v="31266211001004"/>
    <n v="-25.56"/>
    <n v="873"/>
    <n v="2"/>
    <n v="1"/>
  </r>
  <r>
    <m/>
    <m/>
    <x v="1"/>
    <s v="31309940001001"/>
    <n v="-23.57"/>
    <n v="797"/>
    <n v="2"/>
    <n v="1"/>
  </r>
  <r>
    <m/>
    <m/>
    <x v="1"/>
    <s v="31641990001004"/>
    <n v="-31.259999999999998"/>
    <n v="1073"/>
    <n v="2"/>
    <n v="1"/>
  </r>
  <r>
    <m/>
    <m/>
    <x v="1"/>
    <s v="31814385001002"/>
    <n v="-2.7300000000000004"/>
    <n v="97"/>
    <n v="2"/>
    <n v="1"/>
  </r>
  <r>
    <m/>
    <m/>
    <x v="1"/>
    <s v="31945371001001"/>
    <n v="-12.75"/>
    <n v="442"/>
    <n v="2"/>
    <n v="1"/>
  </r>
  <r>
    <m/>
    <m/>
    <x v="1"/>
    <s v="32202242001001"/>
    <n v="-2.1"/>
    <n v="73"/>
    <n v="2"/>
    <n v="1"/>
  </r>
  <r>
    <m/>
    <m/>
    <x v="1"/>
    <s v="32579187001001"/>
    <n v="-6.0200000000000005"/>
    <n v="194"/>
    <n v="2"/>
    <n v="1"/>
  </r>
  <r>
    <m/>
    <m/>
    <x v="1"/>
    <s v="32822815001001"/>
    <n v="-16.59"/>
    <n v="561"/>
    <n v="2"/>
    <n v="1"/>
  </r>
  <r>
    <m/>
    <m/>
    <x v="1"/>
    <s v="32974621002003"/>
    <n v="-20.88"/>
    <n v="684"/>
    <n v="2"/>
    <n v="1"/>
  </r>
  <r>
    <m/>
    <m/>
    <x v="1"/>
    <s v="32981616001003"/>
    <n v="-12.3"/>
    <n v="440"/>
    <n v="2"/>
    <n v="1"/>
  </r>
  <r>
    <m/>
    <m/>
    <x v="1"/>
    <s v="33406654004008"/>
    <n v="-24.189999999999998"/>
    <n v="865"/>
    <n v="2"/>
    <n v="1"/>
  </r>
  <r>
    <m/>
    <m/>
    <x v="1"/>
    <s v="33550060001001"/>
    <n v="-19.670000000000002"/>
    <n v="675"/>
    <n v="2"/>
    <n v="1"/>
  </r>
  <r>
    <m/>
    <m/>
    <x v="1"/>
    <s v="33599323001007"/>
    <n v="-6.33"/>
    <n v="205"/>
    <n v="2"/>
    <n v="1"/>
  </r>
  <r>
    <m/>
    <m/>
    <x v="1"/>
    <s v="33610753004001"/>
    <n v="-40.57"/>
    <n v="1372"/>
    <n v="2"/>
    <n v="1"/>
  </r>
  <r>
    <m/>
    <m/>
    <x v="1"/>
    <s v="33642246001005"/>
    <n v="-12.98"/>
    <n v="439"/>
    <n v="2"/>
    <n v="1"/>
  </r>
  <r>
    <m/>
    <m/>
    <x v="1"/>
    <s v="33687453001001"/>
    <n v="-34.72"/>
    <n v="1230"/>
    <n v="2"/>
    <n v="1"/>
  </r>
  <r>
    <m/>
    <m/>
    <x v="1"/>
    <s v="33824960001003"/>
    <n v="-31.38"/>
    <n v="1146"/>
    <n v="1"/>
    <n v="1"/>
  </r>
  <r>
    <m/>
    <m/>
    <x v="1"/>
    <s v="33829956002003"/>
    <n v="-20.14"/>
    <n v="688"/>
    <n v="2"/>
    <n v="1"/>
  </r>
  <r>
    <m/>
    <m/>
    <x v="1"/>
    <s v="33918140005001"/>
    <n v="-38.68"/>
    <n v="1295"/>
    <n v="2"/>
    <n v="1"/>
  </r>
  <r>
    <m/>
    <m/>
    <x v="1"/>
    <s v="34024657001003"/>
    <n v="-79.099999999999994"/>
    <n v="2889"/>
    <n v="1"/>
    <n v="1"/>
  </r>
  <r>
    <m/>
    <m/>
    <x v="1"/>
    <s v="34181343001001"/>
    <n v="-21.150000000000002"/>
    <n v="765"/>
    <n v="2"/>
    <n v="1"/>
  </r>
  <r>
    <m/>
    <m/>
    <x v="1"/>
    <s v="34494485004001"/>
    <n v="-45.87"/>
    <n v="1485"/>
    <n v="2"/>
    <n v="1"/>
  </r>
  <r>
    <m/>
    <m/>
    <x v="1"/>
    <s v="34671364002001"/>
    <n v="-8.43"/>
    <n v="281"/>
    <n v="2"/>
    <n v="1"/>
  </r>
  <r>
    <m/>
    <m/>
    <x v="1"/>
    <s v="34758238001001"/>
    <n v="-8.4"/>
    <n v="299"/>
    <n v="2"/>
    <n v="1"/>
  </r>
  <r>
    <m/>
    <m/>
    <x v="1"/>
    <s v="34861184002001"/>
    <n v="-54.73"/>
    <n v="1999"/>
    <n v="1"/>
    <n v="1"/>
  </r>
  <r>
    <m/>
    <m/>
    <x v="1"/>
    <s v="34874155001002"/>
    <n v="-8.629999999999999"/>
    <n v="295"/>
    <n v="2"/>
    <n v="1"/>
  </r>
  <r>
    <m/>
    <m/>
    <x v="1"/>
    <s v="35696004001001"/>
    <n v="-42.06"/>
    <n v="1512"/>
    <n v="2"/>
    <n v="1"/>
  </r>
  <r>
    <m/>
    <m/>
    <x v="1"/>
    <s v="35707173001005"/>
    <n v="-16.48"/>
    <n v="552"/>
    <n v="2"/>
    <n v="1"/>
  </r>
  <r>
    <m/>
    <m/>
    <x v="1"/>
    <s v="35958850001005"/>
    <n v="-3.5"/>
    <n v="120"/>
    <n v="2"/>
    <n v="1"/>
  </r>
  <r>
    <m/>
    <m/>
    <x v="1"/>
    <s v="35994242001002"/>
    <n v="-20.170000000000002"/>
    <n v="672"/>
    <n v="2"/>
    <n v="1"/>
  </r>
  <r>
    <m/>
    <m/>
    <x v="1"/>
    <s v="36008083001001"/>
    <n v="-20.95"/>
    <n v="765"/>
    <n v="1"/>
    <n v="1"/>
  </r>
  <r>
    <m/>
    <m/>
    <x v="1"/>
    <s v="36103245002011"/>
    <n v="-57.8"/>
    <n v="1984"/>
    <n v="2"/>
    <n v="1"/>
  </r>
  <r>
    <m/>
    <m/>
    <x v="1"/>
    <s v="36178447001001"/>
    <n v="-9.61"/>
    <n v="333"/>
    <n v="2"/>
    <n v="1"/>
  </r>
  <r>
    <m/>
    <m/>
    <x v="1"/>
    <s v="36557126001001"/>
    <n v="-5.88"/>
    <n v="208"/>
    <n v="2"/>
    <n v="1"/>
  </r>
  <r>
    <m/>
    <m/>
    <x v="1"/>
    <s v="36713764001001"/>
    <n v="-30.66"/>
    <n v="1085"/>
    <n v="2"/>
    <n v="1"/>
  </r>
  <r>
    <m/>
    <m/>
    <x v="1"/>
    <s v="37389778001008"/>
    <n v="-5.58"/>
    <n v="180"/>
    <n v="2"/>
    <n v="1"/>
  </r>
  <r>
    <m/>
    <m/>
    <x v="1"/>
    <s v="37403625004001"/>
    <n v="-57.05"/>
    <n v="1838"/>
    <n v="2"/>
    <n v="1"/>
  </r>
  <r>
    <m/>
    <m/>
    <x v="1"/>
    <s v="37546855001001"/>
    <n v="-16.190000000000001"/>
    <n v="576"/>
    <n v="2"/>
    <n v="1"/>
  </r>
  <r>
    <m/>
    <m/>
    <x v="1"/>
    <s v="37562851001001"/>
    <n v="-9.42"/>
    <n v="305"/>
    <n v="2"/>
    <n v="1"/>
  </r>
  <r>
    <m/>
    <m/>
    <x v="1"/>
    <s v="37568875001003"/>
    <n v="-8.27"/>
    <n v="265"/>
    <n v="2"/>
    <n v="1"/>
  </r>
  <r>
    <m/>
    <m/>
    <x v="1"/>
    <s v="37597820001001"/>
    <n v="-26.68"/>
    <n v="925"/>
    <n v="2"/>
    <n v="1"/>
  </r>
  <r>
    <m/>
    <m/>
    <x v="1"/>
    <s v="37726680001001"/>
    <n v="-78.97999999999999"/>
    <n v="2619"/>
    <n v="2"/>
    <n v="1"/>
  </r>
  <r>
    <m/>
    <m/>
    <x v="1"/>
    <s v="38003358004003"/>
    <n v="-15.32"/>
    <n v="545"/>
    <n v="2"/>
    <n v="1"/>
  </r>
  <r>
    <m/>
    <m/>
    <x v="1"/>
    <s v="38014563001003"/>
    <n v="-55.55"/>
    <n v="1897"/>
    <n v="2"/>
    <n v="1"/>
  </r>
  <r>
    <m/>
    <m/>
    <x v="1"/>
    <s v="38075496001014"/>
    <n v="-35.69"/>
    <n v="1189"/>
    <n v="2"/>
    <n v="1"/>
  </r>
  <r>
    <m/>
    <m/>
    <x v="1"/>
    <s v="38132797001001"/>
    <n v="-60.76"/>
    <n v="2219"/>
    <n v="1"/>
    <n v="1"/>
  </r>
  <r>
    <m/>
    <m/>
    <x v="1"/>
    <s v="38169778001001"/>
    <n v="-34.64"/>
    <n v="1116"/>
    <n v="2"/>
    <n v="1"/>
  </r>
  <r>
    <m/>
    <m/>
    <x v="1"/>
    <s v="38245625004003"/>
    <n v="-39.89"/>
    <n v="1383"/>
    <n v="2"/>
    <n v="1"/>
  </r>
  <r>
    <m/>
    <m/>
    <x v="1"/>
    <s v="38301543001001"/>
    <n v="-21.5"/>
    <n v="765"/>
    <n v="2"/>
    <n v="1"/>
  </r>
  <r>
    <m/>
    <m/>
    <x v="1"/>
    <s v="38431217001001"/>
    <n v="-32.99"/>
    <n v="1205"/>
    <n v="1"/>
    <n v="1"/>
  </r>
  <r>
    <m/>
    <m/>
    <x v="1"/>
    <s v="38815004001003"/>
    <n v="-6.08"/>
    <n v="195"/>
    <n v="2"/>
    <n v="1"/>
  </r>
  <r>
    <m/>
    <m/>
    <x v="1"/>
    <s v="39306286001005"/>
    <n v="-13.08"/>
    <n v="468"/>
    <n v="2"/>
    <n v="1"/>
  </r>
  <r>
    <m/>
    <m/>
    <x v="1"/>
    <s v="39322194001002"/>
    <n v="-14.91"/>
    <n v="517"/>
    <n v="2"/>
    <n v="1"/>
  </r>
  <r>
    <m/>
    <m/>
    <x v="1"/>
    <s v="39404404001003"/>
    <n v="-1.8399999999999999"/>
    <n v="59"/>
    <n v="2"/>
    <n v="1"/>
  </r>
  <r>
    <m/>
    <m/>
    <x v="1"/>
    <s v="39784238001001"/>
    <n v="-13.04"/>
    <n v="441"/>
    <n v="2"/>
    <n v="1"/>
  </r>
  <r>
    <m/>
    <m/>
    <x v="1"/>
    <s v="39860007001003"/>
    <n v="-14.04"/>
    <n v="482"/>
    <n v="2"/>
    <n v="1"/>
  </r>
  <r>
    <m/>
    <m/>
    <x v="1"/>
    <s v="40054017001004"/>
    <n v="-10.530000000000001"/>
    <n v="356"/>
    <n v="2"/>
    <n v="1"/>
  </r>
  <r>
    <m/>
    <m/>
    <x v="1"/>
    <s v="40139824001001"/>
    <n v="-17.39"/>
    <n v="635"/>
    <n v="1"/>
    <n v="1"/>
  </r>
  <r>
    <m/>
    <m/>
    <x v="1"/>
    <s v="40187844001001"/>
    <n v="-5.1899999999999995"/>
    <n v="178"/>
    <n v="2"/>
    <n v="1"/>
  </r>
  <r>
    <m/>
    <m/>
    <x v="1"/>
    <s v="40302520001002"/>
    <n v="-7.8999999999999995"/>
    <n v="281"/>
    <n v="2"/>
    <n v="1"/>
  </r>
  <r>
    <m/>
    <m/>
    <x v="1"/>
    <s v="40601469001003"/>
    <n v="-35.53"/>
    <n v="1264"/>
    <n v="2"/>
    <n v="1"/>
  </r>
  <r>
    <m/>
    <m/>
    <x v="1"/>
    <s v="40694900001003"/>
    <n v="-14.32"/>
    <n v="494"/>
    <n v="2"/>
    <n v="1"/>
  </r>
  <r>
    <m/>
    <m/>
    <x v="1"/>
    <s v="40702084001003"/>
    <n v="-23.07"/>
    <n v="747"/>
    <n v="2"/>
    <n v="1"/>
  </r>
  <r>
    <m/>
    <m/>
    <x v="1"/>
    <s v="40940003001003"/>
    <n v="-24.92"/>
    <n v="891"/>
    <n v="2"/>
    <n v="1"/>
  </r>
  <r>
    <m/>
    <m/>
    <x v="1"/>
    <s v="41291991001001"/>
    <n v="-23.22"/>
    <n v="805"/>
    <n v="2"/>
    <n v="1"/>
  </r>
  <r>
    <m/>
    <m/>
    <x v="1"/>
    <s v="41541188001001"/>
    <n v="-25.07"/>
    <n v="887"/>
    <n v="2"/>
    <n v="1"/>
  </r>
  <r>
    <m/>
    <m/>
    <x v="1"/>
    <s v="41547054001001"/>
    <n v="-4.8600000000000003"/>
    <n v="168"/>
    <n v="2"/>
    <n v="1"/>
  </r>
  <r>
    <m/>
    <m/>
    <x v="1"/>
    <s v="41547810001001"/>
    <n v="-24.82"/>
    <n v="813"/>
    <n v="2"/>
    <n v="1"/>
  </r>
  <r>
    <m/>
    <m/>
    <x v="1"/>
    <s v="41580871001004"/>
    <n v="-38.81"/>
    <n v="1293"/>
    <n v="2"/>
    <n v="1"/>
  </r>
  <r>
    <m/>
    <m/>
    <x v="1"/>
    <s v="41605082002003"/>
    <n v="-16.61"/>
    <n v="594"/>
    <n v="2"/>
    <n v="1"/>
  </r>
  <r>
    <m/>
    <m/>
    <x v="1"/>
    <s v="42015855001008"/>
    <n v="-20.260000000000002"/>
    <n v="656"/>
    <n v="2"/>
    <n v="1"/>
  </r>
  <r>
    <m/>
    <m/>
    <x v="1"/>
    <s v="42053353001001"/>
    <n v="-13.520000000000001"/>
    <n v="446"/>
    <n v="2"/>
    <n v="1"/>
  </r>
  <r>
    <m/>
    <m/>
    <x v="1"/>
    <s v="42073484003001"/>
    <n v="-30.45"/>
    <n v="1112"/>
    <n v="1"/>
    <n v="1"/>
  </r>
  <r>
    <m/>
    <m/>
    <x v="1"/>
    <s v="42099598001001"/>
    <n v="-13.67"/>
    <n v="467"/>
    <n v="2"/>
    <n v="1"/>
  </r>
  <r>
    <m/>
    <m/>
    <x v="1"/>
    <s v="42453517001001"/>
    <n v="-22.060000000000002"/>
    <n v="771"/>
    <n v="2"/>
    <n v="1"/>
  </r>
  <r>
    <m/>
    <m/>
    <x v="1"/>
    <s v="42490701001001"/>
    <n v="-0.22"/>
    <n v="8"/>
    <n v="1"/>
    <n v="1"/>
  </r>
  <r>
    <m/>
    <m/>
    <x v="1"/>
    <s v="42502321001005"/>
    <n v="-12.5"/>
    <n v="423"/>
    <n v="2"/>
    <n v="1"/>
  </r>
  <r>
    <m/>
    <m/>
    <x v="1"/>
    <s v="42503511001002"/>
    <n v="-12.88"/>
    <n v="440"/>
    <n v="2"/>
    <n v="1"/>
  </r>
  <r>
    <m/>
    <m/>
    <x v="1"/>
    <s v="42503651001002"/>
    <n v="-27.74"/>
    <n v="1013"/>
    <n v="1"/>
    <n v="1"/>
  </r>
  <r>
    <m/>
    <m/>
    <x v="1"/>
    <s v="42503721001001"/>
    <n v="-6.19"/>
    <n v="226"/>
    <n v="1"/>
    <n v="1"/>
  </r>
  <r>
    <m/>
    <m/>
    <x v="1"/>
    <s v="42523951001001"/>
    <n v="-5.75"/>
    <n v="210"/>
    <n v="1"/>
    <n v="1"/>
  </r>
  <r>
    <m/>
    <m/>
    <x v="1"/>
    <s v="42539421001001"/>
    <n v="-4.34"/>
    <n v="148"/>
    <n v="2"/>
    <n v="1"/>
  </r>
  <r>
    <m/>
    <m/>
    <x v="1"/>
    <s v="42543901001001"/>
    <n v="-23.54"/>
    <n v="804"/>
    <n v="2"/>
    <n v="1"/>
  </r>
  <r>
    <m/>
    <m/>
    <x v="1"/>
    <s v="42569591004003"/>
    <n v="-2.8200000000000003"/>
    <n v="100"/>
    <n v="2"/>
    <n v="1"/>
  </r>
  <r>
    <m/>
    <m/>
    <x v="1"/>
    <s v="42580441001002"/>
    <n v="-15.29"/>
    <n v="522"/>
    <n v="2"/>
    <n v="1"/>
  </r>
  <r>
    <m/>
    <m/>
    <x v="1"/>
    <s v="42585551001002"/>
    <n v="-17.82"/>
    <n v="651"/>
    <n v="1"/>
    <n v="1"/>
  </r>
  <r>
    <m/>
    <m/>
    <x v="1"/>
    <s v="42591011001001"/>
    <n v="-21.44"/>
    <n v="783"/>
    <n v="1"/>
    <n v="1"/>
  </r>
  <r>
    <m/>
    <m/>
    <x v="1"/>
    <s v="42637141001007"/>
    <n v="-21.93"/>
    <n v="749"/>
    <n v="2"/>
    <n v="1"/>
  </r>
  <r>
    <m/>
    <m/>
    <x v="1"/>
    <s v="42646171001006"/>
    <n v="-10.49"/>
    <n v="364"/>
    <n v="2"/>
    <n v="1"/>
  </r>
  <r>
    <m/>
    <m/>
    <x v="1"/>
    <s v="42649951003006"/>
    <n v="-11.52"/>
    <n v="414"/>
    <n v="2"/>
    <n v="1"/>
  </r>
  <r>
    <m/>
    <m/>
    <x v="1"/>
    <s v="42653101001002"/>
    <n v="-6.79"/>
    <n v="248"/>
    <n v="1"/>
    <n v="1"/>
  </r>
  <r>
    <m/>
    <m/>
    <x v="1"/>
    <s v="42653661001001"/>
    <n v="-5.13"/>
    <n v="177"/>
    <n v="2"/>
    <n v="1"/>
  </r>
  <r>
    <m/>
    <m/>
    <x v="1"/>
    <s v="42654081001004"/>
    <n v="-17.95"/>
    <n v="581"/>
    <n v="2"/>
    <n v="1"/>
  </r>
  <r>
    <m/>
    <m/>
    <x v="1"/>
    <s v="42671651001003"/>
    <n v="-0.69"/>
    <n v="25"/>
    <n v="2"/>
    <n v="1"/>
  </r>
  <r>
    <m/>
    <m/>
    <x v="1"/>
    <s v="42678651001002"/>
    <n v="-24.79"/>
    <n v="891"/>
    <n v="2"/>
    <n v="1"/>
  </r>
  <r>
    <m/>
    <m/>
    <x v="1"/>
    <s v="42712111003004"/>
    <n v="-11.22"/>
    <n v="383"/>
    <n v="2"/>
    <n v="1"/>
  </r>
  <r>
    <m/>
    <m/>
    <x v="1"/>
    <s v="42811861001001"/>
    <n v="-41.23"/>
    <n v="1506"/>
    <n v="1"/>
    <n v="1"/>
  </r>
  <r>
    <m/>
    <m/>
    <x v="1"/>
    <s v="42812561001002"/>
    <n v="-40.299999999999997"/>
    <n v="1472"/>
    <n v="1"/>
    <n v="1"/>
  </r>
  <r>
    <m/>
    <m/>
    <x v="1"/>
    <s v="42837831001001"/>
    <n v="-0.63"/>
    <n v="23"/>
    <n v="1"/>
    <n v="1"/>
  </r>
  <r>
    <m/>
    <m/>
    <x v="1"/>
    <s v="42898451001001"/>
    <n v="-6.19"/>
    <n v="224"/>
    <n v="2"/>
    <n v="1"/>
  </r>
  <r>
    <m/>
    <m/>
    <x v="1"/>
    <s v="42972511001003"/>
    <n v="-14.21"/>
    <n v="519"/>
    <n v="1"/>
    <n v="1"/>
  </r>
  <r>
    <m/>
    <m/>
    <x v="1"/>
    <s v="43016751001009"/>
    <n v="-8.56"/>
    <n v="306"/>
    <n v="2"/>
    <n v="1"/>
  </r>
  <r>
    <m/>
    <m/>
    <x v="1"/>
    <s v="43029771001001"/>
    <n v="-0.25"/>
    <n v="9"/>
    <n v="1"/>
    <n v="1"/>
  </r>
  <r>
    <m/>
    <m/>
    <x v="1"/>
    <s v="43036071001003"/>
    <n v="-5.56"/>
    <n v="203"/>
    <n v="1"/>
    <n v="1"/>
  </r>
  <r>
    <m/>
    <m/>
    <x v="1"/>
    <s v="43037331002001"/>
    <n v="-18.97"/>
    <n v="686"/>
    <n v="2"/>
    <n v="1"/>
  </r>
  <r>
    <m/>
    <m/>
    <x v="1"/>
    <s v="43067921001001"/>
    <n v="-20.74"/>
    <n v="750"/>
    <n v="2"/>
    <n v="1"/>
  </r>
  <r>
    <m/>
    <m/>
    <x v="1"/>
    <s v="43084721005001"/>
    <n v="-52.349999999999994"/>
    <n v="1872"/>
    <n v="2"/>
    <n v="1"/>
  </r>
  <r>
    <m/>
    <m/>
    <x v="1"/>
    <s v="43103551001002"/>
    <n v="-3.93"/>
    <n v="135"/>
    <n v="2"/>
    <n v="1"/>
  </r>
  <r>
    <m/>
    <m/>
    <x v="1"/>
    <s v="43110271002002"/>
    <n v="-8.23"/>
    <n v="284"/>
    <n v="2"/>
    <n v="1"/>
  </r>
  <r>
    <m/>
    <m/>
    <x v="1"/>
    <s v="43191121002003"/>
    <n v="-53.8"/>
    <n v="1934"/>
    <n v="2"/>
    <n v="1"/>
  </r>
  <r>
    <m/>
    <m/>
    <x v="1"/>
    <s v="43201271002001"/>
    <n v="-23.66"/>
    <n v="864"/>
    <n v="1"/>
    <n v="1"/>
  </r>
  <r>
    <m/>
    <m/>
    <x v="1"/>
    <s v="43218351001006"/>
    <n v="-2.52"/>
    <n v="92"/>
    <n v="1"/>
    <n v="1"/>
  </r>
  <r>
    <m/>
    <m/>
    <x v="1"/>
    <s v="43224441001007"/>
    <n v="-48.76"/>
    <n v="1781"/>
    <n v="1"/>
    <n v="1"/>
  </r>
  <r>
    <m/>
    <m/>
    <x v="1"/>
    <s v="43225001001001"/>
    <n v="-17.45"/>
    <n v="627"/>
    <n v="2"/>
    <n v="1"/>
  </r>
  <r>
    <m/>
    <m/>
    <x v="1"/>
    <s v="43245091005003"/>
    <n v="-16.440000000000001"/>
    <n v="591"/>
    <n v="2"/>
    <n v="1"/>
  </r>
  <r>
    <m/>
    <m/>
    <x v="1"/>
    <s v="43262451002003"/>
    <n v="-12.4"/>
    <n v="428"/>
    <n v="2"/>
    <n v="1"/>
  </r>
  <r>
    <m/>
    <m/>
    <x v="1"/>
    <s v="43282051003001"/>
    <n v="-9.7399999999999984"/>
    <n v="352"/>
    <n v="2"/>
    <n v="1"/>
  </r>
  <r>
    <m/>
    <m/>
    <x v="1"/>
    <s v="43282821001002"/>
    <n v="-51.33"/>
    <n v="1753"/>
    <n v="2"/>
    <n v="1"/>
  </r>
  <r>
    <m/>
    <m/>
    <x v="1"/>
    <s v="43291711002001"/>
    <n v="-6.7"/>
    <n v="241"/>
    <n v="2"/>
    <n v="1"/>
  </r>
  <r>
    <m/>
    <m/>
    <x v="1"/>
    <s v="43334201001001"/>
    <n v="-23.869999999999997"/>
    <n v="849"/>
    <n v="2"/>
    <n v="1"/>
  </r>
  <r>
    <m/>
    <m/>
    <x v="1"/>
    <s v="43346241001002"/>
    <n v="-11.329999999999998"/>
    <n v="403"/>
    <n v="2"/>
    <n v="1"/>
  </r>
  <r>
    <m/>
    <m/>
    <x v="1"/>
    <s v="43347711001001"/>
    <n v="-34.92"/>
    <n v="1242"/>
    <n v="2"/>
    <n v="1"/>
  </r>
  <r>
    <m/>
    <m/>
    <x v="1"/>
    <s v="43363111001003"/>
    <n v="-45.739999999999995"/>
    <n v="1578"/>
    <n v="2"/>
    <n v="1"/>
  </r>
  <r>
    <m/>
    <m/>
    <x v="1"/>
    <s v="43430451001001"/>
    <n v="-3.59"/>
    <n v="127"/>
    <n v="2"/>
    <n v="1"/>
  </r>
  <r>
    <m/>
    <m/>
    <x v="1"/>
    <s v="43485650001007"/>
    <n v="-28.67"/>
    <n v="1047"/>
    <n v="1"/>
    <n v="1"/>
  </r>
  <r>
    <m/>
    <m/>
    <x v="1"/>
    <s v="43530621001001"/>
    <n v="-36.42"/>
    <n v="1244"/>
    <n v="2"/>
    <n v="1"/>
  </r>
  <r>
    <m/>
    <m/>
    <x v="1"/>
    <s v="43581441001001"/>
    <n v="-19.989999999999998"/>
    <n v="693"/>
    <n v="2"/>
    <n v="1"/>
  </r>
  <r>
    <m/>
    <m/>
    <x v="1"/>
    <s v="43586831001002"/>
    <n v="-33.07"/>
    <n v="1102"/>
    <n v="2"/>
    <n v="1"/>
  </r>
  <r>
    <m/>
    <m/>
    <x v="1"/>
    <s v="43611771001002"/>
    <n v="-35.17"/>
    <n v="1207"/>
    <n v="2"/>
    <n v="1"/>
  </r>
  <r>
    <m/>
    <m/>
    <x v="1"/>
    <s v="43688479001001"/>
    <n v="-16.799999999999997"/>
    <n v="557"/>
    <n v="2"/>
    <n v="1"/>
  </r>
  <r>
    <m/>
    <m/>
    <x v="1"/>
    <s v="43696731001001"/>
    <n v="-19.810000000000002"/>
    <n v="660"/>
    <n v="2"/>
    <n v="1"/>
  </r>
  <r>
    <m/>
    <m/>
    <x v="1"/>
    <s v="43721161001001"/>
    <n v="-27.29"/>
    <n v="923"/>
    <n v="2"/>
    <n v="1"/>
  </r>
  <r>
    <m/>
    <m/>
    <x v="1"/>
    <s v="43801381001001"/>
    <n v="-31.520000000000003"/>
    <n v="1093"/>
    <n v="2"/>
    <n v="1"/>
  </r>
  <r>
    <m/>
    <m/>
    <x v="1"/>
    <s v="43856891001002"/>
    <n v="-40.870000000000005"/>
    <n v="1382"/>
    <n v="2"/>
    <n v="1"/>
  </r>
  <r>
    <m/>
    <m/>
    <x v="1"/>
    <s v="43903791001001"/>
    <n v="-0.79"/>
    <n v="27"/>
    <n v="2"/>
    <n v="1"/>
  </r>
  <r>
    <m/>
    <m/>
    <x v="1"/>
    <s v="43928151001002"/>
    <n v="-22.75"/>
    <n v="781"/>
    <n v="2"/>
    <n v="1"/>
  </r>
  <r>
    <m/>
    <m/>
    <x v="1"/>
    <s v="43950201001004"/>
    <n v="-31.299999999999997"/>
    <n v="1069"/>
    <n v="2"/>
    <n v="1"/>
  </r>
  <r>
    <m/>
    <m/>
    <x v="1"/>
    <s v="44017401001003"/>
    <n v="-7.46"/>
    <n v="268"/>
    <n v="2"/>
    <n v="1"/>
  </r>
  <r>
    <m/>
    <m/>
    <x v="1"/>
    <s v="44035671002001"/>
    <n v="-20.04"/>
    <n v="688"/>
    <n v="2"/>
    <n v="1"/>
  </r>
  <r>
    <m/>
    <m/>
    <x v="1"/>
    <s v="44095871001001"/>
    <n v="-48.849999999999994"/>
    <n v="1574"/>
    <n v="2"/>
    <n v="1"/>
  </r>
  <r>
    <m/>
    <m/>
    <x v="1"/>
    <s v="44198701001002"/>
    <n v="-44.809999999999995"/>
    <n v="1586"/>
    <n v="2"/>
    <n v="1"/>
  </r>
  <r>
    <m/>
    <m/>
    <x v="1"/>
    <s v="44217531004001"/>
    <n v="-26.840000000000003"/>
    <n v="938"/>
    <n v="2"/>
    <n v="1"/>
  </r>
  <r>
    <m/>
    <m/>
    <x v="1"/>
    <s v="44235381001002"/>
    <n v="-44.96"/>
    <n v="1551"/>
    <n v="2"/>
    <n v="1"/>
  </r>
  <r>
    <m/>
    <m/>
    <x v="1"/>
    <s v="44237551001002"/>
    <n v="-9.4499999999999993"/>
    <n v="326"/>
    <n v="2"/>
    <n v="1"/>
  </r>
  <r>
    <m/>
    <m/>
    <x v="1"/>
    <s v="44286551002002"/>
    <n v="-20.02"/>
    <n v="664"/>
    <n v="2"/>
    <n v="1"/>
  </r>
  <r>
    <m/>
    <m/>
    <x v="1"/>
    <s v="44296841001008"/>
    <n v="-7.27"/>
    <n v="241"/>
    <n v="2"/>
    <n v="1"/>
  </r>
  <r>
    <m/>
    <m/>
    <x v="1"/>
    <s v="44327781001003"/>
    <n v="-4.1399999999999997"/>
    <n v="133"/>
    <n v="2"/>
    <n v="1"/>
  </r>
  <r>
    <m/>
    <m/>
    <x v="1"/>
    <s v="44340381001001"/>
    <n v="-38.339999999999996"/>
    <n v="1256"/>
    <n v="2"/>
    <n v="1"/>
  </r>
  <r>
    <m/>
    <m/>
    <x v="1"/>
    <s v="44342831002003"/>
    <n v="-6.05"/>
    <n v="195"/>
    <n v="2"/>
    <n v="1"/>
  </r>
  <r>
    <m/>
    <m/>
    <x v="1"/>
    <s v="44379371001001"/>
    <n v="-7.4799999999999995"/>
    <n v="240"/>
    <n v="2"/>
    <n v="1"/>
  </r>
  <r>
    <m/>
    <m/>
    <x v="1"/>
    <s v="44390781002001"/>
    <n v="-10.45"/>
    <n v="335"/>
    <n v="2"/>
    <n v="1"/>
  </r>
  <r>
    <m/>
    <m/>
    <x v="1"/>
    <s v="44416401001001"/>
    <n v="-20.75"/>
    <n v="758"/>
    <n v="1"/>
    <n v="1"/>
  </r>
  <r>
    <m/>
    <m/>
    <x v="1"/>
    <s v="44422491002001"/>
    <n v="-13.28"/>
    <n v="485"/>
    <n v="1"/>
    <n v="1"/>
  </r>
  <r>
    <m/>
    <m/>
    <x v="1"/>
    <s v="44423891001003"/>
    <n v="-13.93"/>
    <n v="496"/>
    <n v="2"/>
    <n v="1"/>
  </r>
  <r>
    <m/>
    <m/>
    <x v="1"/>
    <s v="44424451001001"/>
    <n v="-9.2799999999999994"/>
    <n v="339"/>
    <n v="1"/>
    <n v="1"/>
  </r>
  <r>
    <m/>
    <m/>
    <x v="1"/>
    <s v="44424535001002"/>
    <n v="-21.47"/>
    <n v="719"/>
    <n v="2"/>
    <n v="1"/>
  </r>
  <r>
    <m/>
    <m/>
    <x v="1"/>
    <s v="44431101001001"/>
    <n v="-18.349999999999998"/>
    <n v="654"/>
    <n v="2"/>
    <n v="1"/>
  </r>
  <r>
    <m/>
    <m/>
    <x v="1"/>
    <s v="44463861001002"/>
    <n v="-65.75"/>
    <n v="2339"/>
    <n v="2"/>
    <n v="1"/>
  </r>
  <r>
    <m/>
    <m/>
    <x v="1"/>
    <s v="44470529001002"/>
    <n v="-28.150000000000002"/>
    <n v="971"/>
    <n v="2"/>
    <n v="1"/>
  </r>
  <r>
    <m/>
    <m/>
    <x v="1"/>
    <s v="44484511001002"/>
    <n v="-12.62"/>
    <n v="431"/>
    <n v="2"/>
    <n v="1"/>
  </r>
  <r>
    <m/>
    <m/>
    <x v="1"/>
    <s v="44496438001001"/>
    <n v="-32.82"/>
    <n v="1168"/>
    <n v="2"/>
    <n v="1"/>
  </r>
  <r>
    <m/>
    <m/>
    <x v="1"/>
    <s v="44501801003005"/>
    <n v="-27.12"/>
    <n v="917"/>
    <n v="2"/>
    <n v="1"/>
  </r>
  <r>
    <m/>
    <m/>
    <x v="1"/>
    <s v="44502641001003"/>
    <n v="-48.489999999999995"/>
    <n v="1716"/>
    <n v="2"/>
    <n v="1"/>
  </r>
  <r>
    <m/>
    <m/>
    <x v="1"/>
    <s v="44545061002001"/>
    <n v="-11.8"/>
    <n v="407"/>
    <n v="2"/>
    <n v="1"/>
  </r>
  <r>
    <m/>
    <m/>
    <x v="1"/>
    <s v="44560811001004"/>
    <n v="-8.629999999999999"/>
    <n v="295"/>
    <n v="2"/>
    <n v="1"/>
  </r>
  <r>
    <m/>
    <m/>
    <x v="1"/>
    <s v="44603651002001"/>
    <n v="-37.769999999999996"/>
    <n v="1290"/>
    <n v="2"/>
    <n v="1"/>
  </r>
  <r>
    <m/>
    <m/>
    <x v="1"/>
    <s v="44608551005001"/>
    <n v="-8.82"/>
    <n v="301"/>
    <n v="2"/>
    <n v="1"/>
  </r>
  <r>
    <m/>
    <m/>
    <x v="1"/>
    <s v="44654191001001"/>
    <n v="-10.92"/>
    <n v="375"/>
    <n v="2"/>
    <n v="1"/>
  </r>
  <r>
    <m/>
    <m/>
    <x v="1"/>
    <s v="44688351001001"/>
    <n v="-26.63"/>
    <n v="914"/>
    <n v="2"/>
    <n v="1"/>
  </r>
  <r>
    <m/>
    <m/>
    <x v="1"/>
    <s v="44717961001001"/>
    <n v="-6.3100000000000005"/>
    <n v="218"/>
    <n v="2"/>
    <n v="1"/>
  </r>
  <r>
    <m/>
    <m/>
    <x v="1"/>
    <s v="44737281001001"/>
    <n v="-29.5"/>
    <n v="1044"/>
    <n v="2"/>
    <n v="1"/>
  </r>
  <r>
    <m/>
    <m/>
    <x v="1"/>
    <s v="44760031004001"/>
    <n v="-32.9"/>
    <n v="1065"/>
    <n v="2"/>
    <n v="1"/>
  </r>
  <r>
    <m/>
    <m/>
    <x v="1"/>
    <s v="44770041002001"/>
    <n v="-32.549999999999997"/>
    <n v="1189"/>
    <n v="1"/>
    <n v="1"/>
  </r>
  <r>
    <m/>
    <m/>
    <x v="1"/>
    <s v="44775221002003"/>
    <n v="-16.91"/>
    <n v="572"/>
    <n v="2"/>
    <n v="1"/>
  </r>
  <r>
    <m/>
    <m/>
    <x v="1"/>
    <s v="44781871001001"/>
    <n v="-27.05"/>
    <n v="915"/>
    <n v="2"/>
    <n v="1"/>
  </r>
  <r>
    <m/>
    <m/>
    <x v="1"/>
    <s v="44784741001002"/>
    <n v="-19.3"/>
    <n v="683"/>
    <n v="2"/>
    <n v="1"/>
  </r>
  <r>
    <m/>
    <m/>
    <x v="1"/>
    <s v="44804971001001"/>
    <n v="-1.82"/>
    <n v="62"/>
    <n v="2"/>
    <n v="1"/>
  </r>
  <r>
    <m/>
    <m/>
    <x v="1"/>
    <s v="44811481003005"/>
    <n v="-18"/>
    <n v="624"/>
    <n v="2"/>
    <n v="1"/>
  </r>
  <r>
    <m/>
    <m/>
    <x v="1"/>
    <s v="44827301001001"/>
    <n v="-25.209999999999997"/>
    <n v="896"/>
    <n v="2"/>
    <n v="1"/>
  </r>
  <r>
    <m/>
    <m/>
    <x v="1"/>
    <s v="44828701001004"/>
    <n v="-42.46"/>
    <n v="1509"/>
    <n v="2"/>
    <n v="1"/>
  </r>
  <r>
    <m/>
    <m/>
    <x v="1"/>
    <s v="44828911003009"/>
    <n v="-8.36"/>
    <n v="287"/>
    <n v="2"/>
    <n v="1"/>
  </r>
  <r>
    <m/>
    <m/>
    <x v="1"/>
    <s v="44856771002005"/>
    <n v="-21.03"/>
    <n v="722"/>
    <n v="2"/>
    <n v="1"/>
  </r>
  <r>
    <m/>
    <m/>
    <x v="1"/>
    <s v="44877561001002"/>
    <n v="-11.64"/>
    <n v="425"/>
    <n v="1"/>
    <n v="1"/>
  </r>
  <r>
    <m/>
    <m/>
    <x v="1"/>
    <s v="44881621001001"/>
    <n v="-25.53"/>
    <n v="872"/>
    <n v="2"/>
    <n v="1"/>
  </r>
  <r>
    <m/>
    <m/>
    <x v="1"/>
    <s v="44889251001002"/>
    <n v="-11.43"/>
    <n v="406"/>
    <n v="2"/>
    <n v="1"/>
  </r>
  <r>
    <m/>
    <m/>
    <x v="1"/>
    <s v="44902061004001"/>
    <n v="-34.06"/>
    <n v="1181"/>
    <n v="2"/>
    <n v="1"/>
  </r>
  <r>
    <m/>
    <m/>
    <x v="1"/>
    <s v="44906681002005"/>
    <n v="-17.740000000000002"/>
    <n v="606"/>
    <n v="2"/>
    <n v="1"/>
  </r>
  <r>
    <m/>
    <m/>
    <x v="1"/>
    <s v="44908781005001"/>
    <n v="-31.36"/>
    <n v="1082"/>
    <n v="2"/>
    <n v="1"/>
  </r>
  <r>
    <m/>
    <m/>
    <x v="1"/>
    <s v="44919565001001"/>
    <n v="-4.1100000000000003"/>
    <n v="150"/>
    <n v="1"/>
    <n v="1"/>
  </r>
  <r>
    <m/>
    <m/>
    <x v="1"/>
    <s v="44939791001001"/>
    <n v="-16.28"/>
    <n v="556"/>
    <n v="2"/>
    <n v="1"/>
  </r>
  <r>
    <m/>
    <m/>
    <x v="1"/>
    <s v="44951971004001"/>
    <n v="-47.72"/>
    <n v="1614"/>
    <n v="2"/>
    <n v="1"/>
  </r>
  <r>
    <m/>
    <m/>
    <x v="1"/>
    <s v="44955261001002"/>
    <n v="-55.46"/>
    <n v="1923"/>
    <n v="2"/>
    <n v="1"/>
  </r>
  <r>
    <m/>
    <m/>
    <x v="1"/>
    <s v="44959251002002"/>
    <n v="-26.310000000000002"/>
    <n v="890"/>
    <n v="2"/>
    <n v="1"/>
  </r>
  <r>
    <m/>
    <m/>
    <x v="1"/>
    <s v="44970917001001"/>
    <n v="-12.62"/>
    <n v="461"/>
    <n v="1"/>
    <n v="1"/>
  </r>
  <r>
    <m/>
    <m/>
    <x v="1"/>
    <s v="44978221001001"/>
    <n v="-40.129999999999995"/>
    <n v="1420"/>
    <n v="2"/>
    <n v="1"/>
  </r>
  <r>
    <m/>
    <m/>
    <x v="1"/>
    <s v="44987951001006"/>
    <n v="-39.22"/>
    <n v="1371"/>
    <n v="2"/>
    <n v="1"/>
  </r>
  <r>
    <m/>
    <m/>
    <x v="1"/>
    <s v="44995807001001"/>
    <n v="-14.33"/>
    <n v="510"/>
    <n v="2"/>
    <n v="1"/>
  </r>
  <r>
    <m/>
    <m/>
    <x v="1"/>
    <s v="45037931001001"/>
    <n v="-22.87"/>
    <n v="762"/>
    <n v="2"/>
    <n v="1"/>
  </r>
  <r>
    <m/>
    <m/>
    <x v="1"/>
    <s v="45047591003001"/>
    <n v="-21.35"/>
    <n v="711"/>
    <n v="2"/>
    <n v="1"/>
  </r>
  <r>
    <m/>
    <m/>
    <x v="1"/>
    <s v="45048081001001"/>
    <n v="-47.36"/>
    <n v="1578"/>
    <n v="2"/>
    <n v="1"/>
  </r>
  <r>
    <m/>
    <m/>
    <x v="1"/>
    <s v="45048221001001"/>
    <n v="-25.93"/>
    <n v="864"/>
    <n v="2"/>
    <n v="1"/>
  </r>
  <r>
    <m/>
    <m/>
    <x v="1"/>
    <s v="45049061001001"/>
    <n v="-38.92"/>
    <n v="1297"/>
    <n v="2"/>
    <n v="1"/>
  </r>
  <r>
    <m/>
    <m/>
    <x v="1"/>
    <s v="45055431001001"/>
    <n v="-16"/>
    <n v="533"/>
    <n v="2"/>
    <n v="1"/>
  </r>
  <r>
    <m/>
    <m/>
    <x v="1"/>
    <s v="45057251001005"/>
    <n v="-65.040000000000006"/>
    <n v="2167"/>
    <n v="2"/>
    <n v="1"/>
  </r>
  <r>
    <m/>
    <m/>
    <x v="1"/>
    <s v="45058021001005"/>
    <n v="-31.970000000000002"/>
    <n v="1092"/>
    <n v="2"/>
    <n v="1"/>
  </r>
  <r>
    <m/>
    <m/>
    <x v="1"/>
    <s v="45081401001004"/>
    <n v="-5.6099999999999994"/>
    <n v="187"/>
    <n v="2"/>
    <n v="1"/>
  </r>
  <r>
    <m/>
    <m/>
    <x v="1"/>
    <s v="45097221001001"/>
    <n v="-17.5"/>
    <n v="583"/>
    <n v="2"/>
    <n v="1"/>
  </r>
  <r>
    <m/>
    <m/>
    <x v="1"/>
    <s v="45099461003003"/>
    <n v="-58.339999999999996"/>
    <n v="2039"/>
    <n v="2"/>
    <n v="1"/>
  </r>
  <r>
    <m/>
    <m/>
    <x v="1"/>
    <s v="45110171002003"/>
    <n v="-43.34"/>
    <n v="1542"/>
    <n v="2"/>
    <n v="1"/>
  </r>
  <r>
    <m/>
    <m/>
    <x v="1"/>
    <s v="45120321002003"/>
    <n v="-8.94"/>
    <n v="318"/>
    <n v="2"/>
    <n v="1"/>
  </r>
  <r>
    <m/>
    <m/>
    <x v="1"/>
    <s v="45125151005001"/>
    <n v="-1.22"/>
    <n v="40"/>
    <n v="2"/>
    <n v="1"/>
  </r>
  <r>
    <m/>
    <m/>
    <x v="1"/>
    <s v="45128441001005"/>
    <n v="-2.31"/>
    <n v="77"/>
    <n v="2"/>
    <n v="1"/>
  </r>
  <r>
    <m/>
    <m/>
    <x v="1"/>
    <s v="45130821001001"/>
    <n v="-9.43"/>
    <n v="327"/>
    <n v="2"/>
    <n v="1"/>
  </r>
  <r>
    <m/>
    <m/>
    <x v="1"/>
    <s v="45135453001001"/>
    <n v="-9.26"/>
    <n v="307"/>
    <n v="2"/>
    <n v="1"/>
  </r>
  <r>
    <m/>
    <m/>
    <x v="1"/>
    <s v="45136421001001"/>
    <n v="-51.900000000000006"/>
    <n v="1846"/>
    <n v="2"/>
    <n v="1"/>
  </r>
  <r>
    <m/>
    <m/>
    <x v="1"/>
    <s v="45143631001001"/>
    <n v="-5"/>
    <n v="178"/>
    <n v="2"/>
    <n v="1"/>
  </r>
  <r>
    <m/>
    <m/>
    <x v="1"/>
    <s v="45155461001001"/>
    <n v="-99.72"/>
    <n v="3642"/>
    <n v="1"/>
    <n v="1"/>
  </r>
  <r>
    <m/>
    <m/>
    <x v="1"/>
    <s v="45162811004003"/>
    <n v="-29.27"/>
    <n v="1069"/>
    <n v="1"/>
    <n v="1"/>
  </r>
  <r>
    <m/>
    <m/>
    <x v="1"/>
    <s v="45171701001001"/>
    <n v="-25.44"/>
    <n v="929"/>
    <n v="1"/>
    <n v="1"/>
  </r>
  <r>
    <m/>
    <m/>
    <x v="1"/>
    <s v="45174711001001"/>
    <n v="-23.68"/>
    <n v="865"/>
    <n v="1"/>
    <n v="1"/>
  </r>
  <r>
    <m/>
    <m/>
    <x v="1"/>
    <s v="45177021001002"/>
    <n v="-10.76"/>
    <n v="387"/>
    <n v="2"/>
    <n v="1"/>
  </r>
  <r>
    <m/>
    <m/>
    <x v="1"/>
    <s v="45187451001001"/>
    <n v="-13.55"/>
    <n v="495"/>
    <n v="1"/>
    <n v="1"/>
  </r>
  <r>
    <m/>
    <m/>
    <x v="1"/>
    <s v="45188011001001"/>
    <n v="-13.01"/>
    <n v="475"/>
    <n v="1"/>
    <n v="1"/>
  </r>
  <r>
    <m/>
    <m/>
    <x v="1"/>
    <s v="45191721001004"/>
    <n v="-9.58"/>
    <n v="327"/>
    <n v="2"/>
    <n v="1"/>
  </r>
  <r>
    <m/>
    <m/>
    <x v="1"/>
    <s v="45192001001001"/>
    <n v="-30.25"/>
    <n v="1105"/>
    <n v="1"/>
    <n v="1"/>
  </r>
  <r>
    <m/>
    <m/>
    <x v="1"/>
    <s v="45195991002001"/>
    <n v="-58.18"/>
    <n v="2125"/>
    <n v="1"/>
    <n v="1"/>
  </r>
  <r>
    <m/>
    <m/>
    <x v="1"/>
    <s v="45199631002001"/>
    <n v="-20.23"/>
    <n v="739"/>
    <n v="1"/>
    <n v="1"/>
  </r>
  <r>
    <m/>
    <m/>
    <x v="1"/>
    <s v="45206841001001"/>
    <n v="-32.299999999999997"/>
    <n v="1143"/>
    <n v="2"/>
    <n v="1"/>
  </r>
  <r>
    <m/>
    <m/>
    <x v="1"/>
    <s v="45215369002003"/>
    <n v="-30.619999999999997"/>
    <n v="982"/>
    <n v="2"/>
    <n v="1"/>
  </r>
  <r>
    <m/>
    <m/>
    <x v="1"/>
    <s v="45253671001001"/>
    <n v="-30.95"/>
    <n v="1102"/>
    <n v="2"/>
    <n v="1"/>
  </r>
  <r>
    <m/>
    <m/>
    <x v="1"/>
    <s v="45259201001001"/>
    <n v="-19.53"/>
    <n v="695"/>
    <n v="2"/>
    <n v="1"/>
  </r>
  <r>
    <m/>
    <m/>
    <x v="1"/>
    <s v="45324791001001"/>
    <n v="-62.78"/>
    <n v="2293"/>
    <n v="1"/>
    <n v="1"/>
  </r>
  <r>
    <m/>
    <m/>
    <x v="1"/>
    <s v="45353911001001"/>
    <n v="-14.33"/>
    <n v="515"/>
    <n v="2"/>
    <n v="1"/>
  </r>
  <r>
    <m/>
    <m/>
    <x v="1"/>
    <s v="45356011003001"/>
    <n v="-49.34"/>
    <n v="1802"/>
    <n v="1"/>
    <n v="1"/>
  </r>
  <r>
    <m/>
    <m/>
    <x v="1"/>
    <s v="45361541002001"/>
    <n v="-35.53"/>
    <n v="1265"/>
    <n v="2"/>
    <n v="1"/>
  </r>
  <r>
    <m/>
    <m/>
    <x v="1"/>
    <s v="45382261001001"/>
    <n v="-41.989999999999995"/>
    <n v="1495"/>
    <n v="2"/>
    <n v="1"/>
  </r>
  <r>
    <m/>
    <m/>
    <x v="1"/>
    <s v="45403331001002"/>
    <n v="-48.85"/>
    <n v="1784"/>
    <n v="1"/>
    <n v="1"/>
  </r>
  <r>
    <m/>
    <m/>
    <x v="1"/>
    <s v="45420831002002"/>
    <n v="-33.6"/>
    <n v="1208"/>
    <n v="2"/>
    <n v="1"/>
  </r>
  <r>
    <m/>
    <m/>
    <x v="1"/>
    <s v="45443161001003"/>
    <n v="-24.28"/>
    <n v="864"/>
    <n v="2"/>
    <n v="1"/>
  </r>
  <r>
    <m/>
    <m/>
    <x v="1"/>
    <s v="45451701001002"/>
    <n v="-78.59"/>
    <n v="2796"/>
    <n v="2"/>
    <n v="1"/>
  </r>
  <r>
    <m/>
    <m/>
    <x v="1"/>
    <s v="45473261001002"/>
    <n v="-13.51"/>
    <n v="481"/>
    <n v="2"/>
    <n v="1"/>
  </r>
  <r>
    <m/>
    <m/>
    <x v="1"/>
    <s v="45485021002002"/>
    <n v="-19.61"/>
    <n v="629"/>
    <n v="2"/>
    <n v="1"/>
  </r>
  <r>
    <m/>
    <m/>
    <x v="1"/>
    <s v="45487611001002"/>
    <n v="-22.58"/>
    <n v="771"/>
    <n v="2"/>
    <n v="1"/>
  </r>
  <r>
    <m/>
    <m/>
    <x v="1"/>
    <s v="45497761001001"/>
    <n v="-4.1900000000000004"/>
    <n v="153"/>
    <n v="1"/>
    <n v="1"/>
  </r>
  <r>
    <m/>
    <m/>
    <x v="1"/>
    <s v="45500071002005"/>
    <n v="-24.84"/>
    <n v="893"/>
    <n v="2"/>
    <n v="1"/>
  </r>
  <r>
    <m/>
    <m/>
    <x v="1"/>
    <s v="45503921006001"/>
    <n v="-19.39"/>
    <n v="708"/>
    <n v="1"/>
    <n v="1"/>
  </r>
  <r>
    <m/>
    <m/>
    <x v="1"/>
    <s v="45512671001001"/>
    <n v="-54.07"/>
    <n v="1924"/>
    <n v="2"/>
    <n v="1"/>
  </r>
  <r>
    <m/>
    <m/>
    <x v="1"/>
    <s v="45514281001001"/>
    <n v="-14.709999999999999"/>
    <n v="523"/>
    <n v="2"/>
    <n v="1"/>
  </r>
  <r>
    <m/>
    <m/>
    <x v="1"/>
    <s v="45519246001001"/>
    <n v="-40.5"/>
    <n v="1479"/>
    <n v="1"/>
    <n v="1"/>
  </r>
  <r>
    <m/>
    <m/>
    <x v="1"/>
    <s v="45529821001003"/>
    <n v="-0.5"/>
    <n v="18"/>
    <n v="2"/>
    <n v="1"/>
  </r>
  <r>
    <m/>
    <m/>
    <x v="1"/>
    <s v="45555091001004"/>
    <n v="-33.21"/>
    <n v="1213"/>
    <n v="1"/>
    <n v="1"/>
  </r>
  <r>
    <m/>
    <m/>
    <x v="1"/>
    <s v="45575065001004"/>
    <n v="-0.29000000000000004"/>
    <n v="10"/>
    <n v="2"/>
    <n v="1"/>
  </r>
  <r>
    <m/>
    <m/>
    <x v="1"/>
    <s v="45597371001001"/>
    <n v="-17.989999999999998"/>
    <n v="657"/>
    <n v="1"/>
    <n v="1"/>
  </r>
  <r>
    <m/>
    <m/>
    <x v="1"/>
    <s v="45629221001003"/>
    <n v="-32.69"/>
    <n v="1158"/>
    <n v="2"/>
    <n v="1"/>
  </r>
  <r>
    <m/>
    <m/>
    <x v="1"/>
    <s v="45644831001001"/>
    <n v="-10.860000000000001"/>
    <n v="350"/>
    <n v="2"/>
    <n v="1"/>
  </r>
  <r>
    <m/>
    <m/>
    <x v="1"/>
    <s v="45645881001002"/>
    <n v="-103"/>
    <n v="3319"/>
    <n v="2"/>
    <n v="1"/>
  </r>
  <r>
    <m/>
    <m/>
    <x v="1"/>
    <s v="45665201001006"/>
    <n v="-4.96"/>
    <n v="159"/>
    <n v="2"/>
    <n v="1"/>
  </r>
  <r>
    <m/>
    <m/>
    <x v="1"/>
    <s v="45692851001001"/>
    <n v="-25.520000000000003"/>
    <n v="826"/>
    <n v="2"/>
    <n v="1"/>
  </r>
  <r>
    <m/>
    <m/>
    <x v="1"/>
    <s v="45694601001001"/>
    <n v="-29.369999999999997"/>
    <n v="951"/>
    <n v="2"/>
    <n v="1"/>
  </r>
  <r>
    <m/>
    <m/>
    <x v="1"/>
    <s v="45725261001001"/>
    <n v="-45.809999999999995"/>
    <n v="1483"/>
    <n v="2"/>
    <n v="1"/>
  </r>
  <r>
    <m/>
    <m/>
    <x v="1"/>
    <s v="45742621001001"/>
    <n v="-27.729999999999997"/>
    <n v="898"/>
    <n v="2"/>
    <n v="1"/>
  </r>
  <r>
    <m/>
    <m/>
    <x v="1"/>
    <s v="45751371001001"/>
    <n v="-18.28"/>
    <n v="592"/>
    <n v="2"/>
    <n v="1"/>
  </r>
  <r>
    <m/>
    <m/>
    <x v="1"/>
    <s v="45768031001001"/>
    <n v="-9.1199999999999992"/>
    <n v="295"/>
    <n v="2"/>
    <n v="1"/>
  </r>
  <r>
    <m/>
    <m/>
    <x v="1"/>
    <s v="45785601001001"/>
    <n v="-12.97"/>
    <n v="425"/>
    <n v="2"/>
    <n v="1"/>
  </r>
  <r>
    <m/>
    <m/>
    <x v="1"/>
    <s v="45787701001001"/>
    <n v="-13.190000000000001"/>
    <n v="432"/>
    <n v="2"/>
    <n v="1"/>
  </r>
  <r>
    <m/>
    <m/>
    <x v="1"/>
    <s v="45846991001001"/>
    <n v="-22.86"/>
    <n v="835"/>
    <n v="1"/>
    <n v="1"/>
  </r>
  <r>
    <m/>
    <m/>
    <x v="1"/>
    <s v="45878001001001"/>
    <n v="-22.26"/>
    <n v="813"/>
    <n v="1"/>
    <n v="1"/>
  </r>
  <r>
    <m/>
    <m/>
    <x v="1"/>
    <s v="45884231001001"/>
    <n v="-50.32"/>
    <n v="1838"/>
    <n v="1"/>
    <n v="1"/>
  </r>
  <r>
    <m/>
    <m/>
    <x v="1"/>
    <s v="45930081004001"/>
    <n v="-13.91"/>
    <n v="448"/>
    <n v="2"/>
    <n v="1"/>
  </r>
  <r>
    <m/>
    <m/>
    <x v="1"/>
    <s v="45934211002001"/>
    <n v="-33.21"/>
    <n v="1213"/>
    <n v="1"/>
    <n v="1"/>
  </r>
  <r>
    <m/>
    <m/>
    <x v="1"/>
    <s v="45934561001007"/>
    <n v="-16.760000000000002"/>
    <n v="540"/>
    <n v="2"/>
    <n v="1"/>
  </r>
  <r>
    <m/>
    <m/>
    <x v="1"/>
    <s v="45935331001004"/>
    <n v="-13.09"/>
    <n v="478"/>
    <n v="1"/>
    <n v="1"/>
  </r>
  <r>
    <m/>
    <m/>
    <x v="1"/>
    <s v="46014571002003"/>
    <n v="-19.14"/>
    <n v="627"/>
    <n v="2"/>
    <n v="1"/>
  </r>
  <r>
    <m/>
    <m/>
    <x v="1"/>
    <s v="46041661001003"/>
    <n v="-69.650000000000006"/>
    <n v="2321"/>
    <n v="2"/>
    <n v="1"/>
  </r>
  <r>
    <m/>
    <m/>
    <x v="1"/>
    <s v="46074016001001"/>
    <n v="-23.03"/>
    <n v="841"/>
    <n v="1"/>
    <n v="1"/>
  </r>
  <r>
    <m/>
    <m/>
    <x v="1"/>
    <s v="46098781002001"/>
    <n v="-37.67"/>
    <n v="1376"/>
    <n v="1"/>
    <n v="1"/>
  </r>
  <r>
    <m/>
    <m/>
    <x v="1"/>
    <s v="46112081001002"/>
    <n v="-47.959999999999994"/>
    <n v="1622"/>
    <n v="2"/>
    <n v="1"/>
  </r>
  <r>
    <m/>
    <m/>
    <x v="1"/>
    <s v="46115161001001"/>
    <n v="-19.11"/>
    <n v="698"/>
    <n v="1"/>
    <n v="1"/>
  </r>
  <r>
    <m/>
    <m/>
    <x v="1"/>
    <s v="46120971001001"/>
    <n v="-5.72"/>
    <n v="209"/>
    <n v="1"/>
    <n v="1"/>
  </r>
  <r>
    <m/>
    <m/>
    <x v="1"/>
    <s v="46135041001002"/>
    <n v="-53.61"/>
    <n v="1958"/>
    <n v="1"/>
    <n v="1"/>
  </r>
  <r>
    <m/>
    <m/>
    <x v="1"/>
    <s v="46146381001003"/>
    <n v="-40.08"/>
    <n v="1464"/>
    <n v="1"/>
    <n v="1"/>
  </r>
  <r>
    <m/>
    <m/>
    <x v="1"/>
    <s v="46149601001005"/>
    <n v="-34.880000000000003"/>
    <n v="1274"/>
    <n v="1"/>
    <n v="1"/>
  </r>
  <r>
    <m/>
    <m/>
    <x v="1"/>
    <s v="46153451002001"/>
    <n v="-16.78"/>
    <n v="600"/>
    <n v="2"/>
    <n v="1"/>
  </r>
  <r>
    <m/>
    <m/>
    <x v="1"/>
    <s v="46164021008001"/>
    <n v="-4.87"/>
    <n v="174"/>
    <n v="2"/>
    <n v="1"/>
  </r>
  <r>
    <m/>
    <m/>
    <x v="1"/>
    <s v="46168151004003"/>
    <n v="-17.8"/>
    <n v="650"/>
    <n v="1"/>
    <n v="1"/>
  </r>
  <r>
    <m/>
    <m/>
    <x v="1"/>
    <s v="46205811013001"/>
    <n v="-93.07"/>
    <n v="3049"/>
    <n v="2"/>
    <n v="1"/>
  </r>
  <r>
    <m/>
    <m/>
    <x v="1"/>
    <s v="46246971001001"/>
    <n v="-64"/>
    <n v="2112"/>
    <n v="2"/>
    <n v="1"/>
  </r>
  <r>
    <m/>
    <m/>
    <x v="1"/>
    <s v="46289951001001"/>
    <n v="-21.28"/>
    <n v="689"/>
    <n v="2"/>
    <n v="1"/>
  </r>
  <r>
    <m/>
    <m/>
    <x v="1"/>
    <s v="46336781001001"/>
    <n v="-18.559999999999999"/>
    <n v="678"/>
    <n v="1"/>
    <n v="1"/>
  </r>
  <r>
    <m/>
    <m/>
    <x v="1"/>
    <s v="46337411001001"/>
    <n v="-1.56"/>
    <n v="57"/>
    <n v="1"/>
    <n v="1"/>
  </r>
  <r>
    <m/>
    <m/>
    <x v="1"/>
    <s v="46339021001001"/>
    <n v="-29.46"/>
    <n v="1076"/>
    <n v="1"/>
    <n v="1"/>
  </r>
  <r>
    <m/>
    <m/>
    <x v="1"/>
    <s v="46341891001007"/>
    <n v="-18.32"/>
    <n v="669"/>
    <n v="1"/>
    <n v="1"/>
  </r>
  <r>
    <m/>
    <m/>
    <x v="1"/>
    <s v="46350221006001"/>
    <n v="-0.71"/>
    <n v="26"/>
    <n v="1"/>
    <n v="1"/>
  </r>
  <r>
    <m/>
    <m/>
    <x v="1"/>
    <s v="46365691001001"/>
    <n v="-28.45"/>
    <n v="1039"/>
    <n v="1"/>
    <n v="1"/>
  </r>
  <r>
    <m/>
    <m/>
    <x v="1"/>
    <s v="46370031001001"/>
    <n v="-43.7"/>
    <n v="1596"/>
    <n v="1"/>
    <n v="1"/>
  </r>
  <r>
    <m/>
    <m/>
    <x v="1"/>
    <s v="46383371002005"/>
    <n v="-2.62"/>
    <n v="84"/>
    <n v="2"/>
    <n v="1"/>
  </r>
  <r>
    <m/>
    <m/>
    <x v="1"/>
    <s v="46403001005001"/>
    <n v="-53.81"/>
    <n v="1734"/>
    <n v="2"/>
    <n v="1"/>
  </r>
  <r>
    <m/>
    <m/>
    <x v="1"/>
    <s v="46432121004001"/>
    <n v="-51.15"/>
    <n v="1868"/>
    <n v="1"/>
    <n v="1"/>
  </r>
  <r>
    <m/>
    <m/>
    <x v="1"/>
    <s v="46438981001002"/>
    <n v="-54.29"/>
    <n v="1983"/>
    <n v="1"/>
    <n v="1"/>
  </r>
  <r>
    <m/>
    <m/>
    <x v="1"/>
    <s v="46461591002001"/>
    <n v="-17.37"/>
    <n v="557"/>
    <n v="2"/>
    <n v="1"/>
  </r>
  <r>
    <m/>
    <m/>
    <x v="1"/>
    <s v="46462501001003"/>
    <n v="-40.32"/>
    <n v="1293"/>
    <n v="2"/>
    <n v="1"/>
  </r>
  <r>
    <m/>
    <m/>
    <x v="1"/>
    <s v="46469081002006"/>
    <n v="-9.32"/>
    <n v="299"/>
    <n v="2"/>
    <n v="1"/>
  </r>
  <r>
    <m/>
    <m/>
    <x v="1"/>
    <s v="46475241001003"/>
    <n v="-31.27"/>
    <n v="1142"/>
    <n v="1"/>
    <n v="1"/>
  </r>
  <r>
    <m/>
    <m/>
    <x v="1"/>
    <s v="46482661001005"/>
    <n v="-65.2"/>
    <n v="2091"/>
    <n v="2"/>
    <n v="1"/>
  </r>
  <r>
    <m/>
    <m/>
    <x v="1"/>
    <s v="46581641003003"/>
    <n v="-4.08"/>
    <n v="131"/>
    <n v="2"/>
    <n v="1"/>
  </r>
  <r>
    <m/>
    <m/>
    <x v="1"/>
    <s v="46605651001001"/>
    <n v="-17.07"/>
    <n v="566"/>
    <n v="2"/>
    <n v="1"/>
  </r>
  <r>
    <m/>
    <m/>
    <x v="1"/>
    <s v="46666481001001"/>
    <n v="-43.1"/>
    <n v="1443"/>
    <n v="2"/>
    <n v="1"/>
  </r>
  <r>
    <m/>
    <m/>
    <x v="1"/>
    <s v="46684121001001"/>
    <n v="-64.64"/>
    <n v="2186"/>
    <n v="2"/>
    <n v="1"/>
  </r>
  <r>
    <m/>
    <m/>
    <x v="1"/>
    <s v="46763571002001"/>
    <n v="-2.4"/>
    <n v="82"/>
    <n v="2"/>
    <n v="1"/>
  </r>
  <r>
    <m/>
    <m/>
    <x v="1"/>
    <s v="46768751006006"/>
    <n v="-20.260000000000002"/>
    <n v="692"/>
    <n v="2"/>
    <n v="1"/>
  </r>
  <r>
    <m/>
    <m/>
    <x v="1"/>
    <s v="46774841003005"/>
    <n v="-19.97"/>
    <n v="682"/>
    <n v="2"/>
    <n v="1"/>
  </r>
  <r>
    <m/>
    <m/>
    <x v="1"/>
    <s v="46786380002003"/>
    <n v="-46.89"/>
    <n v="1677"/>
    <n v="2"/>
    <n v="1"/>
  </r>
  <r>
    <m/>
    <m/>
    <x v="1"/>
    <s v="46799243001001"/>
    <n v="-43.769999999999996"/>
    <n v="1530"/>
    <n v="2"/>
    <n v="1"/>
  </r>
  <r>
    <m/>
    <m/>
    <x v="1"/>
    <s v="46827201001001"/>
    <n v="-14.02"/>
    <n v="512"/>
    <n v="1"/>
    <n v="1"/>
  </r>
  <r>
    <m/>
    <m/>
    <x v="1"/>
    <s v="46829091001001"/>
    <n v="-12.76"/>
    <n v="466"/>
    <n v="1"/>
    <n v="1"/>
  </r>
  <r>
    <m/>
    <m/>
    <x v="1"/>
    <s v="46831051002001"/>
    <n v="-26.94"/>
    <n v="984"/>
    <n v="1"/>
    <n v="1"/>
  </r>
  <r>
    <m/>
    <m/>
    <x v="1"/>
    <s v="46834201001001"/>
    <n v="-42.55"/>
    <n v="1554"/>
    <n v="1"/>
    <n v="1"/>
  </r>
  <r>
    <m/>
    <m/>
    <x v="1"/>
    <s v="46847221001002"/>
    <n v="-6.79"/>
    <n v="248"/>
    <n v="1"/>
    <n v="1"/>
  </r>
  <r>
    <m/>
    <m/>
    <x v="1"/>
    <s v="46861661001001"/>
    <n v="-22.55"/>
    <n v="751"/>
    <n v="2"/>
    <n v="1"/>
  </r>
  <r>
    <m/>
    <m/>
    <x v="1"/>
    <s v="46948371001001"/>
    <n v="-8.08"/>
    <n v="280"/>
    <n v="2"/>
    <n v="1"/>
  </r>
  <r>
    <m/>
    <m/>
    <x v="1"/>
    <s v="46962301001002"/>
    <n v="-5.28"/>
    <n v="183"/>
    <n v="2"/>
    <n v="1"/>
  </r>
  <r>
    <m/>
    <m/>
    <x v="1"/>
    <s v="46966151001003"/>
    <n v="-14.25"/>
    <n v="457"/>
    <n v="2"/>
    <n v="1"/>
  </r>
  <r>
    <m/>
    <m/>
    <x v="1"/>
    <s v="47113431001001"/>
    <n v="-16.880000000000003"/>
    <n v="557"/>
    <n v="2"/>
    <n v="1"/>
  </r>
  <r>
    <m/>
    <m/>
    <x v="1"/>
    <s v="47142481001004"/>
    <n v="-0.79"/>
    <n v="28"/>
    <n v="2"/>
    <n v="1"/>
  </r>
  <r>
    <m/>
    <m/>
    <x v="1"/>
    <s v="47161241001003"/>
    <n v="-17.2"/>
    <n v="615"/>
    <n v="2"/>
    <n v="1"/>
  </r>
  <r>
    <m/>
    <m/>
    <x v="1"/>
    <s v="47179931001006"/>
    <n v="-14.059999999999999"/>
    <n v="453"/>
    <n v="2"/>
    <n v="1"/>
  </r>
  <r>
    <m/>
    <m/>
    <x v="1"/>
    <s v="47192251001001"/>
    <n v="-16.52"/>
    <n v="591"/>
    <n v="2"/>
    <n v="1"/>
  </r>
  <r>
    <m/>
    <m/>
    <x v="1"/>
    <s v="47194351001001"/>
    <n v="-20.52"/>
    <n v="734"/>
    <n v="2"/>
    <n v="1"/>
  </r>
  <r>
    <m/>
    <m/>
    <x v="1"/>
    <s v="47199424001002"/>
    <n v="-18.990000000000002"/>
    <n v="672"/>
    <n v="2"/>
    <n v="1"/>
  </r>
  <r>
    <m/>
    <m/>
    <x v="1"/>
    <s v="47230121003006"/>
    <n v="-1.3399999999999999"/>
    <n v="48"/>
    <n v="2"/>
    <n v="1"/>
  </r>
  <r>
    <m/>
    <m/>
    <x v="1"/>
    <s v="47260062001002"/>
    <n v="-14.11"/>
    <n v="482"/>
    <n v="2"/>
    <n v="1"/>
  </r>
  <r>
    <m/>
    <m/>
    <x v="1"/>
    <s v="47311671002002"/>
    <n v="-16.23"/>
    <n v="549"/>
    <n v="2"/>
    <n v="1"/>
  </r>
  <r>
    <m/>
    <m/>
    <x v="1"/>
    <s v="47321401002002"/>
    <n v="-14.309999999999999"/>
    <n v="512"/>
    <n v="2"/>
    <n v="1"/>
  </r>
  <r>
    <m/>
    <m/>
    <x v="1"/>
    <s v="47327071003002"/>
    <n v="-7.1"/>
    <n v="246"/>
    <n v="2"/>
    <n v="1"/>
  </r>
  <r>
    <m/>
    <m/>
    <x v="1"/>
    <s v="47354441001003"/>
    <n v="-58.54"/>
    <n v="2138"/>
    <n v="1"/>
    <n v="1"/>
  </r>
  <r>
    <m/>
    <m/>
    <x v="1"/>
    <s v="47354861004001"/>
    <n v="-0.92999999999999994"/>
    <n v="32"/>
    <n v="2"/>
    <n v="1"/>
  </r>
  <r>
    <m/>
    <m/>
    <x v="1"/>
    <s v="47356829001002"/>
    <n v="-1.01"/>
    <n v="36"/>
    <n v="2"/>
    <n v="1"/>
  </r>
  <r>
    <m/>
    <m/>
    <x v="1"/>
    <s v="47484221001003"/>
    <n v="-6.02"/>
    <n v="220"/>
    <n v="1"/>
    <n v="1"/>
  </r>
  <r>
    <m/>
    <m/>
    <x v="1"/>
    <s v="47501091001002"/>
    <n v="-28.18"/>
    <n v="904"/>
    <n v="2"/>
    <n v="1"/>
  </r>
  <r>
    <m/>
    <m/>
    <x v="1"/>
    <s v="47552611001001"/>
    <n v="-46.21"/>
    <n v="1594"/>
    <n v="2"/>
    <n v="1"/>
  </r>
  <r>
    <m/>
    <m/>
    <x v="1"/>
    <s v="47557441001002"/>
    <n v="-27.62"/>
    <n v="943"/>
    <n v="2"/>
    <n v="1"/>
  </r>
  <r>
    <m/>
    <m/>
    <x v="1"/>
    <s v="47600631003001"/>
    <n v="-19.850000000000001"/>
    <n v="678"/>
    <n v="2"/>
    <n v="1"/>
  </r>
  <r>
    <m/>
    <m/>
    <x v="1"/>
    <s v="47605461003004"/>
    <n v="-17.3"/>
    <n v="632"/>
    <n v="1"/>
    <n v="1"/>
  </r>
  <r>
    <m/>
    <m/>
    <x v="1"/>
    <s v="47650471003001"/>
    <n v="-49.620000000000005"/>
    <n v="1599"/>
    <n v="2"/>
    <n v="1"/>
  </r>
  <r>
    <m/>
    <m/>
    <x v="1"/>
    <s v="47670141001007"/>
    <n v="-6.55"/>
    <n v="218"/>
    <n v="2"/>
    <n v="1"/>
  </r>
  <r>
    <m/>
    <m/>
    <x v="1"/>
    <s v="47673221001005"/>
    <n v="-8.4600000000000009"/>
    <n v="274"/>
    <n v="2"/>
    <n v="1"/>
  </r>
  <r>
    <m/>
    <m/>
    <x v="1"/>
    <s v="47682181001016"/>
    <n v="-13.29"/>
    <n v="428"/>
    <n v="2"/>
    <n v="1"/>
  </r>
  <r>
    <m/>
    <m/>
    <x v="1"/>
    <s v="47756941004001"/>
    <n v="-23.09"/>
    <n v="744"/>
    <n v="2"/>
    <n v="1"/>
  </r>
  <r>
    <m/>
    <m/>
    <x v="1"/>
    <s v="47759881007003"/>
    <n v="-28.200000000000003"/>
    <n v="913"/>
    <n v="2"/>
    <n v="1"/>
  </r>
  <r>
    <m/>
    <m/>
    <x v="1"/>
    <s v="47770871001001"/>
    <n v="-29.67"/>
    <n v="1013"/>
    <n v="2"/>
    <n v="1"/>
  </r>
  <r>
    <m/>
    <m/>
    <x v="1"/>
    <s v="47821341001001"/>
    <n v="-32.119999999999997"/>
    <n v="1097"/>
    <n v="2"/>
    <n v="1"/>
  </r>
  <r>
    <m/>
    <m/>
    <x v="1"/>
    <s v="47826619001001"/>
    <n v="-29.16"/>
    <n v="996"/>
    <n v="2"/>
    <n v="1"/>
  </r>
  <r>
    <m/>
    <m/>
    <x v="1"/>
    <s v="47837581001001"/>
    <n v="-11.77"/>
    <n v="402"/>
    <n v="2"/>
    <n v="1"/>
  </r>
  <r>
    <m/>
    <m/>
    <x v="1"/>
    <s v="47854171001002"/>
    <n v="-40.840000000000003"/>
    <n v="1395"/>
    <n v="2"/>
    <n v="1"/>
  </r>
  <r>
    <m/>
    <m/>
    <x v="1"/>
    <s v="47883851001004"/>
    <n v="-40.18"/>
    <n v="1372"/>
    <n v="2"/>
    <n v="1"/>
  </r>
  <r>
    <m/>
    <m/>
    <x v="1"/>
    <s v="47943771004001"/>
    <n v="-29.71"/>
    <n v="953"/>
    <n v="2"/>
    <n v="1"/>
  </r>
  <r>
    <m/>
    <m/>
    <x v="1"/>
    <s v="47943981001003"/>
    <n v="-26.54"/>
    <n v="851"/>
    <n v="2"/>
    <n v="1"/>
  </r>
  <r>
    <m/>
    <m/>
    <x v="1"/>
    <s v="47945381004001"/>
    <n v="-45.07"/>
    <n v="1539"/>
    <n v="2"/>
    <n v="1"/>
  </r>
  <r>
    <m/>
    <m/>
    <x v="1"/>
    <s v="47949511008001"/>
    <n v="-13.22"/>
    <n v="483"/>
    <n v="1"/>
    <n v="1"/>
  </r>
  <r>
    <m/>
    <m/>
    <x v="1"/>
    <s v="47971841001005"/>
    <n v="-13.66"/>
    <n v="455"/>
    <n v="2"/>
    <n v="1"/>
  </r>
  <r>
    <m/>
    <m/>
    <x v="1"/>
    <s v="48036521001001"/>
    <n v="-11.68"/>
    <n v="401"/>
    <n v="2"/>
    <n v="1"/>
  </r>
  <r>
    <m/>
    <m/>
    <x v="1"/>
    <s v="48037781001001"/>
    <n v="-21.97"/>
    <n v="754"/>
    <n v="2"/>
    <n v="1"/>
  </r>
  <r>
    <m/>
    <m/>
    <x v="1"/>
    <s v="48109251001002"/>
    <n v="-11.16"/>
    <n v="385"/>
    <n v="2"/>
    <n v="1"/>
  </r>
  <r>
    <m/>
    <m/>
    <x v="1"/>
    <s v="48115691001003"/>
    <n v="-10.24"/>
    <n v="355"/>
    <n v="2"/>
    <n v="1"/>
  </r>
  <r>
    <m/>
    <m/>
    <x v="1"/>
    <s v="48124752001001"/>
    <n v="-28.14"/>
    <n v="976"/>
    <n v="2"/>
    <n v="1"/>
  </r>
  <r>
    <m/>
    <m/>
    <x v="1"/>
    <s v="48168055001001"/>
    <n v="-42.48"/>
    <n v="1519"/>
    <n v="2"/>
    <n v="1"/>
  </r>
  <r>
    <m/>
    <m/>
    <x v="1"/>
    <s v="48182681001001"/>
    <n v="-15.87"/>
    <n v="509"/>
    <n v="2"/>
    <n v="1"/>
  </r>
  <r>
    <m/>
    <m/>
    <x v="1"/>
    <s v="48194791003001"/>
    <n v="-25.76"/>
    <n v="830"/>
    <n v="2"/>
    <n v="1"/>
  </r>
  <r>
    <m/>
    <m/>
    <x v="1"/>
    <s v="48214181001001"/>
    <n v="-35.660000000000004"/>
    <n v="1206"/>
    <n v="2"/>
    <n v="1"/>
  </r>
  <r>
    <m/>
    <m/>
    <x v="1"/>
    <s v="48215861001001"/>
    <n v="-23.41"/>
    <n v="792"/>
    <n v="2"/>
    <n v="1"/>
  </r>
  <r>
    <m/>
    <m/>
    <x v="1"/>
    <s v="48278021001002"/>
    <n v="-2.0699999999999998"/>
    <n v="70"/>
    <n v="2"/>
    <n v="1"/>
  </r>
  <r>
    <m/>
    <m/>
    <x v="1"/>
    <s v="48474794001001"/>
    <n v="-22.66"/>
    <n v="755"/>
    <n v="2"/>
    <n v="1"/>
  </r>
  <r>
    <m/>
    <m/>
    <x v="1"/>
    <s v="48524754001001"/>
    <n v="-27.5"/>
    <n v="930"/>
    <n v="2"/>
    <n v="1"/>
  </r>
  <r>
    <m/>
    <m/>
    <x v="1"/>
    <s v="48561381001003"/>
    <n v="-39.86"/>
    <n v="1393"/>
    <n v="2"/>
    <n v="1"/>
  </r>
  <r>
    <m/>
    <m/>
    <x v="1"/>
    <s v="48629818001001"/>
    <n v="-9.27"/>
    <n v="306"/>
    <n v="2"/>
    <n v="1"/>
  </r>
  <r>
    <m/>
    <m/>
    <x v="1"/>
    <s v="48660341001001"/>
    <n v="-0.35"/>
    <n v="12"/>
    <n v="2"/>
    <n v="1"/>
  </r>
  <r>
    <m/>
    <m/>
    <x v="1"/>
    <s v="48752136001002"/>
    <n v="-5.16"/>
    <n v="179"/>
    <n v="2"/>
    <n v="1"/>
  </r>
  <r>
    <m/>
    <m/>
    <x v="1"/>
    <s v="48754161004001"/>
    <n v="-37.159999999999997"/>
    <n v="1315"/>
    <n v="2"/>
    <n v="1"/>
  </r>
  <r>
    <m/>
    <m/>
    <x v="1"/>
    <s v="48762278001001"/>
    <n v="-28.85"/>
    <n v="976"/>
    <n v="2"/>
    <n v="1"/>
  </r>
  <r>
    <m/>
    <m/>
    <x v="1"/>
    <s v="48765518001002"/>
    <n v="-25.81"/>
    <n v="919"/>
    <n v="2"/>
    <n v="1"/>
  </r>
  <r>
    <m/>
    <m/>
    <x v="1"/>
    <s v="48813381002001"/>
    <n v="-22.979999999999997"/>
    <n v="737"/>
    <n v="2"/>
    <n v="1"/>
  </r>
  <r>
    <m/>
    <m/>
    <x v="1"/>
    <s v="49145181001005"/>
    <n v="-20.5"/>
    <n v="683"/>
    <n v="2"/>
    <n v="1"/>
  </r>
  <r>
    <m/>
    <m/>
    <x v="1"/>
    <s v="49211191004006"/>
    <n v="-62.699999999999996"/>
    <n v="2030"/>
    <n v="2"/>
    <n v="1"/>
  </r>
  <r>
    <m/>
    <m/>
    <x v="1"/>
    <s v="49267961004003"/>
    <n v="-3.88"/>
    <n v="125"/>
    <n v="2"/>
    <n v="1"/>
  </r>
  <r>
    <m/>
    <m/>
    <x v="1"/>
    <s v="49295541002001"/>
    <n v="-53.64"/>
    <n v="1770"/>
    <n v="2"/>
    <n v="1"/>
  </r>
  <r>
    <m/>
    <m/>
    <x v="1"/>
    <s v="49298970001001"/>
    <n v="-17.28"/>
    <n v="631"/>
    <n v="1"/>
    <n v="1"/>
  </r>
  <r>
    <m/>
    <m/>
    <x v="1"/>
    <s v="49315865001001"/>
    <n v="-8.32"/>
    <n v="299"/>
    <n v="2"/>
    <n v="1"/>
  </r>
  <r>
    <m/>
    <m/>
    <x v="1"/>
    <s v="49371491001002"/>
    <n v="-42.86"/>
    <n v="1550"/>
    <n v="2"/>
    <n v="1"/>
  </r>
  <r>
    <m/>
    <m/>
    <x v="1"/>
    <s v="49418111002001"/>
    <n v="-11.52"/>
    <n v="408"/>
    <n v="2"/>
    <n v="1"/>
  </r>
  <r>
    <m/>
    <m/>
    <x v="1"/>
    <s v="49436870001001"/>
    <n v="-30.119999999999997"/>
    <n v="1034"/>
    <n v="2"/>
    <n v="1"/>
  </r>
  <r>
    <m/>
    <m/>
    <x v="1"/>
    <s v="49448561001001"/>
    <n v="-47.080000000000005"/>
    <n v="1668"/>
    <n v="2"/>
    <n v="1"/>
  </r>
  <r>
    <m/>
    <m/>
    <x v="1"/>
    <s v="49495461002007"/>
    <n v="-9.48"/>
    <n v="324"/>
    <n v="2"/>
    <n v="1"/>
  </r>
  <r>
    <m/>
    <m/>
    <x v="1"/>
    <s v="49495741001001"/>
    <n v="-26.05"/>
    <n v="922"/>
    <n v="2"/>
    <n v="1"/>
  </r>
  <r>
    <m/>
    <m/>
    <x v="1"/>
    <s v="49528221002003"/>
    <n v="-38.980000000000004"/>
    <n v="1256"/>
    <n v="2"/>
    <n v="1"/>
  </r>
  <r>
    <m/>
    <m/>
    <x v="1"/>
    <s v="49549801001003"/>
    <n v="-11.39"/>
    <n v="369"/>
    <n v="2"/>
    <n v="1"/>
  </r>
  <r>
    <m/>
    <m/>
    <x v="1"/>
    <s v="49580313001008"/>
    <n v="-28.12"/>
    <n v="965"/>
    <n v="2"/>
    <n v="1"/>
  </r>
  <r>
    <m/>
    <m/>
    <x v="1"/>
    <s v="49600181003002"/>
    <n v="-42.47"/>
    <n v="1362"/>
    <n v="2"/>
    <n v="1"/>
  </r>
  <r>
    <m/>
    <m/>
    <x v="1"/>
    <s v="49613481002001"/>
    <n v="-50.49"/>
    <n v="1844"/>
    <n v="1"/>
    <n v="1"/>
  </r>
  <r>
    <m/>
    <m/>
    <x v="1"/>
    <s v="49649391002003"/>
    <n v="-31.73"/>
    <n v="1159"/>
    <n v="1"/>
    <n v="1"/>
  </r>
  <r>
    <m/>
    <m/>
    <x v="1"/>
    <s v="49702654001002"/>
    <n v="-7.99"/>
    <n v="292"/>
    <n v="1"/>
    <n v="1"/>
  </r>
  <r>
    <m/>
    <m/>
    <x v="1"/>
    <s v="49717151001001"/>
    <n v="-25.509999999999998"/>
    <n v="818"/>
    <n v="2"/>
    <n v="1"/>
  </r>
  <r>
    <m/>
    <m/>
    <x v="1"/>
    <s v="49866391001002"/>
    <n v="-8.23"/>
    <n v="264"/>
    <n v="2"/>
    <n v="1"/>
  </r>
  <r>
    <m/>
    <m/>
    <x v="1"/>
    <s v="49916861001001"/>
    <n v="-13.21"/>
    <n v="440"/>
    <n v="2"/>
    <n v="1"/>
  </r>
  <r>
    <m/>
    <m/>
    <x v="1"/>
    <s v="49987071002003"/>
    <n v="-4.41"/>
    <n v="161"/>
    <n v="1"/>
    <n v="1"/>
  </r>
  <r>
    <m/>
    <m/>
    <x v="1"/>
    <s v="49992415001001"/>
    <n v="-13.84"/>
    <n v="480"/>
    <n v="2"/>
    <n v="1"/>
  </r>
  <r>
    <m/>
    <m/>
    <x v="1"/>
    <s v="50027341001001"/>
    <n v="-27.65"/>
    <n v="949"/>
    <n v="2"/>
    <n v="1"/>
  </r>
  <r>
    <m/>
    <m/>
    <x v="1"/>
    <s v="50032081001001"/>
    <n v="-37.36"/>
    <n v="1336"/>
    <n v="2"/>
    <n v="1"/>
  </r>
  <r>
    <m/>
    <m/>
    <x v="1"/>
    <s v="50034111002001"/>
    <n v="-21.36"/>
    <n v="764"/>
    <n v="2"/>
    <n v="1"/>
  </r>
  <r>
    <m/>
    <m/>
    <x v="1"/>
    <s v="50095781001001"/>
    <n v="-21.7"/>
    <n v="723"/>
    <n v="2"/>
    <n v="1"/>
  </r>
  <r>
    <m/>
    <m/>
    <x v="1"/>
    <s v="50112861003001"/>
    <n v="-24.05"/>
    <n v="860"/>
    <n v="2"/>
    <n v="1"/>
  </r>
  <r>
    <m/>
    <m/>
    <x v="1"/>
    <s v="50173481004001"/>
    <n v="-16.560000000000002"/>
    <n v="560"/>
    <n v="2"/>
    <n v="1"/>
  </r>
  <r>
    <m/>
    <m/>
    <x v="1"/>
    <s v="50180411011001"/>
    <n v="-25.46"/>
    <n v="930"/>
    <n v="1"/>
    <n v="1"/>
  </r>
  <r>
    <m/>
    <m/>
    <x v="1"/>
    <s v="50186781001001"/>
    <n v="-35.24"/>
    <n v="1287"/>
    <n v="1"/>
    <n v="1"/>
  </r>
  <r>
    <m/>
    <m/>
    <x v="1"/>
    <s v="50198191001001"/>
    <n v="-34.200000000000003"/>
    <n v="1249"/>
    <n v="1"/>
    <n v="1"/>
  </r>
  <r>
    <m/>
    <m/>
    <x v="1"/>
    <s v="50234784001005"/>
    <n v="-46.56"/>
    <n v="1684"/>
    <n v="2"/>
    <n v="1"/>
  </r>
  <r>
    <m/>
    <m/>
    <x v="1"/>
    <s v="50249641001001"/>
    <n v="-38.97"/>
    <n v="1401"/>
    <n v="2"/>
    <n v="1"/>
  </r>
  <r>
    <m/>
    <m/>
    <x v="1"/>
    <s v="50292481001005"/>
    <n v="-13.32"/>
    <n v="429"/>
    <n v="2"/>
    <n v="1"/>
  </r>
  <r>
    <m/>
    <m/>
    <x v="1"/>
    <s v="50305221001001"/>
    <n v="-38.090000000000003"/>
    <n v="1369"/>
    <n v="2"/>
    <n v="1"/>
  </r>
  <r>
    <m/>
    <m/>
    <x v="1"/>
    <s v="50368711001001"/>
    <n v="-41.53"/>
    <n v="1384"/>
    <n v="2"/>
    <n v="1"/>
  </r>
  <r>
    <m/>
    <m/>
    <x v="1"/>
    <s v="50396906001003"/>
    <n v="-67.64"/>
    <n v="2419"/>
    <n v="2"/>
    <n v="1"/>
  </r>
  <r>
    <m/>
    <m/>
    <x v="1"/>
    <s v="50425271002004"/>
    <n v="-0.21000000000000002"/>
    <n v="7"/>
    <n v="2"/>
    <n v="1"/>
  </r>
  <r>
    <m/>
    <m/>
    <x v="1"/>
    <s v="50427931002003"/>
    <n v="-11.32"/>
    <n v="383"/>
    <n v="2"/>
    <n v="1"/>
  </r>
  <r>
    <m/>
    <m/>
    <x v="1"/>
    <s v="50448651006001"/>
    <n v="-23.8"/>
    <n v="851"/>
    <n v="2"/>
    <n v="1"/>
  </r>
  <r>
    <m/>
    <m/>
    <x v="1"/>
    <s v="50689606001003"/>
    <n v="-1.0900000000000001"/>
    <n v="39"/>
    <n v="2"/>
    <n v="1"/>
  </r>
  <r>
    <m/>
    <m/>
    <x v="1"/>
    <s v="50707351001003"/>
    <n v="-77.27000000000001"/>
    <n v="2562"/>
    <n v="2"/>
    <n v="1"/>
  </r>
  <r>
    <m/>
    <m/>
    <x v="1"/>
    <s v="50737681001001"/>
    <n v="-6.08"/>
    <n v="200"/>
    <n v="2"/>
    <n v="1"/>
  </r>
  <r>
    <m/>
    <m/>
    <x v="1"/>
    <s v="50739851009002"/>
    <n v="-15.91"/>
    <n v="515"/>
    <n v="2"/>
    <n v="1"/>
  </r>
  <r>
    <m/>
    <m/>
    <x v="1"/>
    <s v="50740761001001"/>
    <n v="-36.019999999999996"/>
    <n v="1155"/>
    <n v="2"/>
    <n v="1"/>
  </r>
  <r>
    <m/>
    <m/>
    <x v="1"/>
    <s v="50750911003002"/>
    <n v="-5.74"/>
    <n v="188"/>
    <n v="2"/>
    <n v="1"/>
  </r>
  <r>
    <m/>
    <m/>
    <x v="1"/>
    <s v="50773731001001"/>
    <n v="-16.21"/>
    <n v="520"/>
    <n v="2"/>
    <n v="1"/>
  </r>
  <r>
    <m/>
    <m/>
    <x v="1"/>
    <s v="50774501001001"/>
    <n v="-35.799999999999997"/>
    <n v="1148"/>
    <n v="2"/>
    <n v="1"/>
  </r>
  <r>
    <m/>
    <m/>
    <x v="1"/>
    <s v="50779261003001"/>
    <n v="-9.1199999999999992"/>
    <n v="295"/>
    <n v="2"/>
    <n v="1"/>
  </r>
  <r>
    <m/>
    <m/>
    <x v="1"/>
    <s v="50806272001001"/>
    <n v="-20.59"/>
    <n v="733"/>
    <n v="2"/>
    <n v="1"/>
  </r>
  <r>
    <m/>
    <m/>
    <x v="1"/>
    <s v="50814821008001"/>
    <n v="-53.769999999999996"/>
    <n v="1855"/>
    <n v="2"/>
    <n v="1"/>
  </r>
  <r>
    <m/>
    <m/>
    <x v="1"/>
    <s v="50841001001001"/>
    <n v="-1.19"/>
    <n v="39"/>
    <n v="2"/>
    <n v="1"/>
  </r>
  <r>
    <m/>
    <m/>
    <x v="1"/>
    <s v="50849401001002"/>
    <n v="-31.91"/>
    <n v="1154"/>
    <n v="2"/>
    <n v="1"/>
  </r>
  <r>
    <m/>
    <m/>
    <x v="1"/>
    <s v="50858361001001"/>
    <n v="-33.21"/>
    <n v="1088"/>
    <n v="2"/>
    <n v="1"/>
  </r>
  <r>
    <m/>
    <m/>
    <x v="1"/>
    <s v="50858501001001"/>
    <n v="-0.43"/>
    <n v="14"/>
    <n v="2"/>
    <n v="1"/>
  </r>
  <r>
    <m/>
    <m/>
    <x v="1"/>
    <s v="50944181001001"/>
    <n v="-9.7899999999999991"/>
    <n v="323"/>
    <n v="2"/>
    <n v="1"/>
  </r>
  <r>
    <m/>
    <m/>
    <x v="1"/>
    <s v="50968331001004"/>
    <n v="-8.9700000000000006"/>
    <n v="300"/>
    <n v="2"/>
    <n v="1"/>
  </r>
  <r>
    <m/>
    <m/>
    <x v="1"/>
    <s v="50983591002001"/>
    <n v="-5.93"/>
    <n v="205"/>
    <n v="2"/>
    <n v="1"/>
  </r>
  <r>
    <m/>
    <m/>
    <x v="1"/>
    <s v="51002281001001"/>
    <n v="-28.08"/>
    <n v="959"/>
    <n v="2"/>
    <n v="1"/>
  </r>
  <r>
    <m/>
    <m/>
    <x v="1"/>
    <s v="51002491002001"/>
    <n v="-6.97"/>
    <n v="238"/>
    <n v="2"/>
    <n v="1"/>
  </r>
  <r>
    <m/>
    <m/>
    <x v="1"/>
    <s v="51004521001001"/>
    <n v="-16.78"/>
    <n v="573"/>
    <n v="2"/>
    <n v="1"/>
  </r>
  <r>
    <m/>
    <m/>
    <x v="1"/>
    <s v="51005081004002"/>
    <n v="-14.14"/>
    <n v="458"/>
    <n v="2"/>
    <n v="1"/>
  </r>
  <r>
    <m/>
    <m/>
    <x v="1"/>
    <s v="51007181001003"/>
    <n v="-12.88"/>
    <n v="417"/>
    <n v="2"/>
    <n v="1"/>
  </r>
  <r>
    <m/>
    <m/>
    <x v="1"/>
    <s v="51009071001001"/>
    <n v="-17.23"/>
    <n v="555"/>
    <n v="2"/>
    <n v="1"/>
  </r>
  <r>
    <m/>
    <m/>
    <x v="1"/>
    <s v="51010191001001"/>
    <n v="-11.86"/>
    <n v="390"/>
    <n v="2"/>
    <n v="1"/>
  </r>
  <r>
    <m/>
    <m/>
    <x v="1"/>
    <s v="51027411002001"/>
    <n v="-3.05"/>
    <n v="98"/>
    <n v="2"/>
    <n v="1"/>
  </r>
  <r>
    <m/>
    <m/>
    <x v="1"/>
    <s v="51044080001001"/>
    <n v="-1.94"/>
    <n v="71"/>
    <n v="1"/>
    <n v="1"/>
  </r>
  <r>
    <m/>
    <m/>
    <x v="1"/>
    <s v="51050021001002"/>
    <n v="-22.64"/>
    <n v="733"/>
    <n v="2"/>
    <n v="1"/>
  </r>
  <r>
    <m/>
    <m/>
    <x v="1"/>
    <s v="51050721001002"/>
    <n v="-21.77"/>
    <n v="705"/>
    <n v="2"/>
    <n v="1"/>
  </r>
  <r>
    <m/>
    <m/>
    <x v="1"/>
    <s v="51053871001001"/>
    <n v="-10.98"/>
    <n v="354"/>
    <n v="2"/>
    <n v="1"/>
  </r>
  <r>
    <m/>
    <m/>
    <x v="1"/>
    <s v="51067101001006"/>
    <n v="-22.63"/>
    <n v="726"/>
    <n v="2"/>
    <n v="1"/>
  </r>
  <r>
    <m/>
    <m/>
    <x v="1"/>
    <s v="51068641001003"/>
    <n v="-22.03"/>
    <n v="710"/>
    <n v="2"/>
    <n v="1"/>
  </r>
  <r>
    <m/>
    <m/>
    <x v="1"/>
    <s v="51082221002003"/>
    <n v="-26.53"/>
    <n v="855"/>
    <n v="2"/>
    <n v="1"/>
  </r>
  <r>
    <m/>
    <m/>
    <x v="1"/>
    <s v="51098181001001"/>
    <n v="-20.64"/>
    <n v="662"/>
    <n v="2"/>
    <n v="1"/>
  </r>
  <r>
    <m/>
    <m/>
    <x v="1"/>
    <s v="51100771003002"/>
    <n v="-49.98"/>
    <n v="1769"/>
    <n v="2"/>
    <n v="1"/>
  </r>
  <r>
    <m/>
    <m/>
    <x v="1"/>
    <s v="51106511001005"/>
    <n v="-17.32"/>
    <n v="558"/>
    <n v="2"/>
    <n v="1"/>
  </r>
  <r>
    <m/>
    <m/>
    <x v="1"/>
    <s v="51112881010001"/>
    <n v="-55.47"/>
    <n v="1779"/>
    <n v="2"/>
    <n v="1"/>
  </r>
  <r>
    <m/>
    <m/>
    <x v="1"/>
    <s v="51115261001003"/>
    <n v="-21.43"/>
    <n v="732"/>
    <n v="2"/>
    <n v="1"/>
  </r>
  <r>
    <m/>
    <m/>
    <x v="1"/>
    <s v="51118901001001"/>
    <n v="-19.799999999999997"/>
    <n v="635"/>
    <n v="2"/>
    <n v="1"/>
  </r>
  <r>
    <m/>
    <m/>
    <x v="1"/>
    <s v="51122961001001"/>
    <n v="-7.33"/>
    <n v="235"/>
    <n v="2"/>
    <n v="1"/>
  </r>
  <r>
    <m/>
    <m/>
    <x v="1"/>
    <s v="51133041002001"/>
    <n v="-28.44"/>
    <n v="912"/>
    <n v="2"/>
    <n v="1"/>
  </r>
  <r>
    <m/>
    <m/>
    <x v="1"/>
    <s v="51136961001002"/>
    <n v="-22.14"/>
    <n v="710"/>
    <n v="2"/>
    <n v="1"/>
  </r>
  <r>
    <m/>
    <m/>
    <x v="1"/>
    <s v="51138571001004"/>
    <n v="-23.72"/>
    <n v="761"/>
    <n v="2"/>
    <n v="1"/>
  </r>
  <r>
    <m/>
    <m/>
    <x v="1"/>
    <s v="51151311001002"/>
    <n v="-15.94"/>
    <n v="516"/>
    <n v="2"/>
    <n v="1"/>
  </r>
  <r>
    <m/>
    <m/>
    <x v="1"/>
    <s v="51155161001001"/>
    <n v="-18.16"/>
    <n v="588"/>
    <n v="2"/>
    <n v="1"/>
  </r>
  <r>
    <m/>
    <m/>
    <x v="1"/>
    <s v="51155231001001"/>
    <n v="-25.450000000000003"/>
    <n v="824"/>
    <n v="2"/>
    <n v="1"/>
  </r>
  <r>
    <m/>
    <m/>
    <x v="1"/>
    <s v="51165031001003"/>
    <n v="-10.959999999999999"/>
    <n v="355"/>
    <n v="2"/>
    <n v="1"/>
  </r>
  <r>
    <m/>
    <m/>
    <x v="1"/>
    <s v="51166641001002"/>
    <n v="-52.319999999999993"/>
    <n v="1694"/>
    <n v="2"/>
    <n v="1"/>
  </r>
  <r>
    <m/>
    <m/>
    <x v="1"/>
    <s v="51169231001001"/>
    <n v="-32.44"/>
    <n v="1050"/>
    <n v="2"/>
    <n v="1"/>
  </r>
  <r>
    <m/>
    <m/>
    <x v="1"/>
    <s v="51173361004001"/>
    <n v="-11.42"/>
    <n v="368"/>
    <n v="2"/>
    <n v="1"/>
  </r>
  <r>
    <m/>
    <m/>
    <x v="1"/>
    <s v="51175111003001"/>
    <n v="-6.05"/>
    <n v="196"/>
    <n v="2"/>
    <n v="1"/>
  </r>
  <r>
    <m/>
    <m/>
    <x v="1"/>
    <s v="51195901003003"/>
    <n v="-37.959999999999994"/>
    <n v="1229"/>
    <n v="2"/>
    <n v="1"/>
  </r>
  <r>
    <m/>
    <m/>
    <x v="1"/>
    <s v="51198001001002"/>
    <n v="-4.54"/>
    <n v="147"/>
    <n v="2"/>
    <n v="1"/>
  </r>
  <r>
    <m/>
    <m/>
    <x v="1"/>
    <s v="51198211001002"/>
    <n v="-25.099999999999998"/>
    <n v="805"/>
    <n v="2"/>
    <n v="1"/>
  </r>
  <r>
    <m/>
    <m/>
    <x v="1"/>
    <s v="51204931003005"/>
    <n v="-10.65"/>
    <n v="345"/>
    <n v="2"/>
    <n v="1"/>
  </r>
  <r>
    <m/>
    <m/>
    <x v="1"/>
    <s v="51211861001003"/>
    <n v="-1.1100000000000001"/>
    <n v="36"/>
    <n v="2"/>
    <n v="1"/>
  </r>
  <r>
    <m/>
    <m/>
    <x v="1"/>
    <s v="51222851001001"/>
    <n v="-7.6"/>
    <n v="246"/>
    <n v="2"/>
    <n v="1"/>
  </r>
  <r>
    <m/>
    <m/>
    <x v="1"/>
    <s v="51230691001001"/>
    <n v="-35.46"/>
    <n v="1148"/>
    <n v="2"/>
    <n v="1"/>
  </r>
  <r>
    <m/>
    <m/>
    <x v="1"/>
    <s v="51232231001002"/>
    <n v="-40.96"/>
    <n v="1342"/>
    <n v="2"/>
    <n v="1"/>
  </r>
  <r>
    <m/>
    <m/>
    <x v="1"/>
    <s v="51236151001001"/>
    <n v="-48.68"/>
    <n v="1576"/>
    <n v="2"/>
    <n v="1"/>
  </r>
  <r>
    <m/>
    <m/>
    <x v="1"/>
    <s v="51293341001001"/>
    <n v="-30.36"/>
    <n v="1109"/>
    <n v="1"/>
    <n v="1"/>
  </r>
  <r>
    <m/>
    <m/>
    <x v="1"/>
    <s v="51324911001001"/>
    <n v="-11.86"/>
    <n v="433"/>
    <n v="1"/>
    <n v="1"/>
  </r>
  <r>
    <m/>
    <m/>
    <x v="1"/>
    <s v="51328341003001"/>
    <n v="-28.840000000000003"/>
    <n v="990"/>
    <n v="2"/>
    <n v="1"/>
  </r>
  <r>
    <m/>
    <m/>
    <x v="1"/>
    <s v="51333171001001"/>
    <n v="-66.12"/>
    <n v="2391"/>
    <n v="2"/>
    <n v="1"/>
  </r>
  <r>
    <m/>
    <m/>
    <x v="1"/>
    <s v="51335971001001"/>
    <n v="-39.82"/>
    <n v="1440"/>
    <n v="2"/>
    <n v="1"/>
  </r>
  <r>
    <m/>
    <m/>
    <x v="1"/>
    <s v="51344791001003"/>
    <n v="-23.82"/>
    <n v="764"/>
    <n v="2"/>
    <n v="1"/>
  </r>
  <r>
    <m/>
    <m/>
    <x v="1"/>
    <s v="51351441001005"/>
    <n v="-50.95"/>
    <n v="1708"/>
    <n v="3"/>
    <n v="1"/>
  </r>
  <r>
    <m/>
    <m/>
    <x v="1"/>
    <s v="51377341001001"/>
    <n v="-1.6"/>
    <n v="58"/>
    <n v="2"/>
    <n v="1"/>
  </r>
  <r>
    <m/>
    <m/>
    <x v="1"/>
    <s v="51386021001001"/>
    <n v="-1.73"/>
    <n v="62"/>
    <n v="2"/>
    <n v="1"/>
  </r>
  <r>
    <m/>
    <m/>
    <x v="1"/>
    <s v="51405131001001"/>
    <n v="-17.38"/>
    <n v="615"/>
    <n v="2"/>
    <n v="1"/>
  </r>
  <r>
    <m/>
    <m/>
    <x v="1"/>
    <s v="51416681001001"/>
    <n v="-35.6"/>
    <n v="1222"/>
    <n v="2"/>
    <n v="1"/>
  </r>
  <r>
    <m/>
    <m/>
    <x v="1"/>
    <s v="51462741002002"/>
    <n v="-31.27"/>
    <n v="1142"/>
    <n v="1"/>
    <n v="1"/>
  </r>
  <r>
    <m/>
    <m/>
    <x v="1"/>
    <s v="51513351001001"/>
    <n v="-25.34"/>
    <n v="874"/>
    <n v="2"/>
    <n v="1"/>
  </r>
  <r>
    <m/>
    <m/>
    <x v="1"/>
    <s v="51514331001001"/>
    <n v="-14.09"/>
    <n v="486"/>
    <n v="2"/>
    <n v="1"/>
  </r>
  <r>
    <m/>
    <m/>
    <x v="1"/>
    <s v="51519861001003"/>
    <n v="-25.78"/>
    <n v="885"/>
    <n v="2"/>
    <n v="1"/>
  </r>
  <r>
    <m/>
    <m/>
    <x v="1"/>
    <s v="51525601001002"/>
    <n v="-6.6899999999999995"/>
    <n v="231"/>
    <n v="2"/>
    <n v="1"/>
  </r>
  <r>
    <m/>
    <m/>
    <x v="1"/>
    <s v="51529534001001"/>
    <n v="-19.560000000000002"/>
    <n v="675"/>
    <n v="2"/>
    <n v="1"/>
  </r>
  <r>
    <m/>
    <m/>
    <x v="1"/>
    <s v="51531201001001"/>
    <n v="-8.5500000000000007"/>
    <n v="295"/>
    <n v="2"/>
    <n v="1"/>
  </r>
  <r>
    <m/>
    <m/>
    <x v="1"/>
    <s v="51536031001001"/>
    <n v="-12.05"/>
    <n v="416"/>
    <n v="2"/>
    <n v="1"/>
  </r>
  <r>
    <m/>
    <m/>
    <x v="1"/>
    <s v="51555701001005"/>
    <n v="-35.049999999999997"/>
    <n v="1225"/>
    <n v="2"/>
    <n v="1"/>
  </r>
  <r>
    <m/>
    <m/>
    <x v="1"/>
    <s v="51560951001001"/>
    <n v="-31.049999999999997"/>
    <n v="1066"/>
    <n v="2"/>
    <n v="1"/>
  </r>
  <r>
    <m/>
    <m/>
    <x v="1"/>
    <s v="51567531001002"/>
    <n v="-16.490000000000002"/>
    <n v="566"/>
    <n v="2"/>
    <n v="1"/>
  </r>
  <r>
    <m/>
    <m/>
    <x v="1"/>
    <s v="51578031001001"/>
    <n v="-26.54"/>
    <n v="911"/>
    <n v="2"/>
    <n v="1"/>
  </r>
  <r>
    <m/>
    <m/>
    <x v="1"/>
    <s v="51579291002005"/>
    <n v="-25.439999999999998"/>
    <n v="873"/>
    <n v="2"/>
    <n v="1"/>
  </r>
  <r>
    <m/>
    <m/>
    <x v="1"/>
    <s v="51591471001001"/>
    <n v="-14.57"/>
    <n v="493"/>
    <n v="2"/>
    <n v="1"/>
  </r>
  <r>
    <m/>
    <m/>
    <x v="1"/>
    <s v="51593291002001"/>
    <n v="-35.86"/>
    <n v="1213"/>
    <n v="2"/>
    <n v="1"/>
  </r>
  <r>
    <m/>
    <m/>
    <x v="1"/>
    <s v="51597701001005"/>
    <n v="-0.67999999999999994"/>
    <n v="23"/>
    <n v="2"/>
    <n v="1"/>
  </r>
  <r>
    <m/>
    <m/>
    <x v="1"/>
    <s v="51603091001001"/>
    <n v="-40.47"/>
    <n v="1369"/>
    <n v="2"/>
    <n v="1"/>
  </r>
  <r>
    <m/>
    <m/>
    <x v="1"/>
    <s v="51603441001001"/>
    <n v="-36.04"/>
    <n v="1219"/>
    <n v="2"/>
    <n v="1"/>
  </r>
  <r>
    <m/>
    <m/>
    <x v="1"/>
    <s v="51604071001005"/>
    <n v="-2.76"/>
    <n v="96"/>
    <n v="2"/>
    <n v="1"/>
  </r>
  <r>
    <m/>
    <m/>
    <x v="1"/>
    <s v="51616671002003"/>
    <n v="-49.2"/>
    <n v="1664"/>
    <n v="2"/>
    <n v="1"/>
  </r>
  <r>
    <m/>
    <m/>
    <x v="1"/>
    <s v="51618981001001"/>
    <n v="-32.85"/>
    <n v="1122"/>
    <n v="2"/>
    <n v="1"/>
  </r>
  <r>
    <m/>
    <m/>
    <x v="1"/>
    <s v="51625841001001"/>
    <n v="-19.97"/>
    <n v="682"/>
    <n v="2"/>
    <n v="1"/>
  </r>
  <r>
    <m/>
    <m/>
    <x v="1"/>
    <s v="51625911001001"/>
    <n v="-7.84"/>
    <n v="268"/>
    <n v="2"/>
    <n v="1"/>
  </r>
  <r>
    <m/>
    <m/>
    <x v="1"/>
    <s v="51627031001001"/>
    <n v="-14.67"/>
    <n v="501"/>
    <n v="2"/>
    <n v="1"/>
  </r>
  <r>
    <m/>
    <m/>
    <x v="1"/>
    <s v="51665573001001"/>
    <n v="-9.25"/>
    <n v="308"/>
    <n v="2"/>
    <n v="1"/>
  </r>
  <r>
    <m/>
    <m/>
    <x v="1"/>
    <s v="51709201001002"/>
    <n v="-33.22"/>
    <n v="1107"/>
    <n v="2"/>
    <n v="1"/>
  </r>
  <r>
    <m/>
    <m/>
    <x v="1"/>
    <s v="51804380001001"/>
    <n v="-8.370000000000001"/>
    <n v="283"/>
    <n v="2"/>
    <n v="1"/>
  </r>
  <r>
    <m/>
    <m/>
    <x v="1"/>
    <s v="51917069001003"/>
    <n v="-7.12"/>
    <n v="260"/>
    <n v="1"/>
    <n v="1"/>
  </r>
  <r>
    <m/>
    <m/>
    <x v="1"/>
    <s v="52062336001003"/>
    <n v="-2.87"/>
    <n v="93"/>
    <n v="2"/>
    <n v="1"/>
  </r>
  <r>
    <m/>
    <m/>
    <x v="1"/>
    <s v="52150699001001"/>
    <n v="-31.16"/>
    <n v="1054"/>
    <n v="2"/>
    <n v="1"/>
  </r>
  <r>
    <m/>
    <m/>
    <x v="1"/>
    <s v="52236917004001"/>
    <n v="-16.52"/>
    <n v="570"/>
    <n v="2"/>
    <n v="1"/>
  </r>
  <r>
    <m/>
    <m/>
    <x v="1"/>
    <s v="52300638004001"/>
    <n v="-7.54"/>
    <n v="242"/>
    <n v="2"/>
    <n v="1"/>
  </r>
  <r>
    <m/>
    <m/>
    <x v="1"/>
    <s v="52411414001001"/>
    <n v="-47.84"/>
    <n v="1618"/>
    <n v="2"/>
    <n v="1"/>
  </r>
  <r>
    <m/>
    <m/>
    <x v="1"/>
    <s v="52582926001003"/>
    <n v="-29.73"/>
    <n v="1063"/>
    <n v="2"/>
    <n v="1"/>
  </r>
  <r>
    <m/>
    <m/>
    <x v="1"/>
    <s v="52724555001001"/>
    <n v="-54.1"/>
    <n v="1976"/>
    <n v="1"/>
    <n v="1"/>
  </r>
  <r>
    <m/>
    <m/>
    <x v="1"/>
    <s v="53001899001007"/>
    <n v="-43.79"/>
    <n v="1566"/>
    <n v="2"/>
    <n v="1"/>
  </r>
  <r>
    <m/>
    <m/>
    <x v="1"/>
    <s v="53097867001003"/>
    <n v="-22.16"/>
    <n v="726"/>
    <n v="2"/>
    <n v="1"/>
  </r>
  <r>
    <m/>
    <m/>
    <x v="1"/>
    <s v="53296048001001"/>
    <n v="-20"/>
    <n v="683"/>
    <n v="2"/>
    <n v="1"/>
  </r>
  <r>
    <m/>
    <m/>
    <x v="1"/>
    <s v="53307067003008"/>
    <n v="-58.58"/>
    <n v="1919"/>
    <n v="2"/>
    <n v="1"/>
  </r>
  <r>
    <m/>
    <m/>
    <x v="1"/>
    <s v="53358702001003"/>
    <n v="-9.69"/>
    <n v="312"/>
    <n v="2"/>
    <n v="1"/>
  </r>
  <r>
    <m/>
    <m/>
    <x v="1"/>
    <s v="53400662001001"/>
    <n v="-39.43"/>
    <n v="1440"/>
    <n v="1"/>
    <n v="1"/>
  </r>
  <r>
    <m/>
    <m/>
    <x v="1"/>
    <s v="53513269001001"/>
    <n v="-16.48"/>
    <n v="602"/>
    <n v="1"/>
    <n v="1"/>
  </r>
  <r>
    <m/>
    <m/>
    <x v="1"/>
    <s v="53697250001001"/>
    <n v="-19.25"/>
    <n v="664"/>
    <n v="2"/>
    <n v="1"/>
  </r>
  <r>
    <m/>
    <m/>
    <x v="1"/>
    <s v="53915118004001"/>
    <n v="-28.400000000000002"/>
    <n v="980"/>
    <n v="2"/>
    <n v="1"/>
  </r>
  <r>
    <m/>
    <m/>
    <x v="1"/>
    <s v="54346046001001"/>
    <n v="-15.719999999999999"/>
    <n v="565"/>
    <n v="2"/>
    <n v="1"/>
  </r>
  <r>
    <m/>
    <m/>
    <x v="1"/>
    <s v="54684255001001"/>
    <n v="-28.700000000000003"/>
    <n v="961"/>
    <n v="2"/>
    <n v="1"/>
  </r>
  <r>
    <m/>
    <m/>
    <x v="1"/>
    <s v="54687727001003"/>
    <n v="-3.72"/>
    <n v="132"/>
    <n v="2"/>
    <n v="1"/>
  </r>
  <r>
    <m/>
    <m/>
    <x v="1"/>
    <s v="54706933001001"/>
    <n v="-36.019999999999996"/>
    <n v="1155"/>
    <n v="2"/>
    <n v="1"/>
  </r>
  <r>
    <m/>
    <m/>
    <x v="1"/>
    <s v="54980338001003"/>
    <n v="-44.739999999999995"/>
    <n v="1513"/>
    <n v="2"/>
    <n v="1"/>
  </r>
  <r>
    <m/>
    <m/>
    <x v="1"/>
    <s v="55116401001003"/>
    <n v="-17.39"/>
    <n v="635"/>
    <n v="1"/>
    <n v="1"/>
  </r>
  <r>
    <m/>
    <m/>
    <x v="1"/>
    <s v="55334382001001"/>
    <n v="-32.39"/>
    <n v="1183"/>
    <n v="1"/>
    <n v="1"/>
  </r>
  <r>
    <m/>
    <m/>
    <x v="1"/>
    <s v="55371499001001"/>
    <n v="-22.990000000000002"/>
    <n v="793"/>
    <n v="2"/>
    <n v="1"/>
  </r>
  <r>
    <m/>
    <m/>
    <x v="1"/>
    <s v="55986304001001"/>
    <n v="-31.65"/>
    <n v="1132"/>
    <n v="2"/>
    <n v="1"/>
  </r>
  <r>
    <m/>
    <m/>
    <x v="1"/>
    <s v="56095941001001"/>
    <n v="-65.42"/>
    <n v="2118"/>
    <n v="2"/>
    <n v="1"/>
  </r>
  <r>
    <m/>
    <m/>
    <x v="1"/>
    <s v="56940246001005"/>
    <n v="-18.73"/>
    <n v="684"/>
    <n v="1"/>
    <n v="1"/>
  </r>
  <r>
    <m/>
    <m/>
    <x v="1"/>
    <s v="57023876001009"/>
    <n v="-20.32"/>
    <n v="723"/>
    <n v="2"/>
    <n v="1"/>
  </r>
  <r>
    <m/>
    <m/>
    <x v="1"/>
    <s v="57038793001001"/>
    <n v="-59.919999999999995"/>
    <n v="2154"/>
    <n v="2"/>
    <n v="1"/>
  </r>
  <r>
    <m/>
    <m/>
    <x v="1"/>
    <s v="57157582001007"/>
    <n v="-16.559999999999999"/>
    <n v="605"/>
    <n v="1"/>
    <n v="1"/>
  </r>
  <r>
    <m/>
    <m/>
    <x v="1"/>
    <s v="57422963001002"/>
    <n v="-25.27"/>
    <n v="842"/>
    <n v="2"/>
    <n v="1"/>
  </r>
  <r>
    <m/>
    <m/>
    <x v="1"/>
    <s v="57564327001001"/>
    <n v="-8.35"/>
    <n v="305"/>
    <n v="1"/>
    <n v="1"/>
  </r>
  <r>
    <m/>
    <m/>
    <x v="1"/>
    <s v="57674970002001"/>
    <n v="-42.730000000000004"/>
    <n v="1528"/>
    <n v="2"/>
    <n v="1"/>
  </r>
  <r>
    <m/>
    <m/>
    <x v="1"/>
    <s v="57703524001001"/>
    <n v="-5.12"/>
    <n v="183"/>
    <n v="2"/>
    <n v="1"/>
  </r>
  <r>
    <m/>
    <m/>
    <x v="1"/>
    <s v="57722519001003"/>
    <n v="-6.65"/>
    <n v="243"/>
    <n v="1"/>
    <n v="1"/>
  </r>
  <r>
    <m/>
    <m/>
    <x v="1"/>
    <s v="57785781001002"/>
    <n v="-41.48"/>
    <n v="1515"/>
    <n v="1"/>
    <n v="1"/>
  </r>
  <r>
    <m/>
    <m/>
    <x v="1"/>
    <s v="57810254001002"/>
    <n v="-26.47"/>
    <n v="904"/>
    <n v="2"/>
    <n v="1"/>
  </r>
  <r>
    <m/>
    <m/>
    <x v="1"/>
    <s v="58035525001001"/>
    <n v="-6.3900000000000006"/>
    <n v="218"/>
    <n v="2"/>
    <n v="1"/>
  </r>
  <r>
    <m/>
    <m/>
    <x v="1"/>
    <s v="58232265001001"/>
    <n v="-14.049999999999999"/>
    <n v="491"/>
    <n v="2"/>
    <n v="1"/>
  </r>
  <r>
    <m/>
    <m/>
    <x v="1"/>
    <s v="58442302001005"/>
    <n v="-55.32"/>
    <n v="1871"/>
    <n v="2"/>
    <n v="1"/>
  </r>
  <r>
    <m/>
    <m/>
    <x v="1"/>
    <s v="58478126001001"/>
    <n v="-44"/>
    <n v="1607"/>
    <n v="1"/>
    <n v="1"/>
  </r>
  <r>
    <m/>
    <m/>
    <x v="1"/>
    <s v="58515961004001"/>
    <n v="-6.09"/>
    <n v="210"/>
    <n v="2"/>
    <n v="1"/>
  </r>
  <r>
    <m/>
    <m/>
    <x v="1"/>
    <s v="58591973002001"/>
    <n v="-18.72"/>
    <n v="649"/>
    <n v="2"/>
    <n v="1"/>
  </r>
  <r>
    <m/>
    <m/>
    <x v="1"/>
    <s v="58719680001001"/>
    <n v="-16.3"/>
    <n v="562"/>
    <n v="2"/>
    <n v="1"/>
  </r>
  <r>
    <m/>
    <m/>
    <x v="1"/>
    <s v="58909021001001"/>
    <n v="-1.23"/>
    <n v="45"/>
    <n v="1"/>
    <n v="1"/>
  </r>
  <r>
    <m/>
    <m/>
    <x v="1"/>
    <s v="58961407001001"/>
    <n v="-0.16"/>
    <n v="6"/>
    <n v="1"/>
    <n v="1"/>
  </r>
  <r>
    <m/>
    <m/>
    <x v="1"/>
    <s v="59184633002001"/>
    <n v="-10.879999999999999"/>
    <n v="389"/>
    <n v="2"/>
    <n v="1"/>
  </r>
  <r>
    <m/>
    <m/>
    <x v="1"/>
    <s v="59521833001010"/>
    <n v="-61.88"/>
    <n v="2260"/>
    <n v="1"/>
    <n v="1"/>
  </r>
  <r>
    <m/>
    <m/>
    <x v="1"/>
    <s v="59739422001001"/>
    <n v="-26.5"/>
    <n v="854"/>
    <n v="2"/>
    <n v="1"/>
  </r>
  <r>
    <m/>
    <m/>
    <x v="1"/>
    <s v="59766552006003"/>
    <n v="-0.9"/>
    <n v="33"/>
    <n v="1"/>
    <n v="1"/>
  </r>
  <r>
    <m/>
    <m/>
    <x v="1"/>
    <s v="60111846001007"/>
    <n v="-22.42"/>
    <n v="747"/>
    <n v="2"/>
    <n v="1"/>
  </r>
  <r>
    <m/>
    <m/>
    <x v="1"/>
    <s v="60167588001001"/>
    <n v="-14.34"/>
    <n v="480"/>
    <n v="2"/>
    <n v="1"/>
  </r>
  <r>
    <m/>
    <m/>
    <x v="1"/>
    <s v="60524809001001"/>
    <n v="-38.379999999999995"/>
    <n v="1285"/>
    <n v="2"/>
    <n v="1"/>
  </r>
  <r>
    <m/>
    <m/>
    <x v="1"/>
    <s v="60536331001001"/>
    <n v="-26.17"/>
    <n v="847"/>
    <n v="2"/>
    <n v="1"/>
  </r>
  <r>
    <m/>
    <m/>
    <x v="1"/>
    <s v="60599585001001"/>
    <n v="-12.469999999999999"/>
    <n v="428"/>
    <n v="2"/>
    <n v="1"/>
  </r>
  <r>
    <m/>
    <m/>
    <x v="1"/>
    <s v="60623325001001"/>
    <n v="-15.14"/>
    <n v="490"/>
    <n v="2"/>
    <n v="1"/>
  </r>
  <r>
    <m/>
    <m/>
    <x v="1"/>
    <s v="60784386002002"/>
    <n v="-15.36"/>
    <n v="537"/>
    <n v="2"/>
    <n v="1"/>
  </r>
  <r>
    <m/>
    <m/>
    <x v="1"/>
    <s v="60957175001001"/>
    <n v="-13.670000000000002"/>
    <n v="458"/>
    <n v="2"/>
    <n v="1"/>
  </r>
  <r>
    <m/>
    <m/>
    <x v="1"/>
    <s v="61188221002001"/>
    <n v="-32.880000000000003"/>
    <n v="1182"/>
    <n v="2"/>
    <n v="1"/>
  </r>
  <r>
    <m/>
    <m/>
    <x v="1"/>
    <s v="61241854001001"/>
    <n v="-21.71"/>
    <n v="793"/>
    <n v="1"/>
    <n v="1"/>
  </r>
  <r>
    <m/>
    <m/>
    <x v="1"/>
    <s v="61308081001001"/>
    <n v="-15.8"/>
    <n v="565"/>
    <n v="2"/>
    <n v="1"/>
  </r>
  <r>
    <m/>
    <m/>
    <x v="1"/>
    <s v="61372423001001"/>
    <n v="-41.87"/>
    <n v="1377"/>
    <n v="2"/>
    <n v="1"/>
  </r>
  <r>
    <m/>
    <m/>
    <x v="1"/>
    <s v="61387272001001"/>
    <n v="-3.4299999999999997"/>
    <n v="114"/>
    <n v="2"/>
    <n v="1"/>
  </r>
  <r>
    <m/>
    <m/>
    <x v="1"/>
    <s v="61514360001001"/>
    <n v="-6.6"/>
    <n v="220"/>
    <n v="2"/>
    <n v="1"/>
  </r>
  <r>
    <m/>
    <m/>
    <x v="1"/>
    <s v="61614836001001"/>
    <n v="-44.709999999999994"/>
    <n v="1527"/>
    <n v="2"/>
    <n v="1"/>
  </r>
  <r>
    <m/>
    <m/>
    <x v="1"/>
    <s v="61919998001001"/>
    <n v="-15.74"/>
    <n v="505"/>
    <n v="2"/>
    <n v="1"/>
  </r>
  <r>
    <m/>
    <m/>
    <x v="1"/>
    <s v="62230536001003"/>
    <n v="-56.27"/>
    <n v="2055"/>
    <n v="1"/>
    <n v="1"/>
  </r>
  <r>
    <m/>
    <m/>
    <x v="1"/>
    <s v="62263204001001"/>
    <n v="-44.99"/>
    <n v="1643"/>
    <n v="1"/>
    <n v="1"/>
  </r>
  <r>
    <m/>
    <m/>
    <x v="1"/>
    <s v="62305746001001"/>
    <n v="-23.32"/>
    <n v="815"/>
    <n v="2"/>
    <n v="1"/>
  </r>
  <r>
    <m/>
    <m/>
    <x v="1"/>
    <s v="62483712001004"/>
    <n v="-18.03"/>
    <n v="642"/>
    <n v="2"/>
    <n v="1"/>
  </r>
  <r>
    <m/>
    <m/>
    <x v="1"/>
    <s v="62498679001005"/>
    <n v="-9.17"/>
    <n v="313"/>
    <n v="2"/>
    <n v="1"/>
  </r>
  <r>
    <m/>
    <m/>
    <x v="1"/>
    <s v="62873190001003"/>
    <n v="-13.370000000000001"/>
    <n v="433"/>
    <n v="2"/>
    <n v="1"/>
  </r>
  <r>
    <m/>
    <m/>
    <x v="1"/>
    <s v="63196464001001"/>
    <n v="-41.54"/>
    <n v="1517"/>
    <n v="1"/>
    <n v="1"/>
  </r>
  <r>
    <m/>
    <m/>
    <x v="1"/>
    <s v="63212679001001"/>
    <n v="-15.28"/>
    <n v="558"/>
    <n v="1"/>
    <n v="1"/>
  </r>
  <r>
    <m/>
    <m/>
    <x v="1"/>
    <s v="63847291001002"/>
    <n v="-43.42"/>
    <n v="1586"/>
    <n v="1"/>
    <n v="1"/>
  </r>
  <r>
    <m/>
    <m/>
    <x v="1"/>
    <s v="63898256001003"/>
    <n v="-21.46"/>
    <n v="733"/>
    <n v="2"/>
    <n v="1"/>
  </r>
  <r>
    <m/>
    <m/>
    <x v="1"/>
    <s v="64399841001001"/>
    <n v="-18.86"/>
    <n v="605"/>
    <n v="2"/>
    <n v="1"/>
  </r>
  <r>
    <m/>
    <m/>
    <x v="1"/>
    <s v="64587795001002"/>
    <n v="-21.08"/>
    <n v="727"/>
    <n v="2"/>
    <n v="1"/>
  </r>
  <r>
    <m/>
    <m/>
    <x v="1"/>
    <s v="64700335001001"/>
    <n v="-29.83"/>
    <n v="1079"/>
    <n v="2"/>
    <n v="1"/>
  </r>
  <r>
    <m/>
    <m/>
    <x v="1"/>
    <s v="64802495002001"/>
    <n v="-21.049999999999997"/>
    <n v="712"/>
    <n v="2"/>
    <n v="1"/>
  </r>
  <r>
    <m/>
    <m/>
    <x v="1"/>
    <s v="64826160001001"/>
    <n v="-21.64"/>
    <n v="694"/>
    <n v="2"/>
    <n v="1"/>
  </r>
  <r>
    <m/>
    <m/>
    <x v="1"/>
    <s v="64995258001006"/>
    <n v="-7.9399999999999995"/>
    <n v="284"/>
    <n v="2"/>
    <n v="1"/>
  </r>
  <r>
    <m/>
    <m/>
    <x v="1"/>
    <s v="65001066001001"/>
    <n v="-23.59"/>
    <n v="806"/>
    <n v="2"/>
    <n v="1"/>
  </r>
  <r>
    <m/>
    <m/>
    <x v="1"/>
    <s v="65039500002001"/>
    <n v="-18.21"/>
    <n v="665"/>
    <n v="1"/>
    <n v="1"/>
  </r>
  <r>
    <m/>
    <m/>
    <x v="1"/>
    <s v="65413433002001"/>
    <n v="-8.49"/>
    <n v="290"/>
    <n v="2"/>
    <n v="1"/>
  </r>
  <r>
    <m/>
    <m/>
    <x v="1"/>
    <s v="65474469002008"/>
    <n v="-8.370000000000001"/>
    <n v="283"/>
    <n v="2"/>
    <n v="1"/>
  </r>
  <r>
    <m/>
    <m/>
    <x v="1"/>
    <s v="65633759004001"/>
    <n v="-61.050000000000004"/>
    <n v="1967"/>
    <n v="2"/>
    <n v="1"/>
  </r>
  <r>
    <m/>
    <m/>
    <x v="1"/>
    <s v="65674917001006"/>
    <n v="-55.85"/>
    <n v="1791"/>
    <n v="2"/>
    <n v="1"/>
  </r>
  <r>
    <m/>
    <m/>
    <x v="1"/>
    <s v="65715070001003"/>
    <n v="-38.43"/>
    <n v="1259"/>
    <n v="2"/>
    <n v="1"/>
  </r>
  <r>
    <m/>
    <m/>
    <x v="1"/>
    <s v="65721814002001"/>
    <n v="-7.7799999999999994"/>
    <n v="266"/>
    <n v="2"/>
    <n v="1"/>
  </r>
  <r>
    <m/>
    <m/>
    <x v="1"/>
    <s v="65840761001001"/>
    <n v="-12.5"/>
    <n v="447"/>
    <n v="2"/>
    <n v="1"/>
  </r>
  <r>
    <m/>
    <m/>
    <x v="1"/>
    <s v="66035608002005"/>
    <n v="-27.71"/>
    <n v="951"/>
    <n v="2"/>
    <n v="1"/>
  </r>
  <r>
    <m/>
    <m/>
    <x v="1"/>
    <s v="66054732001002"/>
    <n v="-13.4"/>
    <n v="439"/>
    <n v="2"/>
    <n v="1"/>
  </r>
  <r>
    <m/>
    <m/>
    <x v="1"/>
    <s v="66122783001004"/>
    <n v="-5.36"/>
    <n v="194"/>
    <n v="2"/>
    <n v="1"/>
  </r>
  <r>
    <m/>
    <m/>
    <x v="1"/>
    <s v="66355473001004"/>
    <n v="-7.69"/>
    <n v="275"/>
    <n v="2"/>
    <n v="1"/>
  </r>
  <r>
    <m/>
    <m/>
    <x v="1"/>
    <s v="66682187001001"/>
    <n v="-36.08"/>
    <n v="1297"/>
    <n v="2"/>
    <n v="1"/>
  </r>
  <r>
    <m/>
    <m/>
    <x v="1"/>
    <s v="66846616001003"/>
    <n v="-22.29"/>
    <n v="814"/>
    <n v="1"/>
    <n v="1"/>
  </r>
  <r>
    <m/>
    <m/>
    <x v="1"/>
    <s v="66953942002008"/>
    <n v="-35.46"/>
    <n v="1255"/>
    <n v="2"/>
    <n v="1"/>
  </r>
  <r>
    <m/>
    <m/>
    <x v="1"/>
    <s v="67052660001005"/>
    <n v="-20.89"/>
    <n v="673"/>
    <n v="2"/>
    <n v="1"/>
  </r>
  <r>
    <m/>
    <m/>
    <x v="1"/>
    <s v="67306787001001"/>
    <n v="-39.19"/>
    <n v="1370"/>
    <n v="2"/>
    <n v="1"/>
  </r>
  <r>
    <m/>
    <m/>
    <x v="1"/>
    <s v="67575902001001"/>
    <n v="-51.56"/>
    <n v="1761"/>
    <n v="2"/>
    <n v="1"/>
  </r>
  <r>
    <m/>
    <m/>
    <x v="1"/>
    <s v="67923885001001"/>
    <n v="-24.27"/>
    <n v="782"/>
    <n v="2"/>
    <n v="1"/>
  </r>
  <r>
    <m/>
    <m/>
    <x v="1"/>
    <s v="68039419001001"/>
    <n v="-21.33"/>
    <n v="755"/>
    <n v="2"/>
    <n v="1"/>
  </r>
  <r>
    <m/>
    <m/>
    <x v="1"/>
    <s v="68082611001001"/>
    <n v="-23.619999999999997"/>
    <n v="854"/>
    <n v="2"/>
    <n v="1"/>
  </r>
  <r>
    <m/>
    <m/>
    <x v="1"/>
    <s v="68107039001001"/>
    <n v="-29.939999999999998"/>
    <n v="1066"/>
    <n v="2"/>
    <n v="1"/>
  </r>
  <r>
    <m/>
    <m/>
    <x v="1"/>
    <s v="68173550001001"/>
    <n v="-46.480000000000004"/>
    <n v="1572"/>
    <n v="2"/>
    <n v="1"/>
  </r>
  <r>
    <m/>
    <m/>
    <x v="1"/>
    <s v="68316005001001"/>
    <n v="-54.6"/>
    <n v="1751"/>
    <n v="2"/>
    <n v="1"/>
  </r>
  <r>
    <m/>
    <m/>
    <x v="1"/>
    <s v="68333351001002"/>
    <n v="-13.530000000000001"/>
    <n v="462"/>
    <n v="2"/>
    <n v="1"/>
  </r>
  <r>
    <m/>
    <m/>
    <x v="1"/>
    <s v="68338933001001"/>
    <n v="-34.659999999999997"/>
    <n v="1196"/>
    <n v="2"/>
    <n v="1"/>
  </r>
  <r>
    <m/>
    <m/>
    <x v="1"/>
    <s v="68624650001002"/>
    <n v="-14.690000000000001"/>
    <n v="502"/>
    <n v="2"/>
    <n v="1"/>
  </r>
  <r>
    <m/>
    <m/>
    <x v="1"/>
    <s v="68711288001003"/>
    <n v="-119.39"/>
    <n v="3829"/>
    <n v="2"/>
    <n v="1"/>
  </r>
  <r>
    <m/>
    <m/>
    <x v="1"/>
    <s v="68837584001003"/>
    <n v="-4.3600000000000003"/>
    <n v="140"/>
    <n v="2"/>
    <n v="1"/>
  </r>
  <r>
    <m/>
    <m/>
    <x v="1"/>
    <s v="68970693003001"/>
    <n v="-38.630000000000003"/>
    <n v="1411"/>
    <n v="1"/>
    <n v="1"/>
  </r>
  <r>
    <m/>
    <m/>
    <x v="1"/>
    <s v="69172909001001"/>
    <n v="-24.91"/>
    <n v="855"/>
    <n v="2"/>
    <n v="1"/>
  </r>
  <r>
    <m/>
    <m/>
    <x v="1"/>
    <s v="69182870001007"/>
    <n v="-47.08"/>
    <n v="1624"/>
    <n v="2"/>
    <n v="1"/>
  </r>
  <r>
    <m/>
    <m/>
    <x v="1"/>
    <s v="69208025001001"/>
    <n v="-15.04"/>
    <n v="519"/>
    <n v="2"/>
    <n v="1"/>
  </r>
  <r>
    <m/>
    <m/>
    <x v="1"/>
    <s v="69340720001002"/>
    <n v="-21.19"/>
    <n v="706"/>
    <n v="2"/>
    <n v="1"/>
  </r>
  <r>
    <m/>
    <m/>
    <x v="1"/>
    <s v="69542400001002"/>
    <n v="-29.770000000000003"/>
    <n v="1007"/>
    <n v="2"/>
    <n v="1"/>
  </r>
  <r>
    <m/>
    <m/>
    <x v="1"/>
    <s v="69906946003001"/>
    <n v="-9.84"/>
    <n v="336"/>
    <n v="2"/>
    <n v="1"/>
  </r>
  <r>
    <m/>
    <m/>
    <x v="1"/>
    <s v="69992827001001"/>
    <n v="-28.299999999999997"/>
    <n v="1012"/>
    <n v="2"/>
    <n v="1"/>
  </r>
  <r>
    <m/>
    <m/>
    <x v="1"/>
    <s v="70557497004001"/>
    <n v="-34.65"/>
    <n v="1149"/>
    <n v="2"/>
    <n v="1"/>
  </r>
  <r>
    <m/>
    <m/>
    <x v="1"/>
    <s v="70566844001001"/>
    <n v="-23.5"/>
    <n v="836"/>
    <n v="2"/>
    <n v="1"/>
  </r>
  <r>
    <m/>
    <m/>
    <x v="1"/>
    <s v="70930301001003"/>
    <n v="-25.73"/>
    <n v="920"/>
    <n v="2"/>
    <n v="1"/>
  </r>
  <r>
    <m/>
    <m/>
    <x v="1"/>
    <s v="71726966001001"/>
    <n v="-81.88"/>
    <n v="2651"/>
    <n v="2"/>
    <n v="1"/>
  </r>
  <r>
    <m/>
    <m/>
    <x v="1"/>
    <s v="71895732001001"/>
    <n v="-10.600000000000001"/>
    <n v="366"/>
    <n v="2"/>
    <n v="1"/>
  </r>
  <r>
    <m/>
    <m/>
    <x v="1"/>
    <s v="71897700001003"/>
    <n v="-13.66"/>
    <n v="462"/>
    <n v="2"/>
    <n v="1"/>
  </r>
  <r>
    <m/>
    <m/>
    <x v="1"/>
    <s v="71925425001001"/>
    <n v="-13.07"/>
    <n v="421"/>
    <n v="2"/>
    <n v="1"/>
  </r>
  <r>
    <m/>
    <m/>
    <x v="1"/>
    <s v="72021826001002"/>
    <n v="-78.72"/>
    <n v="2815"/>
    <n v="2"/>
    <n v="1"/>
  </r>
  <r>
    <m/>
    <m/>
    <x v="1"/>
    <s v="72706041002001"/>
    <n v="-21.97"/>
    <n v="768"/>
    <n v="2"/>
    <n v="1"/>
  </r>
  <r>
    <m/>
    <m/>
    <x v="1"/>
    <s v="72816069001004"/>
    <n v="-6.15"/>
    <n v="208"/>
    <n v="2"/>
    <n v="1"/>
  </r>
  <r>
    <m/>
    <m/>
    <x v="1"/>
    <s v="72820369001003"/>
    <n v="-50.6"/>
    <n v="1800"/>
    <n v="2"/>
    <n v="1"/>
  </r>
  <r>
    <m/>
    <m/>
    <x v="1"/>
    <s v="72885097001005"/>
    <n v="-6.95"/>
    <n v="223"/>
    <n v="2"/>
    <n v="1"/>
  </r>
  <r>
    <m/>
    <m/>
    <x v="1"/>
    <s v="73391974001001"/>
    <n v="-43.13"/>
    <n v="1437"/>
    <n v="2"/>
    <n v="1"/>
  </r>
  <r>
    <m/>
    <m/>
    <x v="1"/>
    <s v="73497461001001"/>
    <n v="-41.84"/>
    <n v="1528"/>
    <n v="1"/>
    <n v="1"/>
  </r>
  <r>
    <m/>
    <m/>
    <x v="1"/>
    <s v="73932323001001"/>
    <n v="-8.43"/>
    <n v="285"/>
    <n v="2"/>
    <n v="1"/>
  </r>
  <r>
    <m/>
    <m/>
    <x v="1"/>
    <s v="74369035001005"/>
    <n v="-18.05"/>
    <n v="579"/>
    <n v="2"/>
    <n v="1"/>
  </r>
  <r>
    <m/>
    <m/>
    <x v="1"/>
    <s v="74657239001002"/>
    <n v="-4.17"/>
    <n v="143"/>
    <n v="2"/>
    <n v="1"/>
  </r>
  <r>
    <m/>
    <m/>
    <x v="1"/>
    <s v="74792156002002"/>
    <n v="-35.020000000000003"/>
    <n v="1259"/>
    <n v="2"/>
    <n v="1"/>
  </r>
  <r>
    <m/>
    <m/>
    <x v="1"/>
    <s v="74797014002001"/>
    <n v="-50.959999999999994"/>
    <n v="1698"/>
    <n v="2"/>
    <n v="1"/>
  </r>
  <r>
    <m/>
    <m/>
    <x v="1"/>
    <s v="75055456001001"/>
    <n v="-22.24"/>
    <n v="779"/>
    <n v="3"/>
    <n v="1"/>
  </r>
  <r>
    <m/>
    <m/>
    <x v="1"/>
    <s v="75290016001010"/>
    <n v="-13.89"/>
    <n v="455"/>
    <n v="2"/>
    <n v="1"/>
  </r>
  <r>
    <m/>
    <m/>
    <x v="1"/>
    <s v="75599421001001"/>
    <n v="-19.09"/>
    <n v="652"/>
    <n v="2"/>
    <n v="1"/>
  </r>
  <r>
    <m/>
    <m/>
    <x v="1"/>
    <s v="75761373002005"/>
    <n v="-8.4600000000000009"/>
    <n v="304"/>
    <n v="2"/>
    <n v="1"/>
  </r>
  <r>
    <m/>
    <m/>
    <x v="1"/>
    <s v="76471101001001"/>
    <n v="-29.97"/>
    <n v="1067"/>
    <n v="2"/>
    <n v="1"/>
  </r>
  <r>
    <m/>
    <m/>
    <x v="1"/>
    <s v="76556293001005"/>
    <n v="-57.94"/>
    <n v="2116"/>
    <n v="1"/>
    <n v="1"/>
  </r>
  <r>
    <m/>
    <m/>
    <x v="1"/>
    <s v="76713060001001"/>
    <n v="-41.25"/>
    <n v="1323"/>
    <n v="2"/>
    <n v="1"/>
  </r>
  <r>
    <m/>
    <m/>
    <x v="1"/>
    <s v="76882051001001"/>
    <n v="-5.88"/>
    <n v="210"/>
    <n v="2"/>
    <n v="1"/>
  </r>
  <r>
    <m/>
    <m/>
    <x v="1"/>
    <s v="77034079001001"/>
    <n v="-16.63"/>
    <n v="592"/>
    <n v="2"/>
    <n v="1"/>
  </r>
  <r>
    <m/>
    <m/>
    <x v="1"/>
    <s v="77152442001008"/>
    <n v="-27.7"/>
    <n v="946"/>
    <n v="2"/>
    <n v="1"/>
  </r>
  <r>
    <m/>
    <m/>
    <x v="1"/>
    <s v="77312333001001"/>
    <n v="-24.89"/>
    <n v="842"/>
    <n v="2"/>
    <n v="1"/>
  </r>
  <r>
    <m/>
    <m/>
    <x v="1"/>
    <s v="77375643003003"/>
    <n v="-8.49"/>
    <n v="290"/>
    <n v="2"/>
    <n v="1"/>
  </r>
  <r>
    <m/>
    <m/>
    <x v="1"/>
    <s v="77922884001002"/>
    <n v="-21.29"/>
    <n v="727"/>
    <n v="2"/>
    <n v="1"/>
  </r>
  <r>
    <m/>
    <m/>
    <x v="1"/>
    <s v="77981276001001"/>
    <n v="-17.440000000000001"/>
    <n v="637"/>
    <n v="1"/>
    <n v="1"/>
  </r>
  <r>
    <m/>
    <m/>
    <x v="1"/>
    <s v="78102550001004"/>
    <n v="-27.15"/>
    <n v="900"/>
    <n v="2"/>
    <n v="1"/>
  </r>
  <r>
    <m/>
    <m/>
    <x v="1"/>
    <s v="78163683002001"/>
    <n v="-5.18"/>
    <n v="175"/>
    <n v="2"/>
    <n v="1"/>
  </r>
  <r>
    <m/>
    <m/>
    <x v="1"/>
    <s v="78192804001002"/>
    <n v="-5.9399999999999995"/>
    <n v="201"/>
    <n v="2"/>
    <n v="1"/>
  </r>
  <r>
    <m/>
    <m/>
    <x v="1"/>
    <s v="78258113001003"/>
    <n v="-14.47"/>
    <n v="482"/>
    <n v="2"/>
    <n v="1"/>
  </r>
  <r>
    <m/>
    <m/>
    <x v="1"/>
    <s v="78272932003017"/>
    <n v="-20.39"/>
    <n v="657"/>
    <n v="2"/>
    <n v="1"/>
  </r>
  <r>
    <m/>
    <m/>
    <x v="1"/>
    <s v="78360766001001"/>
    <n v="-67.070000000000007"/>
    <n v="2388"/>
    <n v="2"/>
    <n v="1"/>
  </r>
  <r>
    <m/>
    <m/>
    <x v="1"/>
    <s v="78465175004001"/>
    <n v="-31.43"/>
    <n v="1148"/>
    <n v="1"/>
    <n v="1"/>
  </r>
  <r>
    <m/>
    <m/>
    <x v="1"/>
    <s v="79019455001003"/>
    <n v="-11.45"/>
    <n v="397"/>
    <n v="2"/>
    <n v="1"/>
  </r>
  <r>
    <m/>
    <m/>
    <x v="1"/>
    <s v="79256766001003"/>
    <n v="-3.92"/>
    <n v="143"/>
    <n v="1"/>
    <n v="1"/>
  </r>
  <r>
    <m/>
    <m/>
    <x v="1"/>
    <s v="79283500001001"/>
    <n v="-12.38"/>
    <n v="439"/>
    <n v="2"/>
    <n v="1"/>
  </r>
  <r>
    <m/>
    <m/>
    <x v="1"/>
    <s v="79557576001005"/>
    <n v="-54.519999999999996"/>
    <n v="1862"/>
    <n v="2"/>
    <n v="1"/>
  </r>
  <r>
    <m/>
    <m/>
    <x v="1"/>
    <s v="79713989002001"/>
    <n v="-29.08"/>
    <n v="1062"/>
    <n v="1"/>
    <n v="1"/>
  </r>
  <r>
    <m/>
    <m/>
    <x v="1"/>
    <s v="79758306001002"/>
    <n v="-41.010000000000005"/>
    <n v="1387"/>
    <n v="2"/>
    <n v="1"/>
  </r>
  <r>
    <m/>
    <m/>
    <x v="1"/>
    <s v="79889145002003"/>
    <n v="-4.3100000000000005"/>
    <n v="147"/>
    <n v="2"/>
    <n v="1"/>
  </r>
  <r>
    <m/>
    <m/>
    <x v="1"/>
    <s v="80168519001003"/>
    <n v="-20.330000000000002"/>
    <n v="727"/>
    <n v="2"/>
    <n v="1"/>
  </r>
  <r>
    <m/>
    <m/>
    <x v="1"/>
    <s v="80512321001001"/>
    <n v="-7.85"/>
    <n v="282"/>
    <n v="2"/>
    <n v="1"/>
  </r>
  <r>
    <m/>
    <m/>
    <x v="1"/>
    <s v="80546282001001"/>
    <n v="-15.63"/>
    <n v="506"/>
    <n v="2"/>
    <n v="1"/>
  </r>
  <r>
    <m/>
    <m/>
    <x v="1"/>
    <s v="80725718001001"/>
    <n v="-12.04"/>
    <n v="413"/>
    <n v="2"/>
    <n v="1"/>
  </r>
  <r>
    <m/>
    <m/>
    <x v="1"/>
    <s v="80768782001005"/>
    <n v="-22.700000000000003"/>
    <n v="783"/>
    <n v="2"/>
    <n v="1"/>
  </r>
  <r>
    <m/>
    <m/>
    <x v="1"/>
    <s v="81284913001001"/>
    <n v="-2.7"/>
    <n v="92"/>
    <n v="2"/>
    <n v="1"/>
  </r>
  <r>
    <m/>
    <m/>
    <x v="1"/>
    <s v="81474097001003"/>
    <n v="-12.58"/>
    <n v="452"/>
    <n v="2"/>
    <n v="1"/>
  </r>
  <r>
    <m/>
    <m/>
    <x v="1"/>
    <s v="81496715001005"/>
    <n v="-44"/>
    <n v="1607"/>
    <n v="1"/>
    <n v="1"/>
  </r>
  <r>
    <m/>
    <m/>
    <x v="1"/>
    <s v="81870119001003"/>
    <n v="-7.41"/>
    <n v="268"/>
    <n v="2"/>
    <n v="1"/>
  </r>
  <r>
    <m/>
    <m/>
    <x v="1"/>
    <s v="82203094001003"/>
    <n v="-24.04"/>
    <n v="878"/>
    <n v="1"/>
    <n v="1"/>
  </r>
  <r>
    <m/>
    <m/>
    <x v="1"/>
    <s v="82389671001001"/>
    <n v="-27.240000000000002"/>
    <n v="912"/>
    <n v="2"/>
    <n v="1"/>
  </r>
  <r>
    <m/>
    <m/>
    <x v="1"/>
    <s v="82440956001001"/>
    <n v="-30.189999999999998"/>
    <n v="968"/>
    <n v="2"/>
    <n v="1"/>
  </r>
  <r>
    <m/>
    <m/>
    <x v="1"/>
    <s v="82705141002001"/>
    <n v="-18.25"/>
    <n v="617"/>
    <n v="2"/>
    <n v="1"/>
  </r>
  <r>
    <m/>
    <m/>
    <x v="1"/>
    <s v="83084544001001"/>
    <n v="-22.380000000000003"/>
    <n v="792"/>
    <n v="2"/>
    <n v="1"/>
  </r>
  <r>
    <m/>
    <m/>
    <x v="1"/>
    <s v="83337256001001"/>
    <n v="-10.71"/>
    <n v="391"/>
    <n v="1"/>
    <n v="1"/>
  </r>
  <r>
    <m/>
    <m/>
    <x v="1"/>
    <s v="83358782001001"/>
    <n v="-18.64"/>
    <n v="674"/>
    <n v="2"/>
    <n v="1"/>
  </r>
  <r>
    <m/>
    <m/>
    <x v="1"/>
    <s v="83701365002001"/>
    <n v="-40.159999999999997"/>
    <n v="1436"/>
    <n v="2"/>
    <n v="1"/>
  </r>
  <r>
    <m/>
    <m/>
    <x v="1"/>
    <s v="83710025001001"/>
    <n v="-24.31"/>
    <n v="888"/>
    <n v="1"/>
    <n v="1"/>
  </r>
  <r>
    <m/>
    <m/>
    <x v="1"/>
    <s v="83800275001002"/>
    <n v="-6.02"/>
    <n v="193"/>
    <n v="2"/>
    <n v="1"/>
  </r>
  <r>
    <m/>
    <m/>
    <x v="1"/>
    <s v="83981932001002"/>
    <n v="-3.37"/>
    <n v="121"/>
    <n v="2"/>
    <n v="1"/>
  </r>
  <r>
    <m/>
    <m/>
    <x v="1"/>
    <s v="84173742001001"/>
    <n v="-35.1"/>
    <n v="1242"/>
    <n v="2"/>
    <n v="1"/>
  </r>
  <r>
    <m/>
    <m/>
    <x v="1"/>
    <s v="84562358001001"/>
    <n v="-9.0399999999999991"/>
    <n v="330"/>
    <n v="1"/>
    <n v="1"/>
  </r>
  <r>
    <m/>
    <m/>
    <x v="1"/>
    <s v="84649205001001"/>
    <n v="-19.82"/>
    <n v="724"/>
    <n v="1"/>
    <n v="1"/>
  </r>
  <r>
    <m/>
    <m/>
    <x v="1"/>
    <s v="85052617001009"/>
    <n v="-6.5"/>
    <n v="220"/>
    <n v="2"/>
    <n v="1"/>
  </r>
  <r>
    <m/>
    <m/>
    <x v="1"/>
    <s v="85306232001001"/>
    <n v="-25.630000000000003"/>
    <n v="822"/>
    <n v="2"/>
    <n v="1"/>
  </r>
  <r>
    <m/>
    <m/>
    <x v="1"/>
    <s v="85313155001006"/>
    <n v="-14.34"/>
    <n v="495"/>
    <n v="2"/>
    <n v="1"/>
  </r>
  <r>
    <m/>
    <m/>
    <x v="1"/>
    <s v="85338592002003"/>
    <n v="-26.48"/>
    <n v="909"/>
    <n v="2"/>
    <n v="1"/>
  </r>
  <r>
    <m/>
    <m/>
    <x v="1"/>
    <s v="85384490001002"/>
    <n v="-4.7699999999999996"/>
    <n v="163"/>
    <n v="2"/>
    <n v="1"/>
  </r>
  <r>
    <m/>
    <m/>
    <x v="1"/>
    <s v="85464036001001"/>
    <n v="-28.560000000000002"/>
    <n v="966"/>
    <n v="2"/>
    <n v="1"/>
  </r>
  <r>
    <m/>
    <m/>
    <x v="1"/>
    <s v="85590751001003"/>
    <n v="-12.91"/>
    <n v="414"/>
    <n v="2"/>
    <n v="1"/>
  </r>
  <r>
    <m/>
    <m/>
    <x v="1"/>
    <s v="85655171001003"/>
    <n v="-11.23"/>
    <n v="410"/>
    <n v="1"/>
    <n v="1"/>
  </r>
  <r>
    <m/>
    <m/>
    <x v="1"/>
    <s v="85758200001003"/>
    <n v="-6.2"/>
    <n v="199"/>
    <n v="2"/>
    <n v="1"/>
  </r>
  <r>
    <m/>
    <m/>
    <x v="1"/>
    <s v="85767727002001"/>
    <n v="-24.08"/>
    <n v="871"/>
    <n v="2"/>
    <n v="1"/>
  </r>
  <r>
    <m/>
    <m/>
    <x v="1"/>
    <s v="85877100003001"/>
    <n v="-6.12"/>
    <n v="210"/>
    <n v="2"/>
    <n v="1"/>
  </r>
  <r>
    <m/>
    <m/>
    <x v="1"/>
    <s v="85995109001001"/>
    <n v="-8.94"/>
    <n v="298"/>
    <n v="2"/>
    <n v="1"/>
  </r>
  <r>
    <m/>
    <m/>
    <x v="1"/>
    <s v="86090490001001"/>
    <n v="-23.52"/>
    <n v="859"/>
    <n v="1"/>
    <n v="1"/>
  </r>
  <r>
    <m/>
    <m/>
    <x v="1"/>
    <s v="86167921001001"/>
    <n v="-10.16"/>
    <n v="347"/>
    <n v="2"/>
    <n v="1"/>
  </r>
  <r>
    <m/>
    <m/>
    <x v="1"/>
    <s v="86695884001001"/>
    <n v="-19.62"/>
    <n v="670"/>
    <n v="2"/>
    <n v="1"/>
  </r>
  <r>
    <m/>
    <m/>
    <x v="1"/>
    <s v="86799046001002"/>
    <n v="-22.92"/>
    <n v="837"/>
    <n v="1"/>
    <n v="1"/>
  </r>
  <r>
    <m/>
    <m/>
    <x v="1"/>
    <s v="86860532001001"/>
    <n v="-2.62"/>
    <n v="91"/>
    <n v="2"/>
    <n v="1"/>
  </r>
  <r>
    <m/>
    <m/>
    <x v="1"/>
    <s v="86965244003001"/>
    <n v="-15.69"/>
    <n v="573"/>
    <n v="1"/>
    <n v="1"/>
  </r>
  <r>
    <m/>
    <m/>
    <x v="1"/>
    <s v="87080407001006"/>
    <n v="-10.27"/>
    <n v="331"/>
    <n v="2"/>
    <n v="1"/>
  </r>
  <r>
    <m/>
    <m/>
    <x v="1"/>
    <s v="87090986001001"/>
    <n v="-9.34"/>
    <n v="324"/>
    <n v="2"/>
    <n v="1"/>
  </r>
  <r>
    <m/>
    <m/>
    <x v="1"/>
    <s v="87242554001001"/>
    <n v="-16.149999999999999"/>
    <n v="518"/>
    <n v="2"/>
    <n v="1"/>
  </r>
  <r>
    <m/>
    <m/>
    <x v="1"/>
    <s v="87432684001003"/>
    <n v="-8.9"/>
    <n v="301"/>
    <n v="2"/>
    <n v="1"/>
  </r>
  <r>
    <m/>
    <m/>
    <x v="1"/>
    <s v="87486491001002"/>
    <n v="-11.14"/>
    <n v="407"/>
    <n v="1"/>
    <n v="1"/>
  </r>
  <r>
    <m/>
    <m/>
    <x v="1"/>
    <s v="87739868002001"/>
    <n v="-36.22"/>
    <n v="1237"/>
    <n v="2"/>
    <n v="1"/>
  </r>
  <r>
    <m/>
    <m/>
    <x v="1"/>
    <s v="87795931001003"/>
    <n v="-49.15"/>
    <n v="1795"/>
    <n v="1"/>
    <n v="1"/>
  </r>
  <r>
    <m/>
    <m/>
    <x v="1"/>
    <s v="87902088001001"/>
    <n v="-26.57"/>
    <n v="912"/>
    <n v="2"/>
    <n v="1"/>
  </r>
  <r>
    <m/>
    <m/>
    <x v="1"/>
    <s v="88182721001002"/>
    <n v="-18.43"/>
    <n v="673"/>
    <n v="1"/>
    <n v="1"/>
  </r>
  <r>
    <m/>
    <m/>
    <x v="1"/>
    <s v="88269625001002"/>
    <n v="-6.87"/>
    <n v="228"/>
    <n v="2"/>
    <n v="1"/>
  </r>
  <r>
    <m/>
    <m/>
    <x v="1"/>
    <s v="88600796001001"/>
    <n v="-17.190000000000001"/>
    <n v="628"/>
    <n v="1"/>
    <n v="1"/>
  </r>
  <r>
    <m/>
    <m/>
    <x v="1"/>
    <s v="88795471002001"/>
    <n v="-16.350000000000001"/>
    <n v="564"/>
    <n v="2"/>
    <n v="1"/>
  </r>
  <r>
    <m/>
    <m/>
    <x v="1"/>
    <s v="89257123001003"/>
    <n v="-51.83"/>
    <n v="1753"/>
    <n v="2"/>
    <n v="1"/>
  </r>
  <r>
    <m/>
    <m/>
    <x v="1"/>
    <s v="89346251001001"/>
    <n v="-5.1499999999999995"/>
    <n v="166"/>
    <n v="2"/>
    <n v="1"/>
  </r>
  <r>
    <m/>
    <m/>
    <x v="1"/>
    <s v="89354683001001"/>
    <n v="-5.67"/>
    <n v="189"/>
    <n v="2"/>
    <n v="1"/>
  </r>
  <r>
    <m/>
    <m/>
    <x v="1"/>
    <s v="89558586004001"/>
    <n v="-29.810000000000002"/>
    <n v="1018"/>
    <n v="2"/>
    <n v="1"/>
  </r>
  <r>
    <m/>
    <m/>
    <x v="1"/>
    <s v="89594433002001"/>
    <n v="-43.160000000000004"/>
    <n v="1414"/>
    <n v="2"/>
    <n v="1"/>
  </r>
  <r>
    <m/>
    <m/>
    <x v="1"/>
    <s v="90244033001001"/>
    <n v="-0.24"/>
    <n v="8"/>
    <n v="2"/>
    <n v="1"/>
  </r>
  <r>
    <m/>
    <m/>
    <x v="1"/>
    <s v="90375862001001"/>
    <n v="-1.74"/>
    <n v="56"/>
    <n v="2"/>
    <n v="1"/>
  </r>
  <r>
    <m/>
    <m/>
    <x v="1"/>
    <s v="90561560001001"/>
    <n v="-65.36"/>
    <n v="2327"/>
    <n v="2"/>
    <n v="1"/>
  </r>
  <r>
    <m/>
    <m/>
    <x v="1"/>
    <s v="90729873001001"/>
    <n v="-7.0299999999999994"/>
    <n v="249"/>
    <n v="2"/>
    <n v="1"/>
  </r>
  <r>
    <m/>
    <m/>
    <x v="1"/>
    <s v="90918094001001"/>
    <n v="-7.34"/>
    <n v="264"/>
    <n v="2"/>
    <n v="1"/>
  </r>
  <r>
    <m/>
    <m/>
    <x v="1"/>
    <s v="90940438001001"/>
    <n v="-46.85"/>
    <n v="1600"/>
    <n v="2"/>
    <n v="1"/>
  </r>
  <r>
    <m/>
    <m/>
    <x v="1"/>
    <s v="91059700002001"/>
    <n v="-39.260000000000005"/>
    <n v="1341"/>
    <n v="2"/>
    <n v="1"/>
  </r>
  <r>
    <m/>
    <m/>
    <x v="1"/>
    <s v="91086693001001"/>
    <n v="-2.9"/>
    <n v="105"/>
    <n v="2"/>
    <n v="1"/>
  </r>
  <r>
    <m/>
    <m/>
    <x v="1"/>
    <s v="91108865001003"/>
    <n v="-17.22"/>
    <n v="629"/>
    <n v="1"/>
    <n v="1"/>
  </r>
  <r>
    <m/>
    <m/>
    <x v="1"/>
    <s v="91142812001003"/>
    <n v="-11.020000000000001"/>
    <n v="396"/>
    <n v="2"/>
    <n v="1"/>
  </r>
  <r>
    <m/>
    <m/>
    <x v="1"/>
    <s v="91549641001001"/>
    <n v="-5.07"/>
    <n v="173"/>
    <n v="2"/>
    <n v="1"/>
  </r>
  <r>
    <m/>
    <m/>
    <x v="1"/>
    <s v="91610458001002"/>
    <n v="-42.269999999999996"/>
    <n v="1458"/>
    <n v="2"/>
    <n v="1"/>
  </r>
  <r>
    <m/>
    <m/>
    <x v="1"/>
    <s v="91686493001001"/>
    <n v="-18.78"/>
    <n v="668"/>
    <n v="2"/>
    <n v="1"/>
  </r>
  <r>
    <m/>
    <m/>
    <x v="1"/>
    <s v="92228839005001"/>
    <n v="-73.08"/>
    <n v="2604"/>
    <n v="2"/>
    <n v="1"/>
  </r>
  <r>
    <m/>
    <m/>
    <x v="1"/>
    <s v="92474314001001"/>
    <n v="-9.5500000000000007"/>
    <n v="326"/>
    <n v="2"/>
    <n v="1"/>
  </r>
  <r>
    <m/>
    <m/>
    <x v="1"/>
    <s v="92588678003003"/>
    <n v="-11.83"/>
    <n v="432"/>
    <n v="1"/>
    <n v="1"/>
  </r>
  <r>
    <m/>
    <m/>
    <x v="1"/>
    <s v="92595774001001"/>
    <n v="-27.869999999999997"/>
    <n v="898"/>
    <n v="2"/>
    <n v="1"/>
  </r>
  <r>
    <m/>
    <m/>
    <x v="1"/>
    <s v="92684268001001"/>
    <n v="-6.93"/>
    <n v="253"/>
    <n v="1"/>
    <n v="1"/>
  </r>
  <r>
    <m/>
    <m/>
    <x v="1"/>
    <s v="92749025001001"/>
    <n v="-11.08"/>
    <n v="357"/>
    <n v="2"/>
    <n v="1"/>
  </r>
  <r>
    <m/>
    <m/>
    <x v="1"/>
    <s v="92806696002005"/>
    <n v="-7.3599999999999994"/>
    <n v="244"/>
    <n v="2"/>
    <n v="1"/>
  </r>
  <r>
    <m/>
    <m/>
    <x v="1"/>
    <s v="92883803001003"/>
    <n v="-35.450000000000003"/>
    <n v="1239"/>
    <n v="2"/>
    <n v="1"/>
  </r>
  <r>
    <m/>
    <m/>
    <x v="1"/>
    <s v="93309752001001"/>
    <n v="-33.450000000000003"/>
    <n v="1190"/>
    <n v="2"/>
    <n v="1"/>
  </r>
  <r>
    <m/>
    <m/>
    <x v="1"/>
    <s v="93316698001001"/>
    <n v="-12.99"/>
    <n v="448"/>
    <n v="2"/>
    <n v="1"/>
  </r>
  <r>
    <m/>
    <m/>
    <x v="1"/>
    <s v="93362702006001"/>
    <n v="-32.68"/>
    <n v="1053"/>
    <n v="2"/>
    <n v="1"/>
  </r>
  <r>
    <m/>
    <m/>
    <x v="1"/>
    <s v="93368277001002"/>
    <n v="-16.630000000000003"/>
    <n v="568"/>
    <n v="2"/>
    <n v="1"/>
  </r>
  <r>
    <m/>
    <m/>
    <x v="1"/>
    <s v="93387211001009"/>
    <n v="-46.77"/>
    <n v="1691"/>
    <n v="2"/>
    <n v="1"/>
  </r>
  <r>
    <m/>
    <m/>
    <x v="1"/>
    <s v="93483899001001"/>
    <n v="-30.04"/>
    <n v="1016"/>
    <n v="2"/>
    <n v="1"/>
  </r>
  <r>
    <m/>
    <m/>
    <x v="1"/>
    <s v="93549993001001"/>
    <n v="-53.79"/>
    <n v="1846"/>
    <n v="2"/>
    <n v="1"/>
  </r>
  <r>
    <m/>
    <m/>
    <x v="1"/>
    <s v="93645499001013"/>
    <n v="-15.91"/>
    <n v="581"/>
    <n v="1"/>
    <n v="1"/>
  </r>
  <r>
    <m/>
    <m/>
    <x v="1"/>
    <s v="94287883002008"/>
    <n v="-14.41"/>
    <n v="518"/>
    <n v="2"/>
    <n v="1"/>
  </r>
  <r>
    <m/>
    <m/>
    <x v="1"/>
    <s v="94506465001003"/>
    <n v="-16.03"/>
    <n v="573"/>
    <n v="2"/>
    <n v="1"/>
  </r>
  <r>
    <m/>
    <m/>
    <x v="1"/>
    <s v="94860723001003"/>
    <n v="-23.049999999999997"/>
    <n v="799"/>
    <n v="2"/>
    <n v="1"/>
  </r>
  <r>
    <m/>
    <m/>
    <x v="1"/>
    <s v="95036848001006"/>
    <n v="-42.09"/>
    <n v="1452"/>
    <n v="2"/>
    <n v="1"/>
  </r>
  <r>
    <m/>
    <m/>
    <x v="1"/>
    <s v="95248906001001"/>
    <n v="-12.67"/>
    <n v="433"/>
    <n v="2"/>
    <n v="1"/>
  </r>
  <r>
    <m/>
    <m/>
    <x v="1"/>
    <s v="95523867004002"/>
    <n v="-40.800000000000004"/>
    <n v="1321"/>
    <n v="2"/>
    <n v="1"/>
  </r>
  <r>
    <m/>
    <m/>
    <x v="1"/>
    <s v="95675529001008"/>
    <n v="-6.83"/>
    <n v="220"/>
    <n v="2"/>
    <n v="1"/>
  </r>
  <r>
    <m/>
    <m/>
    <x v="1"/>
    <s v="95837796001001"/>
    <n v="-35.019999999999996"/>
    <n v="1196"/>
    <n v="2"/>
    <n v="1"/>
  </r>
  <r>
    <m/>
    <m/>
    <x v="1"/>
    <s v="95880839001001"/>
    <n v="-5.28"/>
    <n v="193"/>
    <n v="1"/>
    <n v="1"/>
  </r>
  <r>
    <m/>
    <m/>
    <x v="1"/>
    <s v="95972381001002"/>
    <n v="-28.2"/>
    <n v="968"/>
    <n v="2"/>
    <n v="1"/>
  </r>
  <r>
    <m/>
    <m/>
    <x v="1"/>
    <s v="96118559002003"/>
    <n v="-8.26"/>
    <n v="275"/>
    <n v="2"/>
    <n v="1"/>
  </r>
  <r>
    <m/>
    <m/>
    <x v="1"/>
    <s v="96171891001005"/>
    <n v="-14.07"/>
    <n v="514"/>
    <n v="1"/>
    <n v="1"/>
  </r>
  <r>
    <m/>
    <m/>
    <x v="1"/>
    <s v="96336668001003"/>
    <n v="-24.64"/>
    <n v="900"/>
    <n v="1"/>
    <n v="1"/>
  </r>
  <r>
    <m/>
    <m/>
    <x v="1"/>
    <s v="96956354001001"/>
    <n v="-70.42"/>
    <n v="2572"/>
    <n v="1"/>
    <n v="1"/>
  </r>
  <r>
    <m/>
    <m/>
    <x v="1"/>
    <s v="97054812001007"/>
    <n v="-23.61"/>
    <n v="757"/>
    <n v="2"/>
    <n v="1"/>
  </r>
  <r>
    <m/>
    <m/>
    <x v="1"/>
    <s v="97360124001003"/>
    <n v="-19.420000000000002"/>
    <n v="629"/>
    <n v="2"/>
    <n v="1"/>
  </r>
  <r>
    <m/>
    <m/>
    <x v="1"/>
    <s v="97375212002001"/>
    <n v="-23.64"/>
    <n v="841"/>
    <n v="2"/>
    <n v="1"/>
  </r>
  <r>
    <m/>
    <m/>
    <x v="1"/>
    <s v="97637799001002"/>
    <n v="-17.52"/>
    <n v="640"/>
    <n v="1"/>
    <n v="1"/>
  </r>
  <r>
    <m/>
    <m/>
    <x v="1"/>
    <s v="97778274001003"/>
    <n v="-4.2299999999999995"/>
    <n v="137"/>
    <n v="2"/>
    <n v="1"/>
  </r>
  <r>
    <m/>
    <m/>
    <x v="1"/>
    <s v="97820700001001"/>
    <n v="-21.22"/>
    <n v="775"/>
    <n v="1"/>
    <n v="1"/>
  </r>
  <r>
    <m/>
    <m/>
    <x v="1"/>
    <s v="97956025003002"/>
    <n v="-31.24"/>
    <n v="1141"/>
    <n v="1"/>
    <n v="1"/>
  </r>
  <r>
    <m/>
    <m/>
    <x v="1"/>
    <s v="97961919002001"/>
    <n v="-26.15"/>
    <n v="935"/>
    <n v="2"/>
    <n v="1"/>
  </r>
  <r>
    <m/>
    <m/>
    <x v="1"/>
    <s v="98267511008001"/>
    <n v="-25.63"/>
    <n v="936"/>
    <n v="1"/>
    <n v="1"/>
  </r>
  <r>
    <m/>
    <m/>
    <x v="1"/>
    <s v="98411297002003"/>
    <n v="-20.45"/>
    <n v="709"/>
    <n v="2"/>
    <n v="1"/>
  </r>
  <r>
    <m/>
    <m/>
    <x v="1"/>
    <s v="98420960001001"/>
    <n v="-11.3"/>
    <n v="364"/>
    <n v="2"/>
    <n v="1"/>
  </r>
  <r>
    <m/>
    <m/>
    <x v="1"/>
    <s v="98472260001001"/>
    <n v="-13.52"/>
    <n v="481"/>
    <n v="2"/>
    <n v="1"/>
  </r>
  <r>
    <m/>
    <m/>
    <x v="1"/>
    <s v="98478092001001"/>
    <n v="-12.7"/>
    <n v="423"/>
    <n v="2"/>
    <n v="1"/>
  </r>
  <r>
    <m/>
    <m/>
    <x v="1"/>
    <s v="98485707001001"/>
    <n v="-14.34"/>
    <n v="485"/>
    <n v="2"/>
    <n v="1"/>
  </r>
  <r>
    <m/>
    <m/>
    <x v="1"/>
    <s v="98730311001007"/>
    <n v="-27.55"/>
    <n v="941"/>
    <n v="2"/>
    <n v="1"/>
  </r>
  <r>
    <m/>
    <m/>
    <x v="1"/>
    <s v="99162209001001"/>
    <n v="-53.1"/>
    <n v="1703"/>
    <n v="2"/>
    <n v="1"/>
  </r>
  <r>
    <m/>
    <m/>
    <x v="1"/>
    <s v="99284431001009"/>
    <n v="-25.020000000000003"/>
    <n v="810"/>
    <n v="2"/>
    <n v="1"/>
  </r>
  <r>
    <m/>
    <m/>
    <x v="1"/>
    <s v="99321769001003"/>
    <n v="-10.82"/>
    <n v="347"/>
    <n v="2"/>
    <n v="1"/>
  </r>
  <r>
    <m/>
    <m/>
    <x v="1"/>
    <s v="99547055001003"/>
    <n v="-29.46"/>
    <n v="1076"/>
    <n v="1"/>
    <n v="1"/>
  </r>
  <r>
    <m/>
    <m/>
    <x v="1"/>
    <s v="99887316001003"/>
    <n v="-1.55"/>
    <n v="53"/>
    <n v="2"/>
    <n v="1"/>
  </r>
  <r>
    <m/>
    <m/>
    <x v="4"/>
    <m/>
    <n v="-23530.840000000117"/>
    <n v="812307"/>
    <n v="1836"/>
    <n v="1010"/>
  </r>
  <r>
    <m/>
    <m/>
    <x v="5"/>
    <s v="00003271001001"/>
    <n v="-66.84"/>
    <n v="1626"/>
    <n v="2"/>
    <n v="1"/>
  </r>
  <r>
    <m/>
    <m/>
    <x v="1"/>
    <s v="00068289001001"/>
    <n v="-22.28"/>
    <n v="507"/>
    <n v="2"/>
    <n v="1"/>
  </r>
  <r>
    <m/>
    <m/>
    <x v="1"/>
    <s v="00089965001003"/>
    <n v="-69.790000000000006"/>
    <n v="1588"/>
    <n v="2"/>
    <n v="1"/>
  </r>
  <r>
    <m/>
    <m/>
    <x v="1"/>
    <s v="00248169001001"/>
    <n v="-6.67"/>
    <n v="154"/>
    <n v="2"/>
    <n v="1"/>
  </r>
  <r>
    <m/>
    <m/>
    <x v="1"/>
    <s v="00251568001001"/>
    <n v="-26.29"/>
    <n v="610"/>
    <n v="2"/>
    <n v="1"/>
  </r>
  <r>
    <m/>
    <m/>
    <x v="1"/>
    <s v="00319594001001"/>
    <n v="-16.55"/>
    <n v="398"/>
    <n v="2"/>
    <n v="1"/>
  </r>
  <r>
    <m/>
    <m/>
    <x v="1"/>
    <s v="00365733004005"/>
    <n v="-10.09"/>
    <n v="248"/>
    <n v="1"/>
    <n v="1"/>
  </r>
  <r>
    <m/>
    <m/>
    <x v="1"/>
    <s v="00382666001003"/>
    <n v="-48.040000000000006"/>
    <n v="1093"/>
    <n v="2"/>
    <n v="1"/>
  </r>
  <r>
    <m/>
    <m/>
    <x v="1"/>
    <s v="00424155001001"/>
    <n v="-21.09"/>
    <n v="455"/>
    <n v="2"/>
    <n v="1"/>
  </r>
  <r>
    <m/>
    <m/>
    <x v="1"/>
    <s v="00479722008001"/>
    <n v="-53.97"/>
    <n v="1228"/>
    <n v="2"/>
    <n v="1"/>
  </r>
  <r>
    <m/>
    <m/>
    <x v="1"/>
    <s v="00507579001002"/>
    <n v="-18.27"/>
    <n v="449"/>
    <n v="1"/>
    <n v="1"/>
  </r>
  <r>
    <m/>
    <m/>
    <x v="1"/>
    <s v="00552042001003"/>
    <n v="-19.02"/>
    <n v="419"/>
    <n v="2"/>
    <n v="1"/>
  </r>
  <r>
    <m/>
    <m/>
    <x v="1"/>
    <s v="00574926001001"/>
    <n v="-27.54"/>
    <n v="659"/>
    <n v="2"/>
    <n v="1"/>
  </r>
  <r>
    <m/>
    <m/>
    <x v="1"/>
    <s v="00631143001001"/>
    <n v="-14.450000000000001"/>
    <n v="346"/>
    <n v="2"/>
    <n v="1"/>
  </r>
  <r>
    <m/>
    <m/>
    <x v="1"/>
    <s v="00722915001001"/>
    <n v="-16.43"/>
    <n v="370"/>
    <n v="2"/>
    <n v="1"/>
  </r>
  <r>
    <m/>
    <m/>
    <x v="1"/>
    <s v="00730907001001"/>
    <n v="-9.879999999999999"/>
    <n v="227"/>
    <n v="2"/>
    <n v="1"/>
  </r>
  <r>
    <m/>
    <m/>
    <x v="1"/>
    <s v="00780738001001"/>
    <n v="-42.05"/>
    <n v="1007"/>
    <n v="2"/>
    <n v="1"/>
  </r>
  <r>
    <m/>
    <m/>
    <x v="1"/>
    <s v="00906029001008"/>
    <n v="-30.509999999999998"/>
    <n v="701"/>
    <n v="2"/>
    <n v="1"/>
  </r>
  <r>
    <m/>
    <m/>
    <x v="1"/>
    <s v="00927680001009"/>
    <n v="-10.440000000000001"/>
    <n v="234"/>
    <n v="2"/>
    <n v="1"/>
  </r>
  <r>
    <m/>
    <m/>
    <x v="1"/>
    <s v="01028343001005"/>
    <n v="-25.46"/>
    <n v="552"/>
    <n v="2"/>
    <n v="1"/>
  </r>
  <r>
    <m/>
    <m/>
    <x v="1"/>
    <s v="01092252001001"/>
    <n v="-31.3"/>
    <n v="753"/>
    <n v="2"/>
    <n v="1"/>
  </r>
  <r>
    <m/>
    <m/>
    <x v="1"/>
    <s v="01125392001001"/>
    <n v="-53.31"/>
    <n v="1213"/>
    <n v="2"/>
    <n v="1"/>
  </r>
  <r>
    <m/>
    <m/>
    <x v="1"/>
    <s v="01190048001002"/>
    <n v="-4.05"/>
    <n v="93"/>
    <n v="2"/>
    <n v="1"/>
  </r>
  <r>
    <m/>
    <m/>
    <x v="1"/>
    <s v="01199376001001"/>
    <n v="-32"/>
    <n v="728"/>
    <n v="2"/>
    <n v="1"/>
  </r>
  <r>
    <m/>
    <m/>
    <x v="1"/>
    <s v="01335294001005"/>
    <n v="-14.84"/>
    <n v="341"/>
    <n v="2"/>
    <n v="1"/>
  </r>
  <r>
    <m/>
    <m/>
    <x v="1"/>
    <s v="01403700005001"/>
    <n v="-42.54"/>
    <n v="949"/>
    <n v="2"/>
    <n v="1"/>
  </r>
  <r>
    <m/>
    <m/>
    <x v="1"/>
    <s v="01483465001001"/>
    <n v="-25.63"/>
    <n v="614"/>
    <n v="2"/>
    <n v="1"/>
  </r>
  <r>
    <m/>
    <m/>
    <x v="1"/>
    <s v="01608043001005"/>
    <n v="-68.7"/>
    <n v="1688"/>
    <n v="1"/>
    <n v="1"/>
  </r>
  <r>
    <m/>
    <m/>
    <x v="1"/>
    <s v="01698859001001"/>
    <n v="-25.07"/>
    <n v="616"/>
    <n v="1"/>
    <n v="1"/>
  </r>
  <r>
    <m/>
    <m/>
    <x v="1"/>
    <s v="01752705001001"/>
    <n v="-77.94"/>
    <n v="1747"/>
    <n v="2"/>
    <n v="1"/>
  </r>
  <r>
    <m/>
    <m/>
    <x v="1"/>
    <s v="01980596001009"/>
    <n v="-31.68"/>
    <n v="701"/>
    <n v="2"/>
    <n v="1"/>
  </r>
  <r>
    <m/>
    <m/>
    <x v="1"/>
    <s v="02012192001001"/>
    <n v="-8.879999999999999"/>
    <n v="204"/>
    <n v="2"/>
    <n v="1"/>
  </r>
  <r>
    <m/>
    <m/>
    <x v="1"/>
    <s v="02160615003007"/>
    <n v="-55.36"/>
    <n v="1332"/>
    <n v="2"/>
    <n v="1"/>
  </r>
  <r>
    <m/>
    <m/>
    <x v="1"/>
    <s v="02179705001007"/>
    <n v="-50.33"/>
    <n v="1128"/>
    <n v="2"/>
    <n v="1"/>
  </r>
  <r>
    <m/>
    <m/>
    <x v="1"/>
    <s v="02188680001001"/>
    <n v="-34.72"/>
    <n v="853"/>
    <n v="1"/>
    <n v="1"/>
  </r>
  <r>
    <m/>
    <m/>
    <x v="1"/>
    <s v="02222873001007"/>
    <n v="-2.5"/>
    <n v="60"/>
    <n v="2"/>
    <n v="1"/>
  </r>
  <r>
    <m/>
    <m/>
    <x v="1"/>
    <s v="02227362001007"/>
    <n v="-17.579999999999998"/>
    <n v="394"/>
    <n v="2"/>
    <n v="1"/>
  </r>
  <r>
    <m/>
    <m/>
    <x v="1"/>
    <s v="02282438001003"/>
    <n v="-22.72"/>
    <n v="522"/>
    <n v="2"/>
    <n v="1"/>
  </r>
  <r>
    <m/>
    <m/>
    <x v="1"/>
    <s v="02380352001003"/>
    <n v="-52.99"/>
    <n v="1154"/>
    <n v="2"/>
    <n v="1"/>
  </r>
  <r>
    <m/>
    <m/>
    <x v="1"/>
    <s v="02412878001001"/>
    <n v="-34.75"/>
    <n v="836"/>
    <n v="2"/>
    <n v="1"/>
  </r>
  <r>
    <m/>
    <m/>
    <x v="1"/>
    <s v="02496747002003"/>
    <n v="-46.28"/>
    <n v="1137"/>
    <n v="1"/>
    <n v="1"/>
  </r>
  <r>
    <m/>
    <m/>
    <x v="1"/>
    <s v="02546933001001"/>
    <n v="-14.08"/>
    <n v="346"/>
    <n v="1"/>
    <n v="1"/>
  </r>
  <r>
    <m/>
    <m/>
    <x v="1"/>
    <s v="02670836001001"/>
    <n v="-8.86"/>
    <n v="195"/>
    <n v="2"/>
    <n v="1"/>
  </r>
  <r>
    <m/>
    <m/>
    <x v="1"/>
    <s v="02683413001001"/>
    <n v="-41.66"/>
    <n v="903"/>
    <n v="2"/>
    <n v="1"/>
  </r>
  <r>
    <m/>
    <m/>
    <x v="1"/>
    <s v="02717656001001"/>
    <n v="-7.2"/>
    <n v="177"/>
    <n v="1"/>
    <n v="1"/>
  </r>
  <r>
    <m/>
    <m/>
    <x v="1"/>
    <s v="02861062001008"/>
    <n v="-4.3100000000000005"/>
    <n v="94"/>
    <n v="2"/>
    <n v="1"/>
  </r>
  <r>
    <m/>
    <m/>
    <x v="1"/>
    <s v="02884496001009"/>
    <n v="-57.94"/>
    <n v="1256"/>
    <n v="2"/>
    <n v="1"/>
  </r>
  <r>
    <m/>
    <m/>
    <x v="1"/>
    <s v="02906246001001"/>
    <n v="-18.72"/>
    <n v="460"/>
    <n v="1"/>
    <n v="1"/>
  </r>
  <r>
    <m/>
    <m/>
    <x v="1"/>
    <s v="03018483004001"/>
    <n v="-39.309999999999995"/>
    <n v="852"/>
    <n v="2"/>
    <n v="1"/>
  </r>
  <r>
    <m/>
    <m/>
    <x v="1"/>
    <s v="03051677001003"/>
    <n v="-53.1"/>
    <n v="1220"/>
    <n v="2"/>
    <n v="1"/>
  </r>
  <r>
    <m/>
    <m/>
    <x v="1"/>
    <s v="03088248001005"/>
    <n v="-53.400000000000006"/>
    <n v="1197"/>
    <n v="2"/>
    <n v="1"/>
  </r>
  <r>
    <m/>
    <m/>
    <x v="1"/>
    <s v="03091692001001"/>
    <n v="-80.459999999999994"/>
    <n v="1736"/>
    <n v="2"/>
    <n v="1"/>
  </r>
  <r>
    <m/>
    <m/>
    <x v="1"/>
    <s v="03276788001006"/>
    <n v="-37.83"/>
    <n v="910"/>
    <n v="2"/>
    <n v="1"/>
  </r>
  <r>
    <m/>
    <m/>
    <x v="1"/>
    <s v="03308022002001"/>
    <n v="-44"/>
    <n v="1081"/>
    <n v="1"/>
    <n v="1"/>
  </r>
  <r>
    <m/>
    <m/>
    <x v="1"/>
    <s v="03330463001002"/>
    <n v="-23.07"/>
    <n v="530"/>
    <n v="2"/>
    <n v="1"/>
  </r>
  <r>
    <m/>
    <m/>
    <x v="1"/>
    <s v="03363668001003"/>
    <n v="-17.97"/>
    <n v="430"/>
    <n v="2"/>
    <n v="1"/>
  </r>
  <r>
    <m/>
    <m/>
    <x v="1"/>
    <s v="03476916002003"/>
    <n v="-10.85"/>
    <n v="247"/>
    <n v="2"/>
    <n v="1"/>
  </r>
  <r>
    <m/>
    <m/>
    <x v="1"/>
    <s v="03498939002001"/>
    <n v="-93.19"/>
    <n v="2089"/>
    <n v="2"/>
    <n v="1"/>
  </r>
  <r>
    <m/>
    <m/>
    <x v="1"/>
    <s v="03499851001001"/>
    <n v="-52.89"/>
    <n v="1152"/>
    <n v="2"/>
    <n v="1"/>
  </r>
  <r>
    <m/>
    <m/>
    <x v="1"/>
    <s v="03505698001001"/>
    <n v="-16.829999999999998"/>
    <n v="405"/>
    <n v="2"/>
    <n v="1"/>
  </r>
  <r>
    <m/>
    <m/>
    <x v="1"/>
    <s v="03517195001001"/>
    <n v="-9.93"/>
    <n v="244"/>
    <n v="1"/>
    <n v="1"/>
  </r>
  <r>
    <m/>
    <m/>
    <x v="1"/>
    <s v="03527986001006"/>
    <n v="-11.36"/>
    <n v="279"/>
    <n v="1"/>
    <n v="1"/>
  </r>
  <r>
    <m/>
    <m/>
    <x v="1"/>
    <s v="03530774001005"/>
    <n v="-17.989999999999998"/>
    <n v="442"/>
    <n v="1"/>
    <n v="1"/>
  </r>
  <r>
    <m/>
    <m/>
    <x v="1"/>
    <s v="03554715002003"/>
    <n v="-42.33"/>
    <n v="949"/>
    <n v="2"/>
    <n v="1"/>
  </r>
  <r>
    <m/>
    <m/>
    <x v="1"/>
    <s v="03722115001001"/>
    <n v="-48.6"/>
    <n v="1169"/>
    <n v="2"/>
    <n v="1"/>
  </r>
  <r>
    <m/>
    <m/>
    <x v="1"/>
    <s v="03725193001001"/>
    <n v="-71.819999999999993"/>
    <n v="1650"/>
    <n v="2"/>
    <n v="1"/>
  </r>
  <r>
    <m/>
    <m/>
    <x v="1"/>
    <s v="03757292001002"/>
    <n v="-31.88"/>
    <n v="736"/>
    <n v="2"/>
    <n v="1"/>
  </r>
  <r>
    <m/>
    <m/>
    <x v="1"/>
    <s v="03799095002001"/>
    <n v="-22.270000000000003"/>
    <n v="485"/>
    <n v="2"/>
    <n v="1"/>
  </r>
  <r>
    <m/>
    <m/>
    <x v="1"/>
    <s v="03896011001001"/>
    <n v="-57.370000000000005"/>
    <n v="1318"/>
    <n v="2"/>
    <n v="1"/>
  </r>
  <r>
    <m/>
    <m/>
    <x v="1"/>
    <s v="03983250001004"/>
    <n v="-63.86"/>
    <n v="1569"/>
    <n v="1"/>
    <n v="1"/>
  </r>
  <r>
    <m/>
    <m/>
    <x v="1"/>
    <s v="04065926001004"/>
    <n v="-21.18"/>
    <n v="507"/>
    <n v="2"/>
    <n v="1"/>
  </r>
  <r>
    <m/>
    <m/>
    <x v="1"/>
    <s v="04099598001002"/>
    <n v="-52.5"/>
    <n v="1263"/>
    <n v="2"/>
    <n v="1"/>
  </r>
  <r>
    <m/>
    <m/>
    <x v="1"/>
    <s v="04169668001001"/>
    <n v="-14.85"/>
    <n v="338"/>
    <n v="2"/>
    <n v="1"/>
  </r>
  <r>
    <m/>
    <m/>
    <x v="1"/>
    <s v="04226765001003"/>
    <n v="-44.9"/>
    <n v="1086"/>
    <n v="2"/>
    <n v="1"/>
  </r>
  <r>
    <m/>
    <m/>
    <x v="1"/>
    <s v="04280480008001"/>
    <n v="-33.94"/>
    <n v="834"/>
    <n v="1"/>
    <n v="1"/>
  </r>
  <r>
    <m/>
    <m/>
    <x v="1"/>
    <s v="04347740001005"/>
    <n v="-14.69"/>
    <n v="361"/>
    <n v="1"/>
    <n v="1"/>
  </r>
  <r>
    <m/>
    <m/>
    <x v="1"/>
    <s v="04348003001001"/>
    <n v="-31.59"/>
    <n v="733"/>
    <n v="2"/>
    <n v="1"/>
  </r>
  <r>
    <m/>
    <m/>
    <x v="1"/>
    <s v="04544587001001"/>
    <n v="-17.810000000000002"/>
    <n v="386"/>
    <n v="2"/>
    <n v="1"/>
  </r>
  <r>
    <m/>
    <m/>
    <x v="1"/>
    <s v="04563700003001"/>
    <n v="-39.520000000000003"/>
    <n v="971"/>
    <n v="1"/>
    <n v="1"/>
  </r>
  <r>
    <m/>
    <m/>
    <x v="1"/>
    <s v="04619562001001"/>
    <n v="-34.980000000000004"/>
    <n v="816"/>
    <n v="2"/>
    <n v="1"/>
  </r>
  <r>
    <m/>
    <m/>
    <x v="1"/>
    <s v="04707114001002"/>
    <n v="-21.42"/>
    <n v="497"/>
    <n v="2"/>
    <n v="1"/>
  </r>
  <r>
    <m/>
    <m/>
    <x v="1"/>
    <s v="04726736001005"/>
    <n v="-36.43"/>
    <n v="837"/>
    <n v="2"/>
    <n v="1"/>
  </r>
  <r>
    <m/>
    <m/>
    <x v="1"/>
    <s v="04731425001001"/>
    <n v="-45.91"/>
    <n v="1000"/>
    <n v="2"/>
    <n v="1"/>
  </r>
  <r>
    <m/>
    <m/>
    <x v="1"/>
    <s v="04805152001005"/>
    <n v="-66"/>
    <n v="1596"/>
    <n v="2"/>
    <n v="1"/>
  </r>
  <r>
    <m/>
    <m/>
    <x v="1"/>
    <s v="04961046001001"/>
    <n v="-39.200000000000003"/>
    <n v="892"/>
    <n v="2"/>
    <n v="1"/>
  </r>
  <r>
    <m/>
    <m/>
    <x v="1"/>
    <s v="05012951001002"/>
    <n v="-43.95"/>
    <n v="990"/>
    <n v="2"/>
    <n v="1"/>
  </r>
  <r>
    <m/>
    <m/>
    <x v="1"/>
    <s v="05125129001001"/>
    <n v="-2.56"/>
    <n v="63"/>
    <n v="1"/>
    <n v="1"/>
  </r>
  <r>
    <m/>
    <m/>
    <x v="1"/>
    <s v="05149737001007"/>
    <n v="-19.170000000000002"/>
    <n v="471"/>
    <n v="1"/>
    <n v="1"/>
  </r>
  <r>
    <m/>
    <m/>
    <x v="1"/>
    <s v="05178218001003"/>
    <n v="-40.049999999999997"/>
    <n v="984"/>
    <n v="1"/>
    <n v="1"/>
  </r>
  <r>
    <m/>
    <m/>
    <x v="1"/>
    <s v="05181815001001"/>
    <n v="-11.23"/>
    <n v="258"/>
    <n v="2"/>
    <n v="1"/>
  </r>
  <r>
    <m/>
    <m/>
    <x v="1"/>
    <s v="05429860001003"/>
    <n v="-29.56"/>
    <n v="711"/>
    <n v="2"/>
    <n v="1"/>
  </r>
  <r>
    <m/>
    <m/>
    <x v="1"/>
    <s v="05489508003005"/>
    <n v="-28.68"/>
    <n v="646"/>
    <n v="2"/>
    <n v="1"/>
  </r>
  <r>
    <m/>
    <m/>
    <x v="1"/>
    <s v="05530045001001"/>
    <n v="-16.78"/>
    <n v="362"/>
    <n v="2"/>
    <n v="1"/>
  </r>
  <r>
    <m/>
    <m/>
    <x v="1"/>
    <s v="05576834001001"/>
    <n v="-25.080000000000002"/>
    <n v="541"/>
    <n v="2"/>
    <n v="1"/>
  </r>
  <r>
    <m/>
    <m/>
    <x v="1"/>
    <s v="05623338001005"/>
    <n v="-3.47"/>
    <n v="75"/>
    <n v="2"/>
    <n v="1"/>
  </r>
  <r>
    <m/>
    <m/>
    <x v="1"/>
    <s v="05707361001002"/>
    <n v="-31.189999999999998"/>
    <n v="699"/>
    <n v="2"/>
    <n v="1"/>
  </r>
  <r>
    <m/>
    <m/>
    <x v="1"/>
    <s v="05767750001001"/>
    <n v="-50.39"/>
    <n v="1226"/>
    <n v="2"/>
    <n v="1"/>
  </r>
  <r>
    <m/>
    <m/>
    <x v="1"/>
    <s v="05803986001001"/>
    <n v="-15.76"/>
    <n v="340"/>
    <n v="2"/>
    <n v="1"/>
  </r>
  <r>
    <m/>
    <m/>
    <x v="1"/>
    <s v="05846062001006"/>
    <n v="-55.49"/>
    <n v="1328"/>
    <n v="2"/>
    <n v="1"/>
  </r>
  <r>
    <m/>
    <m/>
    <x v="1"/>
    <s v="05852224002001"/>
    <n v="-51.81"/>
    <n v="1273"/>
    <n v="1"/>
    <n v="1"/>
  </r>
  <r>
    <m/>
    <m/>
    <x v="1"/>
    <s v="05896396001005"/>
    <n v="-6.67"/>
    <n v="144"/>
    <n v="2"/>
    <n v="1"/>
  </r>
  <r>
    <m/>
    <m/>
    <x v="1"/>
    <s v="06217746001001"/>
    <n v="-42.63"/>
    <n v="924"/>
    <n v="2"/>
    <n v="1"/>
  </r>
  <r>
    <m/>
    <m/>
    <x v="1"/>
    <s v="06359444001001"/>
    <n v="-66.97"/>
    <n v="1604"/>
    <n v="2"/>
    <n v="1"/>
  </r>
  <r>
    <m/>
    <m/>
    <x v="1"/>
    <s v="06381309001001"/>
    <n v="-23.65"/>
    <n v="581"/>
    <n v="1"/>
    <n v="1"/>
  </r>
  <r>
    <m/>
    <m/>
    <x v="1"/>
    <s v="06382830001001"/>
    <n v="-27.11"/>
    <n v="623"/>
    <n v="2"/>
    <n v="1"/>
  </r>
  <r>
    <m/>
    <m/>
    <x v="1"/>
    <s v="06483393001003"/>
    <n v="-6.02"/>
    <n v="131"/>
    <n v="2"/>
    <n v="1"/>
  </r>
  <r>
    <m/>
    <m/>
    <x v="1"/>
    <s v="06506446002001"/>
    <n v="-28.869999999999997"/>
    <n v="657"/>
    <n v="2"/>
    <n v="1"/>
  </r>
  <r>
    <m/>
    <m/>
    <x v="1"/>
    <s v="06546723004003"/>
    <n v="-85.3"/>
    <n v="1849"/>
    <n v="2"/>
    <n v="1"/>
  </r>
  <r>
    <m/>
    <m/>
    <x v="1"/>
    <s v="06659461001001"/>
    <n v="-5.61"/>
    <n v="121"/>
    <n v="2"/>
    <n v="1"/>
  </r>
  <r>
    <m/>
    <m/>
    <x v="1"/>
    <s v="06711370004001"/>
    <n v="-59.120000000000005"/>
    <n v="1390"/>
    <n v="2"/>
    <n v="1"/>
  </r>
  <r>
    <m/>
    <m/>
    <x v="1"/>
    <s v="06752272001001"/>
    <n v="-12.65"/>
    <n v="295"/>
    <n v="2"/>
    <n v="1"/>
  </r>
  <r>
    <m/>
    <m/>
    <x v="1"/>
    <s v="06797083002002"/>
    <n v="-12"/>
    <n v="269"/>
    <n v="2"/>
    <n v="1"/>
  </r>
  <r>
    <m/>
    <m/>
    <x v="1"/>
    <s v="06815394001001"/>
    <n v="-13.14"/>
    <n v="305"/>
    <n v="2"/>
    <n v="1"/>
  </r>
  <r>
    <m/>
    <m/>
    <x v="1"/>
    <s v="06850200002005"/>
    <n v="-4.5999999999999996"/>
    <n v="113"/>
    <n v="1"/>
    <n v="1"/>
  </r>
  <r>
    <m/>
    <m/>
    <x v="1"/>
    <s v="06921954001001"/>
    <n v="-53.19"/>
    <n v="1222"/>
    <n v="2"/>
    <n v="1"/>
  </r>
  <r>
    <m/>
    <m/>
    <x v="1"/>
    <s v="06981091001001"/>
    <n v="-4.9300000000000006"/>
    <n v="107"/>
    <n v="2"/>
    <n v="1"/>
  </r>
  <r>
    <m/>
    <m/>
    <x v="1"/>
    <s v="06995052002002"/>
    <n v="-50.14"/>
    <n v="1232"/>
    <n v="1"/>
    <n v="1"/>
  </r>
  <r>
    <m/>
    <m/>
    <x v="1"/>
    <s v="07168124001001"/>
    <n v="-39.730000000000004"/>
    <n v="913"/>
    <n v="2"/>
    <n v="1"/>
  </r>
  <r>
    <m/>
    <m/>
    <x v="1"/>
    <s v="07188065001006"/>
    <n v="-24"/>
    <n v="538"/>
    <n v="2"/>
    <n v="1"/>
  </r>
  <r>
    <m/>
    <m/>
    <x v="1"/>
    <s v="07402694002004"/>
    <n v="-52.269999999999996"/>
    <n v="1166"/>
    <n v="2"/>
    <n v="1"/>
  </r>
  <r>
    <m/>
    <m/>
    <x v="1"/>
    <s v="07467331001001"/>
    <n v="-33.74"/>
    <n v="829"/>
    <n v="1"/>
    <n v="1"/>
  </r>
  <r>
    <m/>
    <m/>
    <x v="1"/>
    <s v="07497509001002"/>
    <n v="-13.51"/>
    <n v="332"/>
    <n v="1"/>
    <n v="1"/>
  </r>
  <r>
    <m/>
    <m/>
    <x v="1"/>
    <s v="07806495001002"/>
    <n v="-12.74"/>
    <n v="275"/>
    <n v="2"/>
    <n v="1"/>
  </r>
  <r>
    <m/>
    <m/>
    <x v="1"/>
    <s v="07839530002003"/>
    <n v="-97.56"/>
    <n v="2294"/>
    <n v="2"/>
    <n v="1"/>
  </r>
  <r>
    <m/>
    <m/>
    <x v="1"/>
    <s v="07899713001003"/>
    <n v="-20.03"/>
    <n v="465"/>
    <n v="2"/>
    <n v="1"/>
  </r>
  <r>
    <m/>
    <m/>
    <x v="1"/>
    <s v="07928044001004"/>
    <n v="-23.560000000000002"/>
    <n v="544"/>
    <n v="2"/>
    <n v="1"/>
  </r>
  <r>
    <m/>
    <m/>
    <x v="1"/>
    <s v="07949521001004"/>
    <n v="-85.35"/>
    <n v="1991"/>
    <n v="2"/>
    <n v="1"/>
  </r>
  <r>
    <m/>
    <m/>
    <x v="1"/>
    <s v="07950772002001"/>
    <n v="-47.879999999999995"/>
    <n v="1140"/>
    <n v="2"/>
    <n v="1"/>
  </r>
  <r>
    <m/>
    <m/>
    <x v="1"/>
    <s v="08046015005001"/>
    <n v="-45.230000000000004"/>
    <n v="985"/>
    <n v="2"/>
    <n v="1"/>
  </r>
  <r>
    <m/>
    <m/>
    <x v="1"/>
    <s v="08047179002001"/>
    <n v="-30.96"/>
    <n v="694"/>
    <n v="2"/>
    <n v="1"/>
  </r>
  <r>
    <m/>
    <m/>
    <x v="1"/>
    <s v="08056389001001"/>
    <n v="-1.6999999999999997"/>
    <n v="38"/>
    <n v="2"/>
    <n v="1"/>
  </r>
  <r>
    <m/>
    <m/>
    <x v="1"/>
    <s v="08158686001001"/>
    <n v="-9.5500000000000007"/>
    <n v="214"/>
    <n v="2"/>
    <n v="1"/>
  </r>
  <r>
    <m/>
    <m/>
    <x v="1"/>
    <s v="08233163001004"/>
    <n v="-47.230000000000004"/>
    <n v="1019"/>
    <n v="2"/>
    <n v="1"/>
  </r>
  <r>
    <m/>
    <m/>
    <x v="1"/>
    <s v="08395040001001"/>
    <n v="-32.129999999999995"/>
    <n v="742"/>
    <n v="2"/>
    <n v="1"/>
  </r>
  <r>
    <m/>
    <m/>
    <x v="1"/>
    <s v="08398498002001"/>
    <n v="-3.05"/>
    <n v="75"/>
    <n v="1"/>
    <n v="1"/>
  </r>
  <r>
    <m/>
    <m/>
    <x v="1"/>
    <s v="08504635004005"/>
    <n v="-39.729999999999997"/>
    <n v="895"/>
    <n v="2"/>
    <n v="1"/>
  </r>
  <r>
    <m/>
    <m/>
    <x v="1"/>
    <s v="08549288001007"/>
    <n v="-54.96"/>
    <n v="1269"/>
    <n v="2"/>
    <n v="1"/>
  </r>
  <r>
    <m/>
    <m/>
    <x v="1"/>
    <s v="08558972001001"/>
    <n v="-5.5299999999999994"/>
    <n v="129"/>
    <n v="2"/>
    <n v="1"/>
  </r>
  <r>
    <m/>
    <m/>
    <x v="1"/>
    <s v="08580823001001"/>
    <n v="-45.66"/>
    <n v="1039"/>
    <n v="2"/>
    <n v="1"/>
  </r>
  <r>
    <m/>
    <m/>
    <x v="1"/>
    <s v="08694261001001"/>
    <n v="-41.29"/>
    <n v="891"/>
    <n v="2"/>
    <n v="1"/>
  </r>
  <r>
    <m/>
    <m/>
    <x v="1"/>
    <s v="08733004003004"/>
    <n v="-57.59"/>
    <n v="1371"/>
    <n v="2"/>
    <n v="1"/>
  </r>
  <r>
    <m/>
    <m/>
    <x v="1"/>
    <s v="08794894001001"/>
    <n v="-94.18"/>
    <n v="2314"/>
    <n v="1"/>
    <n v="1"/>
  </r>
  <r>
    <m/>
    <m/>
    <x v="1"/>
    <s v="08951802001002"/>
    <n v="-52.349999999999994"/>
    <n v="1203"/>
    <n v="2"/>
    <n v="1"/>
  </r>
  <r>
    <m/>
    <m/>
    <x v="1"/>
    <s v="08974102001003"/>
    <n v="-21.96"/>
    <n v="507"/>
    <n v="2"/>
    <n v="1"/>
  </r>
  <r>
    <m/>
    <m/>
    <x v="1"/>
    <s v="09010397001001"/>
    <n v="-40.15"/>
    <n v="944"/>
    <n v="2"/>
    <n v="1"/>
  </r>
  <r>
    <m/>
    <m/>
    <x v="1"/>
    <s v="09185093001002"/>
    <n v="-14.35"/>
    <n v="311"/>
    <n v="2"/>
    <n v="1"/>
  </r>
  <r>
    <m/>
    <m/>
    <x v="1"/>
    <s v="09269213006001"/>
    <n v="-36.660000000000004"/>
    <n v="851"/>
    <n v="2"/>
    <n v="1"/>
  </r>
  <r>
    <m/>
    <m/>
    <x v="1"/>
    <s v="09289545005001"/>
    <n v="-63.21"/>
    <n v="1513"/>
    <n v="2"/>
    <n v="1"/>
  </r>
  <r>
    <m/>
    <m/>
    <x v="1"/>
    <s v="09315806002001"/>
    <n v="-11.84"/>
    <n v="285"/>
    <n v="2"/>
    <n v="1"/>
  </r>
  <r>
    <m/>
    <m/>
    <x v="1"/>
    <s v="09318796001003"/>
    <n v="-16.559999999999999"/>
    <n v="373"/>
    <n v="2"/>
    <n v="1"/>
  </r>
  <r>
    <m/>
    <m/>
    <x v="1"/>
    <s v="09350845002002"/>
    <n v="-43.02"/>
    <n v="1057"/>
    <n v="1"/>
    <n v="1"/>
  </r>
  <r>
    <m/>
    <m/>
    <x v="1"/>
    <s v="09410352001003"/>
    <n v="-26.93"/>
    <n v="625"/>
    <n v="2"/>
    <n v="1"/>
  </r>
  <r>
    <m/>
    <m/>
    <x v="1"/>
    <s v="09541206009003"/>
    <n v="-27.5"/>
    <n v="632"/>
    <n v="2"/>
    <n v="1"/>
  </r>
  <r>
    <m/>
    <m/>
    <x v="1"/>
    <s v="09555589001015"/>
    <n v="-21.98"/>
    <n v="540"/>
    <n v="1"/>
    <n v="1"/>
  </r>
  <r>
    <m/>
    <m/>
    <x v="1"/>
    <s v="09607312001001"/>
    <n v="-69.39"/>
    <n v="1678"/>
    <n v="2"/>
    <n v="1"/>
  </r>
  <r>
    <m/>
    <m/>
    <x v="1"/>
    <s v="09656421001005"/>
    <n v="-103.54"/>
    <n v="2491"/>
    <n v="2"/>
    <n v="1"/>
  </r>
  <r>
    <m/>
    <m/>
    <x v="1"/>
    <s v="09715929001003"/>
    <n v="-7.54"/>
    <n v="167"/>
    <n v="2"/>
    <n v="1"/>
  </r>
  <r>
    <m/>
    <m/>
    <x v="1"/>
    <s v="09717335001001"/>
    <n v="-44.7"/>
    <n v="1070"/>
    <n v="2"/>
    <n v="1"/>
  </r>
  <r>
    <m/>
    <m/>
    <x v="1"/>
    <s v="09742133005001"/>
    <n v="-12.780000000000001"/>
    <n v="277"/>
    <n v="2"/>
    <n v="1"/>
  </r>
  <r>
    <m/>
    <m/>
    <x v="1"/>
    <s v="09752135001001"/>
    <n v="-10.100000000000001"/>
    <n v="220"/>
    <n v="2"/>
    <n v="1"/>
  </r>
  <r>
    <m/>
    <m/>
    <x v="1"/>
    <s v="09767344004001"/>
    <n v="-104.26"/>
    <n v="2337"/>
    <n v="2"/>
    <n v="1"/>
  </r>
  <r>
    <m/>
    <m/>
    <x v="1"/>
    <s v="10032544001001"/>
    <n v="-29.39"/>
    <n v="682"/>
    <n v="2"/>
    <n v="1"/>
  </r>
  <r>
    <m/>
    <m/>
    <x v="1"/>
    <s v="10059606001001"/>
    <n v="-42.309999999999995"/>
    <n v="1018"/>
    <n v="2"/>
    <n v="1"/>
  </r>
  <r>
    <m/>
    <m/>
    <x v="1"/>
    <s v="10089238001001"/>
    <n v="-24.84"/>
    <n v="536"/>
    <n v="2"/>
    <n v="1"/>
  </r>
  <r>
    <m/>
    <m/>
    <x v="1"/>
    <s v="10095826001001"/>
    <n v="-52.1"/>
    <n v="1209"/>
    <n v="2"/>
    <n v="1"/>
  </r>
  <r>
    <m/>
    <m/>
    <x v="1"/>
    <s v="10286168001001"/>
    <n v="-31.05"/>
    <n v="763"/>
    <n v="1"/>
    <n v="1"/>
  </r>
  <r>
    <m/>
    <m/>
    <x v="1"/>
    <s v="10291136001005"/>
    <n v="-70.010000000000005"/>
    <n v="1693"/>
    <n v="2"/>
    <n v="1"/>
  </r>
  <r>
    <m/>
    <m/>
    <x v="1"/>
    <s v="10317407001001"/>
    <n v="-64.67"/>
    <n v="1589"/>
    <n v="1"/>
    <n v="1"/>
  </r>
  <r>
    <m/>
    <m/>
    <x v="1"/>
    <s v="10346018001001"/>
    <n v="-54.34"/>
    <n v="1261"/>
    <n v="2"/>
    <n v="1"/>
  </r>
  <r>
    <m/>
    <m/>
    <x v="1"/>
    <s v="10356260001001"/>
    <n v="-59.76"/>
    <n v="1430"/>
    <n v="2"/>
    <n v="1"/>
  </r>
  <r>
    <m/>
    <m/>
    <x v="1"/>
    <s v="10377894001016"/>
    <n v="-45.66"/>
    <n v="1039"/>
    <n v="2"/>
    <n v="1"/>
  </r>
  <r>
    <m/>
    <m/>
    <x v="1"/>
    <s v="10447712003003"/>
    <n v="-8.39"/>
    <n v="185"/>
    <n v="2"/>
    <n v="1"/>
  </r>
  <r>
    <m/>
    <m/>
    <x v="1"/>
    <s v="10563066001001"/>
    <n v="-6.68"/>
    <n v="155"/>
    <n v="2"/>
    <n v="1"/>
  </r>
  <r>
    <m/>
    <m/>
    <x v="1"/>
    <s v="10635301003001"/>
    <n v="-20.92"/>
    <n v="469"/>
    <n v="2"/>
    <n v="1"/>
  </r>
  <r>
    <m/>
    <m/>
    <x v="1"/>
    <s v="10769950001001"/>
    <n v="-6.57"/>
    <n v="143"/>
    <n v="2"/>
    <n v="1"/>
  </r>
  <r>
    <m/>
    <m/>
    <x v="1"/>
    <s v="10783993001001"/>
    <n v="-11.620000000000001"/>
    <n v="267"/>
    <n v="2"/>
    <n v="1"/>
  </r>
  <r>
    <m/>
    <m/>
    <x v="1"/>
    <s v="10792246001002"/>
    <n v="-19.79"/>
    <n v="471"/>
    <n v="2"/>
    <n v="1"/>
  </r>
  <r>
    <m/>
    <m/>
    <x v="1"/>
    <s v="10865475001001"/>
    <n v="-51.81"/>
    <n v="1273"/>
    <n v="1"/>
    <n v="1"/>
  </r>
  <r>
    <m/>
    <m/>
    <x v="1"/>
    <s v="11078715001003"/>
    <n v="-35.24"/>
    <n v="844"/>
    <n v="2"/>
    <n v="1"/>
  </r>
  <r>
    <m/>
    <m/>
    <x v="1"/>
    <s v="11190686005003"/>
    <n v="-98.82"/>
    <n v="2215"/>
    <n v="2"/>
    <n v="1"/>
  </r>
  <r>
    <m/>
    <m/>
    <x v="1"/>
    <s v="11325923001001"/>
    <n v="-36.619999999999997"/>
    <n v="825"/>
    <n v="2"/>
    <n v="1"/>
  </r>
  <r>
    <m/>
    <m/>
    <x v="1"/>
    <s v="11356050001010"/>
    <n v="-3.3600000000000003"/>
    <n v="80"/>
    <n v="2"/>
    <n v="1"/>
  </r>
  <r>
    <m/>
    <m/>
    <x v="1"/>
    <s v="11498623002001"/>
    <n v="-66.319999999999993"/>
    <n v="1509"/>
    <n v="2"/>
    <n v="1"/>
  </r>
  <r>
    <m/>
    <m/>
    <x v="1"/>
    <s v="11511797001002"/>
    <n v="-44.61"/>
    <n v="967"/>
    <n v="2"/>
    <n v="1"/>
  </r>
  <r>
    <m/>
    <m/>
    <x v="1"/>
    <s v="11558237001001"/>
    <n v="-41.54"/>
    <n v="931"/>
    <n v="2"/>
    <n v="1"/>
  </r>
  <r>
    <m/>
    <m/>
    <x v="1"/>
    <s v="11649874003001"/>
    <n v="-23.97"/>
    <n v="589"/>
    <n v="1"/>
    <n v="1"/>
  </r>
  <r>
    <m/>
    <m/>
    <x v="1"/>
    <s v="11662460005001"/>
    <n v="-59.440000000000005"/>
    <n v="1326"/>
    <n v="2"/>
    <n v="1"/>
  </r>
  <r>
    <m/>
    <m/>
    <x v="1"/>
    <s v="11714515001003"/>
    <n v="-35.25"/>
    <n v="814"/>
    <n v="2"/>
    <n v="1"/>
  </r>
  <r>
    <m/>
    <m/>
    <x v="1"/>
    <s v="11787709001001"/>
    <n v="-52.519999999999996"/>
    <n v="1257"/>
    <n v="2"/>
    <n v="1"/>
  </r>
  <r>
    <m/>
    <m/>
    <x v="1"/>
    <s v="12080794001007"/>
    <n v="-20.240000000000002"/>
    <n v="465"/>
    <n v="2"/>
    <n v="1"/>
  </r>
  <r>
    <m/>
    <m/>
    <x v="1"/>
    <s v="12190639001002"/>
    <n v="-33.69"/>
    <n v="774"/>
    <n v="2"/>
    <n v="1"/>
  </r>
  <r>
    <m/>
    <m/>
    <x v="1"/>
    <s v="12190744001001"/>
    <n v="-5.48"/>
    <n v="126"/>
    <n v="2"/>
    <n v="1"/>
  </r>
  <r>
    <m/>
    <m/>
    <x v="1"/>
    <s v="12193027001001"/>
    <n v="-8.36"/>
    <n v="199"/>
    <n v="2"/>
    <n v="1"/>
  </r>
  <r>
    <m/>
    <m/>
    <x v="1"/>
    <s v="12199696001001"/>
    <n v="-72.490000000000009"/>
    <n v="1579"/>
    <n v="2"/>
    <n v="1"/>
  </r>
  <r>
    <m/>
    <m/>
    <x v="1"/>
    <s v="12199921003001"/>
    <n v="-15.51"/>
    <n v="381"/>
    <n v="1"/>
    <n v="1"/>
  </r>
  <r>
    <m/>
    <m/>
    <x v="1"/>
    <s v="12215901001001"/>
    <n v="-5.3599999999999994"/>
    <n v="120"/>
    <n v="2"/>
    <n v="1"/>
  </r>
  <r>
    <m/>
    <m/>
    <x v="1"/>
    <s v="12246503002003"/>
    <n v="-53.69"/>
    <n v="1285"/>
    <n v="2"/>
    <n v="1"/>
  </r>
  <r>
    <m/>
    <m/>
    <x v="1"/>
    <s v="12258593002001"/>
    <n v="-49.89"/>
    <n v="1135"/>
    <n v="2"/>
    <n v="1"/>
  </r>
  <r>
    <m/>
    <m/>
    <x v="1"/>
    <s v="12347732001004"/>
    <n v="-47.18"/>
    <n v="1129"/>
    <n v="2"/>
    <n v="1"/>
  </r>
  <r>
    <m/>
    <m/>
    <x v="1"/>
    <s v="12587071001001"/>
    <n v="-68.59"/>
    <n v="1494"/>
    <n v="2"/>
    <n v="1"/>
  </r>
  <r>
    <m/>
    <m/>
    <x v="1"/>
    <s v="12738000001001"/>
    <n v="-80.75"/>
    <n v="1984"/>
    <n v="1"/>
    <n v="1"/>
  </r>
  <r>
    <m/>
    <m/>
    <x v="1"/>
    <s v="12750086001005"/>
    <n v="-40.76"/>
    <n v="941"/>
    <n v="2"/>
    <n v="1"/>
  </r>
  <r>
    <m/>
    <m/>
    <x v="1"/>
    <s v="12890384003001"/>
    <n v="-59.68"/>
    <n v="1385"/>
    <n v="2"/>
    <n v="1"/>
  </r>
  <r>
    <m/>
    <m/>
    <x v="1"/>
    <s v="12961356001003"/>
    <n v="-5.4"/>
    <n v="117"/>
    <n v="2"/>
    <n v="1"/>
  </r>
  <r>
    <m/>
    <m/>
    <x v="1"/>
    <s v="13219544001001"/>
    <n v="-99.47"/>
    <n v="2444"/>
    <n v="1"/>
    <n v="1"/>
  </r>
  <r>
    <m/>
    <m/>
    <x v="1"/>
    <s v="13250149001002"/>
    <n v="-59.47"/>
    <n v="1333"/>
    <n v="2"/>
    <n v="1"/>
  </r>
  <r>
    <m/>
    <m/>
    <x v="1"/>
    <s v="13434804001007"/>
    <n v="-6.76"/>
    <n v="166"/>
    <n v="1"/>
    <n v="1"/>
  </r>
  <r>
    <m/>
    <m/>
    <x v="1"/>
    <s v="13584754001005"/>
    <n v="-11.45"/>
    <n v="277"/>
    <n v="2"/>
    <n v="1"/>
  </r>
  <r>
    <m/>
    <m/>
    <x v="1"/>
    <s v="13597159001001"/>
    <n v="-75.819999999999993"/>
    <n v="1742"/>
    <n v="2"/>
    <n v="1"/>
  </r>
  <r>
    <m/>
    <m/>
    <x v="1"/>
    <s v="13657098001001"/>
    <n v="-24.5"/>
    <n v="549"/>
    <n v="2"/>
    <n v="1"/>
  </r>
  <r>
    <m/>
    <m/>
    <x v="1"/>
    <s v="13673984001003"/>
    <n v="-41.81"/>
    <n v="902"/>
    <n v="2"/>
    <n v="1"/>
  </r>
  <r>
    <m/>
    <m/>
    <x v="1"/>
    <s v="13794916004003"/>
    <n v="-50.75"/>
    <n v="1166"/>
    <n v="2"/>
    <n v="1"/>
  </r>
  <r>
    <m/>
    <m/>
    <x v="1"/>
    <s v="13812990001010"/>
    <n v="-43.26"/>
    <n v="1009"/>
    <n v="2"/>
    <n v="1"/>
  </r>
  <r>
    <m/>
    <m/>
    <x v="1"/>
    <s v="13818728001007"/>
    <n v="-28.86"/>
    <n v="709"/>
    <n v="1"/>
    <n v="1"/>
  </r>
  <r>
    <m/>
    <m/>
    <x v="1"/>
    <s v="13852682001001"/>
    <n v="-17.72"/>
    <n v="424"/>
    <n v="2"/>
    <n v="1"/>
  </r>
  <r>
    <m/>
    <m/>
    <x v="1"/>
    <s v="13882655001005"/>
    <n v="-47.17"/>
    <n v="1159"/>
    <n v="1"/>
    <n v="1"/>
  </r>
  <r>
    <m/>
    <m/>
    <x v="1"/>
    <s v="13925545001001"/>
    <n v="-60.25"/>
    <n v="1442"/>
    <n v="2"/>
    <n v="1"/>
  </r>
  <r>
    <m/>
    <m/>
    <x v="1"/>
    <s v="13972735001001"/>
    <n v="-25.03"/>
    <n v="615"/>
    <n v="1"/>
    <n v="1"/>
  </r>
  <r>
    <m/>
    <m/>
    <x v="1"/>
    <s v="13980714001001"/>
    <n v="-6.18"/>
    <n v="142"/>
    <n v="2"/>
    <n v="1"/>
  </r>
  <r>
    <m/>
    <m/>
    <x v="1"/>
    <s v="14105636001003"/>
    <n v="-129.31"/>
    <n v="2942"/>
    <n v="2"/>
    <n v="1"/>
  </r>
  <r>
    <m/>
    <m/>
    <x v="1"/>
    <s v="14123583001011"/>
    <n v="-7.61"/>
    <n v="187"/>
    <n v="1"/>
    <n v="1"/>
  </r>
  <r>
    <m/>
    <m/>
    <x v="1"/>
    <s v="14131015001003"/>
    <n v="-1.95"/>
    <n v="48"/>
    <n v="1"/>
    <n v="1"/>
  </r>
  <r>
    <m/>
    <m/>
    <x v="1"/>
    <s v="14158880001001"/>
    <n v="-35.49"/>
    <n v="872"/>
    <n v="1"/>
    <n v="1"/>
  </r>
  <r>
    <m/>
    <m/>
    <x v="1"/>
    <s v="14171251001006"/>
    <n v="-9.92"/>
    <n v="228"/>
    <n v="2"/>
    <n v="1"/>
  </r>
  <r>
    <m/>
    <m/>
    <x v="1"/>
    <s v="14195593002004"/>
    <n v="-68.08"/>
    <n v="1580"/>
    <n v="2"/>
    <n v="1"/>
  </r>
  <r>
    <m/>
    <m/>
    <x v="1"/>
    <s v="14250991001001"/>
    <n v="-22.67"/>
    <n v="533"/>
    <n v="2"/>
    <n v="1"/>
  </r>
  <r>
    <m/>
    <m/>
    <x v="1"/>
    <s v="14280190001003"/>
    <n v="-22.16"/>
    <n v="509"/>
    <n v="2"/>
    <n v="1"/>
  </r>
  <r>
    <m/>
    <m/>
    <x v="1"/>
    <s v="14315775001001"/>
    <n v="-9.01"/>
    <n v="207"/>
    <n v="2"/>
    <n v="1"/>
  </r>
  <r>
    <m/>
    <m/>
    <x v="1"/>
    <s v="14339079001003"/>
    <n v="-45.54"/>
    <n v="987"/>
    <n v="2"/>
    <n v="1"/>
  </r>
  <r>
    <m/>
    <m/>
    <x v="1"/>
    <s v="14387776001005"/>
    <n v="-29.55"/>
    <n v="726"/>
    <n v="1"/>
    <n v="1"/>
  </r>
  <r>
    <m/>
    <m/>
    <x v="1"/>
    <s v="14417667001001"/>
    <n v="-37.5"/>
    <n v="809"/>
    <n v="2"/>
    <n v="1"/>
  </r>
  <r>
    <m/>
    <m/>
    <x v="1"/>
    <s v="14496582001001"/>
    <n v="-17.89"/>
    <n v="413"/>
    <n v="2"/>
    <n v="1"/>
  </r>
  <r>
    <m/>
    <m/>
    <x v="1"/>
    <s v="14502955001001"/>
    <n v="-42.459999999999994"/>
    <n v="1027"/>
    <n v="2"/>
    <n v="1"/>
  </r>
  <r>
    <m/>
    <m/>
    <x v="1"/>
    <s v="14612915001001"/>
    <n v="-39.119999999999997"/>
    <n v="937"/>
    <n v="2"/>
    <n v="1"/>
  </r>
  <r>
    <m/>
    <m/>
    <x v="1"/>
    <s v="14663014001002"/>
    <n v="-23.34"/>
    <n v="523"/>
    <n v="2"/>
    <n v="1"/>
  </r>
  <r>
    <m/>
    <m/>
    <x v="1"/>
    <s v="14664113002001"/>
    <n v="-103.41"/>
    <n v="2400"/>
    <n v="2"/>
    <n v="1"/>
  </r>
  <r>
    <m/>
    <m/>
    <x v="1"/>
    <s v="14679367001003"/>
    <n v="-8.51"/>
    <n v="189"/>
    <n v="2"/>
    <n v="1"/>
  </r>
  <r>
    <m/>
    <m/>
    <x v="1"/>
    <s v="14809005001008"/>
    <n v="-3.74"/>
    <n v="81"/>
    <n v="2"/>
    <n v="1"/>
  </r>
  <r>
    <m/>
    <m/>
    <x v="1"/>
    <s v="14876434001004"/>
    <n v="-63.68"/>
    <n v="1374"/>
    <n v="2"/>
    <n v="1"/>
  </r>
  <r>
    <m/>
    <m/>
    <x v="1"/>
    <s v="14895349001006"/>
    <n v="-57.47"/>
    <n v="1412"/>
    <n v="1"/>
    <n v="1"/>
  </r>
  <r>
    <m/>
    <m/>
    <x v="1"/>
    <s v="15125902001001"/>
    <n v="-12.78"/>
    <n v="314"/>
    <n v="1"/>
    <n v="1"/>
  </r>
  <r>
    <m/>
    <m/>
    <x v="1"/>
    <s v="15242262002003"/>
    <n v="-9.23"/>
    <n v="200"/>
    <n v="2"/>
    <n v="1"/>
  </r>
  <r>
    <m/>
    <m/>
    <x v="1"/>
    <s v="15264531001003"/>
    <n v="-31.099999999999998"/>
    <n v="671"/>
    <n v="2"/>
    <n v="1"/>
  </r>
  <r>
    <m/>
    <m/>
    <x v="1"/>
    <s v="15335726001008"/>
    <n v="-10.95"/>
    <n v="262"/>
    <n v="2"/>
    <n v="1"/>
  </r>
  <r>
    <m/>
    <m/>
    <x v="1"/>
    <s v="15371962001008"/>
    <n v="-8.34"/>
    <n v="205"/>
    <n v="1"/>
    <n v="1"/>
  </r>
  <r>
    <m/>
    <m/>
    <x v="1"/>
    <s v="15431936001001"/>
    <n v="-25.73"/>
    <n v="626"/>
    <n v="2"/>
    <n v="1"/>
  </r>
  <r>
    <m/>
    <m/>
    <x v="1"/>
    <s v="15497150001007"/>
    <n v="-9.26"/>
    <n v="224"/>
    <n v="2"/>
    <n v="1"/>
  </r>
  <r>
    <m/>
    <m/>
    <x v="1"/>
    <s v="15515287001002"/>
    <n v="-39.03"/>
    <n v="934"/>
    <n v="2"/>
    <n v="1"/>
  </r>
  <r>
    <m/>
    <m/>
    <x v="1"/>
    <s v="15524581001001"/>
    <n v="-41.45"/>
    <n v="967"/>
    <n v="2"/>
    <n v="1"/>
  </r>
  <r>
    <m/>
    <m/>
    <x v="1"/>
    <s v="15567974001002"/>
    <n v="-31.18"/>
    <n v="754"/>
    <n v="2"/>
    <n v="1"/>
  </r>
  <r>
    <m/>
    <m/>
    <x v="1"/>
    <s v="15574419001008"/>
    <n v="-54.57"/>
    <n v="1283"/>
    <n v="2"/>
    <n v="1"/>
  </r>
  <r>
    <m/>
    <m/>
    <x v="1"/>
    <s v="15723578001004"/>
    <n v="-64.22"/>
    <n v="1510"/>
    <n v="2"/>
    <n v="1"/>
  </r>
  <r>
    <m/>
    <m/>
    <x v="1"/>
    <s v="15745592001001"/>
    <n v="-64.240000000000009"/>
    <n v="1476"/>
    <n v="2"/>
    <n v="1"/>
  </r>
  <r>
    <m/>
    <m/>
    <x v="1"/>
    <s v="15889369001001"/>
    <n v="-19.12"/>
    <n v="446"/>
    <n v="2"/>
    <n v="1"/>
  </r>
  <r>
    <m/>
    <m/>
    <x v="1"/>
    <s v="15925995001001"/>
    <n v="-13.8"/>
    <n v="339"/>
    <n v="1"/>
    <n v="1"/>
  </r>
  <r>
    <m/>
    <m/>
    <x v="1"/>
    <s v="16066827001002"/>
    <n v="-17.55"/>
    <n v="427"/>
    <n v="2"/>
    <n v="1"/>
  </r>
  <r>
    <m/>
    <m/>
    <x v="1"/>
    <s v="16066896001005"/>
    <n v="-20.5"/>
    <n v="493"/>
    <n v="2"/>
    <n v="1"/>
  </r>
  <r>
    <m/>
    <m/>
    <x v="1"/>
    <s v="16099578001001"/>
    <n v="-37.010000000000005"/>
    <n v="806"/>
    <n v="2"/>
    <n v="1"/>
  </r>
  <r>
    <m/>
    <m/>
    <x v="1"/>
    <s v="16129169001001"/>
    <n v="-67.78"/>
    <n v="1649"/>
    <n v="2"/>
    <n v="1"/>
  </r>
  <r>
    <m/>
    <m/>
    <x v="1"/>
    <s v="16141513003001"/>
    <n v="-26.74"/>
    <n v="657"/>
    <n v="1"/>
    <n v="1"/>
  </r>
  <r>
    <m/>
    <m/>
    <x v="1"/>
    <s v="16161055001004"/>
    <n v="-17.95"/>
    <n v="441"/>
    <n v="1"/>
    <n v="1"/>
  </r>
  <r>
    <m/>
    <m/>
    <x v="1"/>
    <s v="16175755001003"/>
    <n v="-12.05"/>
    <n v="261"/>
    <n v="2"/>
    <n v="1"/>
  </r>
  <r>
    <m/>
    <m/>
    <x v="1"/>
    <s v="16222691001005"/>
    <n v="-40.74"/>
    <n v="1001"/>
    <n v="1"/>
    <n v="1"/>
  </r>
  <r>
    <m/>
    <m/>
    <x v="1"/>
    <s v="16233681001003"/>
    <n v="-69.64"/>
    <n v="1711"/>
    <n v="1"/>
    <n v="1"/>
  </r>
  <r>
    <m/>
    <m/>
    <x v="1"/>
    <s v="16268790001003"/>
    <n v="-35.29"/>
    <n v="765"/>
    <n v="2"/>
    <n v="1"/>
  </r>
  <r>
    <m/>
    <m/>
    <x v="1"/>
    <s v="16272128001001"/>
    <n v="-23.080000000000002"/>
    <n v="498"/>
    <n v="2"/>
    <n v="1"/>
  </r>
  <r>
    <m/>
    <m/>
    <x v="1"/>
    <s v="16324942001001"/>
    <n v="-5.23"/>
    <n v="120"/>
    <n v="2"/>
    <n v="1"/>
  </r>
  <r>
    <m/>
    <m/>
    <x v="1"/>
    <s v="16450177001001"/>
    <n v="-4.18"/>
    <n v="91"/>
    <n v="2"/>
    <n v="1"/>
  </r>
  <r>
    <m/>
    <m/>
    <x v="1"/>
    <s v="16506070001002"/>
    <n v="-30.380000000000003"/>
    <n v="698"/>
    <n v="2"/>
    <n v="1"/>
  </r>
  <r>
    <m/>
    <m/>
    <x v="1"/>
    <s v="16578645001005"/>
    <n v="-11.440000000000001"/>
    <n v="248"/>
    <n v="2"/>
    <n v="1"/>
  </r>
  <r>
    <m/>
    <m/>
    <x v="1"/>
    <s v="16580528001001"/>
    <n v="-24.89"/>
    <n v="537"/>
    <n v="2"/>
    <n v="1"/>
  </r>
  <r>
    <m/>
    <m/>
    <x v="1"/>
    <s v="16593753001001"/>
    <n v="-23.18"/>
    <n v="538"/>
    <n v="2"/>
    <n v="1"/>
  </r>
  <r>
    <m/>
    <m/>
    <x v="1"/>
    <s v="16865540003001"/>
    <n v="-4.92"/>
    <n v="121"/>
    <n v="1"/>
    <n v="1"/>
  </r>
  <r>
    <m/>
    <m/>
    <x v="1"/>
    <s v="16884109001002"/>
    <n v="-45.559999999999995"/>
    <n v="983"/>
    <n v="2"/>
    <n v="1"/>
  </r>
  <r>
    <m/>
    <m/>
    <x v="1"/>
    <s v="16946064001004"/>
    <n v="-5.4"/>
    <n v="124"/>
    <n v="2"/>
    <n v="1"/>
  </r>
  <r>
    <m/>
    <m/>
    <x v="1"/>
    <s v="16958956001003"/>
    <n v="-27.35"/>
    <n v="672"/>
    <n v="1"/>
    <n v="1"/>
  </r>
  <r>
    <m/>
    <m/>
    <x v="1"/>
    <s v="17145119002004"/>
    <n v="-21.45"/>
    <n v="527"/>
    <n v="1"/>
    <n v="1"/>
  </r>
  <r>
    <m/>
    <m/>
    <x v="1"/>
    <s v="17193208001001"/>
    <n v="-12.35"/>
    <n v="285"/>
    <n v="2"/>
    <n v="1"/>
  </r>
  <r>
    <m/>
    <m/>
    <x v="1"/>
    <s v="17236061001003"/>
    <n v="-31.58"/>
    <n v="776"/>
    <n v="1"/>
    <n v="1"/>
  </r>
  <r>
    <m/>
    <m/>
    <x v="1"/>
    <s v="17277532001001"/>
    <n v="-27.380000000000003"/>
    <n v="656"/>
    <n v="2"/>
    <n v="1"/>
  </r>
  <r>
    <m/>
    <m/>
    <x v="1"/>
    <s v="17378301001002"/>
    <n v="-61.620000000000005"/>
    <n v="1476"/>
    <n v="2"/>
    <n v="1"/>
  </r>
  <r>
    <m/>
    <m/>
    <x v="1"/>
    <s v="17606006001001"/>
    <n v="-38.44"/>
    <n v="892"/>
    <n v="2"/>
    <n v="1"/>
  </r>
  <r>
    <m/>
    <m/>
    <x v="1"/>
    <s v="17706944001001"/>
    <n v="-37.36"/>
    <n v="867"/>
    <n v="2"/>
    <n v="1"/>
  </r>
  <r>
    <m/>
    <m/>
    <x v="1"/>
    <s v="17724609001006"/>
    <n v="-25.7"/>
    <n v="615"/>
    <n v="2"/>
    <n v="1"/>
  </r>
  <r>
    <m/>
    <m/>
    <x v="1"/>
    <s v="17740472001001"/>
    <n v="-15.24"/>
    <n v="332"/>
    <n v="2"/>
    <n v="1"/>
  </r>
  <r>
    <m/>
    <m/>
    <x v="1"/>
    <s v="17760079001001"/>
    <n v="-58.12"/>
    <n v="1342"/>
    <n v="2"/>
    <n v="1"/>
  </r>
  <r>
    <m/>
    <m/>
    <x v="1"/>
    <s v="17861861001001"/>
    <n v="-51.900000000000006"/>
    <n v="1181"/>
    <n v="2"/>
    <n v="1"/>
  </r>
  <r>
    <m/>
    <m/>
    <x v="1"/>
    <s v="17953292001001"/>
    <n v="-28.29"/>
    <n v="660"/>
    <n v="2"/>
    <n v="1"/>
  </r>
  <r>
    <m/>
    <m/>
    <x v="1"/>
    <s v="17980153001002"/>
    <n v="-45.89"/>
    <n v="990"/>
    <n v="2"/>
    <n v="1"/>
  </r>
  <r>
    <m/>
    <m/>
    <x v="1"/>
    <s v="18004459001001"/>
    <n v="-12.99"/>
    <n v="300"/>
    <n v="2"/>
    <n v="1"/>
  </r>
  <r>
    <m/>
    <m/>
    <x v="1"/>
    <s v="18025275001001"/>
    <n v="-27.82"/>
    <n v="613"/>
    <n v="2"/>
    <n v="1"/>
  </r>
  <r>
    <m/>
    <m/>
    <x v="1"/>
    <s v="18092440001003"/>
    <n v="-39.43"/>
    <n v="906"/>
    <n v="2"/>
    <n v="1"/>
  </r>
  <r>
    <m/>
    <m/>
    <x v="1"/>
    <s v="18093249001001"/>
    <n v="-62.59"/>
    <n v="1410"/>
    <n v="2"/>
    <n v="1"/>
  </r>
  <r>
    <m/>
    <m/>
    <x v="1"/>
    <s v="18172453001003"/>
    <n v="-33.96"/>
    <n v="784"/>
    <n v="2"/>
    <n v="1"/>
  </r>
  <r>
    <m/>
    <m/>
    <x v="1"/>
    <s v="18214356001003"/>
    <n v="-22.020000000000003"/>
    <n v="501"/>
    <n v="2"/>
    <n v="1"/>
  </r>
  <r>
    <m/>
    <m/>
    <x v="1"/>
    <s v="18273680003003"/>
    <n v="-40.880000000000003"/>
    <n v="882"/>
    <n v="2"/>
    <n v="1"/>
  </r>
  <r>
    <m/>
    <m/>
    <x v="1"/>
    <s v="18510970001001"/>
    <n v="-33.39"/>
    <n v="767"/>
    <n v="2"/>
    <n v="1"/>
  </r>
  <r>
    <m/>
    <m/>
    <x v="1"/>
    <s v="18517557001005"/>
    <n v="-15.41"/>
    <n v="334"/>
    <n v="2"/>
    <n v="1"/>
  </r>
  <r>
    <m/>
    <m/>
    <x v="1"/>
    <s v="18631095001001"/>
    <n v="-43.089999999999996"/>
    <n v="1042"/>
    <n v="2"/>
    <n v="1"/>
  </r>
  <r>
    <m/>
    <m/>
    <x v="1"/>
    <s v="18699658001004"/>
    <n v="-26.990000000000002"/>
    <n v="605"/>
    <n v="2"/>
    <n v="1"/>
  </r>
  <r>
    <m/>
    <m/>
    <x v="1"/>
    <s v="18702333001003"/>
    <n v="-81.699999999999989"/>
    <n v="1957"/>
    <n v="2"/>
    <n v="1"/>
  </r>
  <r>
    <m/>
    <m/>
    <x v="1"/>
    <s v="18898892001003"/>
    <n v="-25.91"/>
    <n v="620"/>
    <n v="2"/>
    <n v="1"/>
  </r>
  <r>
    <m/>
    <m/>
    <x v="1"/>
    <s v="18996467001003"/>
    <n v="-34.549999999999997"/>
    <n v="849"/>
    <n v="1"/>
    <n v="1"/>
  </r>
  <r>
    <m/>
    <m/>
    <x v="1"/>
    <s v="19109796001004"/>
    <n v="-35.29"/>
    <n v="803"/>
    <n v="2"/>
    <n v="1"/>
  </r>
  <r>
    <m/>
    <m/>
    <x v="1"/>
    <s v="19152907001005"/>
    <n v="-10.09"/>
    <n v="248"/>
    <n v="1"/>
    <n v="1"/>
  </r>
  <r>
    <m/>
    <m/>
    <x v="1"/>
    <s v="19242774001002"/>
    <n v="-15.63"/>
    <n v="384"/>
    <n v="1"/>
    <n v="1"/>
  </r>
  <r>
    <m/>
    <m/>
    <x v="1"/>
    <s v="19345185001001"/>
    <n v="-35.83"/>
    <n v="773"/>
    <n v="2"/>
    <n v="1"/>
  </r>
  <r>
    <m/>
    <m/>
    <x v="1"/>
    <s v="19422871001001"/>
    <n v="-62.209999999999994"/>
    <n v="1490"/>
    <n v="2"/>
    <n v="1"/>
  </r>
  <r>
    <m/>
    <m/>
    <x v="1"/>
    <s v="19435050001001"/>
    <n v="-40.44"/>
    <n v="902"/>
    <n v="2"/>
    <n v="1"/>
  </r>
  <r>
    <m/>
    <m/>
    <x v="1"/>
    <s v="19496026001002"/>
    <n v="-15.129999999999999"/>
    <n v="364"/>
    <n v="2"/>
    <n v="1"/>
  </r>
  <r>
    <m/>
    <m/>
    <x v="1"/>
    <s v="19549167001005"/>
    <n v="-61.400000000000006"/>
    <n v="1425"/>
    <n v="2"/>
    <n v="1"/>
  </r>
  <r>
    <m/>
    <m/>
    <x v="1"/>
    <s v="19653996003001"/>
    <n v="-15.3"/>
    <n v="368"/>
    <n v="2"/>
    <n v="1"/>
  </r>
  <r>
    <m/>
    <m/>
    <x v="1"/>
    <s v="19669200001002"/>
    <n v="-39.9"/>
    <n v="938"/>
    <n v="2"/>
    <n v="1"/>
  </r>
  <r>
    <m/>
    <m/>
    <x v="1"/>
    <s v="19722554001001"/>
    <n v="-9.77"/>
    <n v="240"/>
    <n v="1"/>
    <n v="1"/>
  </r>
  <r>
    <m/>
    <m/>
    <x v="1"/>
    <s v="19748155001005"/>
    <n v="-43.400000000000006"/>
    <n v="997"/>
    <n v="2"/>
    <n v="1"/>
  </r>
  <r>
    <m/>
    <m/>
    <x v="1"/>
    <s v="19844787001003"/>
    <n v="-24.99"/>
    <n v="614"/>
    <n v="1"/>
    <n v="1"/>
  </r>
  <r>
    <m/>
    <m/>
    <x v="1"/>
    <s v="19860152001001"/>
    <n v="-50.64"/>
    <n v="1218"/>
    <n v="2"/>
    <n v="1"/>
  </r>
  <r>
    <m/>
    <m/>
    <x v="1"/>
    <s v="19981285001002"/>
    <n v="-20.18"/>
    <n v="466"/>
    <n v="2"/>
    <n v="1"/>
  </r>
  <r>
    <m/>
    <m/>
    <x v="1"/>
    <s v="19984149003003"/>
    <n v="-24.62"/>
    <n v="605"/>
    <n v="1"/>
    <n v="1"/>
  </r>
  <r>
    <m/>
    <m/>
    <x v="1"/>
    <s v="20017970001001"/>
    <n v="-5.54"/>
    <n v="136"/>
    <n v="1"/>
    <n v="1"/>
  </r>
  <r>
    <m/>
    <m/>
    <x v="1"/>
    <s v="20111439001001"/>
    <n v="-30.189999999999998"/>
    <n v="697"/>
    <n v="2"/>
    <n v="1"/>
  </r>
  <r>
    <m/>
    <m/>
    <x v="1"/>
    <s v="20373554001003"/>
    <n v="-54.72"/>
    <n v="1270"/>
    <n v="2"/>
    <n v="1"/>
  </r>
  <r>
    <m/>
    <m/>
    <x v="1"/>
    <s v="20387598002003"/>
    <n v="-17.170000000000002"/>
    <n v="385"/>
    <n v="2"/>
    <n v="1"/>
  </r>
  <r>
    <m/>
    <m/>
    <x v="1"/>
    <s v="20481559001003"/>
    <n v="-11.01"/>
    <n v="253"/>
    <n v="2"/>
    <n v="1"/>
  </r>
  <r>
    <m/>
    <m/>
    <x v="1"/>
    <s v="20516782001001"/>
    <n v="-24.5"/>
    <n v="602"/>
    <n v="1"/>
    <n v="1"/>
  </r>
  <r>
    <m/>
    <m/>
    <x v="1"/>
    <s v="20531435001001"/>
    <n v="-41.6"/>
    <n v="1022"/>
    <n v="1"/>
    <n v="1"/>
  </r>
  <r>
    <m/>
    <m/>
    <x v="1"/>
    <s v="20615535002001"/>
    <n v="-79.39"/>
    <n v="1713"/>
    <n v="2"/>
    <n v="1"/>
  </r>
  <r>
    <m/>
    <m/>
    <x v="1"/>
    <s v="20656930001009"/>
    <n v="-17.240000000000002"/>
    <n v="380"/>
    <n v="2"/>
    <n v="1"/>
  </r>
  <r>
    <m/>
    <m/>
    <x v="1"/>
    <s v="21025729001001"/>
    <n v="-32.35"/>
    <n v="698"/>
    <n v="2"/>
    <n v="1"/>
  </r>
  <r>
    <m/>
    <m/>
    <x v="1"/>
    <s v="21129192001006"/>
    <n v="-25.810000000000002"/>
    <n v="599"/>
    <n v="2"/>
    <n v="1"/>
  </r>
  <r>
    <m/>
    <m/>
    <x v="1"/>
    <s v="21211434001004"/>
    <n v="-65.27"/>
    <n v="1588"/>
    <n v="2"/>
    <n v="1"/>
  </r>
  <r>
    <m/>
    <m/>
    <x v="1"/>
    <s v="21279456001002"/>
    <n v="-27.81"/>
    <n v="600"/>
    <n v="2"/>
    <n v="1"/>
  </r>
  <r>
    <m/>
    <m/>
    <x v="1"/>
    <s v="21286629001006"/>
    <n v="-49.47"/>
    <n v="1148"/>
    <n v="2"/>
    <n v="1"/>
  </r>
  <r>
    <m/>
    <m/>
    <x v="1"/>
    <s v="21479614002001"/>
    <n v="-7.7"/>
    <n v="177"/>
    <n v="2"/>
    <n v="1"/>
  </r>
  <r>
    <m/>
    <m/>
    <x v="1"/>
    <s v="21555911001001"/>
    <n v="-31.369999999999997"/>
    <n v="728"/>
    <n v="2"/>
    <n v="1"/>
  </r>
  <r>
    <m/>
    <m/>
    <x v="1"/>
    <s v="21594867001004"/>
    <n v="-43.410000000000004"/>
    <n v="1056"/>
    <n v="2"/>
    <n v="1"/>
  </r>
  <r>
    <m/>
    <m/>
    <x v="1"/>
    <s v="21600687001001"/>
    <n v="-60.519999999999996"/>
    <n v="1377"/>
    <n v="2"/>
    <n v="1"/>
  </r>
  <r>
    <m/>
    <m/>
    <x v="1"/>
    <s v="21669619001001"/>
    <n v="-13.879999999999999"/>
    <n v="319"/>
    <n v="2"/>
    <n v="1"/>
  </r>
  <r>
    <m/>
    <m/>
    <x v="1"/>
    <s v="21694077001003"/>
    <n v="-24.66"/>
    <n v="587"/>
    <n v="2"/>
    <n v="1"/>
  </r>
  <r>
    <m/>
    <m/>
    <x v="1"/>
    <s v="21889784001001"/>
    <n v="-20.64"/>
    <n v="479"/>
    <n v="2"/>
    <n v="1"/>
  </r>
  <r>
    <m/>
    <m/>
    <x v="1"/>
    <s v="22010468001003"/>
    <n v="-32.200000000000003"/>
    <n v="698"/>
    <n v="2"/>
    <n v="1"/>
  </r>
  <r>
    <m/>
    <m/>
    <x v="1"/>
    <s v="22022857001005"/>
    <n v="-29.54"/>
    <n v="659"/>
    <n v="2"/>
    <n v="1"/>
  </r>
  <r>
    <m/>
    <m/>
    <x v="1"/>
    <s v="22102529001008"/>
    <n v="-25.509999999999998"/>
    <n v="586"/>
    <n v="2"/>
    <n v="1"/>
  </r>
  <r>
    <m/>
    <m/>
    <x v="1"/>
    <s v="22108251008001"/>
    <n v="-88.17"/>
    <n v="2132"/>
    <n v="2"/>
    <n v="1"/>
  </r>
  <r>
    <m/>
    <m/>
    <x v="1"/>
    <s v="22118281001001"/>
    <n v="-20.010000000000002"/>
    <n v="484"/>
    <n v="2"/>
    <n v="1"/>
  </r>
  <r>
    <m/>
    <m/>
    <x v="1"/>
    <s v="22131630002004"/>
    <n v="-21.869999999999997"/>
    <n v="474"/>
    <n v="2"/>
    <n v="1"/>
  </r>
  <r>
    <m/>
    <m/>
    <x v="1"/>
    <s v="22171732002001"/>
    <n v="-26.189999999999998"/>
    <n v="596"/>
    <n v="2"/>
    <n v="1"/>
  </r>
  <r>
    <m/>
    <m/>
    <x v="1"/>
    <s v="22178371001001"/>
    <n v="-28.74"/>
    <n v="623"/>
    <n v="2"/>
    <n v="1"/>
  </r>
  <r>
    <m/>
    <m/>
    <x v="1"/>
    <s v="22203778001002"/>
    <n v="-9.69"/>
    <n v="238"/>
    <n v="1"/>
    <n v="1"/>
  </r>
  <r>
    <m/>
    <m/>
    <x v="1"/>
    <s v="22234236001005"/>
    <n v="-17.89"/>
    <n v="407"/>
    <n v="2"/>
    <n v="1"/>
  </r>
  <r>
    <m/>
    <m/>
    <x v="1"/>
    <s v="22237180001003"/>
    <n v="-11.530000000000001"/>
    <n v="265"/>
    <n v="2"/>
    <n v="1"/>
  </r>
  <r>
    <m/>
    <m/>
    <x v="1"/>
    <s v="22368801002001"/>
    <n v="-73.490000000000009"/>
    <n v="1672"/>
    <n v="2"/>
    <n v="1"/>
  </r>
  <r>
    <m/>
    <m/>
    <x v="1"/>
    <s v="22386532007001"/>
    <n v="-30.130000000000003"/>
    <n v="703"/>
    <n v="2"/>
    <n v="1"/>
  </r>
  <r>
    <m/>
    <m/>
    <x v="1"/>
    <s v="22448306001006"/>
    <n v="-18.990000000000002"/>
    <n v="452"/>
    <n v="2"/>
    <n v="1"/>
  </r>
  <r>
    <m/>
    <m/>
    <x v="1"/>
    <s v="22537776001001"/>
    <n v="-36.82"/>
    <n v="846"/>
    <n v="2"/>
    <n v="1"/>
  </r>
  <r>
    <m/>
    <m/>
    <x v="1"/>
    <s v="22693692001003"/>
    <n v="-44.04"/>
    <n v="1082"/>
    <n v="1"/>
    <n v="1"/>
  </r>
  <r>
    <m/>
    <m/>
    <x v="1"/>
    <s v="22697285001003"/>
    <n v="-26.41"/>
    <n v="607"/>
    <n v="2"/>
    <n v="1"/>
  </r>
  <r>
    <m/>
    <m/>
    <x v="1"/>
    <s v="22817915001006"/>
    <n v="-22.71"/>
    <n v="490"/>
    <n v="2"/>
    <n v="1"/>
  </r>
  <r>
    <m/>
    <m/>
    <x v="1"/>
    <s v="22968302004001"/>
    <n v="-23.689999999999998"/>
    <n v="539"/>
    <n v="2"/>
    <n v="1"/>
  </r>
  <r>
    <m/>
    <m/>
    <x v="1"/>
    <s v="23056711001001"/>
    <n v="-36.14"/>
    <n v="888"/>
    <n v="1"/>
    <n v="1"/>
  </r>
  <r>
    <m/>
    <m/>
    <x v="1"/>
    <s v="23103586001001"/>
    <n v="-16.759999999999998"/>
    <n v="389"/>
    <n v="2"/>
    <n v="1"/>
  </r>
  <r>
    <m/>
    <m/>
    <x v="1"/>
    <s v="23131202001001"/>
    <n v="-39.64"/>
    <n v="974"/>
    <n v="1"/>
    <n v="1"/>
  </r>
  <r>
    <m/>
    <m/>
    <x v="1"/>
    <s v="23143876001001"/>
    <n v="-22.05"/>
    <n v="478"/>
    <n v="2"/>
    <n v="1"/>
  </r>
  <r>
    <m/>
    <m/>
    <x v="1"/>
    <s v="23161227001003"/>
    <n v="-32.82"/>
    <n v="754"/>
    <n v="2"/>
    <n v="1"/>
  </r>
  <r>
    <m/>
    <m/>
    <x v="1"/>
    <s v="23191485002001"/>
    <n v="-41.269999999999996"/>
    <n v="998"/>
    <n v="2"/>
    <n v="1"/>
  </r>
  <r>
    <m/>
    <m/>
    <x v="1"/>
    <s v="23207064001005"/>
    <n v="-27.15"/>
    <n v="667"/>
    <n v="1"/>
    <n v="1"/>
  </r>
  <r>
    <m/>
    <m/>
    <x v="1"/>
    <s v="23252441005001"/>
    <n v="-37.869999999999997"/>
    <n v="911"/>
    <n v="2"/>
    <n v="1"/>
  </r>
  <r>
    <m/>
    <m/>
    <x v="1"/>
    <s v="23361845001001"/>
    <n v="-23.78"/>
    <n v="552"/>
    <n v="2"/>
    <n v="1"/>
  </r>
  <r>
    <m/>
    <m/>
    <x v="1"/>
    <s v="23403071001003"/>
    <n v="-9.98"/>
    <n v="220"/>
    <n v="2"/>
    <n v="1"/>
  </r>
  <r>
    <m/>
    <m/>
    <x v="1"/>
    <s v="23460849001001"/>
    <n v="-12.260000000000002"/>
    <n v="295"/>
    <n v="2"/>
    <n v="1"/>
  </r>
  <r>
    <m/>
    <m/>
    <x v="1"/>
    <s v="23465139001008"/>
    <n v="-80.02"/>
    <n v="1966"/>
    <n v="1"/>
    <n v="1"/>
  </r>
  <r>
    <m/>
    <m/>
    <x v="1"/>
    <s v="23535049001001"/>
    <n v="-34.75"/>
    <n v="832"/>
    <n v="2"/>
    <n v="1"/>
  </r>
  <r>
    <m/>
    <m/>
    <x v="1"/>
    <s v="23567089001003"/>
    <n v="-28.45"/>
    <n v="699"/>
    <n v="1"/>
    <n v="1"/>
  </r>
  <r>
    <m/>
    <m/>
    <x v="1"/>
    <s v="23600074001001"/>
    <n v="-21.84"/>
    <n v="497"/>
    <n v="2"/>
    <n v="1"/>
  </r>
  <r>
    <m/>
    <m/>
    <x v="1"/>
    <s v="23863133001011"/>
    <n v="-24.33"/>
    <n v="530"/>
    <n v="2"/>
    <n v="1"/>
  </r>
  <r>
    <m/>
    <m/>
    <x v="1"/>
    <s v="24274679001001"/>
    <n v="-41.230000000000004"/>
    <n v="938"/>
    <n v="2"/>
    <n v="1"/>
  </r>
  <r>
    <m/>
    <m/>
    <x v="1"/>
    <s v="24291697001001"/>
    <n v="-23.82"/>
    <n v="573"/>
    <n v="2"/>
    <n v="1"/>
  </r>
  <r>
    <m/>
    <m/>
    <x v="1"/>
    <s v="24336943003005"/>
    <n v="-96.24"/>
    <n v="2263"/>
    <n v="2"/>
    <n v="1"/>
  </r>
  <r>
    <m/>
    <m/>
    <x v="1"/>
    <s v="24352693002004"/>
    <n v="-90.34"/>
    <n v="2035"/>
    <n v="2"/>
    <n v="1"/>
  </r>
  <r>
    <m/>
    <m/>
    <x v="1"/>
    <s v="24416805001001"/>
    <n v="-27.03"/>
    <n v="621"/>
    <n v="2"/>
    <n v="1"/>
  </r>
  <r>
    <m/>
    <m/>
    <x v="1"/>
    <s v="24503591001001"/>
    <n v="-27.88"/>
    <n v="685"/>
    <n v="1"/>
    <n v="1"/>
  </r>
  <r>
    <m/>
    <m/>
    <x v="1"/>
    <s v="24546313001003"/>
    <n v="-37.71"/>
    <n v="907"/>
    <n v="2"/>
    <n v="1"/>
  </r>
  <r>
    <m/>
    <m/>
    <x v="1"/>
    <s v="24558803001001"/>
    <n v="-7.79"/>
    <n v="179"/>
    <n v="2"/>
    <n v="1"/>
  </r>
  <r>
    <m/>
    <m/>
    <x v="1"/>
    <s v="24571934001005"/>
    <n v="-7.4399999999999995"/>
    <n v="179"/>
    <n v="2"/>
    <n v="1"/>
  </r>
  <r>
    <m/>
    <m/>
    <x v="1"/>
    <s v="24605344003001"/>
    <n v="-8.66"/>
    <n v="201"/>
    <n v="2"/>
    <n v="1"/>
  </r>
  <r>
    <m/>
    <m/>
    <x v="1"/>
    <s v="24678011002004"/>
    <n v="-47.019999999999996"/>
    <n v="1059"/>
    <n v="2"/>
    <n v="1"/>
  </r>
  <r>
    <m/>
    <m/>
    <x v="1"/>
    <s v="24678131001007"/>
    <n v="-32.89"/>
    <n v="737"/>
    <n v="2"/>
    <n v="1"/>
  </r>
  <r>
    <m/>
    <m/>
    <x v="1"/>
    <s v="24684171002001"/>
    <n v="-83.88"/>
    <n v="1997"/>
    <n v="2"/>
    <n v="1"/>
  </r>
  <r>
    <m/>
    <m/>
    <x v="1"/>
    <s v="24806438001006"/>
    <n v="-22.590000000000003"/>
    <n v="514"/>
    <n v="2"/>
    <n v="1"/>
  </r>
  <r>
    <m/>
    <m/>
    <x v="1"/>
    <s v="24823730001001"/>
    <n v="-64.59"/>
    <n v="1587"/>
    <n v="1"/>
    <n v="1"/>
  </r>
  <r>
    <m/>
    <m/>
    <x v="1"/>
    <s v="24824356001005"/>
    <n v="-94.95"/>
    <n v="2333"/>
    <n v="1"/>
    <n v="1"/>
  </r>
  <r>
    <m/>
    <m/>
    <x v="1"/>
    <s v="24891420005001"/>
    <n v="-38.17"/>
    <n v="877"/>
    <n v="2"/>
    <n v="1"/>
  </r>
  <r>
    <m/>
    <m/>
    <x v="1"/>
    <s v="24901880001001"/>
    <n v="-15.82"/>
    <n v="343"/>
    <n v="2"/>
    <n v="1"/>
  </r>
  <r>
    <m/>
    <m/>
    <x v="1"/>
    <s v="24915827001003"/>
    <n v="-66.290000000000006"/>
    <n v="1486"/>
    <n v="2"/>
    <n v="1"/>
  </r>
  <r>
    <m/>
    <m/>
    <x v="1"/>
    <s v="25160457001004"/>
    <n v="-4.03"/>
    <n v="88"/>
    <n v="2"/>
    <n v="1"/>
  </r>
  <r>
    <m/>
    <m/>
    <x v="1"/>
    <s v="25266054001002"/>
    <n v="-66.209999999999994"/>
    <n v="1557"/>
    <n v="2"/>
    <n v="1"/>
  </r>
  <r>
    <m/>
    <m/>
    <x v="1"/>
    <s v="25397635001001"/>
    <n v="-13.739999999999998"/>
    <n v="308"/>
    <n v="2"/>
    <n v="1"/>
  </r>
  <r>
    <m/>
    <m/>
    <x v="1"/>
    <s v="25741551007013"/>
    <n v="-76.84"/>
    <n v="1658"/>
    <n v="2"/>
    <n v="1"/>
  </r>
  <r>
    <m/>
    <m/>
    <x v="1"/>
    <s v="25829665002002"/>
    <n v="-120.94"/>
    <n v="2711"/>
    <n v="2"/>
    <n v="1"/>
  </r>
  <r>
    <m/>
    <m/>
    <x v="1"/>
    <s v="25874153001001"/>
    <n v="-25.68"/>
    <n v="554"/>
    <n v="2"/>
    <n v="1"/>
  </r>
  <r>
    <m/>
    <m/>
    <x v="1"/>
    <s v="25919981001001"/>
    <n v="-8.49"/>
    <n v="185"/>
    <n v="2"/>
    <n v="1"/>
  </r>
  <r>
    <m/>
    <m/>
    <x v="1"/>
    <s v="26133946001003"/>
    <n v="-44.839999999999996"/>
    <n v="1091"/>
    <n v="2"/>
    <n v="1"/>
  </r>
  <r>
    <m/>
    <m/>
    <x v="1"/>
    <s v="26360288004001"/>
    <n v="-17.939999999999998"/>
    <n v="387"/>
    <n v="2"/>
    <n v="1"/>
  </r>
  <r>
    <m/>
    <m/>
    <x v="1"/>
    <s v="26449890001003"/>
    <n v="-2.0699999999999998"/>
    <n v="47"/>
    <n v="2"/>
    <n v="1"/>
  </r>
  <r>
    <m/>
    <m/>
    <x v="1"/>
    <s v="26458905001002"/>
    <n v="-14.32"/>
    <n v="309"/>
    <n v="2"/>
    <n v="1"/>
  </r>
  <r>
    <m/>
    <m/>
    <x v="1"/>
    <s v="26481593001002"/>
    <n v="-44.4"/>
    <n v="1091"/>
    <n v="1"/>
    <n v="1"/>
  </r>
  <r>
    <m/>
    <m/>
    <x v="1"/>
    <s v="26543152001004"/>
    <n v="-29.3"/>
    <n v="660"/>
    <n v="2"/>
    <n v="1"/>
  </r>
  <r>
    <m/>
    <m/>
    <x v="1"/>
    <s v="26574451002003"/>
    <n v="-157.24"/>
    <n v="3542"/>
    <n v="2"/>
    <n v="1"/>
  </r>
  <r>
    <m/>
    <m/>
    <x v="1"/>
    <s v="26719169001001"/>
    <n v="-16.77"/>
    <n v="412"/>
    <n v="1"/>
    <n v="1"/>
  </r>
  <r>
    <m/>
    <m/>
    <x v="1"/>
    <s v="26763592001011"/>
    <n v="-8.3099999999999987"/>
    <n v="191"/>
    <n v="2"/>
    <n v="1"/>
  </r>
  <r>
    <m/>
    <m/>
    <x v="1"/>
    <s v="26792221001002"/>
    <n v="-24.49"/>
    <n v="589"/>
    <n v="2"/>
    <n v="1"/>
  </r>
  <r>
    <m/>
    <m/>
    <x v="1"/>
    <s v="26889786001001"/>
    <n v="-63.74"/>
    <n v="1566"/>
    <n v="1"/>
    <n v="1"/>
  </r>
  <r>
    <m/>
    <m/>
    <x v="1"/>
    <s v="26902722002003"/>
    <n v="-32.74"/>
    <n v="713"/>
    <n v="2"/>
    <n v="1"/>
  </r>
  <r>
    <m/>
    <m/>
    <x v="1"/>
    <s v="26975811002001"/>
    <n v="-28.98"/>
    <n v="712"/>
    <n v="1"/>
    <n v="1"/>
  </r>
  <r>
    <m/>
    <m/>
    <x v="1"/>
    <s v="27004406001004"/>
    <n v="-10.06"/>
    <n v="218"/>
    <n v="2"/>
    <n v="1"/>
  </r>
  <r>
    <m/>
    <m/>
    <x v="1"/>
    <s v="27126363001003"/>
    <n v="-66.34"/>
    <n v="1630"/>
    <n v="1"/>
    <n v="1"/>
  </r>
  <r>
    <m/>
    <m/>
    <x v="1"/>
    <s v="27132055004001"/>
    <n v="-57.39"/>
    <n v="1410"/>
    <n v="1"/>
    <n v="1"/>
  </r>
  <r>
    <m/>
    <m/>
    <x v="1"/>
    <s v="27160905001001"/>
    <n v="-20.62"/>
    <n v="474"/>
    <n v="2"/>
    <n v="1"/>
  </r>
  <r>
    <m/>
    <m/>
    <x v="1"/>
    <s v="27214758001001"/>
    <n v="-29.47"/>
    <n v="724"/>
    <n v="1"/>
    <n v="1"/>
  </r>
  <r>
    <m/>
    <m/>
    <x v="1"/>
    <s v="27335211003001"/>
    <n v="-22.150000000000002"/>
    <n v="539"/>
    <n v="2"/>
    <n v="1"/>
  </r>
  <r>
    <m/>
    <m/>
    <x v="1"/>
    <s v="27612583002003"/>
    <n v="-49.9"/>
    <n v="1104"/>
    <n v="2"/>
    <n v="1"/>
  </r>
  <r>
    <m/>
    <m/>
    <x v="1"/>
    <s v="27614236002001"/>
    <n v="-22.83"/>
    <n v="561"/>
    <n v="1"/>
    <n v="1"/>
  </r>
  <r>
    <m/>
    <m/>
    <x v="1"/>
    <s v="27629352001002"/>
    <n v="-89.69"/>
    <n v="2182"/>
    <n v="2"/>
    <n v="1"/>
  </r>
  <r>
    <m/>
    <m/>
    <x v="1"/>
    <s v="27643675001002"/>
    <n v="-79.02"/>
    <n v="1858"/>
    <n v="2"/>
    <n v="1"/>
  </r>
  <r>
    <m/>
    <m/>
    <x v="1"/>
    <s v="27670002001006"/>
    <n v="-60.32"/>
    <n v="1436"/>
    <n v="2"/>
    <n v="1"/>
  </r>
  <r>
    <m/>
    <m/>
    <x v="1"/>
    <s v="27691065001006"/>
    <n v="-49.49"/>
    <n v="1216"/>
    <n v="1"/>
    <n v="1"/>
  </r>
  <r>
    <m/>
    <m/>
    <x v="1"/>
    <s v="27808881001014"/>
    <n v="-59.4"/>
    <n v="1309"/>
    <n v="2"/>
    <n v="1"/>
  </r>
  <r>
    <m/>
    <m/>
    <x v="1"/>
    <s v="27809870001003"/>
    <n v="-55.84"/>
    <n v="1372"/>
    <n v="1"/>
    <n v="1"/>
  </r>
  <r>
    <m/>
    <m/>
    <x v="1"/>
    <s v="27883736001001"/>
    <n v="-73.38"/>
    <n v="1803"/>
    <n v="1"/>
    <n v="1"/>
  </r>
  <r>
    <m/>
    <m/>
    <x v="1"/>
    <s v="27899952001001"/>
    <n v="-22.79"/>
    <n v="526"/>
    <n v="2"/>
    <n v="1"/>
  </r>
  <r>
    <m/>
    <m/>
    <x v="1"/>
    <s v="27943716001001"/>
    <n v="-7.8"/>
    <n v="181"/>
    <n v="2"/>
    <n v="1"/>
  </r>
  <r>
    <m/>
    <m/>
    <x v="1"/>
    <s v="28033693002001"/>
    <n v="-7.08"/>
    <n v="171"/>
    <n v="2"/>
    <n v="1"/>
  </r>
  <r>
    <m/>
    <m/>
    <x v="1"/>
    <s v="28059627001003"/>
    <n v="-10.31"/>
    <n v="237"/>
    <n v="2"/>
    <n v="1"/>
  </r>
  <r>
    <m/>
    <m/>
    <x v="1"/>
    <s v="28195746001005"/>
    <n v="-119.82"/>
    <n v="2753"/>
    <n v="2"/>
    <n v="1"/>
  </r>
  <r>
    <m/>
    <m/>
    <x v="1"/>
    <s v="28200340004001"/>
    <n v="-79.67"/>
    <n v="1727"/>
    <n v="2"/>
    <n v="1"/>
  </r>
  <r>
    <m/>
    <m/>
    <x v="1"/>
    <s v="28261263001001"/>
    <n v="-31.34"/>
    <n v="731"/>
    <n v="2"/>
    <n v="1"/>
  </r>
  <r>
    <m/>
    <m/>
    <x v="1"/>
    <s v="28320978001001"/>
    <n v="-13.350000000000001"/>
    <n v="288"/>
    <n v="2"/>
    <n v="1"/>
  </r>
  <r>
    <m/>
    <m/>
    <x v="1"/>
    <s v="28330708001001"/>
    <n v="-31.95"/>
    <n v="696"/>
    <n v="2"/>
    <n v="1"/>
  </r>
  <r>
    <m/>
    <m/>
    <x v="1"/>
    <s v="28404896001003"/>
    <n v="-13.88"/>
    <n v="334"/>
    <n v="2"/>
    <n v="1"/>
  </r>
  <r>
    <m/>
    <m/>
    <x v="1"/>
    <s v="28452386002001"/>
    <n v="-33.54"/>
    <n v="824"/>
    <n v="1"/>
    <n v="1"/>
  </r>
  <r>
    <m/>
    <m/>
    <x v="1"/>
    <s v="28472317001001"/>
    <n v="-33.18"/>
    <n v="774"/>
    <n v="2"/>
    <n v="1"/>
  </r>
  <r>
    <m/>
    <m/>
    <x v="1"/>
    <s v="28584427001008"/>
    <n v="-31.79"/>
    <n v="781"/>
    <n v="1"/>
    <n v="1"/>
  </r>
  <r>
    <m/>
    <m/>
    <x v="1"/>
    <s v="28592432001002"/>
    <n v="-47.15"/>
    <n v="1057"/>
    <n v="2"/>
    <n v="1"/>
  </r>
  <r>
    <m/>
    <m/>
    <x v="1"/>
    <s v="28647586001001"/>
    <n v="-16.11"/>
    <n v="374"/>
    <n v="2"/>
    <n v="1"/>
  </r>
  <r>
    <m/>
    <m/>
    <x v="1"/>
    <s v="28748611001008"/>
    <n v="-55.8"/>
    <n v="1371"/>
    <n v="1"/>
    <n v="1"/>
  </r>
  <r>
    <m/>
    <m/>
    <x v="1"/>
    <s v="28868417001005"/>
    <n v="-14.2"/>
    <n v="349"/>
    <n v="1"/>
    <n v="1"/>
  </r>
  <r>
    <m/>
    <m/>
    <x v="1"/>
    <s v="28906336002001"/>
    <n v="-52.46"/>
    <n v="1289"/>
    <n v="1"/>
    <n v="1"/>
  </r>
  <r>
    <m/>
    <m/>
    <x v="1"/>
    <s v="28950576001002"/>
    <n v="-16.53"/>
    <n v="376"/>
    <n v="2"/>
    <n v="1"/>
  </r>
  <r>
    <m/>
    <m/>
    <x v="1"/>
    <s v="28959951001001"/>
    <n v="-82.66"/>
    <n v="1968"/>
    <n v="2"/>
    <n v="1"/>
  </r>
  <r>
    <m/>
    <m/>
    <x v="1"/>
    <s v="29003410001001"/>
    <n v="-63.930000000000007"/>
    <n v="1440"/>
    <n v="2"/>
    <n v="1"/>
  </r>
  <r>
    <m/>
    <m/>
    <x v="1"/>
    <s v="29121023001001"/>
    <n v="-37.43"/>
    <n v="860"/>
    <n v="2"/>
    <n v="1"/>
  </r>
  <r>
    <m/>
    <m/>
    <x v="1"/>
    <s v="29195239002001"/>
    <n v="-89.91"/>
    <n v="1949"/>
    <n v="2"/>
    <n v="1"/>
  </r>
  <r>
    <m/>
    <m/>
    <x v="1"/>
    <s v="29197433001003"/>
    <n v="-46.33"/>
    <n v="1054"/>
    <n v="2"/>
    <n v="1"/>
  </r>
  <r>
    <m/>
    <m/>
    <x v="1"/>
    <s v="29250485007001"/>
    <n v="-85.94"/>
    <n v="2048"/>
    <n v="2"/>
    <n v="1"/>
  </r>
  <r>
    <m/>
    <m/>
    <x v="1"/>
    <s v="29296094001001"/>
    <n v="-53.879999999999995"/>
    <n v="1226"/>
    <n v="2"/>
    <n v="1"/>
  </r>
  <r>
    <m/>
    <m/>
    <x v="1"/>
    <s v="29316455001004"/>
    <n v="-17.189999999999998"/>
    <n v="399"/>
    <n v="2"/>
    <n v="1"/>
  </r>
  <r>
    <m/>
    <m/>
    <x v="1"/>
    <s v="29333477001001"/>
    <n v="-41.35"/>
    <n v="1016"/>
    <n v="1"/>
    <n v="1"/>
  </r>
  <r>
    <m/>
    <m/>
    <x v="1"/>
    <s v="29365356001002"/>
    <n v="-58.08"/>
    <n v="1427"/>
    <n v="1"/>
    <n v="1"/>
  </r>
  <r>
    <m/>
    <m/>
    <x v="1"/>
    <s v="29448259001002"/>
    <n v="-8.7899999999999991"/>
    <n v="203"/>
    <n v="2"/>
    <n v="1"/>
  </r>
  <r>
    <m/>
    <m/>
    <x v="1"/>
    <s v="29527274001001"/>
    <n v="-21.810000000000002"/>
    <n v="501"/>
    <n v="2"/>
    <n v="1"/>
  </r>
  <r>
    <m/>
    <m/>
    <x v="1"/>
    <s v="29600057008001"/>
    <n v="-25.89"/>
    <n v="636"/>
    <n v="1"/>
    <n v="1"/>
  </r>
  <r>
    <m/>
    <m/>
    <x v="1"/>
    <s v="29729927001003"/>
    <n v="-7.17"/>
    <n v="163"/>
    <n v="2"/>
    <n v="1"/>
  </r>
  <r>
    <m/>
    <m/>
    <x v="1"/>
    <s v="29746522001002"/>
    <n v="-38.54"/>
    <n v="877"/>
    <n v="2"/>
    <n v="1"/>
  </r>
  <r>
    <m/>
    <m/>
    <x v="1"/>
    <s v="29810873001003"/>
    <n v="-78.81"/>
    <n v="1886"/>
    <n v="2"/>
    <n v="1"/>
  </r>
  <r>
    <m/>
    <m/>
    <x v="1"/>
    <s v="30002964001001"/>
    <n v="-6.05"/>
    <n v="144"/>
    <n v="2"/>
    <n v="1"/>
  </r>
  <r>
    <m/>
    <m/>
    <x v="1"/>
    <s v="30023292002005"/>
    <n v="-28.28"/>
    <n v="613"/>
    <n v="2"/>
    <n v="1"/>
  </r>
  <r>
    <m/>
    <m/>
    <x v="1"/>
    <s v="30128006001003"/>
    <n v="-21.49"/>
    <n v="528"/>
    <n v="1"/>
    <n v="1"/>
  </r>
  <r>
    <m/>
    <m/>
    <x v="1"/>
    <s v="30199968001001"/>
    <n v="-8.85"/>
    <n v="191"/>
    <n v="2"/>
    <n v="1"/>
  </r>
  <r>
    <m/>
    <m/>
    <x v="1"/>
    <s v="30234293001001"/>
    <n v="-71.36"/>
    <n v="1708"/>
    <n v="2"/>
    <n v="1"/>
  </r>
  <r>
    <m/>
    <m/>
    <x v="1"/>
    <s v="30336396002007"/>
    <n v="-53.61"/>
    <n v="1220"/>
    <n v="2"/>
    <n v="1"/>
  </r>
  <r>
    <m/>
    <m/>
    <x v="1"/>
    <s v="30340768001001"/>
    <n v="-14.879999999999999"/>
    <n v="356"/>
    <n v="2"/>
    <n v="1"/>
  </r>
  <r>
    <m/>
    <m/>
    <x v="1"/>
    <s v="30341651001005"/>
    <n v="-1.55"/>
    <n v="38"/>
    <n v="1"/>
    <n v="1"/>
  </r>
  <r>
    <m/>
    <m/>
    <x v="1"/>
    <s v="30370464002001"/>
    <n v="-42.209999999999994"/>
    <n v="1010"/>
    <n v="2"/>
    <n v="1"/>
  </r>
  <r>
    <m/>
    <m/>
    <x v="1"/>
    <s v="30522741002006"/>
    <n v="-58.730000000000004"/>
    <n v="1356"/>
    <n v="2"/>
    <n v="1"/>
  </r>
  <r>
    <m/>
    <m/>
    <x v="1"/>
    <s v="30816545001001"/>
    <n v="-58.47"/>
    <n v="1357"/>
    <n v="2"/>
    <n v="1"/>
  </r>
  <r>
    <m/>
    <m/>
    <x v="1"/>
    <s v="30957294003003"/>
    <n v="-77.48"/>
    <n v="1864"/>
    <n v="2"/>
    <n v="1"/>
  </r>
  <r>
    <m/>
    <m/>
    <x v="1"/>
    <s v="30965089001001"/>
    <n v="-17.22"/>
    <n v="423"/>
    <n v="1"/>
    <n v="1"/>
  </r>
  <r>
    <m/>
    <m/>
    <x v="1"/>
    <s v="31033019001001"/>
    <n v="-97.96"/>
    <n v="2407"/>
    <n v="1"/>
    <n v="1"/>
  </r>
  <r>
    <m/>
    <m/>
    <x v="1"/>
    <s v="31036584001003"/>
    <n v="-104.22"/>
    <n v="2270"/>
    <n v="2"/>
    <n v="1"/>
  </r>
  <r>
    <m/>
    <m/>
    <x v="1"/>
    <s v="31065355001007"/>
    <n v="-57.349999999999994"/>
    <n v="1305"/>
    <n v="2"/>
    <n v="1"/>
  </r>
  <r>
    <m/>
    <m/>
    <x v="1"/>
    <s v="31123464001003"/>
    <n v="-37.83"/>
    <n v="910"/>
    <n v="2"/>
    <n v="1"/>
  </r>
  <r>
    <m/>
    <m/>
    <x v="1"/>
    <s v="31128641001003"/>
    <n v="-19.729999999999997"/>
    <n v="449"/>
    <n v="2"/>
    <n v="1"/>
  </r>
  <r>
    <m/>
    <m/>
    <x v="1"/>
    <s v="31180110007001"/>
    <n v="-53.46"/>
    <n v="1247"/>
    <n v="2"/>
    <n v="1"/>
  </r>
  <r>
    <m/>
    <m/>
    <x v="1"/>
    <s v="31196731002001"/>
    <n v="-127.00999999999999"/>
    <n v="2918"/>
    <n v="2"/>
    <n v="1"/>
  </r>
  <r>
    <m/>
    <m/>
    <x v="1"/>
    <s v="31216607001001"/>
    <n v="-29.39"/>
    <n v="722"/>
    <n v="1"/>
    <n v="1"/>
  </r>
  <r>
    <m/>
    <m/>
    <x v="1"/>
    <s v="31283347001004"/>
    <n v="-26.41"/>
    <n v="649"/>
    <n v="1"/>
    <n v="1"/>
  </r>
  <r>
    <m/>
    <m/>
    <x v="1"/>
    <s v="31310853002001"/>
    <n v="-53.97"/>
    <n v="1326"/>
    <n v="1"/>
    <n v="1"/>
  </r>
  <r>
    <m/>
    <m/>
    <x v="1"/>
    <s v="31347134001001"/>
    <n v="-87.41"/>
    <n v="1969"/>
    <n v="2"/>
    <n v="1"/>
  </r>
  <r>
    <m/>
    <m/>
    <x v="1"/>
    <s v="31363659001003"/>
    <n v="-9.98"/>
    <n v="227"/>
    <n v="2"/>
    <n v="1"/>
  </r>
  <r>
    <m/>
    <m/>
    <x v="1"/>
    <s v="31408462001001"/>
    <n v="-4.29"/>
    <n v="96"/>
    <n v="2"/>
    <n v="1"/>
  </r>
  <r>
    <m/>
    <m/>
    <x v="1"/>
    <s v="31441919002003"/>
    <n v="-40.9"/>
    <n v="995"/>
    <n v="2"/>
    <n v="1"/>
  </r>
  <r>
    <m/>
    <m/>
    <x v="1"/>
    <s v="31484435001001"/>
    <n v="-63.47"/>
    <n v="1409"/>
    <n v="2"/>
    <n v="1"/>
  </r>
  <r>
    <m/>
    <m/>
    <x v="1"/>
    <s v="31529203003001"/>
    <n v="-7.8"/>
    <n v="189"/>
    <n v="2"/>
    <n v="1"/>
  </r>
  <r>
    <m/>
    <m/>
    <x v="1"/>
    <s v="31533047001001"/>
    <n v="-69.44"/>
    <n v="1662"/>
    <n v="2"/>
    <n v="1"/>
  </r>
  <r>
    <m/>
    <m/>
    <x v="1"/>
    <s v="31765487002001"/>
    <n v="-37.39"/>
    <n v="838"/>
    <n v="2"/>
    <n v="1"/>
  </r>
  <r>
    <m/>
    <m/>
    <x v="1"/>
    <s v="31770964001004"/>
    <n v="-49.61"/>
    <n v="1112"/>
    <n v="2"/>
    <n v="1"/>
  </r>
  <r>
    <m/>
    <m/>
    <x v="1"/>
    <s v="31849917001001"/>
    <n v="-29.51"/>
    <n v="725"/>
    <n v="1"/>
    <n v="1"/>
  </r>
  <r>
    <m/>
    <m/>
    <x v="1"/>
    <s v="31873971002001"/>
    <n v="-68.84"/>
    <n v="1656"/>
    <n v="2"/>
    <n v="1"/>
  </r>
  <r>
    <m/>
    <m/>
    <x v="1"/>
    <s v="31987952001001"/>
    <n v="-0.09"/>
    <n v="2"/>
    <n v="2"/>
    <n v="1"/>
  </r>
  <r>
    <m/>
    <m/>
    <x v="1"/>
    <s v="31999957003003"/>
    <n v="-44.28"/>
    <n v="1088"/>
    <n v="1"/>
    <n v="1"/>
  </r>
  <r>
    <m/>
    <m/>
    <x v="1"/>
    <s v="32123494001003"/>
    <n v="-2.3199999999999998"/>
    <n v="57"/>
    <n v="1"/>
    <n v="1"/>
  </r>
  <r>
    <m/>
    <m/>
    <x v="1"/>
    <s v="32186699001004"/>
    <n v="-26.459999999999997"/>
    <n v="571"/>
    <n v="2"/>
    <n v="1"/>
  </r>
  <r>
    <m/>
    <m/>
    <x v="1"/>
    <s v="32275518001005"/>
    <n v="-1.69"/>
    <n v="39"/>
    <n v="2"/>
    <n v="1"/>
  </r>
  <r>
    <m/>
    <m/>
    <x v="1"/>
    <s v="32293901002001"/>
    <n v="-35.870000000000005"/>
    <n v="854"/>
    <n v="2"/>
    <n v="1"/>
  </r>
  <r>
    <m/>
    <m/>
    <x v="1"/>
    <s v="32321580001004"/>
    <n v="-40.44"/>
    <n v="920"/>
    <n v="2"/>
    <n v="1"/>
  </r>
  <r>
    <m/>
    <m/>
    <x v="1"/>
    <s v="32346038007001"/>
    <n v="-62.019999999999996"/>
    <n v="1411"/>
    <n v="2"/>
    <n v="1"/>
  </r>
  <r>
    <m/>
    <m/>
    <x v="1"/>
    <s v="32419368001001"/>
    <n v="-28.509999999999998"/>
    <n v="655"/>
    <n v="2"/>
    <n v="1"/>
  </r>
  <r>
    <m/>
    <m/>
    <x v="1"/>
    <s v="32445799001001"/>
    <n v="-29.41"/>
    <n v="686"/>
    <n v="2"/>
    <n v="1"/>
  </r>
  <r>
    <m/>
    <m/>
    <x v="1"/>
    <s v="32510019001001"/>
    <n v="-58.72"/>
    <n v="1349"/>
    <n v="2"/>
    <n v="1"/>
  </r>
  <r>
    <m/>
    <m/>
    <x v="1"/>
    <s v="32552612006001"/>
    <n v="-7.84"/>
    <n v="182"/>
    <n v="2"/>
    <n v="1"/>
  </r>
  <r>
    <m/>
    <m/>
    <x v="1"/>
    <s v="32762616001002"/>
    <n v="-17.59"/>
    <n v="404"/>
    <n v="2"/>
    <n v="1"/>
  </r>
  <r>
    <m/>
    <m/>
    <x v="1"/>
    <s v="32767929001001"/>
    <n v="-60.44"/>
    <n v="1310"/>
    <n v="2"/>
    <n v="1"/>
  </r>
  <r>
    <m/>
    <m/>
    <x v="1"/>
    <s v="32853341001004"/>
    <n v="-51.900000000000006"/>
    <n v="1181"/>
    <n v="2"/>
    <n v="1"/>
  </r>
  <r>
    <m/>
    <m/>
    <x v="1"/>
    <s v="32983109001005"/>
    <n v="-25.330000000000002"/>
    <n v="606"/>
    <n v="2"/>
    <n v="1"/>
  </r>
  <r>
    <m/>
    <m/>
    <x v="1"/>
    <s v="33003317001001"/>
    <n v="-58.65"/>
    <n v="1441"/>
    <n v="1"/>
    <n v="1"/>
  </r>
  <r>
    <m/>
    <m/>
    <x v="1"/>
    <s v="33090993001001"/>
    <n v="-35.299999999999997"/>
    <n v="811"/>
    <n v="2"/>
    <n v="1"/>
  </r>
  <r>
    <m/>
    <m/>
    <x v="1"/>
    <s v="33155295001002"/>
    <n v="-89.58"/>
    <n v="2008"/>
    <n v="2"/>
    <n v="1"/>
  </r>
  <r>
    <m/>
    <m/>
    <x v="1"/>
    <s v="33209129001005"/>
    <n v="-48.81"/>
    <n v="1127"/>
    <n v="2"/>
    <n v="1"/>
  </r>
  <r>
    <m/>
    <m/>
    <x v="1"/>
    <s v="33292898001002"/>
    <n v="-21.779999999999998"/>
    <n v="472"/>
    <n v="2"/>
    <n v="1"/>
  </r>
  <r>
    <m/>
    <m/>
    <x v="1"/>
    <s v="33418787001002"/>
    <n v="-33.86"/>
    <n v="832"/>
    <n v="1"/>
    <n v="1"/>
  </r>
  <r>
    <m/>
    <m/>
    <x v="1"/>
    <s v="33439179001002"/>
    <n v="-38.15"/>
    <n v="868"/>
    <n v="2"/>
    <n v="1"/>
  </r>
  <r>
    <m/>
    <m/>
    <x v="1"/>
    <s v="33459488001004"/>
    <n v="-25.23"/>
    <n v="620"/>
    <n v="1"/>
    <n v="1"/>
  </r>
  <r>
    <m/>
    <m/>
    <x v="1"/>
    <s v="33465688002001"/>
    <n v="-52.75"/>
    <n v="1296"/>
    <n v="1"/>
    <n v="1"/>
  </r>
  <r>
    <m/>
    <m/>
    <x v="1"/>
    <s v="33529526001001"/>
    <n v="-25.32"/>
    <n v="622"/>
    <n v="1"/>
    <n v="1"/>
  </r>
  <r>
    <m/>
    <m/>
    <x v="1"/>
    <s v="33533745001003"/>
    <n v="-58.309999999999995"/>
    <n v="1264"/>
    <n v="2"/>
    <n v="1"/>
  </r>
  <r>
    <m/>
    <m/>
    <x v="1"/>
    <s v="33544933002001"/>
    <n v="-71.09"/>
    <n v="1541"/>
    <n v="2"/>
    <n v="1"/>
  </r>
  <r>
    <m/>
    <m/>
    <x v="1"/>
    <s v="33551931001003"/>
    <n v="-57.97"/>
    <n v="1332"/>
    <n v="2"/>
    <n v="1"/>
  </r>
  <r>
    <m/>
    <m/>
    <x v="1"/>
    <s v="33559246001001"/>
    <n v="-25.21"/>
    <n v="565"/>
    <n v="2"/>
    <n v="1"/>
  </r>
  <r>
    <m/>
    <m/>
    <x v="1"/>
    <s v="33563818001002"/>
    <n v="-16.78"/>
    <n v="376"/>
    <n v="2"/>
    <n v="1"/>
  </r>
  <r>
    <m/>
    <m/>
    <x v="1"/>
    <s v="33674854001001"/>
    <n v="-48.129999999999995"/>
    <n v="1095"/>
    <n v="2"/>
    <n v="1"/>
  </r>
  <r>
    <m/>
    <m/>
    <x v="1"/>
    <s v="33758373001010"/>
    <n v="-37.21"/>
    <n v="855"/>
    <n v="2"/>
    <n v="1"/>
  </r>
  <r>
    <m/>
    <m/>
    <x v="1"/>
    <s v="33804703001003"/>
    <n v="-26.53"/>
    <n v="619"/>
    <n v="2"/>
    <n v="1"/>
  </r>
  <r>
    <m/>
    <m/>
    <x v="1"/>
    <s v="33808192001001"/>
    <n v="-28.78"/>
    <n v="700"/>
    <n v="2"/>
    <n v="1"/>
  </r>
  <r>
    <m/>
    <m/>
    <x v="1"/>
    <s v="33897699003002"/>
    <n v="-41.4"/>
    <n v="928"/>
    <n v="2"/>
    <n v="1"/>
  </r>
  <r>
    <m/>
    <m/>
    <x v="1"/>
    <s v="33988440001001"/>
    <n v="-43.43"/>
    <n v="1067"/>
    <n v="1"/>
    <n v="1"/>
  </r>
  <r>
    <m/>
    <m/>
    <x v="1"/>
    <s v="33992123001003"/>
    <n v="-28.65"/>
    <n v="624"/>
    <n v="2"/>
    <n v="1"/>
  </r>
  <r>
    <m/>
    <m/>
    <x v="1"/>
    <s v="34080235001002"/>
    <n v="-14.64"/>
    <n v="328"/>
    <n v="2"/>
    <n v="1"/>
  </r>
  <r>
    <m/>
    <m/>
    <x v="1"/>
    <s v="34135500001003"/>
    <n v="-51.06"/>
    <n v="1185"/>
    <n v="2"/>
    <n v="1"/>
  </r>
  <r>
    <m/>
    <m/>
    <x v="1"/>
    <s v="34246525001001"/>
    <n v="-84.09"/>
    <n v="2066"/>
    <n v="1"/>
    <n v="1"/>
  </r>
  <r>
    <m/>
    <m/>
    <x v="1"/>
    <s v="34489601001003"/>
    <n v="-43.79"/>
    <n v="1006"/>
    <n v="2"/>
    <n v="1"/>
  </r>
  <r>
    <m/>
    <m/>
    <x v="1"/>
    <s v="34506194001002"/>
    <n v="-45.06"/>
    <n v="993"/>
    <n v="2"/>
    <n v="1"/>
  </r>
  <r>
    <m/>
    <m/>
    <x v="1"/>
    <s v="34652418001005"/>
    <n v="-45.83"/>
    <n v="1126"/>
    <n v="1"/>
    <n v="1"/>
  </r>
  <r>
    <m/>
    <m/>
    <x v="1"/>
    <s v="34683105001001"/>
    <n v="-20.27"/>
    <n v="461"/>
    <n v="2"/>
    <n v="1"/>
  </r>
  <r>
    <m/>
    <m/>
    <x v="1"/>
    <s v="34717698001005"/>
    <n v="-19.47"/>
    <n v="422"/>
    <n v="2"/>
    <n v="1"/>
  </r>
  <r>
    <m/>
    <m/>
    <x v="1"/>
    <s v="34761544001003"/>
    <n v="-45.56"/>
    <n v="1047"/>
    <n v="2"/>
    <n v="1"/>
  </r>
  <r>
    <m/>
    <m/>
    <x v="1"/>
    <s v="34847231001001"/>
    <n v="-19.3"/>
    <n v="448"/>
    <n v="2"/>
    <n v="1"/>
  </r>
  <r>
    <m/>
    <m/>
    <x v="1"/>
    <s v="35012953001002"/>
    <n v="-26.41"/>
    <n v="601"/>
    <n v="2"/>
    <n v="1"/>
  </r>
  <r>
    <m/>
    <m/>
    <x v="1"/>
    <s v="35037850001001"/>
    <n v="-11.56"/>
    <n v="259"/>
    <n v="2"/>
    <n v="1"/>
  </r>
  <r>
    <m/>
    <m/>
    <x v="1"/>
    <s v="35063888001003"/>
    <n v="-60.480000000000004"/>
    <n v="1422"/>
    <n v="2"/>
    <n v="1"/>
  </r>
  <r>
    <m/>
    <m/>
    <x v="1"/>
    <s v="35116339001001"/>
    <n v="-14.88"/>
    <n v="342"/>
    <n v="2"/>
    <n v="1"/>
  </r>
  <r>
    <m/>
    <m/>
    <x v="1"/>
    <s v="35266479001002"/>
    <n v="-29.6"/>
    <n v="680"/>
    <n v="2"/>
    <n v="1"/>
  </r>
  <r>
    <m/>
    <m/>
    <x v="1"/>
    <s v="35268541002002"/>
    <n v="-25.42"/>
    <n v="587"/>
    <n v="2"/>
    <n v="1"/>
  </r>
  <r>
    <m/>
    <m/>
    <x v="1"/>
    <s v="35296076001001"/>
    <n v="-13.96"/>
    <n v="343"/>
    <n v="1"/>
    <n v="1"/>
  </r>
  <r>
    <m/>
    <m/>
    <x v="1"/>
    <s v="35340232002001"/>
    <n v="-46.44"/>
    <n v="1067"/>
    <n v="2"/>
    <n v="1"/>
  </r>
  <r>
    <m/>
    <m/>
    <x v="1"/>
    <s v="35387208001001"/>
    <n v="-76.11"/>
    <n v="1870"/>
    <n v="1"/>
    <n v="1"/>
  </r>
  <r>
    <m/>
    <m/>
    <x v="1"/>
    <s v="35423655001001"/>
    <n v="-32.31"/>
    <n v="746"/>
    <n v="2"/>
    <n v="1"/>
  </r>
  <r>
    <m/>
    <m/>
    <x v="1"/>
    <s v="35453275001007"/>
    <n v="-47.18"/>
    <n v="1135"/>
    <n v="2"/>
    <n v="1"/>
  </r>
  <r>
    <m/>
    <m/>
    <x v="1"/>
    <s v="35755859001007"/>
    <n v="-4.7100000000000009"/>
    <n v="114"/>
    <n v="2"/>
    <n v="1"/>
  </r>
  <r>
    <m/>
    <m/>
    <x v="1"/>
    <s v="35761120001001"/>
    <n v="-37.4"/>
    <n v="896"/>
    <n v="2"/>
    <n v="1"/>
  </r>
  <r>
    <m/>
    <m/>
    <x v="1"/>
    <s v="35796162001005"/>
    <n v="-73.14"/>
    <n v="1593"/>
    <n v="2"/>
    <n v="1"/>
  </r>
  <r>
    <m/>
    <m/>
    <x v="1"/>
    <s v="35861191001002"/>
    <n v="-7.84"/>
    <n v="180"/>
    <n v="2"/>
    <n v="1"/>
  </r>
  <r>
    <m/>
    <m/>
    <x v="1"/>
    <s v="35881910001001"/>
    <n v="-79.349999999999994"/>
    <n v="1889"/>
    <n v="2"/>
    <n v="1"/>
  </r>
  <r>
    <m/>
    <m/>
    <x v="1"/>
    <s v="36015931001004"/>
    <n v="-30.73"/>
    <n v="755"/>
    <n v="1"/>
    <n v="1"/>
  </r>
  <r>
    <m/>
    <m/>
    <x v="1"/>
    <s v="36026930001001"/>
    <n v="-34.900000000000006"/>
    <n v="802"/>
    <n v="2"/>
    <n v="1"/>
  </r>
  <r>
    <m/>
    <m/>
    <x v="1"/>
    <s v="36048131001001"/>
    <n v="-81.03"/>
    <n v="1765"/>
    <n v="2"/>
    <n v="1"/>
  </r>
  <r>
    <m/>
    <m/>
    <x v="1"/>
    <s v="36052702001001"/>
    <n v="-31.25"/>
    <n v="729"/>
    <n v="2"/>
    <n v="1"/>
  </r>
  <r>
    <m/>
    <m/>
    <x v="1"/>
    <s v="36079563001001"/>
    <n v="-36.71"/>
    <n v="852"/>
    <n v="2"/>
    <n v="1"/>
  </r>
  <r>
    <m/>
    <m/>
    <x v="1"/>
    <s v="36127419001006"/>
    <n v="-46.63"/>
    <n v="1110"/>
    <n v="2"/>
    <n v="1"/>
  </r>
  <r>
    <m/>
    <m/>
    <x v="1"/>
    <s v="36181263001002"/>
    <n v="-37.510000000000005"/>
    <n v="862"/>
    <n v="2"/>
    <n v="1"/>
  </r>
  <r>
    <m/>
    <m/>
    <x v="1"/>
    <s v="36248225001001"/>
    <n v="-98.37"/>
    <n v="2238"/>
    <n v="2"/>
    <n v="1"/>
  </r>
  <r>
    <m/>
    <m/>
    <x v="1"/>
    <s v="36264381001001"/>
    <n v="-41.23"/>
    <n v="1013"/>
    <n v="1"/>
    <n v="1"/>
  </r>
  <r>
    <m/>
    <m/>
    <x v="1"/>
    <s v="36284955001001"/>
    <n v="-4.57"/>
    <n v="106"/>
    <n v="2"/>
    <n v="1"/>
  </r>
  <r>
    <m/>
    <m/>
    <x v="1"/>
    <s v="36292176001002"/>
    <n v="-105.42"/>
    <n v="2296"/>
    <n v="2"/>
    <n v="1"/>
  </r>
  <r>
    <m/>
    <m/>
    <x v="1"/>
    <s v="36294296001004"/>
    <n v="-38.14"/>
    <n v="908"/>
    <n v="2"/>
    <n v="1"/>
  </r>
  <r>
    <m/>
    <m/>
    <x v="1"/>
    <s v="36405485001001"/>
    <n v="-24.48"/>
    <n v="592"/>
    <n v="2"/>
    <n v="1"/>
  </r>
  <r>
    <m/>
    <m/>
    <x v="1"/>
    <s v="36529463001001"/>
    <n v="-49.180000000000007"/>
    <n v="1061"/>
    <n v="2"/>
    <n v="1"/>
  </r>
  <r>
    <m/>
    <m/>
    <x v="1"/>
    <s v="36618779001001"/>
    <n v="-27.07"/>
    <n v="665"/>
    <n v="1"/>
    <n v="1"/>
  </r>
  <r>
    <m/>
    <m/>
    <x v="1"/>
    <s v="36658787001001"/>
    <n v="-4.4400000000000004"/>
    <n v="109"/>
    <n v="1"/>
    <n v="1"/>
  </r>
  <r>
    <m/>
    <m/>
    <x v="1"/>
    <s v="36710944001004"/>
    <n v="-29.05"/>
    <n v="661"/>
    <n v="2"/>
    <n v="1"/>
  </r>
  <r>
    <m/>
    <m/>
    <x v="1"/>
    <s v="36829904002001"/>
    <n v="-133.54000000000002"/>
    <n v="3140"/>
    <n v="2"/>
    <n v="1"/>
  </r>
  <r>
    <m/>
    <m/>
    <x v="1"/>
    <s v="36892371001003"/>
    <n v="-37.4"/>
    <n v="807"/>
    <n v="2"/>
    <n v="1"/>
  </r>
  <r>
    <m/>
    <m/>
    <x v="1"/>
    <s v="36921006001004"/>
    <n v="-2.12"/>
    <n v="51"/>
    <n v="2"/>
    <n v="1"/>
  </r>
  <r>
    <m/>
    <m/>
    <x v="1"/>
    <s v="36994507001001"/>
    <n v="-28.89"/>
    <n v="692"/>
    <n v="2"/>
    <n v="1"/>
  </r>
  <r>
    <m/>
    <m/>
    <x v="1"/>
    <s v="37043182001006"/>
    <n v="-74.419999999999987"/>
    <n v="1613"/>
    <n v="2"/>
    <n v="1"/>
  </r>
  <r>
    <m/>
    <m/>
    <x v="1"/>
    <s v="37387403001001"/>
    <n v="-63.42"/>
    <n v="1443"/>
    <n v="2"/>
    <n v="1"/>
  </r>
  <r>
    <m/>
    <m/>
    <x v="1"/>
    <s v="37486921001001"/>
    <n v="-8.59"/>
    <n v="211"/>
    <n v="1"/>
    <n v="1"/>
  </r>
  <r>
    <m/>
    <m/>
    <x v="1"/>
    <s v="37494438002001"/>
    <n v="-28.35"/>
    <n v="682"/>
    <n v="2"/>
    <n v="1"/>
  </r>
  <r>
    <m/>
    <m/>
    <x v="1"/>
    <s v="37578682001001"/>
    <n v="-28.57"/>
    <n v="702"/>
    <n v="1"/>
    <n v="1"/>
  </r>
  <r>
    <m/>
    <m/>
    <x v="1"/>
    <s v="37649110001001"/>
    <n v="-6.39"/>
    <n v="157"/>
    <n v="1"/>
    <n v="1"/>
  </r>
  <r>
    <m/>
    <m/>
    <x v="1"/>
    <s v="37682914001001"/>
    <n v="-26.33"/>
    <n v="590"/>
    <n v="2"/>
    <n v="1"/>
  </r>
  <r>
    <m/>
    <m/>
    <x v="1"/>
    <s v="37734979001001"/>
    <n v="-4.4399999999999995"/>
    <n v="102"/>
    <n v="2"/>
    <n v="1"/>
  </r>
  <r>
    <m/>
    <m/>
    <x v="1"/>
    <s v="37758573001006"/>
    <n v="-1.42"/>
    <n v="35"/>
    <n v="1"/>
    <n v="1"/>
  </r>
  <r>
    <m/>
    <m/>
    <x v="1"/>
    <s v="37811888001008"/>
    <n v="-12.05"/>
    <n v="296"/>
    <n v="1"/>
    <n v="1"/>
  </r>
  <r>
    <m/>
    <m/>
    <x v="1"/>
    <s v="37926637001001"/>
    <n v="-30.310000000000002"/>
    <n v="726"/>
    <n v="2"/>
    <n v="1"/>
  </r>
  <r>
    <m/>
    <m/>
    <x v="1"/>
    <s v="38026902001001"/>
    <n v="-46.75"/>
    <n v="1053"/>
    <n v="2"/>
    <n v="1"/>
  </r>
  <r>
    <m/>
    <m/>
    <x v="1"/>
    <s v="38052228001001"/>
    <n v="-80.990000000000009"/>
    <n v="1798"/>
    <n v="2"/>
    <n v="1"/>
  </r>
  <r>
    <m/>
    <m/>
    <x v="1"/>
    <s v="38058429001003"/>
    <n v="-10.44"/>
    <n v="254"/>
    <n v="2"/>
    <n v="1"/>
  </r>
  <r>
    <m/>
    <m/>
    <x v="1"/>
    <s v="38215045004002"/>
    <n v="-3.73"/>
    <n v="86"/>
    <n v="2"/>
    <n v="1"/>
  </r>
  <r>
    <m/>
    <m/>
    <x v="1"/>
    <s v="38237955003002"/>
    <n v="-34.980000000000004"/>
    <n v="784"/>
    <n v="2"/>
    <n v="1"/>
  </r>
  <r>
    <m/>
    <m/>
    <x v="1"/>
    <s v="38301351001001"/>
    <n v="-50.150000000000006"/>
    <n v="1082"/>
    <n v="2"/>
    <n v="1"/>
  </r>
  <r>
    <m/>
    <m/>
    <x v="1"/>
    <s v="38337468001001"/>
    <n v="-25.73"/>
    <n v="619"/>
    <n v="2"/>
    <n v="1"/>
  </r>
  <r>
    <m/>
    <m/>
    <x v="1"/>
    <s v="38377929001001"/>
    <n v="-72.67"/>
    <n v="1730"/>
    <n v="2"/>
    <n v="1"/>
  </r>
  <r>
    <m/>
    <m/>
    <x v="1"/>
    <s v="38397225001002"/>
    <n v="-76.150000000000006"/>
    <n v="1871"/>
    <n v="1"/>
    <n v="1"/>
  </r>
  <r>
    <m/>
    <m/>
    <x v="1"/>
    <s v="38413246001001"/>
    <n v="-69.680000000000007"/>
    <n v="1562"/>
    <n v="2"/>
    <n v="1"/>
  </r>
  <r>
    <m/>
    <m/>
    <x v="1"/>
    <s v="38444251002005"/>
    <n v="-20.880000000000003"/>
    <n v="505"/>
    <n v="2"/>
    <n v="1"/>
  </r>
  <r>
    <m/>
    <m/>
    <x v="1"/>
    <s v="38448826001003"/>
    <n v="-55.11"/>
    <n v="1354"/>
    <n v="1"/>
    <n v="1"/>
  </r>
  <r>
    <m/>
    <m/>
    <x v="1"/>
    <s v="38499863001004"/>
    <n v="-45.28"/>
    <n v="977"/>
    <n v="2"/>
    <n v="1"/>
  </r>
  <r>
    <m/>
    <m/>
    <x v="1"/>
    <s v="38527198001001"/>
    <n v="-29.58"/>
    <n v="673"/>
    <n v="2"/>
    <n v="1"/>
  </r>
  <r>
    <m/>
    <m/>
    <x v="1"/>
    <s v="38540989001007"/>
    <n v="-25.689999999999998"/>
    <n v="557"/>
    <n v="2"/>
    <n v="1"/>
  </r>
  <r>
    <m/>
    <m/>
    <x v="1"/>
    <s v="38577493001007"/>
    <n v="-49.97"/>
    <n v="1148"/>
    <n v="2"/>
    <n v="1"/>
  </r>
  <r>
    <m/>
    <m/>
    <x v="1"/>
    <s v="38611961001001"/>
    <n v="-64.12"/>
    <n v="1390"/>
    <n v="2"/>
    <n v="1"/>
  </r>
  <r>
    <m/>
    <m/>
    <x v="1"/>
    <s v="38776351002003"/>
    <n v="-11.52"/>
    <n v="283"/>
    <n v="1"/>
    <n v="1"/>
  </r>
  <r>
    <m/>
    <m/>
    <x v="1"/>
    <s v="38911036001003"/>
    <n v="-1.89"/>
    <n v="41"/>
    <n v="2"/>
    <n v="1"/>
  </r>
  <r>
    <m/>
    <m/>
    <x v="1"/>
    <s v="38940264003001"/>
    <n v="-30.349999999999998"/>
    <n v="658"/>
    <n v="2"/>
    <n v="1"/>
  </r>
  <r>
    <m/>
    <m/>
    <x v="1"/>
    <s v="38964048001001"/>
    <n v="-4.4000000000000004"/>
    <n v="108"/>
    <n v="1"/>
    <n v="1"/>
  </r>
  <r>
    <m/>
    <m/>
    <x v="1"/>
    <s v="39075374001002"/>
    <n v="-36.56"/>
    <n v="840"/>
    <n v="2"/>
    <n v="1"/>
  </r>
  <r>
    <m/>
    <m/>
    <x v="1"/>
    <s v="39105361003001"/>
    <n v="-21.189999999999998"/>
    <n v="467"/>
    <n v="2"/>
    <n v="1"/>
  </r>
  <r>
    <m/>
    <m/>
    <x v="1"/>
    <s v="39177585002001"/>
    <n v="-0.12"/>
    <n v="3"/>
    <n v="1"/>
    <n v="1"/>
  </r>
  <r>
    <m/>
    <m/>
    <x v="1"/>
    <s v="39206681001007"/>
    <n v="-107.75"/>
    <n v="2579"/>
    <n v="2"/>
    <n v="1"/>
  </r>
  <r>
    <m/>
    <m/>
    <x v="1"/>
    <s v="39250671001002"/>
    <n v="-51.32"/>
    <n v="1229"/>
    <n v="2"/>
    <n v="1"/>
  </r>
  <r>
    <m/>
    <m/>
    <x v="1"/>
    <s v="39300831002001"/>
    <n v="-36.78"/>
    <n v="845"/>
    <n v="2"/>
    <n v="1"/>
  </r>
  <r>
    <m/>
    <m/>
    <x v="1"/>
    <s v="39356056001005"/>
    <n v="-11.96"/>
    <n v="268"/>
    <n v="2"/>
    <n v="1"/>
  </r>
  <r>
    <m/>
    <m/>
    <x v="1"/>
    <s v="39388823001003"/>
    <n v="-19.28"/>
    <n v="443"/>
    <n v="2"/>
    <n v="1"/>
  </r>
  <r>
    <m/>
    <m/>
    <x v="1"/>
    <s v="39398603002003"/>
    <n v="-22.52"/>
    <n v="520"/>
    <n v="2"/>
    <n v="1"/>
  </r>
  <r>
    <m/>
    <m/>
    <x v="1"/>
    <s v="39419789001003"/>
    <n v="-6.72"/>
    <n v="165"/>
    <n v="1"/>
    <n v="1"/>
  </r>
  <r>
    <m/>
    <m/>
    <x v="1"/>
    <s v="39421231001001"/>
    <n v="-4.7"/>
    <n v="113"/>
    <n v="2"/>
    <n v="1"/>
  </r>
  <r>
    <m/>
    <m/>
    <x v="1"/>
    <s v="39500179007001"/>
    <n v="-19.729999999999997"/>
    <n v="449"/>
    <n v="2"/>
    <n v="1"/>
  </r>
  <r>
    <m/>
    <m/>
    <x v="1"/>
    <s v="39521370001002"/>
    <n v="-6.02"/>
    <n v="148"/>
    <n v="1"/>
    <n v="1"/>
  </r>
  <r>
    <m/>
    <m/>
    <x v="1"/>
    <s v="39525577001001"/>
    <n v="-17.350000000000001"/>
    <n v="389"/>
    <n v="2"/>
    <n v="1"/>
  </r>
  <r>
    <m/>
    <m/>
    <x v="1"/>
    <s v="39545289001005"/>
    <n v="-34.08"/>
    <n v="791"/>
    <n v="2"/>
    <n v="1"/>
  </r>
  <r>
    <m/>
    <m/>
    <x v="1"/>
    <s v="39604852001009"/>
    <n v="-48.51"/>
    <n v="1104"/>
    <n v="2"/>
    <n v="1"/>
  </r>
  <r>
    <m/>
    <m/>
    <x v="1"/>
    <s v="39637092003001"/>
    <n v="-3.9899999999999998"/>
    <n v="96"/>
    <n v="2"/>
    <n v="1"/>
  </r>
  <r>
    <m/>
    <m/>
    <x v="1"/>
    <s v="39766526001003"/>
    <n v="-48.78"/>
    <n v="1121"/>
    <n v="2"/>
    <n v="1"/>
  </r>
  <r>
    <m/>
    <m/>
    <x v="1"/>
    <s v="39773816001001"/>
    <n v="-47.510000000000005"/>
    <n v="1143"/>
    <n v="2"/>
    <n v="1"/>
  </r>
  <r>
    <m/>
    <m/>
    <x v="1"/>
    <s v="39810811001003"/>
    <n v="-29.479999999999997"/>
    <n v="639"/>
    <n v="2"/>
    <n v="1"/>
  </r>
  <r>
    <m/>
    <m/>
    <x v="1"/>
    <s v="39837826001005"/>
    <n v="-6.36"/>
    <n v="142"/>
    <n v="2"/>
    <n v="1"/>
  </r>
  <r>
    <m/>
    <m/>
    <x v="1"/>
    <s v="39857500001003"/>
    <n v="-18.149999999999999"/>
    <n v="417"/>
    <n v="2"/>
    <n v="1"/>
  </r>
  <r>
    <m/>
    <m/>
    <x v="1"/>
    <s v="39879831002001"/>
    <n v="-33.29"/>
    <n v="801"/>
    <n v="2"/>
    <n v="1"/>
  </r>
  <r>
    <m/>
    <m/>
    <x v="1"/>
    <s v="39896845001003"/>
    <n v="-24.42"/>
    <n v="600"/>
    <n v="1"/>
    <n v="1"/>
  </r>
  <r>
    <m/>
    <m/>
    <x v="1"/>
    <s v="39956943001001"/>
    <n v="-5.73"/>
    <n v="129"/>
    <n v="2"/>
    <n v="1"/>
  </r>
  <r>
    <m/>
    <m/>
    <x v="1"/>
    <s v="40009788001007"/>
    <n v="-23.369999999999997"/>
    <n v="509"/>
    <n v="2"/>
    <n v="1"/>
  </r>
  <r>
    <m/>
    <m/>
    <x v="1"/>
    <s v="40055909001004"/>
    <n v="-35.700000000000003"/>
    <n v="774"/>
    <n v="2"/>
    <n v="1"/>
  </r>
  <r>
    <m/>
    <m/>
    <x v="1"/>
    <s v="40077250001001"/>
    <n v="-30.86"/>
    <n v="709"/>
    <n v="2"/>
    <n v="1"/>
  </r>
  <r>
    <m/>
    <m/>
    <x v="1"/>
    <s v="40089329001001"/>
    <n v="-7.69"/>
    <n v="189"/>
    <n v="1"/>
    <n v="1"/>
  </r>
  <r>
    <m/>
    <m/>
    <x v="1"/>
    <s v="40354936001001"/>
    <n v="-24.380000000000003"/>
    <n v="560"/>
    <n v="2"/>
    <n v="1"/>
  </r>
  <r>
    <m/>
    <m/>
    <x v="1"/>
    <s v="40485294001001"/>
    <n v="-30.69"/>
    <n v="754"/>
    <n v="1"/>
    <n v="1"/>
  </r>
  <r>
    <m/>
    <m/>
    <x v="1"/>
    <s v="40507964001001"/>
    <n v="-34.590000000000003"/>
    <n v="828"/>
    <n v="2"/>
    <n v="1"/>
  </r>
  <r>
    <m/>
    <m/>
    <x v="1"/>
    <s v="40551150001001"/>
    <n v="-24.32"/>
    <n v="582"/>
    <n v="2"/>
    <n v="1"/>
  </r>
  <r>
    <m/>
    <m/>
    <x v="1"/>
    <s v="40647033004003"/>
    <n v="-62.04"/>
    <n v="1477"/>
    <n v="2"/>
    <n v="1"/>
  </r>
  <r>
    <m/>
    <m/>
    <x v="1"/>
    <s v="40647134001006"/>
    <n v="-21.12"/>
    <n v="519"/>
    <n v="1"/>
    <n v="1"/>
  </r>
  <r>
    <m/>
    <m/>
    <x v="1"/>
    <s v="40680887001001"/>
    <n v="-91.78"/>
    <n v="2208"/>
    <n v="2"/>
    <n v="1"/>
  </r>
  <r>
    <m/>
    <m/>
    <x v="1"/>
    <s v="40766679002007"/>
    <n v="-39.6"/>
    <n v="948"/>
    <n v="2"/>
    <n v="1"/>
  </r>
  <r>
    <m/>
    <m/>
    <x v="1"/>
    <s v="40775591001001"/>
    <n v="-61.46"/>
    <n v="1412"/>
    <n v="2"/>
    <n v="1"/>
  </r>
  <r>
    <m/>
    <m/>
    <x v="1"/>
    <s v="40819353001002"/>
    <n v="-44.73"/>
    <n v="1099"/>
    <n v="1"/>
    <n v="1"/>
  </r>
  <r>
    <m/>
    <m/>
    <x v="1"/>
    <s v="40849252002003"/>
    <n v="-83.82"/>
    <n v="1926"/>
    <n v="2"/>
    <n v="1"/>
  </r>
  <r>
    <m/>
    <m/>
    <x v="1"/>
    <s v="40922056004001"/>
    <n v="-47.58"/>
    <n v="1169"/>
    <n v="1"/>
    <n v="1"/>
  </r>
  <r>
    <m/>
    <m/>
    <x v="1"/>
    <s v="41057260001001"/>
    <n v="-56.44"/>
    <n v="1310"/>
    <n v="2"/>
    <n v="1"/>
  </r>
  <r>
    <m/>
    <m/>
    <x v="1"/>
    <s v="41130002001001"/>
    <n v="-44.94"/>
    <n v="1070"/>
    <n v="2"/>
    <n v="1"/>
  </r>
  <r>
    <m/>
    <m/>
    <x v="1"/>
    <s v="41179299003006"/>
    <n v="-25.4"/>
    <n v="624"/>
    <n v="1"/>
    <n v="1"/>
  </r>
  <r>
    <m/>
    <m/>
    <x v="1"/>
    <s v="41205948001001"/>
    <n v="-79.14"/>
    <n v="1861"/>
    <n v="2"/>
    <n v="1"/>
  </r>
  <r>
    <m/>
    <m/>
    <x v="1"/>
    <s v="41221819001001"/>
    <n v="-7.53"/>
    <n v="185"/>
    <n v="1"/>
    <n v="1"/>
  </r>
  <r>
    <m/>
    <m/>
    <x v="1"/>
    <s v="41343811001004"/>
    <n v="-21.12"/>
    <n v="519"/>
    <n v="1"/>
    <n v="1"/>
  </r>
  <r>
    <m/>
    <m/>
    <x v="1"/>
    <s v="41401860001002"/>
    <n v="-16.45"/>
    <n v="378"/>
    <n v="2"/>
    <n v="1"/>
  </r>
  <r>
    <m/>
    <m/>
    <x v="1"/>
    <s v="41410810001002"/>
    <n v="-55.98"/>
    <n v="1261"/>
    <n v="2"/>
    <n v="1"/>
  </r>
  <r>
    <m/>
    <m/>
    <x v="1"/>
    <s v="41445973001001"/>
    <n v="-27.240000000000002"/>
    <n v="652"/>
    <n v="2"/>
    <n v="1"/>
  </r>
  <r>
    <m/>
    <m/>
    <x v="1"/>
    <s v="41456955003007"/>
    <n v="-29.91"/>
    <n v="712"/>
    <n v="2"/>
    <n v="1"/>
  </r>
  <r>
    <m/>
    <m/>
    <x v="1"/>
    <s v="41508622002001"/>
    <n v="-26.29"/>
    <n v="646"/>
    <n v="1"/>
    <n v="1"/>
  </r>
  <r>
    <m/>
    <m/>
    <x v="1"/>
    <s v="41611615001003"/>
    <n v="-8.129999999999999"/>
    <n v="185"/>
    <n v="2"/>
    <n v="1"/>
  </r>
  <r>
    <m/>
    <m/>
    <x v="1"/>
    <s v="41643514001001"/>
    <n v="-52.3"/>
    <n v="1285"/>
    <n v="1"/>
    <n v="1"/>
  </r>
  <r>
    <m/>
    <m/>
    <x v="1"/>
    <s v="41660309001001"/>
    <n v="-40.880000000000003"/>
    <n v="882"/>
    <n v="2"/>
    <n v="1"/>
  </r>
  <r>
    <m/>
    <m/>
    <x v="1"/>
    <s v="41731451001005"/>
    <n v="-4.3100000000000005"/>
    <n v="94"/>
    <n v="2"/>
    <n v="1"/>
  </r>
  <r>
    <m/>
    <m/>
    <x v="1"/>
    <s v="41791652002003"/>
    <n v="-30.990000000000002"/>
    <n v="705"/>
    <n v="2"/>
    <n v="1"/>
  </r>
  <r>
    <m/>
    <m/>
    <x v="1"/>
    <s v="41878216001003"/>
    <n v="-46"/>
    <n v="1062"/>
    <n v="2"/>
    <n v="1"/>
  </r>
  <r>
    <m/>
    <m/>
    <x v="1"/>
    <s v="41980548001001"/>
    <n v="-58.85"/>
    <n v="1446"/>
    <n v="1"/>
    <n v="1"/>
  </r>
  <r>
    <m/>
    <m/>
    <x v="1"/>
    <s v="42025371002002"/>
    <n v="-17.45"/>
    <n v="397"/>
    <n v="2"/>
    <n v="1"/>
  </r>
  <r>
    <m/>
    <m/>
    <x v="1"/>
    <s v="42100131001001"/>
    <n v="-53.290000000000006"/>
    <n v="1243"/>
    <n v="2"/>
    <n v="1"/>
  </r>
  <r>
    <m/>
    <m/>
    <x v="1"/>
    <s v="42149831001001"/>
    <n v="-31.71"/>
    <n v="736"/>
    <n v="2"/>
    <n v="1"/>
  </r>
  <r>
    <m/>
    <m/>
    <x v="1"/>
    <s v="42343001003003"/>
    <n v="-22.619999999999997"/>
    <n v="525"/>
    <n v="2"/>
    <n v="1"/>
  </r>
  <r>
    <m/>
    <m/>
    <x v="1"/>
    <s v="42367522001001"/>
    <n v="-47.44"/>
    <n v="1101"/>
    <n v="2"/>
    <n v="1"/>
  </r>
  <r>
    <m/>
    <m/>
    <x v="1"/>
    <s v="42433691001006"/>
    <n v="-51.17"/>
    <n v="1104"/>
    <n v="2"/>
    <n v="1"/>
  </r>
  <r>
    <m/>
    <m/>
    <x v="1"/>
    <s v="42442381001001"/>
    <n v="-65.25"/>
    <n v="1408"/>
    <n v="2"/>
    <n v="1"/>
  </r>
  <r>
    <m/>
    <m/>
    <x v="1"/>
    <s v="42472781003002"/>
    <n v="-21.69"/>
    <n v="533"/>
    <n v="1"/>
    <n v="1"/>
  </r>
  <r>
    <m/>
    <m/>
    <x v="1"/>
    <s v="42488881004001"/>
    <n v="-14.16"/>
    <n v="348"/>
    <n v="1"/>
    <n v="1"/>
  </r>
  <r>
    <m/>
    <m/>
    <x v="1"/>
    <s v="42498331001004"/>
    <n v="-19.29"/>
    <n v="474"/>
    <n v="1"/>
    <n v="1"/>
  </r>
  <r>
    <m/>
    <m/>
    <x v="1"/>
    <s v="42500151001003"/>
    <n v="-62.11"/>
    <n v="1511"/>
    <n v="2"/>
    <n v="1"/>
  </r>
  <r>
    <m/>
    <m/>
    <x v="1"/>
    <s v="42515551001011"/>
    <n v="-10.38"/>
    <n v="251"/>
    <n v="2"/>
    <n v="1"/>
  </r>
  <r>
    <m/>
    <m/>
    <x v="1"/>
    <s v="42517161002001"/>
    <n v="-16.28"/>
    <n v="400"/>
    <n v="1"/>
    <n v="1"/>
  </r>
  <r>
    <m/>
    <m/>
    <x v="1"/>
    <s v="42527320001008"/>
    <n v="-11.11"/>
    <n v="273"/>
    <n v="1"/>
    <n v="1"/>
  </r>
  <r>
    <m/>
    <m/>
    <x v="1"/>
    <s v="42531581001002"/>
    <n v="-37.04"/>
    <n v="851"/>
    <n v="2"/>
    <n v="1"/>
  </r>
  <r>
    <m/>
    <m/>
    <x v="1"/>
    <s v="42537321002001"/>
    <n v="-10.52"/>
    <n v="253"/>
    <n v="2"/>
    <n v="1"/>
  </r>
  <r>
    <m/>
    <m/>
    <x v="1"/>
    <s v="42559441005001"/>
    <n v="-63.58"/>
    <n v="1495"/>
    <n v="2"/>
    <n v="1"/>
  </r>
  <r>
    <m/>
    <m/>
    <x v="1"/>
    <s v="42561606001009"/>
    <n v="-38.35"/>
    <n v="933"/>
    <n v="2"/>
    <n v="1"/>
  </r>
  <r>
    <m/>
    <m/>
    <x v="1"/>
    <s v="42577991002002"/>
    <n v="-59.42"/>
    <n v="1422"/>
    <n v="2"/>
    <n v="1"/>
  </r>
  <r>
    <m/>
    <m/>
    <x v="1"/>
    <s v="42600391001002"/>
    <n v="-4.5599999999999996"/>
    <n v="112"/>
    <n v="1"/>
    <n v="1"/>
  </r>
  <r>
    <m/>
    <m/>
    <x v="1"/>
    <s v="42604451021001"/>
    <n v="-44.51"/>
    <n v="1065"/>
    <n v="2"/>
    <n v="1"/>
  </r>
  <r>
    <m/>
    <m/>
    <x v="1"/>
    <s v="42639241005001"/>
    <n v="-24.36"/>
    <n v="589"/>
    <n v="2"/>
    <n v="1"/>
  </r>
  <r>
    <m/>
    <m/>
    <x v="1"/>
    <s v="42640711003001"/>
    <n v="-34.53"/>
    <n v="770"/>
    <n v="2"/>
    <n v="1"/>
  </r>
  <r>
    <m/>
    <m/>
    <x v="1"/>
    <s v="42642741002001"/>
    <n v="-15.01"/>
    <n v="361"/>
    <n v="2"/>
    <n v="1"/>
  </r>
  <r>
    <m/>
    <m/>
    <x v="1"/>
    <s v="42642951010001"/>
    <n v="-9.77"/>
    <n v="240"/>
    <n v="1"/>
    <n v="1"/>
  </r>
  <r>
    <m/>
    <m/>
    <x v="1"/>
    <s v="42675015004001"/>
    <n v="-65.27"/>
    <n v="1562"/>
    <n v="2"/>
    <n v="1"/>
  </r>
  <r>
    <m/>
    <m/>
    <x v="1"/>
    <s v="42679491001001"/>
    <n v="-33.44"/>
    <n v="776"/>
    <n v="2"/>
    <n v="1"/>
  </r>
  <r>
    <m/>
    <m/>
    <x v="1"/>
    <s v="42686841002004"/>
    <n v="-9.89"/>
    <n v="243"/>
    <n v="1"/>
    <n v="1"/>
  </r>
  <r>
    <m/>
    <m/>
    <x v="1"/>
    <s v="42689921004001"/>
    <n v="-43.17"/>
    <n v="1033"/>
    <n v="2"/>
    <n v="1"/>
  </r>
  <r>
    <m/>
    <m/>
    <x v="1"/>
    <s v="42701961001004"/>
    <n v="-26.669999999999998"/>
    <n v="649"/>
    <n v="2"/>
    <n v="1"/>
  </r>
  <r>
    <m/>
    <m/>
    <x v="1"/>
    <s v="42718551001001"/>
    <n v="-31.46"/>
    <n v="773"/>
    <n v="1"/>
    <n v="1"/>
  </r>
  <r>
    <m/>
    <m/>
    <x v="1"/>
    <s v="42723241001001"/>
    <n v="-31.14"/>
    <n v="765"/>
    <n v="1"/>
    <n v="1"/>
  </r>
  <r>
    <m/>
    <m/>
    <x v="1"/>
    <s v="42734931001007"/>
    <n v="-37"/>
    <n v="909"/>
    <n v="1"/>
    <n v="1"/>
  </r>
  <r>
    <m/>
    <m/>
    <x v="1"/>
    <s v="42737381006001"/>
    <n v="-46.97"/>
    <n v="1058"/>
    <n v="2"/>
    <n v="1"/>
  </r>
  <r>
    <m/>
    <m/>
    <x v="1"/>
    <s v="42775461005001"/>
    <n v="-44.57"/>
    <n v="1095"/>
    <n v="1"/>
    <n v="1"/>
  </r>
  <r>
    <m/>
    <m/>
    <x v="1"/>
    <s v="42802481004001"/>
    <n v="-55.89"/>
    <n v="1284"/>
    <n v="2"/>
    <n v="1"/>
  </r>
  <r>
    <m/>
    <m/>
    <x v="1"/>
    <s v="42889211005001"/>
    <n v="-88.45"/>
    <n v="2128"/>
    <n v="2"/>
    <n v="1"/>
  </r>
  <r>
    <m/>
    <m/>
    <x v="1"/>
    <s v="42896771001009"/>
    <n v="-66.91"/>
    <n v="1545"/>
    <n v="2"/>
    <n v="1"/>
  </r>
  <r>
    <m/>
    <m/>
    <x v="1"/>
    <s v="42901041001001"/>
    <n v="-25.36"/>
    <n v="617"/>
    <n v="2"/>
    <n v="1"/>
  </r>
  <r>
    <m/>
    <m/>
    <x v="1"/>
    <s v="42972931001004"/>
    <n v="-32.43"/>
    <n v="745"/>
    <n v="2"/>
    <n v="1"/>
  </r>
  <r>
    <m/>
    <m/>
    <x v="1"/>
    <s v="42997221001001"/>
    <n v="-17.63"/>
    <n v="429"/>
    <n v="2"/>
    <n v="1"/>
  </r>
  <r>
    <m/>
    <m/>
    <x v="1"/>
    <s v="43023681011001"/>
    <n v="-18.13"/>
    <n v="441"/>
    <n v="2"/>
    <n v="1"/>
  </r>
  <r>
    <m/>
    <m/>
    <x v="1"/>
    <s v="43060291001001"/>
    <n v="-35.64"/>
    <n v="867"/>
    <n v="2"/>
    <n v="1"/>
  </r>
  <r>
    <m/>
    <m/>
    <x v="1"/>
    <s v="43122241004003"/>
    <n v="-94.23"/>
    <n v="2165"/>
    <n v="2"/>
    <n v="1"/>
  </r>
  <r>
    <m/>
    <m/>
    <x v="1"/>
    <s v="43139951001001"/>
    <n v="-2.37"/>
    <n v="57"/>
    <n v="2"/>
    <n v="1"/>
  </r>
  <r>
    <m/>
    <m/>
    <x v="1"/>
    <s v="43172221002008"/>
    <n v="-90.64"/>
    <n v="2227"/>
    <n v="1"/>
    <n v="1"/>
  </r>
  <r>
    <m/>
    <m/>
    <x v="1"/>
    <s v="43172690004001"/>
    <n v="-44.52"/>
    <n v="993"/>
    <n v="2"/>
    <n v="1"/>
  </r>
  <r>
    <m/>
    <m/>
    <x v="1"/>
    <s v="43209041003003"/>
    <n v="-4.95"/>
    <n v="115"/>
    <n v="2"/>
    <n v="1"/>
  </r>
  <r>
    <m/>
    <m/>
    <x v="1"/>
    <s v="43223951001010"/>
    <n v="-33.9"/>
    <n v="779"/>
    <n v="2"/>
    <n v="1"/>
  </r>
  <r>
    <m/>
    <m/>
    <x v="1"/>
    <s v="43240331001004"/>
    <n v="-23.81"/>
    <n v="585"/>
    <n v="1"/>
    <n v="1"/>
  </r>
  <r>
    <m/>
    <m/>
    <x v="1"/>
    <s v="43240401001003"/>
    <n v="-39.33"/>
    <n v="951"/>
    <n v="2"/>
    <n v="1"/>
  </r>
  <r>
    <m/>
    <m/>
    <x v="1"/>
    <s v="43243411001002"/>
    <n v="-39.730000000000004"/>
    <n v="913"/>
    <n v="2"/>
    <n v="1"/>
  </r>
  <r>
    <m/>
    <m/>
    <x v="1"/>
    <s v="43248661002001"/>
    <n v="-37.630000000000003"/>
    <n v="910"/>
    <n v="2"/>
    <n v="1"/>
  </r>
  <r>
    <m/>
    <m/>
    <x v="1"/>
    <s v="43251181001001"/>
    <n v="-14.8"/>
    <n v="358"/>
    <n v="2"/>
    <n v="1"/>
  </r>
  <r>
    <m/>
    <m/>
    <x v="1"/>
    <s v="43254121001004"/>
    <n v="-39.4"/>
    <n v="968"/>
    <n v="1"/>
    <n v="1"/>
  </r>
  <r>
    <m/>
    <m/>
    <x v="1"/>
    <s v="43261541001001"/>
    <n v="-43.57"/>
    <n v="1001"/>
    <n v="2"/>
    <n v="1"/>
  </r>
  <r>
    <m/>
    <m/>
    <x v="1"/>
    <s v="43268821001001"/>
    <n v="-46.43"/>
    <n v="1123"/>
    <n v="2"/>
    <n v="1"/>
  </r>
  <r>
    <m/>
    <m/>
    <x v="1"/>
    <s v="43273931004001"/>
    <n v="-40.89"/>
    <n v="949"/>
    <n v="2"/>
    <n v="1"/>
  </r>
  <r>
    <m/>
    <m/>
    <x v="1"/>
    <s v="43285971001002"/>
    <n v="-4.29"/>
    <n v="102"/>
    <n v="2"/>
    <n v="1"/>
  </r>
  <r>
    <m/>
    <m/>
    <x v="1"/>
    <s v="43291781001001"/>
    <n v="-9.2200000000000006"/>
    <n v="223"/>
    <n v="2"/>
    <n v="1"/>
  </r>
  <r>
    <m/>
    <m/>
    <x v="1"/>
    <s v="43296891001001"/>
    <n v="-28.61"/>
    <n v="692"/>
    <n v="2"/>
    <n v="1"/>
  </r>
  <r>
    <m/>
    <m/>
    <x v="1"/>
    <s v="43330105002001"/>
    <n v="-112.16"/>
    <n v="2603"/>
    <n v="2"/>
    <n v="1"/>
  </r>
  <r>
    <m/>
    <m/>
    <x v="1"/>
    <s v="43424081002001"/>
    <n v="-9.91"/>
    <n v="241"/>
    <n v="2"/>
    <n v="1"/>
  </r>
  <r>
    <m/>
    <m/>
    <x v="1"/>
    <s v="43523521003001"/>
    <n v="-27.9"/>
    <n v="641"/>
    <n v="2"/>
    <n v="1"/>
  </r>
  <r>
    <m/>
    <m/>
    <x v="1"/>
    <s v="43575421002001"/>
    <n v="-72.88"/>
    <n v="1700"/>
    <n v="2"/>
    <n v="1"/>
  </r>
  <r>
    <m/>
    <m/>
    <x v="1"/>
    <s v="43586411001002"/>
    <n v="-0.38"/>
    <n v="9"/>
    <n v="2"/>
    <n v="1"/>
  </r>
  <r>
    <m/>
    <m/>
    <x v="1"/>
    <s v="43606427009001"/>
    <n v="-24.34"/>
    <n v="559"/>
    <n v="2"/>
    <n v="1"/>
  </r>
  <r>
    <m/>
    <m/>
    <x v="1"/>
    <s v="43675311001004"/>
    <n v="-2.3600000000000003"/>
    <n v="57"/>
    <n v="2"/>
    <n v="1"/>
  </r>
  <r>
    <m/>
    <m/>
    <x v="1"/>
    <s v="43675731002001"/>
    <n v="-44.32"/>
    <n v="1034"/>
    <n v="2"/>
    <n v="1"/>
  </r>
  <r>
    <m/>
    <m/>
    <x v="1"/>
    <s v="43685671001004"/>
    <n v="-8.59"/>
    <n v="211"/>
    <n v="1"/>
    <n v="1"/>
  </r>
  <r>
    <m/>
    <m/>
    <x v="1"/>
    <s v="43686721001006"/>
    <n v="-9.8500000000000014"/>
    <n v="224"/>
    <n v="2"/>
    <n v="1"/>
  </r>
  <r>
    <m/>
    <m/>
    <x v="1"/>
    <s v="43735940002001"/>
    <n v="-39.450000000000003"/>
    <n v="880"/>
    <n v="2"/>
    <n v="1"/>
  </r>
  <r>
    <m/>
    <m/>
    <x v="1"/>
    <s v="43761831007001"/>
    <n v="-148.35"/>
    <n v="3645"/>
    <n v="1"/>
    <n v="1"/>
  </r>
  <r>
    <m/>
    <m/>
    <x v="1"/>
    <s v="43865752001004"/>
    <n v="-18.22"/>
    <n v="436"/>
    <n v="2"/>
    <n v="1"/>
  </r>
  <r>
    <m/>
    <m/>
    <x v="1"/>
    <s v="43901831002001"/>
    <n v="-55.09"/>
    <n v="1272"/>
    <n v="2"/>
    <n v="1"/>
  </r>
  <r>
    <m/>
    <m/>
    <x v="1"/>
    <s v="43908201002002"/>
    <n v="-6.5500000000000007"/>
    <n v="152"/>
    <n v="2"/>
    <n v="1"/>
  </r>
  <r>
    <m/>
    <m/>
    <x v="1"/>
    <s v="43924371003001"/>
    <n v="-21.52"/>
    <n v="497"/>
    <n v="2"/>
    <n v="1"/>
  </r>
  <r>
    <m/>
    <m/>
    <x v="1"/>
    <s v="43953794001001"/>
    <n v="-51.88"/>
    <n v="1192"/>
    <n v="2"/>
    <n v="1"/>
  </r>
  <r>
    <m/>
    <m/>
    <x v="1"/>
    <s v="43991683002001"/>
    <n v="-38.89"/>
    <n v="907"/>
    <n v="2"/>
    <n v="1"/>
  </r>
  <r>
    <m/>
    <m/>
    <x v="1"/>
    <s v="44027831001002"/>
    <n v="-32.96"/>
    <n v="765"/>
    <n v="2"/>
    <n v="1"/>
  </r>
  <r>
    <m/>
    <m/>
    <x v="1"/>
    <s v="44172520001001"/>
    <n v="-56.57"/>
    <n v="1306"/>
    <n v="2"/>
    <n v="1"/>
  </r>
  <r>
    <m/>
    <m/>
    <x v="1"/>
    <s v="44213401001003"/>
    <n v="-41.09"/>
    <n v="966"/>
    <n v="2"/>
    <n v="1"/>
  </r>
  <r>
    <m/>
    <m/>
    <x v="1"/>
    <s v="44261911001001"/>
    <n v="-14.510000000000002"/>
    <n v="335"/>
    <n v="2"/>
    <n v="1"/>
  </r>
  <r>
    <m/>
    <m/>
    <x v="1"/>
    <s v="44295021002002"/>
    <n v="-16.77"/>
    <n v="374"/>
    <n v="2"/>
    <n v="1"/>
  </r>
  <r>
    <m/>
    <m/>
    <x v="1"/>
    <s v="44301741001003"/>
    <n v="-66.72999999999999"/>
    <n v="1569"/>
    <n v="2"/>
    <n v="1"/>
  </r>
  <r>
    <m/>
    <m/>
    <x v="1"/>
    <s v="44313851003003"/>
    <n v="-40.200000000000003"/>
    <n v="901"/>
    <n v="2"/>
    <n v="1"/>
  </r>
  <r>
    <m/>
    <m/>
    <x v="1"/>
    <s v="44346821001002"/>
    <n v="-65.38"/>
    <n v="1424"/>
    <n v="2"/>
    <n v="1"/>
  </r>
  <r>
    <m/>
    <m/>
    <x v="1"/>
    <s v="44347031002001"/>
    <n v="-43.12"/>
    <n v="962"/>
    <n v="2"/>
    <n v="1"/>
  </r>
  <r>
    <m/>
    <m/>
    <x v="1"/>
    <s v="44365791001001"/>
    <n v="-0.09"/>
    <n v="2"/>
    <n v="1"/>
    <n v="1"/>
  </r>
  <r>
    <m/>
    <m/>
    <x v="1"/>
    <s v="44371461001006"/>
    <n v="-59.089999999999996"/>
    <n v="1275"/>
    <n v="2"/>
    <n v="1"/>
  </r>
  <r>
    <m/>
    <m/>
    <x v="1"/>
    <s v="44380071003001"/>
    <n v="-72.44"/>
    <n v="1616"/>
    <n v="2"/>
    <n v="1"/>
  </r>
  <r>
    <m/>
    <m/>
    <x v="1"/>
    <s v="44400231001002"/>
    <n v="-33.14"/>
    <n v="794"/>
    <n v="2"/>
    <n v="1"/>
  </r>
  <r>
    <m/>
    <m/>
    <x v="1"/>
    <s v="44437541001001"/>
    <n v="-91.78"/>
    <n v="2200"/>
    <n v="2"/>
    <n v="1"/>
  </r>
  <r>
    <m/>
    <m/>
    <x v="1"/>
    <s v="44477199001001"/>
    <n v="-6.74"/>
    <n v="155"/>
    <n v="2"/>
    <n v="1"/>
  </r>
  <r>
    <m/>
    <m/>
    <x v="1"/>
    <s v="44504531002005"/>
    <n v="-61.930000000000007"/>
    <n v="1409"/>
    <n v="2"/>
    <n v="1"/>
  </r>
  <r>
    <m/>
    <m/>
    <x v="1"/>
    <s v="44510901001001"/>
    <n v="-43.22"/>
    <n v="1003"/>
    <n v="2"/>
    <n v="1"/>
  </r>
  <r>
    <m/>
    <m/>
    <x v="1"/>
    <s v="44512971001001"/>
    <n v="-16.490000000000002"/>
    <n v="395"/>
    <n v="2"/>
    <n v="1"/>
  </r>
  <r>
    <m/>
    <m/>
    <x v="1"/>
    <s v="44514712001002"/>
    <n v="-51.25"/>
    <n v="1205"/>
    <n v="2"/>
    <n v="1"/>
  </r>
  <r>
    <m/>
    <m/>
    <x v="1"/>
    <s v="44518951007001"/>
    <n v="-33.349999999999994"/>
    <n v="774"/>
    <n v="2"/>
    <n v="1"/>
  </r>
  <r>
    <m/>
    <m/>
    <x v="1"/>
    <s v="44522381001001"/>
    <n v="-65.88"/>
    <n v="1529"/>
    <n v="2"/>
    <n v="1"/>
  </r>
  <r>
    <m/>
    <m/>
    <x v="1"/>
    <s v="44524901001003"/>
    <n v="-23.4"/>
    <n v="543"/>
    <n v="2"/>
    <n v="1"/>
  </r>
  <r>
    <m/>
    <m/>
    <x v="1"/>
    <s v="44528121001001"/>
    <n v="-14.95"/>
    <n v="347"/>
    <n v="2"/>
    <n v="1"/>
  </r>
  <r>
    <m/>
    <m/>
    <x v="1"/>
    <s v="44533511002002"/>
    <n v="-53.58"/>
    <n v="1231"/>
    <n v="2"/>
    <n v="1"/>
  </r>
  <r>
    <m/>
    <m/>
    <x v="1"/>
    <s v="44545341001001"/>
    <n v="-31.93"/>
    <n v="741"/>
    <n v="2"/>
    <n v="1"/>
  </r>
  <r>
    <m/>
    <m/>
    <x v="1"/>
    <s v="44560475001003"/>
    <n v="-67.05"/>
    <n v="1556"/>
    <n v="2"/>
    <n v="1"/>
  </r>
  <r>
    <m/>
    <m/>
    <x v="1"/>
    <s v="44562981001002"/>
    <n v="-66.13"/>
    <n v="1527"/>
    <n v="2"/>
    <n v="1"/>
  </r>
  <r>
    <m/>
    <m/>
    <x v="1"/>
    <s v="44563681004003"/>
    <n v="-84.22"/>
    <n v="2005"/>
    <n v="2"/>
    <n v="1"/>
  </r>
  <r>
    <m/>
    <m/>
    <x v="1"/>
    <s v="44568316003001"/>
    <n v="-64.650000000000006"/>
    <n v="1471"/>
    <n v="2"/>
    <n v="1"/>
  </r>
  <r>
    <m/>
    <m/>
    <x v="1"/>
    <s v="44572361001002"/>
    <n v="-33.549999999999997"/>
    <n v="789"/>
    <n v="2"/>
    <n v="1"/>
  </r>
  <r>
    <m/>
    <m/>
    <x v="1"/>
    <s v="44577121001003"/>
    <n v="-37.089999999999996"/>
    <n v="883"/>
    <n v="2"/>
    <n v="1"/>
  </r>
  <r>
    <m/>
    <m/>
    <x v="1"/>
    <s v="44577611002002"/>
    <n v="-19.28"/>
    <n v="443"/>
    <n v="2"/>
    <n v="1"/>
  </r>
  <r>
    <m/>
    <m/>
    <x v="1"/>
    <s v="44578101001008"/>
    <n v="-23.21"/>
    <n v="536"/>
    <n v="2"/>
    <n v="1"/>
  </r>
  <r>
    <m/>
    <m/>
    <x v="1"/>
    <s v="44580411001002"/>
    <n v="-49.16"/>
    <n v="1135"/>
    <n v="2"/>
    <n v="1"/>
  </r>
  <r>
    <m/>
    <m/>
    <x v="1"/>
    <s v="44596091002001"/>
    <n v="-1.33"/>
    <n v="31"/>
    <n v="2"/>
    <n v="1"/>
  </r>
  <r>
    <m/>
    <m/>
    <x v="1"/>
    <s v="44617161001001"/>
    <n v="-33.78"/>
    <n v="784"/>
    <n v="2"/>
    <n v="1"/>
  </r>
  <r>
    <m/>
    <m/>
    <x v="1"/>
    <s v="44617721001003"/>
    <n v="-10.120000000000001"/>
    <n v="235"/>
    <n v="2"/>
    <n v="1"/>
  </r>
  <r>
    <m/>
    <m/>
    <x v="1"/>
    <s v="44627031001005"/>
    <n v="-97.4"/>
    <n v="2290"/>
    <n v="2"/>
    <n v="1"/>
  </r>
  <r>
    <m/>
    <m/>
    <x v="1"/>
    <s v="44663409001001"/>
    <n v="-61.01"/>
    <n v="1499"/>
    <n v="1"/>
    <n v="1"/>
  </r>
  <r>
    <m/>
    <m/>
    <x v="1"/>
    <s v="44688771001005"/>
    <n v="-54.45"/>
    <n v="1270"/>
    <n v="2"/>
    <n v="1"/>
  </r>
  <r>
    <m/>
    <m/>
    <x v="1"/>
    <s v="44706621001001"/>
    <n v="-22.96"/>
    <n v="533"/>
    <n v="2"/>
    <n v="1"/>
  </r>
  <r>
    <m/>
    <m/>
    <x v="1"/>
    <s v="44710891001001"/>
    <n v="-37.229999999999997"/>
    <n v="864"/>
    <n v="2"/>
    <n v="1"/>
  </r>
  <r>
    <m/>
    <m/>
    <x v="1"/>
    <s v="44717821001014"/>
    <n v="-1.54"/>
    <n v="35"/>
    <n v="2"/>
    <n v="1"/>
  </r>
  <r>
    <m/>
    <m/>
    <x v="1"/>
    <s v="44726291001003"/>
    <n v="-24.32"/>
    <n v="579"/>
    <n v="2"/>
    <n v="1"/>
  </r>
  <r>
    <m/>
    <m/>
    <x v="1"/>
    <s v="44732801001003"/>
    <n v="-21.77"/>
    <n v="535"/>
    <n v="1"/>
    <n v="1"/>
  </r>
  <r>
    <m/>
    <m/>
    <x v="1"/>
    <s v="44746871002001"/>
    <n v="-20.37"/>
    <n v="485"/>
    <n v="2"/>
    <n v="1"/>
  </r>
  <r>
    <m/>
    <m/>
    <x v="1"/>
    <s v="44749671001002"/>
    <n v="-69.789999999999992"/>
    <n v="1670"/>
    <n v="2"/>
    <n v="1"/>
  </r>
  <r>
    <m/>
    <m/>
    <x v="1"/>
    <s v="44753381001001"/>
    <n v="-22.48"/>
    <n v="538"/>
    <n v="2"/>
    <n v="1"/>
  </r>
  <r>
    <m/>
    <m/>
    <x v="1"/>
    <s v="44761361002003"/>
    <n v="-67.17"/>
    <n v="1599"/>
    <n v="2"/>
    <n v="1"/>
  </r>
  <r>
    <m/>
    <m/>
    <x v="1"/>
    <s v="44774521001002"/>
    <n v="-47.56"/>
    <n v="1098"/>
    <n v="2"/>
    <n v="1"/>
  </r>
  <r>
    <m/>
    <m/>
    <x v="1"/>
    <s v="44784461002001"/>
    <n v="-65.97"/>
    <n v="1531"/>
    <n v="2"/>
    <n v="1"/>
  </r>
  <r>
    <m/>
    <m/>
    <x v="1"/>
    <s v="44800981002004"/>
    <n v="-25.4"/>
    <n v="624"/>
    <n v="1"/>
    <n v="1"/>
  </r>
  <r>
    <m/>
    <m/>
    <x v="1"/>
    <s v="44808191002002"/>
    <n v="-64.33"/>
    <n v="1493"/>
    <n v="2"/>
    <n v="1"/>
  </r>
  <r>
    <m/>
    <m/>
    <x v="1"/>
    <s v="44813091001002"/>
    <n v="-31.729999999999997"/>
    <n v="729"/>
    <n v="2"/>
    <n v="1"/>
  </r>
  <r>
    <m/>
    <m/>
    <x v="1"/>
    <s v="44817081001006"/>
    <n v="-68.650000000000006"/>
    <n v="1562"/>
    <n v="2"/>
    <n v="1"/>
  </r>
  <r>
    <m/>
    <m/>
    <x v="1"/>
    <s v="44846761001001"/>
    <n v="-94.58"/>
    <n v="2152"/>
    <n v="2"/>
    <n v="1"/>
  </r>
  <r>
    <m/>
    <m/>
    <x v="1"/>
    <s v="44863491001001"/>
    <n v="-42.400000000000006"/>
    <n v="989"/>
    <n v="2"/>
    <n v="1"/>
  </r>
  <r>
    <m/>
    <m/>
    <x v="1"/>
    <s v="44876721001002"/>
    <n v="-84.27"/>
    <n v="1936"/>
    <n v="2"/>
    <n v="1"/>
  </r>
  <r>
    <m/>
    <m/>
    <x v="1"/>
    <s v="44879801001001"/>
    <n v="-1.56"/>
    <n v="36"/>
    <n v="2"/>
    <n v="1"/>
  </r>
  <r>
    <m/>
    <m/>
    <x v="1"/>
    <s v="44881201001001"/>
    <n v="-29.21"/>
    <n v="671"/>
    <n v="2"/>
    <n v="1"/>
  </r>
  <r>
    <m/>
    <m/>
    <x v="1"/>
    <s v="44881271001004"/>
    <n v="-77.22"/>
    <n v="1774"/>
    <n v="2"/>
    <n v="1"/>
  </r>
  <r>
    <m/>
    <m/>
    <x v="1"/>
    <s v="44893661001002"/>
    <n v="-6.58"/>
    <n v="151"/>
    <n v="2"/>
    <n v="1"/>
  </r>
  <r>
    <m/>
    <m/>
    <x v="1"/>
    <s v="44896251001001"/>
    <n v="-28.55"/>
    <n v="656"/>
    <n v="2"/>
    <n v="1"/>
  </r>
  <r>
    <m/>
    <m/>
    <x v="1"/>
    <s v="44898351001001"/>
    <n v="-68.81"/>
    <n v="1581"/>
    <n v="2"/>
    <n v="1"/>
  </r>
  <r>
    <m/>
    <m/>
    <x v="1"/>
    <s v="44954561001001"/>
    <n v="-34.85"/>
    <n v="793"/>
    <n v="2"/>
    <n v="1"/>
  </r>
  <r>
    <m/>
    <m/>
    <x v="1"/>
    <s v="44956311001001"/>
    <n v="-44.13"/>
    <n v="1004"/>
    <n v="2"/>
    <n v="1"/>
  </r>
  <r>
    <m/>
    <m/>
    <x v="1"/>
    <s v="44956731001001"/>
    <n v="-59.29"/>
    <n v="1349"/>
    <n v="2"/>
    <n v="1"/>
  </r>
  <r>
    <m/>
    <m/>
    <x v="1"/>
    <s v="44962961004001"/>
    <n v="-20.92"/>
    <n v="476"/>
    <n v="2"/>
    <n v="1"/>
  </r>
  <r>
    <m/>
    <m/>
    <x v="1"/>
    <s v="44964291001001"/>
    <n v="-2.59"/>
    <n v="59"/>
    <n v="2"/>
    <n v="1"/>
  </r>
  <r>
    <m/>
    <m/>
    <x v="1"/>
    <s v="44967161001001"/>
    <n v="-93.57"/>
    <n v="2129"/>
    <n v="2"/>
    <n v="1"/>
  </r>
  <r>
    <m/>
    <m/>
    <x v="1"/>
    <s v="44972551004001"/>
    <n v="-34.25"/>
    <n v="746"/>
    <n v="2"/>
    <n v="1"/>
  </r>
  <r>
    <m/>
    <m/>
    <x v="1"/>
    <s v="44988441001013"/>
    <n v="-31.6"/>
    <n v="719"/>
    <n v="2"/>
    <n v="1"/>
  </r>
  <r>
    <m/>
    <m/>
    <x v="1"/>
    <s v="44990541001001"/>
    <n v="-15.82"/>
    <n v="360"/>
    <n v="2"/>
    <n v="1"/>
  </r>
  <r>
    <m/>
    <m/>
    <x v="1"/>
    <s v="44995231002001"/>
    <n v="-34.22"/>
    <n v="794"/>
    <n v="2"/>
    <n v="1"/>
  </r>
  <r>
    <m/>
    <m/>
    <x v="1"/>
    <s v="45016581002001"/>
    <n v="-30.23"/>
    <n v="681"/>
    <n v="2"/>
    <n v="1"/>
  </r>
  <r>
    <m/>
    <m/>
    <x v="1"/>
    <s v="45022531002001"/>
    <n v="-35.56"/>
    <n v="797"/>
    <n v="2"/>
    <n v="1"/>
  </r>
  <r>
    <m/>
    <m/>
    <x v="1"/>
    <s v="45022671002001"/>
    <n v="-7.3100000000000005"/>
    <n v="164"/>
    <n v="2"/>
    <n v="1"/>
  </r>
  <r>
    <m/>
    <m/>
    <x v="1"/>
    <s v="45024346002005"/>
    <n v="-53.730000000000004"/>
    <n v="1247"/>
    <n v="2"/>
    <n v="1"/>
  </r>
  <r>
    <m/>
    <m/>
    <x v="1"/>
    <s v="45028411001001"/>
    <n v="-7.9"/>
    <n v="177"/>
    <n v="2"/>
    <n v="1"/>
  </r>
  <r>
    <m/>
    <m/>
    <x v="1"/>
    <s v="45045911001001"/>
    <n v="-37.879999999999995"/>
    <n v="849"/>
    <n v="2"/>
    <n v="1"/>
  </r>
  <r>
    <m/>
    <m/>
    <x v="1"/>
    <s v="45051931001001"/>
    <n v="-11.690000000000001"/>
    <n v="262"/>
    <n v="2"/>
    <n v="1"/>
  </r>
  <r>
    <m/>
    <m/>
    <x v="1"/>
    <s v="45054593001001"/>
    <n v="-90.429999999999993"/>
    <n v="2166"/>
    <n v="2"/>
    <n v="1"/>
  </r>
  <r>
    <m/>
    <m/>
    <x v="1"/>
    <s v="45057461003001"/>
    <n v="-17.850000000000001"/>
    <n v="400"/>
    <n v="2"/>
    <n v="1"/>
  </r>
  <r>
    <m/>
    <m/>
    <x v="1"/>
    <s v="45058426001005"/>
    <n v="-35.369999999999997"/>
    <n v="869"/>
    <n v="1"/>
    <n v="1"/>
  </r>
  <r>
    <m/>
    <m/>
    <x v="1"/>
    <s v="45064461001001"/>
    <n v="-22.53"/>
    <n v="505"/>
    <n v="2"/>
    <n v="1"/>
  </r>
  <r>
    <m/>
    <m/>
    <x v="1"/>
    <s v="45064881001001"/>
    <n v="-78.66"/>
    <n v="1763"/>
    <n v="2"/>
    <n v="1"/>
  </r>
  <r>
    <m/>
    <m/>
    <x v="1"/>
    <s v="45068661003001"/>
    <n v="-16.2"/>
    <n v="363"/>
    <n v="2"/>
    <n v="1"/>
  </r>
  <r>
    <m/>
    <m/>
    <x v="1"/>
    <s v="45072791003019"/>
    <n v="-53.44"/>
    <n v="1313"/>
    <n v="1"/>
    <n v="1"/>
  </r>
  <r>
    <m/>
    <m/>
    <x v="1"/>
    <s v="45076781001003"/>
    <n v="-32.08"/>
    <n v="719"/>
    <n v="2"/>
    <n v="1"/>
  </r>
  <r>
    <m/>
    <m/>
    <x v="1"/>
    <s v="45077271001001"/>
    <n v="-12.25"/>
    <n v="276"/>
    <n v="2"/>
    <n v="1"/>
  </r>
  <r>
    <m/>
    <m/>
    <x v="1"/>
    <s v="45095930001001"/>
    <n v="-12.14"/>
    <n v="292"/>
    <n v="2"/>
    <n v="1"/>
  </r>
  <r>
    <m/>
    <m/>
    <x v="1"/>
    <s v="45099251001001"/>
    <n v="-64.680000000000007"/>
    <n v="1457"/>
    <n v="2"/>
    <n v="1"/>
  </r>
  <r>
    <m/>
    <m/>
    <x v="1"/>
    <s v="45100292001003"/>
    <n v="-8.2200000000000006"/>
    <n v="202"/>
    <n v="1"/>
    <n v="1"/>
  </r>
  <r>
    <m/>
    <m/>
    <x v="1"/>
    <s v="45101911002002"/>
    <n v="-52.35"/>
    <n v="1215"/>
    <n v="2"/>
    <n v="1"/>
  </r>
  <r>
    <m/>
    <m/>
    <x v="1"/>
    <s v="45114021001001"/>
    <n v="-51.29"/>
    <n v="1167"/>
    <n v="2"/>
    <n v="1"/>
  </r>
  <r>
    <m/>
    <m/>
    <x v="1"/>
    <s v="45128931001001"/>
    <n v="-10.870000000000001"/>
    <n v="245"/>
    <n v="2"/>
    <n v="1"/>
  </r>
  <r>
    <m/>
    <m/>
    <x v="1"/>
    <s v="45131871004001"/>
    <n v="-24.78"/>
    <n v="590"/>
    <n v="2"/>
    <n v="1"/>
  </r>
  <r>
    <m/>
    <m/>
    <x v="1"/>
    <s v="45137261001001"/>
    <n v="-61.55"/>
    <n v="1473"/>
    <n v="2"/>
    <n v="1"/>
  </r>
  <r>
    <m/>
    <m/>
    <x v="1"/>
    <s v="45146501001004"/>
    <n v="-59.38"/>
    <n v="1459"/>
    <n v="1"/>
    <n v="1"/>
  </r>
  <r>
    <m/>
    <m/>
    <x v="1"/>
    <s v="45146571017003"/>
    <n v="-73.83"/>
    <n v="1814"/>
    <n v="1"/>
    <n v="1"/>
  </r>
  <r>
    <m/>
    <m/>
    <x v="1"/>
    <s v="45153011001003"/>
    <n v="-42"/>
    <n v="1032"/>
    <n v="1"/>
    <n v="1"/>
  </r>
  <r>
    <m/>
    <m/>
    <x v="1"/>
    <s v="45156161001001"/>
    <n v="-24.3"/>
    <n v="597"/>
    <n v="1"/>
    <n v="1"/>
  </r>
  <r>
    <m/>
    <m/>
    <x v="1"/>
    <s v="45160921001001"/>
    <n v="-31.14"/>
    <n v="765"/>
    <n v="1"/>
    <n v="1"/>
  </r>
  <r>
    <m/>
    <m/>
    <x v="1"/>
    <s v="45162391001001"/>
    <n v="-46.56"/>
    <n v="1144"/>
    <n v="1"/>
    <n v="1"/>
  </r>
  <r>
    <m/>
    <m/>
    <x v="1"/>
    <s v="45171288002001"/>
    <n v="-43.26"/>
    <n v="1009"/>
    <n v="2"/>
    <n v="1"/>
  </r>
  <r>
    <m/>
    <m/>
    <x v="1"/>
    <s v="45177721002001"/>
    <n v="-34.840000000000003"/>
    <n v="856"/>
    <n v="1"/>
    <n v="1"/>
  </r>
  <r>
    <m/>
    <m/>
    <x v="1"/>
    <s v="45194521001003"/>
    <n v="-28.04"/>
    <n v="689"/>
    <n v="1"/>
    <n v="1"/>
  </r>
  <r>
    <m/>
    <m/>
    <x v="1"/>
    <s v="45194661001001"/>
    <n v="-34.15"/>
    <n v="839"/>
    <n v="1"/>
    <n v="1"/>
  </r>
  <r>
    <m/>
    <m/>
    <x v="1"/>
    <s v="45195221001002"/>
    <n v="-36.96"/>
    <n v="908"/>
    <n v="1"/>
    <n v="1"/>
  </r>
  <r>
    <m/>
    <m/>
    <x v="1"/>
    <s v="45195641001001"/>
    <n v="-51.49"/>
    <n v="1265"/>
    <n v="1"/>
    <n v="1"/>
  </r>
  <r>
    <m/>
    <m/>
    <x v="1"/>
    <s v="45208591002003"/>
    <n v="-4.2300000000000004"/>
    <n v="104"/>
    <n v="1"/>
    <n v="1"/>
  </r>
  <r>
    <m/>
    <m/>
    <x v="1"/>
    <s v="45221093002001"/>
    <n v="-25.03"/>
    <n v="615"/>
    <n v="1"/>
    <n v="1"/>
  </r>
  <r>
    <m/>
    <m/>
    <x v="1"/>
    <s v="45230011001002"/>
    <n v="-36.870000000000005"/>
    <n v="839"/>
    <n v="2"/>
    <n v="1"/>
  </r>
  <r>
    <m/>
    <m/>
    <x v="1"/>
    <s v="45233441001001"/>
    <n v="-60.42"/>
    <n v="1461"/>
    <n v="2"/>
    <n v="1"/>
  </r>
  <r>
    <m/>
    <m/>
    <x v="1"/>
    <s v="45242051001003"/>
    <n v="-76.240000000000009"/>
    <n v="1826"/>
    <n v="2"/>
    <n v="1"/>
  </r>
  <r>
    <m/>
    <m/>
    <x v="1"/>
    <s v="45244851001001"/>
    <n v="-3.34"/>
    <n v="80"/>
    <n v="2"/>
    <n v="1"/>
  </r>
  <r>
    <m/>
    <m/>
    <x v="1"/>
    <s v="45259481001001"/>
    <n v="-29.38"/>
    <n v="703"/>
    <n v="2"/>
    <n v="1"/>
  </r>
  <r>
    <m/>
    <m/>
    <x v="1"/>
    <s v="45270949001004"/>
    <n v="-31.1"/>
    <n v="745"/>
    <n v="2"/>
    <n v="1"/>
  </r>
  <r>
    <m/>
    <m/>
    <x v="1"/>
    <s v="45304141001001"/>
    <n v="-27.51"/>
    <n v="676"/>
    <n v="1"/>
    <n v="1"/>
  </r>
  <r>
    <m/>
    <m/>
    <x v="1"/>
    <s v="45329621001002"/>
    <n v="-59.26"/>
    <n v="1456"/>
    <n v="1"/>
    <n v="1"/>
  </r>
  <r>
    <m/>
    <m/>
    <x v="1"/>
    <s v="45353841001001"/>
    <n v="-16.38"/>
    <n v="396"/>
    <n v="2"/>
    <n v="1"/>
  </r>
  <r>
    <m/>
    <m/>
    <x v="1"/>
    <s v="45363081001002"/>
    <n v="-27.560000000000002"/>
    <n v="660"/>
    <n v="2"/>
    <n v="1"/>
  </r>
  <r>
    <m/>
    <m/>
    <x v="1"/>
    <s v="45363781001003"/>
    <n v="-80.240000000000009"/>
    <n v="1922"/>
    <n v="2"/>
    <n v="1"/>
  </r>
  <r>
    <m/>
    <m/>
    <x v="1"/>
    <s v="45372041008001"/>
    <n v="-64.88"/>
    <n v="1554"/>
    <n v="2"/>
    <n v="1"/>
  </r>
  <r>
    <m/>
    <m/>
    <x v="1"/>
    <s v="45372181002001"/>
    <n v="-62.92"/>
    <n v="1506"/>
    <n v="2"/>
    <n v="1"/>
  </r>
  <r>
    <m/>
    <m/>
    <x v="1"/>
    <s v="45379041001001"/>
    <n v="-61.12"/>
    <n v="1464"/>
    <n v="2"/>
    <n v="1"/>
  </r>
  <r>
    <m/>
    <m/>
    <x v="1"/>
    <s v="45382121001001"/>
    <n v="-30.23"/>
    <n v="724"/>
    <n v="2"/>
    <n v="1"/>
  </r>
  <r>
    <m/>
    <m/>
    <x v="1"/>
    <s v="45395421001001"/>
    <n v="-35.94"/>
    <n v="860"/>
    <n v="2"/>
    <n v="1"/>
  </r>
  <r>
    <m/>
    <m/>
    <x v="1"/>
    <s v="45406543001004"/>
    <n v="-14.09"/>
    <n v="337"/>
    <n v="2"/>
    <n v="1"/>
  </r>
  <r>
    <m/>
    <m/>
    <x v="1"/>
    <s v="45408608002003"/>
    <n v="-73.540000000000006"/>
    <n v="1751"/>
    <n v="2"/>
    <n v="1"/>
  </r>
  <r>
    <m/>
    <m/>
    <x v="1"/>
    <s v="45412781001004"/>
    <n v="-36.71"/>
    <n v="902"/>
    <n v="1"/>
    <n v="1"/>
  </r>
  <r>
    <m/>
    <m/>
    <x v="1"/>
    <s v="45432941001004"/>
    <n v="-40.519999999999996"/>
    <n v="970"/>
    <n v="2"/>
    <n v="1"/>
  </r>
  <r>
    <m/>
    <m/>
    <x v="1"/>
    <s v="45433851004001"/>
    <n v="-24.98"/>
    <n v="598"/>
    <n v="2"/>
    <n v="1"/>
  </r>
  <r>
    <m/>
    <m/>
    <x v="1"/>
    <s v="45446941001001"/>
    <n v="-32.130000000000003"/>
    <n v="769"/>
    <n v="2"/>
    <n v="1"/>
  </r>
  <r>
    <m/>
    <m/>
    <x v="1"/>
    <s v="45447641001001"/>
    <n v="-37.64"/>
    <n v="901"/>
    <n v="2"/>
    <n v="1"/>
  </r>
  <r>
    <m/>
    <m/>
    <x v="1"/>
    <s v="45452652002005"/>
    <n v="-27.31"/>
    <n v="671"/>
    <n v="1"/>
    <n v="1"/>
  </r>
  <r>
    <m/>
    <m/>
    <x v="1"/>
    <s v="45466051001001"/>
    <n v="-40.82"/>
    <n v="977"/>
    <n v="2"/>
    <n v="1"/>
  </r>
  <r>
    <m/>
    <m/>
    <x v="1"/>
    <s v="45487471012001"/>
    <n v="-24.58"/>
    <n v="604"/>
    <n v="1"/>
    <n v="1"/>
  </r>
  <r>
    <m/>
    <m/>
    <x v="1"/>
    <s v="45490131002003"/>
    <n v="-74.33"/>
    <n v="1779"/>
    <n v="2"/>
    <n v="1"/>
  </r>
  <r>
    <m/>
    <m/>
    <x v="1"/>
    <s v="45496641001001"/>
    <n v="-9.69"/>
    <n v="238"/>
    <n v="1"/>
    <n v="1"/>
  </r>
  <r>
    <m/>
    <m/>
    <x v="1"/>
    <s v="45496921001002"/>
    <n v="-21.98"/>
    <n v="540"/>
    <n v="1"/>
    <n v="1"/>
  </r>
  <r>
    <m/>
    <m/>
    <x v="1"/>
    <s v="45500981001001"/>
    <n v="-33.86"/>
    <n v="832"/>
    <n v="1"/>
    <n v="1"/>
  </r>
  <r>
    <m/>
    <m/>
    <x v="1"/>
    <s v="45502521001001"/>
    <n v="-6.19"/>
    <n v="152"/>
    <n v="1"/>
    <n v="1"/>
  </r>
  <r>
    <m/>
    <m/>
    <x v="1"/>
    <s v="45513791001001"/>
    <n v="-29.580000000000002"/>
    <n v="708"/>
    <n v="2"/>
    <n v="1"/>
  </r>
  <r>
    <m/>
    <m/>
    <x v="1"/>
    <s v="45517641003008"/>
    <n v="-47.179999999999993"/>
    <n v="1018"/>
    <n v="2"/>
    <n v="1"/>
  </r>
  <r>
    <m/>
    <m/>
    <x v="1"/>
    <s v="45518411001001"/>
    <n v="-24.26"/>
    <n v="596"/>
    <n v="1"/>
    <n v="1"/>
  </r>
  <r>
    <m/>
    <m/>
    <x v="1"/>
    <s v="45518691001001"/>
    <n v="-39.93"/>
    <n v="981"/>
    <n v="1"/>
    <n v="1"/>
  </r>
  <r>
    <m/>
    <m/>
    <x v="1"/>
    <s v="45528421001002"/>
    <n v="-45.370000000000005"/>
    <n v="1086"/>
    <n v="2"/>
    <n v="1"/>
  </r>
  <r>
    <m/>
    <m/>
    <x v="1"/>
    <s v="45532411001002"/>
    <n v="-16.55"/>
    <n v="396"/>
    <n v="2"/>
    <n v="1"/>
  </r>
  <r>
    <m/>
    <m/>
    <x v="1"/>
    <s v="45543243001003"/>
    <n v="-64.98"/>
    <n v="1555"/>
    <n v="2"/>
    <n v="1"/>
  </r>
  <r>
    <m/>
    <m/>
    <x v="1"/>
    <s v="45554531001005"/>
    <n v="-30.77"/>
    <n v="756"/>
    <n v="1"/>
    <n v="1"/>
  </r>
  <r>
    <m/>
    <m/>
    <x v="1"/>
    <s v="45591768003001"/>
    <n v="-105.18"/>
    <n v="2441"/>
    <n v="2"/>
    <n v="1"/>
  </r>
  <r>
    <m/>
    <m/>
    <x v="1"/>
    <s v="45623271008003"/>
    <n v="-35.61"/>
    <n v="818"/>
    <n v="2"/>
    <n v="1"/>
  </r>
  <r>
    <m/>
    <m/>
    <x v="1"/>
    <s v="45634593001003"/>
    <n v="-62.03"/>
    <n v="1509"/>
    <n v="2"/>
    <n v="1"/>
  </r>
  <r>
    <m/>
    <m/>
    <x v="1"/>
    <s v="45668001003001"/>
    <n v="-50.92"/>
    <n v="1251"/>
    <n v="1"/>
    <n v="1"/>
  </r>
  <r>
    <m/>
    <m/>
    <x v="1"/>
    <s v="45755151003001"/>
    <n v="-52.070000000000007"/>
    <n v="1134"/>
    <n v="2"/>
    <n v="1"/>
  </r>
  <r>
    <m/>
    <m/>
    <x v="1"/>
    <s v="45764531001001"/>
    <n v="-35.480000000000004"/>
    <n v="773"/>
    <n v="2"/>
    <n v="1"/>
  </r>
  <r>
    <m/>
    <m/>
    <x v="1"/>
    <s v="45765931005001"/>
    <n v="-69.37"/>
    <n v="1511"/>
    <n v="2"/>
    <n v="1"/>
  </r>
  <r>
    <m/>
    <m/>
    <x v="1"/>
    <s v="45786091001001"/>
    <n v="-112.89"/>
    <n v="2488"/>
    <n v="2"/>
    <n v="1"/>
  </r>
  <r>
    <m/>
    <m/>
    <x v="1"/>
    <s v="45805748001001"/>
    <n v="-4.8100000000000005"/>
    <n v="105"/>
    <n v="2"/>
    <n v="1"/>
  </r>
  <r>
    <m/>
    <m/>
    <x v="1"/>
    <s v="45859311004004"/>
    <n v="-82.85"/>
    <n v="1885"/>
    <n v="2"/>
    <n v="1"/>
  </r>
  <r>
    <m/>
    <m/>
    <x v="1"/>
    <s v="45861551007007"/>
    <n v="-33.019999999999996"/>
    <n v="786"/>
    <n v="2"/>
    <n v="1"/>
  </r>
  <r>
    <m/>
    <m/>
    <x v="1"/>
    <s v="45871701012003"/>
    <n v="-45.06"/>
    <n v="1010"/>
    <n v="2"/>
    <n v="1"/>
  </r>
  <r>
    <m/>
    <m/>
    <x v="1"/>
    <s v="45874431001005"/>
    <n v="-39.85"/>
    <n v="979"/>
    <n v="1"/>
    <n v="1"/>
  </r>
  <r>
    <m/>
    <m/>
    <x v="1"/>
    <s v="45895291003003"/>
    <n v="-56.92"/>
    <n v="1295"/>
    <n v="2"/>
    <n v="1"/>
  </r>
  <r>
    <m/>
    <m/>
    <x v="1"/>
    <s v="45897881001001"/>
    <n v="-24.3"/>
    <n v="597"/>
    <n v="1"/>
    <n v="1"/>
  </r>
  <r>
    <m/>
    <m/>
    <x v="1"/>
    <s v="45918111001001"/>
    <n v="-7.16"/>
    <n v="176"/>
    <n v="1"/>
    <n v="1"/>
  </r>
  <r>
    <m/>
    <m/>
    <x v="1"/>
    <s v="45918951003002"/>
    <n v="-37.93"/>
    <n v="932"/>
    <n v="1"/>
    <n v="1"/>
  </r>
  <r>
    <m/>
    <m/>
    <x v="1"/>
    <s v="45919021001009"/>
    <n v="-19.04"/>
    <n v="458"/>
    <n v="2"/>
    <n v="1"/>
  </r>
  <r>
    <m/>
    <m/>
    <x v="1"/>
    <s v="45919931007001"/>
    <n v="-43.96"/>
    <n v="1080"/>
    <n v="1"/>
    <n v="1"/>
  </r>
  <r>
    <m/>
    <m/>
    <x v="1"/>
    <s v="45930277001003"/>
    <n v="-3.5600000000000005"/>
    <n v="83"/>
    <n v="2"/>
    <n v="1"/>
  </r>
  <r>
    <m/>
    <m/>
    <x v="1"/>
    <s v="45931061001003"/>
    <n v="-32.03"/>
    <n v="736"/>
    <n v="2"/>
    <n v="1"/>
  </r>
  <r>
    <m/>
    <m/>
    <x v="1"/>
    <s v="45934421003003"/>
    <n v="-9.83"/>
    <n v="212"/>
    <n v="2"/>
    <n v="1"/>
  </r>
  <r>
    <m/>
    <m/>
    <x v="1"/>
    <s v="45939881001006"/>
    <n v="-7.3599999999999994"/>
    <n v="169"/>
    <n v="2"/>
    <n v="1"/>
  </r>
  <r>
    <m/>
    <m/>
    <x v="1"/>
    <s v="45956471002002"/>
    <n v="-14.81"/>
    <n v="364"/>
    <n v="1"/>
    <n v="1"/>
  </r>
  <r>
    <m/>
    <m/>
    <x v="1"/>
    <s v="45979501004001"/>
    <n v="-44.05"/>
    <n v="1012"/>
    <n v="2"/>
    <n v="1"/>
  </r>
  <r>
    <m/>
    <m/>
    <x v="1"/>
    <s v="46003091002002"/>
    <n v="-23.36"/>
    <n v="515"/>
    <n v="2"/>
    <n v="1"/>
  </r>
  <r>
    <m/>
    <m/>
    <x v="1"/>
    <s v="46024168001001"/>
    <n v="-11.45"/>
    <n v="263"/>
    <n v="2"/>
    <n v="1"/>
  </r>
  <r>
    <m/>
    <m/>
    <x v="1"/>
    <s v="46042851003005"/>
    <n v="-69.150000000000006"/>
    <n v="1589"/>
    <n v="2"/>
    <n v="1"/>
  </r>
  <r>
    <m/>
    <m/>
    <x v="1"/>
    <s v="46058267001001"/>
    <n v="-65.349999999999994"/>
    <n v="1487"/>
    <n v="2"/>
    <n v="1"/>
  </r>
  <r>
    <m/>
    <m/>
    <x v="1"/>
    <s v="46075331001001"/>
    <n v="-8.120000000000001"/>
    <n v="179"/>
    <n v="2"/>
    <n v="1"/>
  </r>
  <r>
    <m/>
    <m/>
    <x v="1"/>
    <s v="46096471001002"/>
    <n v="-7.45"/>
    <n v="172"/>
    <n v="2"/>
    <n v="1"/>
  </r>
  <r>
    <m/>
    <m/>
    <x v="1"/>
    <s v="46112501001001"/>
    <n v="-44.44"/>
    <n v="1092"/>
    <n v="1"/>
    <n v="1"/>
  </r>
  <r>
    <m/>
    <m/>
    <x v="1"/>
    <s v="46133011004007"/>
    <n v="-5.9399999999999995"/>
    <n v="143"/>
    <n v="2"/>
    <n v="1"/>
  </r>
  <r>
    <m/>
    <m/>
    <x v="1"/>
    <s v="46133151002005"/>
    <n v="-53.84"/>
    <n v="1237"/>
    <n v="2"/>
    <n v="1"/>
  </r>
  <r>
    <m/>
    <m/>
    <x v="1"/>
    <s v="46140291003004"/>
    <n v="-26.58"/>
    <n v="653"/>
    <n v="1"/>
    <n v="1"/>
  </r>
  <r>
    <m/>
    <m/>
    <x v="1"/>
    <s v="46141131001003"/>
    <n v="-38.950000000000003"/>
    <n v="957"/>
    <n v="1"/>
    <n v="1"/>
  </r>
  <r>
    <m/>
    <m/>
    <x v="1"/>
    <s v="46155016001001"/>
    <n v="-12.46"/>
    <n v="278"/>
    <n v="2"/>
    <n v="1"/>
  </r>
  <r>
    <m/>
    <m/>
    <x v="1"/>
    <s v="46156461002003"/>
    <n v="-52.26"/>
    <n v="1284"/>
    <n v="1"/>
    <n v="1"/>
  </r>
  <r>
    <m/>
    <m/>
    <x v="1"/>
    <s v="46176053001002"/>
    <n v="-50.79"/>
    <n v="1248"/>
    <n v="1"/>
    <n v="1"/>
  </r>
  <r>
    <m/>
    <m/>
    <x v="1"/>
    <s v="46189291010003"/>
    <n v="-39.989999999999995"/>
    <n v="910"/>
    <n v="2"/>
    <n v="1"/>
  </r>
  <r>
    <m/>
    <m/>
    <x v="1"/>
    <s v="46190901003009"/>
    <n v="-10.34"/>
    <n v="254"/>
    <n v="1"/>
    <n v="1"/>
  </r>
  <r>
    <m/>
    <m/>
    <x v="1"/>
    <s v="46191123001001"/>
    <n v="-10.76"/>
    <n v="247"/>
    <n v="2"/>
    <n v="1"/>
  </r>
  <r>
    <m/>
    <m/>
    <x v="1"/>
    <s v="46196011001004"/>
    <n v="-26.03"/>
    <n v="598"/>
    <n v="2"/>
    <n v="1"/>
  </r>
  <r>
    <m/>
    <m/>
    <x v="1"/>
    <s v="46217501012001"/>
    <n v="-41.08"/>
    <n v="944"/>
    <n v="2"/>
    <n v="1"/>
  </r>
  <r>
    <m/>
    <m/>
    <x v="1"/>
    <s v="46283959001004"/>
    <n v="-20.66"/>
    <n v="463"/>
    <n v="2"/>
    <n v="1"/>
  </r>
  <r>
    <m/>
    <m/>
    <x v="1"/>
    <s v="46290511001002"/>
    <n v="-16.57"/>
    <n v="361"/>
    <n v="2"/>
    <n v="1"/>
  </r>
  <r>
    <m/>
    <m/>
    <x v="1"/>
    <s v="46323621003008"/>
    <n v="-29.3"/>
    <n v="720"/>
    <n v="1"/>
    <n v="1"/>
  </r>
  <r>
    <m/>
    <m/>
    <x v="1"/>
    <s v="46337411004003"/>
    <n v="-73.34"/>
    <n v="1802"/>
    <n v="1"/>
    <n v="1"/>
  </r>
  <r>
    <m/>
    <m/>
    <x v="1"/>
    <s v="46352741003004"/>
    <n v="-4.29"/>
    <n v="96"/>
    <n v="2"/>
    <n v="1"/>
  </r>
  <r>
    <m/>
    <m/>
    <x v="1"/>
    <s v="46363031009001"/>
    <n v="-13.8"/>
    <n v="339"/>
    <n v="1"/>
    <n v="1"/>
  </r>
  <r>
    <m/>
    <m/>
    <x v="1"/>
    <s v="46395161007007"/>
    <n v="-64.759999999999991"/>
    <n v="1488"/>
    <n v="2"/>
    <n v="1"/>
  </r>
  <r>
    <m/>
    <m/>
    <x v="1"/>
    <s v="46406546001001"/>
    <n v="-47.33"/>
    <n v="1163"/>
    <n v="1"/>
    <n v="1"/>
  </r>
  <r>
    <m/>
    <m/>
    <x v="1"/>
    <s v="46425681001003"/>
    <n v="-40.58"/>
    <n v="997"/>
    <n v="1"/>
    <n v="1"/>
  </r>
  <r>
    <m/>
    <m/>
    <x v="1"/>
    <s v="46426241001001"/>
    <n v="-10.42"/>
    <n v="256"/>
    <n v="1"/>
    <n v="1"/>
  </r>
  <r>
    <m/>
    <m/>
    <x v="1"/>
    <s v="46463061001001"/>
    <n v="-32.44"/>
    <n v="797"/>
    <n v="1"/>
    <n v="1"/>
  </r>
  <r>
    <m/>
    <m/>
    <x v="1"/>
    <s v="46464041009001"/>
    <n v="-85.09"/>
    <n v="1889"/>
    <n v="2"/>
    <n v="1"/>
  </r>
  <r>
    <m/>
    <m/>
    <x v="1"/>
    <s v="46467611002001"/>
    <n v="-25.490000000000002"/>
    <n v="550"/>
    <n v="2"/>
    <n v="1"/>
  </r>
  <r>
    <m/>
    <m/>
    <x v="1"/>
    <s v="46483221001003"/>
    <n v="-51.17"/>
    <n v="1104"/>
    <n v="2"/>
    <n v="1"/>
  </r>
  <r>
    <m/>
    <m/>
    <x v="1"/>
    <s v="46486091009001"/>
    <n v="-17.399999999999999"/>
    <n v="400"/>
    <n v="2"/>
    <n v="1"/>
  </r>
  <r>
    <m/>
    <m/>
    <x v="1"/>
    <s v="46515686001001"/>
    <n v="-98.29"/>
    <n v="2415"/>
    <n v="1"/>
    <n v="1"/>
  </r>
  <r>
    <m/>
    <m/>
    <x v="1"/>
    <s v="46567205001001"/>
    <n v="-48.14"/>
    <n v="1079"/>
    <n v="2"/>
    <n v="1"/>
  </r>
  <r>
    <m/>
    <m/>
    <x v="1"/>
    <s v="46612347003001"/>
    <n v="-35.160000000000004"/>
    <n v="788"/>
    <n v="2"/>
    <n v="1"/>
  </r>
  <r>
    <m/>
    <m/>
    <x v="1"/>
    <s v="46709404001001"/>
    <n v="-16.89"/>
    <n v="366"/>
    <n v="2"/>
    <n v="1"/>
  </r>
  <r>
    <m/>
    <m/>
    <x v="1"/>
    <s v="46767001003001"/>
    <n v="-30.29"/>
    <n v="696"/>
    <n v="2"/>
    <n v="1"/>
  </r>
  <r>
    <m/>
    <m/>
    <x v="1"/>
    <s v="46769241002001"/>
    <n v="-68.66"/>
    <n v="1687"/>
    <n v="1"/>
    <n v="1"/>
  </r>
  <r>
    <m/>
    <m/>
    <x v="1"/>
    <s v="46772111002005"/>
    <n v="-44.080000000000005"/>
    <n v="951"/>
    <n v="2"/>
    <n v="1"/>
  </r>
  <r>
    <m/>
    <m/>
    <x v="1"/>
    <s v="46778971002001"/>
    <n v="-33.51"/>
    <n v="806"/>
    <n v="2"/>
    <n v="1"/>
  </r>
  <r>
    <m/>
    <m/>
    <x v="1"/>
    <s v="46792621001001"/>
    <n v="-60.52"/>
    <n v="1487"/>
    <n v="1"/>
    <n v="1"/>
  </r>
  <r>
    <m/>
    <m/>
    <x v="1"/>
    <s v="46809911002003"/>
    <n v="-16.2"/>
    <n v="363"/>
    <n v="2"/>
    <n v="1"/>
  </r>
  <r>
    <m/>
    <m/>
    <x v="1"/>
    <s v="46819081001002"/>
    <n v="-52.47"/>
    <n v="1132"/>
    <n v="2"/>
    <n v="1"/>
  </r>
  <r>
    <m/>
    <m/>
    <x v="1"/>
    <s v="46831191008001"/>
    <n v="-66.63"/>
    <n v="1637"/>
    <n v="1"/>
    <n v="1"/>
  </r>
  <r>
    <m/>
    <m/>
    <x v="1"/>
    <s v="46834341003003"/>
    <n v="-72.73"/>
    <n v="1787"/>
    <n v="1"/>
    <n v="1"/>
  </r>
  <r>
    <m/>
    <m/>
    <x v="1"/>
    <s v="46837771002001"/>
    <n v="-63.49"/>
    <n v="1560"/>
    <n v="1"/>
    <n v="1"/>
  </r>
  <r>
    <m/>
    <m/>
    <x v="1"/>
    <s v="46847431016001"/>
    <n v="-63.09"/>
    <n v="1550"/>
    <n v="1"/>
    <n v="1"/>
  </r>
  <r>
    <m/>
    <m/>
    <x v="1"/>
    <s v="46853523001007"/>
    <n v="-18.68"/>
    <n v="403"/>
    <n v="2"/>
    <n v="1"/>
  </r>
  <r>
    <m/>
    <m/>
    <x v="1"/>
    <s v="46867031001004"/>
    <n v="-7.92"/>
    <n v="182"/>
    <n v="2"/>
    <n v="1"/>
  </r>
  <r>
    <m/>
    <m/>
    <x v="1"/>
    <s v="46913740001001"/>
    <n v="-37.03"/>
    <n v="830"/>
    <n v="2"/>
    <n v="1"/>
  </r>
  <r>
    <m/>
    <m/>
    <x v="1"/>
    <s v="46960006001001"/>
    <n v="-46.6"/>
    <n v="1121"/>
    <n v="2"/>
    <n v="1"/>
  </r>
  <r>
    <m/>
    <m/>
    <x v="1"/>
    <s v="46962021001002"/>
    <n v="-12.440000000000001"/>
    <n v="283"/>
    <n v="2"/>
    <n v="1"/>
  </r>
  <r>
    <m/>
    <m/>
    <x v="1"/>
    <s v="47056381002002"/>
    <n v="-39.14"/>
    <n v="869"/>
    <n v="2"/>
    <n v="1"/>
  </r>
  <r>
    <m/>
    <m/>
    <x v="1"/>
    <s v="47070580001001"/>
    <n v="-28.42"/>
    <n v="637"/>
    <n v="2"/>
    <n v="1"/>
  </r>
  <r>
    <m/>
    <m/>
    <x v="1"/>
    <s v="47117211001001"/>
    <n v="-76.710000000000008"/>
    <n v="1703"/>
    <n v="2"/>
    <n v="1"/>
  </r>
  <r>
    <m/>
    <m/>
    <x v="1"/>
    <s v="47135971001002"/>
    <n v="-30.049999999999997"/>
    <n v="723"/>
    <n v="2"/>
    <n v="1"/>
  </r>
  <r>
    <m/>
    <m/>
    <x v="1"/>
    <s v="47138771008005"/>
    <n v="-20.86"/>
    <n v="502"/>
    <n v="2"/>
    <n v="1"/>
  </r>
  <r>
    <m/>
    <m/>
    <x v="1"/>
    <s v="47177481001007"/>
    <n v="-33.44"/>
    <n v="761"/>
    <n v="2"/>
    <n v="1"/>
  </r>
  <r>
    <m/>
    <m/>
    <x v="1"/>
    <s v="47178760001004"/>
    <n v="-26.759999999999998"/>
    <n v="647"/>
    <n v="2"/>
    <n v="1"/>
  </r>
  <r>
    <m/>
    <m/>
    <x v="1"/>
    <s v="47202611002002"/>
    <n v="-2.65"/>
    <n v="61"/>
    <n v="2"/>
    <n v="1"/>
  </r>
  <r>
    <m/>
    <m/>
    <x v="1"/>
    <s v="47233131004002"/>
    <n v="-33.57"/>
    <n v="731"/>
    <n v="2"/>
    <n v="1"/>
  </r>
  <r>
    <m/>
    <m/>
    <x v="1"/>
    <s v="47275061002003"/>
    <n v="-20.07"/>
    <n v="472"/>
    <n v="2"/>
    <n v="1"/>
  </r>
  <r>
    <m/>
    <m/>
    <x v="1"/>
    <s v="47309291001002"/>
    <n v="-6.96"/>
    <n v="171"/>
    <n v="1"/>
    <n v="1"/>
  </r>
  <r>
    <m/>
    <m/>
    <x v="1"/>
    <s v="47318111004001"/>
    <n v="-169.85"/>
    <n v="4086"/>
    <n v="2"/>
    <n v="1"/>
  </r>
  <r>
    <m/>
    <m/>
    <x v="1"/>
    <s v="47323291001003"/>
    <n v="-39.980000000000004"/>
    <n v="962"/>
    <n v="2"/>
    <n v="1"/>
  </r>
  <r>
    <m/>
    <m/>
    <x v="1"/>
    <s v="47324621003001"/>
    <n v="-24.57"/>
    <n v="591"/>
    <n v="2"/>
    <n v="1"/>
  </r>
  <r>
    <m/>
    <m/>
    <x v="1"/>
    <s v="47326848001001"/>
    <n v="-20.630000000000003"/>
    <n v="499"/>
    <n v="2"/>
    <n v="1"/>
  </r>
  <r>
    <m/>
    <m/>
    <x v="1"/>
    <s v="47327631001001"/>
    <n v="-42.690000000000005"/>
    <n v="1027"/>
    <n v="2"/>
    <n v="1"/>
  </r>
  <r>
    <m/>
    <m/>
    <x v="1"/>
    <s v="47341211003001"/>
    <n v="-14.24"/>
    <n v="327"/>
    <n v="2"/>
    <n v="1"/>
  </r>
  <r>
    <m/>
    <m/>
    <x v="1"/>
    <s v="47369561001004"/>
    <n v="-30.82"/>
    <n v="665"/>
    <n v="2"/>
    <n v="1"/>
  </r>
  <r>
    <m/>
    <m/>
    <x v="1"/>
    <s v="47375581005013"/>
    <n v="-32.67"/>
    <n v="786"/>
    <n v="2"/>
    <n v="1"/>
  </r>
  <r>
    <m/>
    <m/>
    <x v="1"/>
    <s v="47378451002003"/>
    <n v="-49.739999999999995"/>
    <n v="1143"/>
    <n v="2"/>
    <n v="1"/>
  </r>
  <r>
    <m/>
    <m/>
    <x v="1"/>
    <s v="47406521002002"/>
    <n v="-62.010000000000005"/>
    <n v="1439"/>
    <n v="2"/>
    <n v="1"/>
  </r>
  <r>
    <m/>
    <m/>
    <x v="1"/>
    <s v="47425421003001"/>
    <n v="-50.46"/>
    <n v="1171"/>
    <n v="2"/>
    <n v="1"/>
  </r>
  <r>
    <m/>
    <m/>
    <x v="1"/>
    <s v="47512000001005"/>
    <n v="-26.33"/>
    <n v="647"/>
    <n v="1"/>
    <n v="1"/>
  </r>
  <r>
    <m/>
    <m/>
    <x v="1"/>
    <s v="47550931002002"/>
    <n v="-0.52"/>
    <n v="12"/>
    <n v="2"/>
    <n v="1"/>
  </r>
  <r>
    <m/>
    <m/>
    <x v="1"/>
    <s v="47596151001005"/>
    <n v="-19.48"/>
    <n v="450"/>
    <n v="2"/>
    <n v="1"/>
  </r>
  <r>
    <m/>
    <m/>
    <x v="1"/>
    <s v="47600016001001"/>
    <n v="-3.05"/>
    <n v="75"/>
    <n v="1"/>
    <n v="1"/>
  </r>
  <r>
    <m/>
    <m/>
    <x v="1"/>
    <s v="47602655001004"/>
    <n v="-2.69"/>
    <n v="60"/>
    <n v="2"/>
    <n v="1"/>
  </r>
  <r>
    <m/>
    <m/>
    <x v="1"/>
    <s v="47619881001001"/>
    <n v="-15.5"/>
    <n v="356"/>
    <n v="2"/>
    <n v="1"/>
  </r>
  <r>
    <m/>
    <m/>
    <x v="1"/>
    <s v="47674271002001"/>
    <n v="-21.24"/>
    <n v="511"/>
    <n v="2"/>
    <n v="1"/>
  </r>
  <r>
    <m/>
    <m/>
    <x v="1"/>
    <s v="47723831004001"/>
    <n v="-8.27"/>
    <n v="190"/>
    <n v="2"/>
    <n v="1"/>
  </r>
  <r>
    <m/>
    <m/>
    <x v="1"/>
    <s v="47747071003001"/>
    <n v="-34.840000000000003"/>
    <n v="838"/>
    <n v="2"/>
    <n v="1"/>
  </r>
  <r>
    <m/>
    <m/>
    <x v="1"/>
    <s v="47757781007001"/>
    <n v="-23.32"/>
    <n v="573"/>
    <n v="1"/>
    <n v="1"/>
  </r>
  <r>
    <m/>
    <m/>
    <x v="1"/>
    <s v="47760721004001"/>
    <n v="-19.41"/>
    <n v="446"/>
    <n v="2"/>
    <n v="1"/>
  </r>
  <r>
    <m/>
    <m/>
    <x v="1"/>
    <s v="47762681005001"/>
    <n v="-74.95"/>
    <n v="1722"/>
    <n v="2"/>
    <n v="1"/>
  </r>
  <r>
    <m/>
    <m/>
    <x v="1"/>
    <s v="47764921003003"/>
    <n v="-117.82"/>
    <n v="2808"/>
    <n v="2"/>
    <n v="1"/>
  </r>
  <r>
    <m/>
    <m/>
    <x v="1"/>
    <s v="47778151001004"/>
    <n v="-93.449999999999989"/>
    <n v="2248"/>
    <n v="2"/>
    <n v="1"/>
  </r>
  <r>
    <m/>
    <m/>
    <x v="1"/>
    <s v="47839821001002"/>
    <n v="-32.28"/>
    <n v="793"/>
    <n v="1"/>
    <n v="1"/>
  </r>
  <r>
    <m/>
    <m/>
    <x v="1"/>
    <s v="47842341003001"/>
    <n v="-12.86"/>
    <n v="316"/>
    <n v="1"/>
    <n v="1"/>
  </r>
  <r>
    <m/>
    <m/>
    <x v="1"/>
    <s v="47874432001002"/>
    <n v="-70.83"/>
    <n v="1723"/>
    <n v="2"/>
    <n v="1"/>
  </r>
  <r>
    <m/>
    <m/>
    <x v="1"/>
    <s v="47874541005001"/>
    <n v="-61.42"/>
    <n v="1509"/>
    <n v="1"/>
    <n v="1"/>
  </r>
  <r>
    <m/>
    <m/>
    <x v="1"/>
    <s v="47881813001003"/>
    <n v="-25.72"/>
    <n v="632"/>
    <n v="1"/>
    <n v="1"/>
  </r>
  <r>
    <m/>
    <m/>
    <x v="1"/>
    <s v="47907161002001"/>
    <n v="-80.84"/>
    <n v="1876"/>
    <n v="2"/>
    <n v="1"/>
  </r>
  <r>
    <m/>
    <m/>
    <x v="1"/>
    <s v="47912897001001"/>
    <n v="-3.6799999999999997"/>
    <n v="89"/>
    <n v="2"/>
    <n v="1"/>
  </r>
  <r>
    <m/>
    <m/>
    <x v="1"/>
    <s v="47951681001003"/>
    <n v="-31.39"/>
    <n v="755"/>
    <n v="2"/>
    <n v="1"/>
  </r>
  <r>
    <m/>
    <m/>
    <x v="1"/>
    <s v="47958961001001"/>
    <n v="-82.68"/>
    <n v="1881"/>
    <n v="2"/>
    <n v="1"/>
  </r>
  <r>
    <m/>
    <m/>
    <x v="1"/>
    <s v="47976321005002"/>
    <n v="-10.85"/>
    <n v="234"/>
    <n v="2"/>
    <n v="1"/>
  </r>
  <r>
    <m/>
    <m/>
    <x v="1"/>
    <s v="48023920001005"/>
    <n v="-31.01"/>
    <n v="762"/>
    <n v="1"/>
    <n v="1"/>
  </r>
  <r>
    <m/>
    <m/>
    <x v="1"/>
    <s v="48037431004001"/>
    <n v="-42.5"/>
    <n v="917"/>
    <n v="2"/>
    <n v="1"/>
  </r>
  <r>
    <m/>
    <m/>
    <x v="1"/>
    <s v="48065577001005"/>
    <n v="-23.299999999999997"/>
    <n v="525"/>
    <n v="2"/>
    <n v="1"/>
  </r>
  <r>
    <m/>
    <m/>
    <x v="1"/>
    <s v="48076533001001"/>
    <n v="-49.870000000000005"/>
    <n v="1099"/>
    <n v="2"/>
    <n v="1"/>
  </r>
  <r>
    <m/>
    <m/>
    <x v="1"/>
    <s v="48085381001001"/>
    <n v="-12.26"/>
    <n v="279"/>
    <n v="2"/>
    <n v="1"/>
  </r>
  <r>
    <m/>
    <m/>
    <x v="1"/>
    <s v="48098490001001"/>
    <n v="-28.45"/>
    <n v="699"/>
    <n v="1"/>
    <n v="1"/>
  </r>
  <r>
    <m/>
    <m/>
    <x v="1"/>
    <s v="48117301003004"/>
    <n v="-49.61"/>
    <n v="1181"/>
    <n v="2"/>
    <n v="1"/>
  </r>
  <r>
    <m/>
    <m/>
    <x v="1"/>
    <s v="48121641002006"/>
    <n v="-63.019999999999996"/>
    <n v="1470"/>
    <n v="2"/>
    <n v="1"/>
  </r>
  <r>
    <m/>
    <m/>
    <x v="1"/>
    <s v="48121991001001"/>
    <n v="-23.15"/>
    <n v="540"/>
    <n v="2"/>
    <n v="1"/>
  </r>
  <r>
    <m/>
    <m/>
    <x v="1"/>
    <s v="48222791001001"/>
    <n v="-35.69"/>
    <n v="812"/>
    <n v="2"/>
    <n v="1"/>
  </r>
  <r>
    <m/>
    <m/>
    <x v="1"/>
    <s v="48282431004001"/>
    <n v="-55.69"/>
    <n v="1267"/>
    <n v="2"/>
    <n v="1"/>
  </r>
  <r>
    <m/>
    <m/>
    <x v="1"/>
    <s v="48354461005003"/>
    <n v="-38.840000000000003"/>
    <n v="906"/>
    <n v="2"/>
    <n v="1"/>
  </r>
  <r>
    <m/>
    <m/>
    <x v="1"/>
    <s v="48367273001004"/>
    <n v="-0.8600000000000001"/>
    <n v="20"/>
    <n v="2"/>
    <n v="1"/>
  </r>
  <r>
    <m/>
    <m/>
    <x v="1"/>
    <s v="48367307001003"/>
    <n v="-1.61"/>
    <n v="37"/>
    <n v="2"/>
    <n v="1"/>
  </r>
  <r>
    <m/>
    <m/>
    <x v="1"/>
    <s v="48440642001003"/>
    <n v="-14.93"/>
    <n v="343"/>
    <n v="2"/>
    <n v="1"/>
  </r>
  <r>
    <m/>
    <m/>
    <x v="1"/>
    <s v="48464378001001"/>
    <n v="-24.61"/>
    <n v="560"/>
    <n v="2"/>
    <n v="1"/>
  </r>
  <r>
    <m/>
    <m/>
    <x v="1"/>
    <s v="48525331002003"/>
    <n v="-51.42"/>
    <n v="1209"/>
    <n v="2"/>
    <n v="1"/>
  </r>
  <r>
    <m/>
    <m/>
    <x v="1"/>
    <s v="48704876001001"/>
    <n v="-35.04"/>
    <n v="861"/>
    <n v="1"/>
    <n v="1"/>
  </r>
  <r>
    <m/>
    <m/>
    <x v="1"/>
    <s v="48751742001006"/>
    <n v="-16.89"/>
    <n v="388"/>
    <n v="2"/>
    <n v="1"/>
  </r>
  <r>
    <m/>
    <m/>
    <x v="1"/>
    <s v="48798510001003"/>
    <n v="-52.42"/>
    <n v="1288"/>
    <n v="1"/>
    <n v="1"/>
  </r>
  <r>
    <m/>
    <m/>
    <x v="1"/>
    <s v="48845721001001"/>
    <n v="-25.56"/>
    <n v="570"/>
    <n v="2"/>
    <n v="1"/>
  </r>
  <r>
    <m/>
    <m/>
    <x v="1"/>
    <s v="48867586002005"/>
    <n v="-35.599999999999994"/>
    <n v="810"/>
    <n v="2"/>
    <n v="1"/>
  </r>
  <r>
    <m/>
    <m/>
    <x v="1"/>
    <s v="48924821001008"/>
    <n v="-29.39"/>
    <n v="634"/>
    <n v="2"/>
    <n v="1"/>
  </r>
  <r>
    <m/>
    <m/>
    <x v="1"/>
    <s v="48930701001003"/>
    <n v="-27.979999999999997"/>
    <n v="666"/>
    <n v="2"/>
    <n v="1"/>
  </r>
  <r>
    <m/>
    <m/>
    <x v="1"/>
    <s v="48937755001003"/>
    <n v="-31.5"/>
    <n v="774"/>
    <n v="1"/>
    <n v="1"/>
  </r>
  <r>
    <m/>
    <m/>
    <x v="1"/>
    <s v="48972001002006"/>
    <n v="-7.23"/>
    <n v="162"/>
    <n v="2"/>
    <n v="1"/>
  </r>
  <r>
    <m/>
    <m/>
    <x v="1"/>
    <s v="48996360001005"/>
    <n v="-45.82"/>
    <n v="998"/>
    <n v="2"/>
    <n v="1"/>
  </r>
  <r>
    <m/>
    <m/>
    <x v="1"/>
    <s v="49050157001001"/>
    <n v="-37.44"/>
    <n v="852"/>
    <n v="2"/>
    <n v="1"/>
  </r>
  <r>
    <m/>
    <m/>
    <x v="1"/>
    <s v="49075371001010"/>
    <n v="-49.550000000000004"/>
    <n v="1192"/>
    <n v="2"/>
    <n v="1"/>
  </r>
  <r>
    <m/>
    <m/>
    <x v="1"/>
    <s v="49110279001004"/>
    <n v="-27.88"/>
    <n v="685"/>
    <n v="1"/>
    <n v="1"/>
  </r>
  <r>
    <m/>
    <m/>
    <x v="1"/>
    <s v="49136131005001"/>
    <n v="-61.66"/>
    <n v="1382"/>
    <n v="2"/>
    <n v="1"/>
  </r>
  <r>
    <m/>
    <m/>
    <x v="1"/>
    <s v="49200673001001"/>
    <n v="-32.47"/>
    <n v="746"/>
    <n v="2"/>
    <n v="1"/>
  </r>
  <r>
    <m/>
    <m/>
    <x v="1"/>
    <s v="49301351007003"/>
    <n v="-24.21"/>
    <n v="562"/>
    <n v="2"/>
    <n v="1"/>
  </r>
  <r>
    <m/>
    <m/>
    <x v="1"/>
    <s v="49305498001003"/>
    <n v="-19.899999999999999"/>
    <n v="457"/>
    <n v="2"/>
    <n v="1"/>
  </r>
  <r>
    <m/>
    <m/>
    <x v="1"/>
    <s v="49325151001002"/>
    <n v="-37.33"/>
    <n v="809"/>
    <n v="2"/>
    <n v="1"/>
  </r>
  <r>
    <m/>
    <m/>
    <x v="1"/>
    <s v="49341111002001"/>
    <n v="-24.270000000000003"/>
    <n v="544"/>
    <n v="2"/>
    <n v="1"/>
  </r>
  <r>
    <m/>
    <m/>
    <x v="1"/>
    <s v="49394025001001"/>
    <n v="-29.43"/>
    <n v="638"/>
    <n v="2"/>
    <n v="1"/>
  </r>
  <r>
    <m/>
    <m/>
    <x v="1"/>
    <s v="49472851001001"/>
    <n v="-15.36"/>
    <n v="366"/>
    <n v="2"/>
    <n v="1"/>
  </r>
  <r>
    <m/>
    <m/>
    <x v="1"/>
    <s v="49538441006001"/>
    <n v="-72.33"/>
    <n v="1740"/>
    <n v="2"/>
    <n v="1"/>
  </r>
  <r>
    <m/>
    <m/>
    <x v="1"/>
    <s v="49558741001001"/>
    <n v="-15.57"/>
    <n v="336"/>
    <n v="2"/>
    <n v="1"/>
  </r>
  <r>
    <m/>
    <m/>
    <x v="1"/>
    <s v="49568961002001"/>
    <n v="-80.190000000000012"/>
    <n v="1730"/>
    <n v="2"/>
    <n v="1"/>
  </r>
  <r>
    <m/>
    <m/>
    <x v="1"/>
    <s v="49576941007001"/>
    <n v="-6.58"/>
    <n v="151"/>
    <n v="2"/>
    <n v="1"/>
  </r>
  <r>
    <m/>
    <m/>
    <x v="1"/>
    <s v="49581965001001"/>
    <n v="-14.370000000000001"/>
    <n v="310"/>
    <n v="2"/>
    <n v="1"/>
  </r>
  <r>
    <m/>
    <m/>
    <x v="1"/>
    <s v="49590101003001"/>
    <n v="-61.81"/>
    <n v="1362"/>
    <n v="2"/>
    <n v="1"/>
  </r>
  <r>
    <m/>
    <m/>
    <x v="1"/>
    <s v="49602561001001"/>
    <n v="-16.5"/>
    <n v="356"/>
    <n v="2"/>
    <n v="1"/>
  </r>
  <r>
    <m/>
    <m/>
    <x v="1"/>
    <s v="49606271002004"/>
    <n v="-38.700000000000003"/>
    <n v="835"/>
    <n v="2"/>
    <n v="1"/>
  </r>
  <r>
    <m/>
    <m/>
    <x v="1"/>
    <s v="49608231003009"/>
    <n v="-71.239999999999995"/>
    <n v="1537"/>
    <n v="2"/>
    <n v="1"/>
  </r>
  <r>
    <m/>
    <m/>
    <x v="1"/>
    <s v="49616351002001"/>
    <n v="-60.81"/>
    <n v="1494"/>
    <n v="1"/>
    <n v="1"/>
  </r>
  <r>
    <m/>
    <m/>
    <x v="1"/>
    <s v="49632381001008"/>
    <n v="-33.04"/>
    <n v="713"/>
    <n v="2"/>
    <n v="1"/>
  </r>
  <r>
    <m/>
    <m/>
    <x v="1"/>
    <s v="49656951001001"/>
    <n v="-43.2"/>
    <n v="932"/>
    <n v="2"/>
    <n v="1"/>
  </r>
  <r>
    <m/>
    <m/>
    <x v="1"/>
    <s v="49686351001004"/>
    <n v="-34.619999999999997"/>
    <n v="747"/>
    <n v="2"/>
    <n v="1"/>
  </r>
  <r>
    <m/>
    <m/>
    <x v="1"/>
    <s v="49693281003001"/>
    <n v="-43.96"/>
    <n v="1063"/>
    <n v="2"/>
    <n v="1"/>
  </r>
  <r>
    <m/>
    <m/>
    <x v="1"/>
    <s v="49705601001006"/>
    <n v="-42.93"/>
    <n v="1023"/>
    <n v="2"/>
    <n v="1"/>
  </r>
  <r>
    <m/>
    <m/>
    <x v="1"/>
    <s v="49731501002003"/>
    <n v="-76.099999999999994"/>
    <n v="1706"/>
    <n v="2"/>
    <n v="1"/>
  </r>
  <r>
    <m/>
    <m/>
    <x v="1"/>
    <s v="49735399001001"/>
    <n v="-8.23"/>
    <n v="189"/>
    <n v="2"/>
    <n v="1"/>
  </r>
  <r>
    <m/>
    <m/>
    <x v="1"/>
    <s v="49767991001002"/>
    <n v="-40.619999999999997"/>
    <n v="998"/>
    <n v="1"/>
    <n v="1"/>
  </r>
  <r>
    <m/>
    <m/>
    <x v="1"/>
    <s v="49827555001001"/>
    <n v="-5.8699999999999992"/>
    <n v="135"/>
    <n v="2"/>
    <n v="1"/>
  </r>
  <r>
    <m/>
    <m/>
    <x v="1"/>
    <s v="49828031002004"/>
    <n v="-59.660000000000004"/>
    <n v="1435"/>
    <n v="2"/>
    <n v="1"/>
  </r>
  <r>
    <m/>
    <m/>
    <x v="1"/>
    <s v="49841331001004"/>
    <n v="-27.95"/>
    <n v="642"/>
    <n v="2"/>
    <n v="1"/>
  </r>
  <r>
    <m/>
    <m/>
    <x v="1"/>
    <s v="49876891004001"/>
    <n v="-4.5199999999999996"/>
    <n v="111"/>
    <n v="1"/>
    <n v="1"/>
  </r>
  <r>
    <m/>
    <m/>
    <x v="1"/>
    <s v="49897285001001"/>
    <n v="-27.79"/>
    <n v="620"/>
    <n v="2"/>
    <n v="1"/>
  </r>
  <r>
    <m/>
    <m/>
    <x v="1"/>
    <s v="49922671001002"/>
    <n v="-77.36"/>
    <n v="1685"/>
    <n v="2"/>
    <n v="1"/>
  </r>
  <r>
    <m/>
    <m/>
    <x v="1"/>
    <s v="49948361001002"/>
    <n v="-44.910000000000004"/>
    <n v="969"/>
    <n v="2"/>
    <n v="1"/>
  </r>
  <r>
    <m/>
    <m/>
    <x v="1"/>
    <s v="49953330001004"/>
    <n v="-15.8"/>
    <n v="376"/>
    <n v="2"/>
    <n v="1"/>
  </r>
  <r>
    <m/>
    <m/>
    <x v="1"/>
    <s v="49996634002003"/>
    <n v="-15.93"/>
    <n v="366"/>
    <n v="2"/>
    <n v="1"/>
  </r>
  <r>
    <m/>
    <m/>
    <x v="1"/>
    <s v="50011086001001"/>
    <n v="-4.4000000000000004"/>
    <n v="101"/>
    <n v="2"/>
    <n v="1"/>
  </r>
  <r>
    <m/>
    <m/>
    <x v="1"/>
    <s v="50012621002003"/>
    <n v="-34.549999999999997"/>
    <n v="849"/>
    <n v="1"/>
    <n v="1"/>
  </r>
  <r>
    <m/>
    <m/>
    <x v="1"/>
    <s v="50027260001005"/>
    <n v="-60.120000000000005"/>
    <n v="1440"/>
    <n v="2"/>
    <n v="1"/>
  </r>
  <r>
    <m/>
    <m/>
    <x v="1"/>
    <s v="50047513001001"/>
    <n v="-33.700000000000003"/>
    <n v="786"/>
    <n v="2"/>
    <n v="1"/>
  </r>
  <r>
    <m/>
    <m/>
    <x v="1"/>
    <s v="50062111001001"/>
    <n v="-47.6"/>
    <n v="1145"/>
    <n v="2"/>
    <n v="1"/>
  </r>
  <r>
    <m/>
    <m/>
    <x v="1"/>
    <s v="50099824002007"/>
    <n v="-55.43"/>
    <n v="1362"/>
    <n v="1"/>
    <n v="1"/>
  </r>
  <r>
    <m/>
    <m/>
    <x v="1"/>
    <s v="50125531002001"/>
    <n v="-16.600000000000001"/>
    <n v="372"/>
    <n v="2"/>
    <n v="1"/>
  </r>
  <r>
    <m/>
    <m/>
    <x v="1"/>
    <s v="50146181002001"/>
    <n v="-45.2"/>
    <n v="1049"/>
    <n v="2"/>
    <n v="1"/>
  </r>
  <r>
    <m/>
    <m/>
    <x v="1"/>
    <s v="50149956001001"/>
    <n v="-42.85"/>
    <n v="956"/>
    <n v="2"/>
    <n v="1"/>
  </r>
  <r>
    <m/>
    <m/>
    <x v="1"/>
    <s v="50179851002003"/>
    <n v="-55.19"/>
    <n v="1356"/>
    <n v="1"/>
    <n v="1"/>
  </r>
  <r>
    <m/>
    <m/>
    <x v="1"/>
    <s v="50180049001002"/>
    <n v="-53.8"/>
    <n v="1212"/>
    <n v="2"/>
    <n v="1"/>
  </r>
  <r>
    <m/>
    <m/>
    <x v="1"/>
    <s v="50191609001002"/>
    <n v="-54.51"/>
    <n v="1176"/>
    <n v="2"/>
    <n v="1"/>
  </r>
  <r>
    <m/>
    <m/>
    <x v="1"/>
    <s v="50245081001005"/>
    <n v="-55.16"/>
    <n v="1280"/>
    <n v="2"/>
    <n v="1"/>
  </r>
  <r>
    <m/>
    <m/>
    <x v="1"/>
    <s v="50254821001001"/>
    <n v="-71.87"/>
    <n v="1738"/>
    <n v="2"/>
    <n v="1"/>
  </r>
  <r>
    <m/>
    <m/>
    <x v="1"/>
    <s v="50271551003001"/>
    <n v="-35.340000000000003"/>
    <n v="816"/>
    <n v="2"/>
    <n v="1"/>
  </r>
  <r>
    <m/>
    <m/>
    <x v="1"/>
    <s v="50306876001004"/>
    <n v="-43.26"/>
    <n v="1017"/>
    <n v="2"/>
    <n v="1"/>
  </r>
  <r>
    <m/>
    <m/>
    <x v="1"/>
    <s v="50340550001005"/>
    <n v="-28.200000000000003"/>
    <n v="648"/>
    <n v="2"/>
    <n v="1"/>
  </r>
  <r>
    <m/>
    <m/>
    <x v="1"/>
    <s v="50409381003001"/>
    <n v="-4.07"/>
    <n v="100"/>
    <n v="1"/>
    <n v="1"/>
  </r>
  <r>
    <m/>
    <m/>
    <x v="1"/>
    <s v="50455091002001"/>
    <n v="-42.08"/>
    <n v="967"/>
    <n v="2"/>
    <n v="1"/>
  </r>
  <r>
    <m/>
    <m/>
    <x v="1"/>
    <s v="50472322001001"/>
    <n v="-28.51"/>
    <n v="618"/>
    <n v="2"/>
    <n v="1"/>
  </r>
  <r>
    <m/>
    <m/>
    <x v="1"/>
    <s v="50550393001001"/>
    <n v="-40.94"/>
    <n v="1006"/>
    <n v="1"/>
    <n v="1"/>
  </r>
  <r>
    <m/>
    <m/>
    <x v="1"/>
    <s v="50552391002001"/>
    <n v="-37.33"/>
    <n v="898"/>
    <n v="2"/>
    <n v="1"/>
  </r>
  <r>
    <m/>
    <m/>
    <x v="1"/>
    <s v="50577986002006"/>
    <n v="-50.89"/>
    <n v="1158"/>
    <n v="2"/>
    <n v="1"/>
  </r>
  <r>
    <m/>
    <m/>
    <x v="1"/>
    <s v="50578291001002"/>
    <n v="-13.3"/>
    <n v="320"/>
    <n v="2"/>
    <n v="1"/>
  </r>
  <r>
    <m/>
    <m/>
    <x v="1"/>
    <s v="50583810001001"/>
    <n v="-83.86"/>
    <n v="1889"/>
    <n v="2"/>
    <n v="1"/>
  </r>
  <r>
    <m/>
    <m/>
    <x v="1"/>
    <s v="50718011001001"/>
    <n v="-80.600000000000009"/>
    <n v="1961"/>
    <n v="2"/>
    <n v="1"/>
  </r>
  <r>
    <m/>
    <m/>
    <x v="1"/>
    <s v="50741531001002"/>
    <n v="-22.619999999999997"/>
    <n v="488"/>
    <n v="2"/>
    <n v="1"/>
  </r>
  <r>
    <m/>
    <m/>
    <x v="1"/>
    <s v="50742301001008"/>
    <n v="-19.279999999999998"/>
    <n v="420"/>
    <n v="2"/>
    <n v="1"/>
  </r>
  <r>
    <m/>
    <m/>
    <x v="1"/>
    <s v="50750548001001"/>
    <n v="-36.65"/>
    <n v="878"/>
    <n v="2"/>
    <n v="1"/>
  </r>
  <r>
    <m/>
    <m/>
    <x v="1"/>
    <s v="50754012001003"/>
    <n v="-2.67"/>
    <n v="58"/>
    <n v="2"/>
    <n v="1"/>
  </r>
  <r>
    <m/>
    <m/>
    <x v="1"/>
    <s v="50756231001002"/>
    <n v="-2.8899999999999997"/>
    <n v="67"/>
    <n v="2"/>
    <n v="1"/>
  </r>
  <r>
    <m/>
    <m/>
    <x v="1"/>
    <s v="50756301002009"/>
    <n v="-119.63999999999999"/>
    <n v="2656"/>
    <n v="2"/>
    <n v="1"/>
  </r>
  <r>
    <m/>
    <m/>
    <x v="1"/>
    <s v="50783321001003"/>
    <n v="-39.309999999999995"/>
    <n v="852"/>
    <n v="2"/>
    <n v="1"/>
  </r>
  <r>
    <m/>
    <m/>
    <x v="1"/>
    <s v="50791371001002"/>
    <n v="-40.64"/>
    <n v="881"/>
    <n v="2"/>
    <n v="1"/>
  </r>
  <r>
    <m/>
    <m/>
    <x v="1"/>
    <s v="50791861001001"/>
    <n v="-57.11"/>
    <n v="1238"/>
    <n v="2"/>
    <n v="1"/>
  </r>
  <r>
    <m/>
    <m/>
    <x v="1"/>
    <s v="50801451001001"/>
    <n v="-9.26"/>
    <n v="200"/>
    <n v="2"/>
    <n v="1"/>
  </r>
  <r>
    <m/>
    <m/>
    <x v="1"/>
    <s v="50809571001001"/>
    <n v="-33.49"/>
    <n v="738"/>
    <n v="2"/>
    <n v="1"/>
  </r>
  <r>
    <m/>
    <m/>
    <x v="1"/>
    <s v="50813001003001"/>
    <n v="-58.72"/>
    <n v="1279"/>
    <n v="2"/>
    <n v="1"/>
  </r>
  <r>
    <m/>
    <m/>
    <x v="1"/>
    <s v="50823431001001"/>
    <n v="-37.57"/>
    <n v="828"/>
    <n v="2"/>
    <n v="1"/>
  </r>
  <r>
    <m/>
    <m/>
    <x v="1"/>
    <s v="50825051001005"/>
    <n v="-66.14"/>
    <n v="1609"/>
    <n v="2"/>
    <n v="1"/>
  </r>
  <r>
    <m/>
    <m/>
    <x v="1"/>
    <s v="50830011002001"/>
    <n v="-11.2"/>
    <n v="247"/>
    <n v="2"/>
    <n v="1"/>
  </r>
  <r>
    <m/>
    <m/>
    <x v="1"/>
    <s v="50873620001001"/>
    <n v="-81.59"/>
    <n v="1973"/>
    <n v="2"/>
    <n v="1"/>
  </r>
  <r>
    <m/>
    <m/>
    <x v="1"/>
    <s v="50874321001001"/>
    <n v="-39.86"/>
    <n v="885"/>
    <n v="2"/>
    <n v="1"/>
  </r>
  <r>
    <m/>
    <m/>
    <x v="1"/>
    <s v="50980301002006"/>
    <n v="-47.410000000000004"/>
    <n v="1023"/>
    <n v="2"/>
    <n v="1"/>
  </r>
  <r>
    <m/>
    <m/>
    <x v="1"/>
    <s v="50987091001012"/>
    <n v="-61.400000000000006"/>
    <n v="1397"/>
    <n v="2"/>
    <n v="1"/>
  </r>
  <r>
    <m/>
    <m/>
    <x v="1"/>
    <s v="51001301006001"/>
    <n v="-20.9"/>
    <n v="480"/>
    <n v="2"/>
    <n v="1"/>
  </r>
  <r>
    <m/>
    <m/>
    <x v="1"/>
    <s v="51011101001001"/>
    <n v="-35.840000000000003"/>
    <n v="793"/>
    <n v="2"/>
    <n v="1"/>
  </r>
  <r>
    <m/>
    <m/>
    <x v="1"/>
    <s v="51021905005001"/>
    <n v="-83.45"/>
    <n v="2030"/>
    <n v="2"/>
    <n v="1"/>
  </r>
  <r>
    <m/>
    <m/>
    <x v="1"/>
    <s v="51027691001003"/>
    <n v="-44.25"/>
    <n v="979"/>
    <n v="2"/>
    <n v="1"/>
  </r>
  <r>
    <m/>
    <m/>
    <x v="1"/>
    <s v="51040151001001"/>
    <n v="-3.79"/>
    <n v="82"/>
    <n v="2"/>
    <n v="1"/>
  </r>
  <r>
    <m/>
    <m/>
    <x v="1"/>
    <s v="51046801003005"/>
    <n v="-15.13"/>
    <n v="328"/>
    <n v="2"/>
    <n v="1"/>
  </r>
  <r>
    <m/>
    <m/>
    <x v="1"/>
    <s v="51047991002005"/>
    <n v="-16.32"/>
    <n v="377"/>
    <n v="2"/>
    <n v="1"/>
  </r>
  <r>
    <m/>
    <m/>
    <x v="1"/>
    <s v="51048061001001"/>
    <n v="-0.51"/>
    <n v="11"/>
    <n v="2"/>
    <n v="1"/>
  </r>
  <r>
    <m/>
    <m/>
    <x v="1"/>
    <s v="51048201005001"/>
    <n v="-38.200000000000003"/>
    <n v="828"/>
    <n v="2"/>
    <n v="1"/>
  </r>
  <r>
    <m/>
    <m/>
    <x v="1"/>
    <s v="51053381001002"/>
    <n v="-2.0700000000000003"/>
    <n v="45"/>
    <n v="2"/>
    <n v="1"/>
  </r>
  <r>
    <m/>
    <m/>
    <x v="1"/>
    <s v="51054450001001"/>
    <n v="-7.04"/>
    <n v="173"/>
    <n v="1"/>
    <n v="1"/>
  </r>
  <r>
    <m/>
    <m/>
    <x v="1"/>
    <s v="51057441001003"/>
    <n v="-51.72"/>
    <n v="1121"/>
    <n v="2"/>
    <n v="1"/>
  </r>
  <r>
    <m/>
    <m/>
    <x v="1"/>
    <s v="51060871001002"/>
    <n v="-7.48"/>
    <n v="162"/>
    <n v="2"/>
    <n v="1"/>
  </r>
  <r>
    <m/>
    <m/>
    <x v="1"/>
    <s v="51068361001002"/>
    <n v="-29.43"/>
    <n v="638"/>
    <n v="2"/>
    <n v="1"/>
  </r>
  <r>
    <m/>
    <m/>
    <x v="1"/>
    <s v="51072211003001"/>
    <n v="-130.35999999999999"/>
    <n v="2826"/>
    <n v="2"/>
    <n v="1"/>
  </r>
  <r>
    <m/>
    <m/>
    <x v="1"/>
    <s v="51073821001002"/>
    <n v="-51.68"/>
    <n v="1115"/>
    <n v="2"/>
    <n v="1"/>
  </r>
  <r>
    <m/>
    <m/>
    <x v="1"/>
    <s v="51084041002005"/>
    <n v="-24.49"/>
    <n v="589"/>
    <n v="2"/>
    <n v="1"/>
  </r>
  <r>
    <m/>
    <m/>
    <x v="1"/>
    <s v="51084811002002"/>
    <n v="-54.71"/>
    <n v="1331"/>
    <n v="2"/>
    <n v="1"/>
  </r>
  <r>
    <m/>
    <m/>
    <x v="1"/>
    <s v="51093652001008"/>
    <n v="-86.199999999999989"/>
    <n v="2097"/>
    <n v="2"/>
    <n v="1"/>
  </r>
  <r>
    <m/>
    <m/>
    <x v="1"/>
    <s v="51097131003001"/>
    <n v="-105.9"/>
    <n v="2433"/>
    <n v="2"/>
    <n v="1"/>
  </r>
  <r>
    <m/>
    <m/>
    <x v="1"/>
    <s v="51103431001002"/>
    <n v="-13.68"/>
    <n v="298"/>
    <n v="2"/>
    <n v="1"/>
  </r>
  <r>
    <m/>
    <m/>
    <x v="1"/>
    <s v="51114841002001"/>
    <n v="-43.760000000000005"/>
    <n v="981"/>
    <n v="2"/>
    <n v="1"/>
  </r>
  <r>
    <m/>
    <m/>
    <x v="1"/>
    <s v="51125341001001"/>
    <n v="-6.21"/>
    <n v="134"/>
    <n v="2"/>
    <n v="1"/>
  </r>
  <r>
    <m/>
    <m/>
    <x v="1"/>
    <s v="51126321002003"/>
    <n v="-0.42"/>
    <n v="9"/>
    <n v="2"/>
    <n v="1"/>
  </r>
  <r>
    <m/>
    <m/>
    <x v="1"/>
    <s v="51126391001001"/>
    <n v="-17.989999999999998"/>
    <n v="388"/>
    <n v="2"/>
    <n v="1"/>
  </r>
  <r>
    <m/>
    <m/>
    <x v="1"/>
    <s v="51130731001001"/>
    <n v="-5.01"/>
    <n v="108"/>
    <n v="2"/>
    <n v="1"/>
  </r>
  <r>
    <m/>
    <m/>
    <x v="1"/>
    <s v="51130801001001"/>
    <n v="-47.410000000000004"/>
    <n v="1023"/>
    <n v="2"/>
    <n v="1"/>
  </r>
  <r>
    <m/>
    <m/>
    <x v="1"/>
    <s v="51138081002001"/>
    <n v="-68.92"/>
    <n v="1487"/>
    <n v="2"/>
    <n v="1"/>
  </r>
  <r>
    <m/>
    <m/>
    <x v="1"/>
    <s v="51139481001001"/>
    <n v="-34.85"/>
    <n v="752"/>
    <n v="2"/>
    <n v="1"/>
  </r>
  <r>
    <m/>
    <m/>
    <x v="1"/>
    <s v="51163211002005"/>
    <n v="-57.929999999999993"/>
    <n v="1286"/>
    <n v="2"/>
    <n v="1"/>
  </r>
  <r>
    <m/>
    <m/>
    <x v="1"/>
    <s v="51163561001003"/>
    <n v="-24.22"/>
    <n v="543"/>
    <n v="2"/>
    <n v="1"/>
  </r>
  <r>
    <m/>
    <m/>
    <x v="1"/>
    <s v="51164261005001"/>
    <n v="-37.69"/>
    <n v="821"/>
    <n v="2"/>
    <n v="1"/>
  </r>
  <r>
    <m/>
    <m/>
    <x v="1"/>
    <s v="51165241001003"/>
    <n v="-22.83"/>
    <n v="507"/>
    <n v="2"/>
    <n v="1"/>
  </r>
  <r>
    <m/>
    <m/>
    <x v="1"/>
    <s v="51165871003001"/>
    <n v="-48.85"/>
    <n v="1064"/>
    <n v="2"/>
    <n v="1"/>
  </r>
  <r>
    <m/>
    <m/>
    <x v="1"/>
    <s v="51165941001001"/>
    <n v="-32.51"/>
    <n v="708"/>
    <n v="2"/>
    <n v="1"/>
  </r>
  <r>
    <m/>
    <m/>
    <x v="1"/>
    <s v="51172913001002"/>
    <n v="-78.12"/>
    <n v="1800"/>
    <n v="2"/>
    <n v="1"/>
  </r>
  <r>
    <m/>
    <m/>
    <x v="1"/>
    <s v="51174276001001"/>
    <n v="-19.119999999999997"/>
    <n v="435"/>
    <n v="2"/>
    <n v="1"/>
  </r>
  <r>
    <m/>
    <m/>
    <x v="1"/>
    <s v="51175041001001"/>
    <n v="-6.24"/>
    <n v="136"/>
    <n v="2"/>
    <n v="1"/>
  </r>
  <r>
    <m/>
    <m/>
    <x v="1"/>
    <s v="51182321003003"/>
    <n v="-62.68"/>
    <n v="1540"/>
    <n v="1"/>
    <n v="1"/>
  </r>
  <r>
    <m/>
    <m/>
    <x v="1"/>
    <s v="51184281006001"/>
    <n v="-54.940000000000005"/>
    <n v="1191"/>
    <n v="2"/>
    <n v="1"/>
  </r>
  <r>
    <m/>
    <m/>
    <x v="1"/>
    <s v="51187711001001"/>
    <n v="-24.099999999999998"/>
    <n v="525"/>
    <n v="2"/>
    <n v="1"/>
  </r>
  <r>
    <m/>
    <m/>
    <x v="1"/>
    <s v="51194991001002"/>
    <n v="-47.8"/>
    <n v="1041"/>
    <n v="2"/>
    <n v="1"/>
  </r>
  <r>
    <m/>
    <m/>
    <x v="1"/>
    <s v="51201221014001"/>
    <n v="-66.58"/>
    <n v="1515"/>
    <n v="2"/>
    <n v="1"/>
  </r>
  <r>
    <m/>
    <m/>
    <x v="1"/>
    <s v="51206821003009"/>
    <n v="-58.769999999999996"/>
    <n v="1274"/>
    <n v="2"/>
    <n v="1"/>
  </r>
  <r>
    <m/>
    <m/>
    <x v="1"/>
    <s v="51208991001001"/>
    <n v="-20.509999999999998"/>
    <n v="447"/>
    <n v="2"/>
    <n v="1"/>
  </r>
  <r>
    <m/>
    <m/>
    <x v="1"/>
    <s v="51221801001005"/>
    <n v="-50.36"/>
    <n v="1097"/>
    <n v="2"/>
    <n v="1"/>
  </r>
  <r>
    <m/>
    <m/>
    <x v="1"/>
    <s v="51225161002001"/>
    <n v="-17.68"/>
    <n v="385"/>
    <n v="2"/>
    <n v="1"/>
  </r>
  <r>
    <m/>
    <m/>
    <x v="1"/>
    <s v="51230131007001"/>
    <n v="-9.6"/>
    <n v="215"/>
    <n v="2"/>
    <n v="1"/>
  </r>
  <r>
    <m/>
    <m/>
    <x v="1"/>
    <s v="51237341002006"/>
    <n v="-33.68"/>
    <n v="755"/>
    <n v="2"/>
    <n v="1"/>
  </r>
  <r>
    <m/>
    <m/>
    <x v="1"/>
    <s v="51309651001001"/>
    <n v="-40.9"/>
    <n v="1005"/>
    <n v="1"/>
    <n v="1"/>
  </r>
  <r>
    <m/>
    <m/>
    <x v="1"/>
    <s v="51309721001001"/>
    <n v="-103.58"/>
    <n v="2545"/>
    <n v="1"/>
    <n v="1"/>
  </r>
  <r>
    <m/>
    <m/>
    <x v="1"/>
    <s v="51316301003004"/>
    <n v="-36.630000000000003"/>
    <n v="900"/>
    <n v="1"/>
    <n v="1"/>
  </r>
  <r>
    <m/>
    <m/>
    <x v="1"/>
    <s v="51318751001001"/>
    <n v="-35.9"/>
    <n v="882"/>
    <n v="1"/>
    <n v="1"/>
  </r>
  <r>
    <m/>
    <m/>
    <x v="1"/>
    <s v="51320291002006"/>
    <n v="-2.99"/>
    <n v="68"/>
    <n v="2"/>
    <n v="1"/>
  </r>
  <r>
    <m/>
    <m/>
    <x v="1"/>
    <s v="51323511001002"/>
    <n v="-27.55"/>
    <n v="677"/>
    <n v="1"/>
    <n v="1"/>
  </r>
  <r>
    <m/>
    <m/>
    <x v="1"/>
    <s v="51333166001001"/>
    <n v="-26.03"/>
    <n v="598"/>
    <n v="2"/>
    <n v="1"/>
  </r>
  <r>
    <m/>
    <m/>
    <x v="1"/>
    <s v="51333941006001"/>
    <n v="-57.34"/>
    <n v="1395"/>
    <n v="2"/>
    <n v="1"/>
  </r>
  <r>
    <m/>
    <m/>
    <x v="1"/>
    <s v="51344861001001"/>
    <n v="-69.790000000000006"/>
    <n v="1698"/>
    <n v="2"/>
    <n v="1"/>
  </r>
  <r>
    <m/>
    <m/>
    <x v="1"/>
    <s v="51370481001001"/>
    <n v="-15.100000000000001"/>
    <n v="365"/>
    <n v="2"/>
    <n v="1"/>
  </r>
  <r>
    <m/>
    <m/>
    <x v="1"/>
    <s v="51370831001001"/>
    <n v="-103.14"/>
    <n v="2494"/>
    <n v="2"/>
    <n v="1"/>
  </r>
  <r>
    <m/>
    <m/>
    <x v="1"/>
    <s v="51377691005001"/>
    <n v="-14.45"/>
    <n v="355"/>
    <n v="1"/>
    <n v="1"/>
  </r>
  <r>
    <m/>
    <m/>
    <x v="1"/>
    <s v="51401561004001"/>
    <n v="-47.8"/>
    <n v="1138"/>
    <n v="2"/>
    <n v="1"/>
  </r>
  <r>
    <m/>
    <m/>
    <x v="1"/>
    <s v="51424031003001"/>
    <n v="-38.769999999999996"/>
    <n v="923"/>
    <n v="2"/>
    <n v="1"/>
  </r>
  <r>
    <m/>
    <m/>
    <x v="1"/>
    <s v="51439011010001"/>
    <n v="-48.68"/>
    <n v="1171"/>
    <n v="2"/>
    <n v="1"/>
  </r>
  <r>
    <m/>
    <m/>
    <x v="1"/>
    <s v="51443606001006"/>
    <n v="-15.43"/>
    <n v="379"/>
    <n v="1"/>
    <n v="1"/>
  </r>
  <r>
    <m/>
    <m/>
    <x v="1"/>
    <s v="51450421001005"/>
    <n v="-79.12"/>
    <n v="1944"/>
    <n v="1"/>
    <n v="1"/>
  </r>
  <r>
    <m/>
    <m/>
    <x v="1"/>
    <s v="51453851003001"/>
    <n v="-47.78"/>
    <n v="1071"/>
    <n v="2"/>
    <n v="1"/>
  </r>
  <r>
    <m/>
    <m/>
    <x v="1"/>
    <s v="51461761001001"/>
    <n v="-23.32"/>
    <n v="573"/>
    <n v="1"/>
    <n v="1"/>
  </r>
  <r>
    <m/>
    <m/>
    <x v="1"/>
    <s v="51467250001001"/>
    <n v="-7.67"/>
    <n v="177"/>
    <n v="2"/>
    <n v="1"/>
  </r>
  <r>
    <m/>
    <m/>
    <x v="1"/>
    <s v="51469191001007"/>
    <n v="-5.66"/>
    <n v="139"/>
    <n v="1"/>
    <n v="1"/>
  </r>
  <r>
    <m/>
    <m/>
    <x v="1"/>
    <s v="51516081001002"/>
    <n v="-14.95"/>
    <n v="347"/>
    <n v="2"/>
    <n v="1"/>
  </r>
  <r>
    <m/>
    <m/>
    <x v="1"/>
    <s v="51516361003001"/>
    <n v="-21.5"/>
    <n v="512"/>
    <n v="2"/>
    <n v="1"/>
  </r>
  <r>
    <m/>
    <m/>
    <x v="1"/>
    <s v="51521791001001"/>
    <n v="-31.62"/>
    <n v="777"/>
    <n v="1"/>
    <n v="1"/>
  </r>
  <r>
    <m/>
    <m/>
    <x v="1"/>
    <s v="51528681001002"/>
    <n v="-4.78"/>
    <n v="111"/>
    <n v="2"/>
    <n v="1"/>
  </r>
  <r>
    <m/>
    <m/>
    <x v="1"/>
    <s v="51542891001003"/>
    <n v="-20.34"/>
    <n v="472"/>
    <n v="2"/>
    <n v="1"/>
  </r>
  <r>
    <m/>
    <m/>
    <x v="1"/>
    <s v="51543591001002"/>
    <n v="-34.85"/>
    <n v="809"/>
    <n v="2"/>
    <n v="1"/>
  </r>
  <r>
    <m/>
    <m/>
    <x v="1"/>
    <s v="51549471001001"/>
    <n v="-7.0600000000000005"/>
    <n v="164"/>
    <n v="2"/>
    <n v="1"/>
  </r>
  <r>
    <m/>
    <m/>
    <x v="1"/>
    <s v="51554091001001"/>
    <n v="-52.269999999999996"/>
    <n v="1213"/>
    <n v="2"/>
    <n v="1"/>
  </r>
  <r>
    <m/>
    <m/>
    <x v="1"/>
    <s v="51575021002004"/>
    <n v="-22.299999999999997"/>
    <n v="515"/>
    <n v="2"/>
    <n v="1"/>
  </r>
  <r>
    <m/>
    <m/>
    <x v="1"/>
    <s v="51582215001003"/>
    <n v="-70.17"/>
    <n v="1724"/>
    <n v="1"/>
    <n v="1"/>
  </r>
  <r>
    <m/>
    <m/>
    <x v="1"/>
    <s v="51584751002008"/>
    <n v="-38.46"/>
    <n v="945"/>
    <n v="1"/>
    <n v="1"/>
  </r>
  <r>
    <m/>
    <m/>
    <x v="1"/>
    <s v="51585171003003"/>
    <n v="-55.08"/>
    <n v="1194"/>
    <n v="2"/>
    <n v="1"/>
  </r>
  <r>
    <m/>
    <m/>
    <x v="1"/>
    <s v="51590001001003"/>
    <n v="-37.47"/>
    <n v="861"/>
    <n v="2"/>
    <n v="1"/>
  </r>
  <r>
    <m/>
    <m/>
    <x v="1"/>
    <s v="51593431001001"/>
    <n v="-102.75"/>
    <n v="2338"/>
    <n v="2"/>
    <n v="1"/>
  </r>
  <r>
    <m/>
    <m/>
    <x v="1"/>
    <s v="51597141001007"/>
    <n v="-39.200000000000003"/>
    <n v="883"/>
    <n v="2"/>
    <n v="1"/>
  </r>
  <r>
    <m/>
    <m/>
    <x v="1"/>
    <s v="51603861001001"/>
    <n v="-38.590000000000003"/>
    <n v="878"/>
    <n v="2"/>
    <n v="1"/>
  </r>
  <r>
    <m/>
    <m/>
    <x v="1"/>
    <s v="51613101001001"/>
    <n v="-75.56"/>
    <n v="1736"/>
    <n v="2"/>
    <n v="1"/>
  </r>
  <r>
    <m/>
    <m/>
    <x v="1"/>
    <s v="51614151001002"/>
    <n v="-41.48"/>
    <n v="895"/>
    <n v="2"/>
    <n v="1"/>
  </r>
  <r>
    <m/>
    <m/>
    <x v="1"/>
    <s v="51614291001001"/>
    <n v="-35.340000000000003"/>
    <n v="812"/>
    <n v="2"/>
    <n v="1"/>
  </r>
  <r>
    <m/>
    <m/>
    <x v="1"/>
    <s v="51615411001001"/>
    <n v="-38.26"/>
    <n v="879"/>
    <n v="2"/>
    <n v="1"/>
  </r>
  <r>
    <m/>
    <m/>
    <x v="1"/>
    <s v="51615551001001"/>
    <n v="-59.84"/>
    <n v="1375"/>
    <n v="2"/>
    <n v="1"/>
  </r>
  <r>
    <m/>
    <m/>
    <x v="1"/>
    <s v="51634941001001"/>
    <n v="-112.74"/>
    <n v="2565"/>
    <n v="2"/>
    <n v="1"/>
  </r>
  <r>
    <m/>
    <m/>
    <x v="1"/>
    <s v="51697745002001"/>
    <n v="-43.739999999999995"/>
    <n v="1010"/>
    <n v="2"/>
    <n v="1"/>
  </r>
  <r>
    <m/>
    <m/>
    <x v="1"/>
    <s v="51764139001006"/>
    <n v="-15.67"/>
    <n v="360"/>
    <n v="2"/>
    <n v="1"/>
  </r>
  <r>
    <m/>
    <m/>
    <x v="1"/>
    <s v="51790155001001"/>
    <n v="-29.259999999999998"/>
    <n v="704"/>
    <n v="2"/>
    <n v="1"/>
  </r>
  <r>
    <m/>
    <m/>
    <x v="1"/>
    <s v="51808006003005"/>
    <n v="-21.580000000000002"/>
    <n v="470"/>
    <n v="2"/>
    <n v="1"/>
  </r>
  <r>
    <m/>
    <m/>
    <x v="1"/>
    <s v="51910701001008"/>
    <n v="-15.41"/>
    <n v="354"/>
    <n v="2"/>
    <n v="1"/>
  </r>
  <r>
    <m/>
    <m/>
    <x v="1"/>
    <s v="51973472002001"/>
    <n v="-50.41"/>
    <n v="1164"/>
    <n v="2"/>
    <n v="1"/>
  </r>
  <r>
    <m/>
    <m/>
    <x v="1"/>
    <s v="51992068001001"/>
    <n v="-2.12"/>
    <n v="51"/>
    <n v="2"/>
    <n v="1"/>
  </r>
  <r>
    <m/>
    <m/>
    <x v="1"/>
    <s v="52028581001001"/>
    <n v="-33.08"/>
    <n v="729"/>
    <n v="2"/>
    <n v="1"/>
  </r>
  <r>
    <m/>
    <m/>
    <x v="1"/>
    <s v="52042325001001"/>
    <n v="-107.37"/>
    <n v="2467"/>
    <n v="2"/>
    <n v="1"/>
  </r>
  <r>
    <m/>
    <m/>
    <x v="1"/>
    <s v="52046011003003"/>
    <n v="-18.07"/>
    <n v="444"/>
    <n v="1"/>
    <n v="1"/>
  </r>
  <r>
    <m/>
    <m/>
    <x v="1"/>
    <s v="52117368001007"/>
    <n v="-119.29"/>
    <n v="2931"/>
    <n v="1"/>
    <n v="1"/>
  </r>
  <r>
    <m/>
    <m/>
    <x v="1"/>
    <s v="52165482001003"/>
    <n v="-60.17"/>
    <n v="1326"/>
    <n v="2"/>
    <n v="1"/>
  </r>
  <r>
    <m/>
    <m/>
    <x v="1"/>
    <s v="52219112001001"/>
    <n v="-16.72"/>
    <n v="373"/>
    <n v="2"/>
    <n v="1"/>
  </r>
  <r>
    <m/>
    <m/>
    <x v="1"/>
    <s v="52226629002001"/>
    <n v="-44.449999999999996"/>
    <n v="1075"/>
    <n v="2"/>
    <n v="1"/>
  </r>
  <r>
    <m/>
    <m/>
    <x v="1"/>
    <s v="52232547001001"/>
    <n v="-29.29"/>
    <n v="673"/>
    <n v="2"/>
    <n v="1"/>
  </r>
  <r>
    <m/>
    <m/>
    <x v="1"/>
    <s v="52259109001002"/>
    <n v="-45.55"/>
    <n v="1057"/>
    <n v="2"/>
    <n v="1"/>
  </r>
  <r>
    <m/>
    <m/>
    <x v="1"/>
    <s v="52295167001001"/>
    <n v="-63.25"/>
    <n v="1468"/>
    <n v="2"/>
    <n v="1"/>
  </r>
  <r>
    <m/>
    <m/>
    <x v="1"/>
    <s v="52325404001004"/>
    <n v="-36.17"/>
    <n v="823"/>
    <n v="2"/>
    <n v="1"/>
  </r>
  <r>
    <m/>
    <m/>
    <x v="1"/>
    <s v="52399384002001"/>
    <n v="-11.83"/>
    <n v="265"/>
    <n v="2"/>
    <n v="1"/>
  </r>
  <r>
    <m/>
    <m/>
    <x v="1"/>
    <s v="52507041001001"/>
    <n v="-15.59"/>
    <n v="383"/>
    <n v="1"/>
    <n v="1"/>
  </r>
  <r>
    <m/>
    <m/>
    <x v="1"/>
    <s v="52533908001001"/>
    <n v="-66.83"/>
    <n v="1442"/>
    <n v="2"/>
    <n v="1"/>
  </r>
  <r>
    <m/>
    <m/>
    <x v="1"/>
    <s v="52553675001009"/>
    <n v="-10.66"/>
    <n v="262"/>
    <n v="1"/>
    <n v="1"/>
  </r>
  <r>
    <m/>
    <m/>
    <x v="1"/>
    <s v="52557185001003"/>
    <n v="-21.400000000000002"/>
    <n v="464"/>
    <n v="2"/>
    <n v="1"/>
  </r>
  <r>
    <m/>
    <m/>
    <x v="1"/>
    <s v="52659071001002"/>
    <n v="-74.22"/>
    <n v="1767"/>
    <n v="2"/>
    <n v="1"/>
  </r>
  <r>
    <m/>
    <m/>
    <x v="1"/>
    <s v="52682385001007"/>
    <n v="-25.44"/>
    <n v="625"/>
    <n v="1"/>
    <n v="1"/>
  </r>
  <r>
    <m/>
    <m/>
    <x v="1"/>
    <s v="52778254001001"/>
    <n v="-31.82"/>
    <n v="731"/>
    <n v="2"/>
    <n v="1"/>
  </r>
  <r>
    <m/>
    <m/>
    <x v="1"/>
    <s v="53082444001001"/>
    <n v="-8.59"/>
    <n v="186"/>
    <n v="2"/>
    <n v="1"/>
  </r>
  <r>
    <m/>
    <m/>
    <x v="1"/>
    <s v="53087879001001"/>
    <n v="-16.329999999999998"/>
    <n v="354"/>
    <n v="2"/>
    <n v="1"/>
  </r>
  <r>
    <m/>
    <m/>
    <x v="1"/>
    <s v="53108976001002"/>
    <n v="-29.089999999999996"/>
    <n v="700"/>
    <n v="2"/>
    <n v="1"/>
  </r>
  <r>
    <m/>
    <m/>
    <x v="1"/>
    <s v="53124174001007"/>
    <n v="-20.03"/>
    <n v="460"/>
    <n v="2"/>
    <n v="1"/>
  </r>
  <r>
    <m/>
    <m/>
    <x v="1"/>
    <s v="53224751002001"/>
    <n v="-28.509999999999998"/>
    <n v="639"/>
    <n v="2"/>
    <n v="1"/>
  </r>
  <r>
    <m/>
    <m/>
    <x v="1"/>
    <s v="53317522001003"/>
    <n v="-29.130000000000003"/>
    <n v="701"/>
    <n v="2"/>
    <n v="1"/>
  </r>
  <r>
    <m/>
    <m/>
    <x v="1"/>
    <s v="53320365001001"/>
    <n v="-16.5"/>
    <n v="379"/>
    <n v="2"/>
    <n v="1"/>
  </r>
  <r>
    <m/>
    <m/>
    <x v="1"/>
    <s v="53350345002005"/>
    <n v="-20.66"/>
    <n v="448"/>
    <n v="2"/>
    <n v="1"/>
  </r>
  <r>
    <m/>
    <m/>
    <x v="1"/>
    <s v="53356156002001"/>
    <n v="-38.96"/>
    <n v="895"/>
    <n v="2"/>
    <n v="1"/>
  </r>
  <r>
    <m/>
    <m/>
    <x v="1"/>
    <s v="53369288001006"/>
    <n v="-4.74"/>
    <n v="109"/>
    <n v="2"/>
    <n v="1"/>
  </r>
  <r>
    <m/>
    <m/>
    <x v="1"/>
    <s v="53410550003001"/>
    <n v="-10.38"/>
    <n v="255"/>
    <n v="1"/>
    <n v="1"/>
  </r>
  <r>
    <m/>
    <m/>
    <x v="1"/>
    <s v="53488010001002"/>
    <n v="-20.310000000000002"/>
    <n v="453"/>
    <n v="2"/>
    <n v="1"/>
  </r>
  <r>
    <m/>
    <m/>
    <x v="1"/>
    <s v="53681358001001"/>
    <n v="-39.07"/>
    <n v="843"/>
    <n v="2"/>
    <n v="1"/>
  </r>
  <r>
    <m/>
    <m/>
    <x v="1"/>
    <s v="53713362001001"/>
    <n v="-20.11"/>
    <n v="434"/>
    <n v="2"/>
    <n v="1"/>
  </r>
  <r>
    <m/>
    <m/>
    <x v="1"/>
    <s v="53808670001004"/>
    <n v="-3.75"/>
    <n v="84"/>
    <n v="2"/>
    <n v="1"/>
  </r>
  <r>
    <m/>
    <m/>
    <x v="1"/>
    <s v="53812406001002"/>
    <n v="-29.349999999999998"/>
    <n v="706"/>
    <n v="2"/>
    <n v="1"/>
  </r>
  <r>
    <m/>
    <m/>
    <x v="1"/>
    <s v="53848555001002"/>
    <n v="-37.159999999999997"/>
    <n v="890"/>
    <n v="2"/>
    <n v="1"/>
  </r>
  <r>
    <m/>
    <m/>
    <x v="1"/>
    <s v="53914791002001"/>
    <n v="-24.810000000000002"/>
    <n v="556"/>
    <n v="2"/>
    <n v="1"/>
  </r>
  <r>
    <m/>
    <m/>
    <x v="1"/>
    <s v="53953758001001"/>
    <n v="-35.900000000000006"/>
    <n v="829"/>
    <n v="2"/>
    <n v="1"/>
  </r>
  <r>
    <m/>
    <m/>
    <x v="1"/>
    <s v="53970846001001"/>
    <n v="-34.19"/>
    <n v="840"/>
    <n v="1"/>
    <n v="1"/>
  </r>
  <r>
    <m/>
    <m/>
    <x v="1"/>
    <s v="54011290001001"/>
    <n v="-35.200000000000003"/>
    <n v="789"/>
    <n v="2"/>
    <n v="1"/>
  </r>
  <r>
    <m/>
    <m/>
    <x v="1"/>
    <s v="54015677001009"/>
    <n v="-44.47"/>
    <n v="969"/>
    <n v="2"/>
    <n v="1"/>
  </r>
  <r>
    <m/>
    <m/>
    <x v="1"/>
    <s v="54019982001004"/>
    <n v="-72.28"/>
    <n v="1776"/>
    <n v="1"/>
    <n v="1"/>
  </r>
  <r>
    <m/>
    <m/>
    <x v="1"/>
    <s v="54099172001001"/>
    <n v="-8.18"/>
    <n v="188"/>
    <n v="2"/>
    <n v="1"/>
  </r>
  <r>
    <m/>
    <m/>
    <x v="1"/>
    <s v="54147532001001"/>
    <n v="-38.650000000000006"/>
    <n v="888"/>
    <n v="2"/>
    <n v="1"/>
  </r>
  <r>
    <m/>
    <m/>
    <x v="1"/>
    <s v="54179632002003"/>
    <n v="-4.1400000000000006"/>
    <n v="91"/>
    <n v="2"/>
    <n v="1"/>
  </r>
  <r>
    <m/>
    <m/>
    <x v="1"/>
    <s v="54256535001001"/>
    <n v="-28.700000000000003"/>
    <n v="625"/>
    <n v="2"/>
    <n v="1"/>
  </r>
  <r>
    <m/>
    <m/>
    <x v="1"/>
    <s v="54329736005001"/>
    <n v="-12.33"/>
    <n v="266"/>
    <n v="2"/>
    <n v="1"/>
  </r>
  <r>
    <m/>
    <m/>
    <x v="1"/>
    <s v="54352861001003"/>
    <n v="-0.09"/>
    <n v="2"/>
    <n v="1"/>
    <n v="1"/>
  </r>
  <r>
    <m/>
    <m/>
    <x v="1"/>
    <s v="54399460003005"/>
    <n v="-29.580000000000002"/>
    <n v="683"/>
    <n v="2"/>
    <n v="1"/>
  </r>
  <r>
    <m/>
    <m/>
    <x v="1"/>
    <s v="54477932001003"/>
    <n v="-40.24"/>
    <n v="902"/>
    <n v="2"/>
    <n v="1"/>
  </r>
  <r>
    <m/>
    <m/>
    <x v="1"/>
    <s v="54523601001001"/>
    <n v="-75.64"/>
    <n v="1721"/>
    <n v="2"/>
    <n v="1"/>
  </r>
  <r>
    <m/>
    <m/>
    <x v="1"/>
    <s v="54582419004001"/>
    <n v="-25.63"/>
    <n v="553"/>
    <n v="2"/>
    <n v="1"/>
  </r>
  <r>
    <m/>
    <m/>
    <x v="1"/>
    <s v="54609162004002"/>
    <n v="-18.649999999999999"/>
    <n v="411"/>
    <n v="2"/>
    <n v="1"/>
  </r>
  <r>
    <m/>
    <m/>
    <x v="1"/>
    <s v="54633989001003"/>
    <n v="-62.56"/>
    <n v="1452"/>
    <n v="2"/>
    <n v="1"/>
  </r>
  <r>
    <m/>
    <m/>
    <x v="1"/>
    <s v="54677837001001"/>
    <n v="-24.38"/>
    <n v="526"/>
    <n v="2"/>
    <n v="1"/>
  </r>
  <r>
    <m/>
    <m/>
    <x v="1"/>
    <s v="54844815001003"/>
    <n v="-16.47"/>
    <n v="357"/>
    <n v="2"/>
    <n v="1"/>
  </r>
  <r>
    <m/>
    <m/>
    <x v="1"/>
    <s v="54884722001003"/>
    <n v="-2.7800000000000002"/>
    <n v="64"/>
    <n v="2"/>
    <n v="1"/>
  </r>
  <r>
    <m/>
    <m/>
    <x v="1"/>
    <s v="54897257001001"/>
    <n v="-28.02"/>
    <n v="674"/>
    <n v="2"/>
    <n v="1"/>
  </r>
  <r>
    <m/>
    <m/>
    <x v="1"/>
    <s v="54978920001003"/>
    <n v="-24.48"/>
    <n v="557"/>
    <n v="2"/>
    <n v="1"/>
  </r>
  <r>
    <m/>
    <m/>
    <x v="1"/>
    <s v="55036747001002"/>
    <n v="-49.03"/>
    <n v="1068"/>
    <n v="2"/>
    <n v="1"/>
  </r>
  <r>
    <m/>
    <m/>
    <x v="1"/>
    <s v="55121276001005"/>
    <n v="-20.369999999999997"/>
    <n v="490"/>
    <n v="2"/>
    <n v="1"/>
  </r>
  <r>
    <m/>
    <m/>
    <x v="1"/>
    <s v="55185996001003"/>
    <n v="-20.62"/>
    <n v="474"/>
    <n v="2"/>
    <n v="1"/>
  </r>
  <r>
    <m/>
    <m/>
    <x v="1"/>
    <s v="55389283006001"/>
    <n v="-25.34"/>
    <n v="552"/>
    <n v="2"/>
    <n v="1"/>
  </r>
  <r>
    <m/>
    <m/>
    <x v="1"/>
    <s v="55476730001005"/>
    <n v="-71.02"/>
    <n v="1745"/>
    <n v="1"/>
    <n v="1"/>
  </r>
  <r>
    <m/>
    <m/>
    <x v="1"/>
    <s v="55524078001001"/>
    <n v="-21.97"/>
    <n v="474"/>
    <n v="2"/>
    <n v="1"/>
  </r>
  <r>
    <m/>
    <m/>
    <x v="1"/>
    <s v="55536729004001"/>
    <n v="-42.14"/>
    <n v="909"/>
    <n v="2"/>
    <n v="1"/>
  </r>
  <r>
    <m/>
    <m/>
    <x v="1"/>
    <s v="55743493002001"/>
    <n v="-40.950000000000003"/>
    <n v="918"/>
    <n v="2"/>
    <n v="1"/>
  </r>
  <r>
    <m/>
    <m/>
    <x v="1"/>
    <s v="55776761001011"/>
    <n v="-19.060000000000002"/>
    <n v="438"/>
    <n v="2"/>
    <n v="1"/>
  </r>
  <r>
    <m/>
    <m/>
    <x v="1"/>
    <s v="55781832001008"/>
    <n v="-42.15"/>
    <n v="959"/>
    <n v="2"/>
    <n v="1"/>
  </r>
  <r>
    <m/>
    <m/>
    <x v="1"/>
    <s v="55852549001004"/>
    <n v="-21.05"/>
    <n v="501"/>
    <n v="2"/>
    <n v="1"/>
  </r>
  <r>
    <m/>
    <m/>
    <x v="1"/>
    <s v="55894222001001"/>
    <n v="-28.9"/>
    <n v="710"/>
    <n v="1"/>
    <n v="1"/>
  </r>
  <r>
    <m/>
    <m/>
    <x v="1"/>
    <s v="55898070001005"/>
    <n v="-40.78"/>
    <n v="1002"/>
    <n v="1"/>
    <n v="1"/>
  </r>
  <r>
    <m/>
    <m/>
    <x v="1"/>
    <s v="56027623001001"/>
    <n v="-101.13"/>
    <n v="2301"/>
    <n v="2"/>
    <n v="1"/>
  </r>
  <r>
    <m/>
    <m/>
    <x v="1"/>
    <s v="56063826001003"/>
    <n v="-35.81"/>
    <n v="780"/>
    <n v="2"/>
    <n v="1"/>
  </r>
  <r>
    <m/>
    <m/>
    <x v="1"/>
    <s v="56072830001004"/>
    <n v="-38.75"/>
    <n v="873"/>
    <n v="2"/>
    <n v="1"/>
  </r>
  <r>
    <m/>
    <m/>
    <x v="1"/>
    <s v="56079112001004"/>
    <n v="-63.61"/>
    <n v="1521"/>
    <n v="2"/>
    <n v="1"/>
  </r>
  <r>
    <m/>
    <m/>
    <x v="1"/>
    <s v="56116311001001"/>
    <n v="-31.8"/>
    <n v="686"/>
    <n v="2"/>
    <n v="1"/>
  </r>
  <r>
    <m/>
    <m/>
    <x v="1"/>
    <s v="56158181001001"/>
    <n v="-14.73"/>
    <n v="362"/>
    <n v="1"/>
    <n v="1"/>
  </r>
  <r>
    <m/>
    <m/>
    <x v="1"/>
    <s v="56180731001001"/>
    <n v="-2.36"/>
    <n v="58"/>
    <n v="1"/>
    <n v="1"/>
  </r>
  <r>
    <m/>
    <m/>
    <x v="1"/>
    <s v="56272890001001"/>
    <n v="-5.87"/>
    <n v="131"/>
    <n v="2"/>
    <n v="1"/>
  </r>
  <r>
    <m/>
    <m/>
    <x v="1"/>
    <s v="56277887001003"/>
    <n v="-15.709999999999999"/>
    <n v="376"/>
    <n v="2"/>
    <n v="1"/>
  </r>
  <r>
    <m/>
    <m/>
    <x v="1"/>
    <s v="56294504001001"/>
    <n v="-24.799999999999997"/>
    <n v="535"/>
    <n v="2"/>
    <n v="1"/>
  </r>
  <r>
    <m/>
    <m/>
    <x v="1"/>
    <s v="56326619001001"/>
    <n v="-18.16"/>
    <n v="407"/>
    <n v="2"/>
    <n v="1"/>
  </r>
  <r>
    <m/>
    <m/>
    <x v="1"/>
    <s v="56533159001001"/>
    <n v="-0.38"/>
    <n v="9"/>
    <n v="2"/>
    <n v="1"/>
  </r>
  <r>
    <m/>
    <m/>
    <x v="1"/>
    <s v="56545421001001"/>
    <n v="-26.83"/>
    <n v="616"/>
    <n v="3"/>
    <n v="1"/>
  </r>
  <r>
    <m/>
    <m/>
    <x v="1"/>
    <s v="56725042001004"/>
    <n v="-9.32"/>
    <n v="229"/>
    <n v="1"/>
    <n v="1"/>
  </r>
  <r>
    <m/>
    <m/>
    <x v="1"/>
    <s v="56745375001001"/>
    <n v="-16.66"/>
    <n v="403"/>
    <n v="2"/>
    <n v="1"/>
  </r>
  <r>
    <m/>
    <m/>
    <x v="1"/>
    <s v="56918510001001"/>
    <n v="-29.93"/>
    <n v="681"/>
    <n v="2"/>
    <n v="1"/>
  </r>
  <r>
    <m/>
    <m/>
    <x v="1"/>
    <s v="56947002001001"/>
    <n v="-26.86"/>
    <n v="611"/>
    <n v="2"/>
    <n v="1"/>
  </r>
  <r>
    <m/>
    <m/>
    <x v="1"/>
    <s v="57000650001002"/>
    <n v="-28.94"/>
    <n v="711"/>
    <n v="1"/>
    <n v="1"/>
  </r>
  <r>
    <m/>
    <m/>
    <x v="1"/>
    <s v="57049582001005"/>
    <n v="-34.549999999999997"/>
    <n v="786"/>
    <n v="2"/>
    <n v="1"/>
  </r>
  <r>
    <m/>
    <m/>
    <x v="1"/>
    <s v="57097404001004"/>
    <n v="-48.7"/>
    <n v="1119"/>
    <n v="2"/>
    <n v="1"/>
  </r>
  <r>
    <m/>
    <m/>
    <x v="1"/>
    <s v="57110729007001"/>
    <n v="-5.4"/>
    <n v="124"/>
    <n v="2"/>
    <n v="1"/>
  </r>
  <r>
    <m/>
    <m/>
    <x v="1"/>
    <s v="57232509003001"/>
    <n v="-23.25"/>
    <n v="537"/>
    <n v="2"/>
    <n v="1"/>
  </r>
  <r>
    <m/>
    <m/>
    <x v="1"/>
    <s v="57356716001002"/>
    <n v="-28.86"/>
    <n v="709"/>
    <n v="1"/>
    <n v="1"/>
  </r>
  <r>
    <m/>
    <m/>
    <x v="1"/>
    <s v="57453412001005"/>
    <n v="-39.4"/>
    <n v="943"/>
    <n v="2"/>
    <n v="1"/>
  </r>
  <r>
    <m/>
    <m/>
    <x v="1"/>
    <s v="57455935001001"/>
    <n v="-57.089999999999996"/>
    <n v="1286"/>
    <n v="2"/>
    <n v="1"/>
  </r>
  <r>
    <m/>
    <m/>
    <x v="1"/>
    <s v="57511006004003"/>
    <n v="-10.57"/>
    <n v="253"/>
    <n v="2"/>
    <n v="1"/>
  </r>
  <r>
    <m/>
    <m/>
    <x v="1"/>
    <s v="57634785001001"/>
    <n v="-53.44"/>
    <n v="1313"/>
    <n v="1"/>
    <n v="1"/>
  </r>
  <r>
    <m/>
    <m/>
    <x v="1"/>
    <s v="57760862001001"/>
    <n v="-0.69"/>
    <n v="17"/>
    <n v="1"/>
    <n v="1"/>
  </r>
  <r>
    <m/>
    <m/>
    <x v="1"/>
    <s v="57832229001001"/>
    <n v="-4.54"/>
    <n v="99"/>
    <n v="2"/>
    <n v="1"/>
  </r>
  <r>
    <m/>
    <m/>
    <x v="1"/>
    <s v="58070087003003"/>
    <n v="-60.02"/>
    <n v="1444"/>
    <n v="2"/>
    <n v="1"/>
  </r>
  <r>
    <m/>
    <m/>
    <x v="1"/>
    <s v="58123333001002"/>
    <n v="-38.159999999999997"/>
    <n v="897"/>
    <n v="2"/>
    <n v="1"/>
  </r>
  <r>
    <m/>
    <m/>
    <x v="1"/>
    <s v="58144822001002"/>
    <n v="-67.06"/>
    <n v="1605"/>
    <n v="2"/>
    <n v="1"/>
  </r>
  <r>
    <m/>
    <m/>
    <x v="1"/>
    <s v="58167581001001"/>
    <n v="-38.549999999999997"/>
    <n v="864"/>
    <n v="2"/>
    <n v="1"/>
  </r>
  <r>
    <m/>
    <m/>
    <x v="1"/>
    <s v="58199492001003"/>
    <n v="-7.85"/>
    <n v="188"/>
    <n v="2"/>
    <n v="1"/>
  </r>
  <r>
    <m/>
    <m/>
    <x v="1"/>
    <s v="58254409001002"/>
    <n v="-24.82"/>
    <n v="538"/>
    <n v="2"/>
    <n v="1"/>
  </r>
  <r>
    <m/>
    <m/>
    <x v="1"/>
    <s v="58433748001002"/>
    <n v="-15.920000000000002"/>
    <n v="379"/>
    <n v="2"/>
    <n v="1"/>
  </r>
  <r>
    <m/>
    <m/>
    <x v="1"/>
    <s v="58436858001004"/>
    <n v="-38.81"/>
    <n v="883"/>
    <n v="2"/>
    <n v="1"/>
  </r>
  <r>
    <m/>
    <m/>
    <x v="1"/>
    <s v="58468448002001"/>
    <n v="-42"/>
    <n v="1032"/>
    <n v="1"/>
    <n v="1"/>
  </r>
  <r>
    <m/>
    <m/>
    <x v="1"/>
    <s v="58473274001001"/>
    <n v="-86"/>
    <n v="1976"/>
    <n v="2"/>
    <n v="1"/>
  </r>
  <r>
    <m/>
    <m/>
    <x v="1"/>
    <s v="58496743001008"/>
    <n v="-8.49"/>
    <n v="203"/>
    <n v="2"/>
    <n v="1"/>
  </r>
  <r>
    <m/>
    <m/>
    <x v="1"/>
    <s v="58521117005001"/>
    <n v="-1.7"/>
    <n v="37"/>
    <n v="2"/>
    <n v="1"/>
  </r>
  <r>
    <m/>
    <m/>
    <x v="1"/>
    <s v="58549564001001"/>
    <n v="-29.25"/>
    <n v="631"/>
    <n v="2"/>
    <n v="1"/>
  </r>
  <r>
    <m/>
    <m/>
    <x v="1"/>
    <s v="58643665001003"/>
    <n v="-32.89"/>
    <n v="808"/>
    <n v="1"/>
    <n v="1"/>
  </r>
  <r>
    <m/>
    <m/>
    <x v="1"/>
    <s v="58665150001005"/>
    <n v="-49.22"/>
    <n v="1062"/>
    <n v="2"/>
    <n v="1"/>
  </r>
  <r>
    <m/>
    <m/>
    <x v="1"/>
    <s v="58704052001001"/>
    <n v="-3.5"/>
    <n v="86"/>
    <n v="1"/>
    <n v="1"/>
  </r>
  <r>
    <m/>
    <m/>
    <x v="1"/>
    <s v="58815775001003"/>
    <n v="-28.25"/>
    <n v="649"/>
    <n v="2"/>
    <n v="1"/>
  </r>
  <r>
    <m/>
    <m/>
    <x v="1"/>
    <s v="58828870007001"/>
    <n v="-56.25"/>
    <n v="1280"/>
    <n v="2"/>
    <n v="1"/>
  </r>
  <r>
    <m/>
    <m/>
    <x v="1"/>
    <s v="58952317002005"/>
    <n v="-50.24"/>
    <n v="1084"/>
    <n v="2"/>
    <n v="1"/>
  </r>
  <r>
    <m/>
    <m/>
    <x v="1"/>
    <s v="59053011001001"/>
    <n v="-47.78"/>
    <n v="1031"/>
    <n v="2"/>
    <n v="1"/>
  </r>
  <r>
    <m/>
    <m/>
    <x v="1"/>
    <s v="59085749001001"/>
    <n v="-51.93"/>
    <n v="1243"/>
    <n v="2"/>
    <n v="1"/>
  </r>
  <r>
    <m/>
    <m/>
    <x v="1"/>
    <s v="59136213001001"/>
    <n v="-37.14"/>
    <n v="845"/>
    <n v="2"/>
    <n v="1"/>
  </r>
  <r>
    <m/>
    <m/>
    <x v="1"/>
    <s v="59417675001003"/>
    <n v="-19.149999999999999"/>
    <n v="456"/>
    <n v="2"/>
    <n v="1"/>
  </r>
  <r>
    <m/>
    <m/>
    <x v="1"/>
    <s v="59547463005003"/>
    <n v="-66.09"/>
    <n v="1426"/>
    <n v="2"/>
    <n v="1"/>
  </r>
  <r>
    <m/>
    <m/>
    <x v="1"/>
    <s v="59582257003001"/>
    <n v="-23.009999999999998"/>
    <n v="511"/>
    <n v="2"/>
    <n v="1"/>
  </r>
  <r>
    <m/>
    <m/>
    <x v="1"/>
    <s v="59712638001001"/>
    <n v="-14.9"/>
    <n v="366"/>
    <n v="1"/>
    <n v="1"/>
  </r>
  <r>
    <m/>
    <m/>
    <x v="1"/>
    <s v="59835939001001"/>
    <n v="-29.54"/>
    <n v="704"/>
    <n v="2"/>
    <n v="1"/>
  </r>
  <r>
    <m/>
    <m/>
    <x v="1"/>
    <s v="59904249001001"/>
    <n v="-62.849999999999994"/>
    <n v="1444"/>
    <n v="2"/>
    <n v="1"/>
  </r>
  <r>
    <m/>
    <m/>
    <x v="1"/>
    <s v="60000842001003"/>
    <n v="-31.98"/>
    <n v="690"/>
    <n v="2"/>
    <n v="1"/>
  </r>
  <r>
    <m/>
    <m/>
    <x v="1"/>
    <s v="60085172002003"/>
    <n v="-56.29"/>
    <n v="1313"/>
    <n v="2"/>
    <n v="1"/>
  </r>
  <r>
    <m/>
    <m/>
    <x v="1"/>
    <s v="60129080001001"/>
    <n v="-43.72"/>
    <n v="1028"/>
    <n v="2"/>
    <n v="1"/>
  </r>
  <r>
    <m/>
    <m/>
    <x v="1"/>
    <s v="60239588001006"/>
    <n v="-51.69"/>
    <n v="1270"/>
    <n v="1"/>
    <n v="1"/>
  </r>
  <r>
    <m/>
    <m/>
    <x v="1"/>
    <s v="60270707001007"/>
    <n v="-21.44"/>
    <n v="495"/>
    <n v="2"/>
    <n v="1"/>
  </r>
  <r>
    <m/>
    <m/>
    <x v="1"/>
    <s v="60290167001006"/>
    <n v="-63"/>
    <n v="1405"/>
    <n v="2"/>
    <n v="1"/>
  </r>
  <r>
    <m/>
    <m/>
    <x v="1"/>
    <s v="60311880001002"/>
    <n v="-58.410000000000004"/>
    <n v="1329"/>
    <n v="2"/>
    <n v="1"/>
  </r>
  <r>
    <m/>
    <m/>
    <x v="1"/>
    <s v="60362120001002"/>
    <n v="-12.489999999999998"/>
    <n v="280"/>
    <n v="2"/>
    <n v="1"/>
  </r>
  <r>
    <m/>
    <m/>
    <x v="1"/>
    <s v="60372686002003"/>
    <n v="-15.510000000000002"/>
    <n v="353"/>
    <n v="2"/>
    <n v="1"/>
  </r>
  <r>
    <m/>
    <m/>
    <x v="1"/>
    <s v="60378444004001"/>
    <n v="-54.18"/>
    <n v="1169"/>
    <n v="2"/>
    <n v="1"/>
  </r>
  <r>
    <m/>
    <m/>
    <x v="1"/>
    <s v="60473262001001"/>
    <n v="-20.939999999999998"/>
    <n v="481"/>
    <n v="2"/>
    <n v="1"/>
  </r>
  <r>
    <m/>
    <m/>
    <x v="1"/>
    <s v="60503071001008"/>
    <n v="-35.380000000000003"/>
    <n v="793"/>
    <n v="2"/>
    <n v="1"/>
  </r>
  <r>
    <m/>
    <m/>
    <x v="1"/>
    <s v="60570725002001"/>
    <n v="-99.43"/>
    <n v="2443"/>
    <n v="1"/>
    <n v="1"/>
  </r>
  <r>
    <m/>
    <m/>
    <x v="1"/>
    <s v="60626334001001"/>
    <n v="-15.709999999999999"/>
    <n v="378"/>
    <n v="2"/>
    <n v="1"/>
  </r>
  <r>
    <m/>
    <m/>
    <x v="1"/>
    <s v="60790565001008"/>
    <n v="-71.38"/>
    <n v="1717"/>
    <n v="2"/>
    <n v="1"/>
  </r>
  <r>
    <m/>
    <m/>
    <x v="1"/>
    <s v="60942818001007"/>
    <n v="-49.14"/>
    <n v="1129"/>
    <n v="2"/>
    <n v="1"/>
  </r>
  <r>
    <m/>
    <m/>
    <x v="1"/>
    <s v="61029624002001"/>
    <n v="-42.4"/>
    <n v="979"/>
    <n v="2"/>
    <n v="1"/>
  </r>
  <r>
    <m/>
    <m/>
    <x v="1"/>
    <s v="61096024001005"/>
    <n v="-60.67"/>
    <n v="1408"/>
    <n v="2"/>
    <n v="1"/>
  </r>
  <r>
    <m/>
    <m/>
    <x v="1"/>
    <s v="61107475001005"/>
    <n v="-0.35"/>
    <n v="8"/>
    <n v="2"/>
    <n v="1"/>
  </r>
  <r>
    <m/>
    <m/>
    <x v="1"/>
    <s v="61185457001001"/>
    <n v="-34.9"/>
    <n v="836"/>
    <n v="2"/>
    <n v="1"/>
  </r>
  <r>
    <m/>
    <m/>
    <x v="1"/>
    <s v="61201741001001"/>
    <n v="-17.670000000000002"/>
    <n v="396"/>
    <n v="2"/>
    <n v="1"/>
  </r>
  <r>
    <m/>
    <m/>
    <x v="1"/>
    <s v="61237473001001"/>
    <n v="-42.86"/>
    <n v="1053"/>
    <n v="1"/>
    <n v="1"/>
  </r>
  <r>
    <m/>
    <m/>
    <x v="1"/>
    <s v="61254120001004"/>
    <n v="-15.41"/>
    <n v="354"/>
    <n v="2"/>
    <n v="1"/>
  </r>
  <r>
    <m/>
    <m/>
    <x v="1"/>
    <s v="61309008001005"/>
    <n v="-22.76"/>
    <n v="510"/>
    <n v="2"/>
    <n v="1"/>
  </r>
  <r>
    <m/>
    <m/>
    <x v="1"/>
    <s v="61327383003001"/>
    <n v="-18.16"/>
    <n v="437"/>
    <n v="2"/>
    <n v="1"/>
  </r>
  <r>
    <m/>
    <m/>
    <x v="1"/>
    <s v="61446494004007"/>
    <n v="-13.23"/>
    <n v="304"/>
    <n v="2"/>
    <n v="1"/>
  </r>
  <r>
    <m/>
    <m/>
    <x v="1"/>
    <s v="61517595001002"/>
    <n v="-12.700000000000001"/>
    <n v="274"/>
    <n v="2"/>
    <n v="1"/>
  </r>
  <r>
    <m/>
    <m/>
    <x v="1"/>
    <s v="61553021001001"/>
    <n v="-54.769999999999996"/>
    <n v="1207"/>
    <n v="2"/>
    <n v="1"/>
  </r>
  <r>
    <m/>
    <m/>
    <x v="1"/>
    <s v="61590681001006"/>
    <n v="-9.83"/>
    <n v="227"/>
    <n v="2"/>
    <n v="1"/>
  </r>
  <r>
    <m/>
    <m/>
    <x v="1"/>
    <s v="61630580001002"/>
    <n v="-15.920000000000002"/>
    <n v="379"/>
    <n v="2"/>
    <n v="1"/>
  </r>
  <r>
    <m/>
    <m/>
    <x v="1"/>
    <s v="61690664001003"/>
    <n v="-14.09"/>
    <n v="337"/>
    <n v="2"/>
    <n v="1"/>
  </r>
  <r>
    <m/>
    <m/>
    <x v="1"/>
    <s v="61791165002003"/>
    <n v="-14.02"/>
    <n v="327"/>
    <n v="2"/>
    <n v="1"/>
  </r>
  <r>
    <m/>
    <m/>
    <x v="1"/>
    <s v="61792646001001"/>
    <n v="-64.69"/>
    <n v="1472"/>
    <n v="2"/>
    <n v="1"/>
  </r>
  <r>
    <m/>
    <m/>
    <x v="1"/>
    <s v="61831600002001"/>
    <n v="-64.27"/>
    <n v="1579"/>
    <n v="1"/>
    <n v="1"/>
  </r>
  <r>
    <m/>
    <m/>
    <x v="1"/>
    <s v="61880035001006"/>
    <n v="-71.72999999999999"/>
    <n v="1648"/>
    <n v="2"/>
    <n v="1"/>
  </r>
  <r>
    <m/>
    <m/>
    <x v="1"/>
    <s v="62065609001001"/>
    <n v="-49.93"/>
    <n v="1136"/>
    <n v="2"/>
    <n v="1"/>
  </r>
  <r>
    <m/>
    <m/>
    <x v="1"/>
    <s v="62089132001003"/>
    <n v="-20.58"/>
    <n v="495"/>
    <n v="2"/>
    <n v="1"/>
  </r>
  <r>
    <m/>
    <m/>
    <x v="1"/>
    <s v="62209532002001"/>
    <n v="-46.33"/>
    <n v="1021"/>
    <n v="2"/>
    <n v="1"/>
  </r>
  <r>
    <m/>
    <m/>
    <x v="1"/>
    <s v="62244159001003"/>
    <n v="-55.93"/>
    <n v="1285"/>
    <n v="2"/>
    <n v="1"/>
  </r>
  <r>
    <m/>
    <m/>
    <x v="1"/>
    <s v="62313382001001"/>
    <n v="-43.55"/>
    <n v="960"/>
    <n v="2"/>
    <n v="1"/>
  </r>
  <r>
    <m/>
    <m/>
    <x v="1"/>
    <s v="62406515001008"/>
    <n v="-43.180000000000007"/>
    <n v="992"/>
    <n v="2"/>
    <n v="1"/>
  </r>
  <r>
    <m/>
    <m/>
    <x v="1"/>
    <s v="62447696001001"/>
    <n v="-7.3199999999999994"/>
    <n v="170"/>
    <n v="2"/>
    <n v="1"/>
  </r>
  <r>
    <m/>
    <m/>
    <x v="1"/>
    <s v="62485672001001"/>
    <n v="-17.55"/>
    <n v="420"/>
    <n v="2"/>
    <n v="1"/>
  </r>
  <r>
    <m/>
    <m/>
    <x v="1"/>
    <s v="62590261001001"/>
    <n v="-19.759999999999998"/>
    <n v="454"/>
    <n v="2"/>
    <n v="1"/>
  </r>
  <r>
    <m/>
    <m/>
    <x v="1"/>
    <s v="62610781001004"/>
    <n v="-55.36"/>
    <n v="1318"/>
    <n v="2"/>
    <n v="1"/>
  </r>
  <r>
    <m/>
    <m/>
    <x v="1"/>
    <s v="62620561001002"/>
    <n v="-52.91"/>
    <n v="1244"/>
    <n v="2"/>
    <n v="1"/>
  </r>
  <r>
    <m/>
    <m/>
    <x v="1"/>
    <s v="62633524002001"/>
    <n v="-23.67"/>
    <n v="528"/>
    <n v="2"/>
    <n v="1"/>
  </r>
  <r>
    <m/>
    <m/>
    <x v="1"/>
    <s v="62682462001001"/>
    <n v="-99.679999999999993"/>
    <n v="2425"/>
    <n v="2"/>
    <n v="1"/>
  </r>
  <r>
    <m/>
    <m/>
    <x v="1"/>
    <s v="62691329005001"/>
    <n v="-73.95"/>
    <n v="1779"/>
    <n v="2"/>
    <n v="1"/>
  </r>
  <r>
    <m/>
    <m/>
    <x v="1"/>
    <s v="62717858001005"/>
    <n v="-11.27"/>
    <n v="277"/>
    <n v="1"/>
    <n v="1"/>
  </r>
  <r>
    <m/>
    <m/>
    <x v="1"/>
    <s v="62843836001005"/>
    <n v="-3.08"/>
    <n v="71"/>
    <n v="2"/>
    <n v="1"/>
  </r>
  <r>
    <m/>
    <m/>
    <x v="1"/>
    <s v="62912547001003"/>
    <n v="-60.28"/>
    <n v="1450"/>
    <n v="2"/>
    <n v="1"/>
  </r>
  <r>
    <m/>
    <m/>
    <x v="1"/>
    <s v="62945137001003"/>
    <n v="-82.18"/>
    <n v="1983"/>
    <n v="2"/>
    <n v="1"/>
  </r>
  <r>
    <m/>
    <m/>
    <x v="1"/>
    <s v="63046648001001"/>
    <n v="-19.37"/>
    <n v="476"/>
    <n v="1"/>
    <n v="1"/>
  </r>
  <r>
    <m/>
    <m/>
    <x v="1"/>
    <s v="63050925001004"/>
    <n v="-14.86"/>
    <n v="365"/>
    <n v="1"/>
    <n v="1"/>
  </r>
  <r>
    <m/>
    <m/>
    <x v="1"/>
    <s v="63172903002001"/>
    <n v="-11.91"/>
    <n v="285"/>
    <n v="2"/>
    <n v="1"/>
  </r>
  <r>
    <m/>
    <m/>
    <x v="1"/>
    <s v="63179517001005"/>
    <n v="-34.25"/>
    <n v="746"/>
    <n v="2"/>
    <n v="1"/>
  </r>
  <r>
    <m/>
    <m/>
    <x v="1"/>
    <s v="63202392001004"/>
    <n v="-15.010000000000002"/>
    <n v="324"/>
    <n v="2"/>
    <n v="1"/>
  </r>
  <r>
    <m/>
    <m/>
    <x v="1"/>
    <s v="63207813001001"/>
    <n v="-53.53"/>
    <n v="1236"/>
    <n v="2"/>
    <n v="1"/>
  </r>
  <r>
    <m/>
    <m/>
    <x v="1"/>
    <s v="63329115001002"/>
    <n v="-22.77"/>
    <n v="545"/>
    <n v="2"/>
    <n v="1"/>
  </r>
  <r>
    <m/>
    <m/>
    <x v="1"/>
    <s v="63415000003005"/>
    <n v="-45.86"/>
    <n v="1028"/>
    <n v="2"/>
    <n v="1"/>
  </r>
  <r>
    <m/>
    <m/>
    <x v="1"/>
    <s v="63432424001001"/>
    <n v="-80.09"/>
    <n v="1917"/>
    <n v="2"/>
    <n v="1"/>
  </r>
  <r>
    <m/>
    <m/>
    <x v="1"/>
    <s v="63448216001004"/>
    <n v="-48.19"/>
    <n v="1184"/>
    <n v="1"/>
    <n v="1"/>
  </r>
  <r>
    <m/>
    <m/>
    <x v="1"/>
    <s v="63451251001003"/>
    <n v="-21.28"/>
    <n v="489"/>
    <n v="2"/>
    <n v="1"/>
  </r>
  <r>
    <m/>
    <m/>
    <x v="1"/>
    <s v="63481341001004"/>
    <n v="-22.89"/>
    <n v="526"/>
    <n v="2"/>
    <n v="1"/>
  </r>
  <r>
    <m/>
    <m/>
    <x v="1"/>
    <s v="63536256001003"/>
    <n v="-3.01"/>
    <n v="69"/>
    <n v="2"/>
    <n v="1"/>
  </r>
  <r>
    <m/>
    <m/>
    <x v="1"/>
    <s v="63569005002001"/>
    <n v="-17.759999999999998"/>
    <n v="408"/>
    <n v="2"/>
    <n v="1"/>
  </r>
  <r>
    <m/>
    <m/>
    <x v="1"/>
    <s v="63572704001006"/>
    <n v="-23.56"/>
    <n v="561"/>
    <n v="2"/>
    <n v="1"/>
  </r>
  <r>
    <m/>
    <m/>
    <x v="1"/>
    <s v="63697179001006"/>
    <n v="-49.29"/>
    <n v="1211"/>
    <n v="1"/>
    <n v="1"/>
  </r>
  <r>
    <m/>
    <m/>
    <x v="1"/>
    <s v="63707556001001"/>
    <n v="-53.31"/>
    <n v="1225"/>
    <n v="2"/>
    <n v="1"/>
  </r>
  <r>
    <m/>
    <m/>
    <x v="1"/>
    <s v="63730275001001"/>
    <n v="-47.75"/>
    <n v="1060"/>
    <n v="2"/>
    <n v="1"/>
  </r>
  <r>
    <m/>
    <m/>
    <x v="1"/>
    <s v="63734655001004"/>
    <n v="-12.8"/>
    <n v="308"/>
    <n v="2"/>
    <n v="1"/>
  </r>
  <r>
    <m/>
    <m/>
    <x v="1"/>
    <s v="63836931001003"/>
    <n v="-16.64"/>
    <n v="359"/>
    <n v="2"/>
    <n v="1"/>
  </r>
  <r>
    <m/>
    <m/>
    <x v="1"/>
    <s v="63889252001005"/>
    <n v="-17.5"/>
    <n v="430"/>
    <n v="1"/>
    <n v="1"/>
  </r>
  <r>
    <m/>
    <m/>
    <x v="1"/>
    <s v="63921435001001"/>
    <n v="-55.94"/>
    <n v="1207"/>
    <n v="2"/>
    <n v="1"/>
  </r>
  <r>
    <m/>
    <m/>
    <x v="1"/>
    <s v="63997968001003"/>
    <n v="-73.22"/>
    <n v="1666"/>
    <n v="2"/>
    <n v="1"/>
  </r>
  <r>
    <m/>
    <m/>
    <x v="1"/>
    <s v="64085179001001"/>
    <n v="-38.99"/>
    <n v="958"/>
    <n v="1"/>
    <n v="1"/>
  </r>
  <r>
    <m/>
    <m/>
    <x v="1"/>
    <s v="64118220001004"/>
    <n v="-19.380000000000003"/>
    <n v="441"/>
    <n v="2"/>
    <n v="1"/>
  </r>
  <r>
    <m/>
    <m/>
    <x v="1"/>
    <s v="64119790001003"/>
    <n v="-2.48"/>
    <n v="57"/>
    <n v="2"/>
    <n v="1"/>
  </r>
  <r>
    <m/>
    <m/>
    <x v="1"/>
    <s v="64166284001002"/>
    <n v="-35.21"/>
    <n v="813"/>
    <n v="2"/>
    <n v="1"/>
  </r>
  <r>
    <m/>
    <m/>
    <x v="1"/>
    <s v="64227891001003"/>
    <n v="-52.95"/>
    <n v="1301"/>
    <n v="1"/>
    <n v="1"/>
  </r>
  <r>
    <m/>
    <m/>
    <x v="1"/>
    <s v="64243431001001"/>
    <n v="-46.83"/>
    <n v="1020"/>
    <n v="2"/>
    <n v="1"/>
  </r>
  <r>
    <m/>
    <m/>
    <x v="1"/>
    <s v="64352398001002"/>
    <n v="-29.02"/>
    <n v="713"/>
    <n v="1"/>
    <n v="1"/>
  </r>
  <r>
    <m/>
    <m/>
    <x v="1"/>
    <s v="64412831001001"/>
    <n v="-53.35"/>
    <n v="1214"/>
    <n v="2"/>
    <n v="1"/>
  </r>
  <r>
    <m/>
    <m/>
    <x v="1"/>
    <s v="64579615002001"/>
    <n v="-120.75"/>
    <n v="2720"/>
    <n v="2"/>
    <n v="1"/>
  </r>
  <r>
    <m/>
    <m/>
    <x v="1"/>
    <s v="64598979001001"/>
    <n v="-77.399999999999991"/>
    <n v="1883"/>
    <n v="2"/>
    <n v="1"/>
  </r>
  <r>
    <m/>
    <m/>
    <x v="1"/>
    <s v="64718002001001"/>
    <n v="-11.84"/>
    <n v="258"/>
    <n v="2"/>
    <n v="1"/>
  </r>
  <r>
    <m/>
    <m/>
    <x v="1"/>
    <s v="64744855003004"/>
    <n v="-9.44"/>
    <n v="219"/>
    <n v="2"/>
    <n v="1"/>
  </r>
  <r>
    <m/>
    <m/>
    <x v="1"/>
    <s v="64764760001001"/>
    <n v="-26.2"/>
    <n v="602"/>
    <n v="2"/>
    <n v="1"/>
  </r>
  <r>
    <m/>
    <m/>
    <x v="1"/>
    <s v="64815090001001"/>
    <n v="-5.66"/>
    <n v="139"/>
    <n v="1"/>
    <n v="1"/>
  </r>
  <r>
    <m/>
    <m/>
    <x v="1"/>
    <s v="64851960001004"/>
    <n v="-44.61"/>
    <n v="1073"/>
    <n v="2"/>
    <n v="1"/>
  </r>
  <r>
    <m/>
    <m/>
    <x v="1"/>
    <s v="64941226002005"/>
    <n v="-13.68"/>
    <n v="336"/>
    <n v="1"/>
    <n v="1"/>
  </r>
  <r>
    <m/>
    <m/>
    <x v="1"/>
    <s v="65005121001001"/>
    <n v="-20.57"/>
    <n v="461"/>
    <n v="2"/>
    <n v="1"/>
  </r>
  <r>
    <m/>
    <m/>
    <x v="1"/>
    <s v="65026421001002"/>
    <n v="-0.56000000000000005"/>
    <n v="13"/>
    <n v="2"/>
    <n v="1"/>
  </r>
  <r>
    <m/>
    <m/>
    <x v="1"/>
    <s v="65047530001001"/>
    <n v="-31.490000000000002"/>
    <n v="755"/>
    <n v="2"/>
    <n v="1"/>
  </r>
  <r>
    <m/>
    <m/>
    <x v="1"/>
    <s v="65237142002001"/>
    <n v="-51.1"/>
    <n v="1186"/>
    <n v="2"/>
    <n v="1"/>
  </r>
  <r>
    <m/>
    <m/>
    <x v="1"/>
    <s v="65270935001002"/>
    <n v="-39.56"/>
    <n v="909"/>
    <n v="2"/>
    <n v="1"/>
  </r>
  <r>
    <m/>
    <m/>
    <x v="1"/>
    <s v="65368514001004"/>
    <n v="-35.519999999999996"/>
    <n v="820"/>
    <n v="2"/>
    <n v="1"/>
  </r>
  <r>
    <m/>
    <m/>
    <x v="1"/>
    <s v="65369611001005"/>
    <n v="-7.1400000000000006"/>
    <n v="170"/>
    <n v="2"/>
    <n v="1"/>
  </r>
  <r>
    <m/>
    <m/>
    <x v="1"/>
    <s v="65622408001002"/>
    <n v="-50.47"/>
    <n v="1240"/>
    <n v="1"/>
    <n v="1"/>
  </r>
  <r>
    <m/>
    <m/>
    <x v="1"/>
    <s v="65628483001001"/>
    <n v="-13.94"/>
    <n v="302"/>
    <n v="2"/>
    <n v="1"/>
  </r>
  <r>
    <m/>
    <m/>
    <x v="1"/>
    <s v="65698533001004"/>
    <n v="-40.74"/>
    <n v="1001"/>
    <n v="1"/>
    <n v="1"/>
  </r>
  <r>
    <m/>
    <m/>
    <x v="1"/>
    <s v="65734956001007"/>
    <n v="-46.96"/>
    <n v="1119"/>
    <n v="2"/>
    <n v="1"/>
  </r>
  <r>
    <m/>
    <m/>
    <x v="1"/>
    <s v="65839251002007"/>
    <n v="-23.55"/>
    <n v="508"/>
    <n v="2"/>
    <n v="1"/>
  </r>
  <r>
    <m/>
    <m/>
    <x v="1"/>
    <s v="66113464003004"/>
    <n v="-10.29"/>
    <n v="222"/>
    <n v="2"/>
    <n v="1"/>
  </r>
  <r>
    <m/>
    <m/>
    <x v="1"/>
    <s v="66136740001003"/>
    <n v="-64.28"/>
    <n v="1448"/>
    <n v="2"/>
    <n v="1"/>
  </r>
  <r>
    <m/>
    <m/>
    <x v="1"/>
    <s v="66262731001003"/>
    <n v="-23.46"/>
    <n v="506"/>
    <n v="2"/>
    <n v="1"/>
  </r>
  <r>
    <m/>
    <m/>
    <x v="1"/>
    <s v="66418644001004"/>
    <n v="-30.36"/>
    <n v="714"/>
    <n v="2"/>
    <n v="1"/>
  </r>
  <r>
    <m/>
    <m/>
    <x v="1"/>
    <s v="66438713001007"/>
    <n v="-68.13"/>
    <n v="1674"/>
    <n v="1"/>
    <n v="1"/>
  </r>
  <r>
    <m/>
    <m/>
    <x v="1"/>
    <s v="66498540001001"/>
    <n v="-20.02"/>
    <n v="434"/>
    <n v="2"/>
    <n v="1"/>
  </r>
  <r>
    <m/>
    <m/>
    <x v="1"/>
    <s v="66541721002003"/>
    <n v="-28.59"/>
    <n v="657"/>
    <n v="2"/>
    <n v="1"/>
  </r>
  <r>
    <m/>
    <m/>
    <x v="1"/>
    <s v="66795559006001"/>
    <n v="-21.94"/>
    <n v="539"/>
    <n v="1"/>
    <n v="1"/>
  </r>
  <r>
    <m/>
    <m/>
    <x v="1"/>
    <s v="66924685002003"/>
    <n v="-19.64"/>
    <n v="438"/>
    <n v="2"/>
    <n v="1"/>
  </r>
  <r>
    <m/>
    <m/>
    <x v="1"/>
    <s v="67060193001001"/>
    <n v="-16.329999999999998"/>
    <n v="379"/>
    <n v="2"/>
    <n v="1"/>
  </r>
  <r>
    <m/>
    <m/>
    <x v="1"/>
    <s v="67083125001001"/>
    <n v="-38.58"/>
    <n v="948"/>
    <n v="1"/>
    <n v="1"/>
  </r>
  <r>
    <m/>
    <m/>
    <x v="1"/>
    <s v="67204908002001"/>
    <n v="-28.65"/>
    <n v="704"/>
    <n v="1"/>
    <n v="1"/>
  </r>
  <r>
    <m/>
    <m/>
    <x v="1"/>
    <s v="67271689001005"/>
    <n v="-32.380000000000003"/>
    <n v="744"/>
    <n v="2"/>
    <n v="1"/>
  </r>
  <r>
    <m/>
    <m/>
    <x v="1"/>
    <s v="67347226001001"/>
    <n v="-7.27"/>
    <n v="167"/>
    <n v="2"/>
    <n v="1"/>
  </r>
  <r>
    <m/>
    <m/>
    <x v="1"/>
    <s v="67399952001001"/>
    <n v="-75.91"/>
    <n v="1865"/>
    <n v="1"/>
    <n v="1"/>
  </r>
  <r>
    <m/>
    <m/>
    <x v="1"/>
    <s v="67401944001001"/>
    <n v="-89.45"/>
    <n v="2005"/>
    <n v="2"/>
    <n v="1"/>
  </r>
  <r>
    <m/>
    <m/>
    <x v="1"/>
    <s v="67440113001009"/>
    <n v="-22.04"/>
    <n v="480"/>
    <n v="2"/>
    <n v="1"/>
  </r>
  <r>
    <m/>
    <m/>
    <x v="1"/>
    <s v="67479940002009"/>
    <n v="-27.14"/>
    <n v="653"/>
    <n v="2"/>
    <n v="1"/>
  </r>
  <r>
    <m/>
    <m/>
    <x v="1"/>
    <s v="67629881002003"/>
    <n v="-26.14"/>
    <n v="564"/>
    <n v="2"/>
    <n v="1"/>
  </r>
  <r>
    <m/>
    <m/>
    <x v="1"/>
    <s v="67650637001001"/>
    <n v="-13.78"/>
    <n v="309"/>
    <n v="2"/>
    <n v="1"/>
  </r>
  <r>
    <m/>
    <m/>
    <x v="1"/>
    <s v="67738055001003"/>
    <n v="-22.83"/>
    <n v="561"/>
    <n v="1"/>
    <n v="1"/>
  </r>
  <r>
    <m/>
    <m/>
    <x v="1"/>
    <s v="67745822001001"/>
    <n v="-35.29"/>
    <n v="867"/>
    <n v="1"/>
    <n v="1"/>
  </r>
  <r>
    <m/>
    <m/>
    <x v="1"/>
    <s v="67782140001005"/>
    <n v="-12.58"/>
    <n v="309"/>
    <n v="1"/>
    <n v="1"/>
  </r>
  <r>
    <m/>
    <m/>
    <x v="1"/>
    <s v="67805859001001"/>
    <n v="-52.93"/>
    <n v="1216"/>
    <n v="2"/>
    <n v="1"/>
  </r>
  <r>
    <m/>
    <m/>
    <x v="1"/>
    <s v="67822527001001"/>
    <n v="-13.02"/>
    <n v="281"/>
    <n v="2"/>
    <n v="1"/>
  </r>
  <r>
    <m/>
    <m/>
    <x v="1"/>
    <s v="68031934001001"/>
    <n v="-27.96"/>
    <n v="609"/>
    <n v="2"/>
    <n v="1"/>
  </r>
  <r>
    <m/>
    <m/>
    <x v="1"/>
    <s v="68101697001005"/>
    <n v="-53.31"/>
    <n v="1225"/>
    <n v="2"/>
    <n v="1"/>
  </r>
  <r>
    <m/>
    <m/>
    <x v="1"/>
    <s v="68146477002001"/>
    <n v="-73.240000000000009"/>
    <n v="1722"/>
    <n v="2"/>
    <n v="1"/>
  </r>
  <r>
    <m/>
    <m/>
    <x v="1"/>
    <s v="68221241001001"/>
    <n v="-13.92"/>
    <n v="333"/>
    <n v="2"/>
    <n v="1"/>
  </r>
  <r>
    <m/>
    <m/>
    <x v="1"/>
    <s v="68251608001001"/>
    <n v="-5.9700000000000006"/>
    <n v="130"/>
    <n v="2"/>
    <n v="1"/>
  </r>
  <r>
    <m/>
    <m/>
    <x v="1"/>
    <s v="68261372001003"/>
    <n v="-6.1099999999999994"/>
    <n v="139"/>
    <n v="2"/>
    <n v="1"/>
  </r>
  <r>
    <m/>
    <m/>
    <x v="1"/>
    <s v="68326356001009"/>
    <n v="-32.9"/>
    <n v="710"/>
    <n v="2"/>
    <n v="1"/>
  </r>
  <r>
    <m/>
    <m/>
    <x v="1"/>
    <s v="68362600001007"/>
    <n v="-72.59"/>
    <n v="1728"/>
    <n v="2"/>
    <n v="1"/>
  </r>
  <r>
    <m/>
    <m/>
    <x v="1"/>
    <s v="68373597002003"/>
    <n v="-43.79"/>
    <n v="1006"/>
    <n v="2"/>
    <n v="1"/>
  </r>
  <r>
    <m/>
    <m/>
    <x v="1"/>
    <s v="68374425001001"/>
    <n v="-77.75"/>
    <n v="1880"/>
    <n v="2"/>
    <n v="1"/>
  </r>
  <r>
    <m/>
    <m/>
    <x v="1"/>
    <s v="68382740001008"/>
    <n v="-0.99"/>
    <n v="22"/>
    <n v="2"/>
    <n v="1"/>
  </r>
  <r>
    <m/>
    <m/>
    <x v="1"/>
    <s v="68400908001007"/>
    <n v="-80.78"/>
    <n v="1838"/>
    <n v="2"/>
    <n v="1"/>
  </r>
  <r>
    <m/>
    <m/>
    <x v="1"/>
    <s v="68441476001004"/>
    <n v="-52.01"/>
    <n v="1278"/>
    <n v="1"/>
    <n v="1"/>
  </r>
  <r>
    <m/>
    <m/>
    <x v="1"/>
    <s v="68497807001010"/>
    <n v="-33"/>
    <n v="712"/>
    <n v="2"/>
    <n v="1"/>
  </r>
  <r>
    <m/>
    <m/>
    <x v="1"/>
    <s v="68561006001001"/>
    <n v="-53.72"/>
    <n v="1320"/>
    <n v="1"/>
    <n v="1"/>
  </r>
  <r>
    <m/>
    <m/>
    <x v="1"/>
    <s v="68562129001001"/>
    <n v="-59.28"/>
    <n v="1419"/>
    <n v="2"/>
    <n v="1"/>
  </r>
  <r>
    <m/>
    <m/>
    <x v="1"/>
    <s v="68616474001004"/>
    <n v="-48.14"/>
    <n v="1106"/>
    <n v="2"/>
    <n v="1"/>
  </r>
  <r>
    <m/>
    <m/>
    <x v="1"/>
    <s v="68631709001005"/>
    <n v="-15.17"/>
    <n v="365"/>
    <n v="2"/>
    <n v="1"/>
  </r>
  <r>
    <m/>
    <m/>
    <x v="1"/>
    <s v="68665924002001"/>
    <n v="-42.55"/>
    <n v="918"/>
    <n v="2"/>
    <n v="1"/>
  </r>
  <r>
    <m/>
    <m/>
    <x v="1"/>
    <s v="68732877001001"/>
    <n v="-21.5"/>
    <n v="464"/>
    <n v="2"/>
    <n v="1"/>
  </r>
  <r>
    <m/>
    <m/>
    <x v="1"/>
    <s v="68845646002005"/>
    <n v="-26.74"/>
    <n v="657"/>
    <n v="1"/>
    <n v="1"/>
  </r>
  <r>
    <m/>
    <m/>
    <x v="1"/>
    <s v="68940427001001"/>
    <n v="-32.839999999999996"/>
    <n v="790"/>
    <n v="2"/>
    <n v="1"/>
  </r>
  <r>
    <m/>
    <m/>
    <x v="1"/>
    <s v="69000077001002"/>
    <n v="-70.460000000000008"/>
    <n v="1695"/>
    <n v="2"/>
    <n v="1"/>
  </r>
  <r>
    <m/>
    <m/>
    <x v="1"/>
    <s v="69028266002003"/>
    <n v="-14.25"/>
    <n v="350"/>
    <n v="1"/>
    <n v="1"/>
  </r>
  <r>
    <m/>
    <m/>
    <x v="1"/>
    <s v="69135376002001"/>
    <n v="-21.35"/>
    <n v="463"/>
    <n v="2"/>
    <n v="1"/>
  </r>
  <r>
    <m/>
    <m/>
    <x v="1"/>
    <s v="69175081002005"/>
    <n v="-55.78"/>
    <n v="1301"/>
    <n v="2"/>
    <n v="1"/>
  </r>
  <r>
    <m/>
    <m/>
    <x v="1"/>
    <s v="69212535001003"/>
    <n v="-31.49"/>
    <n v="686"/>
    <n v="2"/>
    <n v="1"/>
  </r>
  <r>
    <m/>
    <m/>
    <x v="1"/>
    <s v="69413741001001"/>
    <n v="-41.44"/>
    <n v="943"/>
    <n v="2"/>
    <n v="1"/>
  </r>
  <r>
    <m/>
    <m/>
    <x v="1"/>
    <s v="69455470001001"/>
    <n v="-41.84"/>
    <n v="1028"/>
    <n v="1"/>
    <n v="1"/>
  </r>
  <r>
    <m/>
    <m/>
    <x v="1"/>
    <s v="69552955001005"/>
    <n v="-22.56"/>
    <n v="489"/>
    <n v="2"/>
    <n v="1"/>
  </r>
  <r>
    <m/>
    <m/>
    <x v="1"/>
    <s v="69692573001005"/>
    <n v="-47.480000000000004"/>
    <n v="1091"/>
    <n v="2"/>
    <n v="1"/>
  </r>
  <r>
    <m/>
    <m/>
    <x v="1"/>
    <s v="69726976003004"/>
    <n v="-15.3"/>
    <n v="357"/>
    <n v="2"/>
    <n v="1"/>
  </r>
  <r>
    <m/>
    <m/>
    <x v="1"/>
    <s v="69758949003001"/>
    <n v="-1.08"/>
    <n v="26"/>
    <n v="2"/>
    <n v="1"/>
  </r>
  <r>
    <m/>
    <m/>
    <x v="1"/>
    <s v="69776815003001"/>
    <n v="-30.57"/>
    <n v="751"/>
    <n v="1"/>
    <n v="1"/>
  </r>
  <r>
    <m/>
    <m/>
    <x v="1"/>
    <s v="69778160001001"/>
    <n v="-40.449999999999996"/>
    <n v="881"/>
    <n v="2"/>
    <n v="1"/>
  </r>
  <r>
    <m/>
    <m/>
    <x v="1"/>
    <s v="69795270001001"/>
    <n v="-30.74"/>
    <n v="717"/>
    <n v="2"/>
    <n v="1"/>
  </r>
  <r>
    <m/>
    <m/>
    <x v="1"/>
    <s v="69856324001001"/>
    <n v="-0.73"/>
    <n v="16"/>
    <n v="2"/>
    <n v="1"/>
  </r>
  <r>
    <m/>
    <m/>
    <x v="1"/>
    <s v="69860350001003"/>
    <n v="-24.16"/>
    <n v="561"/>
    <n v="2"/>
    <n v="1"/>
  </r>
  <r>
    <m/>
    <m/>
    <x v="1"/>
    <s v="69932677002001"/>
    <n v="-59.74"/>
    <n v="1295"/>
    <n v="2"/>
    <n v="1"/>
  </r>
  <r>
    <m/>
    <m/>
    <x v="1"/>
    <s v="69952866001005"/>
    <n v="-2.4699999999999998"/>
    <n v="60"/>
    <n v="2"/>
    <n v="1"/>
  </r>
  <r>
    <m/>
    <m/>
    <x v="1"/>
    <s v="69991566001003"/>
    <n v="-42.92"/>
    <n v="1001"/>
    <n v="2"/>
    <n v="1"/>
  </r>
  <r>
    <m/>
    <m/>
    <x v="1"/>
    <s v="69998683001001"/>
    <n v="-28.25"/>
    <n v="694"/>
    <n v="1"/>
    <n v="1"/>
  </r>
  <r>
    <m/>
    <m/>
    <x v="1"/>
    <s v="70041367001007"/>
    <n v="-14.77"/>
    <n v="341"/>
    <n v="2"/>
    <n v="1"/>
  </r>
  <r>
    <m/>
    <m/>
    <x v="1"/>
    <s v="70196025001001"/>
    <n v="-12.200000000000001"/>
    <n v="297"/>
    <n v="2"/>
    <n v="1"/>
  </r>
  <r>
    <m/>
    <m/>
    <x v="1"/>
    <s v="70453399001001"/>
    <n v="-7.04"/>
    <n v="155"/>
    <n v="2"/>
    <n v="1"/>
  </r>
  <r>
    <m/>
    <m/>
    <x v="1"/>
    <s v="70468885005005"/>
    <n v="-25.88"/>
    <n v="616"/>
    <n v="2"/>
    <n v="1"/>
  </r>
  <r>
    <m/>
    <m/>
    <x v="1"/>
    <s v="70587997002003"/>
    <n v="-38.93"/>
    <n v="858"/>
    <n v="2"/>
    <n v="1"/>
  </r>
  <r>
    <m/>
    <m/>
    <x v="1"/>
    <s v="70593073001001"/>
    <n v="-36.99"/>
    <n v="798"/>
    <n v="2"/>
    <n v="1"/>
  </r>
  <r>
    <m/>
    <m/>
    <x v="1"/>
    <s v="70620955003003"/>
    <n v="-8.9499999999999993"/>
    <n v="195"/>
    <n v="2"/>
    <n v="1"/>
  </r>
  <r>
    <m/>
    <m/>
    <x v="1"/>
    <s v="70655150003008"/>
    <n v="-41.47"/>
    <n v="1019"/>
    <n v="1"/>
    <n v="1"/>
  </r>
  <r>
    <m/>
    <m/>
    <x v="1"/>
    <s v="70723544001001"/>
    <n v="-39.669999999999995"/>
    <n v="856"/>
    <n v="2"/>
    <n v="1"/>
  </r>
  <r>
    <m/>
    <m/>
    <x v="1"/>
    <s v="70761570001001"/>
    <n v="-18.579999999999998"/>
    <n v="445"/>
    <n v="2"/>
    <n v="1"/>
  </r>
  <r>
    <m/>
    <m/>
    <x v="1"/>
    <s v="70804751001003"/>
    <n v="-53.849999999999994"/>
    <n v="1266"/>
    <n v="2"/>
    <n v="1"/>
  </r>
  <r>
    <m/>
    <m/>
    <x v="1"/>
    <s v="70914149001001"/>
    <n v="-81.7"/>
    <n v="1955"/>
    <n v="2"/>
    <n v="1"/>
  </r>
  <r>
    <m/>
    <m/>
    <x v="1"/>
    <s v="70922853001003"/>
    <n v="-24.24"/>
    <n v="528"/>
    <n v="2"/>
    <n v="1"/>
  </r>
  <r>
    <m/>
    <m/>
    <x v="1"/>
    <s v="71047342001002"/>
    <n v="-40.159999999999997"/>
    <n v="961"/>
    <n v="2"/>
    <n v="1"/>
  </r>
  <r>
    <m/>
    <m/>
    <x v="1"/>
    <s v="71067872001007"/>
    <n v="-23.810000000000002"/>
    <n v="516"/>
    <n v="2"/>
    <n v="1"/>
  </r>
  <r>
    <m/>
    <m/>
    <x v="1"/>
    <s v="71079674002001"/>
    <n v="-14.69"/>
    <n v="361"/>
    <n v="1"/>
    <n v="1"/>
  </r>
  <r>
    <m/>
    <m/>
    <x v="1"/>
    <s v="71196011001009"/>
    <n v="-55.919999999999995"/>
    <n v="1212"/>
    <n v="2"/>
    <n v="1"/>
  </r>
  <r>
    <m/>
    <m/>
    <x v="1"/>
    <s v="71197984001001"/>
    <n v="-56.97"/>
    <n v="1277"/>
    <n v="2"/>
    <n v="1"/>
  </r>
  <r>
    <m/>
    <m/>
    <x v="1"/>
    <s v="71339719006001"/>
    <n v="-17.149999999999999"/>
    <n v="370"/>
    <n v="2"/>
    <n v="1"/>
  </r>
  <r>
    <m/>
    <m/>
    <x v="1"/>
    <s v="71391581006001"/>
    <n v="-58.93"/>
    <n v="1321"/>
    <n v="2"/>
    <n v="1"/>
  </r>
  <r>
    <m/>
    <m/>
    <x v="1"/>
    <s v="71502529001003"/>
    <n v="-8.74"/>
    <n v="204"/>
    <n v="2"/>
    <n v="1"/>
  </r>
  <r>
    <m/>
    <m/>
    <x v="1"/>
    <s v="71528185001004"/>
    <n v="-35.49"/>
    <n v="872"/>
    <n v="1"/>
    <n v="1"/>
  </r>
  <r>
    <m/>
    <m/>
    <x v="1"/>
    <s v="71649441001001"/>
    <n v="-49.230000000000004"/>
    <n v="1120"/>
    <n v="2"/>
    <n v="1"/>
  </r>
  <r>
    <m/>
    <m/>
    <x v="1"/>
    <s v="71730448002001"/>
    <n v="-6.92"/>
    <n v="170"/>
    <n v="1"/>
    <n v="1"/>
  </r>
  <r>
    <m/>
    <m/>
    <x v="1"/>
    <s v="71769014004002"/>
    <n v="-33.549999999999997"/>
    <n v="752"/>
    <n v="2"/>
    <n v="1"/>
  </r>
  <r>
    <m/>
    <m/>
    <x v="1"/>
    <s v="71824810001006"/>
    <n v="-62.15"/>
    <n v="1428"/>
    <n v="2"/>
    <n v="1"/>
  </r>
  <r>
    <m/>
    <m/>
    <x v="1"/>
    <s v="71833276001003"/>
    <n v="-5.4399999999999995"/>
    <n v="120"/>
    <n v="2"/>
    <n v="1"/>
  </r>
  <r>
    <m/>
    <m/>
    <x v="1"/>
    <s v="72034597001001"/>
    <n v="-49.019999999999996"/>
    <n v="1167"/>
    <n v="2"/>
    <n v="1"/>
  </r>
  <r>
    <m/>
    <m/>
    <x v="1"/>
    <s v="72074341001003"/>
    <n v="-108.37"/>
    <n v="2490"/>
    <n v="2"/>
    <n v="1"/>
  </r>
  <r>
    <m/>
    <m/>
    <x v="1"/>
    <s v="72106643001003"/>
    <n v="-61.05"/>
    <n v="1317"/>
    <n v="2"/>
    <n v="1"/>
  </r>
  <r>
    <m/>
    <m/>
    <x v="1"/>
    <s v="72163255001003"/>
    <n v="-15.59"/>
    <n v="371"/>
    <n v="2"/>
    <n v="1"/>
  </r>
  <r>
    <m/>
    <m/>
    <x v="1"/>
    <s v="72174875001001"/>
    <n v="-17.89"/>
    <n v="413"/>
    <n v="2"/>
    <n v="1"/>
  </r>
  <r>
    <m/>
    <m/>
    <x v="1"/>
    <s v="72209762001001"/>
    <n v="-2.48"/>
    <n v="61"/>
    <n v="1"/>
    <n v="1"/>
  </r>
  <r>
    <m/>
    <m/>
    <x v="1"/>
    <s v="72237773002003"/>
    <n v="-48.11"/>
    <n v="1182"/>
    <n v="1"/>
    <n v="1"/>
  </r>
  <r>
    <m/>
    <m/>
    <x v="1"/>
    <s v="72276334001008"/>
    <n v="-53.6"/>
    <n v="1317"/>
    <n v="1"/>
    <n v="1"/>
  </r>
  <r>
    <m/>
    <m/>
    <x v="1"/>
    <s v="72281719002001"/>
    <n v="-7.5"/>
    <n v="175"/>
    <n v="2"/>
    <n v="1"/>
  </r>
  <r>
    <m/>
    <m/>
    <x v="1"/>
    <s v="72339786001001"/>
    <n v="-40.090000000000003"/>
    <n v="985"/>
    <n v="1"/>
    <n v="1"/>
  </r>
  <r>
    <m/>
    <m/>
    <x v="1"/>
    <s v="72459581001010"/>
    <n v="-65.36"/>
    <n v="1606"/>
    <n v="1"/>
    <n v="1"/>
  </r>
  <r>
    <m/>
    <m/>
    <x v="1"/>
    <s v="72521223001005"/>
    <n v="-2.89"/>
    <n v="71"/>
    <n v="1"/>
    <n v="1"/>
  </r>
  <r>
    <m/>
    <m/>
    <x v="1"/>
    <s v="72634089001009"/>
    <n v="-36.340000000000003"/>
    <n v="801"/>
    <n v="2"/>
    <n v="1"/>
  </r>
  <r>
    <m/>
    <m/>
    <x v="1"/>
    <s v="72649617001013"/>
    <n v="-17.979999999999997"/>
    <n v="413"/>
    <n v="2"/>
    <n v="1"/>
  </r>
  <r>
    <m/>
    <m/>
    <x v="1"/>
    <s v="72668251001001"/>
    <n v="-51.14"/>
    <n v="1181"/>
    <n v="2"/>
    <n v="1"/>
  </r>
  <r>
    <m/>
    <m/>
    <x v="1"/>
    <s v="72693737001001"/>
    <n v="-48.129999999999995"/>
    <n v="1095"/>
    <n v="2"/>
    <n v="1"/>
  </r>
  <r>
    <m/>
    <m/>
    <x v="1"/>
    <s v="72779015001004"/>
    <n v="-56.84"/>
    <n v="1274"/>
    <n v="2"/>
    <n v="1"/>
  </r>
  <r>
    <m/>
    <m/>
    <x v="1"/>
    <s v="72889636001003"/>
    <n v="-66.2"/>
    <n v="1484"/>
    <n v="2"/>
    <n v="1"/>
  </r>
  <r>
    <m/>
    <m/>
    <x v="1"/>
    <s v="72946000004001"/>
    <n v="-61.62"/>
    <n v="1514"/>
    <n v="1"/>
    <n v="1"/>
  </r>
  <r>
    <m/>
    <m/>
    <x v="1"/>
    <s v="72993733003001"/>
    <n v="-45.01"/>
    <n v="1106"/>
    <n v="1"/>
    <n v="1"/>
  </r>
  <r>
    <m/>
    <m/>
    <x v="1"/>
    <s v="73073162002001"/>
    <n v="-9.2200000000000006"/>
    <n v="223"/>
    <n v="2"/>
    <n v="1"/>
  </r>
  <r>
    <m/>
    <m/>
    <x v="1"/>
    <s v="73088070001002"/>
    <n v="-4.58"/>
    <n v="100"/>
    <n v="2"/>
    <n v="1"/>
  </r>
  <r>
    <m/>
    <m/>
    <x v="1"/>
    <s v="73108651001003"/>
    <n v="-16.28"/>
    <n v="374"/>
    <n v="2"/>
    <n v="1"/>
  </r>
  <r>
    <m/>
    <m/>
    <x v="1"/>
    <s v="73173555001001"/>
    <n v="-45.2"/>
    <n v="1049"/>
    <n v="2"/>
    <n v="1"/>
  </r>
  <r>
    <m/>
    <m/>
    <x v="1"/>
    <s v="73183610001001"/>
    <n v="-33.53"/>
    <n v="816"/>
    <n v="2"/>
    <n v="1"/>
  </r>
  <r>
    <m/>
    <m/>
    <x v="1"/>
    <s v="73257691001002"/>
    <n v="-19.010000000000002"/>
    <n v="467"/>
    <n v="1"/>
    <n v="1"/>
  </r>
  <r>
    <m/>
    <m/>
    <x v="1"/>
    <s v="73396535001003"/>
    <n v="-19.37"/>
    <n v="420"/>
    <n v="2"/>
    <n v="1"/>
  </r>
  <r>
    <m/>
    <m/>
    <x v="1"/>
    <s v="73413066001003"/>
    <n v="-13.02"/>
    <n v="281"/>
    <n v="2"/>
    <n v="1"/>
  </r>
  <r>
    <m/>
    <m/>
    <x v="1"/>
    <s v="73477303001005"/>
    <n v="-9.57"/>
    <n v="221"/>
    <n v="2"/>
    <n v="1"/>
  </r>
  <r>
    <m/>
    <m/>
    <x v="1"/>
    <s v="73496965001001"/>
    <n v="-47.99"/>
    <n v="1179"/>
    <n v="1"/>
    <n v="1"/>
  </r>
  <r>
    <m/>
    <m/>
    <x v="1"/>
    <s v="73571632001001"/>
    <n v="-16.43"/>
    <n v="393"/>
    <n v="2"/>
    <n v="1"/>
  </r>
  <r>
    <m/>
    <m/>
    <x v="1"/>
    <s v="73718834002001"/>
    <n v="-43.760000000000005"/>
    <n v="1048"/>
    <n v="2"/>
    <n v="1"/>
  </r>
  <r>
    <m/>
    <m/>
    <x v="1"/>
    <s v="73774640001002"/>
    <n v="-34.520000000000003"/>
    <n v="752"/>
    <n v="2"/>
    <n v="1"/>
  </r>
  <r>
    <m/>
    <m/>
    <x v="1"/>
    <s v="73774824001005"/>
    <n v="-62.23"/>
    <n v="1505"/>
    <n v="2"/>
    <n v="1"/>
  </r>
  <r>
    <m/>
    <m/>
    <x v="1"/>
    <s v="73783764001001"/>
    <n v="-46.64"/>
    <n v="1146"/>
    <n v="1"/>
    <n v="1"/>
  </r>
  <r>
    <m/>
    <m/>
    <x v="1"/>
    <s v="73887552001001"/>
    <n v="-8.879999999999999"/>
    <n v="204"/>
    <n v="2"/>
    <n v="1"/>
  </r>
  <r>
    <m/>
    <m/>
    <x v="1"/>
    <s v="73935992001002"/>
    <n v="-78.95"/>
    <n v="1909"/>
    <n v="2"/>
    <n v="1"/>
  </r>
  <r>
    <m/>
    <m/>
    <x v="1"/>
    <s v="74037047001002"/>
    <n v="-28.71"/>
    <n v="687"/>
    <n v="2"/>
    <n v="1"/>
  </r>
  <r>
    <m/>
    <m/>
    <x v="1"/>
    <s v="74055933001001"/>
    <n v="-91.89"/>
    <n v="1992"/>
    <n v="2"/>
    <n v="1"/>
  </r>
  <r>
    <m/>
    <m/>
    <x v="1"/>
    <s v="74076340001003"/>
    <n v="-4.5599999999999996"/>
    <n v="112"/>
    <n v="1"/>
    <n v="1"/>
  </r>
  <r>
    <m/>
    <m/>
    <x v="1"/>
    <s v="74197454001001"/>
    <n v="-17.71"/>
    <n v="407"/>
    <n v="2"/>
    <n v="1"/>
  </r>
  <r>
    <m/>
    <m/>
    <x v="1"/>
    <s v="74242350003001"/>
    <n v="-27.209999999999997"/>
    <n v="651"/>
    <n v="2"/>
    <n v="1"/>
  </r>
  <r>
    <m/>
    <m/>
    <x v="1"/>
    <s v="74312616001001"/>
    <n v="-32.92"/>
    <n v="792"/>
    <n v="2"/>
    <n v="1"/>
  </r>
  <r>
    <m/>
    <m/>
    <x v="1"/>
    <s v="74322803001001"/>
    <n v="-24.58"/>
    <n v="551"/>
    <n v="2"/>
    <n v="1"/>
  </r>
  <r>
    <m/>
    <m/>
    <x v="1"/>
    <s v="74325215001001"/>
    <n v="-19.810000000000002"/>
    <n v="444"/>
    <n v="2"/>
    <n v="1"/>
  </r>
  <r>
    <m/>
    <m/>
    <x v="1"/>
    <s v="74349005002009"/>
    <n v="-12.879999999999999"/>
    <n v="278"/>
    <n v="2"/>
    <n v="1"/>
  </r>
  <r>
    <m/>
    <m/>
    <x v="1"/>
    <s v="74386329001002"/>
    <n v="-18.580000000000002"/>
    <n v="401"/>
    <n v="2"/>
    <n v="1"/>
  </r>
  <r>
    <m/>
    <m/>
    <x v="1"/>
    <s v="74429992001006"/>
    <n v="-26.659999999999997"/>
    <n v="638"/>
    <n v="2"/>
    <n v="1"/>
  </r>
  <r>
    <m/>
    <m/>
    <x v="1"/>
    <s v="74440719001001"/>
    <n v="-9.34"/>
    <n v="217"/>
    <n v="2"/>
    <n v="1"/>
  </r>
  <r>
    <m/>
    <m/>
    <x v="1"/>
    <s v="74467874001005"/>
    <n v="-10.67"/>
    <n v="254"/>
    <n v="2"/>
    <n v="1"/>
  </r>
  <r>
    <m/>
    <m/>
    <x v="1"/>
    <s v="74601184002001"/>
    <n v="-100.33"/>
    <n v="2465"/>
    <n v="1"/>
    <n v="1"/>
  </r>
  <r>
    <m/>
    <m/>
    <x v="1"/>
    <s v="74802804001001"/>
    <n v="-36.630000000000003"/>
    <n v="900"/>
    <n v="1"/>
    <n v="1"/>
  </r>
  <r>
    <m/>
    <m/>
    <x v="1"/>
    <s v="74897585001003"/>
    <n v="-52.38"/>
    <n v="1247"/>
    <n v="2"/>
    <n v="1"/>
  </r>
  <r>
    <m/>
    <m/>
    <x v="1"/>
    <s v="74921730001003"/>
    <n v="-27.62"/>
    <n v="596"/>
    <n v="2"/>
    <n v="1"/>
  </r>
  <r>
    <m/>
    <m/>
    <x v="1"/>
    <s v="74967292001001"/>
    <n v="-9.129999999999999"/>
    <n v="212"/>
    <n v="2"/>
    <n v="1"/>
  </r>
  <r>
    <m/>
    <m/>
    <x v="1"/>
    <s v="74985601001004"/>
    <n v="-40.71"/>
    <n v="957"/>
    <n v="2"/>
    <n v="1"/>
  </r>
  <r>
    <m/>
    <m/>
    <x v="1"/>
    <s v="75149375001006"/>
    <n v="-26.880000000000003"/>
    <n v="580"/>
    <n v="2"/>
    <n v="1"/>
  </r>
  <r>
    <m/>
    <m/>
    <x v="1"/>
    <s v="75195091001003"/>
    <n v="-24.25"/>
    <n v="560"/>
    <n v="2"/>
    <n v="1"/>
  </r>
  <r>
    <m/>
    <m/>
    <x v="1"/>
    <s v="75436572002003"/>
    <n v="-26.21"/>
    <n v="644"/>
    <n v="1"/>
    <n v="1"/>
  </r>
  <r>
    <m/>
    <m/>
    <x v="1"/>
    <s v="75453212001001"/>
    <n v="-11.84"/>
    <n v="257"/>
    <n v="2"/>
    <n v="1"/>
  </r>
  <r>
    <m/>
    <m/>
    <x v="1"/>
    <s v="75539286001003"/>
    <n v="-17.13"/>
    <n v="412"/>
    <n v="2"/>
    <n v="1"/>
  </r>
  <r>
    <m/>
    <m/>
    <x v="1"/>
    <s v="75656650001006"/>
    <n v="-38.56"/>
    <n v="832"/>
    <n v="2"/>
    <n v="1"/>
  </r>
  <r>
    <m/>
    <m/>
    <x v="1"/>
    <s v="75675274001003"/>
    <n v="-10.969999999999999"/>
    <n v="239"/>
    <n v="2"/>
    <n v="1"/>
  </r>
  <r>
    <m/>
    <m/>
    <x v="1"/>
    <s v="75758051001005"/>
    <n v="-32.93"/>
    <n v="809"/>
    <n v="1"/>
    <n v="1"/>
  </r>
  <r>
    <m/>
    <m/>
    <x v="1"/>
    <s v="75764971002001"/>
    <n v="-11.56"/>
    <n v="284"/>
    <n v="1"/>
    <n v="1"/>
  </r>
  <r>
    <m/>
    <m/>
    <x v="1"/>
    <s v="75795046001003"/>
    <n v="-29.27"/>
    <n v="656"/>
    <n v="2"/>
    <n v="1"/>
  </r>
  <r>
    <m/>
    <m/>
    <x v="1"/>
    <s v="75932167001003"/>
    <n v="-23.23"/>
    <n v="556"/>
    <n v="2"/>
    <n v="1"/>
  </r>
  <r>
    <m/>
    <m/>
    <x v="1"/>
    <s v="76010246001001"/>
    <n v="-23.48"/>
    <n v="509"/>
    <n v="2"/>
    <n v="1"/>
  </r>
  <r>
    <m/>
    <m/>
    <x v="1"/>
    <s v="76126934004001"/>
    <n v="-7.5"/>
    <n v="175"/>
    <n v="2"/>
    <n v="1"/>
  </r>
  <r>
    <m/>
    <m/>
    <x v="1"/>
    <s v="76169400001001"/>
    <n v="-17.259999999999998"/>
    <n v="374"/>
    <n v="2"/>
    <n v="1"/>
  </r>
  <r>
    <m/>
    <m/>
    <x v="1"/>
    <s v="76205410001002"/>
    <n v="-34.07"/>
    <n v="801"/>
    <n v="2"/>
    <n v="1"/>
  </r>
  <r>
    <m/>
    <m/>
    <x v="1"/>
    <s v="76321169001002"/>
    <n v="-27.909999999999997"/>
    <n v="635"/>
    <n v="2"/>
    <n v="1"/>
  </r>
  <r>
    <m/>
    <m/>
    <x v="1"/>
    <s v="76381196002001"/>
    <n v="-58.879999999999995"/>
    <n v="1353"/>
    <n v="2"/>
    <n v="1"/>
  </r>
  <r>
    <m/>
    <m/>
    <x v="1"/>
    <s v="76563942002003"/>
    <n v="-36.549999999999997"/>
    <n v="884"/>
    <n v="2"/>
    <n v="1"/>
  </r>
  <r>
    <m/>
    <m/>
    <x v="1"/>
    <s v="76608992001003"/>
    <n v="-31.34"/>
    <n v="770"/>
    <n v="1"/>
    <n v="1"/>
  </r>
  <r>
    <m/>
    <m/>
    <x v="1"/>
    <s v="76680484001004"/>
    <n v="-79.16"/>
    <n v="1945"/>
    <n v="1"/>
    <n v="1"/>
  </r>
  <r>
    <m/>
    <m/>
    <x v="1"/>
    <s v="76834821003003"/>
    <n v="-11.75"/>
    <n v="270"/>
    <n v="2"/>
    <n v="1"/>
  </r>
  <r>
    <m/>
    <m/>
    <x v="1"/>
    <s v="76840100001001"/>
    <n v="-46.25"/>
    <n v="1079"/>
    <n v="2"/>
    <n v="1"/>
  </r>
  <r>
    <m/>
    <m/>
    <x v="1"/>
    <s v="76893121001007"/>
    <n v="-27.96"/>
    <n v="687"/>
    <n v="1"/>
    <n v="1"/>
  </r>
  <r>
    <m/>
    <m/>
    <x v="1"/>
    <s v="76903196001004"/>
    <n v="-21.82"/>
    <n v="489"/>
    <n v="2"/>
    <n v="1"/>
  </r>
  <r>
    <m/>
    <m/>
    <x v="1"/>
    <s v="76944469001001"/>
    <n v="-48.43"/>
    <n v="1190"/>
    <n v="1"/>
    <n v="1"/>
  </r>
  <r>
    <m/>
    <m/>
    <x v="1"/>
    <s v="77028597002005"/>
    <n v="-14.51"/>
    <n v="349"/>
    <n v="2"/>
    <n v="1"/>
  </r>
  <r>
    <m/>
    <m/>
    <x v="1"/>
    <s v="77053776001001"/>
    <n v="-19.830000000000002"/>
    <n v="450"/>
    <n v="3"/>
    <n v="1"/>
  </r>
  <r>
    <m/>
    <m/>
    <x v="1"/>
    <s v="77098046002002"/>
    <n v="-20.7"/>
    <n v="493"/>
    <n v="2"/>
    <n v="1"/>
  </r>
  <r>
    <m/>
    <m/>
    <x v="1"/>
    <s v="77102966001003"/>
    <n v="-8.2100000000000009"/>
    <n v="187"/>
    <n v="2"/>
    <n v="1"/>
  </r>
  <r>
    <m/>
    <m/>
    <x v="1"/>
    <s v="77426157006001"/>
    <n v="-7.43"/>
    <n v="169"/>
    <n v="2"/>
    <n v="1"/>
  </r>
  <r>
    <m/>
    <m/>
    <x v="1"/>
    <s v="77464420009001"/>
    <n v="-29.71"/>
    <n v="730"/>
    <n v="1"/>
    <n v="1"/>
  </r>
  <r>
    <m/>
    <m/>
    <x v="1"/>
    <s v="77501830002003"/>
    <n v="-26.39"/>
    <n v="642"/>
    <n v="2"/>
    <n v="1"/>
  </r>
  <r>
    <m/>
    <m/>
    <x v="1"/>
    <s v="77681333001007"/>
    <n v="-38.42"/>
    <n v="944"/>
    <n v="1"/>
    <n v="1"/>
  </r>
  <r>
    <m/>
    <m/>
    <x v="1"/>
    <s v="77743243001001"/>
    <n v="-8.6999999999999993"/>
    <n v="195"/>
    <n v="2"/>
    <n v="1"/>
  </r>
  <r>
    <m/>
    <m/>
    <x v="1"/>
    <s v="77965715001003"/>
    <n v="-14.8"/>
    <n v="358"/>
    <n v="2"/>
    <n v="1"/>
  </r>
  <r>
    <m/>
    <m/>
    <x v="1"/>
    <s v="77965745001001"/>
    <n v="-34.19"/>
    <n v="840"/>
    <n v="1"/>
    <n v="1"/>
  </r>
  <r>
    <m/>
    <m/>
    <x v="1"/>
    <s v="78170608001003"/>
    <n v="-27.95"/>
    <n v="642"/>
    <n v="2"/>
    <n v="1"/>
  </r>
  <r>
    <m/>
    <m/>
    <x v="1"/>
    <s v="78288740003001"/>
    <n v="-117.28"/>
    <n v="2807"/>
    <n v="2"/>
    <n v="1"/>
  </r>
  <r>
    <m/>
    <m/>
    <x v="1"/>
    <s v="78305476001002"/>
    <n v="-38.730000000000004"/>
    <n v="890"/>
    <n v="2"/>
    <n v="1"/>
  </r>
  <r>
    <m/>
    <m/>
    <x v="1"/>
    <s v="78319567001011"/>
    <n v="-51.15"/>
    <n v="1164"/>
    <n v="2"/>
    <n v="1"/>
  </r>
  <r>
    <m/>
    <m/>
    <x v="1"/>
    <s v="78344001001008"/>
    <n v="-2.86"/>
    <n v="69"/>
    <n v="2"/>
    <n v="1"/>
  </r>
  <r>
    <m/>
    <m/>
    <x v="1"/>
    <s v="78408331001003"/>
    <n v="-47.33"/>
    <n v="1061"/>
    <n v="2"/>
    <n v="1"/>
  </r>
  <r>
    <m/>
    <m/>
    <x v="1"/>
    <s v="78621225002001"/>
    <n v="-44.97"/>
    <n v="1105"/>
    <n v="1"/>
    <n v="1"/>
  </r>
  <r>
    <m/>
    <m/>
    <x v="1"/>
    <s v="78709729003001"/>
    <n v="-45.230000000000004"/>
    <n v="1055"/>
    <n v="2"/>
    <n v="1"/>
  </r>
  <r>
    <m/>
    <m/>
    <x v="1"/>
    <s v="78933573001002"/>
    <n v="-49.930000000000007"/>
    <n v="1119"/>
    <n v="2"/>
    <n v="1"/>
  </r>
  <r>
    <m/>
    <m/>
    <x v="1"/>
    <s v="79021044002001"/>
    <n v="-43.81"/>
    <n v="982"/>
    <n v="2"/>
    <n v="1"/>
  </r>
  <r>
    <m/>
    <m/>
    <x v="1"/>
    <s v="79030418001001"/>
    <n v="-31.5"/>
    <n v="774"/>
    <n v="1"/>
    <n v="1"/>
  </r>
  <r>
    <m/>
    <m/>
    <x v="1"/>
    <s v="79100730002005"/>
    <n v="-8.31"/>
    <n v="180"/>
    <n v="2"/>
    <n v="1"/>
  </r>
  <r>
    <m/>
    <m/>
    <x v="1"/>
    <s v="79103866001003"/>
    <n v="-8.0299999999999994"/>
    <n v="175"/>
    <n v="2"/>
    <n v="1"/>
  </r>
  <r>
    <m/>
    <m/>
    <x v="1"/>
    <s v="79209847002003"/>
    <n v="-28.200000000000003"/>
    <n v="648"/>
    <n v="2"/>
    <n v="1"/>
  </r>
  <r>
    <m/>
    <m/>
    <x v="1"/>
    <s v="79262329001005"/>
    <n v="-34.89"/>
    <n v="760"/>
    <n v="2"/>
    <n v="1"/>
  </r>
  <r>
    <m/>
    <m/>
    <x v="1"/>
    <s v="79306812001001"/>
    <n v="-33.049999999999997"/>
    <n v="767"/>
    <n v="2"/>
    <n v="1"/>
  </r>
  <r>
    <m/>
    <m/>
    <x v="1"/>
    <s v="79543609001001"/>
    <n v="-22.51"/>
    <n v="507"/>
    <n v="2"/>
    <n v="1"/>
  </r>
  <r>
    <m/>
    <m/>
    <x v="1"/>
    <s v="79576446001001"/>
    <n v="-1.63"/>
    <n v="40"/>
    <n v="1"/>
    <n v="1"/>
  </r>
  <r>
    <m/>
    <m/>
    <x v="1"/>
    <s v="79692122001001"/>
    <n v="-53.11"/>
    <n v="1305"/>
    <n v="1"/>
    <n v="1"/>
  </r>
  <r>
    <m/>
    <m/>
    <x v="1"/>
    <s v="79770536002001"/>
    <n v="-62.39"/>
    <n v="1359"/>
    <n v="2"/>
    <n v="1"/>
  </r>
  <r>
    <m/>
    <m/>
    <x v="1"/>
    <s v="79923140001002"/>
    <n v="-110.51"/>
    <n v="2647"/>
    <n v="2"/>
    <n v="1"/>
  </r>
  <r>
    <m/>
    <m/>
    <x v="1"/>
    <s v="79955342001001"/>
    <n v="-56.7"/>
    <n v="1393"/>
    <n v="1"/>
    <n v="1"/>
  </r>
  <r>
    <m/>
    <m/>
    <x v="1"/>
    <s v="79992996001001"/>
    <n v="-60.820000000000007"/>
    <n v="1430"/>
    <n v="2"/>
    <n v="1"/>
  </r>
  <r>
    <m/>
    <m/>
    <x v="1"/>
    <s v="80342056002002"/>
    <n v="-23.6"/>
    <n v="514"/>
    <n v="2"/>
    <n v="1"/>
  </r>
  <r>
    <m/>
    <m/>
    <x v="1"/>
    <s v="80429336001003"/>
    <n v="-10.34"/>
    <n v="246"/>
    <n v="2"/>
    <n v="1"/>
  </r>
  <r>
    <m/>
    <m/>
    <x v="1"/>
    <s v="80469234001007"/>
    <n v="-34.97"/>
    <n v="837"/>
    <n v="2"/>
    <n v="1"/>
  </r>
  <r>
    <m/>
    <m/>
    <x v="1"/>
    <s v="80538341001002"/>
    <n v="-47.17"/>
    <n v="1159"/>
    <n v="1"/>
    <n v="1"/>
  </r>
  <r>
    <m/>
    <m/>
    <x v="1"/>
    <s v="80547178001002"/>
    <n v="-21.66"/>
    <n v="483"/>
    <n v="2"/>
    <n v="1"/>
  </r>
  <r>
    <m/>
    <m/>
    <x v="1"/>
    <s v="80550984001003"/>
    <n v="-48.18"/>
    <n v="1172"/>
    <n v="2"/>
    <n v="1"/>
  </r>
  <r>
    <m/>
    <m/>
    <x v="1"/>
    <s v="80568343004001"/>
    <n v="-33.04"/>
    <n v="713"/>
    <n v="2"/>
    <n v="1"/>
  </r>
  <r>
    <m/>
    <m/>
    <x v="1"/>
    <s v="80643686001001"/>
    <n v="-38.33"/>
    <n v="922"/>
    <n v="2"/>
    <n v="1"/>
  </r>
  <r>
    <m/>
    <m/>
    <x v="1"/>
    <s v="80745052001006"/>
    <n v="-5.98"/>
    <n v="147"/>
    <n v="1"/>
    <n v="1"/>
  </r>
  <r>
    <m/>
    <m/>
    <x v="1"/>
    <s v="80748492001001"/>
    <n v="-32.410000000000004"/>
    <n v="752"/>
    <n v="2"/>
    <n v="1"/>
  </r>
  <r>
    <m/>
    <m/>
    <x v="1"/>
    <s v="80829169004007"/>
    <n v="-71.349999999999994"/>
    <n v="1753"/>
    <n v="1"/>
    <n v="1"/>
  </r>
  <r>
    <m/>
    <m/>
    <x v="1"/>
    <s v="80917149001001"/>
    <n v="-16.34"/>
    <n v="395"/>
    <n v="2"/>
    <n v="1"/>
  </r>
  <r>
    <m/>
    <m/>
    <x v="1"/>
    <s v="80918426001002"/>
    <n v="-44.44"/>
    <n v="1021"/>
    <n v="2"/>
    <n v="1"/>
  </r>
  <r>
    <m/>
    <m/>
    <x v="1"/>
    <s v="80965084001001"/>
    <n v="-36.78"/>
    <n v="845"/>
    <n v="2"/>
    <n v="1"/>
  </r>
  <r>
    <m/>
    <m/>
    <x v="1"/>
    <s v="81092601001003"/>
    <n v="-46.25"/>
    <n v="1101"/>
    <n v="2"/>
    <n v="1"/>
  </r>
  <r>
    <m/>
    <m/>
    <x v="1"/>
    <s v="81235844001001"/>
    <n v="-34.020000000000003"/>
    <n v="814"/>
    <n v="2"/>
    <n v="1"/>
  </r>
  <r>
    <m/>
    <m/>
    <x v="1"/>
    <s v="81336263001001"/>
    <n v="-32.590000000000003"/>
    <n v="784"/>
    <n v="2"/>
    <n v="1"/>
  </r>
  <r>
    <m/>
    <m/>
    <x v="1"/>
    <s v="81376958001002"/>
    <n v="-74.550000000000011"/>
    <n v="1655"/>
    <n v="2"/>
    <n v="1"/>
  </r>
  <r>
    <m/>
    <m/>
    <x v="1"/>
    <s v="81498585001003"/>
    <n v="-6.96"/>
    <n v="160"/>
    <n v="2"/>
    <n v="1"/>
  </r>
  <r>
    <m/>
    <m/>
    <x v="1"/>
    <s v="81500226001001"/>
    <n v="-58.930000000000007"/>
    <n v="1341"/>
    <n v="2"/>
    <n v="1"/>
  </r>
  <r>
    <m/>
    <m/>
    <x v="1"/>
    <s v="81678039001001"/>
    <n v="-63.59"/>
    <n v="1450"/>
    <n v="2"/>
    <n v="1"/>
  </r>
  <r>
    <m/>
    <m/>
    <x v="1"/>
    <s v="81762889001004"/>
    <n v="-18.48"/>
    <n v="440"/>
    <n v="2"/>
    <n v="1"/>
  </r>
  <r>
    <m/>
    <m/>
    <x v="1"/>
    <s v="81782046001003"/>
    <n v="-5.98"/>
    <n v="136"/>
    <n v="2"/>
    <n v="1"/>
  </r>
  <r>
    <m/>
    <m/>
    <x v="1"/>
    <s v="81796976001002"/>
    <n v="-23.36"/>
    <n v="565"/>
    <n v="2"/>
    <n v="1"/>
  </r>
  <r>
    <m/>
    <m/>
    <x v="1"/>
    <s v="81908653002007"/>
    <n v="-60.8"/>
    <n v="1411"/>
    <n v="2"/>
    <n v="1"/>
  </r>
  <r>
    <m/>
    <m/>
    <x v="1"/>
    <s v="82001717001003"/>
    <n v="-6.92"/>
    <n v="159"/>
    <n v="3"/>
    <n v="1"/>
  </r>
  <r>
    <m/>
    <m/>
    <x v="1"/>
    <s v="82041298001001"/>
    <n v="-64.16"/>
    <n v="1431"/>
    <n v="2"/>
    <n v="1"/>
  </r>
  <r>
    <m/>
    <m/>
    <x v="1"/>
    <s v="82204885001007"/>
    <n v="-11.219999999999999"/>
    <n v="242"/>
    <n v="2"/>
    <n v="1"/>
  </r>
  <r>
    <m/>
    <m/>
    <x v="1"/>
    <s v="82503971001003"/>
    <n v="-32.75"/>
    <n v="710"/>
    <n v="2"/>
    <n v="1"/>
  </r>
  <r>
    <m/>
    <m/>
    <x v="1"/>
    <s v="82551362001001"/>
    <n v="-11.53"/>
    <n v="256"/>
    <n v="2"/>
    <n v="1"/>
  </r>
  <r>
    <m/>
    <m/>
    <x v="1"/>
    <s v="82713739001001"/>
    <n v="-3.05"/>
    <n v="75"/>
    <n v="1"/>
    <n v="1"/>
  </r>
  <r>
    <m/>
    <m/>
    <x v="1"/>
    <s v="82742339002001"/>
    <n v="-71.06"/>
    <n v="1649"/>
    <n v="2"/>
    <n v="1"/>
  </r>
  <r>
    <m/>
    <m/>
    <x v="1"/>
    <s v="82768682001003"/>
    <n v="-24.55"/>
    <n v="553"/>
    <n v="2"/>
    <n v="1"/>
  </r>
  <r>
    <m/>
    <m/>
    <x v="1"/>
    <s v="82896055001001"/>
    <n v="-20.369999999999997"/>
    <n v="488"/>
    <n v="2"/>
    <n v="1"/>
  </r>
  <r>
    <m/>
    <m/>
    <x v="1"/>
    <s v="82908452001002"/>
    <n v="-1.34"/>
    <n v="33"/>
    <n v="1"/>
    <n v="1"/>
  </r>
  <r>
    <m/>
    <m/>
    <x v="1"/>
    <s v="82995786002003"/>
    <n v="-29.34"/>
    <n v="639"/>
    <n v="2"/>
    <n v="1"/>
  </r>
  <r>
    <m/>
    <m/>
    <x v="1"/>
    <s v="83009929002001"/>
    <n v="-76.02000000000001"/>
    <n v="1829"/>
    <n v="2"/>
    <n v="1"/>
  </r>
  <r>
    <m/>
    <m/>
    <x v="1"/>
    <s v="83035336005001"/>
    <n v="-16.63"/>
    <n v="371"/>
    <n v="3"/>
    <n v="1"/>
  </r>
  <r>
    <m/>
    <m/>
    <x v="1"/>
    <s v="83058315001003"/>
    <n v="-60.68"/>
    <n v="1491"/>
    <n v="1"/>
    <n v="1"/>
  </r>
  <r>
    <m/>
    <m/>
    <x v="1"/>
    <s v="83298969001003"/>
    <n v="-6.32"/>
    <n v="145"/>
    <n v="2"/>
    <n v="1"/>
  </r>
  <r>
    <m/>
    <m/>
    <x v="1"/>
    <s v="83316320002001"/>
    <n v="-29.93"/>
    <n v="681"/>
    <n v="2"/>
    <n v="1"/>
  </r>
  <r>
    <m/>
    <m/>
    <x v="1"/>
    <s v="83336149003004"/>
    <n v="-6.49"/>
    <n v="149"/>
    <n v="2"/>
    <n v="1"/>
  </r>
  <r>
    <m/>
    <m/>
    <x v="1"/>
    <s v="83430858001001"/>
    <n v="-30.84"/>
    <n v="742"/>
    <n v="2"/>
    <n v="1"/>
  </r>
  <r>
    <m/>
    <m/>
    <x v="1"/>
    <s v="83532056001002"/>
    <n v="-5.19"/>
    <n v="112"/>
    <n v="2"/>
    <n v="1"/>
  </r>
  <r>
    <m/>
    <m/>
    <x v="1"/>
    <s v="83534984001009"/>
    <n v="-27.880000000000003"/>
    <n v="628"/>
    <n v="2"/>
    <n v="1"/>
  </r>
  <r>
    <m/>
    <m/>
    <x v="1"/>
    <s v="83590012003001"/>
    <n v="-45.34"/>
    <n v="1114"/>
    <n v="1"/>
    <n v="1"/>
  </r>
  <r>
    <m/>
    <m/>
    <x v="1"/>
    <s v="83638855001001"/>
    <n v="-61.25"/>
    <n v="1334"/>
    <n v="2"/>
    <n v="1"/>
  </r>
  <r>
    <m/>
    <m/>
    <x v="1"/>
    <s v="83665512001001"/>
    <n v="-74.27"/>
    <n v="1807"/>
    <n v="2"/>
    <n v="1"/>
  </r>
  <r>
    <m/>
    <m/>
    <x v="1"/>
    <s v="83822694001003"/>
    <n v="-0.8600000000000001"/>
    <n v="20"/>
    <n v="2"/>
    <n v="1"/>
  </r>
  <r>
    <m/>
    <m/>
    <x v="1"/>
    <s v="83921448001001"/>
    <n v="-96.56"/>
    <n v="2241"/>
    <n v="2"/>
    <n v="1"/>
  </r>
  <r>
    <m/>
    <m/>
    <x v="1"/>
    <s v="83926751003001"/>
    <n v="-37.18"/>
    <n v="846"/>
    <n v="2"/>
    <n v="1"/>
  </r>
  <r>
    <m/>
    <m/>
    <x v="1"/>
    <s v="83985151001001"/>
    <n v="-72.61"/>
    <n v="1784"/>
    <n v="1"/>
    <n v="1"/>
  </r>
  <r>
    <m/>
    <m/>
    <x v="1"/>
    <s v="84171103003001"/>
    <n v="-66.099999999999994"/>
    <n v="1624"/>
    <n v="1"/>
    <n v="1"/>
  </r>
  <r>
    <m/>
    <m/>
    <x v="1"/>
    <s v="84172805003001"/>
    <n v="-40.61"/>
    <n v="933"/>
    <n v="2"/>
    <n v="1"/>
  </r>
  <r>
    <m/>
    <m/>
    <x v="1"/>
    <s v="84270072001001"/>
    <n v="-40.78"/>
    <n v="937"/>
    <n v="2"/>
    <n v="1"/>
  </r>
  <r>
    <m/>
    <m/>
    <x v="1"/>
    <s v="84291714001001"/>
    <n v="-60.78"/>
    <n v="1470"/>
    <n v="2"/>
    <n v="1"/>
  </r>
  <r>
    <m/>
    <m/>
    <x v="1"/>
    <s v="84323944001003"/>
    <n v="-49.04"/>
    <n v="1186"/>
    <n v="2"/>
    <n v="1"/>
  </r>
  <r>
    <m/>
    <m/>
    <x v="1"/>
    <s v="84341077001001"/>
    <n v="-33.17"/>
    <n v="815"/>
    <n v="1"/>
    <n v="1"/>
  </r>
  <r>
    <m/>
    <m/>
    <x v="1"/>
    <s v="84393062001001"/>
    <n v="-32.08"/>
    <n v="719"/>
    <n v="2"/>
    <n v="1"/>
  </r>
  <r>
    <m/>
    <m/>
    <x v="1"/>
    <s v="84505506001001"/>
    <n v="-6.62"/>
    <n v="160"/>
    <n v="2"/>
    <n v="1"/>
  </r>
  <r>
    <m/>
    <m/>
    <x v="1"/>
    <s v="84762200002001"/>
    <n v="-47.01"/>
    <n v="1155"/>
    <n v="1"/>
    <n v="1"/>
  </r>
  <r>
    <m/>
    <m/>
    <x v="1"/>
    <s v="84892204001006"/>
    <n v="-30.03"/>
    <n v="651"/>
    <n v="2"/>
    <n v="1"/>
  </r>
  <r>
    <m/>
    <m/>
    <x v="1"/>
    <s v="84915098001001"/>
    <n v="-21.61"/>
    <n v="531"/>
    <n v="1"/>
    <n v="1"/>
  </r>
  <r>
    <m/>
    <m/>
    <x v="1"/>
    <s v="84961216001001"/>
    <n v="-22.51"/>
    <n v="553"/>
    <n v="1"/>
    <n v="1"/>
  </r>
  <r>
    <m/>
    <m/>
    <x v="1"/>
    <s v="85026024001001"/>
    <n v="-17.100000000000001"/>
    <n v="397"/>
    <n v="2"/>
    <n v="1"/>
  </r>
  <r>
    <m/>
    <m/>
    <x v="1"/>
    <s v="85036880003001"/>
    <n v="-5.92"/>
    <n v="136"/>
    <n v="2"/>
    <n v="1"/>
  </r>
  <r>
    <m/>
    <m/>
    <x v="1"/>
    <s v="85145810002001"/>
    <n v="-61.58"/>
    <n v="1513"/>
    <n v="1"/>
    <n v="1"/>
  </r>
  <r>
    <m/>
    <m/>
    <x v="1"/>
    <s v="85220903001001"/>
    <n v="-4.4000000000000004"/>
    <n v="108"/>
    <n v="1"/>
    <n v="1"/>
  </r>
  <r>
    <m/>
    <m/>
    <x v="1"/>
    <s v="85361201001008"/>
    <n v="-17.62"/>
    <n v="433"/>
    <n v="1"/>
    <n v="1"/>
  </r>
  <r>
    <m/>
    <m/>
    <x v="1"/>
    <s v="85368082001007"/>
    <n v="-20.520000000000003"/>
    <n v="474"/>
    <n v="2"/>
    <n v="1"/>
  </r>
  <r>
    <m/>
    <m/>
    <x v="1"/>
    <s v="85443154001001"/>
    <n v="-25.91"/>
    <n v="559"/>
    <n v="2"/>
    <n v="1"/>
  </r>
  <r>
    <m/>
    <m/>
    <x v="1"/>
    <s v="85593168001001"/>
    <n v="-82.34"/>
    <n v="1828"/>
    <n v="2"/>
    <n v="1"/>
  </r>
  <r>
    <m/>
    <m/>
    <x v="1"/>
    <s v="85607571003001"/>
    <n v="-42.4"/>
    <n v="979"/>
    <n v="2"/>
    <n v="1"/>
  </r>
  <r>
    <m/>
    <m/>
    <x v="1"/>
    <s v="85645329001001"/>
    <n v="-1.1000000000000001"/>
    <n v="25"/>
    <n v="2"/>
    <n v="1"/>
  </r>
  <r>
    <m/>
    <m/>
    <x v="1"/>
    <s v="85663723001011"/>
    <n v="-12.29"/>
    <n v="265"/>
    <n v="2"/>
    <n v="1"/>
  </r>
  <r>
    <m/>
    <m/>
    <x v="1"/>
    <s v="85691100003003"/>
    <n v="-18.48"/>
    <n v="454"/>
    <n v="1"/>
    <n v="1"/>
  </r>
  <r>
    <m/>
    <m/>
    <x v="1"/>
    <s v="85820968001001"/>
    <n v="-28.11"/>
    <n v="649"/>
    <n v="2"/>
    <n v="1"/>
  </r>
  <r>
    <m/>
    <m/>
    <x v="1"/>
    <s v="85887194001001"/>
    <n v="-18.22"/>
    <n v="436"/>
    <n v="2"/>
    <n v="1"/>
  </r>
  <r>
    <m/>
    <m/>
    <x v="1"/>
    <s v="86054286001001"/>
    <n v="-22.96"/>
    <n v="550"/>
    <n v="2"/>
    <n v="1"/>
  </r>
  <r>
    <m/>
    <m/>
    <x v="1"/>
    <s v="86084151001007"/>
    <n v="-22.63"/>
    <n v="520"/>
    <n v="2"/>
    <n v="1"/>
  </r>
  <r>
    <m/>
    <m/>
    <x v="1"/>
    <s v="86404752001003"/>
    <n v="-61.93"/>
    <n v="1336"/>
    <n v="2"/>
    <n v="1"/>
  </r>
  <r>
    <m/>
    <m/>
    <x v="1"/>
    <s v="86408131001004"/>
    <n v="-34.31"/>
    <n v="773"/>
    <n v="2"/>
    <n v="1"/>
  </r>
  <r>
    <m/>
    <m/>
    <x v="1"/>
    <s v="86420880001004"/>
    <n v="-120.51"/>
    <n v="2961"/>
    <n v="1"/>
    <n v="1"/>
  </r>
  <r>
    <m/>
    <m/>
    <x v="1"/>
    <s v="86557042001001"/>
    <n v="-54.54"/>
    <n v="1312"/>
    <n v="2"/>
    <n v="1"/>
  </r>
  <r>
    <m/>
    <m/>
    <x v="1"/>
    <s v="86628477001001"/>
    <n v="-30.32"/>
    <n v="683"/>
    <n v="2"/>
    <n v="1"/>
  </r>
  <r>
    <m/>
    <m/>
    <x v="1"/>
    <s v="86693437001005"/>
    <n v="-62.85"/>
    <n v="1356"/>
    <n v="2"/>
    <n v="1"/>
  </r>
  <r>
    <m/>
    <m/>
    <x v="1"/>
    <s v="86709161001013"/>
    <n v="-1.2999999999999998"/>
    <n v="30"/>
    <n v="2"/>
    <n v="1"/>
  </r>
  <r>
    <m/>
    <m/>
    <x v="1"/>
    <s v="86736871001001"/>
    <n v="-36.04"/>
    <n v="820"/>
    <n v="2"/>
    <n v="1"/>
  </r>
  <r>
    <m/>
    <m/>
    <x v="1"/>
    <s v="86973909002001"/>
    <n v="-26.89"/>
    <n v="621"/>
    <n v="2"/>
    <n v="1"/>
  </r>
  <r>
    <m/>
    <m/>
    <x v="1"/>
    <s v="86983732001001"/>
    <n v="-85.84"/>
    <n v="1953"/>
    <n v="2"/>
    <n v="1"/>
  </r>
  <r>
    <m/>
    <m/>
    <x v="1"/>
    <s v="86997021001001"/>
    <n v="-23.34"/>
    <n v="539"/>
    <n v="2"/>
    <n v="1"/>
  </r>
  <r>
    <m/>
    <m/>
    <x v="1"/>
    <s v="87014077001006"/>
    <n v="-65.490000000000009"/>
    <n v="1520"/>
    <n v="2"/>
    <n v="1"/>
  </r>
  <r>
    <m/>
    <m/>
    <x v="1"/>
    <s v="87070925001002"/>
    <n v="-36.35"/>
    <n v="879"/>
    <n v="2"/>
    <n v="1"/>
  </r>
  <r>
    <m/>
    <m/>
    <x v="1"/>
    <s v="87236238001001"/>
    <n v="-32.6"/>
    <n v="710"/>
    <n v="2"/>
    <n v="1"/>
  </r>
  <r>
    <m/>
    <m/>
    <x v="1"/>
    <s v="87251090001001"/>
    <n v="-52.69"/>
    <n v="1262"/>
    <n v="2"/>
    <n v="1"/>
  </r>
  <r>
    <m/>
    <m/>
    <x v="1"/>
    <s v="87298950001009"/>
    <n v="-21.54"/>
    <n v="495"/>
    <n v="2"/>
    <n v="1"/>
  </r>
  <r>
    <m/>
    <m/>
    <x v="1"/>
    <s v="87315623001002"/>
    <n v="-23.450000000000003"/>
    <n v="547"/>
    <n v="2"/>
    <n v="1"/>
  </r>
  <r>
    <m/>
    <m/>
    <x v="1"/>
    <s v="87361385001003"/>
    <n v="-56.2"/>
    <n v="1352"/>
    <n v="2"/>
    <n v="1"/>
  </r>
  <r>
    <m/>
    <m/>
    <x v="1"/>
    <s v="87375744001001"/>
    <n v="-34.35"/>
    <n v="770"/>
    <n v="2"/>
    <n v="1"/>
  </r>
  <r>
    <m/>
    <m/>
    <x v="1"/>
    <s v="87496467002001"/>
    <n v="-48.8"/>
    <n v="1174"/>
    <n v="2"/>
    <n v="1"/>
  </r>
  <r>
    <m/>
    <m/>
    <x v="1"/>
    <s v="87518854002005"/>
    <n v="-31.860000000000003"/>
    <n v="775"/>
    <n v="2"/>
    <n v="1"/>
  </r>
  <r>
    <m/>
    <m/>
    <x v="1"/>
    <s v="87551644002001"/>
    <n v="-20.53"/>
    <n v="443"/>
    <n v="2"/>
    <n v="1"/>
  </r>
  <r>
    <m/>
    <m/>
    <x v="1"/>
    <s v="87567739001004"/>
    <n v="-33.129999999999995"/>
    <n v="769"/>
    <n v="2"/>
    <n v="1"/>
  </r>
  <r>
    <m/>
    <m/>
    <x v="1"/>
    <s v="87582546001007"/>
    <n v="-55.15"/>
    <n v="1355"/>
    <n v="1"/>
    <n v="1"/>
  </r>
  <r>
    <m/>
    <m/>
    <x v="1"/>
    <s v="87672343001003"/>
    <n v="-24.79"/>
    <n v="609"/>
    <n v="1"/>
    <n v="1"/>
  </r>
  <r>
    <m/>
    <m/>
    <x v="1"/>
    <s v="87750579001001"/>
    <n v="-18.5"/>
    <n v="421"/>
    <n v="2"/>
    <n v="1"/>
  </r>
  <r>
    <m/>
    <m/>
    <x v="1"/>
    <s v="87810851004003"/>
    <n v="-88.87"/>
    <n v="1973"/>
    <n v="2"/>
    <n v="1"/>
  </r>
  <r>
    <m/>
    <m/>
    <x v="1"/>
    <s v="87876958001001"/>
    <n v="-42.83"/>
    <n v="1007"/>
    <n v="2"/>
    <n v="1"/>
  </r>
  <r>
    <m/>
    <m/>
    <x v="1"/>
    <s v="87919824001001"/>
    <n v="-91.86"/>
    <n v="2257"/>
    <n v="1"/>
    <n v="1"/>
  </r>
  <r>
    <m/>
    <m/>
    <x v="1"/>
    <s v="87972562001003"/>
    <n v="-11.959999999999999"/>
    <n v="258"/>
    <n v="2"/>
    <n v="1"/>
  </r>
  <r>
    <m/>
    <m/>
    <x v="1"/>
    <s v="88017121001002"/>
    <n v="-43.56"/>
    <n v="1048"/>
    <n v="2"/>
    <n v="1"/>
  </r>
  <r>
    <m/>
    <m/>
    <x v="1"/>
    <s v="88063060001002"/>
    <n v="-74.650000000000006"/>
    <n v="1796"/>
    <n v="2"/>
    <n v="1"/>
  </r>
  <r>
    <m/>
    <m/>
    <x v="1"/>
    <s v="88063563001006"/>
    <n v="-62.68"/>
    <n v="1540"/>
    <n v="1"/>
    <n v="1"/>
  </r>
  <r>
    <m/>
    <m/>
    <x v="1"/>
    <s v="88122486001001"/>
    <n v="-27.5"/>
    <n v="632"/>
    <n v="2"/>
    <n v="1"/>
  </r>
  <r>
    <m/>
    <m/>
    <x v="1"/>
    <s v="88142806002001"/>
    <n v="-55.36"/>
    <n v="1332"/>
    <n v="2"/>
    <n v="1"/>
  </r>
  <r>
    <m/>
    <m/>
    <x v="1"/>
    <s v="88196768003001"/>
    <n v="-56.41"/>
    <n v="1351"/>
    <n v="2"/>
    <n v="1"/>
  </r>
  <r>
    <m/>
    <m/>
    <x v="1"/>
    <s v="88304092001001"/>
    <n v="-8.85"/>
    <n v="191"/>
    <n v="2"/>
    <n v="1"/>
  </r>
  <r>
    <m/>
    <m/>
    <x v="1"/>
    <s v="88484707001005"/>
    <n v="-9.98"/>
    <n v="227"/>
    <n v="2"/>
    <n v="1"/>
  </r>
  <r>
    <m/>
    <m/>
    <x v="1"/>
    <s v="88560211001003"/>
    <n v="-27.450000000000003"/>
    <n v="637"/>
    <n v="2"/>
    <n v="1"/>
  </r>
  <r>
    <m/>
    <m/>
    <x v="1"/>
    <s v="88573270001001"/>
    <n v="-41.44"/>
    <n v="952"/>
    <n v="2"/>
    <n v="1"/>
  </r>
  <r>
    <m/>
    <m/>
    <x v="1"/>
    <s v="88732713001004"/>
    <n v="-35.74"/>
    <n v="821"/>
    <n v="2"/>
    <n v="1"/>
  </r>
  <r>
    <m/>
    <m/>
    <x v="1"/>
    <s v="88756758002012"/>
    <n v="-0.19"/>
    <n v="4"/>
    <n v="1"/>
    <n v="1"/>
  </r>
  <r>
    <m/>
    <m/>
    <x v="1"/>
    <s v="88772979001005"/>
    <n v="-8.83"/>
    <n v="217"/>
    <n v="1"/>
    <n v="1"/>
  </r>
  <r>
    <m/>
    <m/>
    <x v="1"/>
    <s v="88908327001003"/>
    <n v="-40.04"/>
    <n v="920"/>
    <n v="2"/>
    <n v="1"/>
  </r>
  <r>
    <m/>
    <m/>
    <x v="1"/>
    <s v="89037466001001"/>
    <n v="-3.58"/>
    <n v="85"/>
    <n v="2"/>
    <n v="1"/>
  </r>
  <r>
    <m/>
    <m/>
    <x v="1"/>
    <s v="89105915001001"/>
    <n v="-165.69"/>
    <n v="4071"/>
    <n v="1"/>
    <n v="1"/>
  </r>
  <r>
    <m/>
    <m/>
    <x v="1"/>
    <s v="89107006001001"/>
    <n v="-32.47"/>
    <n v="746"/>
    <n v="2"/>
    <n v="1"/>
  </r>
  <r>
    <m/>
    <m/>
    <x v="1"/>
    <s v="89184529001001"/>
    <n v="-54.65"/>
    <n v="1179"/>
    <n v="2"/>
    <n v="1"/>
  </r>
  <r>
    <m/>
    <m/>
    <x v="1"/>
    <s v="89283834002003"/>
    <n v="-43.08"/>
    <n v="1005"/>
    <n v="2"/>
    <n v="1"/>
  </r>
  <r>
    <m/>
    <m/>
    <x v="1"/>
    <s v="89432491001004"/>
    <n v="-12.620000000000001"/>
    <n v="290"/>
    <n v="2"/>
    <n v="1"/>
  </r>
  <r>
    <m/>
    <m/>
    <x v="1"/>
    <s v="89432732001001"/>
    <n v="-9.44"/>
    <n v="232"/>
    <n v="1"/>
    <n v="1"/>
  </r>
  <r>
    <m/>
    <m/>
    <x v="1"/>
    <s v="89438476002010"/>
    <n v="-12.7"/>
    <n v="312"/>
    <n v="1"/>
    <n v="1"/>
  </r>
  <r>
    <m/>
    <m/>
    <x v="1"/>
    <s v="89476768001001"/>
    <n v="-55.47"/>
    <n v="1262"/>
    <n v="2"/>
    <n v="1"/>
  </r>
  <r>
    <m/>
    <m/>
    <x v="1"/>
    <s v="89636629003001"/>
    <n v="-13.93"/>
    <n v="325"/>
    <n v="2"/>
    <n v="1"/>
  </r>
  <r>
    <m/>
    <m/>
    <x v="1"/>
    <s v="89768877001001"/>
    <n v="-44.059999999999995"/>
    <n v="1050"/>
    <n v="2"/>
    <n v="1"/>
  </r>
  <r>
    <m/>
    <m/>
    <x v="1"/>
    <s v="89805136001001"/>
    <n v="-84.96"/>
    <n v="2044"/>
    <n v="2"/>
    <n v="1"/>
  </r>
  <r>
    <m/>
    <m/>
    <x v="1"/>
    <s v="89949893001001"/>
    <n v="-12.74"/>
    <n v="313"/>
    <n v="1"/>
    <n v="1"/>
  </r>
  <r>
    <m/>
    <m/>
    <x v="1"/>
    <s v="90058594005003"/>
    <n v="-42.33"/>
    <n v="963"/>
    <n v="2"/>
    <n v="1"/>
  </r>
  <r>
    <m/>
    <m/>
    <x v="1"/>
    <s v="90167563001003"/>
    <n v="-39.620000000000005"/>
    <n v="863"/>
    <n v="2"/>
    <n v="1"/>
  </r>
  <r>
    <m/>
    <m/>
    <x v="1"/>
    <s v="90177529001008"/>
    <n v="-17.68"/>
    <n v="385"/>
    <n v="2"/>
    <n v="1"/>
  </r>
  <r>
    <m/>
    <m/>
    <x v="1"/>
    <s v="90223411001018"/>
    <n v="-15.59"/>
    <n v="377"/>
    <n v="2"/>
    <n v="1"/>
  </r>
  <r>
    <m/>
    <m/>
    <x v="1"/>
    <s v="90278607001005"/>
    <n v="-29.16"/>
    <n v="629"/>
    <n v="2"/>
    <n v="1"/>
  </r>
  <r>
    <m/>
    <m/>
    <x v="1"/>
    <s v="90301796001001"/>
    <n v="-23.46"/>
    <n v="506"/>
    <n v="2"/>
    <n v="1"/>
  </r>
  <r>
    <m/>
    <m/>
    <x v="1"/>
    <s v="90326789001003"/>
    <n v="-69.14"/>
    <n v="1506"/>
    <n v="2"/>
    <n v="1"/>
  </r>
  <r>
    <m/>
    <m/>
    <x v="1"/>
    <s v="90381406001001"/>
    <n v="-6.67"/>
    <n v="164"/>
    <n v="1"/>
    <n v="1"/>
  </r>
  <r>
    <m/>
    <m/>
    <x v="1"/>
    <s v="90452230001004"/>
    <n v="-39.56"/>
    <n v="909"/>
    <n v="2"/>
    <n v="1"/>
  </r>
  <r>
    <m/>
    <m/>
    <x v="1"/>
    <s v="90453061001001"/>
    <n v="-36.18"/>
    <n v="889"/>
    <n v="1"/>
    <n v="1"/>
  </r>
  <r>
    <m/>
    <m/>
    <x v="1"/>
    <s v="90556685001003"/>
    <n v="-44.44"/>
    <n v="1092"/>
    <n v="1"/>
    <n v="1"/>
  </r>
  <r>
    <m/>
    <m/>
    <x v="1"/>
    <s v="90593570008003"/>
    <n v="-84.25"/>
    <n v="2070"/>
    <n v="1"/>
    <n v="1"/>
  </r>
  <r>
    <m/>
    <m/>
    <x v="1"/>
    <s v="90725573001001"/>
    <n v="-25.11"/>
    <n v="617"/>
    <n v="1"/>
    <n v="1"/>
  </r>
  <r>
    <m/>
    <m/>
    <x v="1"/>
    <s v="90740546001001"/>
    <n v="-36.08"/>
    <n v="833"/>
    <n v="2"/>
    <n v="1"/>
  </r>
  <r>
    <m/>
    <m/>
    <x v="1"/>
    <s v="90803817001001"/>
    <n v="-39.049999999999997"/>
    <n v="943"/>
    <n v="2"/>
    <n v="1"/>
  </r>
  <r>
    <m/>
    <m/>
    <x v="1"/>
    <s v="90846228003007"/>
    <n v="-76.430000000000007"/>
    <n v="1756"/>
    <n v="2"/>
    <n v="1"/>
  </r>
  <r>
    <m/>
    <m/>
    <x v="1"/>
    <s v="90923089001001"/>
    <n v="-6.51"/>
    <n v="160"/>
    <n v="1"/>
    <n v="1"/>
  </r>
  <r>
    <m/>
    <m/>
    <x v="1"/>
    <s v="90927229001003"/>
    <n v="-27.43"/>
    <n v="615"/>
    <n v="2"/>
    <n v="1"/>
  </r>
  <r>
    <m/>
    <m/>
    <x v="1"/>
    <s v="91085873002001"/>
    <n v="-2.8499999999999996"/>
    <n v="66"/>
    <n v="2"/>
    <n v="1"/>
  </r>
  <r>
    <m/>
    <m/>
    <x v="1"/>
    <s v="91155934001001"/>
    <n v="-30.11"/>
    <n v="675"/>
    <n v="2"/>
    <n v="1"/>
  </r>
  <r>
    <m/>
    <m/>
    <x v="1"/>
    <s v="91237440001003"/>
    <n v="-29.19"/>
    <n v="706"/>
    <n v="2"/>
    <n v="1"/>
  </r>
  <r>
    <m/>
    <m/>
    <x v="1"/>
    <s v="91266513001005"/>
    <n v="-18.559999999999999"/>
    <n v="456"/>
    <n v="1"/>
    <n v="1"/>
  </r>
  <r>
    <m/>
    <m/>
    <x v="1"/>
    <s v="91537061004005"/>
    <n v="-50.28"/>
    <n v="1144"/>
    <n v="2"/>
    <n v="1"/>
  </r>
  <r>
    <m/>
    <m/>
    <x v="1"/>
    <s v="91552426001001"/>
    <n v="-31.29"/>
    <n v="749"/>
    <n v="2"/>
    <n v="1"/>
  </r>
  <r>
    <m/>
    <m/>
    <x v="1"/>
    <s v="91577981002004"/>
    <n v="-6.47"/>
    <n v="155"/>
    <n v="2"/>
    <n v="1"/>
  </r>
  <r>
    <m/>
    <m/>
    <x v="1"/>
    <s v="91759038001001"/>
    <n v="-61.539999999999992"/>
    <n v="1447"/>
    <n v="2"/>
    <n v="1"/>
  </r>
  <r>
    <m/>
    <m/>
    <x v="1"/>
    <s v="91774675002002"/>
    <n v="-69.52"/>
    <n v="1708"/>
    <n v="1"/>
    <n v="1"/>
  </r>
  <r>
    <m/>
    <m/>
    <x v="1"/>
    <s v="91792182001002"/>
    <n v="-19.54"/>
    <n v="480"/>
    <n v="1"/>
    <n v="1"/>
  </r>
  <r>
    <m/>
    <m/>
    <x v="1"/>
    <s v="91827766001002"/>
    <n v="-38.159999999999997"/>
    <n v="897"/>
    <n v="2"/>
    <n v="1"/>
  </r>
  <r>
    <m/>
    <m/>
    <x v="1"/>
    <s v="91856237001003"/>
    <n v="-6.51"/>
    <n v="160"/>
    <n v="1"/>
    <n v="1"/>
  </r>
  <r>
    <m/>
    <m/>
    <x v="1"/>
    <s v="91895802001005"/>
    <n v="-11.36"/>
    <n v="261"/>
    <n v="2"/>
    <n v="1"/>
  </r>
  <r>
    <m/>
    <m/>
    <x v="1"/>
    <s v="91911316001004"/>
    <n v="-28.9"/>
    <n v="651"/>
    <n v="2"/>
    <n v="1"/>
  </r>
  <r>
    <m/>
    <m/>
    <x v="1"/>
    <s v="91915411001003"/>
    <n v="-137.97"/>
    <n v="3202"/>
    <n v="2"/>
    <n v="1"/>
  </r>
  <r>
    <m/>
    <m/>
    <x v="1"/>
    <s v="91933726001002"/>
    <n v="-18.84"/>
    <n v="463"/>
    <n v="1"/>
    <n v="1"/>
  </r>
  <r>
    <m/>
    <m/>
    <x v="1"/>
    <s v="91995451001005"/>
    <n v="-11.13"/>
    <n v="269"/>
    <n v="2"/>
    <n v="1"/>
  </r>
  <r>
    <m/>
    <m/>
    <x v="1"/>
    <s v="92041740001001"/>
    <n v="-16.2"/>
    <n v="398"/>
    <n v="1"/>
    <n v="1"/>
  </r>
  <r>
    <m/>
    <m/>
    <x v="1"/>
    <s v="92061113001004"/>
    <n v="-8.74"/>
    <n v="199"/>
    <n v="2"/>
    <n v="1"/>
  </r>
  <r>
    <m/>
    <m/>
    <x v="1"/>
    <s v="92255766001001"/>
    <n v="-59.5"/>
    <n v="1381"/>
    <n v="2"/>
    <n v="1"/>
  </r>
  <r>
    <m/>
    <m/>
    <x v="1"/>
    <s v="92328846001001"/>
    <n v="-6.96"/>
    <n v="171"/>
    <n v="1"/>
    <n v="1"/>
  </r>
  <r>
    <m/>
    <m/>
    <x v="1"/>
    <s v="92399017001001"/>
    <n v="-16.36"/>
    <n v="376"/>
    <n v="2"/>
    <n v="1"/>
  </r>
  <r>
    <m/>
    <m/>
    <x v="1"/>
    <s v="92452991003001"/>
    <n v="-19.59"/>
    <n v="437"/>
    <n v="2"/>
    <n v="1"/>
  </r>
  <r>
    <m/>
    <m/>
    <x v="1"/>
    <s v="92476559001004"/>
    <n v="-36.519999999999996"/>
    <n v="788"/>
    <n v="2"/>
    <n v="1"/>
  </r>
  <r>
    <m/>
    <m/>
    <x v="1"/>
    <s v="92523561001001"/>
    <n v="-47.010000000000005"/>
    <n v="1019"/>
    <n v="2"/>
    <n v="1"/>
  </r>
  <r>
    <m/>
    <m/>
    <x v="1"/>
    <s v="92612665001005"/>
    <n v="-7.0900000000000007"/>
    <n v="153"/>
    <n v="2"/>
    <n v="1"/>
  </r>
  <r>
    <m/>
    <m/>
    <x v="1"/>
    <s v="92643112001001"/>
    <n v="-9.0500000000000007"/>
    <n v="208"/>
    <n v="2"/>
    <n v="1"/>
  </r>
  <r>
    <m/>
    <m/>
    <x v="1"/>
    <s v="92911654001001"/>
    <n v="-15.709999999999999"/>
    <n v="339"/>
    <n v="2"/>
    <n v="1"/>
  </r>
  <r>
    <m/>
    <m/>
    <x v="1"/>
    <s v="92962178001001"/>
    <n v="-35.480000000000004"/>
    <n v="773"/>
    <n v="2"/>
    <n v="1"/>
  </r>
  <r>
    <m/>
    <m/>
    <x v="1"/>
    <s v="93054261001004"/>
    <n v="-14.75"/>
    <n v="353"/>
    <n v="2"/>
    <n v="1"/>
  </r>
  <r>
    <m/>
    <m/>
    <x v="1"/>
    <s v="93261690001003"/>
    <n v="-29.67"/>
    <n v="675"/>
    <n v="2"/>
    <n v="1"/>
  </r>
  <r>
    <m/>
    <m/>
    <x v="1"/>
    <s v="93293830001004"/>
    <n v="-31.14"/>
    <n v="675"/>
    <n v="2"/>
    <n v="1"/>
  </r>
  <r>
    <m/>
    <m/>
    <x v="1"/>
    <s v="93295699001009"/>
    <n v="-24.18"/>
    <n v="542"/>
    <n v="2"/>
    <n v="1"/>
  </r>
  <r>
    <m/>
    <m/>
    <x v="1"/>
    <s v="93357124001001"/>
    <n v="-73.61"/>
    <n v="1780"/>
    <n v="2"/>
    <n v="1"/>
  </r>
  <r>
    <m/>
    <m/>
    <x v="1"/>
    <s v="93451293001002"/>
    <n v="-26.34"/>
    <n v="637"/>
    <n v="2"/>
    <n v="1"/>
  </r>
  <r>
    <m/>
    <m/>
    <x v="1"/>
    <s v="93453320001012"/>
    <n v="-18.59"/>
    <n v="423"/>
    <n v="2"/>
    <n v="1"/>
  </r>
  <r>
    <m/>
    <m/>
    <x v="1"/>
    <s v="93477594002001"/>
    <n v="-9.7799999999999994"/>
    <n v="213"/>
    <n v="2"/>
    <n v="1"/>
  </r>
  <r>
    <m/>
    <m/>
    <x v="1"/>
    <s v="93502736001008"/>
    <n v="-2.71"/>
    <n v="59"/>
    <n v="2"/>
    <n v="1"/>
  </r>
  <r>
    <m/>
    <m/>
    <x v="1"/>
    <s v="93525219001001"/>
    <n v="-25.39"/>
    <n v="569"/>
    <n v="2"/>
    <n v="1"/>
  </r>
  <r>
    <m/>
    <m/>
    <x v="1"/>
    <s v="93908930001001"/>
    <n v="-76.39"/>
    <n v="1877"/>
    <n v="1"/>
    <n v="1"/>
  </r>
  <r>
    <m/>
    <m/>
    <x v="1"/>
    <s v="93981586001005"/>
    <n v="-54.150000000000006"/>
    <n v="1244"/>
    <n v="2"/>
    <n v="1"/>
  </r>
  <r>
    <m/>
    <m/>
    <x v="1"/>
    <s v="94050793001001"/>
    <n v="-6.5500000000000007"/>
    <n v="149"/>
    <n v="2"/>
    <n v="1"/>
  </r>
  <r>
    <m/>
    <m/>
    <x v="1"/>
    <s v="94127903001001"/>
    <n v="-13.63"/>
    <n v="335"/>
    <n v="1"/>
    <n v="1"/>
  </r>
  <r>
    <m/>
    <m/>
    <x v="1"/>
    <s v="94236722001001"/>
    <n v="-47.46"/>
    <n v="1166"/>
    <n v="1"/>
    <n v="1"/>
  </r>
  <r>
    <m/>
    <m/>
    <x v="1"/>
    <s v="94338453002001"/>
    <n v="-48.19"/>
    <n v="1062"/>
    <n v="2"/>
    <n v="1"/>
  </r>
  <r>
    <m/>
    <m/>
    <x v="1"/>
    <s v="94383185001003"/>
    <n v="-11.05"/>
    <n v="267"/>
    <n v="2"/>
    <n v="1"/>
  </r>
  <r>
    <m/>
    <m/>
    <x v="1"/>
    <s v="94490206001003"/>
    <n v="-3.8200000000000003"/>
    <n v="91"/>
    <n v="2"/>
    <n v="1"/>
  </r>
  <r>
    <m/>
    <m/>
    <x v="1"/>
    <s v="94648149001003"/>
    <n v="-28.77"/>
    <n v="692"/>
    <n v="2"/>
    <n v="1"/>
  </r>
  <r>
    <m/>
    <m/>
    <x v="1"/>
    <s v="94664502002001"/>
    <n v="-16.759999999999998"/>
    <n v="387"/>
    <n v="2"/>
    <n v="1"/>
  </r>
  <r>
    <m/>
    <m/>
    <x v="1"/>
    <s v="94670446001001"/>
    <n v="-32.589999999999996"/>
    <n v="780"/>
    <n v="2"/>
    <n v="1"/>
  </r>
  <r>
    <m/>
    <m/>
    <x v="1"/>
    <s v="94725102001001"/>
    <n v="-5.2"/>
    <n v="120"/>
    <n v="2"/>
    <n v="1"/>
  </r>
  <r>
    <m/>
    <m/>
    <x v="1"/>
    <s v="94788572001004"/>
    <n v="-51.46"/>
    <n v="1225"/>
    <n v="2"/>
    <n v="1"/>
  </r>
  <r>
    <m/>
    <m/>
    <x v="1"/>
    <s v="94794096001013"/>
    <n v="-70.5"/>
    <n v="1521"/>
    <n v="2"/>
    <n v="1"/>
  </r>
  <r>
    <m/>
    <m/>
    <x v="1"/>
    <s v="94825236001003"/>
    <n v="-7.4"/>
    <n v="170"/>
    <n v="2"/>
    <n v="1"/>
  </r>
  <r>
    <m/>
    <m/>
    <x v="1"/>
    <s v="94878471002001"/>
    <n v="-4.18"/>
    <n v="90"/>
    <n v="2"/>
    <n v="1"/>
  </r>
  <r>
    <m/>
    <m/>
    <x v="1"/>
    <s v="94900294001001"/>
    <n v="-70.7"/>
    <n v="1692"/>
    <n v="2"/>
    <n v="1"/>
  </r>
  <r>
    <m/>
    <m/>
    <x v="1"/>
    <s v="95032265001003"/>
    <n v="-52.41"/>
    <n v="1210"/>
    <n v="2"/>
    <n v="1"/>
  </r>
  <r>
    <m/>
    <m/>
    <x v="1"/>
    <s v="95080825001003"/>
    <n v="-29.43"/>
    <n v="723"/>
    <n v="1"/>
    <n v="1"/>
  </r>
  <r>
    <m/>
    <m/>
    <x v="1"/>
    <s v="95117315001002"/>
    <n v="-26.59"/>
    <n v="605"/>
    <n v="2"/>
    <n v="1"/>
  </r>
  <r>
    <m/>
    <m/>
    <x v="1"/>
    <s v="95142141001001"/>
    <n v="-45.66"/>
    <n v="1039"/>
    <n v="2"/>
    <n v="1"/>
  </r>
  <r>
    <m/>
    <m/>
    <x v="1"/>
    <s v="95224398001001"/>
    <n v="-20.100000000000001"/>
    <n v="438"/>
    <n v="2"/>
    <n v="1"/>
  </r>
  <r>
    <m/>
    <m/>
    <x v="1"/>
    <s v="95275266001003"/>
    <n v="-17.88"/>
    <n v="435"/>
    <n v="2"/>
    <n v="1"/>
  </r>
  <r>
    <m/>
    <m/>
    <x v="1"/>
    <s v="95382413001005"/>
    <n v="-20.84"/>
    <n v="512"/>
    <n v="1"/>
    <n v="1"/>
  </r>
  <r>
    <m/>
    <m/>
    <x v="1"/>
    <s v="95442300001011"/>
    <n v="-77.86"/>
    <n v="1873"/>
    <n v="2"/>
    <n v="1"/>
  </r>
  <r>
    <m/>
    <m/>
    <x v="1"/>
    <s v="95614176003001"/>
    <n v="-35.979999999999997"/>
    <n v="884"/>
    <n v="1"/>
    <n v="1"/>
  </r>
  <r>
    <m/>
    <m/>
    <x v="1"/>
    <s v="95640914001001"/>
    <n v="-4.88"/>
    <n v="120"/>
    <n v="1"/>
    <n v="1"/>
  </r>
  <r>
    <m/>
    <m/>
    <x v="1"/>
    <s v="95773639001006"/>
    <n v="-25.07"/>
    <n v="582"/>
    <n v="2"/>
    <n v="1"/>
  </r>
  <r>
    <m/>
    <m/>
    <x v="1"/>
    <s v="95815042001004"/>
    <n v="-20.3"/>
    <n v="455"/>
    <n v="2"/>
    <n v="1"/>
  </r>
  <r>
    <m/>
    <m/>
    <x v="1"/>
    <s v="96041241001001"/>
    <n v="-17.560000000000002"/>
    <n v="418"/>
    <n v="2"/>
    <n v="1"/>
  </r>
  <r>
    <m/>
    <m/>
    <x v="1"/>
    <s v="96057942001003"/>
    <n v="-39.019999999999996"/>
    <n v="901"/>
    <n v="2"/>
    <n v="1"/>
  </r>
  <r>
    <m/>
    <m/>
    <x v="1"/>
    <s v="96065231001001"/>
    <n v="-25.11"/>
    <n v="617"/>
    <n v="1"/>
    <n v="1"/>
  </r>
  <r>
    <m/>
    <m/>
    <x v="1"/>
    <s v="96139953003003"/>
    <n v="-58.12"/>
    <n v="1254"/>
    <n v="2"/>
    <n v="1"/>
  </r>
  <r>
    <m/>
    <m/>
    <x v="1"/>
    <s v="96145942001001"/>
    <n v="-3.86"/>
    <n v="90"/>
    <n v="2"/>
    <n v="1"/>
  </r>
  <r>
    <m/>
    <m/>
    <x v="1"/>
    <s v="96179295004001"/>
    <n v="-37.6"/>
    <n v="864"/>
    <n v="2"/>
    <n v="1"/>
  </r>
  <r>
    <m/>
    <m/>
    <x v="1"/>
    <s v="96179506001001"/>
    <n v="-42.1"/>
    <n v="917"/>
    <n v="2"/>
    <n v="1"/>
  </r>
  <r>
    <m/>
    <m/>
    <x v="1"/>
    <s v="96226382001001"/>
    <n v="-1.81"/>
    <n v="42"/>
    <n v="2"/>
    <n v="1"/>
  </r>
  <r>
    <m/>
    <m/>
    <x v="1"/>
    <s v="96258332001001"/>
    <n v="-3.35"/>
    <n v="77"/>
    <n v="2"/>
    <n v="1"/>
  </r>
  <r>
    <m/>
    <m/>
    <x v="1"/>
    <s v="96305704001001"/>
    <n v="-69.52"/>
    <n v="1551"/>
    <n v="2"/>
    <n v="1"/>
  </r>
  <r>
    <m/>
    <m/>
    <x v="1"/>
    <s v="96360767001004"/>
    <n v="-14.53"/>
    <n v="357"/>
    <n v="1"/>
    <n v="1"/>
  </r>
  <r>
    <m/>
    <m/>
    <x v="1"/>
    <s v="96426781002003"/>
    <n v="-13.56"/>
    <n v="313"/>
    <n v="2"/>
    <n v="1"/>
  </r>
  <r>
    <m/>
    <m/>
    <x v="1"/>
    <s v="96578754001001"/>
    <n v="-18.240000000000002"/>
    <n v="402"/>
    <n v="2"/>
    <n v="1"/>
  </r>
  <r>
    <m/>
    <m/>
    <x v="1"/>
    <s v="96664201001004"/>
    <n v="-16.54"/>
    <n v="380"/>
    <n v="2"/>
    <n v="1"/>
  </r>
  <r>
    <m/>
    <m/>
    <x v="1"/>
    <s v="96678659001003"/>
    <n v="-32.65"/>
    <n v="754"/>
    <n v="2"/>
    <n v="1"/>
  </r>
  <r>
    <m/>
    <m/>
    <x v="1"/>
    <s v="96692526002001"/>
    <n v="-24.450000000000003"/>
    <n v="548"/>
    <n v="2"/>
    <n v="1"/>
  </r>
  <r>
    <m/>
    <m/>
    <x v="1"/>
    <s v="96740158001001"/>
    <n v="-14.379999999999999"/>
    <n v="350"/>
    <n v="2"/>
    <n v="1"/>
  </r>
  <r>
    <m/>
    <m/>
    <x v="1"/>
    <s v="96743423001001"/>
    <n v="-14.36"/>
    <n v="335"/>
    <n v="2"/>
    <n v="1"/>
  </r>
  <r>
    <m/>
    <m/>
    <x v="1"/>
    <s v="96759256001001"/>
    <n v="-14.12"/>
    <n v="311"/>
    <n v="2"/>
    <n v="1"/>
  </r>
  <r>
    <m/>
    <m/>
    <x v="1"/>
    <s v="96994536001004"/>
    <n v="-36.51"/>
    <n v="897"/>
    <n v="1"/>
    <n v="1"/>
  </r>
  <r>
    <m/>
    <m/>
    <x v="1"/>
    <s v="97019963001004"/>
    <n v="-42.33"/>
    <n v="1014"/>
    <n v="2"/>
    <n v="1"/>
  </r>
  <r>
    <m/>
    <m/>
    <x v="1"/>
    <s v="97064187001001"/>
    <n v="-40.33"/>
    <n v="991"/>
    <n v="1"/>
    <n v="1"/>
  </r>
  <r>
    <m/>
    <m/>
    <x v="1"/>
    <s v="97083962001002"/>
    <n v="-22.3"/>
    <n v="548"/>
    <n v="1"/>
    <n v="1"/>
  </r>
  <r>
    <m/>
    <m/>
    <x v="1"/>
    <s v="97096820001001"/>
    <n v="-47.05"/>
    <n v="1156"/>
    <n v="1"/>
    <n v="1"/>
  </r>
  <r>
    <m/>
    <m/>
    <x v="1"/>
    <s v="97150663001009"/>
    <n v="-2.7800000000000002"/>
    <n v="64"/>
    <n v="2"/>
    <n v="1"/>
  </r>
  <r>
    <m/>
    <m/>
    <x v="1"/>
    <s v="97170225001001"/>
    <n v="-49"/>
    <n v="1204"/>
    <n v="1"/>
    <n v="1"/>
  </r>
  <r>
    <m/>
    <m/>
    <x v="1"/>
    <s v="97203407001003"/>
    <n v="-32.840000000000003"/>
    <n v="807"/>
    <n v="1"/>
    <n v="1"/>
  </r>
  <r>
    <m/>
    <m/>
    <x v="1"/>
    <s v="97221863001001"/>
    <n v="-18.68"/>
    <n v="403"/>
    <n v="2"/>
    <n v="1"/>
  </r>
  <r>
    <m/>
    <m/>
    <x v="1"/>
    <s v="97253174003002"/>
    <n v="-19.329999999999998"/>
    <n v="419"/>
    <n v="2"/>
    <n v="1"/>
  </r>
  <r>
    <m/>
    <m/>
    <x v="1"/>
    <s v="97260900001001"/>
    <n v="-131.01999999999998"/>
    <n v="3219"/>
    <n v="2"/>
    <n v="1"/>
  </r>
  <r>
    <m/>
    <m/>
    <x v="1"/>
    <s v="97323566001003"/>
    <n v="-28.48"/>
    <n v="661"/>
    <n v="2"/>
    <n v="1"/>
  </r>
  <r>
    <m/>
    <m/>
    <x v="1"/>
    <s v="97325763001002"/>
    <n v="-4.13"/>
    <n v="94"/>
    <n v="2"/>
    <n v="1"/>
  </r>
  <r>
    <m/>
    <m/>
    <x v="1"/>
    <s v="97337402002005"/>
    <n v="-12.14"/>
    <n v="292"/>
    <n v="2"/>
    <n v="1"/>
  </r>
  <r>
    <m/>
    <m/>
    <x v="1"/>
    <s v="97346635001003"/>
    <n v="-68.81"/>
    <n v="1597"/>
    <n v="2"/>
    <n v="1"/>
  </r>
  <r>
    <m/>
    <m/>
    <x v="1"/>
    <s v="97402482001001"/>
    <n v="-40.82"/>
    <n v="1003"/>
    <n v="1"/>
    <n v="1"/>
  </r>
  <r>
    <m/>
    <m/>
    <x v="1"/>
    <s v="97473613001004"/>
    <n v="-8.7200000000000006"/>
    <n v="190"/>
    <n v="2"/>
    <n v="1"/>
  </r>
  <r>
    <m/>
    <m/>
    <x v="1"/>
    <s v="97538964002001"/>
    <n v="-23.95"/>
    <n v="553"/>
    <n v="2"/>
    <n v="1"/>
  </r>
  <r>
    <m/>
    <m/>
    <x v="1"/>
    <s v="97551459001001"/>
    <n v="-25.53"/>
    <n v="575"/>
    <n v="2"/>
    <n v="1"/>
  </r>
  <r>
    <m/>
    <m/>
    <x v="1"/>
    <s v="97558477001003"/>
    <n v="-16.12"/>
    <n v="386"/>
    <n v="2"/>
    <n v="1"/>
  </r>
  <r>
    <m/>
    <m/>
    <x v="1"/>
    <s v="97569565011005"/>
    <n v="-66.319999999999993"/>
    <n v="1431"/>
    <n v="2"/>
    <n v="1"/>
  </r>
  <r>
    <m/>
    <m/>
    <x v="1"/>
    <s v="97625233001001"/>
    <n v="-18.02"/>
    <n v="414"/>
    <n v="2"/>
    <n v="1"/>
  </r>
  <r>
    <m/>
    <m/>
    <x v="1"/>
    <s v="97636856002001"/>
    <n v="-22.93"/>
    <n v="546"/>
    <n v="2"/>
    <n v="1"/>
  </r>
  <r>
    <m/>
    <m/>
    <x v="1"/>
    <s v="97651944001007"/>
    <n v="-25.4"/>
    <n v="572"/>
    <n v="2"/>
    <n v="1"/>
  </r>
  <r>
    <m/>
    <m/>
    <x v="1"/>
    <s v="97678050001005"/>
    <n v="-57.83"/>
    <n v="1384"/>
    <n v="2"/>
    <n v="1"/>
  </r>
  <r>
    <m/>
    <m/>
    <x v="1"/>
    <s v="97678237004001"/>
    <n v="-38.46"/>
    <n v="875"/>
    <n v="2"/>
    <n v="1"/>
  </r>
  <r>
    <m/>
    <m/>
    <x v="1"/>
    <s v="97776060001001"/>
    <n v="-23.73"/>
    <n v="512"/>
    <n v="2"/>
    <n v="1"/>
  </r>
  <r>
    <m/>
    <m/>
    <x v="1"/>
    <s v="97885984003001"/>
    <n v="-21.11"/>
    <n v="490"/>
    <n v="2"/>
    <n v="1"/>
  </r>
  <r>
    <m/>
    <m/>
    <x v="1"/>
    <s v="97963093001001"/>
    <n v="-17.02"/>
    <n v="391"/>
    <n v="2"/>
    <n v="1"/>
  </r>
  <r>
    <m/>
    <m/>
    <x v="1"/>
    <s v="97982416001001"/>
    <n v="-81"/>
    <n v="1792"/>
    <n v="2"/>
    <n v="1"/>
  </r>
  <r>
    <m/>
    <m/>
    <x v="1"/>
    <s v="97996225001008"/>
    <n v="-61.510000000000005"/>
    <n v="1466"/>
    <n v="2"/>
    <n v="1"/>
  </r>
  <r>
    <m/>
    <m/>
    <x v="1"/>
    <s v="98083414004007"/>
    <n v="-15.91"/>
    <n v="362"/>
    <n v="2"/>
    <n v="1"/>
  </r>
  <r>
    <m/>
    <m/>
    <x v="1"/>
    <s v="98090991002001"/>
    <n v="-19"/>
    <n v="414"/>
    <n v="2"/>
    <n v="1"/>
  </r>
  <r>
    <m/>
    <m/>
    <x v="1"/>
    <s v="98163492001001"/>
    <n v="-50.14"/>
    <n v="1152"/>
    <n v="2"/>
    <n v="1"/>
  </r>
  <r>
    <m/>
    <m/>
    <x v="1"/>
    <s v="98243275001011"/>
    <n v="-12.37"/>
    <n v="304"/>
    <n v="1"/>
    <n v="1"/>
  </r>
  <r>
    <m/>
    <m/>
    <x v="1"/>
    <s v="98265055001006"/>
    <n v="-34.51"/>
    <n v="826"/>
    <n v="2"/>
    <n v="1"/>
  </r>
  <r>
    <m/>
    <m/>
    <x v="1"/>
    <s v="98301629001002"/>
    <n v="-13.780000000000001"/>
    <n v="330"/>
    <n v="2"/>
    <n v="1"/>
  </r>
  <r>
    <m/>
    <m/>
    <x v="1"/>
    <s v="98317810002003"/>
    <n v="-54.870000000000005"/>
    <n v="1320"/>
    <n v="2"/>
    <n v="1"/>
  </r>
  <r>
    <m/>
    <m/>
    <x v="1"/>
    <s v="98396921001007"/>
    <n v="-42.5"/>
    <n v="948"/>
    <n v="2"/>
    <n v="1"/>
  </r>
  <r>
    <m/>
    <m/>
    <x v="1"/>
    <s v="98472116001003"/>
    <n v="-68.81"/>
    <n v="1647"/>
    <n v="2"/>
    <n v="1"/>
  </r>
  <r>
    <m/>
    <m/>
    <x v="1"/>
    <s v="98496940001004"/>
    <n v="-58.32"/>
    <n v="1403"/>
    <n v="2"/>
    <n v="1"/>
  </r>
  <r>
    <m/>
    <m/>
    <x v="1"/>
    <s v="98568936001003"/>
    <n v="-41.11"/>
    <n v="891"/>
    <n v="2"/>
    <n v="1"/>
  </r>
  <r>
    <m/>
    <m/>
    <x v="1"/>
    <s v="98701938003001"/>
    <n v="-17.23"/>
    <n v="396"/>
    <n v="2"/>
    <n v="1"/>
  </r>
  <r>
    <m/>
    <m/>
    <x v="1"/>
    <s v="98835009001001"/>
    <n v="-53.230000000000004"/>
    <n v="1211"/>
    <n v="2"/>
    <n v="1"/>
  </r>
  <r>
    <m/>
    <m/>
    <x v="1"/>
    <s v="98869027002005"/>
    <n v="-55.739999999999995"/>
    <n v="1300"/>
    <n v="2"/>
    <n v="1"/>
  </r>
  <r>
    <m/>
    <m/>
    <x v="1"/>
    <s v="98887462001001"/>
    <n v="-57.02"/>
    <n v="1242"/>
    <n v="2"/>
    <n v="1"/>
  </r>
  <r>
    <m/>
    <m/>
    <x v="1"/>
    <s v="99016570002001"/>
    <n v="-9.7199999999999989"/>
    <n v="217"/>
    <n v="2"/>
    <n v="1"/>
  </r>
  <r>
    <m/>
    <m/>
    <x v="1"/>
    <s v="99023190002005"/>
    <n v="-54.06"/>
    <n v="1242"/>
    <n v="2"/>
    <n v="1"/>
  </r>
  <r>
    <m/>
    <m/>
    <x v="1"/>
    <s v="99154035001001"/>
    <n v="-31.560000000000002"/>
    <n v="684"/>
    <n v="2"/>
    <n v="1"/>
  </r>
  <r>
    <m/>
    <m/>
    <x v="1"/>
    <s v="99181573002001"/>
    <n v="-1.56"/>
    <n v="36"/>
    <n v="2"/>
    <n v="1"/>
  </r>
  <r>
    <m/>
    <m/>
    <x v="1"/>
    <s v="99207126001001"/>
    <n v="-39.68"/>
    <n v="975"/>
    <n v="1"/>
    <n v="1"/>
  </r>
  <r>
    <m/>
    <m/>
    <x v="1"/>
    <s v="99299615002001"/>
    <n v="-88.17"/>
    <n v="2145"/>
    <n v="2"/>
    <n v="1"/>
  </r>
  <r>
    <m/>
    <m/>
    <x v="1"/>
    <s v="99435304001001"/>
    <n v="-32.35"/>
    <n v="775"/>
    <n v="2"/>
    <n v="1"/>
  </r>
  <r>
    <m/>
    <m/>
    <x v="1"/>
    <s v="99442912002001"/>
    <n v="-113.19"/>
    <n v="2781"/>
    <n v="1"/>
    <n v="1"/>
  </r>
  <r>
    <m/>
    <m/>
    <x v="1"/>
    <s v="99546455001001"/>
    <n v="-11.430000000000001"/>
    <n v="253"/>
    <n v="2"/>
    <n v="1"/>
  </r>
  <r>
    <m/>
    <m/>
    <x v="1"/>
    <s v="99914779006003"/>
    <n v="-19.739999999999998"/>
    <n v="470"/>
    <n v="2"/>
    <n v="1"/>
  </r>
  <r>
    <m/>
    <m/>
    <x v="6"/>
    <m/>
    <n v="-71240.199999999968"/>
    <n v="1658748"/>
    <n v="3556"/>
    <n v="1978"/>
  </r>
  <r>
    <m/>
    <s v="201105"/>
    <x v="0"/>
    <s v="00447035005007"/>
    <n v="-8.02"/>
    <n v="406"/>
    <n v="1"/>
    <n v="1"/>
  </r>
  <r>
    <m/>
    <m/>
    <x v="1"/>
    <s v="00756296002002"/>
    <n v="-16.3"/>
    <n v="825"/>
    <n v="1"/>
    <n v="1"/>
  </r>
  <r>
    <m/>
    <m/>
    <x v="1"/>
    <s v="00964949001001"/>
    <n v="-7.57"/>
    <n v="383"/>
    <n v="1"/>
    <n v="1"/>
  </r>
  <r>
    <m/>
    <m/>
    <x v="1"/>
    <s v="01589287001003"/>
    <n v="-7.25"/>
    <n v="369"/>
    <n v="2"/>
    <n v="1"/>
  </r>
  <r>
    <m/>
    <m/>
    <x v="1"/>
    <s v="01734407003001"/>
    <n v="-6.72"/>
    <n v="340"/>
    <n v="1"/>
    <n v="1"/>
  </r>
  <r>
    <m/>
    <m/>
    <x v="1"/>
    <s v="01772343001001"/>
    <n v="-2.69"/>
    <n v="136"/>
    <n v="1"/>
    <n v="1"/>
  </r>
  <r>
    <m/>
    <m/>
    <x v="1"/>
    <s v="01782458001001"/>
    <n v="-0.61"/>
    <n v="31"/>
    <n v="1"/>
    <n v="1"/>
  </r>
  <r>
    <m/>
    <m/>
    <x v="1"/>
    <s v="02157263001003"/>
    <n v="-11.67"/>
    <n v="596"/>
    <n v="2"/>
    <n v="1"/>
  </r>
  <r>
    <m/>
    <m/>
    <x v="1"/>
    <s v="02201812001003"/>
    <n v="-1.1299999999999999"/>
    <n v="57"/>
    <n v="1"/>
    <n v="1"/>
  </r>
  <r>
    <m/>
    <m/>
    <x v="1"/>
    <s v="02367690001003"/>
    <n v="-7.03"/>
    <n v="356"/>
    <n v="1"/>
    <n v="1"/>
  </r>
  <r>
    <m/>
    <m/>
    <x v="1"/>
    <s v="02474190002001"/>
    <n v="-9.9700000000000006"/>
    <n v="507"/>
    <n v="2"/>
    <n v="1"/>
  </r>
  <r>
    <m/>
    <m/>
    <x v="1"/>
    <s v="02653483001002"/>
    <n v="-6.28"/>
    <n v="318"/>
    <n v="1"/>
    <n v="1"/>
  </r>
  <r>
    <m/>
    <m/>
    <x v="1"/>
    <s v="02669962002001"/>
    <n v="-2.77"/>
    <n v="140"/>
    <n v="1"/>
    <n v="1"/>
  </r>
  <r>
    <m/>
    <m/>
    <x v="1"/>
    <s v="02962892003001"/>
    <n v="-0.81"/>
    <n v="41"/>
    <n v="1"/>
    <n v="1"/>
  </r>
  <r>
    <m/>
    <m/>
    <x v="1"/>
    <s v="03485380001003"/>
    <n v="-0.3"/>
    <n v="15"/>
    <n v="1"/>
    <n v="1"/>
  </r>
  <r>
    <m/>
    <m/>
    <x v="1"/>
    <s v="03563664001001"/>
    <n v="-2.4700000000000002"/>
    <n v="125"/>
    <n v="1"/>
    <n v="1"/>
  </r>
  <r>
    <m/>
    <m/>
    <x v="1"/>
    <s v="04274208001003"/>
    <n v="-3.64"/>
    <n v="185"/>
    <n v="2"/>
    <n v="1"/>
  </r>
  <r>
    <m/>
    <m/>
    <x v="1"/>
    <s v="04813613001001"/>
    <n v="-24.34"/>
    <n v="1232"/>
    <n v="1"/>
    <n v="1"/>
  </r>
  <r>
    <m/>
    <m/>
    <x v="1"/>
    <s v="04842107001001"/>
    <n v="-9.4499999999999993"/>
    <n v="478"/>
    <n v="1"/>
    <n v="1"/>
  </r>
  <r>
    <m/>
    <m/>
    <x v="1"/>
    <s v="05105357001001"/>
    <n v="-3.34"/>
    <n v="169"/>
    <n v="1"/>
    <n v="1"/>
  </r>
  <r>
    <m/>
    <m/>
    <x v="1"/>
    <s v="05495875001001"/>
    <n v="-11.7"/>
    <n v="592"/>
    <n v="1"/>
    <n v="1"/>
  </r>
  <r>
    <m/>
    <m/>
    <x v="1"/>
    <s v="05589577002005"/>
    <n v="-7.92"/>
    <n v="401"/>
    <n v="1"/>
    <n v="1"/>
  </r>
  <r>
    <m/>
    <m/>
    <x v="1"/>
    <s v="05867332001001"/>
    <n v="-5.49"/>
    <n v="278"/>
    <n v="1"/>
    <n v="1"/>
  </r>
  <r>
    <m/>
    <m/>
    <x v="1"/>
    <s v="05955645001001"/>
    <n v="-12.03"/>
    <n v="609"/>
    <n v="1"/>
    <n v="1"/>
  </r>
  <r>
    <m/>
    <m/>
    <x v="1"/>
    <s v="06477303002003"/>
    <n v="-0.47"/>
    <n v="24"/>
    <n v="1"/>
    <n v="1"/>
  </r>
  <r>
    <m/>
    <m/>
    <x v="1"/>
    <s v="06507249001002"/>
    <n v="-4.29"/>
    <n v="217"/>
    <n v="1"/>
    <n v="1"/>
  </r>
  <r>
    <m/>
    <m/>
    <x v="1"/>
    <s v="06650635001001"/>
    <n v="-0.79"/>
    <n v="40"/>
    <n v="1"/>
    <n v="1"/>
  </r>
  <r>
    <m/>
    <m/>
    <x v="1"/>
    <s v="06901257001004"/>
    <n v="-18.16"/>
    <n v="923"/>
    <n v="2"/>
    <n v="1"/>
  </r>
  <r>
    <m/>
    <m/>
    <x v="1"/>
    <s v="07371395001001"/>
    <n v="-9.94"/>
    <n v="503"/>
    <n v="1"/>
    <n v="1"/>
  </r>
  <r>
    <m/>
    <m/>
    <x v="1"/>
    <s v="07453783001001"/>
    <n v="-1.33"/>
    <n v="68"/>
    <n v="2"/>
    <n v="1"/>
  </r>
  <r>
    <m/>
    <m/>
    <x v="1"/>
    <s v="08205707001001"/>
    <n v="-0.28000000000000003"/>
    <n v="14"/>
    <n v="1"/>
    <n v="1"/>
  </r>
  <r>
    <m/>
    <m/>
    <x v="1"/>
    <s v="08515494002001"/>
    <n v="-0.16"/>
    <n v="8"/>
    <n v="1"/>
    <n v="1"/>
  </r>
  <r>
    <m/>
    <m/>
    <x v="1"/>
    <s v="08747776001001"/>
    <n v="-10.9"/>
    <n v="554"/>
    <n v="2"/>
    <n v="1"/>
  </r>
  <r>
    <m/>
    <m/>
    <x v="1"/>
    <s v="09136104001001"/>
    <n v="-0.69"/>
    <n v="35"/>
    <n v="1"/>
    <n v="1"/>
  </r>
  <r>
    <m/>
    <m/>
    <x v="1"/>
    <s v="09433245001001"/>
    <n v="-0.91"/>
    <n v="46"/>
    <n v="1"/>
    <n v="1"/>
  </r>
  <r>
    <m/>
    <m/>
    <x v="1"/>
    <s v="09547488001001"/>
    <n v="-6.48"/>
    <n v="328"/>
    <n v="1"/>
    <n v="1"/>
  </r>
  <r>
    <m/>
    <m/>
    <x v="1"/>
    <s v="09788113001001"/>
    <n v="-0.85"/>
    <n v="43"/>
    <n v="1"/>
    <n v="1"/>
  </r>
  <r>
    <m/>
    <m/>
    <x v="1"/>
    <s v="10120469001003"/>
    <n v="-1.1499999999999999"/>
    <n v="58"/>
    <n v="1"/>
    <n v="1"/>
  </r>
  <r>
    <m/>
    <m/>
    <x v="1"/>
    <s v="10634230001001"/>
    <n v="-1"/>
    <n v="51"/>
    <n v="2"/>
    <n v="1"/>
  </r>
  <r>
    <m/>
    <m/>
    <x v="1"/>
    <s v="10870119001001"/>
    <n v="-0.95"/>
    <n v="48"/>
    <n v="1"/>
    <n v="1"/>
  </r>
  <r>
    <m/>
    <m/>
    <x v="1"/>
    <s v="10948443001012"/>
    <n v="-10.290000000000001"/>
    <n v="526"/>
    <n v="2"/>
    <n v="1"/>
  </r>
  <r>
    <m/>
    <m/>
    <x v="1"/>
    <s v="11039539001001"/>
    <n v="-7.15"/>
    <n v="362"/>
    <n v="1"/>
    <n v="1"/>
  </r>
  <r>
    <m/>
    <m/>
    <x v="1"/>
    <s v="11407277001001"/>
    <n v="-2.5099999999999998"/>
    <n v="127"/>
    <n v="1"/>
    <n v="1"/>
  </r>
  <r>
    <m/>
    <m/>
    <x v="1"/>
    <s v="11542110001001"/>
    <n v="-0.56999999999999995"/>
    <n v="29"/>
    <n v="1"/>
    <n v="1"/>
  </r>
  <r>
    <m/>
    <m/>
    <x v="1"/>
    <s v="12053528001002"/>
    <n v="-13"/>
    <n v="664"/>
    <n v="2"/>
    <n v="1"/>
  </r>
  <r>
    <m/>
    <m/>
    <x v="1"/>
    <s v="12112131001001"/>
    <n v="-5.97"/>
    <n v="302"/>
    <n v="1"/>
    <n v="1"/>
  </r>
  <r>
    <m/>
    <m/>
    <x v="1"/>
    <s v="12120157001003"/>
    <n v="-6.24"/>
    <n v="316"/>
    <n v="1"/>
    <n v="1"/>
  </r>
  <r>
    <m/>
    <m/>
    <x v="1"/>
    <s v="12301273001001"/>
    <n v="-13.81"/>
    <n v="702"/>
    <n v="2"/>
    <n v="1"/>
  </r>
  <r>
    <m/>
    <m/>
    <x v="1"/>
    <s v="12738579001003"/>
    <n v="-0.67"/>
    <n v="34"/>
    <n v="1"/>
    <n v="1"/>
  </r>
  <r>
    <m/>
    <m/>
    <x v="1"/>
    <s v="12902462003001"/>
    <n v="-2.17"/>
    <n v="110"/>
    <n v="1"/>
    <n v="1"/>
  </r>
  <r>
    <m/>
    <m/>
    <x v="1"/>
    <s v="13147069001001"/>
    <n v="-2.11"/>
    <n v="107"/>
    <n v="1"/>
    <n v="1"/>
  </r>
  <r>
    <m/>
    <m/>
    <x v="1"/>
    <s v="13302962002001"/>
    <n v="-3.77"/>
    <n v="191"/>
    <n v="1"/>
    <n v="1"/>
  </r>
  <r>
    <m/>
    <m/>
    <x v="1"/>
    <s v="13950661003001"/>
    <n v="-0.18"/>
    <n v="9"/>
    <n v="1"/>
    <n v="1"/>
  </r>
  <r>
    <m/>
    <m/>
    <x v="1"/>
    <s v="15035025001001"/>
    <n v="-0.32"/>
    <n v="16"/>
    <n v="1"/>
    <n v="1"/>
  </r>
  <r>
    <m/>
    <m/>
    <x v="1"/>
    <s v="15044806001002"/>
    <n v="-2.25"/>
    <n v="114"/>
    <n v="1"/>
    <n v="1"/>
  </r>
  <r>
    <m/>
    <m/>
    <x v="1"/>
    <s v="15171884001001"/>
    <n v="-0.91"/>
    <n v="46"/>
    <n v="1"/>
    <n v="1"/>
  </r>
  <r>
    <m/>
    <m/>
    <x v="1"/>
    <s v="15488061001002"/>
    <n v="-4.9000000000000004"/>
    <n v="248"/>
    <n v="1"/>
    <n v="1"/>
  </r>
  <r>
    <m/>
    <m/>
    <x v="1"/>
    <s v="15663563001002"/>
    <n v="-0.97"/>
    <n v="49"/>
    <n v="1"/>
    <n v="1"/>
  </r>
  <r>
    <m/>
    <m/>
    <x v="1"/>
    <s v="15801491001003"/>
    <n v="-4.3899999999999997"/>
    <n v="222"/>
    <n v="1"/>
    <n v="1"/>
  </r>
  <r>
    <m/>
    <m/>
    <x v="1"/>
    <s v="15816206001008"/>
    <n v="-0.85"/>
    <n v="43"/>
    <n v="1"/>
    <n v="1"/>
  </r>
  <r>
    <m/>
    <m/>
    <x v="1"/>
    <s v="15896167001003"/>
    <n v="-0.1"/>
    <n v="5"/>
    <n v="1"/>
    <n v="1"/>
  </r>
  <r>
    <m/>
    <m/>
    <x v="1"/>
    <s v="16309419001005"/>
    <n v="-6.01"/>
    <n v="304"/>
    <n v="1"/>
    <n v="1"/>
  </r>
  <r>
    <m/>
    <m/>
    <x v="1"/>
    <s v="16343113001003"/>
    <n v="-5.71"/>
    <n v="289"/>
    <n v="1"/>
    <n v="1"/>
  </r>
  <r>
    <m/>
    <m/>
    <x v="1"/>
    <s v="16948935001002"/>
    <n v="-10.35"/>
    <n v="524"/>
    <n v="1"/>
    <n v="1"/>
  </r>
  <r>
    <m/>
    <m/>
    <x v="1"/>
    <s v="16965265001001"/>
    <n v="-0.53"/>
    <n v="27"/>
    <n v="1"/>
    <n v="1"/>
  </r>
  <r>
    <m/>
    <m/>
    <x v="1"/>
    <s v="17002950001001"/>
    <n v="-23.66"/>
    <n v="1203"/>
    <n v="2"/>
    <n v="1"/>
  </r>
  <r>
    <m/>
    <m/>
    <x v="1"/>
    <s v="17078399001001"/>
    <n v="-12.33"/>
    <n v="624"/>
    <n v="1"/>
    <n v="1"/>
  </r>
  <r>
    <m/>
    <m/>
    <x v="1"/>
    <s v="17695560001001"/>
    <n v="-1.58"/>
    <n v="80"/>
    <n v="1"/>
    <n v="1"/>
  </r>
  <r>
    <m/>
    <m/>
    <x v="1"/>
    <s v="17700255001003"/>
    <n v="-2.11"/>
    <n v="107"/>
    <n v="1"/>
    <n v="1"/>
  </r>
  <r>
    <m/>
    <m/>
    <x v="1"/>
    <s v="17836081001001"/>
    <n v="-3.26"/>
    <n v="165"/>
    <n v="1"/>
    <n v="1"/>
  </r>
  <r>
    <m/>
    <m/>
    <x v="1"/>
    <s v="17879957002001"/>
    <n v="-8.34"/>
    <n v="422"/>
    <n v="1"/>
    <n v="1"/>
  </r>
  <r>
    <m/>
    <m/>
    <x v="1"/>
    <s v="17915609001002"/>
    <n v="-3.73"/>
    <n v="189"/>
    <n v="1"/>
    <n v="1"/>
  </r>
  <r>
    <m/>
    <m/>
    <x v="1"/>
    <s v="17975956002001"/>
    <n v="-0.91"/>
    <n v="46"/>
    <n v="1"/>
    <n v="1"/>
  </r>
  <r>
    <m/>
    <m/>
    <x v="1"/>
    <s v="18165838001002"/>
    <n v="-14.86"/>
    <n v="752"/>
    <n v="1"/>
    <n v="1"/>
  </r>
  <r>
    <m/>
    <m/>
    <x v="1"/>
    <s v="18342361001001"/>
    <n v="-0.82000000000000006"/>
    <n v="42"/>
    <n v="2"/>
    <n v="1"/>
  </r>
  <r>
    <m/>
    <m/>
    <x v="1"/>
    <s v="18991884001001"/>
    <n v="-16.439999999999998"/>
    <n v="840"/>
    <n v="2"/>
    <n v="1"/>
  </r>
  <r>
    <m/>
    <m/>
    <x v="1"/>
    <s v="19248493001003"/>
    <n v="-3.14"/>
    <n v="159"/>
    <n v="1"/>
    <n v="1"/>
  </r>
  <r>
    <m/>
    <m/>
    <x v="1"/>
    <s v="19938960001001"/>
    <n v="-15.67"/>
    <n v="793"/>
    <n v="1"/>
    <n v="1"/>
  </r>
  <r>
    <m/>
    <m/>
    <x v="1"/>
    <s v="20011333001001"/>
    <n v="-1.26"/>
    <n v="64"/>
    <n v="2"/>
    <n v="1"/>
  </r>
  <r>
    <m/>
    <m/>
    <x v="1"/>
    <s v="20180113003001"/>
    <n v="-18.670000000000002"/>
    <n v="945"/>
    <n v="1"/>
    <n v="1"/>
  </r>
  <r>
    <m/>
    <m/>
    <x v="1"/>
    <s v="20449624001005"/>
    <n v="-0.81"/>
    <n v="41"/>
    <n v="1"/>
    <n v="1"/>
  </r>
  <r>
    <m/>
    <m/>
    <x v="1"/>
    <s v="20938987001003"/>
    <n v="-3.12"/>
    <n v="158"/>
    <n v="1"/>
    <n v="1"/>
  </r>
  <r>
    <m/>
    <m/>
    <x v="1"/>
    <s v="21046404001005"/>
    <n v="-16.25"/>
    <n v="826"/>
    <n v="2"/>
    <n v="1"/>
  </r>
  <r>
    <m/>
    <m/>
    <x v="1"/>
    <s v="21126918001001"/>
    <n v="-0.4"/>
    <n v="20"/>
    <n v="1"/>
    <n v="1"/>
  </r>
  <r>
    <m/>
    <m/>
    <x v="1"/>
    <s v="21343250001003"/>
    <n v="-0.63"/>
    <n v="32"/>
    <n v="1"/>
    <n v="1"/>
  </r>
  <r>
    <m/>
    <m/>
    <x v="1"/>
    <s v="21883954001003"/>
    <n v="-6.01"/>
    <n v="304"/>
    <n v="1"/>
    <n v="1"/>
  </r>
  <r>
    <m/>
    <m/>
    <x v="1"/>
    <s v="22006059001003"/>
    <n v="-1.74"/>
    <n v="88"/>
    <n v="1"/>
    <n v="1"/>
  </r>
  <r>
    <m/>
    <m/>
    <x v="1"/>
    <s v="22064595001002"/>
    <n v="-5.01"/>
    <n v="256"/>
    <n v="2"/>
    <n v="1"/>
  </r>
  <r>
    <m/>
    <m/>
    <x v="1"/>
    <s v="22249935001008"/>
    <n v="-2.06"/>
    <n v="104"/>
    <n v="1"/>
    <n v="1"/>
  </r>
  <r>
    <m/>
    <m/>
    <x v="1"/>
    <s v="22361013001001"/>
    <n v="-22.17"/>
    <n v="1127"/>
    <n v="2"/>
    <n v="1"/>
  </r>
  <r>
    <m/>
    <m/>
    <x v="1"/>
    <s v="22479204001001"/>
    <n v="-5.79"/>
    <n v="296"/>
    <n v="2"/>
    <n v="1"/>
  </r>
  <r>
    <m/>
    <m/>
    <x v="1"/>
    <s v="22544985001001"/>
    <n v="-11.43"/>
    <n v="581"/>
    <n v="2"/>
    <n v="1"/>
  </r>
  <r>
    <m/>
    <m/>
    <x v="1"/>
    <s v="22786239001001"/>
    <n v="-12.63"/>
    <n v="639"/>
    <n v="1"/>
    <n v="1"/>
  </r>
  <r>
    <m/>
    <m/>
    <x v="1"/>
    <s v="23045379001003"/>
    <n v="-0.24"/>
    <n v="12"/>
    <n v="1"/>
    <n v="1"/>
  </r>
  <r>
    <m/>
    <m/>
    <x v="1"/>
    <s v="23072089004002"/>
    <n v="-9.6999999999999993"/>
    <n v="491"/>
    <n v="1"/>
    <n v="1"/>
  </r>
  <r>
    <m/>
    <m/>
    <x v="1"/>
    <s v="23397291001002"/>
    <n v="-6.44"/>
    <n v="326"/>
    <n v="1"/>
    <n v="1"/>
  </r>
  <r>
    <m/>
    <m/>
    <x v="1"/>
    <s v="23582904002001"/>
    <n v="-2.79"/>
    <n v="141"/>
    <n v="1"/>
    <n v="1"/>
  </r>
  <r>
    <m/>
    <m/>
    <x v="1"/>
    <s v="23964769001001"/>
    <n v="-35.96"/>
    <n v="1820"/>
    <n v="1"/>
    <n v="1"/>
  </r>
  <r>
    <m/>
    <m/>
    <x v="1"/>
    <s v="24367594001003"/>
    <n v="-8.2200000000000006"/>
    <n v="416"/>
    <n v="1"/>
    <n v="1"/>
  </r>
  <r>
    <m/>
    <m/>
    <x v="1"/>
    <s v="24379908001001"/>
    <n v="-7.79"/>
    <n v="394"/>
    <n v="1"/>
    <n v="1"/>
  </r>
  <r>
    <m/>
    <m/>
    <x v="1"/>
    <s v="24700366001005"/>
    <n v="-0.24"/>
    <n v="12"/>
    <n v="1"/>
    <n v="1"/>
  </r>
  <r>
    <m/>
    <m/>
    <x v="1"/>
    <s v="24878853001001"/>
    <n v="-14.700000000000001"/>
    <n v="751"/>
    <n v="2"/>
    <n v="1"/>
  </r>
  <r>
    <m/>
    <m/>
    <x v="1"/>
    <s v="25145853004001"/>
    <n v="-2.65"/>
    <n v="134"/>
    <n v="1"/>
    <n v="1"/>
  </r>
  <r>
    <m/>
    <m/>
    <x v="1"/>
    <s v="25212072001001"/>
    <n v="-6.03"/>
    <n v="305"/>
    <n v="1"/>
    <n v="1"/>
  </r>
  <r>
    <m/>
    <m/>
    <x v="1"/>
    <s v="25543231001002"/>
    <n v="-17.05"/>
    <n v="863"/>
    <n v="1"/>
    <n v="1"/>
  </r>
  <r>
    <m/>
    <m/>
    <x v="1"/>
    <s v="25616940003001"/>
    <n v="-3.75"/>
    <n v="190"/>
    <n v="1"/>
    <n v="1"/>
  </r>
  <r>
    <m/>
    <m/>
    <x v="1"/>
    <s v="25664446001001"/>
    <n v="-6.05"/>
    <n v="306"/>
    <n v="1"/>
    <n v="1"/>
  </r>
  <r>
    <m/>
    <m/>
    <x v="1"/>
    <s v="25768900001001"/>
    <n v="-5.41"/>
    <n v="274"/>
    <n v="1"/>
    <n v="1"/>
  </r>
  <r>
    <m/>
    <m/>
    <x v="1"/>
    <s v="25934033002010"/>
    <n v="-4.54"/>
    <n v="230"/>
    <n v="1"/>
    <n v="1"/>
  </r>
  <r>
    <m/>
    <m/>
    <x v="1"/>
    <s v="26192550001001"/>
    <n v="-21.57"/>
    <n v="1102"/>
    <n v="2"/>
    <n v="1"/>
  </r>
  <r>
    <m/>
    <m/>
    <x v="1"/>
    <s v="26293541004003"/>
    <n v="-25.17"/>
    <n v="1274"/>
    <n v="1"/>
    <n v="1"/>
  </r>
  <r>
    <m/>
    <m/>
    <x v="1"/>
    <s v="26311764001002"/>
    <n v="-9.1"/>
    <n v="463"/>
    <n v="2"/>
    <n v="1"/>
  </r>
  <r>
    <m/>
    <m/>
    <x v="1"/>
    <s v="26366881002001"/>
    <n v="-1.5"/>
    <n v="76"/>
    <n v="1"/>
    <n v="1"/>
  </r>
  <r>
    <m/>
    <m/>
    <x v="1"/>
    <s v="26683813001011"/>
    <n v="-0.14000000000000001"/>
    <n v="7"/>
    <n v="1"/>
    <n v="1"/>
  </r>
  <r>
    <m/>
    <m/>
    <x v="1"/>
    <s v="26869084007001"/>
    <n v="-1.54"/>
    <n v="78"/>
    <n v="1"/>
    <n v="1"/>
  </r>
  <r>
    <m/>
    <m/>
    <x v="1"/>
    <s v="27353470003003"/>
    <n v="-21.3"/>
    <n v="1078"/>
    <n v="1"/>
    <n v="1"/>
  </r>
  <r>
    <m/>
    <m/>
    <x v="1"/>
    <s v="27696108001012"/>
    <n v="-0.49"/>
    <n v="25"/>
    <n v="1"/>
    <n v="1"/>
  </r>
  <r>
    <m/>
    <m/>
    <x v="1"/>
    <s v="28006021003005"/>
    <n v="-18.799999999999997"/>
    <n v="956"/>
    <n v="2"/>
    <n v="1"/>
  </r>
  <r>
    <m/>
    <m/>
    <x v="1"/>
    <s v="28014351004008"/>
    <n v="-9.8800000000000008"/>
    <n v="500"/>
    <n v="1"/>
    <n v="1"/>
  </r>
  <r>
    <m/>
    <m/>
    <x v="1"/>
    <s v="28065736001004"/>
    <n v="-1.1100000000000001"/>
    <n v="56"/>
    <n v="1"/>
    <n v="1"/>
  </r>
  <r>
    <m/>
    <m/>
    <x v="1"/>
    <s v="28282482001001"/>
    <n v="-12.78"/>
    <n v="647"/>
    <n v="1"/>
    <n v="1"/>
  </r>
  <r>
    <m/>
    <m/>
    <x v="1"/>
    <s v="29907188001008"/>
    <n v="-1.05"/>
    <n v="53"/>
    <n v="1"/>
    <n v="1"/>
  </r>
  <r>
    <m/>
    <m/>
    <x v="1"/>
    <s v="29966739001002"/>
    <n v="-12.11"/>
    <n v="613"/>
    <n v="1"/>
    <n v="1"/>
  </r>
  <r>
    <m/>
    <m/>
    <x v="1"/>
    <s v="30315366001001"/>
    <n v="-32.5"/>
    <n v="1660"/>
    <n v="2"/>
    <n v="1"/>
  </r>
  <r>
    <m/>
    <m/>
    <x v="1"/>
    <s v="30326468002004"/>
    <n v="-16.97"/>
    <n v="859"/>
    <n v="1"/>
    <n v="1"/>
  </r>
  <r>
    <m/>
    <m/>
    <x v="1"/>
    <s v="30360605008001"/>
    <n v="-1.62"/>
    <n v="82"/>
    <n v="1"/>
    <n v="1"/>
  </r>
  <r>
    <m/>
    <m/>
    <x v="1"/>
    <s v="30361706001001"/>
    <n v="-14.86"/>
    <n v="752"/>
    <n v="1"/>
    <n v="1"/>
  </r>
  <r>
    <m/>
    <m/>
    <x v="1"/>
    <s v="30618491001003"/>
    <n v="-2.73"/>
    <n v="138"/>
    <n v="1"/>
    <n v="1"/>
  </r>
  <r>
    <m/>
    <m/>
    <x v="1"/>
    <s v="30684952001001"/>
    <n v="-2.79"/>
    <n v="141"/>
    <n v="1"/>
    <n v="1"/>
  </r>
  <r>
    <m/>
    <m/>
    <x v="1"/>
    <s v="30887773005008"/>
    <n v="-2.92"/>
    <n v="148"/>
    <n v="2"/>
    <n v="1"/>
  </r>
  <r>
    <m/>
    <m/>
    <x v="1"/>
    <s v="30975210001001"/>
    <n v="-20.12"/>
    <n v="1028"/>
    <n v="2"/>
    <n v="1"/>
  </r>
  <r>
    <m/>
    <m/>
    <x v="1"/>
    <s v="31129585001008"/>
    <n v="-13.46"/>
    <n v="681"/>
    <n v="1"/>
    <n v="1"/>
  </r>
  <r>
    <m/>
    <m/>
    <x v="1"/>
    <s v="31452473001001"/>
    <n v="-0.1"/>
    <n v="5"/>
    <n v="1"/>
    <n v="1"/>
  </r>
  <r>
    <m/>
    <m/>
    <x v="1"/>
    <s v="31590004001001"/>
    <n v="-1.07"/>
    <n v="54"/>
    <n v="1"/>
    <n v="1"/>
  </r>
  <r>
    <m/>
    <m/>
    <x v="1"/>
    <s v="32135273002001"/>
    <n v="-1.34"/>
    <n v="68"/>
    <n v="1"/>
    <n v="1"/>
  </r>
  <r>
    <m/>
    <m/>
    <x v="1"/>
    <s v="32517568004001"/>
    <n v="-0.91"/>
    <n v="46"/>
    <n v="1"/>
    <n v="1"/>
  </r>
  <r>
    <m/>
    <m/>
    <x v="1"/>
    <s v="32636395001001"/>
    <n v="-1.46"/>
    <n v="74"/>
    <n v="1"/>
    <n v="1"/>
  </r>
  <r>
    <m/>
    <m/>
    <x v="1"/>
    <s v="32666126001001"/>
    <n v="-6.75"/>
    <n v="343"/>
    <n v="2"/>
    <n v="1"/>
  </r>
  <r>
    <m/>
    <m/>
    <x v="1"/>
    <s v="32759956001001"/>
    <n v="-12.47"/>
    <n v="631"/>
    <n v="1"/>
    <n v="1"/>
  </r>
  <r>
    <m/>
    <m/>
    <x v="1"/>
    <s v="32804453001009"/>
    <n v="-0.02"/>
    <n v="1"/>
    <n v="1"/>
    <n v="1"/>
  </r>
  <r>
    <m/>
    <m/>
    <x v="1"/>
    <s v="33383973002003"/>
    <n v="-3.7800000000000002"/>
    <n v="193"/>
    <n v="2"/>
    <n v="1"/>
  </r>
  <r>
    <m/>
    <m/>
    <x v="1"/>
    <s v="33579124001002"/>
    <n v="-0.97"/>
    <n v="49"/>
    <n v="1"/>
    <n v="1"/>
  </r>
  <r>
    <m/>
    <m/>
    <x v="1"/>
    <s v="33910067001001"/>
    <n v="-2.29"/>
    <n v="116"/>
    <n v="1"/>
    <n v="1"/>
  </r>
  <r>
    <m/>
    <m/>
    <x v="1"/>
    <s v="34088818001004"/>
    <n v="-20.170000000000002"/>
    <n v="1021"/>
    <n v="1"/>
    <n v="1"/>
  </r>
  <r>
    <m/>
    <m/>
    <x v="1"/>
    <s v="34099616001006"/>
    <n v="-5.97"/>
    <n v="302"/>
    <n v="1"/>
    <n v="1"/>
  </r>
  <r>
    <m/>
    <m/>
    <x v="1"/>
    <s v="34307833003001"/>
    <n v="-4.1500000000000004"/>
    <n v="210"/>
    <n v="1"/>
    <n v="1"/>
  </r>
  <r>
    <m/>
    <m/>
    <x v="1"/>
    <s v="34892207001001"/>
    <n v="-9.82"/>
    <n v="497"/>
    <n v="1"/>
    <n v="1"/>
  </r>
  <r>
    <m/>
    <m/>
    <x v="1"/>
    <s v="34902092001003"/>
    <n v="-6.46"/>
    <n v="327"/>
    <n v="1"/>
    <n v="1"/>
  </r>
  <r>
    <m/>
    <m/>
    <x v="1"/>
    <s v="35345438001001"/>
    <n v="-8.4600000000000009"/>
    <n v="428"/>
    <n v="1"/>
    <n v="1"/>
  </r>
  <r>
    <m/>
    <m/>
    <x v="1"/>
    <s v="35490120001003"/>
    <n v="-0.32"/>
    <n v="16"/>
    <n v="1"/>
    <n v="1"/>
  </r>
  <r>
    <m/>
    <m/>
    <x v="1"/>
    <s v="35523656001007"/>
    <n v="-0.34"/>
    <n v="17"/>
    <n v="1"/>
    <n v="1"/>
  </r>
  <r>
    <m/>
    <m/>
    <x v="1"/>
    <s v="35588099002003"/>
    <n v="-2.98"/>
    <n v="151"/>
    <n v="1"/>
    <n v="1"/>
  </r>
  <r>
    <m/>
    <m/>
    <x v="1"/>
    <s v="35691353001006"/>
    <n v="-11.82"/>
    <n v="601"/>
    <n v="2"/>
    <n v="1"/>
  </r>
  <r>
    <m/>
    <m/>
    <x v="1"/>
    <s v="36065414001009"/>
    <n v="-2.31"/>
    <n v="117"/>
    <n v="1"/>
    <n v="1"/>
  </r>
  <r>
    <m/>
    <m/>
    <x v="1"/>
    <s v="36145080002001"/>
    <n v="-0.79"/>
    <n v="40"/>
    <n v="1"/>
    <n v="1"/>
  </r>
  <r>
    <m/>
    <m/>
    <x v="1"/>
    <s v="36405191001001"/>
    <n v="-7.75"/>
    <n v="392"/>
    <n v="1"/>
    <n v="1"/>
  </r>
  <r>
    <m/>
    <m/>
    <x v="1"/>
    <s v="36459596001003"/>
    <n v="-2.88"/>
    <n v="146"/>
    <n v="1"/>
    <n v="1"/>
  </r>
  <r>
    <m/>
    <m/>
    <x v="1"/>
    <s v="36990379002001"/>
    <n v="-1.03"/>
    <n v="52"/>
    <n v="1"/>
    <n v="1"/>
  </r>
  <r>
    <m/>
    <m/>
    <x v="1"/>
    <s v="37072302001005"/>
    <n v="-0.99"/>
    <n v="50"/>
    <n v="1"/>
    <n v="1"/>
  </r>
  <r>
    <m/>
    <m/>
    <x v="1"/>
    <s v="37250462001001"/>
    <n v="-7.88"/>
    <n v="399"/>
    <n v="1"/>
    <n v="1"/>
  </r>
  <r>
    <m/>
    <m/>
    <x v="1"/>
    <s v="37420592003001"/>
    <n v="-5.49"/>
    <n v="278"/>
    <n v="1"/>
    <n v="1"/>
  </r>
  <r>
    <m/>
    <m/>
    <x v="1"/>
    <s v="37463674001001"/>
    <n v="-13.06"/>
    <n v="661"/>
    <n v="1"/>
    <n v="1"/>
  </r>
  <r>
    <m/>
    <m/>
    <x v="1"/>
    <s v="38597136001002"/>
    <n v="-7.61"/>
    <n v="385"/>
    <n v="1"/>
    <n v="1"/>
  </r>
  <r>
    <m/>
    <m/>
    <x v="1"/>
    <s v="38665012002003"/>
    <n v="-7.27"/>
    <n v="368"/>
    <n v="1"/>
    <n v="1"/>
  </r>
  <r>
    <m/>
    <m/>
    <x v="1"/>
    <s v="38666511001005"/>
    <n v="-22.53"/>
    <n v="1140"/>
    <n v="1"/>
    <n v="1"/>
  </r>
  <r>
    <m/>
    <m/>
    <x v="1"/>
    <s v="38677583001001"/>
    <n v="-8.3000000000000007"/>
    <n v="420"/>
    <n v="1"/>
    <n v="1"/>
  </r>
  <r>
    <m/>
    <m/>
    <x v="1"/>
    <s v="38860694001003"/>
    <n v="-0.77"/>
    <n v="39"/>
    <n v="1"/>
    <n v="1"/>
  </r>
  <r>
    <m/>
    <m/>
    <x v="1"/>
    <s v="38891796001003"/>
    <n v="-7.22"/>
    <n v="367"/>
    <n v="2"/>
    <n v="1"/>
  </r>
  <r>
    <m/>
    <m/>
    <x v="1"/>
    <s v="39658784002001"/>
    <n v="-3.6"/>
    <n v="182"/>
    <n v="1"/>
    <n v="1"/>
  </r>
  <r>
    <m/>
    <m/>
    <x v="1"/>
    <s v="39662471001003"/>
    <n v="-7.96"/>
    <n v="403"/>
    <n v="1"/>
    <n v="1"/>
  </r>
  <r>
    <m/>
    <m/>
    <x v="1"/>
    <s v="39954610002010"/>
    <n v="-2.5499999999999998"/>
    <n v="129"/>
    <n v="1"/>
    <n v="1"/>
  </r>
  <r>
    <m/>
    <m/>
    <x v="1"/>
    <s v="39955820001001"/>
    <n v="-2.5499999999999998"/>
    <n v="129"/>
    <n v="1"/>
    <n v="1"/>
  </r>
  <r>
    <m/>
    <m/>
    <x v="1"/>
    <s v="41254471001004"/>
    <n v="-12.49"/>
    <n v="632"/>
    <n v="1"/>
    <n v="1"/>
  </r>
  <r>
    <m/>
    <m/>
    <x v="1"/>
    <s v="41938265001001"/>
    <n v="-11.5"/>
    <n v="582"/>
    <n v="1"/>
    <n v="1"/>
  </r>
  <r>
    <m/>
    <m/>
    <x v="1"/>
    <s v="42014470001005"/>
    <n v="-13.83"/>
    <n v="700"/>
    <n v="1"/>
    <n v="1"/>
  </r>
  <r>
    <m/>
    <m/>
    <x v="1"/>
    <s v="42066880001001"/>
    <n v="-2.63"/>
    <n v="133"/>
    <n v="1"/>
    <n v="1"/>
  </r>
  <r>
    <m/>
    <m/>
    <x v="1"/>
    <s v="42508761002002"/>
    <n v="-19.079999999999998"/>
    <n v="970"/>
    <n v="2"/>
    <n v="1"/>
  </r>
  <r>
    <m/>
    <m/>
    <x v="1"/>
    <s v="42515901001002"/>
    <n v="-9.11"/>
    <n v="461"/>
    <n v="1"/>
    <n v="1"/>
  </r>
  <r>
    <m/>
    <m/>
    <x v="1"/>
    <s v="42524441001002"/>
    <n v="-33.660000000000004"/>
    <n v="1719"/>
    <n v="2"/>
    <n v="1"/>
  </r>
  <r>
    <m/>
    <m/>
    <x v="1"/>
    <s v="42528501001002"/>
    <n v="-12.84"/>
    <n v="650"/>
    <n v="1"/>
    <n v="1"/>
  </r>
  <r>
    <m/>
    <m/>
    <x v="1"/>
    <s v="42576676002001"/>
    <n v="-7.75"/>
    <n v="396"/>
    <n v="2"/>
    <n v="1"/>
  </r>
  <r>
    <m/>
    <m/>
    <x v="1"/>
    <s v="42586041002001"/>
    <n v="-17.84"/>
    <n v="903"/>
    <n v="1"/>
    <n v="1"/>
  </r>
  <r>
    <m/>
    <m/>
    <x v="1"/>
    <s v="42613341001001"/>
    <n v="-2.5099999999999998"/>
    <n v="127"/>
    <n v="1"/>
    <n v="1"/>
  </r>
  <r>
    <m/>
    <m/>
    <x v="1"/>
    <s v="42620271001001"/>
    <n v="-1.58"/>
    <n v="80"/>
    <n v="1"/>
    <n v="1"/>
  </r>
  <r>
    <m/>
    <m/>
    <x v="1"/>
    <s v="42624051001002"/>
    <n v="-1.78"/>
    <n v="90"/>
    <n v="1"/>
    <n v="1"/>
  </r>
  <r>
    <m/>
    <m/>
    <x v="1"/>
    <s v="42649321001001"/>
    <n v="-5.37"/>
    <n v="272"/>
    <n v="1"/>
    <n v="1"/>
  </r>
  <r>
    <m/>
    <m/>
    <x v="1"/>
    <s v="42659261001004"/>
    <n v="-25.75"/>
    <n v="1303"/>
    <n v="1"/>
    <n v="1"/>
  </r>
  <r>
    <m/>
    <m/>
    <x v="1"/>
    <s v="42662971001011"/>
    <n v="-12.98"/>
    <n v="657"/>
    <n v="1"/>
    <n v="1"/>
  </r>
  <r>
    <m/>
    <m/>
    <x v="1"/>
    <s v="42725901002002"/>
    <n v="-3.22"/>
    <n v="163"/>
    <n v="1"/>
    <n v="1"/>
  </r>
  <r>
    <m/>
    <m/>
    <x v="1"/>
    <s v="42743757001001"/>
    <n v="-4.1100000000000003"/>
    <n v="210"/>
    <n v="2"/>
    <n v="1"/>
  </r>
  <r>
    <m/>
    <m/>
    <x v="1"/>
    <s v="42776931001001"/>
    <n v="-16.25"/>
    <n v="826"/>
    <n v="2"/>
    <n v="1"/>
  </r>
  <r>
    <m/>
    <m/>
    <x v="1"/>
    <s v="42785681001001"/>
    <n v="-37.370000000000005"/>
    <n v="1900"/>
    <n v="2"/>
    <n v="1"/>
  </r>
  <r>
    <m/>
    <m/>
    <x v="1"/>
    <s v="42812881002001"/>
    <n v="-7.45"/>
    <n v="377"/>
    <n v="1"/>
    <n v="1"/>
  </r>
  <r>
    <m/>
    <m/>
    <x v="1"/>
    <s v="42816621001001"/>
    <n v="-19.149999999999999"/>
    <n v="974"/>
    <n v="2"/>
    <n v="1"/>
  </r>
  <r>
    <m/>
    <m/>
    <x v="1"/>
    <s v="42926275001002"/>
    <n v="-0.85"/>
    <n v="43"/>
    <n v="1"/>
    <n v="1"/>
  </r>
  <r>
    <m/>
    <m/>
    <x v="1"/>
    <s v="42954661002001"/>
    <n v="-9.19"/>
    <n v="465"/>
    <n v="1"/>
    <n v="1"/>
  </r>
  <r>
    <m/>
    <m/>
    <x v="1"/>
    <s v="43045241001001"/>
    <n v="-0.83"/>
    <n v="42"/>
    <n v="1"/>
    <n v="1"/>
  </r>
  <r>
    <m/>
    <m/>
    <x v="1"/>
    <s v="43137151001001"/>
    <n v="-17.03"/>
    <n v="862"/>
    <n v="1"/>
    <n v="1"/>
  </r>
  <r>
    <m/>
    <m/>
    <x v="1"/>
    <s v="43163261002001"/>
    <n v="-19.86"/>
    <n v="1005"/>
    <n v="1"/>
    <n v="1"/>
  </r>
  <r>
    <m/>
    <m/>
    <x v="1"/>
    <s v="43192521002006"/>
    <n v="-8"/>
    <n v="405"/>
    <n v="1"/>
    <n v="1"/>
  </r>
  <r>
    <m/>
    <m/>
    <x v="1"/>
    <s v="43234101001001"/>
    <n v="-0.83"/>
    <n v="42"/>
    <n v="1"/>
    <n v="1"/>
  </r>
  <r>
    <m/>
    <m/>
    <x v="1"/>
    <s v="43254471002001"/>
    <n v="-4.3899999999999997"/>
    <n v="222"/>
    <n v="1"/>
    <n v="1"/>
  </r>
  <r>
    <m/>
    <m/>
    <x v="1"/>
    <s v="43259441001002"/>
    <n v="-1.78"/>
    <n v="90"/>
    <n v="1"/>
    <n v="1"/>
  </r>
  <r>
    <m/>
    <m/>
    <x v="1"/>
    <s v="43267071001006"/>
    <n v="-5.99"/>
    <n v="303"/>
    <n v="1"/>
    <n v="1"/>
  </r>
  <r>
    <m/>
    <m/>
    <x v="1"/>
    <s v="43297591001002"/>
    <n v="-16.84"/>
    <n v="852"/>
    <n v="1"/>
    <n v="1"/>
  </r>
  <r>
    <m/>
    <m/>
    <x v="1"/>
    <s v="43333711001002"/>
    <n v="-1.34"/>
    <n v="68"/>
    <n v="1"/>
    <n v="1"/>
  </r>
  <r>
    <m/>
    <m/>
    <x v="1"/>
    <s v="43341691001008"/>
    <n v="-8.8699999999999992"/>
    <n v="451"/>
    <n v="2"/>
    <n v="1"/>
  </r>
  <r>
    <m/>
    <m/>
    <x v="1"/>
    <s v="43399301001003"/>
    <n v="-5.18"/>
    <n v="262"/>
    <n v="1"/>
    <n v="1"/>
  </r>
  <r>
    <m/>
    <m/>
    <x v="1"/>
    <s v="43411551001012"/>
    <n v="-5.47"/>
    <n v="277"/>
    <n v="1"/>
    <n v="1"/>
  </r>
  <r>
    <m/>
    <m/>
    <x v="1"/>
    <s v="43445991001003"/>
    <n v="-19.03"/>
    <n v="963"/>
    <n v="1"/>
    <n v="1"/>
  </r>
  <r>
    <m/>
    <m/>
    <x v="1"/>
    <s v="43629601001002"/>
    <n v="-2.71"/>
    <n v="137"/>
    <n v="1"/>
    <n v="1"/>
  </r>
  <r>
    <m/>
    <m/>
    <x v="1"/>
    <s v="43717941001003"/>
    <n v="-2.81"/>
    <n v="142"/>
    <n v="1"/>
    <n v="1"/>
  </r>
  <r>
    <m/>
    <m/>
    <x v="1"/>
    <s v="43736211001004"/>
    <n v="-1.46"/>
    <n v="74"/>
    <n v="1"/>
    <n v="1"/>
  </r>
  <r>
    <m/>
    <m/>
    <x v="1"/>
    <s v="43777301002001"/>
    <n v="-0.26"/>
    <n v="13"/>
    <n v="1"/>
    <n v="1"/>
  </r>
  <r>
    <m/>
    <m/>
    <x v="1"/>
    <s v="43805161001001"/>
    <n v="-3.56"/>
    <n v="180"/>
    <n v="1"/>
    <n v="1"/>
  </r>
  <r>
    <m/>
    <m/>
    <x v="1"/>
    <s v="43823991001001"/>
    <n v="-3.52"/>
    <n v="178"/>
    <n v="1"/>
    <n v="1"/>
  </r>
  <r>
    <m/>
    <m/>
    <x v="1"/>
    <s v="43829235001002"/>
    <n v="-11.48"/>
    <n v="584"/>
    <n v="2"/>
    <n v="1"/>
  </r>
  <r>
    <m/>
    <m/>
    <x v="1"/>
    <s v="43829871002001"/>
    <n v="-2.81"/>
    <n v="142"/>
    <n v="1"/>
    <n v="1"/>
  </r>
  <r>
    <m/>
    <m/>
    <x v="1"/>
    <s v="43835420001001"/>
    <n v="-2.4700000000000002"/>
    <n v="125"/>
    <n v="1"/>
    <n v="1"/>
  </r>
  <r>
    <m/>
    <m/>
    <x v="1"/>
    <s v="43881111001003"/>
    <n v="-7.9300000000000006"/>
    <n v="403"/>
    <n v="2"/>
    <n v="1"/>
  </r>
  <r>
    <m/>
    <m/>
    <x v="1"/>
    <s v="43883841001001"/>
    <n v="-2.81"/>
    <n v="142"/>
    <n v="1"/>
    <n v="1"/>
  </r>
  <r>
    <m/>
    <m/>
    <x v="1"/>
    <s v="43890421001006"/>
    <n v="-14.66"/>
    <n v="742"/>
    <n v="1"/>
    <n v="1"/>
  </r>
  <r>
    <m/>
    <m/>
    <x v="1"/>
    <s v="44003611001001"/>
    <n v="-0.47"/>
    <n v="24"/>
    <n v="1"/>
    <n v="1"/>
  </r>
  <r>
    <m/>
    <m/>
    <x v="1"/>
    <s v="44070041001001"/>
    <n v="-2.35"/>
    <n v="119"/>
    <n v="1"/>
    <n v="1"/>
  </r>
  <r>
    <m/>
    <m/>
    <x v="1"/>
    <s v="44114631002002"/>
    <n v="-0.49"/>
    <n v="25"/>
    <n v="1"/>
    <n v="1"/>
  </r>
  <r>
    <m/>
    <m/>
    <x v="1"/>
    <s v="44225511001001"/>
    <n v="-14.66"/>
    <n v="742"/>
    <n v="1"/>
    <n v="1"/>
  </r>
  <r>
    <m/>
    <m/>
    <x v="1"/>
    <s v="44254071001001"/>
    <n v="-7.94"/>
    <n v="402"/>
    <n v="1"/>
    <n v="1"/>
  </r>
  <r>
    <m/>
    <m/>
    <x v="1"/>
    <s v="44271711001001"/>
    <n v="-0.14000000000000001"/>
    <n v="7"/>
    <n v="1"/>
    <n v="1"/>
  </r>
  <r>
    <m/>
    <m/>
    <x v="1"/>
    <s v="44276401001002"/>
    <n v="-0.08"/>
    <n v="4"/>
    <n v="1"/>
    <n v="1"/>
  </r>
  <r>
    <m/>
    <m/>
    <x v="1"/>
    <s v="44285361001001"/>
    <n v="-2.02"/>
    <n v="102"/>
    <n v="1"/>
    <n v="1"/>
  </r>
  <r>
    <m/>
    <m/>
    <x v="1"/>
    <s v="44339401001001"/>
    <n v="-3.48"/>
    <n v="176"/>
    <n v="1"/>
    <n v="1"/>
  </r>
  <r>
    <m/>
    <m/>
    <x v="1"/>
    <s v="44351795001005"/>
    <n v="-0.08"/>
    <n v="4"/>
    <n v="1"/>
    <n v="1"/>
  </r>
  <r>
    <m/>
    <m/>
    <x v="1"/>
    <s v="44353961001003"/>
    <n v="-1.46"/>
    <n v="74"/>
    <n v="1"/>
    <n v="1"/>
  </r>
  <r>
    <m/>
    <m/>
    <x v="1"/>
    <s v="44432151001001"/>
    <n v="-2.77"/>
    <n v="140"/>
    <n v="1"/>
    <n v="1"/>
  </r>
  <r>
    <m/>
    <m/>
    <x v="1"/>
    <s v="44449861003001"/>
    <n v="-41.74"/>
    <n v="2132"/>
    <n v="2"/>
    <n v="1"/>
  </r>
  <r>
    <m/>
    <m/>
    <x v="1"/>
    <s v="44452381001001"/>
    <n v="-13.99"/>
    <n v="708"/>
    <n v="1"/>
    <n v="1"/>
  </r>
  <r>
    <m/>
    <m/>
    <x v="1"/>
    <s v="44480241001005"/>
    <n v="-6.68"/>
    <n v="338"/>
    <n v="1"/>
    <n v="1"/>
  </r>
  <r>
    <m/>
    <m/>
    <x v="1"/>
    <s v="44487381001001"/>
    <n v="-18.71"/>
    <n v="947"/>
    <n v="1"/>
    <n v="1"/>
  </r>
  <r>
    <m/>
    <m/>
    <x v="1"/>
    <s v="44550311001001"/>
    <n v="-6.78"/>
    <n v="343"/>
    <n v="1"/>
    <n v="1"/>
  </r>
  <r>
    <m/>
    <m/>
    <x v="1"/>
    <s v="44562771002001"/>
    <n v="-0.85"/>
    <n v="43"/>
    <n v="1"/>
    <n v="1"/>
  </r>
  <r>
    <m/>
    <m/>
    <x v="1"/>
    <s v="44569071002001"/>
    <n v="-8.08"/>
    <n v="409"/>
    <n v="1"/>
    <n v="1"/>
  </r>
  <r>
    <m/>
    <m/>
    <x v="1"/>
    <s v="44639981001001"/>
    <n v="-4.88"/>
    <n v="247"/>
    <n v="1"/>
    <n v="1"/>
  </r>
  <r>
    <m/>
    <m/>
    <x v="1"/>
    <s v="44698571001002"/>
    <n v="-2.35"/>
    <n v="119"/>
    <n v="1"/>
    <n v="1"/>
  </r>
  <r>
    <m/>
    <m/>
    <x v="1"/>
    <s v="44702771001003"/>
    <n v="-24.03"/>
    <n v="1216"/>
    <n v="1"/>
    <n v="1"/>
  </r>
  <r>
    <m/>
    <m/>
    <x v="1"/>
    <s v="44719431001001"/>
    <n v="-0.61"/>
    <n v="31"/>
    <n v="1"/>
    <n v="1"/>
  </r>
  <r>
    <m/>
    <m/>
    <x v="1"/>
    <s v="44775641001002"/>
    <n v="-2.39"/>
    <n v="121"/>
    <n v="1"/>
    <n v="1"/>
  </r>
  <r>
    <m/>
    <m/>
    <x v="1"/>
    <s v="44775991001002"/>
    <n v="-5.35"/>
    <n v="271"/>
    <n v="1"/>
    <n v="1"/>
  </r>
  <r>
    <m/>
    <m/>
    <x v="1"/>
    <s v="44797411005020"/>
    <n v="-0.61"/>
    <n v="31"/>
    <n v="1"/>
    <n v="1"/>
  </r>
  <r>
    <m/>
    <m/>
    <x v="1"/>
    <s v="44805881002002"/>
    <n v="-10.29"/>
    <n v="521"/>
    <n v="1"/>
    <n v="1"/>
  </r>
  <r>
    <m/>
    <m/>
    <x v="1"/>
    <s v="44819842001003"/>
    <n v="-9.92"/>
    <n v="502"/>
    <n v="1"/>
    <n v="1"/>
  </r>
  <r>
    <m/>
    <m/>
    <x v="1"/>
    <s v="44844661001002"/>
    <n v="-19.28"/>
    <n v="985"/>
    <n v="2"/>
    <n v="1"/>
  </r>
  <r>
    <m/>
    <m/>
    <x v="1"/>
    <s v="44847951001001"/>
    <n v="-7.69"/>
    <n v="389"/>
    <n v="1"/>
    <n v="1"/>
  </r>
  <r>
    <m/>
    <m/>
    <x v="1"/>
    <s v="44858844001002"/>
    <n v="-1.19"/>
    <n v="60"/>
    <n v="1"/>
    <n v="1"/>
  </r>
  <r>
    <m/>
    <m/>
    <x v="1"/>
    <s v="44861671002001"/>
    <n v="-6.56"/>
    <n v="332"/>
    <n v="1"/>
    <n v="1"/>
  </r>
  <r>
    <m/>
    <m/>
    <x v="1"/>
    <s v="44875811001006"/>
    <n v="-12.65"/>
    <n v="646"/>
    <n v="2"/>
    <n v="1"/>
  </r>
  <r>
    <m/>
    <m/>
    <x v="1"/>
    <s v="44882082003001"/>
    <n v="-0.55000000000000004"/>
    <n v="28"/>
    <n v="1"/>
    <n v="1"/>
  </r>
  <r>
    <m/>
    <m/>
    <x v="1"/>
    <s v="44885681001001"/>
    <n v="-3.75"/>
    <n v="190"/>
    <n v="1"/>
    <n v="1"/>
  </r>
  <r>
    <m/>
    <m/>
    <x v="1"/>
    <s v="44891981001003"/>
    <n v="-3.64"/>
    <n v="184"/>
    <n v="1"/>
    <n v="1"/>
  </r>
  <r>
    <m/>
    <m/>
    <x v="1"/>
    <s v="44905001001001"/>
    <n v="-4.49"/>
    <n v="227"/>
    <n v="1"/>
    <n v="1"/>
  </r>
  <r>
    <m/>
    <m/>
    <x v="1"/>
    <s v="44905701001001"/>
    <n v="-0.18"/>
    <n v="9"/>
    <n v="1"/>
    <n v="1"/>
  </r>
  <r>
    <m/>
    <m/>
    <x v="1"/>
    <s v="44983121001001"/>
    <n v="-4.7"/>
    <n v="238"/>
    <n v="1"/>
    <n v="1"/>
  </r>
  <r>
    <m/>
    <m/>
    <x v="1"/>
    <s v="44992711001001"/>
    <n v="-13.93"/>
    <n v="705"/>
    <n v="1"/>
    <n v="1"/>
  </r>
  <r>
    <m/>
    <m/>
    <x v="1"/>
    <s v="45041431001002"/>
    <n v="-7.88"/>
    <n v="399"/>
    <n v="1"/>
    <n v="1"/>
  </r>
  <r>
    <m/>
    <m/>
    <x v="1"/>
    <s v="45051091001001"/>
    <n v="-4.5999999999999996"/>
    <n v="233"/>
    <n v="1"/>
    <n v="1"/>
  </r>
  <r>
    <m/>
    <m/>
    <x v="1"/>
    <s v="45060821001003"/>
    <n v="-11.28"/>
    <n v="571"/>
    <n v="1"/>
    <n v="1"/>
  </r>
  <r>
    <m/>
    <m/>
    <x v="1"/>
    <s v="45072511001002"/>
    <n v="-0.2"/>
    <n v="10"/>
    <n v="1"/>
    <n v="1"/>
  </r>
  <r>
    <m/>
    <m/>
    <x v="1"/>
    <s v="45073281001004"/>
    <n v="-4.68"/>
    <n v="237"/>
    <n v="1"/>
    <n v="1"/>
  </r>
  <r>
    <m/>
    <m/>
    <x v="1"/>
    <s v="45076991001001"/>
    <n v="-2.4700000000000002"/>
    <n v="125"/>
    <n v="1"/>
    <n v="1"/>
  </r>
  <r>
    <m/>
    <m/>
    <x v="1"/>
    <s v="45126691002004"/>
    <n v="-11.14"/>
    <n v="564"/>
    <n v="1"/>
    <n v="1"/>
  </r>
  <r>
    <m/>
    <m/>
    <x v="1"/>
    <s v="45137401001003"/>
    <n v="-9.23"/>
    <n v="467"/>
    <n v="1"/>
    <n v="1"/>
  </r>
  <r>
    <m/>
    <m/>
    <x v="1"/>
    <s v="45146851001006"/>
    <n v="-0.47"/>
    <n v="24"/>
    <n v="1"/>
    <n v="1"/>
  </r>
  <r>
    <m/>
    <m/>
    <x v="1"/>
    <s v="45170721001001"/>
    <n v="-22.020000000000003"/>
    <n v="1125"/>
    <n v="2"/>
    <n v="1"/>
  </r>
  <r>
    <m/>
    <m/>
    <x v="1"/>
    <s v="45182201001001"/>
    <n v="-9.120000000000001"/>
    <n v="466"/>
    <n v="2"/>
    <n v="1"/>
  </r>
  <r>
    <m/>
    <m/>
    <x v="1"/>
    <s v="45200471001003"/>
    <n v="-16.04"/>
    <n v="819"/>
    <n v="2"/>
    <n v="1"/>
  </r>
  <r>
    <m/>
    <m/>
    <x v="1"/>
    <s v="45272991001001"/>
    <n v="-1.96"/>
    <n v="99"/>
    <n v="1"/>
    <n v="1"/>
  </r>
  <r>
    <m/>
    <m/>
    <x v="1"/>
    <s v="45290141001001"/>
    <n v="-7.21"/>
    <n v="365"/>
    <n v="1"/>
    <n v="1"/>
  </r>
  <r>
    <m/>
    <m/>
    <x v="1"/>
    <s v="45332981001003"/>
    <n v="-4.95"/>
    <n v="252"/>
    <n v="2"/>
    <n v="1"/>
  </r>
  <r>
    <m/>
    <m/>
    <x v="1"/>
    <s v="45360911001001"/>
    <n v="-8.06"/>
    <n v="408"/>
    <n v="1"/>
    <n v="1"/>
  </r>
  <r>
    <m/>
    <m/>
    <x v="1"/>
    <s v="45371411001001"/>
    <n v="-1.8"/>
    <n v="91"/>
    <n v="1"/>
    <n v="1"/>
  </r>
  <r>
    <m/>
    <m/>
    <x v="1"/>
    <s v="45384011001002"/>
    <n v="-15.1"/>
    <n v="764"/>
    <n v="1"/>
    <n v="1"/>
  </r>
  <r>
    <m/>
    <m/>
    <x v="1"/>
    <s v="45440641002001"/>
    <n v="-2.1399999999999997"/>
    <n v="109"/>
    <n v="2"/>
    <n v="1"/>
  </r>
  <r>
    <m/>
    <m/>
    <x v="1"/>
    <s v="45445432002001"/>
    <n v="-1.05"/>
    <n v="53"/>
    <n v="1"/>
    <n v="1"/>
  </r>
  <r>
    <m/>
    <m/>
    <x v="1"/>
    <s v="45451631001001"/>
    <n v="-3.26"/>
    <n v="165"/>
    <n v="1"/>
    <n v="1"/>
  </r>
  <r>
    <m/>
    <m/>
    <x v="1"/>
    <s v="45524858001001"/>
    <n v="-0.65"/>
    <n v="33"/>
    <n v="1"/>
    <n v="1"/>
  </r>
  <r>
    <m/>
    <m/>
    <x v="1"/>
    <s v="45525621001001"/>
    <n v="-4.1100000000000003"/>
    <n v="209"/>
    <n v="2"/>
    <n v="1"/>
  </r>
  <r>
    <m/>
    <m/>
    <x v="1"/>
    <s v="45526041001005"/>
    <n v="-4.03"/>
    <n v="204"/>
    <n v="1"/>
    <n v="1"/>
  </r>
  <r>
    <m/>
    <m/>
    <x v="1"/>
    <s v="45546971002001"/>
    <n v="-0.68"/>
    <n v="35"/>
    <n v="2"/>
    <n v="1"/>
  </r>
  <r>
    <m/>
    <m/>
    <x v="1"/>
    <s v="45628101001001"/>
    <n v="-18.5"/>
    <n v="945"/>
    <n v="2"/>
    <n v="1"/>
  </r>
  <r>
    <m/>
    <m/>
    <x v="1"/>
    <s v="45708595001003"/>
    <n v="-0.36"/>
    <n v="18"/>
    <n v="1"/>
    <n v="1"/>
  </r>
  <r>
    <m/>
    <m/>
    <x v="1"/>
    <s v="45771181001001"/>
    <n v="-2.11"/>
    <n v="107"/>
    <n v="1"/>
    <n v="1"/>
  </r>
  <r>
    <m/>
    <m/>
    <x v="1"/>
    <s v="45785111001001"/>
    <n v="-1.07"/>
    <n v="54"/>
    <n v="1"/>
    <n v="1"/>
  </r>
  <r>
    <m/>
    <m/>
    <x v="1"/>
    <s v="45788681002001"/>
    <n v="-1.72"/>
    <n v="87"/>
    <n v="1"/>
    <n v="1"/>
  </r>
  <r>
    <m/>
    <m/>
    <x v="1"/>
    <s v="45805966004001"/>
    <n v="-12.280000000000001"/>
    <n v="624"/>
    <n v="2"/>
    <n v="1"/>
  </r>
  <r>
    <m/>
    <m/>
    <x v="1"/>
    <s v="45845101001001"/>
    <n v="-6.85"/>
    <n v="350"/>
    <n v="2"/>
    <n v="1"/>
  </r>
  <r>
    <m/>
    <m/>
    <x v="1"/>
    <s v="45848041001001"/>
    <n v="-25.91"/>
    <n v="1324"/>
    <n v="2"/>
    <n v="1"/>
  </r>
  <r>
    <m/>
    <m/>
    <x v="1"/>
    <s v="45851261001001"/>
    <n v="-16.5"/>
    <n v="843"/>
    <n v="2"/>
    <n v="1"/>
  </r>
  <r>
    <m/>
    <m/>
    <x v="1"/>
    <s v="45863581003010"/>
    <n v="-0.34"/>
    <n v="17"/>
    <n v="1"/>
    <n v="1"/>
  </r>
  <r>
    <m/>
    <m/>
    <x v="1"/>
    <s v="45918181001001"/>
    <n v="-5.87"/>
    <n v="300"/>
    <n v="2"/>
    <n v="1"/>
  </r>
  <r>
    <m/>
    <m/>
    <x v="1"/>
    <s v="45924481001001"/>
    <n v="-7.55"/>
    <n v="386"/>
    <n v="2"/>
    <n v="1"/>
  </r>
  <r>
    <m/>
    <m/>
    <x v="1"/>
    <s v="46000571001002"/>
    <n v="-2.96"/>
    <n v="150"/>
    <n v="1"/>
    <n v="1"/>
  </r>
  <r>
    <m/>
    <m/>
    <x v="1"/>
    <s v="46005261001001"/>
    <n v="-1.46"/>
    <n v="74"/>
    <n v="1"/>
    <n v="1"/>
  </r>
  <r>
    <m/>
    <m/>
    <x v="1"/>
    <s v="46061541001001"/>
    <n v="-1.46"/>
    <n v="74"/>
    <n v="1"/>
    <n v="1"/>
  </r>
  <r>
    <m/>
    <m/>
    <x v="1"/>
    <s v="46087791001001"/>
    <n v="-6.6"/>
    <n v="334"/>
    <n v="1"/>
    <n v="1"/>
  </r>
  <r>
    <m/>
    <m/>
    <x v="1"/>
    <s v="46181801006035"/>
    <n v="-12.29"/>
    <n v="628"/>
    <n v="2"/>
    <n v="1"/>
  </r>
  <r>
    <m/>
    <m/>
    <x v="1"/>
    <s v="46210291002003"/>
    <n v="-28.62"/>
    <n v="1462"/>
    <n v="2"/>
    <n v="1"/>
  </r>
  <r>
    <m/>
    <m/>
    <x v="1"/>
    <s v="46220091004001"/>
    <n v="-9.52"/>
    <n v="482"/>
    <n v="1"/>
    <n v="1"/>
  </r>
  <r>
    <m/>
    <m/>
    <x v="1"/>
    <s v="46220931001002"/>
    <n v="-3.54"/>
    <n v="179"/>
    <n v="1"/>
    <n v="1"/>
  </r>
  <r>
    <m/>
    <m/>
    <x v="1"/>
    <s v="46235281001001"/>
    <n v="-3.97"/>
    <n v="201"/>
    <n v="1"/>
    <n v="1"/>
  </r>
  <r>
    <m/>
    <m/>
    <x v="1"/>
    <s v="46289181004001"/>
    <n v="-0.18"/>
    <n v="9"/>
    <n v="1"/>
    <n v="1"/>
  </r>
  <r>
    <m/>
    <m/>
    <x v="1"/>
    <s v="46333701006001"/>
    <n v="-19.690000000000001"/>
    <n v="1001"/>
    <n v="2"/>
    <n v="1"/>
  </r>
  <r>
    <m/>
    <m/>
    <x v="1"/>
    <s v="46341751001001"/>
    <n v="-22.85"/>
    <n v="1162"/>
    <n v="2"/>
    <n v="1"/>
  </r>
  <r>
    <m/>
    <m/>
    <x v="1"/>
    <s v="46345951001005"/>
    <n v="-8.2799999999999994"/>
    <n v="421"/>
    <n v="2"/>
    <n v="1"/>
  </r>
  <r>
    <m/>
    <m/>
    <x v="1"/>
    <s v="46361701013001"/>
    <n v="-1.23"/>
    <n v="62"/>
    <n v="1"/>
    <n v="1"/>
  </r>
  <r>
    <m/>
    <m/>
    <x v="1"/>
    <s v="46372481001002"/>
    <n v="-5.41"/>
    <n v="275"/>
    <n v="2"/>
    <n v="1"/>
  </r>
  <r>
    <m/>
    <m/>
    <x v="1"/>
    <s v="46392431004003"/>
    <n v="-5.0599999999999996"/>
    <n v="256"/>
    <n v="1"/>
    <n v="1"/>
  </r>
  <r>
    <m/>
    <m/>
    <x v="1"/>
    <s v="46412521001006"/>
    <n v="-8.73"/>
    <n v="442"/>
    <n v="1"/>
    <n v="1"/>
  </r>
  <r>
    <m/>
    <m/>
    <x v="1"/>
    <s v="46445281001003"/>
    <n v="-1.44"/>
    <n v="73"/>
    <n v="1"/>
    <n v="1"/>
  </r>
  <r>
    <m/>
    <m/>
    <x v="1"/>
    <s v="46447731001002"/>
    <n v="-6.08"/>
    <n v="309"/>
    <n v="2"/>
    <n v="1"/>
  </r>
  <r>
    <m/>
    <m/>
    <x v="1"/>
    <s v="46459421003005"/>
    <n v="-8.26"/>
    <n v="418"/>
    <n v="1"/>
    <n v="1"/>
  </r>
  <r>
    <m/>
    <m/>
    <x v="1"/>
    <s v="46480981001002"/>
    <n v="-3.06"/>
    <n v="156"/>
    <n v="2"/>
    <n v="1"/>
  </r>
  <r>
    <m/>
    <m/>
    <x v="1"/>
    <s v="46525379001005"/>
    <n v="-0.77"/>
    <n v="39"/>
    <n v="1"/>
    <n v="1"/>
  </r>
  <r>
    <m/>
    <m/>
    <x v="1"/>
    <s v="46595026001001"/>
    <n v="-16.420000000000002"/>
    <n v="831"/>
    <n v="1"/>
    <n v="1"/>
  </r>
  <r>
    <m/>
    <m/>
    <x v="1"/>
    <s v="46613701001001"/>
    <n v="-4.13"/>
    <n v="209"/>
    <n v="1"/>
    <n v="1"/>
  </r>
  <r>
    <m/>
    <m/>
    <x v="1"/>
    <s v="46663679001002"/>
    <n v="-1.34"/>
    <n v="68"/>
    <n v="1"/>
    <n v="1"/>
  </r>
  <r>
    <m/>
    <m/>
    <x v="1"/>
    <s v="46689301001005"/>
    <n v="-0.1"/>
    <n v="5"/>
    <n v="1"/>
    <n v="1"/>
  </r>
  <r>
    <m/>
    <m/>
    <x v="1"/>
    <s v="46767211003001"/>
    <n v="-0.1"/>
    <n v="5"/>
    <n v="1"/>
    <n v="1"/>
  </r>
  <r>
    <m/>
    <m/>
    <x v="1"/>
    <s v="46786251002001"/>
    <n v="-4.72"/>
    <n v="239"/>
    <n v="1"/>
    <n v="1"/>
  </r>
  <r>
    <m/>
    <m/>
    <x v="1"/>
    <s v="46794861003003"/>
    <n v="-2.88"/>
    <n v="147"/>
    <n v="2"/>
    <n v="1"/>
  </r>
  <r>
    <m/>
    <m/>
    <x v="1"/>
    <s v="46806971002001"/>
    <n v="-22.290000000000003"/>
    <n v="1133"/>
    <n v="2"/>
    <n v="1"/>
  </r>
  <r>
    <m/>
    <m/>
    <x v="1"/>
    <s v="46824191001001"/>
    <n v="-23.13"/>
    <n v="1176"/>
    <n v="2"/>
    <n v="1"/>
  </r>
  <r>
    <m/>
    <m/>
    <x v="1"/>
    <s v="46836751001001"/>
    <n v="-0.51"/>
    <n v="26"/>
    <n v="1"/>
    <n v="1"/>
  </r>
  <r>
    <m/>
    <m/>
    <x v="1"/>
    <s v="46841272001001"/>
    <n v="-0.16"/>
    <n v="8"/>
    <n v="1"/>
    <n v="1"/>
  </r>
  <r>
    <m/>
    <m/>
    <x v="1"/>
    <s v="46866051008003"/>
    <n v="-4.72"/>
    <n v="239"/>
    <n v="1"/>
    <n v="1"/>
  </r>
  <r>
    <m/>
    <m/>
    <x v="1"/>
    <s v="46866331001002"/>
    <n v="-0.56999999999999995"/>
    <n v="29"/>
    <n v="1"/>
    <n v="1"/>
  </r>
  <r>
    <m/>
    <m/>
    <x v="1"/>
    <s v="46866401001007"/>
    <n v="-1.94"/>
    <n v="98"/>
    <n v="1"/>
    <n v="1"/>
  </r>
  <r>
    <m/>
    <m/>
    <x v="1"/>
    <s v="46866681001004"/>
    <n v="-21.04"/>
    <n v="1065"/>
    <n v="1"/>
    <n v="1"/>
  </r>
  <r>
    <m/>
    <m/>
    <x v="1"/>
    <s v="46867241001005"/>
    <n v="-2"/>
    <n v="101"/>
    <n v="1"/>
    <n v="1"/>
  </r>
  <r>
    <m/>
    <m/>
    <x v="1"/>
    <s v="46905092001001"/>
    <n v="-1.05"/>
    <n v="53"/>
    <n v="1"/>
    <n v="1"/>
  </r>
  <r>
    <m/>
    <m/>
    <x v="1"/>
    <s v="47140101001006"/>
    <n v="-8.73"/>
    <n v="444"/>
    <n v="2"/>
    <n v="1"/>
  </r>
  <r>
    <m/>
    <m/>
    <x v="1"/>
    <s v="47162081002004"/>
    <n v="-7.0699999999999994"/>
    <n v="361"/>
    <n v="2"/>
    <n v="1"/>
  </r>
  <r>
    <m/>
    <m/>
    <x v="1"/>
    <s v="47176711002001"/>
    <n v="-8.18"/>
    <n v="416"/>
    <n v="2"/>
    <n v="1"/>
  </r>
  <r>
    <m/>
    <m/>
    <x v="1"/>
    <s v="47180631003001"/>
    <n v="-7.86"/>
    <n v="398"/>
    <n v="1"/>
    <n v="1"/>
  </r>
  <r>
    <m/>
    <m/>
    <x v="1"/>
    <s v="47208771001002"/>
    <n v="-12.8"/>
    <n v="651"/>
    <n v="2"/>
    <n v="1"/>
  </r>
  <r>
    <m/>
    <m/>
    <x v="1"/>
    <s v="47222141001002"/>
    <n v="-0.08"/>
    <n v="4"/>
    <n v="1"/>
    <n v="1"/>
  </r>
  <r>
    <m/>
    <m/>
    <x v="1"/>
    <s v="47244331002001"/>
    <n v="-12.25"/>
    <n v="620"/>
    <n v="1"/>
    <n v="1"/>
  </r>
  <r>
    <m/>
    <m/>
    <x v="1"/>
    <s v="47282621001001"/>
    <n v="-0.93"/>
    <n v="47"/>
    <n v="1"/>
    <n v="1"/>
  </r>
  <r>
    <m/>
    <m/>
    <x v="1"/>
    <s v="47309711002003"/>
    <n v="-17.05"/>
    <n v="867"/>
    <n v="2"/>
    <n v="1"/>
  </r>
  <r>
    <m/>
    <m/>
    <x v="1"/>
    <s v="47323011001001"/>
    <n v="-11.4"/>
    <n v="577"/>
    <n v="1"/>
    <n v="1"/>
  </r>
  <r>
    <m/>
    <m/>
    <x v="1"/>
    <s v="47328821001007"/>
    <n v="-4.21"/>
    <n v="213"/>
    <n v="1"/>
    <n v="1"/>
  </r>
  <r>
    <m/>
    <m/>
    <x v="1"/>
    <s v="47345831001004"/>
    <n v="-4.78"/>
    <n v="242"/>
    <n v="1"/>
    <n v="1"/>
  </r>
  <r>
    <m/>
    <m/>
    <x v="1"/>
    <s v="47372921003003"/>
    <n v="-4.3499999999999996"/>
    <n v="220"/>
    <n v="1"/>
    <n v="1"/>
  </r>
  <r>
    <m/>
    <m/>
    <x v="1"/>
    <s v="47379221001002"/>
    <n v="-12.84"/>
    <n v="650"/>
    <n v="1"/>
    <n v="1"/>
  </r>
  <r>
    <m/>
    <m/>
    <x v="1"/>
    <s v="47382161001005"/>
    <n v="-6.48"/>
    <n v="328"/>
    <n v="1"/>
    <n v="1"/>
  </r>
  <r>
    <m/>
    <m/>
    <x v="1"/>
    <s v="47385661002002"/>
    <n v="-1.42"/>
    <n v="72"/>
    <n v="1"/>
    <n v="1"/>
  </r>
  <r>
    <m/>
    <m/>
    <x v="1"/>
    <s v="47386711001003"/>
    <n v="-12.799999999999999"/>
    <n v="654"/>
    <n v="2"/>
    <n v="1"/>
  </r>
  <r>
    <m/>
    <m/>
    <x v="1"/>
    <s v="47387061005001"/>
    <n v="-10.45"/>
    <n v="531"/>
    <n v="2"/>
    <n v="1"/>
  </r>
  <r>
    <m/>
    <m/>
    <x v="1"/>
    <s v="47445167002001"/>
    <n v="-0.97"/>
    <n v="49"/>
    <n v="1"/>
    <n v="1"/>
  </r>
  <r>
    <m/>
    <m/>
    <x v="1"/>
    <s v="47515391001003"/>
    <n v="-3.27"/>
    <n v="167"/>
    <n v="2"/>
    <n v="1"/>
  </r>
  <r>
    <m/>
    <m/>
    <x v="1"/>
    <s v="47550301001001"/>
    <n v="-6.36"/>
    <n v="322"/>
    <n v="1"/>
    <n v="1"/>
  </r>
  <r>
    <m/>
    <m/>
    <x v="1"/>
    <s v="47555411002001"/>
    <n v="-11.03"/>
    <n v="558"/>
    <n v="1"/>
    <n v="1"/>
  </r>
  <r>
    <m/>
    <m/>
    <x v="1"/>
    <s v="47558607001001"/>
    <n v="-2.39"/>
    <n v="121"/>
    <n v="1"/>
    <n v="1"/>
  </r>
  <r>
    <m/>
    <m/>
    <x v="1"/>
    <s v="47651311002005"/>
    <n v="-0.49"/>
    <n v="25"/>
    <n v="1"/>
    <n v="1"/>
  </r>
  <r>
    <m/>
    <m/>
    <x v="1"/>
    <s v="47675111001001"/>
    <n v="-7.03"/>
    <n v="356"/>
    <n v="1"/>
    <n v="1"/>
  </r>
  <r>
    <m/>
    <m/>
    <x v="1"/>
    <s v="47755961001002"/>
    <n v="-17.07"/>
    <n v="864"/>
    <n v="1"/>
    <n v="1"/>
  </r>
  <r>
    <m/>
    <m/>
    <x v="1"/>
    <s v="47836531001002"/>
    <n v="-10.91"/>
    <n v="552"/>
    <n v="1"/>
    <n v="1"/>
  </r>
  <r>
    <m/>
    <m/>
    <x v="1"/>
    <s v="47849621001003"/>
    <n v="-8.1199999999999992"/>
    <n v="411"/>
    <n v="1"/>
    <n v="1"/>
  </r>
  <r>
    <m/>
    <m/>
    <x v="1"/>
    <s v="47852771008001"/>
    <n v="-0.51"/>
    <n v="26"/>
    <n v="1"/>
    <n v="1"/>
  </r>
  <r>
    <m/>
    <m/>
    <x v="1"/>
    <s v="47876291003003"/>
    <n v="-5.35"/>
    <n v="271"/>
    <n v="1"/>
    <n v="1"/>
  </r>
  <r>
    <m/>
    <m/>
    <x v="1"/>
    <s v="47884691002003"/>
    <n v="-5.61"/>
    <n v="284"/>
    <n v="1"/>
    <n v="1"/>
  </r>
  <r>
    <m/>
    <m/>
    <x v="1"/>
    <s v="47902401001001"/>
    <n v="-4.66"/>
    <n v="236"/>
    <n v="1"/>
    <n v="1"/>
  </r>
  <r>
    <m/>
    <m/>
    <x v="1"/>
    <s v="47907721006005"/>
    <n v="-0.28000000000000003"/>
    <n v="14"/>
    <n v="1"/>
    <n v="1"/>
  </r>
  <r>
    <m/>
    <m/>
    <x v="1"/>
    <s v="47944401002002"/>
    <n v="-11.72"/>
    <n v="593"/>
    <n v="1"/>
    <n v="1"/>
  </r>
  <r>
    <m/>
    <m/>
    <x v="1"/>
    <s v="47950841001006"/>
    <n v="-0.99"/>
    <n v="50"/>
    <n v="1"/>
    <n v="1"/>
  </r>
  <r>
    <m/>
    <m/>
    <x v="1"/>
    <s v="47977511001001"/>
    <n v="-8.7899999999999991"/>
    <n v="445"/>
    <n v="1"/>
    <n v="1"/>
  </r>
  <r>
    <m/>
    <m/>
    <x v="1"/>
    <s v="48048211001001"/>
    <n v="-4.3499999999999996"/>
    <n v="220"/>
    <n v="1"/>
    <n v="1"/>
  </r>
  <r>
    <m/>
    <m/>
    <x v="1"/>
    <s v="48055981001001"/>
    <n v="-4.84"/>
    <n v="245"/>
    <n v="1"/>
    <n v="1"/>
  </r>
  <r>
    <m/>
    <m/>
    <x v="1"/>
    <s v="48058431001001"/>
    <n v="-11.3"/>
    <n v="572"/>
    <n v="1"/>
    <n v="1"/>
  </r>
  <r>
    <m/>
    <m/>
    <x v="1"/>
    <s v="48266891004001"/>
    <n v="-4.43"/>
    <n v="224"/>
    <n v="1"/>
    <n v="1"/>
  </r>
  <r>
    <m/>
    <m/>
    <x v="1"/>
    <s v="48438811004001"/>
    <n v="-12.63"/>
    <n v="639"/>
    <n v="1"/>
    <n v="1"/>
  </r>
  <r>
    <m/>
    <m/>
    <x v="1"/>
    <s v="48488730001001"/>
    <n v="-0.56999999999999995"/>
    <n v="29"/>
    <n v="1"/>
    <n v="1"/>
  </r>
  <r>
    <m/>
    <m/>
    <x v="1"/>
    <s v="48516511001001"/>
    <n v="-8.18"/>
    <n v="414"/>
    <n v="1"/>
    <n v="1"/>
  </r>
  <r>
    <m/>
    <m/>
    <x v="1"/>
    <s v="48617101001002"/>
    <n v="-0.65"/>
    <n v="33"/>
    <n v="1"/>
    <n v="1"/>
  </r>
  <r>
    <m/>
    <m/>
    <x v="1"/>
    <s v="48622948001002"/>
    <n v="-7.41"/>
    <n v="375"/>
    <n v="1"/>
    <n v="1"/>
  </r>
  <r>
    <m/>
    <m/>
    <x v="1"/>
    <s v="48661431001005"/>
    <n v="-9.84"/>
    <n v="498"/>
    <n v="1"/>
    <n v="1"/>
  </r>
  <r>
    <m/>
    <m/>
    <x v="1"/>
    <s v="48684021001001"/>
    <n v="-22.27"/>
    <n v="1127"/>
    <n v="1"/>
    <n v="1"/>
  </r>
  <r>
    <m/>
    <m/>
    <x v="1"/>
    <s v="48802881001001"/>
    <n v="-1.26"/>
    <n v="64"/>
    <n v="1"/>
    <n v="1"/>
  </r>
  <r>
    <m/>
    <m/>
    <x v="1"/>
    <s v="48944491003004"/>
    <n v="-3.48"/>
    <n v="176"/>
    <n v="1"/>
    <n v="1"/>
  </r>
  <r>
    <m/>
    <m/>
    <x v="1"/>
    <s v="49078891001002"/>
    <n v="-1.68"/>
    <n v="85"/>
    <n v="1"/>
    <n v="1"/>
  </r>
  <r>
    <m/>
    <m/>
    <x v="1"/>
    <s v="49187126001001"/>
    <n v="-14.82"/>
    <n v="750"/>
    <n v="1"/>
    <n v="1"/>
  </r>
  <r>
    <m/>
    <m/>
    <x v="1"/>
    <s v="49283851001002"/>
    <n v="-20.48"/>
    <n v="1046"/>
    <n v="2"/>
    <n v="1"/>
  </r>
  <r>
    <m/>
    <m/>
    <x v="1"/>
    <s v="49301721001001"/>
    <n v="-4.9800000000000004"/>
    <n v="252"/>
    <n v="1"/>
    <n v="1"/>
  </r>
  <r>
    <m/>
    <m/>
    <x v="1"/>
    <s v="49365331001001"/>
    <n v="-1.21"/>
    <n v="61"/>
    <n v="1"/>
    <n v="1"/>
  </r>
  <r>
    <m/>
    <m/>
    <x v="1"/>
    <s v="49393121003003"/>
    <n v="-8.06"/>
    <n v="408"/>
    <n v="1"/>
    <n v="1"/>
  </r>
  <r>
    <m/>
    <m/>
    <x v="1"/>
    <s v="49399211004004"/>
    <n v="-10.91"/>
    <n v="552"/>
    <n v="1"/>
    <n v="1"/>
  </r>
  <r>
    <m/>
    <m/>
    <x v="1"/>
    <s v="49419650001003"/>
    <n v="-0.69"/>
    <n v="35"/>
    <n v="1"/>
    <n v="1"/>
  </r>
  <r>
    <m/>
    <m/>
    <x v="1"/>
    <s v="49429043003003"/>
    <n v="-4.17"/>
    <n v="211"/>
    <n v="1"/>
    <n v="1"/>
  </r>
  <r>
    <m/>
    <m/>
    <x v="1"/>
    <s v="49469981001001"/>
    <n v="-5.97"/>
    <n v="302"/>
    <n v="1"/>
    <n v="1"/>
  </r>
  <r>
    <m/>
    <m/>
    <x v="1"/>
    <s v="49473341001001"/>
    <n v="-10.41"/>
    <n v="527"/>
    <n v="1"/>
    <n v="1"/>
  </r>
  <r>
    <m/>
    <m/>
    <x v="1"/>
    <s v="49494020001001"/>
    <n v="-14.17"/>
    <n v="717"/>
    <n v="1"/>
    <n v="1"/>
  </r>
  <r>
    <m/>
    <m/>
    <x v="1"/>
    <s v="49557341001001"/>
    <n v="-0.53"/>
    <n v="27"/>
    <n v="1"/>
    <n v="1"/>
  </r>
  <r>
    <m/>
    <m/>
    <x v="1"/>
    <s v="49565145002005"/>
    <n v="-0.69"/>
    <n v="35"/>
    <n v="1"/>
    <n v="1"/>
  </r>
  <r>
    <m/>
    <m/>
    <x v="1"/>
    <s v="49566231001001"/>
    <n v="-0.41"/>
    <n v="21"/>
    <n v="1"/>
    <n v="1"/>
  </r>
  <r>
    <m/>
    <m/>
    <x v="1"/>
    <s v="49570221001004"/>
    <n v="-6.42"/>
    <n v="325"/>
    <n v="1"/>
    <n v="1"/>
  </r>
  <r>
    <m/>
    <m/>
    <x v="1"/>
    <s v="49577991001002"/>
    <n v="-1.74"/>
    <n v="88"/>
    <n v="1"/>
    <n v="1"/>
  </r>
  <r>
    <m/>
    <m/>
    <x v="1"/>
    <s v="49577991001003"/>
    <n v="-2.41"/>
    <n v="122"/>
    <n v="1"/>
    <n v="1"/>
  </r>
  <r>
    <m/>
    <m/>
    <x v="1"/>
    <s v="49588421001001"/>
    <n v="-0.18"/>
    <n v="9"/>
    <n v="1"/>
    <n v="1"/>
  </r>
  <r>
    <m/>
    <m/>
    <x v="1"/>
    <s v="49595561001001"/>
    <n v="-1.26"/>
    <n v="64"/>
    <n v="1"/>
    <n v="1"/>
  </r>
  <r>
    <m/>
    <m/>
    <x v="1"/>
    <s v="49606131001005"/>
    <n v="-0.1"/>
    <n v="5"/>
    <n v="1"/>
    <n v="1"/>
  </r>
  <r>
    <m/>
    <m/>
    <x v="1"/>
    <s v="49608381001001"/>
    <n v="-3.5"/>
    <n v="177"/>
    <n v="1"/>
    <n v="1"/>
  </r>
  <r>
    <m/>
    <m/>
    <x v="1"/>
    <s v="49617249001009"/>
    <n v="-9.09"/>
    <n v="460"/>
    <n v="1"/>
    <n v="1"/>
  </r>
  <r>
    <m/>
    <m/>
    <x v="1"/>
    <s v="49617401001005"/>
    <n v="-21.34"/>
    <n v="1080"/>
    <n v="1"/>
    <n v="1"/>
  </r>
  <r>
    <m/>
    <m/>
    <x v="1"/>
    <s v="49629854001004"/>
    <n v="-17.2"/>
    <n v="879"/>
    <n v="2"/>
    <n v="1"/>
  </r>
  <r>
    <m/>
    <m/>
    <x v="1"/>
    <s v="49705321003001"/>
    <n v="-14.82"/>
    <n v="757"/>
    <n v="2"/>
    <n v="1"/>
  </r>
  <r>
    <m/>
    <m/>
    <x v="1"/>
    <s v="49743471001001"/>
    <n v="-0.02"/>
    <n v="1"/>
    <n v="1"/>
    <n v="1"/>
  </r>
  <r>
    <m/>
    <m/>
    <x v="1"/>
    <s v="49774436001006"/>
    <n v="-0.41"/>
    <n v="21"/>
    <n v="1"/>
    <n v="1"/>
  </r>
  <r>
    <m/>
    <m/>
    <x v="1"/>
    <s v="49809621001003"/>
    <n v="-1.19"/>
    <n v="60"/>
    <n v="1"/>
    <n v="1"/>
  </r>
  <r>
    <m/>
    <m/>
    <x v="1"/>
    <s v="49876031001002"/>
    <n v="-21.56"/>
    <n v="1091"/>
    <n v="1"/>
    <n v="1"/>
  </r>
  <r>
    <m/>
    <m/>
    <x v="1"/>
    <s v="49930301001001"/>
    <n v="-3.56"/>
    <n v="180"/>
    <n v="1"/>
    <n v="1"/>
  </r>
  <r>
    <m/>
    <m/>
    <x v="1"/>
    <s v="49951931001004"/>
    <n v="-3.99"/>
    <n v="202"/>
    <n v="1"/>
    <n v="1"/>
  </r>
  <r>
    <m/>
    <m/>
    <x v="1"/>
    <s v="49975801002002"/>
    <n v="-0.38"/>
    <n v="19"/>
    <n v="1"/>
    <n v="1"/>
  </r>
  <r>
    <m/>
    <m/>
    <x v="1"/>
    <s v="50034391001002"/>
    <n v="-20.61"/>
    <n v="1043"/>
    <n v="1"/>
    <n v="1"/>
  </r>
  <r>
    <m/>
    <m/>
    <x v="1"/>
    <s v="50043981001003"/>
    <n v="-9.82"/>
    <n v="497"/>
    <n v="1"/>
    <n v="1"/>
  </r>
  <r>
    <m/>
    <m/>
    <x v="1"/>
    <s v="50072891002002"/>
    <n v="-4.5599999999999996"/>
    <n v="231"/>
    <n v="1"/>
    <n v="1"/>
  </r>
  <r>
    <m/>
    <m/>
    <x v="1"/>
    <s v="50159341001001"/>
    <n v="-2.09"/>
    <n v="106"/>
    <n v="1"/>
    <n v="1"/>
  </r>
  <r>
    <m/>
    <m/>
    <x v="1"/>
    <s v="50160321001001"/>
    <n v="-2.19"/>
    <n v="111"/>
    <n v="1"/>
    <n v="1"/>
  </r>
  <r>
    <m/>
    <m/>
    <x v="1"/>
    <s v="50181601002005"/>
    <n v="-0.28000000000000003"/>
    <n v="14"/>
    <n v="1"/>
    <n v="1"/>
  </r>
  <r>
    <m/>
    <m/>
    <x v="1"/>
    <s v="50185311001007"/>
    <n v="-7.79"/>
    <n v="396"/>
    <n v="2"/>
    <n v="1"/>
  </r>
  <r>
    <m/>
    <m/>
    <x v="1"/>
    <s v="50193571001001"/>
    <n v="-9.3999999999999986"/>
    <n v="478"/>
    <n v="2"/>
    <n v="1"/>
  </r>
  <r>
    <m/>
    <m/>
    <x v="1"/>
    <s v="50266931001001"/>
    <n v="-11.22"/>
    <n v="568"/>
    <n v="1"/>
    <n v="1"/>
  </r>
  <r>
    <m/>
    <m/>
    <x v="1"/>
    <s v="50315231001002"/>
    <n v="-38.97"/>
    <n v="1972"/>
    <n v="1"/>
    <n v="1"/>
  </r>
  <r>
    <m/>
    <m/>
    <x v="1"/>
    <s v="50378091011001"/>
    <n v="-6.74"/>
    <n v="341"/>
    <n v="1"/>
    <n v="1"/>
  </r>
  <r>
    <m/>
    <m/>
    <x v="1"/>
    <s v="50402241001002"/>
    <n v="-1.98"/>
    <n v="100"/>
    <n v="1"/>
    <n v="1"/>
  </r>
  <r>
    <m/>
    <m/>
    <x v="1"/>
    <s v="50421211005001"/>
    <n v="-3.89"/>
    <n v="197"/>
    <n v="1"/>
    <n v="1"/>
  </r>
  <r>
    <m/>
    <m/>
    <x v="1"/>
    <s v="50450191002001"/>
    <n v="-0.91"/>
    <n v="46"/>
    <n v="1"/>
    <n v="1"/>
  </r>
  <r>
    <m/>
    <m/>
    <x v="1"/>
    <s v="50492401002001"/>
    <n v="-22.39"/>
    <n v="1133"/>
    <n v="1"/>
    <n v="1"/>
  </r>
  <r>
    <m/>
    <m/>
    <x v="1"/>
    <s v="50499961001001"/>
    <n v="-12.01"/>
    <n v="608"/>
    <n v="1"/>
    <n v="1"/>
  </r>
  <r>
    <m/>
    <m/>
    <x v="1"/>
    <s v="50517716001001"/>
    <n v="-7.91"/>
    <n v="404"/>
    <n v="2"/>
    <n v="1"/>
  </r>
  <r>
    <m/>
    <m/>
    <x v="1"/>
    <s v="50537633001001"/>
    <n v="-18.77"/>
    <n v="950"/>
    <n v="1"/>
    <n v="1"/>
  </r>
  <r>
    <m/>
    <m/>
    <x v="1"/>
    <s v="50539651002001"/>
    <n v="-17.63"/>
    <n v="892"/>
    <n v="1"/>
    <n v="1"/>
  </r>
  <r>
    <m/>
    <m/>
    <x v="1"/>
    <s v="50592011002001"/>
    <n v="-0.08"/>
    <n v="4"/>
    <n v="1"/>
    <n v="1"/>
  </r>
  <r>
    <m/>
    <m/>
    <x v="1"/>
    <s v="50603564001001"/>
    <n v="-8.69"/>
    <n v="442"/>
    <n v="2"/>
    <n v="1"/>
  </r>
  <r>
    <m/>
    <m/>
    <x v="1"/>
    <s v="50652701001002"/>
    <n v="-31.93"/>
    <n v="1616"/>
    <n v="1"/>
    <n v="1"/>
  </r>
  <r>
    <m/>
    <m/>
    <x v="1"/>
    <s v="50658581001002"/>
    <n v="-36.71"/>
    <n v="1866"/>
    <n v="2"/>
    <n v="1"/>
  </r>
  <r>
    <m/>
    <m/>
    <x v="1"/>
    <s v="50704851001003"/>
    <n v="-8.81"/>
    <n v="446"/>
    <n v="1"/>
    <n v="1"/>
  </r>
  <r>
    <m/>
    <m/>
    <x v="1"/>
    <s v="50727391001001"/>
    <n v="-9.64"/>
    <n v="488"/>
    <n v="1"/>
    <n v="1"/>
  </r>
  <r>
    <m/>
    <m/>
    <x v="1"/>
    <s v="50791002001001"/>
    <n v="-2.14"/>
    <n v="109"/>
    <n v="2"/>
    <n v="1"/>
  </r>
  <r>
    <m/>
    <m/>
    <x v="1"/>
    <s v="50831131004004"/>
    <n v="-1.1299999999999999"/>
    <n v="57"/>
    <n v="1"/>
    <n v="1"/>
  </r>
  <r>
    <m/>
    <m/>
    <x v="1"/>
    <s v="50835751002001"/>
    <n v="-0.71"/>
    <n v="36"/>
    <n v="1"/>
    <n v="1"/>
  </r>
  <r>
    <m/>
    <m/>
    <x v="1"/>
    <s v="50839041003008"/>
    <n v="-2.25"/>
    <n v="114"/>
    <n v="1"/>
    <n v="1"/>
  </r>
  <r>
    <m/>
    <m/>
    <x v="1"/>
    <s v="50860461001005"/>
    <n v="-0.47"/>
    <n v="24"/>
    <n v="1"/>
    <n v="1"/>
  </r>
  <r>
    <m/>
    <m/>
    <x v="1"/>
    <s v="50901131002003"/>
    <n v="-2.69"/>
    <n v="136"/>
    <n v="1"/>
    <n v="1"/>
  </r>
  <r>
    <m/>
    <m/>
    <x v="1"/>
    <s v="50903441001001"/>
    <n v="-6.66"/>
    <n v="337"/>
    <n v="1"/>
    <n v="1"/>
  </r>
  <r>
    <m/>
    <m/>
    <x v="1"/>
    <s v="50924581001001"/>
    <n v="-5.69"/>
    <n v="288"/>
    <n v="1"/>
    <n v="1"/>
  </r>
  <r>
    <m/>
    <m/>
    <x v="1"/>
    <s v="50978201001001"/>
    <n v="-3.93"/>
    <n v="199"/>
    <n v="1"/>
    <n v="1"/>
  </r>
  <r>
    <m/>
    <m/>
    <x v="1"/>
    <s v="50996471001001"/>
    <n v="-3.38"/>
    <n v="171"/>
    <n v="1"/>
    <n v="1"/>
  </r>
  <r>
    <m/>
    <m/>
    <x v="1"/>
    <s v="51011661001002"/>
    <n v="-4.92"/>
    <n v="249"/>
    <n v="1"/>
    <n v="1"/>
  </r>
  <r>
    <m/>
    <m/>
    <x v="1"/>
    <s v="51040081001001"/>
    <n v="-0.89"/>
    <n v="45"/>
    <n v="1"/>
    <n v="1"/>
  </r>
  <r>
    <m/>
    <m/>
    <x v="1"/>
    <s v="51086071003003"/>
    <n v="-2.09"/>
    <n v="106"/>
    <n v="1"/>
    <n v="1"/>
  </r>
  <r>
    <m/>
    <m/>
    <x v="1"/>
    <s v="51088381003003"/>
    <n v="-1.07"/>
    <n v="54"/>
    <n v="1"/>
    <n v="1"/>
  </r>
  <r>
    <m/>
    <m/>
    <x v="1"/>
    <s v="51094401003001"/>
    <n v="-0.4"/>
    <n v="20"/>
    <n v="1"/>
    <n v="1"/>
  </r>
  <r>
    <m/>
    <m/>
    <x v="1"/>
    <s v="51099441002001"/>
    <n v="-0.04"/>
    <n v="2"/>
    <n v="1"/>
    <n v="1"/>
  </r>
  <r>
    <m/>
    <m/>
    <x v="1"/>
    <s v="51136541001001"/>
    <n v="-0.49"/>
    <n v="25"/>
    <n v="1"/>
    <n v="1"/>
  </r>
  <r>
    <m/>
    <m/>
    <x v="1"/>
    <s v="51150051001001"/>
    <n v="-1.34"/>
    <n v="68"/>
    <n v="1"/>
    <n v="1"/>
  </r>
  <r>
    <m/>
    <m/>
    <x v="1"/>
    <s v="51151101001003"/>
    <n v="-4.9000000000000004"/>
    <n v="248"/>
    <n v="1"/>
    <n v="1"/>
  </r>
  <r>
    <m/>
    <m/>
    <x v="1"/>
    <s v="51163071001001"/>
    <n v="-1.24"/>
    <n v="63"/>
    <n v="1"/>
    <n v="1"/>
  </r>
  <r>
    <m/>
    <m/>
    <x v="1"/>
    <s v="51193241002001"/>
    <n v="-1.64"/>
    <n v="83"/>
    <n v="1"/>
    <n v="1"/>
  </r>
  <r>
    <m/>
    <m/>
    <x v="1"/>
    <s v="51206961001001"/>
    <n v="-0.24"/>
    <n v="12"/>
    <n v="1"/>
    <n v="1"/>
  </r>
  <r>
    <m/>
    <m/>
    <x v="1"/>
    <s v="51210671002001"/>
    <n v="-4.1100000000000003"/>
    <n v="208"/>
    <n v="1"/>
    <n v="1"/>
  </r>
  <r>
    <m/>
    <m/>
    <x v="1"/>
    <s v="51219771005001"/>
    <n v="-0.53"/>
    <n v="27"/>
    <n v="1"/>
    <n v="1"/>
  </r>
  <r>
    <m/>
    <m/>
    <x v="1"/>
    <s v="51315674001002"/>
    <n v="-4.82"/>
    <n v="244"/>
    <n v="1"/>
    <n v="1"/>
  </r>
  <r>
    <m/>
    <m/>
    <x v="1"/>
    <s v="51386861002001"/>
    <n v="-13.44"/>
    <n v="680"/>
    <n v="1"/>
    <n v="1"/>
  </r>
  <r>
    <m/>
    <m/>
    <x v="1"/>
    <s v="51441601002001"/>
    <n v="-20.45"/>
    <n v="1035"/>
    <n v="1"/>
    <n v="1"/>
  </r>
  <r>
    <m/>
    <m/>
    <x v="1"/>
    <s v="51505861001001"/>
    <n v="-4.58"/>
    <n v="232"/>
    <n v="1"/>
    <n v="1"/>
  </r>
  <r>
    <m/>
    <m/>
    <x v="1"/>
    <s v="51550311003001"/>
    <n v="-5.0199999999999996"/>
    <n v="254"/>
    <n v="1"/>
    <n v="1"/>
  </r>
  <r>
    <m/>
    <m/>
    <x v="1"/>
    <s v="51593501001001"/>
    <n v="-3.5"/>
    <n v="177"/>
    <n v="1"/>
    <n v="1"/>
  </r>
  <r>
    <m/>
    <m/>
    <x v="1"/>
    <s v="51596301001003"/>
    <n v="-0.49"/>
    <n v="25"/>
    <n v="1"/>
    <n v="1"/>
  </r>
  <r>
    <m/>
    <m/>
    <x v="1"/>
    <s v="51603721001003"/>
    <n v="-6.13"/>
    <n v="310"/>
    <n v="1"/>
    <n v="1"/>
  </r>
  <r>
    <m/>
    <m/>
    <x v="1"/>
    <s v="51607711002002"/>
    <n v="-3.77"/>
    <n v="191"/>
    <n v="1"/>
    <n v="1"/>
  </r>
  <r>
    <m/>
    <m/>
    <x v="1"/>
    <s v="51609951002002"/>
    <n v="-8.5"/>
    <n v="430"/>
    <n v="1"/>
    <n v="1"/>
  </r>
  <r>
    <m/>
    <m/>
    <x v="1"/>
    <s v="51614221001001"/>
    <n v="-13.34"/>
    <n v="675"/>
    <n v="1"/>
    <n v="1"/>
  </r>
  <r>
    <m/>
    <m/>
    <x v="1"/>
    <s v="51615621001002"/>
    <n v="-4.96"/>
    <n v="251"/>
    <n v="1"/>
    <n v="1"/>
  </r>
  <r>
    <m/>
    <m/>
    <x v="1"/>
    <s v="51635221006001"/>
    <n v="-15.67"/>
    <n v="793"/>
    <n v="1"/>
    <n v="1"/>
  </r>
  <r>
    <m/>
    <m/>
    <x v="1"/>
    <s v="51655896001002"/>
    <n v="-2.19"/>
    <n v="111"/>
    <n v="1"/>
    <n v="1"/>
  </r>
  <r>
    <m/>
    <m/>
    <x v="1"/>
    <s v="51710411001001"/>
    <n v="-16.760000000000002"/>
    <n v="848"/>
    <n v="1"/>
    <n v="1"/>
  </r>
  <r>
    <m/>
    <m/>
    <x v="1"/>
    <s v="51943401001002"/>
    <n v="-1.72"/>
    <n v="87"/>
    <n v="1"/>
    <n v="1"/>
  </r>
  <r>
    <m/>
    <m/>
    <x v="1"/>
    <s v="51961148002001"/>
    <n v="-14.62"/>
    <n v="740"/>
    <n v="1"/>
    <n v="1"/>
  </r>
  <r>
    <m/>
    <m/>
    <x v="1"/>
    <s v="52179797002001"/>
    <n v="-19.68"/>
    <n v="996"/>
    <n v="1"/>
    <n v="1"/>
  </r>
  <r>
    <m/>
    <m/>
    <x v="1"/>
    <s v="52231893001002"/>
    <n v="-0.18"/>
    <n v="9"/>
    <n v="1"/>
    <n v="1"/>
  </r>
  <r>
    <m/>
    <m/>
    <x v="1"/>
    <s v="52507741001001"/>
    <n v="-15.39"/>
    <n v="779"/>
    <n v="1"/>
    <n v="1"/>
  </r>
  <r>
    <m/>
    <m/>
    <x v="1"/>
    <s v="52743980001001"/>
    <n v="-1.74"/>
    <n v="88"/>
    <n v="1"/>
    <n v="1"/>
  </r>
  <r>
    <m/>
    <m/>
    <x v="1"/>
    <s v="52773305001001"/>
    <n v="-0.69"/>
    <n v="35"/>
    <n v="1"/>
    <n v="1"/>
  </r>
  <r>
    <m/>
    <m/>
    <x v="1"/>
    <s v="52839681001001"/>
    <n v="-17.63"/>
    <n v="892"/>
    <n v="1"/>
    <n v="1"/>
  </r>
  <r>
    <m/>
    <m/>
    <x v="1"/>
    <s v="53096079004003"/>
    <n v="-6.01"/>
    <n v="304"/>
    <n v="1"/>
    <n v="1"/>
  </r>
  <r>
    <m/>
    <m/>
    <x v="1"/>
    <s v="53444975001003"/>
    <n v="-16.600000000000001"/>
    <n v="840"/>
    <n v="1"/>
    <n v="1"/>
  </r>
  <r>
    <m/>
    <m/>
    <x v="1"/>
    <s v="53498836001001"/>
    <n v="-0.49"/>
    <n v="25"/>
    <n v="1"/>
    <n v="1"/>
  </r>
  <r>
    <m/>
    <m/>
    <x v="1"/>
    <s v="53854476001004"/>
    <n v="-7.79"/>
    <n v="394"/>
    <n v="1"/>
    <n v="1"/>
  </r>
  <r>
    <m/>
    <m/>
    <x v="1"/>
    <s v="53931640001001"/>
    <n v="-24.65"/>
    <n v="1259"/>
    <n v="2"/>
    <n v="1"/>
  </r>
  <r>
    <m/>
    <m/>
    <x v="1"/>
    <s v="54028064001002"/>
    <n v="-10.95"/>
    <n v="554"/>
    <n v="1"/>
    <n v="1"/>
  </r>
  <r>
    <m/>
    <m/>
    <x v="1"/>
    <s v="54088357001001"/>
    <n v="-2.88"/>
    <n v="146"/>
    <n v="1"/>
    <n v="1"/>
  </r>
  <r>
    <m/>
    <m/>
    <x v="1"/>
    <s v="54213868001001"/>
    <n v="-1.48"/>
    <n v="75"/>
    <n v="1"/>
    <n v="1"/>
  </r>
  <r>
    <m/>
    <m/>
    <x v="1"/>
    <s v="54362749001005"/>
    <n v="-0.28000000000000003"/>
    <n v="14"/>
    <n v="1"/>
    <n v="1"/>
  </r>
  <r>
    <m/>
    <m/>
    <x v="1"/>
    <s v="54867100001005"/>
    <n v="-5.99"/>
    <n v="303"/>
    <n v="1"/>
    <n v="1"/>
  </r>
  <r>
    <m/>
    <m/>
    <x v="1"/>
    <s v="55096000001001"/>
    <n v="-1.78"/>
    <n v="90"/>
    <n v="1"/>
    <n v="1"/>
  </r>
  <r>
    <m/>
    <m/>
    <x v="1"/>
    <s v="55208319002001"/>
    <n v="-1.64"/>
    <n v="83"/>
    <n v="1"/>
    <n v="1"/>
  </r>
  <r>
    <m/>
    <m/>
    <x v="1"/>
    <s v="55654237001001"/>
    <n v="-6.3"/>
    <n v="319"/>
    <n v="1"/>
    <n v="1"/>
  </r>
  <r>
    <m/>
    <m/>
    <x v="1"/>
    <s v="55780956001003"/>
    <n v="-2.13"/>
    <n v="108"/>
    <n v="1"/>
    <n v="1"/>
  </r>
  <r>
    <m/>
    <m/>
    <x v="1"/>
    <s v="55782975001001"/>
    <n v="-4.07"/>
    <n v="206"/>
    <n v="1"/>
    <n v="1"/>
  </r>
  <r>
    <m/>
    <m/>
    <x v="1"/>
    <s v="55905100001001"/>
    <n v="-9.0100000000000016"/>
    <n v="460"/>
    <n v="2"/>
    <n v="1"/>
  </r>
  <r>
    <m/>
    <m/>
    <x v="1"/>
    <s v="55999268001005"/>
    <n v="-0.36"/>
    <n v="18"/>
    <n v="1"/>
    <n v="1"/>
  </r>
  <r>
    <m/>
    <m/>
    <x v="1"/>
    <s v="56315778001004"/>
    <n v="-26.57"/>
    <n v="1357"/>
    <n v="2"/>
    <n v="1"/>
  </r>
  <r>
    <m/>
    <m/>
    <x v="1"/>
    <s v="56776164001008"/>
    <n v="-0.06"/>
    <n v="3"/>
    <n v="1"/>
    <n v="1"/>
  </r>
  <r>
    <m/>
    <m/>
    <x v="1"/>
    <s v="57144962001002"/>
    <n v="-3.18"/>
    <n v="161"/>
    <n v="1"/>
    <n v="1"/>
  </r>
  <r>
    <m/>
    <m/>
    <x v="1"/>
    <s v="57165863001001"/>
    <n v="-6.01"/>
    <n v="304"/>
    <n v="1"/>
    <n v="1"/>
  </r>
  <r>
    <m/>
    <m/>
    <x v="1"/>
    <s v="57271203001001"/>
    <n v="-3.48"/>
    <n v="176"/>
    <n v="1"/>
    <n v="1"/>
  </r>
  <r>
    <m/>
    <m/>
    <x v="1"/>
    <s v="57690835002001"/>
    <n v="-1.36"/>
    <n v="69"/>
    <n v="1"/>
    <n v="1"/>
  </r>
  <r>
    <m/>
    <m/>
    <x v="1"/>
    <s v="57834181001001"/>
    <n v="-2.77"/>
    <n v="140"/>
    <n v="1"/>
    <n v="1"/>
  </r>
  <r>
    <m/>
    <m/>
    <x v="1"/>
    <s v="58010908001002"/>
    <n v="-25.71"/>
    <n v="1301"/>
    <n v="1"/>
    <n v="1"/>
  </r>
  <r>
    <m/>
    <m/>
    <x v="1"/>
    <s v="58133349001003"/>
    <n v="-6.54"/>
    <n v="331"/>
    <n v="1"/>
    <n v="1"/>
  </r>
  <r>
    <m/>
    <m/>
    <x v="1"/>
    <s v="58619499001001"/>
    <n v="-14.76"/>
    <n v="747"/>
    <n v="1"/>
    <n v="1"/>
  </r>
  <r>
    <m/>
    <m/>
    <x v="1"/>
    <s v="58912861001009"/>
    <n v="-8.8699999999999992"/>
    <n v="451"/>
    <n v="2"/>
    <n v="1"/>
  </r>
  <r>
    <m/>
    <m/>
    <x v="1"/>
    <s v="58959510002004"/>
    <n v="-9.64"/>
    <n v="488"/>
    <n v="1"/>
    <n v="1"/>
  </r>
  <r>
    <m/>
    <m/>
    <x v="1"/>
    <s v="59268197006001"/>
    <n v="-4.5599999999999996"/>
    <n v="231"/>
    <n v="1"/>
    <n v="1"/>
  </r>
  <r>
    <m/>
    <m/>
    <x v="1"/>
    <s v="59498637001004"/>
    <n v="-13.93"/>
    <n v="705"/>
    <n v="1"/>
    <n v="1"/>
  </r>
  <r>
    <m/>
    <m/>
    <x v="1"/>
    <s v="59549396001001"/>
    <n v="-0.87"/>
    <n v="44"/>
    <n v="1"/>
    <n v="1"/>
  </r>
  <r>
    <m/>
    <m/>
    <x v="1"/>
    <s v="59804283001007"/>
    <n v="-8.08"/>
    <n v="409"/>
    <n v="1"/>
    <n v="1"/>
  </r>
  <r>
    <m/>
    <m/>
    <x v="1"/>
    <s v="60058247006001"/>
    <n v="-1.1100000000000001"/>
    <n v="56"/>
    <n v="1"/>
    <n v="1"/>
  </r>
  <r>
    <m/>
    <m/>
    <x v="1"/>
    <s v="60682907001001"/>
    <n v="-1.1100000000000001"/>
    <n v="56"/>
    <n v="1"/>
    <n v="1"/>
  </r>
  <r>
    <m/>
    <m/>
    <x v="1"/>
    <s v="60891092001002"/>
    <n v="-13.82"/>
    <n v="706"/>
    <n v="2"/>
    <n v="1"/>
  </r>
  <r>
    <m/>
    <m/>
    <x v="1"/>
    <s v="60944617001001"/>
    <n v="-4.43"/>
    <n v="224"/>
    <n v="1"/>
    <n v="1"/>
  </r>
  <r>
    <m/>
    <m/>
    <x v="1"/>
    <s v="61432189003001"/>
    <n v="-4.1100000000000003"/>
    <n v="208"/>
    <n v="1"/>
    <n v="1"/>
  </r>
  <r>
    <m/>
    <m/>
    <x v="1"/>
    <s v="61618913001001"/>
    <n v="-0.77"/>
    <n v="39"/>
    <n v="1"/>
    <n v="1"/>
  </r>
  <r>
    <m/>
    <m/>
    <x v="1"/>
    <s v="61677240001009"/>
    <n v="-8.85"/>
    <n v="448"/>
    <n v="1"/>
    <n v="1"/>
  </r>
  <r>
    <m/>
    <m/>
    <x v="1"/>
    <s v="62003086001001"/>
    <n v="-6.44"/>
    <n v="326"/>
    <n v="1"/>
    <n v="1"/>
  </r>
  <r>
    <m/>
    <m/>
    <x v="1"/>
    <s v="62125470001002"/>
    <n v="-0.34"/>
    <n v="17"/>
    <n v="1"/>
    <n v="1"/>
  </r>
  <r>
    <m/>
    <m/>
    <x v="1"/>
    <s v="62139312001006"/>
    <n v="-3.58"/>
    <n v="181"/>
    <n v="1"/>
    <n v="1"/>
  </r>
  <r>
    <m/>
    <m/>
    <x v="1"/>
    <s v="62235479001001"/>
    <n v="-1.98"/>
    <n v="100"/>
    <n v="1"/>
    <n v="1"/>
  </r>
  <r>
    <m/>
    <m/>
    <x v="1"/>
    <s v="62334129001003"/>
    <n v="-5.87"/>
    <n v="297"/>
    <n v="1"/>
    <n v="1"/>
  </r>
  <r>
    <m/>
    <m/>
    <x v="1"/>
    <s v="62495514001001"/>
    <n v="-11.68"/>
    <n v="594"/>
    <n v="2"/>
    <n v="1"/>
  </r>
  <r>
    <m/>
    <m/>
    <x v="1"/>
    <s v="62798684001003"/>
    <n v="-0.32"/>
    <n v="16"/>
    <n v="2"/>
    <n v="1"/>
  </r>
  <r>
    <m/>
    <m/>
    <x v="1"/>
    <s v="62826325002002"/>
    <n v="-8.18"/>
    <n v="414"/>
    <n v="1"/>
    <n v="1"/>
  </r>
  <r>
    <m/>
    <m/>
    <x v="1"/>
    <s v="62941252001003"/>
    <n v="-11.99"/>
    <n v="607"/>
    <n v="1"/>
    <n v="1"/>
  </r>
  <r>
    <m/>
    <m/>
    <x v="1"/>
    <s v="63101970001001"/>
    <n v="-4.2300000000000004"/>
    <n v="214"/>
    <n v="1"/>
    <n v="1"/>
  </r>
  <r>
    <m/>
    <m/>
    <x v="1"/>
    <s v="63189646005005"/>
    <n v="-3.32"/>
    <n v="168"/>
    <n v="1"/>
    <n v="1"/>
  </r>
  <r>
    <m/>
    <m/>
    <x v="1"/>
    <s v="63462936001004"/>
    <n v="-2.75"/>
    <n v="139"/>
    <n v="1"/>
    <n v="1"/>
  </r>
  <r>
    <m/>
    <m/>
    <x v="1"/>
    <s v="63473427001003"/>
    <n v="-7.96"/>
    <n v="403"/>
    <n v="1"/>
    <n v="1"/>
  </r>
  <r>
    <m/>
    <m/>
    <x v="1"/>
    <s v="63681093001001"/>
    <n v="-5.91"/>
    <n v="299"/>
    <n v="1"/>
    <n v="1"/>
  </r>
  <r>
    <m/>
    <m/>
    <x v="1"/>
    <s v="64729708001001"/>
    <n v="-1.42"/>
    <n v="72"/>
    <n v="1"/>
    <n v="1"/>
  </r>
  <r>
    <m/>
    <m/>
    <x v="1"/>
    <s v="65349971001003"/>
    <n v="-1.8"/>
    <n v="91"/>
    <n v="1"/>
    <n v="1"/>
  </r>
  <r>
    <m/>
    <m/>
    <x v="1"/>
    <s v="65497555001001"/>
    <n v="-6.07"/>
    <n v="307"/>
    <n v="1"/>
    <n v="1"/>
  </r>
  <r>
    <m/>
    <m/>
    <x v="1"/>
    <s v="66083905003003"/>
    <n v="-0.4"/>
    <n v="20"/>
    <n v="1"/>
    <n v="1"/>
  </r>
  <r>
    <m/>
    <m/>
    <x v="1"/>
    <s v="66293697001004"/>
    <n v="-16.7"/>
    <n v="845"/>
    <n v="1"/>
    <n v="1"/>
  </r>
  <r>
    <m/>
    <m/>
    <x v="1"/>
    <s v="67090070001001"/>
    <n v="-3.91"/>
    <n v="198"/>
    <n v="1"/>
    <n v="1"/>
  </r>
  <r>
    <m/>
    <m/>
    <x v="1"/>
    <s v="67456537001003"/>
    <n v="-3.34"/>
    <n v="169"/>
    <n v="1"/>
    <n v="1"/>
  </r>
  <r>
    <m/>
    <m/>
    <x v="1"/>
    <s v="67565406001001"/>
    <n v="-12.13"/>
    <n v="614"/>
    <n v="1"/>
    <n v="1"/>
  </r>
  <r>
    <m/>
    <m/>
    <x v="1"/>
    <s v="67580955001002"/>
    <n v="-0.69"/>
    <n v="35"/>
    <n v="1"/>
    <n v="1"/>
  </r>
  <r>
    <m/>
    <m/>
    <x v="1"/>
    <s v="67993777004001"/>
    <n v="-28.65"/>
    <n v="1450"/>
    <n v="1"/>
    <n v="1"/>
  </r>
  <r>
    <m/>
    <m/>
    <x v="1"/>
    <s v="68146157001004"/>
    <n v="-4.2300000000000004"/>
    <n v="214"/>
    <n v="1"/>
    <n v="1"/>
  </r>
  <r>
    <m/>
    <m/>
    <x v="1"/>
    <s v="68156471001004"/>
    <n v="-2.04"/>
    <n v="103"/>
    <n v="1"/>
    <n v="1"/>
  </r>
  <r>
    <m/>
    <m/>
    <x v="1"/>
    <s v="68186045001001"/>
    <n v="-2.92"/>
    <n v="148"/>
    <n v="1"/>
    <n v="1"/>
  </r>
  <r>
    <m/>
    <m/>
    <x v="1"/>
    <s v="68461671002003"/>
    <n v="-6.46"/>
    <n v="327"/>
    <n v="1"/>
    <n v="1"/>
  </r>
  <r>
    <m/>
    <m/>
    <x v="1"/>
    <s v="68565772001001"/>
    <n v="-1.96"/>
    <n v="99"/>
    <n v="1"/>
    <n v="1"/>
  </r>
  <r>
    <m/>
    <m/>
    <x v="1"/>
    <s v="69567080001004"/>
    <n v="-0.59"/>
    <n v="30"/>
    <n v="1"/>
    <n v="1"/>
  </r>
  <r>
    <m/>
    <m/>
    <x v="1"/>
    <s v="69589294001001"/>
    <n v="-0.08"/>
    <n v="4"/>
    <n v="1"/>
    <n v="1"/>
  </r>
  <r>
    <m/>
    <m/>
    <x v="1"/>
    <s v="70262426002001"/>
    <n v="-7.8900000000000006"/>
    <n v="403"/>
    <n v="2"/>
    <n v="1"/>
  </r>
  <r>
    <m/>
    <m/>
    <x v="1"/>
    <s v="70262974001001"/>
    <n v="-3.54"/>
    <n v="179"/>
    <n v="1"/>
    <n v="1"/>
  </r>
  <r>
    <m/>
    <m/>
    <x v="1"/>
    <s v="70498831001001"/>
    <n v="-3.26"/>
    <n v="165"/>
    <n v="1"/>
    <n v="1"/>
  </r>
  <r>
    <m/>
    <m/>
    <x v="1"/>
    <s v="70529428001001"/>
    <n v="-15.180000000000001"/>
    <n v="772"/>
    <n v="2"/>
    <n v="1"/>
  </r>
  <r>
    <m/>
    <m/>
    <x v="1"/>
    <s v="70530404003001"/>
    <n v="-14.13"/>
    <n v="715"/>
    <n v="1"/>
    <n v="1"/>
  </r>
  <r>
    <m/>
    <m/>
    <x v="1"/>
    <s v="70925378002003"/>
    <n v="-2.31"/>
    <n v="117"/>
    <n v="1"/>
    <n v="1"/>
  </r>
  <r>
    <m/>
    <m/>
    <x v="1"/>
    <s v="71127815001002"/>
    <n v="-1.78"/>
    <n v="90"/>
    <n v="1"/>
    <n v="1"/>
  </r>
  <r>
    <m/>
    <m/>
    <x v="1"/>
    <s v="71181295001001"/>
    <n v="-0.79"/>
    <n v="40"/>
    <n v="1"/>
    <n v="1"/>
  </r>
  <r>
    <m/>
    <m/>
    <x v="1"/>
    <s v="71297342003003"/>
    <n v="-10.33"/>
    <n v="523"/>
    <n v="1"/>
    <n v="1"/>
  </r>
  <r>
    <m/>
    <m/>
    <x v="1"/>
    <s v="71338480001002"/>
    <n v="-7.03"/>
    <n v="356"/>
    <n v="1"/>
    <n v="1"/>
  </r>
  <r>
    <m/>
    <m/>
    <x v="1"/>
    <s v="71508543001001"/>
    <n v="-0.61"/>
    <n v="31"/>
    <n v="1"/>
    <n v="1"/>
  </r>
  <r>
    <m/>
    <m/>
    <x v="1"/>
    <s v="71751256001002"/>
    <n v="-8.14"/>
    <n v="412"/>
    <n v="1"/>
    <n v="1"/>
  </r>
  <r>
    <m/>
    <m/>
    <x v="1"/>
    <s v="71822800001001"/>
    <n v="-3.44"/>
    <n v="174"/>
    <n v="1"/>
    <n v="1"/>
  </r>
  <r>
    <m/>
    <m/>
    <x v="1"/>
    <s v="72327193001003"/>
    <n v="-7.59"/>
    <n v="388"/>
    <n v="2"/>
    <n v="1"/>
  </r>
  <r>
    <m/>
    <m/>
    <x v="1"/>
    <s v="72414106001005"/>
    <n v="-14.29"/>
    <n v="723"/>
    <n v="1"/>
    <n v="1"/>
  </r>
  <r>
    <m/>
    <m/>
    <x v="1"/>
    <s v="73001153001001"/>
    <n v="-3.36"/>
    <n v="170"/>
    <n v="1"/>
    <n v="1"/>
  </r>
  <r>
    <m/>
    <m/>
    <x v="1"/>
    <s v="73558422001001"/>
    <n v="-4.2699999999999996"/>
    <n v="217"/>
    <n v="2"/>
    <n v="1"/>
  </r>
  <r>
    <m/>
    <m/>
    <x v="1"/>
    <s v="73642053002003"/>
    <n v="-6.86"/>
    <n v="347"/>
    <n v="1"/>
    <n v="1"/>
  </r>
  <r>
    <m/>
    <m/>
    <x v="1"/>
    <s v="73743305001005"/>
    <n v="-4.92"/>
    <n v="249"/>
    <n v="1"/>
    <n v="1"/>
  </r>
  <r>
    <m/>
    <m/>
    <x v="1"/>
    <s v="74039552001001"/>
    <n v="-1.98"/>
    <n v="100"/>
    <n v="1"/>
    <n v="1"/>
  </r>
  <r>
    <m/>
    <m/>
    <x v="1"/>
    <s v="74101362001001"/>
    <n v="-0.56999999999999995"/>
    <n v="29"/>
    <n v="1"/>
    <n v="1"/>
  </r>
  <r>
    <m/>
    <m/>
    <x v="1"/>
    <s v="74233906001003"/>
    <n v="-0.95"/>
    <n v="48"/>
    <n v="1"/>
    <n v="1"/>
  </r>
  <r>
    <m/>
    <m/>
    <x v="1"/>
    <s v="74632852001001"/>
    <n v="-5.43"/>
    <n v="275"/>
    <n v="1"/>
    <n v="1"/>
  </r>
  <r>
    <m/>
    <m/>
    <x v="1"/>
    <s v="74916061001001"/>
    <n v="-2.4500000000000002"/>
    <n v="124"/>
    <n v="1"/>
    <n v="1"/>
  </r>
  <r>
    <m/>
    <m/>
    <x v="1"/>
    <s v="75448417001001"/>
    <n v="-3.48"/>
    <n v="176"/>
    <n v="1"/>
    <n v="1"/>
  </r>
  <r>
    <m/>
    <m/>
    <x v="1"/>
    <s v="75492701001001"/>
    <n v="-5.77"/>
    <n v="292"/>
    <n v="1"/>
    <n v="1"/>
  </r>
  <r>
    <m/>
    <m/>
    <x v="1"/>
    <s v="75544198001002"/>
    <n v="-9.33"/>
    <n v="472"/>
    <n v="1"/>
    <n v="1"/>
  </r>
  <r>
    <m/>
    <m/>
    <x v="1"/>
    <s v="75558866002001"/>
    <n v="-18.12"/>
    <n v="921"/>
    <n v="2"/>
    <n v="1"/>
  </r>
  <r>
    <m/>
    <m/>
    <x v="1"/>
    <s v="76017664001001"/>
    <n v="-0.2"/>
    <n v="10"/>
    <n v="1"/>
    <n v="1"/>
  </r>
  <r>
    <m/>
    <m/>
    <x v="1"/>
    <s v="76068750001001"/>
    <n v="-3.21"/>
    <n v="164"/>
    <n v="2"/>
    <n v="1"/>
  </r>
  <r>
    <m/>
    <m/>
    <x v="1"/>
    <s v="76170368001004"/>
    <n v="-1.23"/>
    <n v="62"/>
    <n v="1"/>
    <n v="1"/>
  </r>
  <r>
    <m/>
    <m/>
    <x v="1"/>
    <s v="76242332001003"/>
    <n v="-6.26"/>
    <n v="317"/>
    <n v="1"/>
    <n v="1"/>
  </r>
  <r>
    <m/>
    <m/>
    <x v="1"/>
    <s v="76297115001001"/>
    <n v="-0.02"/>
    <n v="1"/>
    <n v="1"/>
    <n v="1"/>
  </r>
  <r>
    <m/>
    <m/>
    <x v="1"/>
    <s v="76590700001002"/>
    <n v="-1.1100000000000001"/>
    <n v="56"/>
    <n v="1"/>
    <n v="1"/>
  </r>
  <r>
    <m/>
    <m/>
    <x v="1"/>
    <s v="76595548001001"/>
    <n v="-0.53"/>
    <n v="27"/>
    <n v="1"/>
    <n v="1"/>
  </r>
  <r>
    <m/>
    <m/>
    <x v="1"/>
    <s v="76615869001006"/>
    <n v="-6.76"/>
    <n v="342"/>
    <n v="1"/>
    <n v="1"/>
  </r>
  <r>
    <m/>
    <m/>
    <x v="1"/>
    <s v="76670454001001"/>
    <n v="-5.87"/>
    <n v="297"/>
    <n v="1"/>
    <n v="1"/>
  </r>
  <r>
    <m/>
    <m/>
    <x v="1"/>
    <s v="77153785002001"/>
    <n v="-12.47"/>
    <n v="631"/>
    <n v="1"/>
    <n v="1"/>
  </r>
  <r>
    <m/>
    <m/>
    <x v="1"/>
    <s v="77587631001002"/>
    <n v="-1.38"/>
    <n v="70"/>
    <n v="1"/>
    <n v="1"/>
  </r>
  <r>
    <m/>
    <m/>
    <x v="1"/>
    <s v="77633291001003"/>
    <n v="-2.79"/>
    <n v="141"/>
    <n v="1"/>
    <n v="1"/>
  </r>
  <r>
    <m/>
    <m/>
    <x v="1"/>
    <s v="77810743001005"/>
    <n v="-11.78"/>
    <n v="596"/>
    <n v="1"/>
    <n v="1"/>
  </r>
  <r>
    <m/>
    <m/>
    <x v="1"/>
    <s v="77963852001001"/>
    <n v="-0.22"/>
    <n v="11"/>
    <n v="1"/>
    <n v="1"/>
  </r>
  <r>
    <m/>
    <m/>
    <x v="1"/>
    <s v="78306458001001"/>
    <n v="-5.71"/>
    <n v="289"/>
    <n v="1"/>
    <n v="1"/>
  </r>
  <r>
    <m/>
    <m/>
    <x v="1"/>
    <s v="78978822002001"/>
    <n v="-4.8100000000000005"/>
    <n v="245"/>
    <n v="2"/>
    <n v="1"/>
  </r>
  <r>
    <m/>
    <m/>
    <x v="1"/>
    <s v="79620926001001"/>
    <n v="-9.6999999999999993"/>
    <n v="491"/>
    <n v="1"/>
    <n v="1"/>
  </r>
  <r>
    <m/>
    <m/>
    <x v="1"/>
    <s v="79932201001006"/>
    <n v="-0.65"/>
    <n v="33"/>
    <n v="1"/>
    <n v="1"/>
  </r>
  <r>
    <m/>
    <m/>
    <x v="1"/>
    <s v="80270144001001"/>
    <n v="-8.34"/>
    <n v="422"/>
    <n v="1"/>
    <n v="1"/>
  </r>
  <r>
    <m/>
    <m/>
    <x v="1"/>
    <s v="80293559001001"/>
    <n v="-2.57"/>
    <n v="130"/>
    <n v="1"/>
    <n v="1"/>
  </r>
  <r>
    <m/>
    <m/>
    <x v="1"/>
    <s v="80509039001001"/>
    <n v="-0.26"/>
    <n v="13"/>
    <n v="1"/>
    <n v="1"/>
  </r>
  <r>
    <m/>
    <m/>
    <x v="1"/>
    <s v="80867382002003"/>
    <n v="-0.81"/>
    <n v="41"/>
    <n v="1"/>
    <n v="1"/>
  </r>
  <r>
    <m/>
    <m/>
    <x v="1"/>
    <s v="81331550002001"/>
    <n v="-0.12"/>
    <n v="6"/>
    <n v="1"/>
    <n v="1"/>
  </r>
  <r>
    <m/>
    <m/>
    <x v="1"/>
    <s v="81635154007001"/>
    <n v="-12.25"/>
    <n v="620"/>
    <n v="1"/>
    <n v="1"/>
  </r>
  <r>
    <m/>
    <m/>
    <x v="1"/>
    <s v="81964610001001"/>
    <n v="-2.87"/>
    <n v="145"/>
    <n v="1"/>
    <n v="1"/>
  </r>
  <r>
    <m/>
    <m/>
    <x v="1"/>
    <s v="82088762001001"/>
    <n v="-22.119999999999997"/>
    <n v="1130"/>
    <n v="2"/>
    <n v="1"/>
  </r>
  <r>
    <m/>
    <m/>
    <x v="1"/>
    <s v="82225464001008"/>
    <n v="-9.86"/>
    <n v="499"/>
    <n v="1"/>
    <n v="1"/>
  </r>
  <r>
    <m/>
    <m/>
    <x v="1"/>
    <s v="82247199001001"/>
    <n v="-1.38"/>
    <n v="70"/>
    <n v="1"/>
    <n v="1"/>
  </r>
  <r>
    <m/>
    <m/>
    <x v="1"/>
    <s v="82371195001001"/>
    <n v="-0.08"/>
    <n v="4"/>
    <n v="1"/>
    <n v="1"/>
  </r>
  <r>
    <m/>
    <m/>
    <x v="1"/>
    <s v="82480022001002"/>
    <n v="-0.28000000000000003"/>
    <n v="14"/>
    <n v="1"/>
    <n v="1"/>
  </r>
  <r>
    <m/>
    <m/>
    <x v="1"/>
    <s v="82844671001002"/>
    <n v="-3.58"/>
    <n v="181"/>
    <n v="1"/>
    <n v="1"/>
  </r>
  <r>
    <m/>
    <m/>
    <x v="1"/>
    <s v="82956544001001"/>
    <n v="-1.74"/>
    <n v="88"/>
    <n v="1"/>
    <n v="1"/>
  </r>
  <r>
    <m/>
    <m/>
    <x v="1"/>
    <s v="83010955001001"/>
    <n v="-4.1900000000000004"/>
    <n v="212"/>
    <n v="1"/>
    <n v="1"/>
  </r>
  <r>
    <m/>
    <m/>
    <x v="1"/>
    <s v="83489581002001"/>
    <n v="-5.67"/>
    <n v="287"/>
    <n v="1"/>
    <n v="1"/>
  </r>
  <r>
    <m/>
    <m/>
    <x v="1"/>
    <s v="83624396002001"/>
    <n v="-0.99"/>
    <n v="50"/>
    <n v="1"/>
    <n v="1"/>
  </r>
  <r>
    <m/>
    <m/>
    <x v="1"/>
    <s v="83648881001001"/>
    <n v="-0.36"/>
    <n v="18"/>
    <n v="1"/>
    <n v="1"/>
  </r>
  <r>
    <m/>
    <m/>
    <x v="1"/>
    <s v="84001278001001"/>
    <n v="-0.45"/>
    <n v="23"/>
    <n v="1"/>
    <n v="1"/>
  </r>
  <r>
    <m/>
    <m/>
    <x v="1"/>
    <s v="84301238001003"/>
    <n v="-0.89"/>
    <n v="45"/>
    <n v="1"/>
    <n v="1"/>
  </r>
  <r>
    <m/>
    <m/>
    <x v="1"/>
    <s v="84345456001001"/>
    <n v="-8.89"/>
    <n v="454"/>
    <n v="2"/>
    <n v="1"/>
  </r>
  <r>
    <m/>
    <m/>
    <x v="1"/>
    <s v="84586349003003"/>
    <n v="-28.060000000000002"/>
    <n v="1634"/>
    <n v="3"/>
    <n v="1"/>
  </r>
  <r>
    <m/>
    <m/>
    <x v="1"/>
    <s v="84764694001005"/>
    <n v="-0.63"/>
    <n v="32"/>
    <n v="1"/>
    <n v="1"/>
  </r>
  <r>
    <m/>
    <m/>
    <x v="1"/>
    <s v="84768096001002"/>
    <n v="-1.78"/>
    <n v="90"/>
    <n v="1"/>
    <n v="1"/>
  </r>
  <r>
    <m/>
    <m/>
    <x v="1"/>
    <s v="84934447001001"/>
    <n v="-1.34"/>
    <n v="68"/>
    <n v="1"/>
    <n v="1"/>
  </r>
  <r>
    <m/>
    <m/>
    <x v="1"/>
    <s v="85004567002008"/>
    <n v="-14.11"/>
    <n v="714"/>
    <n v="1"/>
    <n v="1"/>
  </r>
  <r>
    <m/>
    <m/>
    <x v="1"/>
    <s v="85155127001002"/>
    <n v="-5.37"/>
    <n v="272"/>
    <n v="1"/>
    <n v="1"/>
  </r>
  <r>
    <m/>
    <m/>
    <x v="1"/>
    <s v="85419820001002"/>
    <n v="-1.03"/>
    <n v="52"/>
    <n v="1"/>
    <n v="1"/>
  </r>
  <r>
    <m/>
    <m/>
    <x v="1"/>
    <s v="85581047001001"/>
    <n v="-2.25"/>
    <n v="114"/>
    <n v="1"/>
    <n v="1"/>
  </r>
  <r>
    <m/>
    <m/>
    <x v="1"/>
    <s v="85785045001005"/>
    <n v="-51.42"/>
    <n v="2627"/>
    <n v="2"/>
    <n v="1"/>
  </r>
  <r>
    <m/>
    <m/>
    <x v="1"/>
    <s v="85975789001001"/>
    <n v="-12.8"/>
    <n v="648"/>
    <n v="1"/>
    <n v="1"/>
  </r>
  <r>
    <m/>
    <m/>
    <x v="1"/>
    <s v="86168663001003"/>
    <n v="-5.72"/>
    <n v="291"/>
    <n v="2"/>
    <n v="1"/>
  </r>
  <r>
    <m/>
    <m/>
    <x v="1"/>
    <s v="86296772001001"/>
    <n v="-10.78"/>
    <n v="548"/>
    <n v="2"/>
    <n v="1"/>
  </r>
  <r>
    <m/>
    <m/>
    <x v="1"/>
    <s v="86363752001001"/>
    <n v="-10.030000000000001"/>
    <n v="510"/>
    <n v="2"/>
    <n v="1"/>
  </r>
  <r>
    <m/>
    <m/>
    <x v="1"/>
    <s v="86518069001001"/>
    <n v="-7.57"/>
    <n v="383"/>
    <n v="1"/>
    <n v="1"/>
  </r>
  <r>
    <m/>
    <m/>
    <x v="1"/>
    <s v="87452134001003"/>
    <n v="-17.37"/>
    <n v="883"/>
    <n v="2"/>
    <n v="1"/>
  </r>
  <r>
    <m/>
    <m/>
    <x v="1"/>
    <s v="87569375001001"/>
    <n v="-13.67"/>
    <n v="692"/>
    <n v="1"/>
    <n v="1"/>
  </r>
  <r>
    <m/>
    <m/>
    <x v="1"/>
    <s v="87885809001004"/>
    <n v="-3.77"/>
    <n v="191"/>
    <n v="1"/>
    <n v="1"/>
  </r>
  <r>
    <m/>
    <m/>
    <x v="1"/>
    <s v="87989600001003"/>
    <n v="-22.25"/>
    <n v="1126"/>
    <n v="1"/>
    <n v="1"/>
  </r>
  <r>
    <m/>
    <m/>
    <x v="1"/>
    <s v="88075199001001"/>
    <n v="-4.41"/>
    <n v="223"/>
    <n v="1"/>
    <n v="1"/>
  </r>
  <r>
    <m/>
    <m/>
    <x v="1"/>
    <s v="88142714001001"/>
    <n v="-20"/>
    <n v="1012"/>
    <n v="1"/>
    <n v="1"/>
  </r>
  <r>
    <m/>
    <m/>
    <x v="1"/>
    <s v="88152741001004"/>
    <n v="-1.58"/>
    <n v="80"/>
    <n v="1"/>
    <n v="1"/>
  </r>
  <r>
    <m/>
    <m/>
    <x v="1"/>
    <s v="88233884001001"/>
    <n v="-1.4300000000000002"/>
    <n v="73"/>
    <n v="2"/>
    <n v="1"/>
  </r>
  <r>
    <m/>
    <m/>
    <x v="1"/>
    <s v="88770508001006"/>
    <n v="-4.01"/>
    <n v="203"/>
    <n v="1"/>
    <n v="1"/>
  </r>
  <r>
    <m/>
    <m/>
    <x v="1"/>
    <s v="88777401001007"/>
    <n v="-0.69"/>
    <n v="35"/>
    <n v="1"/>
    <n v="1"/>
  </r>
  <r>
    <m/>
    <m/>
    <x v="1"/>
    <s v="89520809001009"/>
    <n v="-1.38"/>
    <n v="70"/>
    <n v="1"/>
    <n v="1"/>
  </r>
  <r>
    <m/>
    <m/>
    <x v="1"/>
    <s v="89599726001001"/>
    <n v="-7.87"/>
    <n v="400"/>
    <n v="2"/>
    <n v="1"/>
  </r>
  <r>
    <m/>
    <m/>
    <x v="1"/>
    <s v="89709361001001"/>
    <n v="-10.41"/>
    <n v="527"/>
    <n v="1"/>
    <n v="1"/>
  </r>
  <r>
    <m/>
    <m/>
    <x v="1"/>
    <s v="89718018001006"/>
    <n v="-11.52"/>
    <n v="583"/>
    <n v="1"/>
    <n v="1"/>
  </r>
  <r>
    <m/>
    <m/>
    <x v="1"/>
    <s v="90314519001006"/>
    <n v="-0.56999999999999995"/>
    <n v="29"/>
    <n v="1"/>
    <n v="1"/>
  </r>
  <r>
    <m/>
    <m/>
    <x v="1"/>
    <s v="90516824001003"/>
    <n v="-16.099999999999998"/>
    <n v="822"/>
    <n v="2"/>
    <n v="1"/>
  </r>
  <r>
    <m/>
    <m/>
    <x v="1"/>
    <s v="90527747001001"/>
    <n v="-7.33"/>
    <n v="371"/>
    <n v="1"/>
    <n v="1"/>
  </r>
  <r>
    <m/>
    <m/>
    <x v="1"/>
    <s v="90651605001001"/>
    <n v="-0.3"/>
    <n v="15"/>
    <n v="1"/>
    <n v="1"/>
  </r>
  <r>
    <m/>
    <m/>
    <x v="1"/>
    <s v="90805481002003"/>
    <n v="-4.09"/>
    <n v="207"/>
    <n v="1"/>
    <n v="1"/>
  </r>
  <r>
    <m/>
    <m/>
    <x v="1"/>
    <s v="91666691002003"/>
    <n v="-8.2200000000000006"/>
    <n v="416"/>
    <n v="1"/>
    <n v="1"/>
  </r>
  <r>
    <m/>
    <m/>
    <x v="1"/>
    <s v="91750195001001"/>
    <n v="-5.67"/>
    <n v="287"/>
    <n v="1"/>
    <n v="1"/>
  </r>
  <r>
    <m/>
    <m/>
    <x v="1"/>
    <s v="92326056001001"/>
    <n v="-17.7"/>
    <n v="896"/>
    <n v="1"/>
    <n v="1"/>
  </r>
  <r>
    <m/>
    <m/>
    <x v="1"/>
    <s v="92573504001002"/>
    <n v="-1.64"/>
    <n v="83"/>
    <n v="1"/>
    <n v="1"/>
  </r>
  <r>
    <m/>
    <m/>
    <x v="1"/>
    <s v="92602233001001"/>
    <n v="-0.79"/>
    <n v="40"/>
    <n v="1"/>
    <n v="1"/>
  </r>
  <r>
    <m/>
    <m/>
    <x v="1"/>
    <s v="92711390001001"/>
    <n v="-1.92"/>
    <n v="97"/>
    <n v="1"/>
    <n v="1"/>
  </r>
  <r>
    <m/>
    <m/>
    <x v="1"/>
    <s v="92914807001001"/>
    <n v="-2.0699999999999998"/>
    <n v="105"/>
    <n v="1"/>
    <n v="1"/>
  </r>
  <r>
    <m/>
    <m/>
    <x v="1"/>
    <s v="93208083001001"/>
    <n v="-18.399999999999999"/>
    <n v="931"/>
    <n v="1"/>
    <n v="1"/>
  </r>
  <r>
    <m/>
    <m/>
    <x v="1"/>
    <s v="93596601001001"/>
    <n v="-18.93"/>
    <n v="958"/>
    <n v="1"/>
    <n v="1"/>
  </r>
  <r>
    <m/>
    <m/>
    <x v="1"/>
    <s v="93723374003001"/>
    <n v="-26.02"/>
    <n v="1317"/>
    <n v="1"/>
    <n v="1"/>
  </r>
  <r>
    <m/>
    <m/>
    <x v="1"/>
    <s v="93767754001003"/>
    <n v="-4.37"/>
    <n v="221"/>
    <n v="1"/>
    <n v="1"/>
  </r>
  <r>
    <m/>
    <m/>
    <x v="1"/>
    <s v="93793236001001"/>
    <n v="-14.19"/>
    <n v="718"/>
    <n v="1"/>
    <n v="1"/>
  </r>
  <r>
    <m/>
    <m/>
    <x v="1"/>
    <s v="93853061001004"/>
    <n v="-9.66"/>
    <n v="489"/>
    <n v="1"/>
    <n v="1"/>
  </r>
  <r>
    <m/>
    <m/>
    <x v="1"/>
    <s v="94684058001001"/>
    <n v="-4.8600000000000003"/>
    <n v="246"/>
    <n v="1"/>
    <n v="1"/>
  </r>
  <r>
    <m/>
    <m/>
    <x v="1"/>
    <s v="94938062001001"/>
    <n v="-8.34"/>
    <n v="422"/>
    <n v="1"/>
    <n v="1"/>
  </r>
  <r>
    <m/>
    <m/>
    <x v="1"/>
    <s v="95131113004001"/>
    <n v="-1.62"/>
    <n v="82"/>
    <n v="1"/>
    <n v="1"/>
  </r>
  <r>
    <m/>
    <m/>
    <x v="1"/>
    <s v="95342054001001"/>
    <n v="-10.69"/>
    <n v="541"/>
    <n v="1"/>
    <n v="1"/>
  </r>
  <r>
    <m/>
    <m/>
    <x v="1"/>
    <s v="95347210001001"/>
    <n v="-2.29"/>
    <n v="116"/>
    <n v="1"/>
    <n v="1"/>
  </r>
  <r>
    <m/>
    <m/>
    <x v="1"/>
    <s v="95581312001002"/>
    <n v="-12.63"/>
    <n v="639"/>
    <n v="1"/>
    <n v="1"/>
  </r>
  <r>
    <m/>
    <m/>
    <x v="1"/>
    <s v="95952271001001"/>
    <n v="-0.41"/>
    <n v="21"/>
    <n v="1"/>
    <n v="1"/>
  </r>
  <r>
    <m/>
    <m/>
    <x v="1"/>
    <s v="95991535001001"/>
    <n v="-2.87"/>
    <n v="145"/>
    <n v="1"/>
    <n v="1"/>
  </r>
  <r>
    <m/>
    <m/>
    <x v="1"/>
    <s v="96042645001001"/>
    <n v="-5"/>
    <n v="253"/>
    <n v="1"/>
    <n v="1"/>
  </r>
  <r>
    <m/>
    <m/>
    <x v="1"/>
    <s v="96186430001005"/>
    <n v="-0.91"/>
    <n v="46"/>
    <n v="1"/>
    <n v="1"/>
  </r>
  <r>
    <m/>
    <m/>
    <x v="1"/>
    <s v="96258552001004"/>
    <n v="-1.34"/>
    <n v="68"/>
    <n v="1"/>
    <n v="1"/>
  </r>
  <r>
    <m/>
    <m/>
    <x v="1"/>
    <s v="96306013001003"/>
    <n v="-0.73"/>
    <n v="37"/>
    <n v="1"/>
    <n v="1"/>
  </r>
  <r>
    <m/>
    <m/>
    <x v="1"/>
    <s v="96369039001001"/>
    <n v="-15.31"/>
    <n v="775"/>
    <n v="1"/>
    <n v="1"/>
  </r>
  <r>
    <m/>
    <m/>
    <x v="1"/>
    <s v="96386777001002"/>
    <n v="-28.61"/>
    <n v="1448"/>
    <n v="1"/>
    <n v="1"/>
  </r>
  <r>
    <m/>
    <m/>
    <x v="1"/>
    <s v="96472741002003"/>
    <n v="-0.93"/>
    <n v="47"/>
    <n v="1"/>
    <n v="1"/>
  </r>
  <r>
    <m/>
    <m/>
    <x v="1"/>
    <s v="96478184001006"/>
    <n v="-12.82"/>
    <n v="649"/>
    <n v="1"/>
    <n v="1"/>
  </r>
  <r>
    <m/>
    <m/>
    <x v="1"/>
    <s v="96949041001001"/>
    <n v="-1.64"/>
    <n v="83"/>
    <n v="1"/>
    <n v="1"/>
  </r>
  <r>
    <m/>
    <m/>
    <x v="1"/>
    <s v="96986090001001"/>
    <n v="-19.600000000000001"/>
    <n v="992"/>
    <n v="1"/>
    <n v="1"/>
  </r>
  <r>
    <m/>
    <m/>
    <x v="1"/>
    <s v="97005215001001"/>
    <n v="-3.38"/>
    <n v="171"/>
    <n v="1"/>
    <n v="1"/>
  </r>
  <r>
    <m/>
    <m/>
    <x v="1"/>
    <s v="97521847001001"/>
    <n v="-8.16"/>
    <n v="413"/>
    <n v="1"/>
    <n v="1"/>
  </r>
  <r>
    <m/>
    <m/>
    <x v="1"/>
    <s v="97919016001004"/>
    <n v="-1.21"/>
    <n v="61"/>
    <n v="1"/>
    <n v="1"/>
  </r>
  <r>
    <m/>
    <m/>
    <x v="1"/>
    <s v="98004963001002"/>
    <n v="-7.37"/>
    <n v="373"/>
    <n v="1"/>
    <n v="1"/>
  </r>
  <r>
    <m/>
    <m/>
    <x v="1"/>
    <s v="98150139003001"/>
    <n v="-10.86"/>
    <n v="552"/>
    <n v="2"/>
    <n v="1"/>
  </r>
  <r>
    <m/>
    <m/>
    <x v="1"/>
    <s v="98185698002001"/>
    <n v="-7.05"/>
    <n v="357"/>
    <n v="1"/>
    <n v="1"/>
  </r>
  <r>
    <m/>
    <m/>
    <x v="1"/>
    <s v="98323580001002"/>
    <n v="-7.13"/>
    <n v="364"/>
    <n v="2"/>
    <n v="1"/>
  </r>
  <r>
    <m/>
    <m/>
    <x v="1"/>
    <s v="98514689005003"/>
    <n v="-2.21"/>
    <n v="112"/>
    <n v="1"/>
    <n v="1"/>
  </r>
  <r>
    <m/>
    <m/>
    <x v="1"/>
    <s v="98627781002001"/>
    <n v="-3.2"/>
    <n v="162"/>
    <n v="1"/>
    <n v="1"/>
  </r>
  <r>
    <m/>
    <m/>
    <x v="1"/>
    <s v="98734416001003"/>
    <n v="-28.67"/>
    <n v="1451"/>
    <n v="1"/>
    <n v="1"/>
  </r>
  <r>
    <m/>
    <m/>
    <x v="1"/>
    <s v="99088785001001"/>
    <n v="-6.18"/>
    <n v="313"/>
    <n v="1"/>
    <n v="1"/>
  </r>
  <r>
    <m/>
    <m/>
    <x v="1"/>
    <s v="99558695001002"/>
    <n v="-15.91"/>
    <n v="809"/>
    <n v="2"/>
    <n v="1"/>
  </r>
  <r>
    <m/>
    <m/>
    <x v="1"/>
    <s v="99831171001001"/>
    <n v="-44.82"/>
    <n v="2268"/>
    <n v="1"/>
    <n v="1"/>
  </r>
  <r>
    <m/>
    <m/>
    <x v="1"/>
    <s v="99960737001001"/>
    <n v="-5.49"/>
    <n v="278"/>
    <n v="1"/>
    <n v="1"/>
  </r>
  <r>
    <m/>
    <m/>
    <x v="2"/>
    <m/>
    <n v="-4969.0699999999961"/>
    <n v="252207"/>
    <n v="823"/>
    <n v="708"/>
  </r>
  <r>
    <m/>
    <m/>
    <x v="3"/>
    <s v="00416718001001"/>
    <n v="-17.989999999999998"/>
    <n v="569"/>
    <n v="1"/>
    <n v="1"/>
  </r>
  <r>
    <m/>
    <m/>
    <x v="1"/>
    <s v="00573765002001"/>
    <n v="-22.15"/>
    <n v="809"/>
    <n v="1"/>
    <n v="1"/>
  </r>
  <r>
    <m/>
    <m/>
    <x v="1"/>
    <s v="00595168001001"/>
    <n v="-5.79"/>
    <n v="183"/>
    <n v="1"/>
    <n v="1"/>
  </r>
  <r>
    <m/>
    <m/>
    <x v="1"/>
    <s v="00620929001002"/>
    <n v="-11.7"/>
    <n v="370"/>
    <n v="1"/>
    <n v="1"/>
  </r>
  <r>
    <m/>
    <m/>
    <x v="1"/>
    <s v="01423270002001"/>
    <n v="-3.26"/>
    <n v="103"/>
    <n v="1"/>
    <n v="1"/>
  </r>
  <r>
    <m/>
    <m/>
    <x v="1"/>
    <s v="01775038001002"/>
    <n v="-18.04"/>
    <n v="573"/>
    <n v="2"/>
    <n v="1"/>
  </r>
  <r>
    <m/>
    <m/>
    <x v="1"/>
    <s v="01883451001001"/>
    <n v="-13.34"/>
    <n v="422"/>
    <n v="1"/>
    <n v="1"/>
  </r>
  <r>
    <m/>
    <m/>
    <x v="1"/>
    <s v="01933876002003"/>
    <n v="-5.22"/>
    <n v="165"/>
    <n v="1"/>
    <n v="1"/>
  </r>
  <r>
    <m/>
    <m/>
    <x v="1"/>
    <s v="02155866001004"/>
    <n v="-21.82"/>
    <n v="690"/>
    <n v="1"/>
    <n v="1"/>
  </r>
  <r>
    <m/>
    <m/>
    <x v="1"/>
    <s v="02249862002005"/>
    <n v="-0.85"/>
    <n v="27"/>
    <n v="1"/>
    <n v="1"/>
  </r>
  <r>
    <m/>
    <m/>
    <x v="1"/>
    <s v="02309710001002"/>
    <n v="-4.21"/>
    <n v="133"/>
    <n v="1"/>
    <n v="1"/>
  </r>
  <r>
    <m/>
    <m/>
    <x v="1"/>
    <s v="02382323002001"/>
    <n v="-4.58"/>
    <n v="145"/>
    <n v="1"/>
    <n v="1"/>
  </r>
  <r>
    <m/>
    <m/>
    <x v="1"/>
    <s v="02489977001002"/>
    <n v="-6.61"/>
    <n v="211"/>
    <n v="2"/>
    <n v="1"/>
  </r>
  <r>
    <m/>
    <m/>
    <x v="1"/>
    <s v="02523107001004"/>
    <n v="-1.8"/>
    <n v="57"/>
    <n v="1"/>
    <n v="1"/>
  </r>
  <r>
    <m/>
    <m/>
    <x v="1"/>
    <s v="02622939001003"/>
    <n v="-4.8099999999999996"/>
    <n v="152"/>
    <n v="1"/>
    <n v="1"/>
  </r>
  <r>
    <m/>
    <m/>
    <x v="1"/>
    <s v="02625530001001"/>
    <n v="-6.07"/>
    <n v="192"/>
    <n v="1"/>
    <n v="1"/>
  </r>
  <r>
    <m/>
    <m/>
    <x v="1"/>
    <s v="02761318001001"/>
    <n v="-4.74"/>
    <n v="150"/>
    <n v="1"/>
    <n v="1"/>
  </r>
  <r>
    <m/>
    <m/>
    <x v="1"/>
    <s v="02788965005001"/>
    <n v="-76.2"/>
    <n v="2421"/>
    <n v="2"/>
    <n v="1"/>
  </r>
  <r>
    <m/>
    <m/>
    <x v="1"/>
    <s v="03017381002007"/>
    <n v="-3.73"/>
    <n v="118"/>
    <n v="1"/>
    <n v="1"/>
  </r>
  <r>
    <m/>
    <m/>
    <x v="1"/>
    <s v="03289754002001"/>
    <n v="-5.09"/>
    <n v="161"/>
    <n v="1"/>
    <n v="1"/>
  </r>
  <r>
    <m/>
    <m/>
    <x v="1"/>
    <s v="03351704002008"/>
    <n v="-0.41"/>
    <n v="13"/>
    <n v="1"/>
    <n v="1"/>
  </r>
  <r>
    <m/>
    <m/>
    <x v="1"/>
    <s v="03379746001001"/>
    <n v="-18.559999999999999"/>
    <n v="587"/>
    <n v="1"/>
    <n v="1"/>
  </r>
  <r>
    <m/>
    <m/>
    <x v="1"/>
    <s v="03494646001002"/>
    <n v="-8.6999999999999993"/>
    <n v="275"/>
    <n v="1"/>
    <n v="1"/>
  </r>
  <r>
    <m/>
    <m/>
    <x v="1"/>
    <s v="03765771001003"/>
    <n v="-9.23"/>
    <n v="292"/>
    <n v="1"/>
    <n v="1"/>
  </r>
  <r>
    <m/>
    <m/>
    <x v="1"/>
    <s v="03931679001001"/>
    <n v="-22.28"/>
    <n v="708"/>
    <n v="2"/>
    <n v="1"/>
  </r>
  <r>
    <m/>
    <m/>
    <x v="1"/>
    <s v="04036291001005"/>
    <n v="-15.879999999999999"/>
    <n v="507"/>
    <n v="2"/>
    <n v="1"/>
  </r>
  <r>
    <m/>
    <m/>
    <x v="1"/>
    <s v="04235477001011"/>
    <n v="-4.21"/>
    <n v="133"/>
    <n v="1"/>
    <n v="1"/>
  </r>
  <r>
    <m/>
    <m/>
    <x v="1"/>
    <s v="04330395001006"/>
    <n v="-18.540000000000003"/>
    <n v="592"/>
    <n v="2"/>
    <n v="1"/>
  </r>
  <r>
    <m/>
    <m/>
    <x v="1"/>
    <s v="04587647002001"/>
    <n v="-37.909999999999997"/>
    <n v="1199"/>
    <n v="1"/>
    <n v="1"/>
  </r>
  <r>
    <m/>
    <m/>
    <x v="1"/>
    <s v="04668888001001"/>
    <n v="-1.71"/>
    <n v="54"/>
    <n v="1"/>
    <n v="1"/>
  </r>
  <r>
    <m/>
    <m/>
    <x v="1"/>
    <s v="04767750001002"/>
    <n v="-0.51"/>
    <n v="16"/>
    <n v="1"/>
    <n v="1"/>
  </r>
  <r>
    <m/>
    <m/>
    <x v="1"/>
    <s v="04891223001003"/>
    <n v="-4.3"/>
    <n v="136"/>
    <n v="1"/>
    <n v="1"/>
  </r>
  <r>
    <m/>
    <m/>
    <x v="1"/>
    <s v="05077769001001"/>
    <n v="-3.79"/>
    <n v="120"/>
    <n v="1"/>
    <n v="1"/>
  </r>
  <r>
    <m/>
    <m/>
    <x v="1"/>
    <s v="05169515001001"/>
    <n v="-3.32"/>
    <n v="105"/>
    <n v="1"/>
    <n v="1"/>
  </r>
  <r>
    <m/>
    <m/>
    <x v="1"/>
    <s v="05415666001005"/>
    <n v="-1.58"/>
    <n v="50"/>
    <n v="1"/>
    <n v="1"/>
  </r>
  <r>
    <m/>
    <m/>
    <x v="1"/>
    <s v="05776636001001"/>
    <n v="-1.23"/>
    <n v="39"/>
    <n v="1"/>
    <n v="1"/>
  </r>
  <r>
    <m/>
    <m/>
    <x v="1"/>
    <s v="05896822001001"/>
    <n v="-55.62"/>
    <n v="1759"/>
    <n v="1"/>
    <n v="1"/>
  </r>
  <r>
    <m/>
    <m/>
    <x v="1"/>
    <s v="06014943001001"/>
    <n v="-3.32"/>
    <n v="105"/>
    <n v="1"/>
    <n v="1"/>
  </r>
  <r>
    <m/>
    <m/>
    <x v="1"/>
    <s v="06437475001006"/>
    <n v="-3.86"/>
    <n v="122"/>
    <n v="1"/>
    <n v="1"/>
  </r>
  <r>
    <m/>
    <m/>
    <x v="1"/>
    <s v="06563369001001"/>
    <n v="-23.27"/>
    <n v="736"/>
    <n v="1"/>
    <n v="1"/>
  </r>
  <r>
    <m/>
    <m/>
    <x v="1"/>
    <s v="06651048001002"/>
    <n v="-19.45"/>
    <n v="615"/>
    <n v="1"/>
    <n v="1"/>
  </r>
  <r>
    <m/>
    <m/>
    <x v="1"/>
    <s v="06659459001005"/>
    <n v="-16.549999999999997"/>
    <n v="526"/>
    <n v="2"/>
    <n v="1"/>
  </r>
  <r>
    <m/>
    <m/>
    <x v="1"/>
    <s v="06870862001001"/>
    <n v="-31.9"/>
    <n v="1009"/>
    <n v="1"/>
    <n v="1"/>
  </r>
  <r>
    <m/>
    <m/>
    <x v="1"/>
    <s v="07299621001001"/>
    <n v="-1.26"/>
    <n v="40"/>
    <n v="1"/>
    <n v="1"/>
  </r>
  <r>
    <m/>
    <m/>
    <x v="1"/>
    <s v="08005911001002"/>
    <n v="-5.38"/>
    <n v="170"/>
    <n v="1"/>
    <n v="1"/>
  </r>
  <r>
    <m/>
    <m/>
    <x v="1"/>
    <s v="08008932001009"/>
    <n v="-12.17"/>
    <n v="385"/>
    <n v="1"/>
    <n v="1"/>
  </r>
  <r>
    <m/>
    <m/>
    <x v="1"/>
    <s v="08116506001004"/>
    <n v="-16.82"/>
    <n v="537"/>
    <n v="2"/>
    <n v="1"/>
  </r>
  <r>
    <m/>
    <m/>
    <x v="1"/>
    <s v="08352681002008"/>
    <n v="-32.799999999999997"/>
    <n v="1047"/>
    <n v="2"/>
    <n v="1"/>
  </r>
  <r>
    <m/>
    <m/>
    <x v="1"/>
    <s v="08567574001005"/>
    <n v="-11.16"/>
    <n v="353"/>
    <n v="1"/>
    <n v="1"/>
  </r>
  <r>
    <m/>
    <m/>
    <x v="1"/>
    <s v="08606353001001"/>
    <n v="-0.92"/>
    <n v="29"/>
    <n v="1"/>
    <n v="1"/>
  </r>
  <r>
    <m/>
    <m/>
    <x v="1"/>
    <s v="08685884001001"/>
    <n v="-6.23"/>
    <n v="197"/>
    <n v="1"/>
    <n v="1"/>
  </r>
  <r>
    <m/>
    <m/>
    <x v="1"/>
    <s v="08985843002001"/>
    <n v="-24.56"/>
    <n v="784"/>
    <n v="2"/>
    <n v="1"/>
  </r>
  <r>
    <m/>
    <m/>
    <x v="1"/>
    <s v="09159151001002"/>
    <n v="-36.549999999999997"/>
    <n v="1156"/>
    <n v="1"/>
    <n v="1"/>
  </r>
  <r>
    <m/>
    <m/>
    <x v="1"/>
    <s v="09321662001006"/>
    <n v="-14.13"/>
    <n v="447"/>
    <n v="1"/>
    <n v="1"/>
  </r>
  <r>
    <m/>
    <m/>
    <x v="1"/>
    <s v="09912352001004"/>
    <n v="-8.44"/>
    <n v="267"/>
    <n v="1"/>
    <n v="1"/>
  </r>
  <r>
    <m/>
    <m/>
    <x v="1"/>
    <s v="09917655001001"/>
    <n v="-17.3"/>
    <n v="547"/>
    <n v="1"/>
    <n v="1"/>
  </r>
  <r>
    <m/>
    <m/>
    <x v="1"/>
    <s v="10182549001001"/>
    <n v="-3.67"/>
    <n v="116"/>
    <n v="1"/>
    <n v="1"/>
  </r>
  <r>
    <m/>
    <m/>
    <x v="1"/>
    <s v="10394731002001"/>
    <n v="-3.67"/>
    <n v="116"/>
    <n v="1"/>
    <n v="1"/>
  </r>
  <r>
    <m/>
    <m/>
    <x v="1"/>
    <s v="10559503001001"/>
    <n v="-0.92"/>
    <n v="29"/>
    <n v="1"/>
    <n v="1"/>
  </r>
  <r>
    <m/>
    <m/>
    <x v="1"/>
    <s v="10636126001004"/>
    <n v="-14.96"/>
    <n v="473"/>
    <n v="1"/>
    <n v="1"/>
  </r>
  <r>
    <m/>
    <m/>
    <x v="1"/>
    <s v="10818393001003"/>
    <n v="-0.43999999999999995"/>
    <n v="14"/>
    <n v="2"/>
    <n v="1"/>
  </r>
  <r>
    <m/>
    <m/>
    <x v="1"/>
    <s v="11044266002005"/>
    <n v="-16.5"/>
    <n v="527"/>
    <n v="2"/>
    <n v="1"/>
  </r>
  <r>
    <m/>
    <m/>
    <x v="1"/>
    <s v="11073517001003"/>
    <n v="-3.45"/>
    <n v="109"/>
    <n v="1"/>
    <n v="1"/>
  </r>
  <r>
    <m/>
    <m/>
    <x v="1"/>
    <s v="11266870001001"/>
    <n v="-3.78"/>
    <n v="120"/>
    <n v="2"/>
    <n v="1"/>
  </r>
  <r>
    <m/>
    <m/>
    <x v="1"/>
    <s v="11905162001002"/>
    <n v="-0.54"/>
    <n v="17"/>
    <n v="1"/>
    <n v="1"/>
  </r>
  <r>
    <m/>
    <m/>
    <x v="1"/>
    <s v="11913025001002"/>
    <n v="-6.45"/>
    <n v="204"/>
    <n v="1"/>
    <n v="1"/>
  </r>
  <r>
    <m/>
    <m/>
    <x v="1"/>
    <s v="11917791001004"/>
    <n v="-0.09"/>
    <n v="3"/>
    <n v="1"/>
    <n v="1"/>
  </r>
  <r>
    <m/>
    <m/>
    <x v="1"/>
    <s v="11918881001001"/>
    <n v="-6.26"/>
    <n v="198"/>
    <n v="1"/>
    <n v="1"/>
  </r>
  <r>
    <m/>
    <m/>
    <x v="1"/>
    <s v="11937030001007"/>
    <n v="-12.43"/>
    <n v="393"/>
    <n v="1"/>
    <n v="1"/>
  </r>
  <r>
    <m/>
    <m/>
    <x v="1"/>
    <s v="11968828001003"/>
    <n v="-5.63"/>
    <n v="178"/>
    <n v="1"/>
    <n v="1"/>
  </r>
  <r>
    <m/>
    <m/>
    <x v="1"/>
    <s v="12325069001003"/>
    <n v="-18.690000000000001"/>
    <n v="594"/>
    <n v="2"/>
    <n v="1"/>
  </r>
  <r>
    <m/>
    <m/>
    <x v="1"/>
    <s v="12455414001003"/>
    <n v="-17.420000000000002"/>
    <n v="551"/>
    <n v="1"/>
    <n v="1"/>
  </r>
  <r>
    <m/>
    <m/>
    <x v="1"/>
    <s v="12568170001002"/>
    <n v="-0.56999999999999995"/>
    <n v="18"/>
    <n v="1"/>
    <n v="1"/>
  </r>
  <r>
    <m/>
    <m/>
    <x v="1"/>
    <s v="12823849001003"/>
    <n v="-11.05"/>
    <n v="351"/>
    <n v="2"/>
    <n v="1"/>
  </r>
  <r>
    <m/>
    <m/>
    <x v="1"/>
    <s v="12836175001001"/>
    <n v="-40.98"/>
    <n v="1302"/>
    <n v="2"/>
    <n v="1"/>
  </r>
  <r>
    <m/>
    <m/>
    <x v="1"/>
    <s v="12968693001002"/>
    <n v="-2.72"/>
    <n v="86"/>
    <n v="1"/>
    <n v="1"/>
  </r>
  <r>
    <m/>
    <m/>
    <x v="1"/>
    <s v="13184132001003"/>
    <n v="-5.98"/>
    <n v="189"/>
    <n v="1"/>
    <n v="1"/>
  </r>
  <r>
    <m/>
    <m/>
    <x v="1"/>
    <s v="13653453001001"/>
    <n v="-4.3"/>
    <n v="136"/>
    <n v="1"/>
    <n v="1"/>
  </r>
  <r>
    <m/>
    <m/>
    <x v="1"/>
    <s v="13942590001005"/>
    <n v="-13.75"/>
    <n v="439"/>
    <n v="2"/>
    <n v="1"/>
  </r>
  <r>
    <m/>
    <m/>
    <x v="1"/>
    <s v="14223962001009"/>
    <n v="-0.95"/>
    <n v="30"/>
    <n v="1"/>
    <n v="1"/>
  </r>
  <r>
    <m/>
    <m/>
    <x v="1"/>
    <s v="14880751002003"/>
    <n v="-0.85"/>
    <n v="27"/>
    <n v="1"/>
    <n v="1"/>
  </r>
  <r>
    <m/>
    <m/>
    <x v="1"/>
    <s v="14986800001003"/>
    <n v="-25.9"/>
    <n v="823"/>
    <n v="2"/>
    <n v="1"/>
  </r>
  <r>
    <m/>
    <m/>
    <x v="1"/>
    <s v="15113741003003"/>
    <n v="-1.64"/>
    <n v="52"/>
    <n v="1"/>
    <n v="1"/>
  </r>
  <r>
    <m/>
    <m/>
    <x v="1"/>
    <s v="15171809001001"/>
    <n v="-10.37"/>
    <n v="328"/>
    <n v="1"/>
    <n v="1"/>
  </r>
  <r>
    <m/>
    <m/>
    <x v="1"/>
    <s v="15210168001005"/>
    <n v="-8.92"/>
    <n v="282"/>
    <n v="1"/>
    <n v="1"/>
  </r>
  <r>
    <m/>
    <m/>
    <x v="1"/>
    <s v="15330418003001"/>
    <n v="-0.76"/>
    <n v="24"/>
    <n v="1"/>
    <n v="1"/>
  </r>
  <r>
    <m/>
    <m/>
    <x v="1"/>
    <s v="15503453001003"/>
    <n v="-4.93"/>
    <n v="156"/>
    <n v="1"/>
    <n v="1"/>
  </r>
  <r>
    <m/>
    <m/>
    <x v="1"/>
    <s v="15572981001001"/>
    <n v="-17.22"/>
    <n v="547"/>
    <n v="2"/>
    <n v="1"/>
  </r>
  <r>
    <m/>
    <m/>
    <x v="1"/>
    <s v="15769056001001"/>
    <n v="-6.86"/>
    <n v="217"/>
    <n v="1"/>
    <n v="1"/>
  </r>
  <r>
    <m/>
    <m/>
    <x v="1"/>
    <s v="15908468001001"/>
    <n v="-16.059999999999999"/>
    <n v="508"/>
    <n v="1"/>
    <n v="1"/>
  </r>
  <r>
    <m/>
    <m/>
    <x v="1"/>
    <s v="16709268001002"/>
    <n v="-14.04"/>
    <n v="444"/>
    <n v="1"/>
    <n v="1"/>
  </r>
  <r>
    <m/>
    <m/>
    <x v="1"/>
    <s v="16766325001001"/>
    <n v="-3.73"/>
    <n v="118"/>
    <n v="1"/>
    <n v="1"/>
  </r>
  <r>
    <m/>
    <m/>
    <x v="1"/>
    <s v="16910854001003"/>
    <n v="-0.82"/>
    <n v="26"/>
    <n v="1"/>
    <n v="1"/>
  </r>
  <r>
    <m/>
    <m/>
    <x v="1"/>
    <s v="16954651006001"/>
    <n v="-3.41"/>
    <n v="108"/>
    <n v="1"/>
    <n v="1"/>
  </r>
  <r>
    <m/>
    <m/>
    <x v="1"/>
    <s v="16955898001003"/>
    <n v="-17.54"/>
    <n v="560"/>
    <n v="2"/>
    <n v="1"/>
  </r>
  <r>
    <m/>
    <m/>
    <x v="1"/>
    <s v="17064549001001"/>
    <n v="-3.26"/>
    <n v="103"/>
    <n v="1"/>
    <n v="1"/>
  </r>
  <r>
    <m/>
    <m/>
    <x v="1"/>
    <s v="17540542001001"/>
    <n v="-4.55"/>
    <n v="144"/>
    <n v="1"/>
    <n v="1"/>
  </r>
  <r>
    <m/>
    <m/>
    <x v="1"/>
    <s v="17581646001002"/>
    <n v="-2.1800000000000002"/>
    <n v="69"/>
    <n v="1"/>
    <n v="1"/>
  </r>
  <r>
    <m/>
    <m/>
    <x v="1"/>
    <s v="17916622001001"/>
    <n v="-37.659999999999997"/>
    <n v="1191"/>
    <n v="1"/>
    <n v="1"/>
  </r>
  <r>
    <m/>
    <m/>
    <x v="1"/>
    <s v="18002664001003"/>
    <n v="-8.6"/>
    <n v="272"/>
    <n v="1"/>
    <n v="1"/>
  </r>
  <r>
    <m/>
    <m/>
    <x v="1"/>
    <s v="18140709001008"/>
    <n v="-25.64"/>
    <n v="811"/>
    <n v="1"/>
    <n v="1"/>
  </r>
  <r>
    <m/>
    <m/>
    <x v="1"/>
    <s v="18387937001003"/>
    <n v="-8.2799999999999994"/>
    <n v="262"/>
    <n v="1"/>
    <n v="1"/>
  </r>
  <r>
    <m/>
    <m/>
    <x v="1"/>
    <s v="18519490001001"/>
    <n v="-32.6"/>
    <n v="1031"/>
    <n v="1"/>
    <n v="1"/>
  </r>
  <r>
    <m/>
    <m/>
    <x v="1"/>
    <s v="18733572001003"/>
    <n v="-7.84"/>
    <n v="248"/>
    <n v="1"/>
    <n v="1"/>
  </r>
  <r>
    <m/>
    <m/>
    <x v="1"/>
    <s v="18997905001003"/>
    <n v="-12.11"/>
    <n v="383"/>
    <n v="1"/>
    <n v="1"/>
  </r>
  <r>
    <m/>
    <m/>
    <x v="1"/>
    <s v="19156129001001"/>
    <n v="-7.81"/>
    <n v="247"/>
    <n v="1"/>
    <n v="1"/>
  </r>
  <r>
    <m/>
    <m/>
    <x v="1"/>
    <s v="19264796002001"/>
    <n v="-6.77"/>
    <n v="214"/>
    <n v="1"/>
    <n v="1"/>
  </r>
  <r>
    <m/>
    <m/>
    <x v="1"/>
    <s v="19625257001005"/>
    <n v="-1.55"/>
    <n v="49"/>
    <n v="1"/>
    <n v="1"/>
  </r>
  <r>
    <m/>
    <m/>
    <x v="1"/>
    <s v="20242520001001"/>
    <n v="-1.34"/>
    <n v="43"/>
    <n v="2"/>
    <n v="1"/>
  </r>
  <r>
    <m/>
    <m/>
    <x v="1"/>
    <s v="20263571001001"/>
    <n v="-0.25"/>
    <n v="8"/>
    <n v="1"/>
    <n v="1"/>
  </r>
  <r>
    <m/>
    <m/>
    <x v="1"/>
    <s v="20283219003003"/>
    <n v="-18.62"/>
    <n v="589"/>
    <n v="1"/>
    <n v="1"/>
  </r>
  <r>
    <m/>
    <m/>
    <x v="1"/>
    <s v="20367566001001"/>
    <n v="-6.13"/>
    <n v="194"/>
    <n v="1"/>
    <n v="1"/>
  </r>
  <r>
    <m/>
    <m/>
    <x v="1"/>
    <s v="20416812001003"/>
    <n v="-1.61"/>
    <n v="51"/>
    <n v="1"/>
    <n v="1"/>
  </r>
  <r>
    <m/>
    <m/>
    <x v="1"/>
    <s v="20480851001001"/>
    <n v="-3.13"/>
    <n v="99"/>
    <n v="1"/>
    <n v="1"/>
  </r>
  <r>
    <m/>
    <m/>
    <x v="1"/>
    <s v="20683934001002"/>
    <n v="-1.01"/>
    <n v="32"/>
    <n v="1"/>
    <n v="1"/>
  </r>
  <r>
    <m/>
    <m/>
    <x v="1"/>
    <s v="21045838003008"/>
    <n v="-14.17"/>
    <n v="448"/>
    <n v="1"/>
    <n v="1"/>
  </r>
  <r>
    <m/>
    <m/>
    <x v="1"/>
    <s v="21219326001001"/>
    <n v="-54.29"/>
    <n v="1717"/>
    <n v="1"/>
    <n v="1"/>
  </r>
  <r>
    <m/>
    <m/>
    <x v="1"/>
    <s v="21418321004001"/>
    <n v="-0.25"/>
    <n v="8"/>
    <n v="1"/>
    <n v="1"/>
  </r>
  <r>
    <m/>
    <m/>
    <x v="1"/>
    <s v="21429755001006"/>
    <n v="-8.08"/>
    <n v="258"/>
    <n v="2"/>
    <n v="1"/>
  </r>
  <r>
    <m/>
    <m/>
    <x v="1"/>
    <s v="21530313001003"/>
    <n v="-9.36"/>
    <n v="299"/>
    <n v="2"/>
    <n v="1"/>
  </r>
  <r>
    <m/>
    <m/>
    <x v="1"/>
    <s v="21809926001003"/>
    <n v="-1.2"/>
    <n v="38"/>
    <n v="1"/>
    <n v="1"/>
  </r>
  <r>
    <m/>
    <m/>
    <x v="1"/>
    <s v="21943625001001"/>
    <n v="-0.19"/>
    <n v="6"/>
    <n v="1"/>
    <n v="1"/>
  </r>
  <r>
    <m/>
    <m/>
    <x v="1"/>
    <s v="22106063002001"/>
    <n v="-6.61"/>
    <n v="209"/>
    <n v="1"/>
    <n v="1"/>
  </r>
  <r>
    <m/>
    <m/>
    <x v="1"/>
    <s v="22358815001001"/>
    <n v="-5"/>
    <n v="158"/>
    <n v="1"/>
    <n v="1"/>
  </r>
  <r>
    <m/>
    <m/>
    <x v="1"/>
    <s v="22380133001001"/>
    <n v="-11.98"/>
    <n v="379"/>
    <n v="1"/>
    <n v="1"/>
  </r>
  <r>
    <m/>
    <m/>
    <x v="1"/>
    <s v="22617306001001"/>
    <n v="-9.26"/>
    <n v="293"/>
    <n v="1"/>
    <n v="1"/>
  </r>
  <r>
    <m/>
    <m/>
    <x v="1"/>
    <s v="22642605006001"/>
    <n v="-19.13"/>
    <n v="605"/>
    <n v="1"/>
    <n v="1"/>
  </r>
  <r>
    <m/>
    <m/>
    <x v="1"/>
    <s v="22784555001001"/>
    <n v="-14.75"/>
    <n v="471"/>
    <n v="2"/>
    <n v="1"/>
  </r>
  <r>
    <m/>
    <m/>
    <x v="1"/>
    <s v="22793293001002"/>
    <n v="-0.38"/>
    <n v="12"/>
    <n v="1"/>
    <n v="1"/>
  </r>
  <r>
    <m/>
    <m/>
    <x v="1"/>
    <s v="22837225001002"/>
    <n v="-3.92"/>
    <n v="124"/>
    <n v="1"/>
    <n v="1"/>
  </r>
  <r>
    <m/>
    <m/>
    <x v="1"/>
    <s v="23176970001001"/>
    <n v="-18.940000000000001"/>
    <n v="599"/>
    <n v="1"/>
    <n v="1"/>
  </r>
  <r>
    <m/>
    <m/>
    <x v="1"/>
    <s v="23407345001001"/>
    <n v="-10.210000000000001"/>
    <n v="323"/>
    <n v="1"/>
    <n v="1"/>
  </r>
  <r>
    <m/>
    <m/>
    <x v="1"/>
    <s v="23572773001002"/>
    <n v="-5.34"/>
    <n v="169"/>
    <n v="1"/>
    <n v="1"/>
  </r>
  <r>
    <m/>
    <m/>
    <x v="1"/>
    <s v="23628172001004"/>
    <n v="-19.13"/>
    <n v="605"/>
    <n v="1"/>
    <n v="1"/>
  </r>
  <r>
    <m/>
    <m/>
    <x v="1"/>
    <s v="24288214001003"/>
    <n v="-2.81"/>
    <n v="89"/>
    <n v="1"/>
    <n v="1"/>
  </r>
  <r>
    <m/>
    <m/>
    <x v="1"/>
    <s v="24488041001001"/>
    <n v="-23.75"/>
    <n v="751"/>
    <n v="1"/>
    <n v="1"/>
  </r>
  <r>
    <m/>
    <m/>
    <x v="1"/>
    <s v="24516542001001"/>
    <n v="-0.38"/>
    <n v="12"/>
    <n v="1"/>
    <n v="1"/>
  </r>
  <r>
    <m/>
    <m/>
    <x v="1"/>
    <s v="24717192001004"/>
    <n v="-13.63"/>
    <n v="431"/>
    <n v="1"/>
    <n v="1"/>
  </r>
  <r>
    <m/>
    <m/>
    <x v="1"/>
    <s v="24897958001001"/>
    <n v="-2.1800000000000002"/>
    <n v="69"/>
    <n v="1"/>
    <n v="1"/>
  </r>
  <r>
    <m/>
    <m/>
    <x v="1"/>
    <s v="25004556001001"/>
    <n v="-16.57"/>
    <n v="524"/>
    <n v="1"/>
    <n v="1"/>
  </r>
  <r>
    <m/>
    <m/>
    <x v="1"/>
    <s v="25126731001002"/>
    <n v="-1.74"/>
    <n v="55"/>
    <n v="1"/>
    <n v="1"/>
  </r>
  <r>
    <m/>
    <m/>
    <x v="1"/>
    <s v="25549425001001"/>
    <n v="-24.38"/>
    <n v="771"/>
    <n v="1"/>
    <n v="1"/>
  </r>
  <r>
    <m/>
    <m/>
    <x v="1"/>
    <s v="25782349001008"/>
    <n v="-1.83"/>
    <n v="58"/>
    <n v="1"/>
    <n v="1"/>
  </r>
  <r>
    <m/>
    <m/>
    <x v="1"/>
    <s v="25810340001001"/>
    <n v="-18.540000000000003"/>
    <n v="592"/>
    <n v="2"/>
    <n v="1"/>
  </r>
  <r>
    <m/>
    <m/>
    <x v="1"/>
    <s v="25915661001001"/>
    <n v="-13.56"/>
    <n v="429"/>
    <n v="1"/>
    <n v="1"/>
  </r>
  <r>
    <m/>
    <m/>
    <x v="1"/>
    <s v="26054021001002"/>
    <n v="-2.91"/>
    <n v="92"/>
    <n v="1"/>
    <n v="1"/>
  </r>
  <r>
    <m/>
    <m/>
    <x v="1"/>
    <s v="26176102001007"/>
    <n v="-1.71"/>
    <n v="54"/>
    <n v="1"/>
    <n v="1"/>
  </r>
  <r>
    <m/>
    <m/>
    <x v="1"/>
    <s v="26369110002001"/>
    <n v="-12.14"/>
    <n v="384"/>
    <n v="1"/>
    <n v="1"/>
  </r>
  <r>
    <m/>
    <m/>
    <x v="1"/>
    <s v="26406770002001"/>
    <n v="-19.04"/>
    <n v="605"/>
    <n v="2"/>
    <n v="1"/>
  </r>
  <r>
    <m/>
    <m/>
    <x v="1"/>
    <s v="26702999001001"/>
    <n v="-11.23"/>
    <n v="355"/>
    <n v="1"/>
    <n v="1"/>
  </r>
  <r>
    <m/>
    <m/>
    <x v="1"/>
    <s v="26826704001001"/>
    <n v="-1.49"/>
    <n v="47"/>
    <n v="1"/>
    <n v="1"/>
  </r>
  <r>
    <m/>
    <m/>
    <x v="1"/>
    <s v="27035079002007"/>
    <n v="-2.58"/>
    <n v="82"/>
    <n v="2"/>
    <n v="1"/>
  </r>
  <r>
    <m/>
    <m/>
    <x v="1"/>
    <s v="27356342001008"/>
    <n v="-5.5"/>
    <n v="174"/>
    <n v="1"/>
    <n v="1"/>
  </r>
  <r>
    <m/>
    <m/>
    <x v="1"/>
    <s v="27378709001002"/>
    <n v="-36.81"/>
    <n v="1164"/>
    <n v="1"/>
    <n v="1"/>
  </r>
  <r>
    <m/>
    <m/>
    <x v="1"/>
    <s v="27457180001003"/>
    <n v="-2.31"/>
    <n v="73"/>
    <n v="1"/>
    <n v="1"/>
  </r>
  <r>
    <m/>
    <m/>
    <x v="1"/>
    <s v="27623010002002"/>
    <n v="-0.28000000000000003"/>
    <n v="9"/>
    <n v="1"/>
    <n v="1"/>
  </r>
  <r>
    <m/>
    <m/>
    <x v="1"/>
    <s v="27757021006001"/>
    <n v="-1.68"/>
    <n v="53"/>
    <n v="1"/>
    <n v="1"/>
  </r>
  <r>
    <m/>
    <m/>
    <x v="1"/>
    <s v="27759845001003"/>
    <n v="-9.26"/>
    <n v="293"/>
    <n v="1"/>
    <n v="1"/>
  </r>
  <r>
    <m/>
    <m/>
    <x v="1"/>
    <s v="27949688001001"/>
    <n v="-34.269999999999996"/>
    <n v="1089"/>
    <n v="2"/>
    <n v="1"/>
  </r>
  <r>
    <m/>
    <m/>
    <x v="1"/>
    <s v="27980753001002"/>
    <n v="-37.89"/>
    <n v="1204"/>
    <n v="2"/>
    <n v="1"/>
  </r>
  <r>
    <m/>
    <m/>
    <x v="1"/>
    <s v="27991196001001"/>
    <n v="-0.06"/>
    <n v="2"/>
    <n v="1"/>
    <n v="1"/>
  </r>
  <r>
    <m/>
    <m/>
    <x v="1"/>
    <s v="28227700001002"/>
    <n v="-9.33"/>
    <n v="295"/>
    <n v="1"/>
    <n v="1"/>
  </r>
  <r>
    <m/>
    <m/>
    <x v="1"/>
    <s v="28477040001004"/>
    <n v="-4.3600000000000003"/>
    <n v="138"/>
    <n v="1"/>
    <n v="1"/>
  </r>
  <r>
    <m/>
    <m/>
    <x v="1"/>
    <s v="28758621002006"/>
    <n v="-0.32"/>
    <n v="10"/>
    <n v="1"/>
    <n v="1"/>
  </r>
  <r>
    <m/>
    <m/>
    <x v="1"/>
    <s v="28937856003001"/>
    <n v="-18.919999999999998"/>
    <n v="604"/>
    <n v="2"/>
    <n v="1"/>
  </r>
  <r>
    <m/>
    <m/>
    <x v="1"/>
    <s v="29018049002001"/>
    <n v="-3.45"/>
    <n v="109"/>
    <n v="1"/>
    <n v="1"/>
  </r>
  <r>
    <m/>
    <m/>
    <x v="1"/>
    <s v="29786462001001"/>
    <n v="-2.4700000000000002"/>
    <n v="78"/>
    <n v="1"/>
    <n v="1"/>
  </r>
  <r>
    <m/>
    <m/>
    <x v="1"/>
    <s v="30127101002001"/>
    <n v="-5.47"/>
    <n v="173"/>
    <n v="1"/>
    <n v="1"/>
  </r>
  <r>
    <m/>
    <m/>
    <x v="1"/>
    <s v="30133433001001"/>
    <n v="-17.989999999999998"/>
    <n v="569"/>
    <n v="1"/>
    <n v="1"/>
  </r>
  <r>
    <m/>
    <m/>
    <x v="1"/>
    <s v="30249803005001"/>
    <n v="-0.41"/>
    <n v="13"/>
    <n v="1"/>
    <n v="1"/>
  </r>
  <r>
    <m/>
    <m/>
    <x v="1"/>
    <s v="30842696001001"/>
    <n v="-3.1"/>
    <n v="98"/>
    <n v="1"/>
    <n v="1"/>
  </r>
  <r>
    <m/>
    <m/>
    <x v="1"/>
    <s v="30947723001004"/>
    <n v="-10.4"/>
    <n v="329"/>
    <n v="1"/>
    <n v="1"/>
  </r>
  <r>
    <m/>
    <m/>
    <x v="1"/>
    <s v="31266211001004"/>
    <n v="-10.62"/>
    <n v="336"/>
    <n v="1"/>
    <n v="1"/>
  </r>
  <r>
    <m/>
    <m/>
    <x v="1"/>
    <s v="31309940001001"/>
    <n v="-6.04"/>
    <n v="191"/>
    <n v="1"/>
    <n v="1"/>
  </r>
  <r>
    <m/>
    <m/>
    <x v="1"/>
    <s v="31641990001004"/>
    <n v="-14.92"/>
    <n v="472"/>
    <n v="1"/>
    <n v="1"/>
  </r>
  <r>
    <m/>
    <m/>
    <x v="1"/>
    <s v="32202242001001"/>
    <n v="-0.79"/>
    <n v="25"/>
    <n v="1"/>
    <n v="1"/>
  </r>
  <r>
    <m/>
    <m/>
    <x v="1"/>
    <s v="32822815001001"/>
    <n v="-1.2"/>
    <n v="38"/>
    <n v="1"/>
    <n v="1"/>
  </r>
  <r>
    <m/>
    <m/>
    <x v="1"/>
    <s v="32974621002003"/>
    <n v="-2.75"/>
    <n v="87"/>
    <n v="1"/>
    <n v="1"/>
  </r>
  <r>
    <m/>
    <m/>
    <x v="1"/>
    <s v="32981616001003"/>
    <n v="-4.55"/>
    <n v="144"/>
    <n v="1"/>
    <n v="1"/>
  </r>
  <r>
    <m/>
    <m/>
    <x v="1"/>
    <s v="33406654004008"/>
    <n v="-21.19"/>
    <n v="670"/>
    <n v="1"/>
    <n v="1"/>
  </r>
  <r>
    <m/>
    <m/>
    <x v="1"/>
    <s v="33550060001001"/>
    <n v="-8.57"/>
    <n v="271"/>
    <n v="1"/>
    <n v="1"/>
  </r>
  <r>
    <m/>
    <m/>
    <x v="1"/>
    <s v="33599323001007"/>
    <n v="-0.09"/>
    <n v="3"/>
    <n v="1"/>
    <n v="1"/>
  </r>
  <r>
    <m/>
    <m/>
    <x v="1"/>
    <s v="33610753004001"/>
    <n v="-11.57"/>
    <n v="366"/>
    <n v="1"/>
    <n v="1"/>
  </r>
  <r>
    <m/>
    <m/>
    <x v="1"/>
    <s v="33642246001005"/>
    <n v="-1.45"/>
    <n v="46"/>
    <n v="1"/>
    <n v="1"/>
  </r>
  <r>
    <m/>
    <m/>
    <x v="1"/>
    <s v="33687453001001"/>
    <n v="-21.75"/>
    <n v="688"/>
    <n v="1"/>
    <n v="1"/>
  </r>
  <r>
    <m/>
    <m/>
    <x v="1"/>
    <s v="33824960001003"/>
    <n v="-21.24"/>
    <n v="678"/>
    <n v="2"/>
    <n v="1"/>
  </r>
  <r>
    <m/>
    <m/>
    <x v="1"/>
    <s v="33829956002003"/>
    <n v="-9.23"/>
    <n v="292"/>
    <n v="1"/>
    <n v="1"/>
  </r>
  <r>
    <m/>
    <m/>
    <x v="1"/>
    <s v="33918140005001"/>
    <n v="-10.119999999999999"/>
    <n v="320"/>
    <n v="1"/>
    <n v="1"/>
  </r>
  <r>
    <m/>
    <m/>
    <x v="1"/>
    <s v="34024657001003"/>
    <n v="-69.86"/>
    <n v="2230"/>
    <n v="2"/>
    <n v="1"/>
  </r>
  <r>
    <m/>
    <m/>
    <x v="1"/>
    <s v="34181343001001"/>
    <n v="-15.97"/>
    <n v="505"/>
    <n v="1"/>
    <n v="1"/>
  </r>
  <r>
    <m/>
    <m/>
    <x v="1"/>
    <s v="34671364002001"/>
    <n v="-0.85"/>
    <n v="27"/>
    <n v="1"/>
    <n v="1"/>
  </r>
  <r>
    <m/>
    <m/>
    <x v="1"/>
    <s v="34758238001001"/>
    <n v="-4.5199999999999996"/>
    <n v="143"/>
    <n v="1"/>
    <n v="1"/>
  </r>
  <r>
    <m/>
    <m/>
    <x v="1"/>
    <s v="34861184002001"/>
    <n v="-48.589999999999996"/>
    <n v="1544"/>
    <n v="2"/>
    <n v="1"/>
  </r>
  <r>
    <m/>
    <m/>
    <x v="1"/>
    <s v="34874155001002"/>
    <n v="-2.69"/>
    <n v="85"/>
    <n v="1"/>
    <n v="1"/>
  </r>
  <r>
    <m/>
    <m/>
    <x v="1"/>
    <s v="35696004001001"/>
    <n v="-38.04"/>
    <n v="1203"/>
    <n v="1"/>
    <n v="1"/>
  </r>
  <r>
    <m/>
    <m/>
    <x v="1"/>
    <s v="35707173001005"/>
    <n v="-4.7699999999999996"/>
    <n v="151"/>
    <n v="1"/>
    <n v="1"/>
  </r>
  <r>
    <m/>
    <m/>
    <x v="1"/>
    <s v="35958850001005"/>
    <n v="-2.06"/>
    <n v="65"/>
    <n v="1"/>
    <n v="1"/>
  </r>
  <r>
    <m/>
    <m/>
    <x v="1"/>
    <s v="36008083001001"/>
    <n v="-15.39"/>
    <n v="489"/>
    <n v="2"/>
    <n v="1"/>
  </r>
  <r>
    <m/>
    <m/>
    <x v="1"/>
    <s v="36103245002011"/>
    <n v="-26.69"/>
    <n v="844"/>
    <n v="1"/>
    <n v="1"/>
  </r>
  <r>
    <m/>
    <m/>
    <x v="1"/>
    <s v="36178447001001"/>
    <n v="-2.5"/>
    <n v="79"/>
    <n v="1"/>
    <n v="1"/>
  </r>
  <r>
    <m/>
    <m/>
    <x v="1"/>
    <s v="36557126001001"/>
    <n v="-4.5199999999999996"/>
    <n v="143"/>
    <n v="1"/>
    <n v="1"/>
  </r>
  <r>
    <m/>
    <m/>
    <x v="1"/>
    <s v="36713764001001"/>
    <n v="-22.13"/>
    <n v="700"/>
    <n v="1"/>
    <n v="1"/>
  </r>
  <r>
    <m/>
    <m/>
    <x v="1"/>
    <s v="37403625004001"/>
    <n v="-4.33"/>
    <n v="137"/>
    <n v="1"/>
    <n v="1"/>
  </r>
  <r>
    <m/>
    <m/>
    <x v="1"/>
    <s v="37562851001001"/>
    <n v="-0.25"/>
    <n v="8"/>
    <n v="1"/>
    <n v="1"/>
  </r>
  <r>
    <m/>
    <m/>
    <x v="1"/>
    <s v="37597820001001"/>
    <n v="-12.3"/>
    <n v="389"/>
    <n v="1"/>
    <n v="1"/>
  </r>
  <r>
    <m/>
    <m/>
    <x v="1"/>
    <s v="37726680001001"/>
    <n v="-17.11"/>
    <n v="541"/>
    <n v="1"/>
    <n v="1"/>
  </r>
  <r>
    <m/>
    <m/>
    <x v="1"/>
    <s v="38003358004003"/>
    <n v="-11.57"/>
    <n v="366"/>
    <n v="1"/>
    <n v="1"/>
  </r>
  <r>
    <m/>
    <m/>
    <x v="1"/>
    <s v="38075496001014"/>
    <n v="-8.41"/>
    <n v="266"/>
    <n v="1"/>
    <n v="1"/>
  </r>
  <r>
    <m/>
    <m/>
    <x v="1"/>
    <s v="38132797001001"/>
    <n v="-48.68"/>
    <n v="1554"/>
    <n v="2"/>
    <n v="1"/>
  </r>
  <r>
    <m/>
    <m/>
    <x v="1"/>
    <s v="38169778001001"/>
    <n v="-2.09"/>
    <n v="66"/>
    <n v="1"/>
    <n v="1"/>
  </r>
  <r>
    <m/>
    <m/>
    <x v="1"/>
    <s v="38245625004003"/>
    <n v="-21.25"/>
    <n v="672"/>
    <n v="1"/>
    <n v="1"/>
  </r>
  <r>
    <m/>
    <m/>
    <x v="1"/>
    <s v="38301543001001"/>
    <n v="-17.96"/>
    <n v="568"/>
    <n v="1"/>
    <n v="1"/>
  </r>
  <r>
    <m/>
    <m/>
    <x v="1"/>
    <s v="38431217001001"/>
    <n v="-28.86"/>
    <n v="917"/>
    <n v="2"/>
    <n v="1"/>
  </r>
  <r>
    <m/>
    <m/>
    <x v="1"/>
    <s v="39306286001005"/>
    <n v="-11.35"/>
    <n v="359"/>
    <n v="1"/>
    <n v="1"/>
  </r>
  <r>
    <m/>
    <m/>
    <x v="1"/>
    <s v="39322194001002"/>
    <n v="-6.61"/>
    <n v="209"/>
    <n v="1"/>
    <n v="1"/>
  </r>
  <r>
    <m/>
    <m/>
    <x v="1"/>
    <s v="39404404001003"/>
    <n v="-0.19"/>
    <n v="6"/>
    <n v="1"/>
    <n v="1"/>
  </r>
  <r>
    <m/>
    <m/>
    <x v="1"/>
    <s v="39784238001001"/>
    <n v="-2.02"/>
    <n v="64"/>
    <n v="1"/>
    <n v="1"/>
  </r>
  <r>
    <m/>
    <m/>
    <x v="1"/>
    <s v="39860007001003"/>
    <n v="-6.45"/>
    <n v="204"/>
    <n v="1"/>
    <n v="1"/>
  </r>
  <r>
    <m/>
    <m/>
    <x v="1"/>
    <s v="40054017001004"/>
    <n v="-0.03"/>
    <n v="1"/>
    <n v="1"/>
    <n v="1"/>
  </r>
  <r>
    <m/>
    <m/>
    <x v="1"/>
    <s v="40139824001001"/>
    <n v="-20.869999999999997"/>
    <n v="663"/>
    <n v="2"/>
    <n v="1"/>
  </r>
  <r>
    <m/>
    <m/>
    <x v="1"/>
    <s v="40187844001001"/>
    <n v="-2.97"/>
    <n v="94"/>
    <n v="1"/>
    <n v="1"/>
  </r>
  <r>
    <m/>
    <m/>
    <x v="1"/>
    <s v="40302520001002"/>
    <n v="-6.1"/>
    <n v="193"/>
    <n v="1"/>
    <n v="1"/>
  </r>
  <r>
    <m/>
    <m/>
    <x v="1"/>
    <s v="40601469001003"/>
    <n v="-32.51"/>
    <n v="1028"/>
    <n v="1"/>
    <n v="1"/>
  </r>
  <r>
    <m/>
    <m/>
    <x v="1"/>
    <s v="40694900001003"/>
    <n v="-7.72"/>
    <n v="244"/>
    <n v="1"/>
    <n v="1"/>
  </r>
  <r>
    <m/>
    <m/>
    <x v="1"/>
    <s v="40702084001003"/>
    <n v="-2.81"/>
    <n v="89"/>
    <n v="1"/>
    <n v="1"/>
  </r>
  <r>
    <m/>
    <m/>
    <x v="1"/>
    <s v="40940003001003"/>
    <n v="-16.09"/>
    <n v="509"/>
    <n v="1"/>
    <n v="1"/>
  </r>
  <r>
    <m/>
    <m/>
    <x v="1"/>
    <s v="41291991001001"/>
    <n v="-10.94"/>
    <n v="346"/>
    <n v="1"/>
    <n v="1"/>
  </r>
  <r>
    <m/>
    <m/>
    <x v="1"/>
    <s v="41541188001001"/>
    <n v="-14.7"/>
    <n v="465"/>
    <n v="1"/>
    <n v="1"/>
  </r>
  <r>
    <m/>
    <m/>
    <x v="1"/>
    <s v="41547054001001"/>
    <n v="-2.34"/>
    <n v="74"/>
    <n v="1"/>
    <n v="1"/>
  </r>
  <r>
    <m/>
    <m/>
    <x v="1"/>
    <s v="41547810001001"/>
    <n v="-4.3600000000000003"/>
    <n v="138"/>
    <n v="1"/>
    <n v="1"/>
  </r>
  <r>
    <m/>
    <m/>
    <x v="1"/>
    <s v="41580871001004"/>
    <n v="-8.25"/>
    <n v="261"/>
    <n v="1"/>
    <n v="1"/>
  </r>
  <r>
    <m/>
    <m/>
    <x v="1"/>
    <s v="41605082002003"/>
    <n v="-12.68"/>
    <n v="401"/>
    <n v="1"/>
    <n v="1"/>
  </r>
  <r>
    <m/>
    <m/>
    <x v="1"/>
    <s v="42015855001008"/>
    <n v="-0.82"/>
    <n v="26"/>
    <n v="1"/>
    <n v="1"/>
  </r>
  <r>
    <m/>
    <m/>
    <x v="1"/>
    <s v="42053353001001"/>
    <n v="-2.97"/>
    <n v="94"/>
    <n v="1"/>
    <n v="1"/>
  </r>
  <r>
    <m/>
    <m/>
    <x v="1"/>
    <s v="42073484003001"/>
    <n v="-46.46"/>
    <n v="1483"/>
    <n v="2"/>
    <n v="1"/>
  </r>
  <r>
    <m/>
    <m/>
    <x v="1"/>
    <s v="42099598001001"/>
    <n v="-4.5199999999999996"/>
    <n v="143"/>
    <n v="1"/>
    <n v="1"/>
  </r>
  <r>
    <m/>
    <m/>
    <x v="1"/>
    <s v="42453517001001"/>
    <n v="-11.51"/>
    <n v="364"/>
    <n v="1"/>
    <n v="1"/>
  </r>
  <r>
    <m/>
    <m/>
    <x v="1"/>
    <s v="42502321001005"/>
    <n v="-4.46"/>
    <n v="141"/>
    <n v="1"/>
    <n v="1"/>
  </r>
  <r>
    <m/>
    <m/>
    <x v="1"/>
    <s v="42503511001002"/>
    <n v="-4.96"/>
    <n v="157"/>
    <n v="1"/>
    <n v="1"/>
  </r>
  <r>
    <m/>
    <m/>
    <x v="1"/>
    <s v="42503651001002"/>
    <n v="-15.129999999999999"/>
    <n v="483"/>
    <n v="2"/>
    <n v="1"/>
  </r>
  <r>
    <m/>
    <m/>
    <x v="1"/>
    <s v="42503721001001"/>
    <n v="-3.82"/>
    <n v="122"/>
    <n v="2"/>
    <n v="1"/>
  </r>
  <r>
    <m/>
    <m/>
    <x v="1"/>
    <s v="42523951001001"/>
    <n v="-4.2899999999999991"/>
    <n v="137"/>
    <n v="2"/>
    <n v="1"/>
  </r>
  <r>
    <m/>
    <m/>
    <x v="1"/>
    <s v="42543901001001"/>
    <n v="-8.9499999999999993"/>
    <n v="283"/>
    <n v="1"/>
    <n v="1"/>
  </r>
  <r>
    <m/>
    <m/>
    <x v="1"/>
    <s v="42569591004003"/>
    <n v="-3.95"/>
    <n v="125"/>
    <n v="1"/>
    <n v="1"/>
  </r>
  <r>
    <m/>
    <m/>
    <x v="1"/>
    <s v="42580441001002"/>
    <n v="-4.9000000000000004"/>
    <n v="155"/>
    <n v="1"/>
    <n v="1"/>
  </r>
  <r>
    <m/>
    <m/>
    <x v="1"/>
    <s v="42585551001002"/>
    <n v="-13.219999999999999"/>
    <n v="422"/>
    <n v="2"/>
    <n v="1"/>
  </r>
  <r>
    <m/>
    <m/>
    <x v="1"/>
    <s v="42591011001001"/>
    <n v="-17.23"/>
    <n v="550"/>
    <n v="2"/>
    <n v="1"/>
  </r>
  <r>
    <m/>
    <m/>
    <x v="1"/>
    <s v="42637141001007"/>
    <n v="-11.73"/>
    <n v="371"/>
    <n v="1"/>
    <n v="1"/>
  </r>
  <r>
    <m/>
    <m/>
    <x v="1"/>
    <s v="42646171001006"/>
    <n v="-5.28"/>
    <n v="167"/>
    <n v="1"/>
    <n v="1"/>
  </r>
  <r>
    <m/>
    <m/>
    <x v="1"/>
    <s v="42649951003006"/>
    <n v="-10.97"/>
    <n v="347"/>
    <n v="1"/>
    <n v="1"/>
  </r>
  <r>
    <m/>
    <m/>
    <x v="1"/>
    <s v="42653101001002"/>
    <n v="-6.1300000000000008"/>
    <n v="195"/>
    <n v="2"/>
    <n v="1"/>
  </r>
  <r>
    <m/>
    <m/>
    <x v="1"/>
    <s v="42653661001001"/>
    <n v="-2.12"/>
    <n v="67"/>
    <n v="1"/>
    <n v="1"/>
  </r>
  <r>
    <m/>
    <m/>
    <x v="1"/>
    <s v="42654081001004"/>
    <n v="-1.08"/>
    <n v="34"/>
    <n v="1"/>
    <n v="1"/>
  </r>
  <r>
    <m/>
    <m/>
    <x v="1"/>
    <s v="42671651001003"/>
    <n v="-0.44"/>
    <n v="14"/>
    <n v="1"/>
    <n v="1"/>
  </r>
  <r>
    <m/>
    <m/>
    <x v="1"/>
    <s v="42678651001002"/>
    <n v="-14.55"/>
    <n v="460"/>
    <n v="1"/>
    <n v="1"/>
  </r>
  <r>
    <m/>
    <m/>
    <x v="1"/>
    <s v="42712111003004"/>
    <n v="-9.77"/>
    <n v="309"/>
    <n v="1"/>
    <n v="1"/>
  </r>
  <r>
    <m/>
    <m/>
    <x v="1"/>
    <s v="42811861001001"/>
    <n v="-39"/>
    <n v="1239"/>
    <n v="2"/>
    <n v="1"/>
  </r>
  <r>
    <m/>
    <m/>
    <x v="1"/>
    <s v="42812561001002"/>
    <n v="-50.3"/>
    <n v="1598"/>
    <n v="2"/>
    <n v="1"/>
  </r>
  <r>
    <m/>
    <m/>
    <x v="1"/>
    <s v="42898451001001"/>
    <n v="-3.92"/>
    <n v="124"/>
    <n v="1"/>
    <n v="1"/>
  </r>
  <r>
    <m/>
    <m/>
    <x v="1"/>
    <s v="42972511001003"/>
    <n v="-20.860000000000003"/>
    <n v="666"/>
    <n v="2"/>
    <n v="1"/>
  </r>
  <r>
    <m/>
    <m/>
    <x v="1"/>
    <s v="43016751001009"/>
    <n v="-6.92"/>
    <n v="219"/>
    <n v="1"/>
    <n v="1"/>
  </r>
  <r>
    <m/>
    <m/>
    <x v="1"/>
    <s v="43029771001001"/>
    <n v="-0.85"/>
    <n v="27"/>
    <n v="1"/>
    <n v="1"/>
  </r>
  <r>
    <m/>
    <m/>
    <x v="1"/>
    <s v="43036071001003"/>
    <n v="-12.96"/>
    <n v="414"/>
    <n v="2"/>
    <n v="1"/>
  </r>
  <r>
    <m/>
    <m/>
    <x v="1"/>
    <s v="43037331002001"/>
    <n v="-14.39"/>
    <n v="455"/>
    <n v="1"/>
    <n v="1"/>
  </r>
  <r>
    <m/>
    <m/>
    <x v="1"/>
    <s v="43067921001001"/>
    <n v="-13.82"/>
    <n v="437"/>
    <n v="1"/>
    <n v="1"/>
  </r>
  <r>
    <m/>
    <m/>
    <x v="1"/>
    <s v="43084721005001"/>
    <n v="-61.03"/>
    <n v="1930"/>
    <n v="1"/>
    <n v="1"/>
  </r>
  <r>
    <m/>
    <m/>
    <x v="1"/>
    <s v="43103551001002"/>
    <n v="-0.54"/>
    <n v="17"/>
    <n v="1"/>
    <n v="1"/>
  </r>
  <r>
    <m/>
    <m/>
    <x v="1"/>
    <s v="43110271002002"/>
    <n v="-3.98"/>
    <n v="126"/>
    <n v="1"/>
    <n v="1"/>
  </r>
  <r>
    <m/>
    <m/>
    <x v="1"/>
    <s v="43191121002003"/>
    <n v="-37.25"/>
    <n v="1178"/>
    <n v="1"/>
    <n v="1"/>
  </r>
  <r>
    <m/>
    <m/>
    <x v="1"/>
    <s v="43201271002001"/>
    <n v="-26.81"/>
    <n v="852"/>
    <n v="2"/>
    <n v="1"/>
  </r>
  <r>
    <m/>
    <m/>
    <x v="1"/>
    <s v="43218351001006"/>
    <n v="-11.649999999999999"/>
    <n v="370"/>
    <n v="2"/>
    <n v="1"/>
  </r>
  <r>
    <m/>
    <m/>
    <x v="1"/>
    <s v="43224441001007"/>
    <n v="-38.129999999999995"/>
    <n v="1217"/>
    <n v="2"/>
    <n v="1"/>
  </r>
  <r>
    <m/>
    <m/>
    <x v="1"/>
    <s v="43225001001001"/>
    <n v="-14.99"/>
    <n v="474"/>
    <n v="1"/>
    <n v="1"/>
  </r>
  <r>
    <m/>
    <m/>
    <x v="1"/>
    <s v="43245091005003"/>
    <n v="-6.7"/>
    <n v="212"/>
    <n v="1"/>
    <n v="1"/>
  </r>
  <r>
    <m/>
    <m/>
    <x v="1"/>
    <s v="43262451002003"/>
    <n v="-5.12"/>
    <n v="162"/>
    <n v="1"/>
    <n v="1"/>
  </r>
  <r>
    <m/>
    <m/>
    <x v="1"/>
    <s v="43282051003001"/>
    <n v="-6.58"/>
    <n v="208"/>
    <n v="1"/>
    <n v="1"/>
  </r>
  <r>
    <m/>
    <m/>
    <x v="1"/>
    <s v="43282821001002"/>
    <n v="-22.86"/>
    <n v="723"/>
    <n v="1"/>
    <n v="1"/>
  </r>
  <r>
    <m/>
    <m/>
    <x v="1"/>
    <s v="43291711002001"/>
    <n v="-5.69"/>
    <n v="180"/>
    <n v="1"/>
    <n v="1"/>
  </r>
  <r>
    <m/>
    <m/>
    <x v="1"/>
    <s v="43334201001001"/>
    <n v="-16.7"/>
    <n v="528"/>
    <n v="1"/>
    <n v="1"/>
  </r>
  <r>
    <m/>
    <m/>
    <x v="1"/>
    <s v="43346241001002"/>
    <n v="-7.05"/>
    <n v="223"/>
    <n v="1"/>
    <n v="1"/>
  </r>
  <r>
    <m/>
    <m/>
    <x v="1"/>
    <s v="43347711001001"/>
    <n v="-24.73"/>
    <n v="782"/>
    <n v="1"/>
    <n v="1"/>
  </r>
  <r>
    <m/>
    <m/>
    <x v="1"/>
    <s v="43363111001003"/>
    <n v="-22.55"/>
    <n v="713"/>
    <n v="1"/>
    <n v="1"/>
  </r>
  <r>
    <m/>
    <m/>
    <x v="1"/>
    <s v="43430451001001"/>
    <n v="-2.21"/>
    <n v="70"/>
    <n v="1"/>
    <n v="1"/>
  </r>
  <r>
    <m/>
    <m/>
    <x v="1"/>
    <s v="43485650001007"/>
    <n v="-22.05"/>
    <n v="704"/>
    <n v="2"/>
    <n v="1"/>
  </r>
  <r>
    <m/>
    <m/>
    <x v="1"/>
    <s v="43530621001001"/>
    <n v="-13.15"/>
    <n v="416"/>
    <n v="1"/>
    <n v="1"/>
  </r>
  <r>
    <m/>
    <m/>
    <x v="1"/>
    <s v="43581441001001"/>
    <n v="-4.5199999999999996"/>
    <n v="143"/>
    <n v="1"/>
    <n v="1"/>
  </r>
  <r>
    <m/>
    <m/>
    <x v="1"/>
    <s v="43586831001002"/>
    <n v="-10.09"/>
    <n v="319"/>
    <n v="1"/>
    <n v="1"/>
  </r>
  <r>
    <m/>
    <m/>
    <x v="1"/>
    <s v="43688479001001"/>
    <n v="-1.68"/>
    <n v="53"/>
    <n v="1"/>
    <n v="1"/>
  </r>
  <r>
    <m/>
    <m/>
    <x v="1"/>
    <s v="43696731001001"/>
    <n v="-4.21"/>
    <n v="133"/>
    <n v="1"/>
    <n v="1"/>
  </r>
  <r>
    <m/>
    <m/>
    <x v="1"/>
    <s v="43721161001001"/>
    <n v="-7.46"/>
    <n v="236"/>
    <n v="1"/>
    <n v="1"/>
  </r>
  <r>
    <m/>
    <m/>
    <x v="1"/>
    <s v="43801381001001"/>
    <n v="-15.3"/>
    <n v="484"/>
    <n v="1"/>
    <n v="1"/>
  </r>
  <r>
    <m/>
    <m/>
    <x v="1"/>
    <s v="43856891001002"/>
    <n v="-8.51"/>
    <n v="269"/>
    <n v="1"/>
    <n v="1"/>
  </r>
  <r>
    <m/>
    <m/>
    <x v="1"/>
    <s v="43903791001001"/>
    <n v="-1.55"/>
    <n v="49"/>
    <n v="1"/>
    <n v="1"/>
  </r>
  <r>
    <m/>
    <m/>
    <x v="1"/>
    <s v="43928151001002"/>
    <n v="-11.32"/>
    <n v="358"/>
    <n v="1"/>
    <n v="1"/>
  </r>
  <r>
    <m/>
    <m/>
    <x v="1"/>
    <s v="43950201001004"/>
    <n v="-17.55"/>
    <n v="555"/>
    <n v="1"/>
    <n v="1"/>
  </r>
  <r>
    <m/>
    <m/>
    <x v="1"/>
    <s v="44017401001003"/>
    <n v="-8.25"/>
    <n v="261"/>
    <n v="1"/>
    <n v="1"/>
  </r>
  <r>
    <m/>
    <m/>
    <x v="1"/>
    <s v="44035671002001"/>
    <n v="-8.89"/>
    <n v="281"/>
    <n v="1"/>
    <n v="1"/>
  </r>
  <r>
    <m/>
    <m/>
    <x v="1"/>
    <s v="44095871001001"/>
    <n v="-2.59"/>
    <n v="82"/>
    <n v="1"/>
    <n v="1"/>
  </r>
  <r>
    <m/>
    <m/>
    <x v="1"/>
    <s v="44198701001002"/>
    <n v="-32.729999999999997"/>
    <n v="1035"/>
    <n v="1"/>
    <n v="1"/>
  </r>
  <r>
    <m/>
    <m/>
    <x v="1"/>
    <s v="44217531004001"/>
    <n v="-24.51"/>
    <n v="775"/>
    <n v="1"/>
    <n v="1"/>
  </r>
  <r>
    <m/>
    <m/>
    <x v="1"/>
    <s v="44235381001002"/>
    <n v="-20.05"/>
    <n v="634"/>
    <n v="1"/>
    <n v="1"/>
  </r>
  <r>
    <m/>
    <m/>
    <x v="1"/>
    <s v="44237551001002"/>
    <n v="-4.8099999999999996"/>
    <n v="152"/>
    <n v="1"/>
    <n v="1"/>
  </r>
  <r>
    <m/>
    <m/>
    <x v="1"/>
    <s v="44286551002002"/>
    <n v="-3.89"/>
    <n v="123"/>
    <n v="1"/>
    <n v="1"/>
  </r>
  <r>
    <m/>
    <m/>
    <x v="1"/>
    <s v="44296841001008"/>
    <n v="-0.22"/>
    <n v="7"/>
    <n v="1"/>
    <n v="1"/>
  </r>
  <r>
    <m/>
    <m/>
    <x v="1"/>
    <s v="44340381001001"/>
    <n v="-3.6"/>
    <n v="114"/>
    <n v="1"/>
    <n v="1"/>
  </r>
  <r>
    <m/>
    <m/>
    <x v="1"/>
    <s v="44342831002003"/>
    <n v="-0.25"/>
    <n v="8"/>
    <n v="1"/>
    <n v="1"/>
  </r>
  <r>
    <m/>
    <m/>
    <x v="1"/>
    <s v="44379371001001"/>
    <n v="-0.16"/>
    <n v="5"/>
    <n v="1"/>
    <n v="1"/>
  </r>
  <r>
    <m/>
    <m/>
    <x v="1"/>
    <s v="44390781002001"/>
    <n v="-1.2"/>
    <n v="38"/>
    <n v="1"/>
    <n v="1"/>
  </r>
  <r>
    <m/>
    <m/>
    <x v="1"/>
    <s v="44416401001001"/>
    <n v="-19.27"/>
    <n v="615"/>
    <n v="2"/>
    <n v="1"/>
  </r>
  <r>
    <m/>
    <m/>
    <x v="1"/>
    <s v="44422491002001"/>
    <n v="-12.66"/>
    <n v="404"/>
    <n v="2"/>
    <n v="1"/>
  </r>
  <r>
    <m/>
    <m/>
    <x v="1"/>
    <s v="44423891001003"/>
    <n v="-10.91"/>
    <n v="345"/>
    <n v="1"/>
    <n v="1"/>
  </r>
  <r>
    <m/>
    <m/>
    <x v="1"/>
    <s v="44424451001001"/>
    <n v="-4.41"/>
    <n v="141"/>
    <n v="2"/>
    <n v="1"/>
  </r>
  <r>
    <m/>
    <m/>
    <x v="1"/>
    <s v="44424535001002"/>
    <n v="-5.82"/>
    <n v="184"/>
    <n v="1"/>
    <n v="1"/>
  </r>
  <r>
    <m/>
    <m/>
    <x v="1"/>
    <s v="44431101001001"/>
    <n v="-12.05"/>
    <n v="381"/>
    <n v="1"/>
    <n v="1"/>
  </r>
  <r>
    <m/>
    <m/>
    <x v="1"/>
    <s v="44463861001002"/>
    <n v="-47.56"/>
    <n v="1504"/>
    <n v="1"/>
    <n v="1"/>
  </r>
  <r>
    <m/>
    <m/>
    <x v="1"/>
    <s v="44470529001002"/>
    <n v="-15.78"/>
    <n v="499"/>
    <n v="1"/>
    <n v="1"/>
  </r>
  <r>
    <m/>
    <m/>
    <x v="1"/>
    <s v="44484511001002"/>
    <n v="-4.71"/>
    <n v="149"/>
    <n v="1"/>
    <n v="1"/>
  </r>
  <r>
    <m/>
    <m/>
    <x v="1"/>
    <s v="44496438001001"/>
    <n v="-13.56"/>
    <n v="429"/>
    <n v="1"/>
    <n v="1"/>
  </r>
  <r>
    <m/>
    <m/>
    <x v="1"/>
    <s v="44501801003005"/>
    <n v="-8.0299999999999994"/>
    <n v="254"/>
    <n v="1"/>
    <n v="1"/>
  </r>
  <r>
    <m/>
    <m/>
    <x v="1"/>
    <s v="44502641001003"/>
    <n v="-24.7"/>
    <n v="781"/>
    <n v="1"/>
    <n v="1"/>
  </r>
  <r>
    <m/>
    <m/>
    <x v="1"/>
    <s v="44545061002001"/>
    <n v="-5.5"/>
    <n v="174"/>
    <n v="1"/>
    <n v="1"/>
  </r>
  <r>
    <m/>
    <m/>
    <x v="1"/>
    <s v="44560811001004"/>
    <n v="-3.13"/>
    <n v="99"/>
    <n v="1"/>
    <n v="1"/>
  </r>
  <r>
    <m/>
    <m/>
    <x v="1"/>
    <s v="44603651002001"/>
    <n v="-14.55"/>
    <n v="460"/>
    <n v="1"/>
    <n v="1"/>
  </r>
  <r>
    <m/>
    <m/>
    <x v="1"/>
    <s v="44608551005001"/>
    <n v="-4.1100000000000003"/>
    <n v="130"/>
    <n v="1"/>
    <n v="1"/>
  </r>
  <r>
    <m/>
    <m/>
    <x v="1"/>
    <s v="44654191001001"/>
    <n v="-5.5"/>
    <n v="174"/>
    <n v="1"/>
    <n v="1"/>
  </r>
  <r>
    <m/>
    <m/>
    <x v="1"/>
    <s v="44688351001001"/>
    <n v="-13.41"/>
    <n v="424"/>
    <n v="1"/>
    <n v="1"/>
  </r>
  <r>
    <m/>
    <m/>
    <x v="1"/>
    <s v="44717961001001"/>
    <n v="-3.23"/>
    <n v="102"/>
    <n v="1"/>
    <n v="1"/>
  </r>
  <r>
    <m/>
    <m/>
    <x v="1"/>
    <s v="44737281001001"/>
    <n v="-17.71"/>
    <n v="560"/>
    <n v="1"/>
    <n v="1"/>
  </r>
  <r>
    <m/>
    <m/>
    <x v="1"/>
    <s v="44760031004001"/>
    <n v="-3"/>
    <n v="95"/>
    <n v="1"/>
    <n v="1"/>
  </r>
  <r>
    <m/>
    <m/>
    <x v="1"/>
    <s v="44770041002001"/>
    <n v="-39.78"/>
    <n v="1270"/>
    <n v="2"/>
    <n v="1"/>
  </r>
  <r>
    <m/>
    <m/>
    <x v="1"/>
    <s v="44775221002003"/>
    <n v="-8.82"/>
    <n v="279"/>
    <n v="1"/>
    <n v="1"/>
  </r>
  <r>
    <m/>
    <m/>
    <x v="1"/>
    <s v="44781871001001"/>
    <n v="-9.39"/>
    <n v="297"/>
    <n v="1"/>
    <n v="1"/>
  </r>
  <r>
    <m/>
    <m/>
    <x v="1"/>
    <s v="44784741001002"/>
    <n v="-18.399999999999999"/>
    <n v="582"/>
    <n v="1"/>
    <n v="1"/>
  </r>
  <r>
    <m/>
    <m/>
    <x v="1"/>
    <s v="44811481003005"/>
    <n v="-5.12"/>
    <n v="162"/>
    <n v="1"/>
    <n v="1"/>
  </r>
  <r>
    <m/>
    <m/>
    <x v="1"/>
    <s v="44827301001001"/>
    <n v="-12.17"/>
    <n v="385"/>
    <n v="1"/>
    <n v="1"/>
  </r>
  <r>
    <m/>
    <m/>
    <x v="1"/>
    <s v="44828701001004"/>
    <n v="-23.43"/>
    <n v="741"/>
    <n v="1"/>
    <n v="1"/>
  </r>
  <r>
    <m/>
    <m/>
    <x v="1"/>
    <s v="44828911003009"/>
    <n v="-0.03"/>
    <n v="1"/>
    <n v="1"/>
    <n v="1"/>
  </r>
  <r>
    <m/>
    <m/>
    <x v="1"/>
    <s v="44856771002005"/>
    <n v="-8.89"/>
    <n v="281"/>
    <n v="1"/>
    <n v="1"/>
  </r>
  <r>
    <m/>
    <m/>
    <x v="1"/>
    <s v="44877561001002"/>
    <n v="-8.49"/>
    <n v="271"/>
    <n v="2"/>
    <n v="1"/>
  </r>
  <r>
    <m/>
    <m/>
    <x v="1"/>
    <s v="44881621001001"/>
    <n v="-10.56"/>
    <n v="334"/>
    <n v="1"/>
    <n v="1"/>
  </r>
  <r>
    <m/>
    <m/>
    <x v="1"/>
    <s v="44902061004001"/>
    <n v="-21"/>
    <n v="664"/>
    <n v="1"/>
    <n v="1"/>
  </r>
  <r>
    <m/>
    <m/>
    <x v="1"/>
    <s v="44906681002005"/>
    <n v="-9.52"/>
    <n v="301"/>
    <n v="1"/>
    <n v="1"/>
  </r>
  <r>
    <m/>
    <m/>
    <x v="1"/>
    <s v="44908781005001"/>
    <n v="-13.06"/>
    <n v="413"/>
    <n v="1"/>
    <n v="1"/>
  </r>
  <r>
    <m/>
    <m/>
    <x v="1"/>
    <s v="44919565001001"/>
    <n v="-3.41"/>
    <n v="109"/>
    <n v="2"/>
    <n v="1"/>
  </r>
  <r>
    <m/>
    <m/>
    <x v="1"/>
    <s v="44939791001001"/>
    <n v="-9.9600000000000009"/>
    <n v="315"/>
    <n v="1"/>
    <n v="1"/>
  </r>
  <r>
    <m/>
    <m/>
    <x v="1"/>
    <s v="44951971004001"/>
    <n v="-15.21"/>
    <n v="481"/>
    <n v="1"/>
    <n v="1"/>
  </r>
  <r>
    <m/>
    <m/>
    <x v="1"/>
    <s v="44955261001002"/>
    <n v="-27.13"/>
    <n v="858"/>
    <n v="1"/>
    <n v="1"/>
  </r>
  <r>
    <m/>
    <m/>
    <x v="1"/>
    <s v="44959251002002"/>
    <n v="-7.27"/>
    <n v="230"/>
    <n v="1"/>
    <n v="1"/>
  </r>
  <r>
    <m/>
    <m/>
    <x v="1"/>
    <s v="44970917001001"/>
    <n v="-5.22"/>
    <n v="166"/>
    <n v="2"/>
    <n v="1"/>
  </r>
  <r>
    <m/>
    <m/>
    <x v="1"/>
    <s v="44978221001001"/>
    <n v="-28.39"/>
    <n v="898"/>
    <n v="1"/>
    <n v="1"/>
  </r>
  <r>
    <m/>
    <m/>
    <x v="1"/>
    <s v="44987951001006"/>
    <n v="-14.17"/>
    <n v="448"/>
    <n v="1"/>
    <n v="1"/>
  </r>
  <r>
    <m/>
    <m/>
    <x v="1"/>
    <s v="45037931001001"/>
    <n v="-4.84"/>
    <n v="153"/>
    <n v="1"/>
    <n v="1"/>
  </r>
  <r>
    <m/>
    <m/>
    <x v="1"/>
    <s v="45047591003001"/>
    <n v="-6.7"/>
    <n v="212"/>
    <n v="1"/>
    <n v="1"/>
  </r>
  <r>
    <m/>
    <m/>
    <x v="1"/>
    <s v="45048081001001"/>
    <n v="-13.79"/>
    <n v="436"/>
    <n v="1"/>
    <n v="1"/>
  </r>
  <r>
    <m/>
    <m/>
    <x v="1"/>
    <s v="45048221001001"/>
    <n v="-8.41"/>
    <n v="266"/>
    <n v="1"/>
    <n v="1"/>
  </r>
  <r>
    <m/>
    <m/>
    <x v="1"/>
    <s v="45049061001001"/>
    <n v="-11.19"/>
    <n v="354"/>
    <n v="1"/>
    <n v="1"/>
  </r>
  <r>
    <m/>
    <m/>
    <x v="1"/>
    <s v="45055431001001"/>
    <n v="-2.91"/>
    <n v="92"/>
    <n v="1"/>
    <n v="1"/>
  </r>
  <r>
    <m/>
    <m/>
    <x v="1"/>
    <s v="45057251001005"/>
    <n v="-19.32"/>
    <n v="611"/>
    <n v="1"/>
    <n v="1"/>
  </r>
  <r>
    <m/>
    <m/>
    <x v="1"/>
    <s v="45058021001005"/>
    <n v="-17.579999999999998"/>
    <n v="556"/>
    <n v="1"/>
    <n v="1"/>
  </r>
  <r>
    <m/>
    <m/>
    <x v="1"/>
    <s v="45081401001004"/>
    <n v="-1.8"/>
    <n v="57"/>
    <n v="1"/>
    <n v="1"/>
  </r>
  <r>
    <m/>
    <m/>
    <x v="1"/>
    <s v="45097221001001"/>
    <n v="-6.07"/>
    <n v="192"/>
    <n v="1"/>
    <n v="1"/>
  </r>
  <r>
    <m/>
    <m/>
    <x v="1"/>
    <s v="45099461003003"/>
    <n v="-42.53"/>
    <n v="1345"/>
    <n v="1"/>
    <n v="1"/>
  </r>
  <r>
    <m/>
    <m/>
    <x v="1"/>
    <s v="45110171002003"/>
    <n v="-29.34"/>
    <n v="928"/>
    <n v="1"/>
    <n v="1"/>
  </r>
  <r>
    <m/>
    <m/>
    <x v="1"/>
    <s v="45120321002003"/>
    <n v="-2.37"/>
    <n v="75"/>
    <n v="1"/>
    <n v="1"/>
  </r>
  <r>
    <m/>
    <m/>
    <x v="1"/>
    <s v="45128441001005"/>
    <n v="-2.75"/>
    <n v="87"/>
    <n v="1"/>
    <n v="1"/>
  </r>
  <r>
    <m/>
    <m/>
    <x v="1"/>
    <s v="45130821001001"/>
    <n v="-17.2"/>
    <n v="544"/>
    <n v="1"/>
    <n v="1"/>
  </r>
  <r>
    <m/>
    <m/>
    <x v="1"/>
    <s v="45135453001001"/>
    <n v="-2.4300000000000002"/>
    <n v="77"/>
    <n v="1"/>
    <n v="1"/>
  </r>
  <r>
    <m/>
    <m/>
    <x v="1"/>
    <s v="45136421001001"/>
    <n v="-32.25"/>
    <n v="1020"/>
    <n v="1"/>
    <n v="1"/>
  </r>
  <r>
    <m/>
    <m/>
    <x v="1"/>
    <s v="45143631001001"/>
    <n v="-6.01"/>
    <n v="190"/>
    <n v="1"/>
    <n v="1"/>
  </r>
  <r>
    <m/>
    <m/>
    <x v="1"/>
    <s v="45155461001001"/>
    <n v="-76.28"/>
    <n v="2435"/>
    <n v="2"/>
    <n v="1"/>
  </r>
  <r>
    <m/>
    <m/>
    <x v="1"/>
    <s v="45162811004003"/>
    <n v="-23.87"/>
    <n v="762"/>
    <n v="2"/>
    <n v="1"/>
  </r>
  <r>
    <m/>
    <m/>
    <x v="1"/>
    <s v="45171701001001"/>
    <n v="-17.45"/>
    <n v="557"/>
    <n v="2"/>
    <n v="1"/>
  </r>
  <r>
    <m/>
    <m/>
    <x v="1"/>
    <s v="45174711001001"/>
    <n v="-21.05"/>
    <n v="672"/>
    <n v="2"/>
    <n v="1"/>
  </r>
  <r>
    <m/>
    <m/>
    <x v="1"/>
    <s v="45177021001002"/>
    <n v="-8.6999999999999993"/>
    <n v="275"/>
    <n v="1"/>
    <n v="1"/>
  </r>
  <r>
    <m/>
    <m/>
    <x v="1"/>
    <s v="45187451001001"/>
    <n v="-5.8900000000000006"/>
    <n v="188"/>
    <n v="2"/>
    <n v="1"/>
  </r>
  <r>
    <m/>
    <m/>
    <x v="1"/>
    <s v="45188011001001"/>
    <n v="-7.95"/>
    <n v="254"/>
    <n v="2"/>
    <n v="1"/>
  </r>
  <r>
    <m/>
    <m/>
    <x v="1"/>
    <s v="45191721001004"/>
    <n v="-3.32"/>
    <n v="105"/>
    <n v="1"/>
    <n v="1"/>
  </r>
  <r>
    <m/>
    <m/>
    <x v="1"/>
    <s v="45192001001001"/>
    <n v="-26.69"/>
    <n v="852"/>
    <n v="2"/>
    <n v="1"/>
  </r>
  <r>
    <m/>
    <m/>
    <x v="1"/>
    <s v="45195991002001"/>
    <n v="-44.61"/>
    <n v="1424"/>
    <n v="2"/>
    <n v="1"/>
  </r>
  <r>
    <m/>
    <m/>
    <x v="1"/>
    <s v="45206841001001"/>
    <n v="-27.38"/>
    <n v="866"/>
    <n v="1"/>
    <n v="1"/>
  </r>
  <r>
    <m/>
    <m/>
    <x v="1"/>
    <s v="45215369002003"/>
    <n v="-1.42"/>
    <n v="45"/>
    <n v="1"/>
    <n v="1"/>
  </r>
  <r>
    <m/>
    <m/>
    <x v="1"/>
    <s v="45253671001001"/>
    <n v="-20.079999999999998"/>
    <n v="635"/>
    <n v="1"/>
    <n v="1"/>
  </r>
  <r>
    <m/>
    <m/>
    <x v="1"/>
    <s v="45259201001001"/>
    <n v="-12.87"/>
    <n v="407"/>
    <n v="1"/>
    <n v="1"/>
  </r>
  <r>
    <m/>
    <m/>
    <x v="1"/>
    <s v="45324791001001"/>
    <n v="-57.75"/>
    <n v="1835"/>
    <n v="2"/>
    <n v="1"/>
  </r>
  <r>
    <m/>
    <m/>
    <x v="1"/>
    <s v="45353911001001"/>
    <n v="-13.15"/>
    <n v="416"/>
    <n v="1"/>
    <n v="1"/>
  </r>
  <r>
    <m/>
    <m/>
    <x v="1"/>
    <s v="45356011003001"/>
    <n v="-43.03"/>
    <n v="1367"/>
    <n v="2"/>
    <n v="1"/>
  </r>
  <r>
    <m/>
    <m/>
    <x v="1"/>
    <s v="45361541002001"/>
    <n v="-21.38"/>
    <n v="676"/>
    <n v="1"/>
    <n v="1"/>
  </r>
  <r>
    <m/>
    <m/>
    <x v="1"/>
    <s v="45382261001001"/>
    <n v="-25.83"/>
    <n v="817"/>
    <n v="1"/>
    <n v="1"/>
  </r>
  <r>
    <m/>
    <m/>
    <x v="1"/>
    <s v="45403331001002"/>
    <n v="-42.78"/>
    <n v="1359"/>
    <n v="2"/>
    <n v="1"/>
  </r>
  <r>
    <m/>
    <m/>
    <x v="1"/>
    <s v="45420831002002"/>
    <n v="-28.74"/>
    <n v="909"/>
    <n v="1"/>
    <n v="1"/>
  </r>
  <r>
    <m/>
    <m/>
    <x v="1"/>
    <s v="45443161001003"/>
    <n v="-7.56"/>
    <n v="239"/>
    <n v="1"/>
    <n v="1"/>
  </r>
  <r>
    <m/>
    <m/>
    <x v="1"/>
    <s v="45451701001002"/>
    <n v="-30.67"/>
    <n v="970"/>
    <n v="1"/>
    <n v="1"/>
  </r>
  <r>
    <m/>
    <m/>
    <x v="1"/>
    <s v="45485021002002"/>
    <n v="-0.7"/>
    <n v="22"/>
    <n v="1"/>
    <n v="1"/>
  </r>
  <r>
    <m/>
    <m/>
    <x v="1"/>
    <s v="45487611001002"/>
    <n v="-8.66"/>
    <n v="274"/>
    <n v="1"/>
    <n v="1"/>
  </r>
  <r>
    <m/>
    <m/>
    <x v="1"/>
    <s v="45497761001001"/>
    <n v="-1.82"/>
    <n v="58"/>
    <n v="2"/>
    <n v="1"/>
  </r>
  <r>
    <m/>
    <m/>
    <x v="1"/>
    <s v="45500071002005"/>
    <n v="-15.43"/>
    <n v="488"/>
    <n v="1"/>
    <n v="1"/>
  </r>
  <r>
    <m/>
    <m/>
    <x v="1"/>
    <s v="45503921006001"/>
    <n v="-17.970000000000002"/>
    <n v="571"/>
    <n v="2"/>
    <n v="1"/>
  </r>
  <r>
    <m/>
    <m/>
    <x v="1"/>
    <s v="45512671001001"/>
    <n v="-26.59"/>
    <n v="841"/>
    <n v="1"/>
    <n v="1"/>
  </r>
  <r>
    <m/>
    <m/>
    <x v="1"/>
    <s v="45514281001001"/>
    <n v="-1.23"/>
    <n v="39"/>
    <n v="1"/>
    <n v="1"/>
  </r>
  <r>
    <m/>
    <m/>
    <x v="1"/>
    <s v="45519246001001"/>
    <n v="-32.700000000000003"/>
    <n v="1039"/>
    <n v="2"/>
    <n v="1"/>
  </r>
  <r>
    <m/>
    <m/>
    <x v="1"/>
    <s v="45555091001004"/>
    <n v="-25.69"/>
    <n v="816"/>
    <n v="2"/>
    <n v="1"/>
  </r>
  <r>
    <m/>
    <m/>
    <x v="1"/>
    <s v="45597371001001"/>
    <n v="-9.42"/>
    <n v="301"/>
    <n v="2"/>
    <n v="1"/>
  </r>
  <r>
    <m/>
    <m/>
    <x v="1"/>
    <s v="45629221001003"/>
    <n v="-19.54"/>
    <n v="618"/>
    <n v="1"/>
    <n v="1"/>
  </r>
  <r>
    <m/>
    <m/>
    <x v="1"/>
    <s v="45644831001001"/>
    <n v="-0.63"/>
    <n v="20"/>
    <n v="1"/>
    <n v="1"/>
  </r>
  <r>
    <m/>
    <m/>
    <x v="1"/>
    <s v="45645881001002"/>
    <n v="-10.4"/>
    <n v="329"/>
    <n v="1"/>
    <n v="1"/>
  </r>
  <r>
    <m/>
    <m/>
    <x v="1"/>
    <s v="45665201001006"/>
    <n v="-0.19"/>
    <n v="6"/>
    <n v="1"/>
    <n v="1"/>
  </r>
  <r>
    <m/>
    <m/>
    <x v="1"/>
    <s v="45692851001001"/>
    <n v="-1.77"/>
    <n v="56"/>
    <n v="1"/>
    <n v="1"/>
  </r>
  <r>
    <m/>
    <m/>
    <x v="1"/>
    <s v="45694601001001"/>
    <n v="-2.25"/>
    <n v="71"/>
    <n v="1"/>
    <n v="1"/>
  </r>
  <r>
    <m/>
    <m/>
    <x v="1"/>
    <s v="45725261001001"/>
    <n v="-4.6500000000000004"/>
    <n v="147"/>
    <n v="1"/>
    <n v="1"/>
  </r>
  <r>
    <m/>
    <m/>
    <x v="1"/>
    <s v="45742621001001"/>
    <n v="-1.2"/>
    <n v="38"/>
    <n v="1"/>
    <n v="1"/>
  </r>
  <r>
    <m/>
    <m/>
    <x v="1"/>
    <s v="45751371001001"/>
    <n v="-2.2799999999999998"/>
    <n v="72"/>
    <n v="1"/>
    <n v="1"/>
  </r>
  <r>
    <m/>
    <m/>
    <x v="1"/>
    <s v="45768031001001"/>
    <n v="-0.25"/>
    <n v="8"/>
    <n v="1"/>
    <n v="1"/>
  </r>
  <r>
    <m/>
    <m/>
    <x v="1"/>
    <s v="45785601001001"/>
    <n v="-2.09"/>
    <n v="66"/>
    <n v="1"/>
    <n v="1"/>
  </r>
  <r>
    <m/>
    <m/>
    <x v="1"/>
    <s v="45787701001001"/>
    <n v="-1.68"/>
    <n v="53"/>
    <n v="1"/>
    <n v="1"/>
  </r>
  <r>
    <m/>
    <m/>
    <x v="1"/>
    <s v="45846991001001"/>
    <n v="-19.73"/>
    <n v="630"/>
    <n v="2"/>
    <n v="1"/>
  </r>
  <r>
    <m/>
    <m/>
    <x v="1"/>
    <s v="45878001001001"/>
    <n v="-22.84"/>
    <n v="729"/>
    <n v="2"/>
    <n v="1"/>
  </r>
  <r>
    <m/>
    <m/>
    <x v="1"/>
    <s v="45884231001001"/>
    <n v="-43.04"/>
    <n v="1374"/>
    <n v="2"/>
    <n v="1"/>
  </r>
  <r>
    <m/>
    <m/>
    <x v="1"/>
    <s v="45930081004001"/>
    <n v="-0.92"/>
    <n v="29"/>
    <n v="1"/>
    <n v="1"/>
  </r>
  <r>
    <m/>
    <m/>
    <x v="1"/>
    <s v="45934211002001"/>
    <n v="-28.41"/>
    <n v="907"/>
    <n v="2"/>
    <n v="1"/>
  </r>
  <r>
    <m/>
    <m/>
    <x v="1"/>
    <s v="45934561001007"/>
    <n v="-0.73"/>
    <n v="23"/>
    <n v="1"/>
    <n v="1"/>
  </r>
  <r>
    <m/>
    <m/>
    <x v="1"/>
    <s v="45935331001004"/>
    <n v="-12.77"/>
    <n v="408"/>
    <n v="2"/>
    <n v="1"/>
  </r>
  <r>
    <m/>
    <m/>
    <x v="1"/>
    <s v="46014571002003"/>
    <n v="-0.13"/>
    <n v="4"/>
    <n v="1"/>
    <n v="1"/>
  </r>
  <r>
    <m/>
    <m/>
    <x v="1"/>
    <s v="46041661001003"/>
    <n v="-17.64"/>
    <n v="558"/>
    <n v="1"/>
    <n v="1"/>
  </r>
  <r>
    <m/>
    <m/>
    <x v="1"/>
    <s v="46074016001001"/>
    <n v="-29.04"/>
    <n v="927"/>
    <n v="2"/>
    <n v="1"/>
  </r>
  <r>
    <m/>
    <m/>
    <x v="1"/>
    <s v="46098781002001"/>
    <n v="-37.49"/>
    <n v="1197"/>
    <n v="2"/>
    <n v="1"/>
  </r>
  <r>
    <m/>
    <m/>
    <x v="1"/>
    <s v="46112081001002"/>
    <n v="-14.1"/>
    <n v="446"/>
    <n v="1"/>
    <n v="1"/>
  </r>
  <r>
    <m/>
    <m/>
    <x v="1"/>
    <s v="46115161001001"/>
    <n v="-13.280000000000001"/>
    <n v="424"/>
    <n v="2"/>
    <n v="1"/>
  </r>
  <r>
    <m/>
    <m/>
    <x v="1"/>
    <s v="46135041001002"/>
    <n v="-54.55"/>
    <n v="1741"/>
    <n v="2"/>
    <n v="1"/>
  </r>
  <r>
    <m/>
    <m/>
    <x v="1"/>
    <s v="46146381001003"/>
    <n v="-31.799999999999997"/>
    <n v="1015"/>
    <n v="2"/>
    <n v="1"/>
  </r>
  <r>
    <m/>
    <m/>
    <x v="1"/>
    <s v="46149601001005"/>
    <n v="-35.58"/>
    <n v="1136"/>
    <n v="2"/>
    <n v="1"/>
  </r>
  <r>
    <m/>
    <m/>
    <x v="1"/>
    <s v="46153451002001"/>
    <n v="-11.54"/>
    <n v="365"/>
    <n v="1"/>
    <n v="1"/>
  </r>
  <r>
    <m/>
    <m/>
    <x v="1"/>
    <s v="46168151004003"/>
    <n v="-15.110000000000001"/>
    <n v="480"/>
    <n v="2"/>
    <n v="1"/>
  </r>
  <r>
    <m/>
    <m/>
    <x v="1"/>
    <s v="46205811013001"/>
    <n v="-9.07"/>
    <n v="287"/>
    <n v="1"/>
    <n v="1"/>
  </r>
  <r>
    <m/>
    <m/>
    <x v="1"/>
    <s v="46246971001001"/>
    <n v="-4.84"/>
    <n v="153"/>
    <n v="1"/>
    <n v="1"/>
  </r>
  <r>
    <m/>
    <m/>
    <x v="1"/>
    <s v="46289951001001"/>
    <n v="-0.98"/>
    <n v="31"/>
    <n v="1"/>
    <n v="1"/>
  </r>
  <r>
    <m/>
    <m/>
    <x v="1"/>
    <s v="46336781001001"/>
    <n v="-14.860000000000001"/>
    <n v="472"/>
    <n v="2"/>
    <n v="1"/>
  </r>
  <r>
    <m/>
    <m/>
    <x v="1"/>
    <s v="46339021001001"/>
    <n v="-32.04"/>
    <n v="1018"/>
    <n v="2"/>
    <n v="1"/>
  </r>
  <r>
    <m/>
    <m/>
    <x v="1"/>
    <s v="46341891001007"/>
    <n v="-20.43"/>
    <n v="649"/>
    <n v="2"/>
    <n v="1"/>
  </r>
  <r>
    <m/>
    <m/>
    <x v="1"/>
    <s v="46365691001001"/>
    <n v="-19.920000000000002"/>
    <n v="633"/>
    <n v="2"/>
    <n v="1"/>
  </r>
  <r>
    <m/>
    <m/>
    <x v="1"/>
    <s v="46370031001001"/>
    <n v="-40.94"/>
    <n v="1301"/>
    <n v="2"/>
    <n v="1"/>
  </r>
  <r>
    <m/>
    <m/>
    <x v="1"/>
    <s v="46403001005001"/>
    <n v="-3.45"/>
    <n v="109"/>
    <n v="1"/>
    <n v="1"/>
  </r>
  <r>
    <m/>
    <m/>
    <x v="1"/>
    <s v="46432121004001"/>
    <n v="-39.5"/>
    <n v="1261"/>
    <n v="2"/>
    <n v="1"/>
  </r>
  <r>
    <m/>
    <m/>
    <x v="1"/>
    <s v="46438981001002"/>
    <n v="-46.08"/>
    <n v="1464"/>
    <n v="2"/>
    <n v="1"/>
  </r>
  <r>
    <m/>
    <m/>
    <x v="1"/>
    <s v="46461591002001"/>
    <n v="-1.1100000000000001"/>
    <n v="35"/>
    <n v="1"/>
    <n v="1"/>
  </r>
  <r>
    <m/>
    <m/>
    <x v="1"/>
    <s v="46462501001003"/>
    <n v="-1.96"/>
    <n v="62"/>
    <n v="1"/>
    <n v="1"/>
  </r>
  <r>
    <m/>
    <m/>
    <x v="1"/>
    <s v="46469081002006"/>
    <n v="-0.25"/>
    <n v="8"/>
    <n v="1"/>
    <n v="1"/>
  </r>
  <r>
    <m/>
    <m/>
    <x v="1"/>
    <s v="46475241001003"/>
    <n v="-22.59"/>
    <n v="718"/>
    <n v="2"/>
    <n v="1"/>
  </r>
  <r>
    <m/>
    <m/>
    <x v="1"/>
    <s v="46482661001005"/>
    <n v="-2.59"/>
    <n v="82"/>
    <n v="1"/>
    <n v="1"/>
  </r>
  <r>
    <m/>
    <m/>
    <x v="1"/>
    <s v="46605651001001"/>
    <n v="-0.06"/>
    <n v="2"/>
    <n v="1"/>
    <n v="1"/>
  </r>
  <r>
    <m/>
    <m/>
    <x v="1"/>
    <s v="46666481001001"/>
    <n v="-10.81"/>
    <n v="342"/>
    <n v="1"/>
    <n v="1"/>
  </r>
  <r>
    <m/>
    <m/>
    <x v="1"/>
    <s v="46684121001001"/>
    <n v="-18.399999999999999"/>
    <n v="582"/>
    <n v="1"/>
    <n v="1"/>
  </r>
  <r>
    <m/>
    <m/>
    <x v="1"/>
    <s v="46763571002001"/>
    <n v="-3.48"/>
    <n v="110"/>
    <n v="1"/>
    <n v="1"/>
  </r>
  <r>
    <m/>
    <m/>
    <x v="1"/>
    <s v="46768751006006"/>
    <n v="-11.41"/>
    <n v="361"/>
    <n v="1"/>
    <n v="1"/>
  </r>
  <r>
    <m/>
    <m/>
    <x v="1"/>
    <s v="46774841003005"/>
    <n v="-4.21"/>
    <n v="133"/>
    <n v="1"/>
    <n v="1"/>
  </r>
  <r>
    <m/>
    <m/>
    <x v="1"/>
    <s v="46786380002003"/>
    <n v="-33.17"/>
    <n v="1049"/>
    <n v="1"/>
    <n v="1"/>
  </r>
  <r>
    <m/>
    <m/>
    <x v="1"/>
    <s v="46799243001001"/>
    <n v="-21.09"/>
    <n v="667"/>
    <n v="1"/>
    <n v="1"/>
  </r>
  <r>
    <m/>
    <m/>
    <x v="1"/>
    <s v="46827201001001"/>
    <n v="-20.93"/>
    <n v="665"/>
    <n v="2"/>
    <n v="1"/>
  </r>
  <r>
    <m/>
    <m/>
    <x v="1"/>
    <s v="46829091001001"/>
    <n v="-7.18"/>
    <n v="228"/>
    <n v="2"/>
    <n v="1"/>
  </r>
  <r>
    <m/>
    <m/>
    <x v="1"/>
    <s v="46831051002001"/>
    <n v="-21.02"/>
    <n v="668"/>
    <n v="2"/>
    <n v="1"/>
  </r>
  <r>
    <m/>
    <m/>
    <x v="1"/>
    <s v="46834201001001"/>
    <n v="-35.03"/>
    <n v="1113"/>
    <n v="2"/>
    <n v="1"/>
  </r>
  <r>
    <m/>
    <m/>
    <x v="1"/>
    <s v="46847221001002"/>
    <n v="-17.560000000000002"/>
    <n v="558"/>
    <n v="2"/>
    <n v="1"/>
  </r>
  <r>
    <m/>
    <m/>
    <x v="1"/>
    <s v="46861661001001"/>
    <n v="-3.19"/>
    <n v="101"/>
    <n v="1"/>
    <n v="1"/>
  </r>
  <r>
    <m/>
    <m/>
    <x v="1"/>
    <s v="46948371001001"/>
    <n v="-2.97"/>
    <n v="94"/>
    <n v="1"/>
    <n v="1"/>
  </r>
  <r>
    <m/>
    <m/>
    <x v="1"/>
    <s v="46962301001002"/>
    <n v="-1.23"/>
    <n v="39"/>
    <n v="1"/>
    <n v="1"/>
  </r>
  <r>
    <m/>
    <m/>
    <x v="1"/>
    <s v="46966151001003"/>
    <n v="-0.51"/>
    <n v="16"/>
    <n v="1"/>
    <n v="1"/>
  </r>
  <r>
    <m/>
    <m/>
    <x v="1"/>
    <s v="47113431001001"/>
    <n v="-1.39"/>
    <n v="44"/>
    <n v="1"/>
    <n v="1"/>
  </r>
  <r>
    <m/>
    <m/>
    <x v="1"/>
    <s v="47161241001003"/>
    <n v="-9.0399999999999991"/>
    <n v="286"/>
    <n v="1"/>
    <n v="1"/>
  </r>
  <r>
    <m/>
    <m/>
    <x v="1"/>
    <s v="47179931001006"/>
    <n v="-0.92"/>
    <n v="29"/>
    <n v="1"/>
    <n v="1"/>
  </r>
  <r>
    <m/>
    <m/>
    <x v="1"/>
    <s v="47192251001001"/>
    <n v="-11.98"/>
    <n v="379"/>
    <n v="1"/>
    <n v="1"/>
  </r>
  <r>
    <m/>
    <m/>
    <x v="1"/>
    <s v="47194351001001"/>
    <n v="-15.3"/>
    <n v="484"/>
    <n v="1"/>
    <n v="1"/>
  </r>
  <r>
    <m/>
    <m/>
    <x v="1"/>
    <s v="47199424001002"/>
    <n v="-11"/>
    <n v="348"/>
    <n v="1"/>
    <n v="1"/>
  </r>
  <r>
    <m/>
    <m/>
    <x v="1"/>
    <s v="47230121003006"/>
    <n v="-3.83"/>
    <n v="121"/>
    <n v="1"/>
    <n v="1"/>
  </r>
  <r>
    <m/>
    <m/>
    <x v="1"/>
    <s v="47260062001002"/>
    <n v="-0.76"/>
    <n v="24"/>
    <n v="1"/>
    <n v="1"/>
  </r>
  <r>
    <m/>
    <m/>
    <x v="1"/>
    <s v="47311671002002"/>
    <n v="-4.1100000000000003"/>
    <n v="130"/>
    <n v="1"/>
    <n v="1"/>
  </r>
  <r>
    <m/>
    <m/>
    <x v="1"/>
    <s v="47321401002002"/>
    <n v="-11.79"/>
    <n v="373"/>
    <n v="1"/>
    <n v="1"/>
  </r>
  <r>
    <m/>
    <m/>
    <x v="1"/>
    <s v="47327071003002"/>
    <n v="-1.71"/>
    <n v="54"/>
    <n v="1"/>
    <n v="1"/>
  </r>
  <r>
    <m/>
    <m/>
    <x v="1"/>
    <s v="47354441001003"/>
    <n v="-44.03"/>
    <n v="1399"/>
    <n v="2"/>
    <n v="1"/>
  </r>
  <r>
    <m/>
    <m/>
    <x v="1"/>
    <s v="47354861004001"/>
    <n v="-0.85"/>
    <n v="27"/>
    <n v="1"/>
    <n v="1"/>
  </r>
  <r>
    <m/>
    <m/>
    <x v="1"/>
    <s v="47484221001003"/>
    <n v="-2.5500000000000003"/>
    <n v="81"/>
    <n v="2"/>
    <n v="1"/>
  </r>
  <r>
    <m/>
    <m/>
    <x v="1"/>
    <s v="47501091001002"/>
    <n v="-1.58"/>
    <n v="50"/>
    <n v="1"/>
    <n v="1"/>
  </r>
  <r>
    <m/>
    <m/>
    <x v="1"/>
    <s v="47552611001001"/>
    <n v="-29.06"/>
    <n v="919"/>
    <n v="1"/>
    <n v="1"/>
  </r>
  <r>
    <m/>
    <m/>
    <x v="1"/>
    <s v="47557441001002"/>
    <n v="-9.42"/>
    <n v="298"/>
    <n v="1"/>
    <n v="1"/>
  </r>
  <r>
    <m/>
    <m/>
    <x v="1"/>
    <s v="47600631003001"/>
    <n v="-10.62"/>
    <n v="336"/>
    <n v="1"/>
    <n v="1"/>
  </r>
  <r>
    <m/>
    <m/>
    <x v="1"/>
    <s v="47605461003004"/>
    <n v="-6.45"/>
    <n v="205"/>
    <n v="2"/>
    <n v="1"/>
  </r>
  <r>
    <m/>
    <m/>
    <x v="1"/>
    <s v="47650471003001"/>
    <n v="-3.76"/>
    <n v="119"/>
    <n v="1"/>
    <n v="1"/>
  </r>
  <r>
    <m/>
    <m/>
    <x v="1"/>
    <s v="47670141001007"/>
    <n v="-1.39"/>
    <n v="44"/>
    <n v="1"/>
    <n v="1"/>
  </r>
  <r>
    <m/>
    <m/>
    <x v="1"/>
    <s v="47673221001005"/>
    <n v="-1.1100000000000001"/>
    <n v="35"/>
    <n v="1"/>
    <n v="1"/>
  </r>
  <r>
    <m/>
    <m/>
    <x v="1"/>
    <s v="47682181001016"/>
    <n v="-0.47"/>
    <n v="15"/>
    <n v="1"/>
    <n v="1"/>
  </r>
  <r>
    <m/>
    <m/>
    <x v="1"/>
    <s v="47756941004001"/>
    <n v="-1.42"/>
    <n v="45"/>
    <n v="1"/>
    <n v="1"/>
  </r>
  <r>
    <m/>
    <m/>
    <x v="1"/>
    <s v="47759881007003"/>
    <n v="-2.66"/>
    <n v="84"/>
    <n v="1"/>
    <n v="1"/>
  </r>
  <r>
    <m/>
    <m/>
    <x v="1"/>
    <s v="47770871001001"/>
    <n v="-9.99"/>
    <n v="316"/>
    <n v="1"/>
    <n v="1"/>
  </r>
  <r>
    <m/>
    <m/>
    <x v="1"/>
    <s v="47821341001001"/>
    <n v="-9.11"/>
    <n v="288"/>
    <n v="1"/>
    <n v="1"/>
  </r>
  <r>
    <m/>
    <m/>
    <x v="1"/>
    <s v="47826619001001"/>
    <n v="-8.35"/>
    <n v="264"/>
    <n v="1"/>
    <n v="1"/>
  </r>
  <r>
    <m/>
    <m/>
    <x v="1"/>
    <s v="47837581001001"/>
    <n v="-1.77"/>
    <n v="56"/>
    <n v="1"/>
    <n v="1"/>
  </r>
  <r>
    <m/>
    <m/>
    <x v="1"/>
    <s v="47854171001002"/>
    <n v="-12.74"/>
    <n v="403"/>
    <n v="1"/>
    <n v="1"/>
  </r>
  <r>
    <m/>
    <m/>
    <x v="1"/>
    <s v="47943981001003"/>
    <n v="-1.39"/>
    <n v="44"/>
    <n v="1"/>
    <n v="1"/>
  </r>
  <r>
    <m/>
    <m/>
    <x v="1"/>
    <s v="47945381004001"/>
    <n v="-19.760000000000002"/>
    <n v="625"/>
    <n v="1"/>
    <n v="1"/>
  </r>
  <r>
    <m/>
    <m/>
    <x v="1"/>
    <s v="47949511008001"/>
    <n v="-2.9699999999999998"/>
    <n v="95"/>
    <n v="2"/>
    <n v="1"/>
  </r>
  <r>
    <m/>
    <m/>
    <x v="1"/>
    <s v="47971841001005"/>
    <n v="-0.35"/>
    <n v="11"/>
    <n v="1"/>
    <n v="1"/>
  </r>
  <r>
    <m/>
    <m/>
    <x v="1"/>
    <s v="48036521001001"/>
    <n v="-2.4300000000000002"/>
    <n v="77"/>
    <n v="1"/>
    <n v="1"/>
  </r>
  <r>
    <m/>
    <m/>
    <x v="1"/>
    <s v="48037781001001"/>
    <n v="-5.79"/>
    <n v="183"/>
    <n v="1"/>
    <n v="1"/>
  </r>
  <r>
    <m/>
    <m/>
    <x v="1"/>
    <s v="48109251001002"/>
    <n v="-5.47"/>
    <n v="173"/>
    <n v="1"/>
    <n v="1"/>
  </r>
  <r>
    <m/>
    <m/>
    <x v="1"/>
    <s v="48115691001003"/>
    <n v="-3.76"/>
    <n v="119"/>
    <n v="1"/>
    <n v="1"/>
  </r>
  <r>
    <m/>
    <m/>
    <x v="1"/>
    <s v="48124752001001"/>
    <n v="-16.03"/>
    <n v="507"/>
    <n v="1"/>
    <n v="1"/>
  </r>
  <r>
    <m/>
    <m/>
    <x v="1"/>
    <s v="48168055001001"/>
    <n v="-35.979999999999997"/>
    <n v="1138"/>
    <n v="1"/>
    <n v="1"/>
  </r>
  <r>
    <m/>
    <m/>
    <x v="1"/>
    <s v="48182681001001"/>
    <n v="-0.19"/>
    <n v="6"/>
    <n v="1"/>
    <n v="1"/>
  </r>
  <r>
    <m/>
    <m/>
    <x v="1"/>
    <s v="48194791003001"/>
    <n v="-1.9"/>
    <n v="60"/>
    <n v="1"/>
    <n v="1"/>
  </r>
  <r>
    <m/>
    <m/>
    <x v="1"/>
    <s v="48214181001001"/>
    <n v="-9.14"/>
    <n v="289"/>
    <n v="1"/>
    <n v="1"/>
  </r>
  <r>
    <m/>
    <m/>
    <x v="1"/>
    <s v="48215861001001"/>
    <n v="-4.08"/>
    <n v="129"/>
    <n v="1"/>
    <n v="1"/>
  </r>
  <r>
    <m/>
    <m/>
    <x v="1"/>
    <s v="48474794001001"/>
    <n v="-6.58"/>
    <n v="208"/>
    <n v="1"/>
    <n v="1"/>
  </r>
  <r>
    <m/>
    <m/>
    <x v="1"/>
    <s v="48524754001001"/>
    <n v="-6.58"/>
    <n v="208"/>
    <n v="1"/>
    <n v="1"/>
  </r>
  <r>
    <m/>
    <m/>
    <x v="1"/>
    <s v="48561381001003"/>
    <n v="-21.91"/>
    <n v="693"/>
    <n v="1"/>
    <n v="1"/>
  </r>
  <r>
    <m/>
    <m/>
    <x v="1"/>
    <s v="48629818001001"/>
    <n v="-0.6"/>
    <n v="19"/>
    <n v="1"/>
    <n v="1"/>
  </r>
  <r>
    <m/>
    <m/>
    <x v="1"/>
    <s v="48660341001001"/>
    <n v="-0.22"/>
    <n v="7"/>
    <n v="1"/>
    <n v="1"/>
  </r>
  <r>
    <m/>
    <m/>
    <x v="1"/>
    <s v="48752136001002"/>
    <n v="-2.09"/>
    <n v="66"/>
    <n v="1"/>
    <n v="1"/>
  </r>
  <r>
    <m/>
    <m/>
    <x v="1"/>
    <s v="48754161004001"/>
    <n v="-11.7"/>
    <n v="370"/>
    <n v="1"/>
    <n v="1"/>
  </r>
  <r>
    <m/>
    <m/>
    <x v="1"/>
    <s v="48762278001001"/>
    <n v="-7.97"/>
    <n v="252"/>
    <n v="1"/>
    <n v="1"/>
  </r>
  <r>
    <m/>
    <m/>
    <x v="1"/>
    <s v="48765518001002"/>
    <n v="-13.56"/>
    <n v="429"/>
    <n v="1"/>
    <n v="1"/>
  </r>
  <r>
    <m/>
    <m/>
    <x v="1"/>
    <s v="49145181001005"/>
    <n v="-3.35"/>
    <n v="106"/>
    <n v="1"/>
    <n v="1"/>
  </r>
  <r>
    <m/>
    <m/>
    <x v="1"/>
    <s v="49295541002001"/>
    <n v="-14.7"/>
    <n v="465"/>
    <n v="1"/>
    <n v="1"/>
  </r>
  <r>
    <m/>
    <m/>
    <x v="1"/>
    <s v="49298970001001"/>
    <n v="-7.68"/>
    <n v="245"/>
    <n v="2"/>
    <n v="1"/>
  </r>
  <r>
    <m/>
    <m/>
    <x v="1"/>
    <s v="49315865001001"/>
    <n v="-5.85"/>
    <n v="185"/>
    <n v="1"/>
    <n v="1"/>
  </r>
  <r>
    <m/>
    <m/>
    <x v="1"/>
    <s v="49371491001002"/>
    <n v="-31.87"/>
    <n v="1008"/>
    <n v="1"/>
    <n v="1"/>
  </r>
  <r>
    <m/>
    <m/>
    <x v="1"/>
    <s v="49418111002001"/>
    <n v="-9.01"/>
    <n v="285"/>
    <n v="1"/>
    <n v="1"/>
  </r>
  <r>
    <m/>
    <m/>
    <x v="1"/>
    <s v="49436870001001"/>
    <n v="-16.03"/>
    <n v="507"/>
    <n v="1"/>
    <n v="1"/>
  </r>
  <r>
    <m/>
    <m/>
    <x v="1"/>
    <s v="49495461002007"/>
    <n v="-2.69"/>
    <n v="85"/>
    <n v="1"/>
    <n v="1"/>
  </r>
  <r>
    <m/>
    <m/>
    <x v="1"/>
    <s v="49495741001001"/>
    <n v="-29.69"/>
    <n v="939"/>
    <n v="1"/>
    <n v="1"/>
  </r>
  <r>
    <m/>
    <m/>
    <x v="1"/>
    <s v="49528221002003"/>
    <n v="-3.41"/>
    <n v="108"/>
    <n v="1"/>
    <n v="1"/>
  </r>
  <r>
    <m/>
    <m/>
    <x v="1"/>
    <s v="49549801001003"/>
    <n v="-0.32"/>
    <n v="10"/>
    <n v="1"/>
    <n v="1"/>
  </r>
  <r>
    <m/>
    <m/>
    <x v="1"/>
    <s v="49580313001008"/>
    <n v="-12.27"/>
    <n v="388"/>
    <n v="1"/>
    <n v="1"/>
  </r>
  <r>
    <m/>
    <m/>
    <x v="1"/>
    <s v="49600181003002"/>
    <n v="-2.94"/>
    <n v="93"/>
    <n v="1"/>
    <n v="1"/>
  </r>
  <r>
    <m/>
    <m/>
    <x v="1"/>
    <s v="49613481002001"/>
    <n v="-56.02"/>
    <n v="1780"/>
    <n v="2"/>
    <n v="1"/>
  </r>
  <r>
    <m/>
    <m/>
    <x v="1"/>
    <s v="49649391002003"/>
    <n v="-20.010000000000002"/>
    <n v="636"/>
    <n v="2"/>
    <n v="1"/>
  </r>
  <r>
    <m/>
    <m/>
    <x v="1"/>
    <s v="49702654001002"/>
    <n v="-2.3200000000000003"/>
    <n v="74"/>
    <n v="2"/>
    <n v="1"/>
  </r>
  <r>
    <m/>
    <m/>
    <x v="1"/>
    <s v="49717151001001"/>
    <n v="-0.82"/>
    <n v="26"/>
    <n v="1"/>
    <n v="1"/>
  </r>
  <r>
    <m/>
    <m/>
    <x v="1"/>
    <s v="49762441001002"/>
    <n v="-1.83"/>
    <n v="58"/>
    <n v="1"/>
    <n v="1"/>
  </r>
  <r>
    <m/>
    <m/>
    <x v="1"/>
    <s v="49916861001001"/>
    <n v="-2.34"/>
    <n v="74"/>
    <n v="1"/>
    <n v="1"/>
  </r>
  <r>
    <m/>
    <m/>
    <x v="1"/>
    <s v="49992415001001"/>
    <n v="-5"/>
    <n v="158"/>
    <n v="1"/>
    <n v="1"/>
  </r>
  <r>
    <m/>
    <m/>
    <x v="1"/>
    <s v="50027341001001"/>
    <n v="-11.1"/>
    <n v="351"/>
    <n v="1"/>
    <n v="1"/>
  </r>
  <r>
    <m/>
    <m/>
    <x v="1"/>
    <s v="50032081001001"/>
    <n v="-28.71"/>
    <n v="908"/>
    <n v="1"/>
    <n v="1"/>
  </r>
  <r>
    <m/>
    <m/>
    <x v="1"/>
    <s v="50034111002001"/>
    <n v="-15.34"/>
    <n v="485"/>
    <n v="1"/>
    <n v="1"/>
  </r>
  <r>
    <m/>
    <m/>
    <x v="1"/>
    <s v="50095781001001"/>
    <n v="-3.76"/>
    <n v="119"/>
    <n v="1"/>
    <n v="1"/>
  </r>
  <r>
    <m/>
    <m/>
    <x v="1"/>
    <s v="50112861003001"/>
    <n v="-11.38"/>
    <n v="360"/>
    <n v="1"/>
    <n v="1"/>
  </r>
  <r>
    <m/>
    <m/>
    <x v="1"/>
    <s v="50173481004001"/>
    <n v="-4.3"/>
    <n v="136"/>
    <n v="1"/>
    <n v="1"/>
  </r>
  <r>
    <m/>
    <m/>
    <x v="1"/>
    <s v="50180411011001"/>
    <n v="-24.86"/>
    <n v="790"/>
    <n v="2"/>
    <n v="1"/>
  </r>
  <r>
    <m/>
    <m/>
    <x v="1"/>
    <s v="50186781001001"/>
    <n v="-29.419999999999998"/>
    <n v="935"/>
    <n v="2"/>
    <n v="1"/>
  </r>
  <r>
    <m/>
    <m/>
    <x v="1"/>
    <s v="50198191001001"/>
    <n v="-24.169999999999998"/>
    <n v="768"/>
    <n v="2"/>
    <n v="1"/>
  </r>
  <r>
    <m/>
    <m/>
    <x v="1"/>
    <s v="50234784001005"/>
    <n v="-35.79"/>
    <n v="1132"/>
    <n v="1"/>
    <n v="1"/>
  </r>
  <r>
    <m/>
    <m/>
    <x v="1"/>
    <s v="50249641001001"/>
    <n v="-25.77"/>
    <n v="815"/>
    <n v="1"/>
    <n v="1"/>
  </r>
  <r>
    <m/>
    <m/>
    <x v="1"/>
    <s v="50292481001005"/>
    <n v="-1.61"/>
    <n v="51"/>
    <n v="1"/>
    <n v="1"/>
  </r>
  <r>
    <m/>
    <m/>
    <x v="1"/>
    <s v="50305221001001"/>
    <n v="-32.700000000000003"/>
    <n v="1034"/>
    <n v="1"/>
    <n v="1"/>
  </r>
  <r>
    <m/>
    <m/>
    <x v="1"/>
    <s v="50368711001001"/>
    <n v="-9.7100000000000009"/>
    <n v="307"/>
    <n v="1"/>
    <n v="1"/>
  </r>
  <r>
    <m/>
    <m/>
    <x v="1"/>
    <s v="50396906001003"/>
    <n v="-56.38"/>
    <n v="1783"/>
    <n v="1"/>
    <n v="1"/>
  </r>
  <r>
    <m/>
    <m/>
    <x v="1"/>
    <s v="50448651006001"/>
    <n v="-18.690000000000001"/>
    <n v="591"/>
    <n v="1"/>
    <n v="1"/>
  </r>
  <r>
    <m/>
    <m/>
    <x v="1"/>
    <s v="50707351001003"/>
    <n v="-19.64"/>
    <n v="621"/>
    <n v="1"/>
    <n v="1"/>
  </r>
  <r>
    <m/>
    <m/>
    <x v="1"/>
    <s v="50737681001001"/>
    <n v="-8.82"/>
    <n v="279"/>
    <n v="1"/>
    <n v="1"/>
  </r>
  <r>
    <m/>
    <m/>
    <x v="1"/>
    <s v="50739851009002"/>
    <n v="-2.06"/>
    <n v="65"/>
    <n v="1"/>
    <n v="1"/>
  </r>
  <r>
    <m/>
    <m/>
    <x v="1"/>
    <s v="50740761001001"/>
    <n v="-2.15"/>
    <n v="68"/>
    <n v="1"/>
    <n v="1"/>
  </r>
  <r>
    <m/>
    <m/>
    <x v="1"/>
    <s v="50774501001001"/>
    <n v="-1.83"/>
    <n v="58"/>
    <n v="1"/>
    <n v="1"/>
  </r>
  <r>
    <m/>
    <m/>
    <x v="1"/>
    <s v="50779261003001"/>
    <n v="-0.56999999999999995"/>
    <n v="18"/>
    <n v="1"/>
    <n v="1"/>
  </r>
  <r>
    <m/>
    <m/>
    <x v="1"/>
    <s v="50806272001001"/>
    <n v="-11.1"/>
    <n v="351"/>
    <n v="1"/>
    <n v="1"/>
  </r>
  <r>
    <m/>
    <m/>
    <x v="1"/>
    <s v="50814821008001"/>
    <n v="-22.99"/>
    <n v="727"/>
    <n v="1"/>
    <n v="1"/>
  </r>
  <r>
    <m/>
    <m/>
    <x v="1"/>
    <s v="50841001001001"/>
    <n v="-0.92"/>
    <n v="29"/>
    <n v="1"/>
    <n v="1"/>
  </r>
  <r>
    <m/>
    <m/>
    <x v="1"/>
    <s v="50849401001002"/>
    <n v="-21.41"/>
    <n v="677"/>
    <n v="1"/>
    <n v="1"/>
  </r>
  <r>
    <m/>
    <m/>
    <x v="1"/>
    <s v="50858361001001"/>
    <n v="-2.85"/>
    <n v="90"/>
    <n v="1"/>
    <n v="1"/>
  </r>
  <r>
    <m/>
    <m/>
    <x v="1"/>
    <s v="50898883001001"/>
    <n v="-0.51"/>
    <n v="16"/>
    <n v="1"/>
    <n v="1"/>
  </r>
  <r>
    <m/>
    <m/>
    <x v="1"/>
    <s v="50944181001001"/>
    <n v="-7.62"/>
    <n v="241"/>
    <n v="1"/>
    <n v="1"/>
  </r>
  <r>
    <m/>
    <m/>
    <x v="1"/>
    <s v="50968331001004"/>
    <n v="-2.09"/>
    <n v="66"/>
    <n v="1"/>
    <n v="1"/>
  </r>
  <r>
    <m/>
    <m/>
    <x v="1"/>
    <s v="50983591002001"/>
    <n v="-0.63"/>
    <n v="20"/>
    <n v="1"/>
    <n v="1"/>
  </r>
  <r>
    <m/>
    <m/>
    <x v="1"/>
    <s v="51002281001001"/>
    <n v="-8.09"/>
    <n v="256"/>
    <n v="1"/>
    <n v="1"/>
  </r>
  <r>
    <m/>
    <m/>
    <x v="1"/>
    <s v="51002491002001"/>
    <n v="-3.86"/>
    <n v="122"/>
    <n v="1"/>
    <n v="1"/>
  </r>
  <r>
    <m/>
    <m/>
    <x v="1"/>
    <s v="51004521001001"/>
    <n v="-7.4"/>
    <n v="234"/>
    <n v="1"/>
    <n v="1"/>
  </r>
  <r>
    <m/>
    <m/>
    <x v="1"/>
    <s v="51005081004002"/>
    <n v="-0.47"/>
    <n v="15"/>
    <n v="1"/>
    <n v="1"/>
  </r>
  <r>
    <m/>
    <m/>
    <x v="1"/>
    <s v="51007181001003"/>
    <n v="-0.82"/>
    <n v="26"/>
    <n v="1"/>
    <n v="1"/>
  </r>
  <r>
    <m/>
    <m/>
    <x v="1"/>
    <s v="51009071001001"/>
    <n v="-1.33"/>
    <n v="42"/>
    <n v="1"/>
    <n v="1"/>
  </r>
  <r>
    <m/>
    <m/>
    <x v="1"/>
    <s v="51010191001001"/>
    <n v="-3.19"/>
    <n v="101"/>
    <n v="1"/>
    <n v="1"/>
  </r>
  <r>
    <m/>
    <m/>
    <x v="1"/>
    <s v="51050021001002"/>
    <n v="-1.87"/>
    <n v="59"/>
    <n v="1"/>
    <n v="1"/>
  </r>
  <r>
    <m/>
    <m/>
    <x v="1"/>
    <s v="51053871001001"/>
    <n v="-0.85"/>
    <n v="27"/>
    <n v="1"/>
    <n v="1"/>
  </r>
  <r>
    <m/>
    <m/>
    <x v="1"/>
    <s v="51067101001006"/>
    <n v="-0.76"/>
    <n v="24"/>
    <n v="1"/>
    <n v="1"/>
  </r>
  <r>
    <m/>
    <m/>
    <x v="1"/>
    <s v="51068641001003"/>
    <n v="-1.61"/>
    <n v="51"/>
    <n v="1"/>
    <n v="1"/>
  </r>
  <r>
    <m/>
    <m/>
    <x v="1"/>
    <s v="51082221002003"/>
    <n v="-0.79"/>
    <n v="25"/>
    <n v="1"/>
    <n v="1"/>
  </r>
  <r>
    <m/>
    <m/>
    <x v="1"/>
    <s v="51098181001001"/>
    <n v="-1.1100000000000001"/>
    <n v="35"/>
    <n v="1"/>
    <n v="1"/>
  </r>
  <r>
    <m/>
    <m/>
    <x v="1"/>
    <s v="51100771003002"/>
    <n v="-17.55"/>
    <n v="555"/>
    <n v="1"/>
    <n v="1"/>
  </r>
  <r>
    <m/>
    <m/>
    <x v="1"/>
    <s v="51106511001005"/>
    <n v="-1.1100000000000001"/>
    <n v="35"/>
    <n v="1"/>
    <n v="1"/>
  </r>
  <r>
    <m/>
    <m/>
    <x v="1"/>
    <s v="51112881010001"/>
    <n v="-2.62"/>
    <n v="83"/>
    <n v="1"/>
    <n v="1"/>
  </r>
  <r>
    <m/>
    <m/>
    <x v="1"/>
    <s v="51115261001003"/>
    <n v="-9.11"/>
    <n v="288"/>
    <n v="1"/>
    <n v="1"/>
  </r>
  <r>
    <m/>
    <m/>
    <x v="1"/>
    <s v="51118901001001"/>
    <n v="-0.28000000000000003"/>
    <n v="9"/>
    <n v="1"/>
    <n v="1"/>
  </r>
  <r>
    <m/>
    <m/>
    <x v="1"/>
    <s v="51122961001001"/>
    <n v="-0.56999999999999995"/>
    <n v="18"/>
    <n v="1"/>
    <n v="1"/>
  </r>
  <r>
    <m/>
    <m/>
    <x v="1"/>
    <s v="51133041002001"/>
    <n v="-1.39"/>
    <n v="44"/>
    <n v="1"/>
    <n v="1"/>
  </r>
  <r>
    <m/>
    <m/>
    <x v="1"/>
    <s v="51138571001004"/>
    <n v="-0.79"/>
    <n v="25"/>
    <n v="1"/>
    <n v="1"/>
  </r>
  <r>
    <m/>
    <m/>
    <x v="1"/>
    <s v="51155161001001"/>
    <n v="-1.52"/>
    <n v="48"/>
    <n v="1"/>
    <n v="1"/>
  </r>
  <r>
    <m/>
    <m/>
    <x v="1"/>
    <s v="51155231001001"/>
    <n v="-2.69"/>
    <n v="85"/>
    <n v="1"/>
    <n v="1"/>
  </r>
  <r>
    <m/>
    <m/>
    <x v="1"/>
    <s v="51165031001003"/>
    <n v="-0.51"/>
    <n v="16"/>
    <n v="1"/>
    <n v="1"/>
  </r>
  <r>
    <m/>
    <m/>
    <x v="1"/>
    <s v="51166641001002"/>
    <n v="-5.75"/>
    <n v="182"/>
    <n v="1"/>
    <n v="1"/>
  </r>
  <r>
    <m/>
    <m/>
    <x v="1"/>
    <s v="51169231001001"/>
    <n v="-3.67"/>
    <n v="116"/>
    <n v="1"/>
    <n v="1"/>
  </r>
  <r>
    <m/>
    <m/>
    <x v="1"/>
    <s v="51173361004001"/>
    <n v="-1.08"/>
    <n v="34"/>
    <n v="1"/>
    <n v="1"/>
  </r>
  <r>
    <m/>
    <m/>
    <x v="1"/>
    <s v="51175111003001"/>
    <n v="-0.03"/>
    <n v="1"/>
    <n v="1"/>
    <n v="1"/>
  </r>
  <r>
    <m/>
    <m/>
    <x v="1"/>
    <s v="51195901003003"/>
    <n v="-2.15"/>
    <n v="68"/>
    <n v="1"/>
    <n v="1"/>
  </r>
  <r>
    <m/>
    <m/>
    <x v="1"/>
    <s v="51198211001002"/>
    <n v="-1.45"/>
    <n v="46"/>
    <n v="1"/>
    <n v="1"/>
  </r>
  <r>
    <m/>
    <m/>
    <x v="1"/>
    <s v="51204931003005"/>
    <n v="-0.66"/>
    <n v="21"/>
    <n v="1"/>
    <n v="1"/>
  </r>
  <r>
    <m/>
    <m/>
    <x v="1"/>
    <s v="51211861001003"/>
    <n v="-0.16"/>
    <n v="5"/>
    <n v="1"/>
    <n v="1"/>
  </r>
  <r>
    <m/>
    <m/>
    <x v="1"/>
    <s v="51222851001001"/>
    <n v="-0.06"/>
    <n v="2"/>
    <n v="1"/>
    <n v="1"/>
  </r>
  <r>
    <m/>
    <m/>
    <x v="1"/>
    <s v="51230691001001"/>
    <n v="-4.1399999999999997"/>
    <n v="131"/>
    <n v="1"/>
    <n v="1"/>
  </r>
  <r>
    <m/>
    <m/>
    <x v="1"/>
    <s v="51236151001001"/>
    <n v="-3.6"/>
    <n v="114"/>
    <n v="1"/>
    <n v="1"/>
  </r>
  <r>
    <m/>
    <m/>
    <x v="1"/>
    <s v="51293341001001"/>
    <n v="-31.3"/>
    <n v="999"/>
    <n v="2"/>
    <n v="1"/>
  </r>
  <r>
    <m/>
    <m/>
    <x v="1"/>
    <s v="51328341003001"/>
    <n v="-14.01"/>
    <n v="443"/>
    <n v="1"/>
    <n v="1"/>
  </r>
  <r>
    <m/>
    <m/>
    <x v="1"/>
    <s v="51333171001001"/>
    <n v="-51.51"/>
    <n v="1629"/>
    <n v="1"/>
    <n v="1"/>
  </r>
  <r>
    <m/>
    <m/>
    <x v="1"/>
    <s v="51335971001001"/>
    <n v="-27.86"/>
    <n v="881"/>
    <n v="1"/>
    <n v="1"/>
  </r>
  <r>
    <m/>
    <m/>
    <x v="1"/>
    <s v="51344791001003"/>
    <n v="-0.73"/>
    <n v="23"/>
    <n v="1"/>
    <n v="1"/>
  </r>
  <r>
    <m/>
    <m/>
    <x v="1"/>
    <s v="51351441001005"/>
    <n v="-0.73"/>
    <n v="23"/>
    <n v="1"/>
    <n v="1"/>
  </r>
  <r>
    <m/>
    <m/>
    <x v="1"/>
    <s v="51386021001001"/>
    <n v="-3.07"/>
    <n v="97"/>
    <n v="1"/>
    <n v="1"/>
  </r>
  <r>
    <m/>
    <m/>
    <x v="1"/>
    <s v="51405131001001"/>
    <n v="-13.6"/>
    <n v="430"/>
    <n v="1"/>
    <n v="1"/>
  </r>
  <r>
    <m/>
    <m/>
    <x v="1"/>
    <s v="51416681001001"/>
    <n v="-18.850000000000001"/>
    <n v="596"/>
    <n v="1"/>
    <n v="1"/>
  </r>
  <r>
    <m/>
    <m/>
    <x v="1"/>
    <s v="51456371002001"/>
    <n v="-0.44"/>
    <n v="14"/>
    <n v="1"/>
    <n v="1"/>
  </r>
  <r>
    <m/>
    <m/>
    <x v="1"/>
    <s v="51462741002002"/>
    <n v="-25.689999999999998"/>
    <n v="820"/>
    <n v="2"/>
    <n v="1"/>
  </r>
  <r>
    <m/>
    <m/>
    <x v="1"/>
    <s v="51513351001001"/>
    <n v="-12.9"/>
    <n v="408"/>
    <n v="1"/>
    <n v="1"/>
  </r>
  <r>
    <m/>
    <m/>
    <x v="1"/>
    <s v="51514331001001"/>
    <n v="-7.81"/>
    <n v="247"/>
    <n v="1"/>
    <n v="1"/>
  </r>
  <r>
    <m/>
    <m/>
    <x v="1"/>
    <s v="51519861001003"/>
    <n v="-11.86"/>
    <n v="375"/>
    <n v="1"/>
    <n v="1"/>
  </r>
  <r>
    <m/>
    <m/>
    <x v="1"/>
    <s v="51525601001002"/>
    <n v="-2.25"/>
    <n v="71"/>
    <n v="1"/>
    <n v="1"/>
  </r>
  <r>
    <m/>
    <m/>
    <x v="1"/>
    <s v="51529534001001"/>
    <n v="-8.5399999999999991"/>
    <n v="270"/>
    <n v="1"/>
    <n v="1"/>
  </r>
  <r>
    <m/>
    <m/>
    <x v="1"/>
    <s v="51531201001001"/>
    <n v="-2.66"/>
    <n v="84"/>
    <n v="1"/>
    <n v="1"/>
  </r>
  <r>
    <m/>
    <m/>
    <x v="1"/>
    <s v="51536031001001"/>
    <n v="-6.48"/>
    <n v="205"/>
    <n v="1"/>
    <n v="1"/>
  </r>
  <r>
    <m/>
    <m/>
    <x v="1"/>
    <s v="51555701001005"/>
    <n v="-13.6"/>
    <n v="430"/>
    <n v="1"/>
    <n v="1"/>
  </r>
  <r>
    <m/>
    <m/>
    <x v="1"/>
    <s v="51560951001001"/>
    <n v="-9.58"/>
    <n v="303"/>
    <n v="1"/>
    <n v="1"/>
  </r>
  <r>
    <m/>
    <m/>
    <x v="1"/>
    <s v="51567531001002"/>
    <n v="-6.17"/>
    <n v="195"/>
    <n v="1"/>
    <n v="1"/>
  </r>
  <r>
    <m/>
    <m/>
    <x v="1"/>
    <s v="51578031001001"/>
    <n v="-11.41"/>
    <n v="361"/>
    <n v="1"/>
    <n v="1"/>
  </r>
  <r>
    <m/>
    <m/>
    <x v="1"/>
    <s v="51579291002005"/>
    <n v="-18.059999999999999"/>
    <n v="571"/>
    <n v="1"/>
    <n v="1"/>
  </r>
  <r>
    <m/>
    <m/>
    <x v="1"/>
    <s v="51591471001001"/>
    <n v="-2.56"/>
    <n v="81"/>
    <n v="1"/>
    <n v="1"/>
  </r>
  <r>
    <m/>
    <m/>
    <x v="1"/>
    <s v="51593291002001"/>
    <n v="-10.47"/>
    <n v="331"/>
    <n v="1"/>
    <n v="1"/>
  </r>
  <r>
    <m/>
    <m/>
    <x v="1"/>
    <s v="51603091001001"/>
    <n v="-11.76"/>
    <n v="372"/>
    <n v="1"/>
    <n v="1"/>
  </r>
  <r>
    <m/>
    <m/>
    <x v="1"/>
    <s v="51603441001001"/>
    <n v="-11.32"/>
    <n v="358"/>
    <n v="1"/>
    <n v="1"/>
  </r>
  <r>
    <m/>
    <m/>
    <x v="1"/>
    <s v="51616671002003"/>
    <n v="-13.09"/>
    <n v="414"/>
    <n v="1"/>
    <n v="1"/>
  </r>
  <r>
    <m/>
    <m/>
    <x v="1"/>
    <s v="51618981001001"/>
    <n v="-12.68"/>
    <n v="401"/>
    <n v="1"/>
    <n v="1"/>
  </r>
  <r>
    <m/>
    <m/>
    <x v="1"/>
    <s v="51625841001001"/>
    <n v="-4.4000000000000004"/>
    <n v="139"/>
    <n v="1"/>
    <n v="1"/>
  </r>
  <r>
    <m/>
    <m/>
    <x v="1"/>
    <s v="51625911001001"/>
    <n v="-2.85"/>
    <n v="90"/>
    <n v="1"/>
    <n v="1"/>
  </r>
  <r>
    <m/>
    <m/>
    <x v="1"/>
    <s v="51627031001001"/>
    <n v="-7.43"/>
    <n v="235"/>
    <n v="1"/>
    <n v="1"/>
  </r>
  <r>
    <m/>
    <m/>
    <x v="1"/>
    <s v="51709201001002"/>
    <n v="-10.4"/>
    <n v="329"/>
    <n v="1"/>
    <n v="1"/>
  </r>
  <r>
    <m/>
    <m/>
    <x v="1"/>
    <s v="51804380001001"/>
    <n v="-0.44"/>
    <n v="14"/>
    <n v="1"/>
    <n v="1"/>
  </r>
  <r>
    <m/>
    <m/>
    <x v="1"/>
    <s v="51917069001003"/>
    <n v="-6.29"/>
    <n v="201"/>
    <n v="2"/>
    <n v="1"/>
  </r>
  <r>
    <m/>
    <m/>
    <x v="1"/>
    <s v="52150699001001"/>
    <n v="-8.6"/>
    <n v="272"/>
    <n v="1"/>
    <n v="1"/>
  </r>
  <r>
    <m/>
    <m/>
    <x v="1"/>
    <s v="52411414001001"/>
    <n v="-17.07"/>
    <n v="540"/>
    <n v="1"/>
    <n v="1"/>
  </r>
  <r>
    <m/>
    <m/>
    <x v="1"/>
    <s v="52582926001003"/>
    <n v="-21.03"/>
    <n v="665"/>
    <n v="1"/>
    <n v="1"/>
  </r>
  <r>
    <m/>
    <m/>
    <x v="1"/>
    <s v="52724555001001"/>
    <n v="-43.89"/>
    <n v="1401"/>
    <n v="2"/>
    <n v="1"/>
  </r>
  <r>
    <m/>
    <m/>
    <x v="1"/>
    <s v="53001899001007"/>
    <n v="-34.97"/>
    <n v="1106"/>
    <n v="1"/>
    <n v="1"/>
  </r>
  <r>
    <m/>
    <m/>
    <x v="1"/>
    <s v="53097867001003"/>
    <n v="-1.64"/>
    <n v="52"/>
    <n v="1"/>
    <n v="1"/>
  </r>
  <r>
    <m/>
    <m/>
    <x v="1"/>
    <s v="53296048001001"/>
    <n v="-7.05"/>
    <n v="223"/>
    <n v="1"/>
    <n v="1"/>
  </r>
  <r>
    <m/>
    <m/>
    <x v="1"/>
    <s v="53307067003008"/>
    <n v="-5.98"/>
    <n v="189"/>
    <n v="1"/>
    <n v="1"/>
  </r>
  <r>
    <m/>
    <m/>
    <x v="1"/>
    <s v="53358702001003"/>
    <n v="-0.76"/>
    <n v="24"/>
    <n v="1"/>
    <n v="1"/>
  </r>
  <r>
    <m/>
    <m/>
    <x v="1"/>
    <s v="53400662001001"/>
    <n v="-30.07"/>
    <n v="960"/>
    <n v="2"/>
    <n v="1"/>
  </r>
  <r>
    <m/>
    <m/>
    <x v="1"/>
    <s v="53513269001001"/>
    <n v="-5.7600000000000007"/>
    <n v="183"/>
    <n v="2"/>
    <n v="1"/>
  </r>
  <r>
    <m/>
    <m/>
    <x v="1"/>
    <s v="53697250001001"/>
    <n v="-6.29"/>
    <n v="199"/>
    <n v="1"/>
    <n v="1"/>
  </r>
  <r>
    <m/>
    <m/>
    <x v="1"/>
    <s v="53915118004001"/>
    <n v="-19.16"/>
    <n v="606"/>
    <n v="1"/>
    <n v="1"/>
  </r>
  <r>
    <m/>
    <m/>
    <x v="1"/>
    <s v="54346046001001"/>
    <n v="-18.34"/>
    <n v="580"/>
    <n v="1"/>
    <n v="1"/>
  </r>
  <r>
    <m/>
    <m/>
    <x v="1"/>
    <s v="54684255001001"/>
    <n v="-11.26"/>
    <n v="356"/>
    <n v="1"/>
    <n v="1"/>
  </r>
  <r>
    <m/>
    <m/>
    <x v="1"/>
    <s v="54706933001001"/>
    <n v="-1.58"/>
    <n v="50"/>
    <n v="1"/>
    <n v="1"/>
  </r>
  <r>
    <m/>
    <m/>
    <x v="1"/>
    <s v="54980338001003"/>
    <n v="-12.96"/>
    <n v="410"/>
    <n v="1"/>
    <n v="1"/>
  </r>
  <r>
    <m/>
    <m/>
    <x v="1"/>
    <s v="55116401001003"/>
    <n v="-23.03"/>
    <n v="732"/>
    <n v="2"/>
    <n v="1"/>
  </r>
  <r>
    <m/>
    <m/>
    <x v="1"/>
    <s v="55334382001001"/>
    <n v="-32.96"/>
    <n v="1052"/>
    <n v="2"/>
    <n v="1"/>
  </r>
  <r>
    <m/>
    <m/>
    <x v="1"/>
    <s v="55371499001001"/>
    <n v="-10.85"/>
    <n v="343"/>
    <n v="1"/>
    <n v="1"/>
  </r>
  <r>
    <m/>
    <m/>
    <x v="1"/>
    <s v="56095941001001"/>
    <n v="-7.72"/>
    <n v="244"/>
    <n v="1"/>
    <n v="1"/>
  </r>
  <r>
    <m/>
    <m/>
    <x v="1"/>
    <s v="56940246001005"/>
    <n v="-13.91"/>
    <n v="442"/>
    <n v="2"/>
    <n v="1"/>
  </r>
  <r>
    <m/>
    <m/>
    <x v="1"/>
    <s v="57023876001009"/>
    <n v="-13.41"/>
    <n v="424"/>
    <n v="1"/>
    <n v="1"/>
  </r>
  <r>
    <m/>
    <m/>
    <x v="1"/>
    <s v="57038793001001"/>
    <n v="-57.86"/>
    <n v="1830"/>
    <n v="1"/>
    <n v="1"/>
  </r>
  <r>
    <m/>
    <m/>
    <x v="1"/>
    <s v="57157582001007"/>
    <n v="-8.68"/>
    <n v="276"/>
    <n v="2"/>
    <n v="1"/>
  </r>
  <r>
    <m/>
    <m/>
    <x v="1"/>
    <s v="57422963001002"/>
    <n v="-7.72"/>
    <n v="244"/>
    <n v="1"/>
    <n v="1"/>
  </r>
  <r>
    <m/>
    <m/>
    <x v="1"/>
    <s v="57564327001001"/>
    <n v="-8.5499999999999989"/>
    <n v="273"/>
    <n v="2"/>
    <n v="1"/>
  </r>
  <r>
    <m/>
    <m/>
    <x v="1"/>
    <s v="57674970002001"/>
    <n v="-26.24"/>
    <n v="830"/>
    <n v="1"/>
    <n v="1"/>
  </r>
  <r>
    <m/>
    <m/>
    <x v="1"/>
    <s v="57703524001001"/>
    <n v="-3.51"/>
    <n v="111"/>
    <n v="1"/>
    <n v="1"/>
  </r>
  <r>
    <m/>
    <m/>
    <x v="1"/>
    <s v="57722519001003"/>
    <n v="-0.47"/>
    <n v="15"/>
    <n v="2"/>
    <n v="1"/>
  </r>
  <r>
    <m/>
    <m/>
    <x v="1"/>
    <s v="57785781001002"/>
    <n v="-34.869999999999997"/>
    <n v="1108"/>
    <n v="2"/>
    <n v="1"/>
  </r>
  <r>
    <m/>
    <m/>
    <x v="1"/>
    <s v="57810254001002"/>
    <n v="-12.33"/>
    <n v="390"/>
    <n v="1"/>
    <n v="1"/>
  </r>
  <r>
    <m/>
    <m/>
    <x v="1"/>
    <s v="58035525001001"/>
    <n v="-2.66"/>
    <n v="84"/>
    <n v="1"/>
    <n v="1"/>
  </r>
  <r>
    <m/>
    <m/>
    <x v="1"/>
    <s v="58232265001001"/>
    <n v="-6.86"/>
    <n v="217"/>
    <n v="1"/>
    <n v="1"/>
  </r>
  <r>
    <m/>
    <m/>
    <x v="1"/>
    <s v="58442302001005"/>
    <n v="-16.22"/>
    <n v="513"/>
    <n v="1"/>
    <n v="1"/>
  </r>
  <r>
    <m/>
    <m/>
    <x v="1"/>
    <s v="58478126001001"/>
    <n v="-31.54"/>
    <n v="1002"/>
    <n v="2"/>
    <n v="1"/>
  </r>
  <r>
    <m/>
    <m/>
    <x v="1"/>
    <s v="58515961004001"/>
    <n v="-0.76"/>
    <n v="24"/>
    <n v="1"/>
    <n v="1"/>
  </r>
  <r>
    <m/>
    <m/>
    <x v="1"/>
    <s v="58591973002001"/>
    <n v="-14.55"/>
    <n v="460"/>
    <n v="1"/>
    <n v="1"/>
  </r>
  <r>
    <m/>
    <m/>
    <x v="1"/>
    <s v="58719680001001"/>
    <n v="-6.55"/>
    <n v="207"/>
    <n v="1"/>
    <n v="1"/>
  </r>
  <r>
    <m/>
    <m/>
    <x v="1"/>
    <s v="58909021001001"/>
    <n v="-2.8899999999999997"/>
    <n v="92"/>
    <n v="2"/>
    <n v="1"/>
  </r>
  <r>
    <m/>
    <m/>
    <x v="1"/>
    <s v="59184633002001"/>
    <n v="-7.68"/>
    <n v="243"/>
    <n v="1"/>
    <n v="1"/>
  </r>
  <r>
    <m/>
    <m/>
    <x v="1"/>
    <s v="59521833001010"/>
    <n v="-49.589999999999996"/>
    <n v="1583"/>
    <n v="2"/>
    <n v="1"/>
  </r>
  <r>
    <m/>
    <m/>
    <x v="1"/>
    <s v="59739422001001"/>
    <n v="-1.61"/>
    <n v="51"/>
    <n v="1"/>
    <n v="1"/>
  </r>
  <r>
    <m/>
    <m/>
    <x v="1"/>
    <s v="60111846001007"/>
    <n v="-5.44"/>
    <n v="172"/>
    <n v="1"/>
    <n v="1"/>
  </r>
  <r>
    <m/>
    <m/>
    <x v="1"/>
    <s v="60167588001001"/>
    <n v="-4.55"/>
    <n v="144"/>
    <n v="1"/>
    <n v="1"/>
  </r>
  <r>
    <m/>
    <m/>
    <x v="1"/>
    <s v="60524809001001"/>
    <n v="-9.61"/>
    <n v="304"/>
    <n v="1"/>
    <n v="1"/>
  </r>
  <r>
    <m/>
    <m/>
    <x v="1"/>
    <s v="60536331001001"/>
    <n v="-1.83"/>
    <n v="58"/>
    <n v="1"/>
    <n v="1"/>
  </r>
  <r>
    <m/>
    <m/>
    <x v="1"/>
    <s v="60599585001001"/>
    <n v="-2.85"/>
    <n v="90"/>
    <n v="1"/>
    <n v="1"/>
  </r>
  <r>
    <m/>
    <m/>
    <x v="1"/>
    <s v="60623325001001"/>
    <n v="-1.52"/>
    <n v="48"/>
    <n v="1"/>
    <n v="1"/>
  </r>
  <r>
    <m/>
    <m/>
    <x v="1"/>
    <s v="60784386002002"/>
    <n v="-5.28"/>
    <n v="167"/>
    <n v="1"/>
    <n v="1"/>
  </r>
  <r>
    <m/>
    <m/>
    <x v="1"/>
    <s v="60957175001001"/>
    <n v="-4.1100000000000003"/>
    <n v="130"/>
    <n v="1"/>
    <n v="1"/>
  </r>
  <r>
    <m/>
    <m/>
    <x v="1"/>
    <s v="61188221002001"/>
    <n v="-29.41"/>
    <n v="930"/>
    <n v="1"/>
    <n v="1"/>
  </r>
  <r>
    <m/>
    <m/>
    <x v="1"/>
    <s v="61241854001001"/>
    <n v="-18.729999999999997"/>
    <n v="598"/>
    <n v="2"/>
    <n v="1"/>
  </r>
  <r>
    <m/>
    <m/>
    <x v="1"/>
    <s v="61308081001001"/>
    <n v="-9.01"/>
    <n v="285"/>
    <n v="1"/>
    <n v="1"/>
  </r>
  <r>
    <m/>
    <m/>
    <x v="1"/>
    <s v="61372423001001"/>
    <n v="-11.48"/>
    <n v="363"/>
    <n v="1"/>
    <n v="1"/>
  </r>
  <r>
    <m/>
    <m/>
    <x v="1"/>
    <s v="61387272001001"/>
    <n v="-1.01"/>
    <n v="32"/>
    <n v="1"/>
    <n v="1"/>
  </r>
  <r>
    <m/>
    <m/>
    <x v="1"/>
    <s v="61514360001001"/>
    <n v="-1.2"/>
    <n v="38"/>
    <n v="1"/>
    <n v="1"/>
  </r>
  <r>
    <m/>
    <m/>
    <x v="1"/>
    <s v="61614836001001"/>
    <n v="-14.45"/>
    <n v="457"/>
    <n v="1"/>
    <n v="1"/>
  </r>
  <r>
    <m/>
    <m/>
    <x v="1"/>
    <s v="61919998001001"/>
    <n v="-0.47"/>
    <n v="15"/>
    <n v="1"/>
    <n v="1"/>
  </r>
  <r>
    <m/>
    <m/>
    <x v="1"/>
    <s v="62230536001003"/>
    <n v="-62.69"/>
    <n v="2001"/>
    <n v="2"/>
    <n v="1"/>
  </r>
  <r>
    <m/>
    <m/>
    <x v="1"/>
    <s v="62263204001001"/>
    <n v="-45.98"/>
    <n v="1461"/>
    <n v="2"/>
    <n v="1"/>
  </r>
  <r>
    <m/>
    <m/>
    <x v="1"/>
    <s v="62305746001001"/>
    <n v="-11.23"/>
    <n v="355"/>
    <n v="1"/>
    <n v="1"/>
  </r>
  <r>
    <m/>
    <m/>
    <x v="1"/>
    <s v="62483712001004"/>
    <n v="-4.84"/>
    <n v="153"/>
    <n v="1"/>
    <n v="1"/>
  </r>
  <r>
    <m/>
    <m/>
    <x v="1"/>
    <s v="62498679001005"/>
    <n v="-0.6"/>
    <n v="19"/>
    <n v="1"/>
    <n v="1"/>
  </r>
  <r>
    <m/>
    <m/>
    <x v="1"/>
    <s v="62873190001003"/>
    <n v="-1.1100000000000001"/>
    <n v="35"/>
    <n v="1"/>
    <n v="1"/>
  </r>
  <r>
    <m/>
    <m/>
    <x v="1"/>
    <s v="63196464001001"/>
    <n v="-28.74"/>
    <n v="913"/>
    <n v="2"/>
    <n v="1"/>
  </r>
  <r>
    <m/>
    <m/>
    <x v="1"/>
    <s v="63212679001001"/>
    <n v="-14.45"/>
    <n v="459"/>
    <n v="2"/>
    <n v="1"/>
  </r>
  <r>
    <m/>
    <m/>
    <x v="1"/>
    <s v="63847291001002"/>
    <n v="-33.33"/>
    <n v="1064"/>
    <n v="2"/>
    <n v="1"/>
  </r>
  <r>
    <m/>
    <m/>
    <x v="1"/>
    <s v="63898256001003"/>
    <n v="-7.34"/>
    <n v="232"/>
    <n v="1"/>
    <n v="1"/>
  </r>
  <r>
    <m/>
    <m/>
    <x v="1"/>
    <s v="64399841001001"/>
    <n v="-0.35"/>
    <n v="11"/>
    <n v="1"/>
    <n v="1"/>
  </r>
  <r>
    <m/>
    <m/>
    <x v="1"/>
    <s v="64587795001002"/>
    <n v="-7.27"/>
    <n v="230"/>
    <n v="1"/>
    <n v="1"/>
  </r>
  <r>
    <m/>
    <m/>
    <x v="1"/>
    <s v="64700335001001"/>
    <n v="-31.97"/>
    <n v="1011"/>
    <n v="1"/>
    <n v="1"/>
  </r>
  <r>
    <m/>
    <m/>
    <x v="1"/>
    <s v="64802495002001"/>
    <n v="-4.68"/>
    <n v="148"/>
    <n v="1"/>
    <n v="1"/>
  </r>
  <r>
    <m/>
    <m/>
    <x v="1"/>
    <s v="64826160001001"/>
    <n v="-0.38"/>
    <n v="12"/>
    <n v="1"/>
    <n v="1"/>
  </r>
  <r>
    <m/>
    <m/>
    <x v="1"/>
    <s v="64995258001006"/>
    <n v="-4.5199999999999996"/>
    <n v="143"/>
    <n v="1"/>
    <n v="1"/>
  </r>
  <r>
    <m/>
    <m/>
    <x v="1"/>
    <s v="65001066001001"/>
    <n v="-11.19"/>
    <n v="354"/>
    <n v="1"/>
    <n v="1"/>
  </r>
  <r>
    <m/>
    <m/>
    <x v="1"/>
    <s v="65039500002001"/>
    <n v="-12.19"/>
    <n v="389"/>
    <n v="2"/>
    <n v="1"/>
  </r>
  <r>
    <m/>
    <m/>
    <x v="1"/>
    <s v="65413433002001"/>
    <n v="-4.62"/>
    <n v="146"/>
    <n v="1"/>
    <n v="1"/>
  </r>
  <r>
    <m/>
    <m/>
    <x v="1"/>
    <s v="65474469002008"/>
    <n v="-3.1"/>
    <n v="98"/>
    <n v="1"/>
    <n v="1"/>
  </r>
  <r>
    <m/>
    <m/>
    <x v="1"/>
    <s v="65633759004001"/>
    <n v="-4.3"/>
    <n v="136"/>
    <n v="1"/>
    <n v="1"/>
  </r>
  <r>
    <m/>
    <m/>
    <x v="1"/>
    <s v="65715070001003"/>
    <n v="-3.83"/>
    <n v="121"/>
    <n v="1"/>
    <n v="1"/>
  </r>
  <r>
    <m/>
    <m/>
    <x v="1"/>
    <s v="65721814002001"/>
    <n v="-1.04"/>
    <n v="33"/>
    <n v="1"/>
    <n v="1"/>
  </r>
  <r>
    <m/>
    <m/>
    <x v="1"/>
    <s v="65840761001001"/>
    <n v="-7.56"/>
    <n v="239"/>
    <n v="1"/>
    <n v="1"/>
  </r>
  <r>
    <m/>
    <m/>
    <x v="1"/>
    <s v="66035608002005"/>
    <n v="-11.7"/>
    <n v="370"/>
    <n v="1"/>
    <n v="1"/>
  </r>
  <r>
    <m/>
    <m/>
    <x v="1"/>
    <s v="66054732001002"/>
    <n v="-0.41"/>
    <n v="13"/>
    <n v="1"/>
    <n v="1"/>
  </r>
  <r>
    <m/>
    <m/>
    <x v="1"/>
    <s v="66122783001004"/>
    <n v="-2.69"/>
    <n v="85"/>
    <n v="1"/>
    <n v="1"/>
  </r>
  <r>
    <m/>
    <m/>
    <x v="1"/>
    <s v="66355473001004"/>
    <n v="-6.2"/>
    <n v="196"/>
    <n v="1"/>
    <n v="1"/>
  </r>
  <r>
    <m/>
    <m/>
    <x v="1"/>
    <s v="66682187001001"/>
    <n v="-22.51"/>
    <n v="712"/>
    <n v="1"/>
    <n v="1"/>
  </r>
  <r>
    <m/>
    <m/>
    <x v="1"/>
    <s v="66846616001003"/>
    <n v="-16.61"/>
    <n v="528"/>
    <n v="2"/>
    <n v="1"/>
  </r>
  <r>
    <m/>
    <m/>
    <x v="1"/>
    <s v="67052660001005"/>
    <n v="-0.82"/>
    <n v="26"/>
    <n v="1"/>
    <n v="1"/>
  </r>
  <r>
    <m/>
    <m/>
    <x v="1"/>
    <s v="67306787001001"/>
    <n v="-16.850000000000001"/>
    <n v="533"/>
    <n v="1"/>
    <n v="1"/>
  </r>
  <r>
    <m/>
    <m/>
    <x v="1"/>
    <s v="67575902001001"/>
    <n v="-21.56"/>
    <n v="682"/>
    <n v="1"/>
    <n v="1"/>
  </r>
  <r>
    <m/>
    <m/>
    <x v="1"/>
    <s v="67923885001001"/>
    <n v="-1.49"/>
    <n v="47"/>
    <n v="1"/>
    <n v="1"/>
  </r>
  <r>
    <m/>
    <m/>
    <x v="1"/>
    <s v="68039419001001"/>
    <n v="-15.84"/>
    <n v="501"/>
    <n v="1"/>
    <n v="1"/>
  </r>
  <r>
    <m/>
    <m/>
    <x v="1"/>
    <s v="68082611001001"/>
    <n v="-20.05"/>
    <n v="634"/>
    <n v="1"/>
    <n v="1"/>
  </r>
  <r>
    <m/>
    <m/>
    <x v="1"/>
    <s v="68107039001001"/>
    <n v="-23.37"/>
    <n v="739"/>
    <n v="1"/>
    <n v="1"/>
  </r>
  <r>
    <m/>
    <m/>
    <x v="1"/>
    <s v="68173550001001"/>
    <n v="-10.4"/>
    <n v="329"/>
    <n v="1"/>
    <n v="1"/>
  </r>
  <r>
    <m/>
    <m/>
    <x v="1"/>
    <s v="68316005001001"/>
    <n v="-2.4"/>
    <n v="76"/>
    <n v="1"/>
    <n v="1"/>
  </r>
  <r>
    <m/>
    <m/>
    <x v="1"/>
    <s v="68333351001002"/>
    <n v="-5.28"/>
    <n v="167"/>
    <n v="1"/>
    <n v="1"/>
  </r>
  <r>
    <m/>
    <m/>
    <x v="1"/>
    <s v="68338933001001"/>
    <n v="-18.47"/>
    <n v="584"/>
    <n v="1"/>
    <n v="1"/>
  </r>
  <r>
    <m/>
    <m/>
    <x v="1"/>
    <s v="68624650001002"/>
    <n v="-5.12"/>
    <n v="162"/>
    <n v="1"/>
    <n v="1"/>
  </r>
  <r>
    <m/>
    <m/>
    <x v="1"/>
    <s v="68711288001003"/>
    <n v="-6.29"/>
    <n v="199"/>
    <n v="1"/>
    <n v="1"/>
  </r>
  <r>
    <m/>
    <m/>
    <x v="1"/>
    <s v="68837584001003"/>
    <n v="-0.28000000000000003"/>
    <n v="9"/>
    <n v="1"/>
    <n v="1"/>
  </r>
  <r>
    <m/>
    <m/>
    <x v="1"/>
    <s v="68970693003001"/>
    <n v="-32.36"/>
    <n v="1028"/>
    <n v="2"/>
    <n v="1"/>
  </r>
  <r>
    <m/>
    <m/>
    <x v="1"/>
    <s v="69172909001001"/>
    <n v="-8.06"/>
    <n v="255"/>
    <n v="1"/>
    <n v="1"/>
  </r>
  <r>
    <m/>
    <m/>
    <x v="1"/>
    <s v="69182870001007"/>
    <n v="-25.14"/>
    <n v="795"/>
    <n v="1"/>
    <n v="1"/>
  </r>
  <r>
    <m/>
    <m/>
    <x v="1"/>
    <s v="69208025001001"/>
    <n v="-6.32"/>
    <n v="200"/>
    <n v="1"/>
    <n v="1"/>
  </r>
  <r>
    <m/>
    <m/>
    <x v="1"/>
    <s v="69340720001002"/>
    <n v="-4.58"/>
    <n v="145"/>
    <n v="1"/>
    <n v="1"/>
  </r>
  <r>
    <m/>
    <m/>
    <x v="1"/>
    <s v="69542400001002"/>
    <n v="-7.27"/>
    <n v="230"/>
    <n v="1"/>
    <n v="1"/>
  </r>
  <r>
    <m/>
    <m/>
    <x v="1"/>
    <s v="69906946003001"/>
    <n v="-2.69"/>
    <n v="85"/>
    <n v="1"/>
    <n v="1"/>
  </r>
  <r>
    <m/>
    <m/>
    <x v="1"/>
    <s v="69992827001001"/>
    <n v="-10.91"/>
    <n v="345"/>
    <n v="1"/>
    <n v="1"/>
  </r>
  <r>
    <m/>
    <m/>
    <x v="1"/>
    <s v="70557497004001"/>
    <n v="-10.18"/>
    <n v="322"/>
    <n v="1"/>
    <n v="1"/>
  </r>
  <r>
    <m/>
    <m/>
    <x v="1"/>
    <s v="70566844001001"/>
    <n v="-15.62"/>
    <n v="494"/>
    <n v="1"/>
    <n v="1"/>
  </r>
  <r>
    <m/>
    <m/>
    <x v="1"/>
    <s v="70930301001003"/>
    <n v="-40.950000000000003"/>
    <n v="1295"/>
    <n v="1"/>
    <n v="1"/>
  </r>
  <r>
    <m/>
    <m/>
    <x v="1"/>
    <s v="71726966001001"/>
    <n v="-6.67"/>
    <n v="211"/>
    <n v="1"/>
    <n v="1"/>
  </r>
  <r>
    <m/>
    <m/>
    <x v="1"/>
    <s v="71895732001001"/>
    <n v="-1.58"/>
    <n v="50"/>
    <n v="1"/>
    <n v="1"/>
  </r>
  <r>
    <m/>
    <m/>
    <x v="1"/>
    <s v="71897700001003"/>
    <n v="-2.02"/>
    <n v="64"/>
    <n v="1"/>
    <n v="1"/>
  </r>
  <r>
    <m/>
    <m/>
    <x v="1"/>
    <s v="71925425001001"/>
    <n v="-0.92"/>
    <n v="29"/>
    <n v="1"/>
    <n v="1"/>
  </r>
  <r>
    <m/>
    <m/>
    <x v="1"/>
    <s v="72021826001002"/>
    <n v="-66.430000000000007"/>
    <n v="2101"/>
    <n v="1"/>
    <n v="1"/>
  </r>
  <r>
    <m/>
    <m/>
    <x v="1"/>
    <s v="72706041002001"/>
    <n v="-7.37"/>
    <n v="233"/>
    <n v="1"/>
    <n v="1"/>
  </r>
  <r>
    <m/>
    <m/>
    <x v="1"/>
    <s v="72820369001003"/>
    <n v="-40.130000000000003"/>
    <n v="1269"/>
    <n v="1"/>
    <n v="1"/>
  </r>
  <r>
    <m/>
    <m/>
    <x v="1"/>
    <s v="73391974001001"/>
    <n v="-13.98"/>
    <n v="442"/>
    <n v="1"/>
    <n v="1"/>
  </r>
  <r>
    <m/>
    <m/>
    <x v="1"/>
    <s v="73497461001001"/>
    <n v="-41.63"/>
    <n v="1329"/>
    <n v="2"/>
    <n v="1"/>
  </r>
  <r>
    <m/>
    <m/>
    <x v="1"/>
    <s v="73932323001001"/>
    <n v="-2.56"/>
    <n v="81"/>
    <n v="1"/>
    <n v="1"/>
  </r>
  <r>
    <m/>
    <m/>
    <x v="1"/>
    <s v="74369035001005"/>
    <n v="-0.95"/>
    <n v="30"/>
    <n v="1"/>
    <n v="1"/>
  </r>
  <r>
    <m/>
    <m/>
    <x v="1"/>
    <s v="74657239001002"/>
    <n v="-2.91"/>
    <n v="92"/>
    <n v="1"/>
    <n v="1"/>
  </r>
  <r>
    <m/>
    <m/>
    <x v="1"/>
    <s v="74792156002002"/>
    <n v="-31.43"/>
    <n v="994"/>
    <n v="1"/>
    <n v="1"/>
  </r>
  <r>
    <m/>
    <m/>
    <x v="1"/>
    <s v="74797014002001"/>
    <n v="-8.44"/>
    <n v="267"/>
    <n v="1"/>
    <n v="1"/>
  </r>
  <r>
    <m/>
    <m/>
    <x v="1"/>
    <s v="75290016001010"/>
    <n v="-0.73"/>
    <n v="23"/>
    <n v="1"/>
    <n v="1"/>
  </r>
  <r>
    <m/>
    <m/>
    <x v="1"/>
    <s v="75599421001001"/>
    <n v="-8.0299999999999994"/>
    <n v="254"/>
    <n v="1"/>
    <n v="1"/>
  </r>
  <r>
    <m/>
    <m/>
    <x v="1"/>
    <s v="76471101001001"/>
    <n v="-19.38"/>
    <n v="613"/>
    <n v="1"/>
    <n v="1"/>
  </r>
  <r>
    <m/>
    <m/>
    <x v="1"/>
    <s v="76556293001005"/>
    <n v="-54.29"/>
    <n v="1733"/>
    <n v="2"/>
    <n v="1"/>
  </r>
  <r>
    <m/>
    <m/>
    <x v="1"/>
    <s v="76713060001001"/>
    <n v="-1.74"/>
    <n v="55"/>
    <n v="1"/>
    <n v="1"/>
  </r>
  <r>
    <m/>
    <m/>
    <x v="1"/>
    <s v="76882051001001"/>
    <n v="-7.3"/>
    <n v="231"/>
    <n v="1"/>
    <n v="1"/>
  </r>
  <r>
    <m/>
    <m/>
    <x v="1"/>
    <s v="77034079001001"/>
    <n v="-7.81"/>
    <n v="247"/>
    <n v="1"/>
    <n v="1"/>
  </r>
  <r>
    <m/>
    <m/>
    <x v="1"/>
    <s v="77152442001008"/>
    <n v="-9.33"/>
    <n v="295"/>
    <n v="1"/>
    <n v="1"/>
  </r>
  <r>
    <m/>
    <m/>
    <x v="1"/>
    <s v="77312333001001"/>
    <n v="-4.1100000000000003"/>
    <n v="130"/>
    <n v="1"/>
    <n v="1"/>
  </r>
  <r>
    <m/>
    <m/>
    <x v="1"/>
    <s v="77375643003003"/>
    <n v="-8.35"/>
    <n v="264"/>
    <n v="1"/>
    <n v="1"/>
  </r>
  <r>
    <m/>
    <m/>
    <x v="1"/>
    <s v="77922884001002"/>
    <n v="-13.15"/>
    <n v="416"/>
    <n v="1"/>
    <n v="1"/>
  </r>
  <r>
    <m/>
    <m/>
    <x v="1"/>
    <s v="77981276001001"/>
    <n v="-11.34"/>
    <n v="362"/>
    <n v="2"/>
    <n v="1"/>
  </r>
  <r>
    <m/>
    <m/>
    <x v="1"/>
    <s v="78102550001004"/>
    <n v="-7.15"/>
    <n v="226"/>
    <n v="1"/>
    <n v="1"/>
  </r>
  <r>
    <m/>
    <m/>
    <x v="1"/>
    <s v="78258113001003"/>
    <n v="-4.46"/>
    <n v="141"/>
    <n v="1"/>
    <n v="1"/>
  </r>
  <r>
    <m/>
    <m/>
    <x v="1"/>
    <s v="78272932003017"/>
    <n v="-1.71"/>
    <n v="54"/>
    <n v="1"/>
    <n v="1"/>
  </r>
  <r>
    <m/>
    <m/>
    <x v="1"/>
    <s v="78360766001001"/>
    <n v="-49.11"/>
    <n v="1553"/>
    <n v="1"/>
    <n v="1"/>
  </r>
  <r>
    <m/>
    <m/>
    <x v="1"/>
    <s v="78465175004001"/>
    <n v="-25.779999999999998"/>
    <n v="823"/>
    <n v="2"/>
    <n v="1"/>
  </r>
  <r>
    <m/>
    <m/>
    <x v="1"/>
    <s v="79019455001003"/>
    <n v="-8.6999999999999993"/>
    <n v="275"/>
    <n v="1"/>
    <n v="1"/>
  </r>
  <r>
    <m/>
    <m/>
    <x v="1"/>
    <s v="79256766001003"/>
    <n v="-5.04"/>
    <n v="161"/>
    <n v="2"/>
    <n v="1"/>
  </r>
  <r>
    <m/>
    <m/>
    <x v="1"/>
    <s v="79557576001005"/>
    <n v="-24.76"/>
    <n v="783"/>
    <n v="1"/>
    <n v="1"/>
  </r>
  <r>
    <m/>
    <m/>
    <x v="1"/>
    <s v="79713989002001"/>
    <n v="-21.48"/>
    <n v="686"/>
    <n v="2"/>
    <n v="1"/>
  </r>
  <r>
    <m/>
    <m/>
    <x v="1"/>
    <s v="79758306001002"/>
    <n v="-11.98"/>
    <n v="379"/>
    <n v="1"/>
    <n v="1"/>
  </r>
  <r>
    <m/>
    <m/>
    <x v="1"/>
    <s v="79889145002003"/>
    <n v="-2.4700000000000002"/>
    <n v="78"/>
    <n v="1"/>
    <n v="1"/>
  </r>
  <r>
    <m/>
    <m/>
    <x v="1"/>
    <s v="80168519001003"/>
    <n v="-14.1"/>
    <n v="446"/>
    <n v="1"/>
    <n v="1"/>
  </r>
  <r>
    <m/>
    <m/>
    <x v="1"/>
    <s v="80512321001001"/>
    <n v="-6.48"/>
    <n v="205"/>
    <n v="1"/>
    <n v="1"/>
  </r>
  <r>
    <m/>
    <m/>
    <x v="1"/>
    <s v="80725718001001"/>
    <n v="-4.84"/>
    <n v="153"/>
    <n v="1"/>
    <n v="1"/>
  </r>
  <r>
    <m/>
    <m/>
    <x v="1"/>
    <s v="80768782001005"/>
    <n v="-11.73"/>
    <n v="371"/>
    <n v="1"/>
    <n v="1"/>
  </r>
  <r>
    <m/>
    <m/>
    <x v="1"/>
    <s v="81284913001001"/>
    <n v="-1.1100000000000001"/>
    <n v="35"/>
    <n v="1"/>
    <n v="1"/>
  </r>
  <r>
    <m/>
    <m/>
    <x v="1"/>
    <s v="81474097001003"/>
    <n v="-6.29"/>
    <n v="199"/>
    <n v="1"/>
    <n v="1"/>
  </r>
  <r>
    <m/>
    <m/>
    <x v="1"/>
    <s v="81496715001005"/>
    <n v="-38.299999999999997"/>
    <n v="1217"/>
    <n v="2"/>
    <n v="1"/>
  </r>
  <r>
    <m/>
    <m/>
    <x v="1"/>
    <s v="82203094001003"/>
    <n v="-16.850000000000001"/>
    <n v="538"/>
    <n v="2"/>
    <n v="1"/>
  </r>
  <r>
    <m/>
    <m/>
    <x v="1"/>
    <s v="82389671001001"/>
    <n v="-7.34"/>
    <n v="232"/>
    <n v="1"/>
    <n v="1"/>
  </r>
  <r>
    <m/>
    <m/>
    <x v="1"/>
    <s v="82440956001001"/>
    <n v="-0.79"/>
    <n v="25"/>
    <n v="1"/>
    <n v="1"/>
  </r>
  <r>
    <m/>
    <m/>
    <x v="1"/>
    <s v="82705141002001"/>
    <n v="-3.16"/>
    <n v="100"/>
    <n v="1"/>
    <n v="1"/>
  </r>
  <r>
    <m/>
    <m/>
    <x v="1"/>
    <s v="83084544001001"/>
    <n v="-16.98"/>
    <n v="537"/>
    <n v="1"/>
    <n v="1"/>
  </r>
  <r>
    <m/>
    <m/>
    <x v="1"/>
    <s v="83337256001001"/>
    <n v="-12.14"/>
    <n v="386"/>
    <n v="2"/>
    <n v="1"/>
  </r>
  <r>
    <m/>
    <m/>
    <x v="1"/>
    <s v="83701365002001"/>
    <n v="-34.75"/>
    <n v="1099"/>
    <n v="1"/>
    <n v="1"/>
  </r>
  <r>
    <m/>
    <m/>
    <x v="1"/>
    <s v="83710025001001"/>
    <n v="-21.88"/>
    <n v="695"/>
    <n v="2"/>
    <n v="1"/>
  </r>
  <r>
    <m/>
    <m/>
    <x v="1"/>
    <s v="83800275001002"/>
    <n v="-0.41"/>
    <n v="13"/>
    <n v="1"/>
    <n v="1"/>
  </r>
  <r>
    <m/>
    <m/>
    <x v="1"/>
    <s v="83981932001002"/>
    <n v="-5.19"/>
    <n v="164"/>
    <n v="1"/>
    <n v="1"/>
  </r>
  <r>
    <m/>
    <m/>
    <x v="1"/>
    <s v="84173742001001"/>
    <n v="-34.56"/>
    <n v="1093"/>
    <n v="1"/>
    <n v="1"/>
  </r>
  <r>
    <m/>
    <m/>
    <x v="1"/>
    <s v="84562358001001"/>
    <n v="-0.47"/>
    <n v="15"/>
    <n v="2"/>
    <n v="1"/>
  </r>
  <r>
    <m/>
    <m/>
    <x v="1"/>
    <s v="84649205001001"/>
    <n v="-13.31"/>
    <n v="425"/>
    <n v="2"/>
    <n v="1"/>
  </r>
  <r>
    <m/>
    <m/>
    <x v="1"/>
    <s v="85052617001009"/>
    <n v="-1.36"/>
    <n v="43"/>
    <n v="1"/>
    <n v="1"/>
  </r>
  <r>
    <m/>
    <m/>
    <x v="1"/>
    <s v="85306232001001"/>
    <n v="-1.04"/>
    <n v="33"/>
    <n v="1"/>
    <n v="1"/>
  </r>
  <r>
    <m/>
    <m/>
    <x v="1"/>
    <s v="85313155001006"/>
    <n v="-8.16"/>
    <n v="258"/>
    <n v="1"/>
    <n v="1"/>
  </r>
  <r>
    <m/>
    <m/>
    <x v="1"/>
    <s v="85338592002003"/>
    <n v="-10.15"/>
    <n v="321"/>
    <n v="1"/>
    <n v="1"/>
  </r>
  <r>
    <m/>
    <m/>
    <x v="1"/>
    <s v="85384490001002"/>
    <n v="-1.01"/>
    <n v="32"/>
    <n v="1"/>
    <n v="1"/>
  </r>
  <r>
    <m/>
    <m/>
    <x v="1"/>
    <s v="85464036001001"/>
    <n v="-7.18"/>
    <n v="227"/>
    <n v="1"/>
    <n v="1"/>
  </r>
  <r>
    <m/>
    <m/>
    <x v="1"/>
    <s v="85590751001003"/>
    <n v="-0.16"/>
    <n v="5"/>
    <n v="1"/>
    <n v="1"/>
  </r>
  <r>
    <m/>
    <m/>
    <x v="1"/>
    <s v="85655171001003"/>
    <n v="-10.8"/>
    <n v="343"/>
    <n v="2"/>
    <n v="1"/>
  </r>
  <r>
    <m/>
    <m/>
    <x v="1"/>
    <s v="85767727002001"/>
    <n v="-4.58"/>
    <n v="145"/>
    <n v="1"/>
    <n v="1"/>
  </r>
  <r>
    <m/>
    <m/>
    <x v="1"/>
    <s v="85877100003001"/>
    <n v="-0.35"/>
    <n v="11"/>
    <n v="1"/>
    <n v="1"/>
  </r>
  <r>
    <m/>
    <m/>
    <x v="1"/>
    <s v="85995109001001"/>
    <n v="-1.71"/>
    <n v="54"/>
    <n v="1"/>
    <n v="1"/>
  </r>
  <r>
    <m/>
    <m/>
    <x v="1"/>
    <s v="86090490001001"/>
    <n v="-19.600000000000001"/>
    <n v="623"/>
    <n v="2"/>
    <n v="1"/>
  </r>
  <r>
    <m/>
    <m/>
    <x v="1"/>
    <s v="86695884001001"/>
    <n v="-5.53"/>
    <n v="175"/>
    <n v="1"/>
    <n v="1"/>
  </r>
  <r>
    <m/>
    <m/>
    <x v="1"/>
    <s v="86799046001002"/>
    <n v="-18.190000000000001"/>
    <n v="578"/>
    <n v="2"/>
    <n v="1"/>
  </r>
  <r>
    <m/>
    <m/>
    <x v="1"/>
    <s v="86860532001001"/>
    <n v="-0.22"/>
    <n v="7"/>
    <n v="1"/>
    <n v="1"/>
  </r>
  <r>
    <m/>
    <m/>
    <x v="1"/>
    <s v="86965244003001"/>
    <n v="-16.850000000000001"/>
    <n v="538"/>
    <n v="2"/>
    <n v="1"/>
  </r>
  <r>
    <m/>
    <m/>
    <x v="1"/>
    <s v="87080407001006"/>
    <n v="-0.16"/>
    <n v="5"/>
    <n v="1"/>
    <n v="1"/>
  </r>
  <r>
    <m/>
    <m/>
    <x v="1"/>
    <s v="87090986001001"/>
    <n v="-5.34"/>
    <n v="169"/>
    <n v="1"/>
    <n v="1"/>
  </r>
  <r>
    <m/>
    <m/>
    <x v="1"/>
    <s v="87242554001001"/>
    <n v="-0.54"/>
    <n v="17"/>
    <n v="1"/>
    <n v="1"/>
  </r>
  <r>
    <m/>
    <m/>
    <x v="1"/>
    <s v="87432684001003"/>
    <n v="-0.98"/>
    <n v="31"/>
    <n v="1"/>
    <n v="1"/>
  </r>
  <r>
    <m/>
    <m/>
    <x v="1"/>
    <s v="87486491001002"/>
    <n v="-0.97"/>
    <n v="31"/>
    <n v="2"/>
    <n v="1"/>
  </r>
  <r>
    <m/>
    <m/>
    <x v="1"/>
    <s v="87739868002001"/>
    <n v="-12.96"/>
    <n v="410"/>
    <n v="1"/>
    <n v="1"/>
  </r>
  <r>
    <m/>
    <m/>
    <x v="1"/>
    <s v="87795931001003"/>
    <n v="-47.28"/>
    <n v="1509"/>
    <n v="2"/>
    <n v="1"/>
  </r>
  <r>
    <m/>
    <m/>
    <x v="1"/>
    <s v="87902088001001"/>
    <n v="-10.34"/>
    <n v="327"/>
    <n v="1"/>
    <n v="1"/>
  </r>
  <r>
    <m/>
    <m/>
    <x v="1"/>
    <s v="88182721001002"/>
    <n v="-23.490000000000002"/>
    <n v="750"/>
    <n v="2"/>
    <n v="1"/>
  </r>
  <r>
    <m/>
    <m/>
    <x v="1"/>
    <s v="88269625001002"/>
    <n v="-0.95"/>
    <n v="30"/>
    <n v="1"/>
    <n v="1"/>
  </r>
  <r>
    <m/>
    <m/>
    <x v="1"/>
    <s v="88600796001001"/>
    <n v="-10.78"/>
    <n v="344"/>
    <n v="2"/>
    <n v="1"/>
  </r>
  <r>
    <m/>
    <m/>
    <x v="1"/>
    <s v="88795471002001"/>
    <n v="-6.89"/>
    <n v="218"/>
    <n v="1"/>
    <n v="1"/>
  </r>
  <r>
    <m/>
    <m/>
    <x v="1"/>
    <s v="89257123001003"/>
    <n v="-16.22"/>
    <n v="513"/>
    <n v="1"/>
    <n v="1"/>
  </r>
  <r>
    <m/>
    <m/>
    <x v="1"/>
    <s v="89346251001001"/>
    <n v="-1.26"/>
    <n v="40"/>
    <n v="1"/>
    <n v="1"/>
  </r>
  <r>
    <m/>
    <m/>
    <x v="1"/>
    <s v="89354683001001"/>
    <n v="-0.85"/>
    <n v="27"/>
    <n v="1"/>
    <n v="1"/>
  </r>
  <r>
    <m/>
    <m/>
    <x v="1"/>
    <s v="89558586004001"/>
    <n v="-15.4"/>
    <n v="487"/>
    <n v="1"/>
    <n v="1"/>
  </r>
  <r>
    <m/>
    <m/>
    <x v="1"/>
    <s v="89594433002001"/>
    <n v="-3.1"/>
    <n v="98"/>
    <n v="1"/>
    <n v="1"/>
  </r>
  <r>
    <m/>
    <m/>
    <x v="1"/>
    <s v="89804117001001"/>
    <n v="-0.22"/>
    <n v="7"/>
    <n v="2"/>
    <n v="1"/>
  </r>
  <r>
    <m/>
    <m/>
    <x v="1"/>
    <s v="90375862001001"/>
    <n v="-0.19"/>
    <n v="6"/>
    <n v="1"/>
    <n v="1"/>
  </r>
  <r>
    <m/>
    <m/>
    <x v="1"/>
    <s v="90561560001001"/>
    <n v="-47.52"/>
    <n v="1503"/>
    <n v="1"/>
    <n v="1"/>
  </r>
  <r>
    <m/>
    <m/>
    <x v="1"/>
    <s v="90729873001001"/>
    <n v="-4.49"/>
    <n v="142"/>
    <n v="1"/>
    <n v="1"/>
  </r>
  <r>
    <m/>
    <m/>
    <x v="1"/>
    <s v="90940438001001"/>
    <n v="-19.260000000000002"/>
    <n v="609"/>
    <n v="1"/>
    <n v="1"/>
  </r>
  <r>
    <m/>
    <m/>
    <x v="1"/>
    <s v="91059700002001"/>
    <n v="-17.52"/>
    <n v="554"/>
    <n v="1"/>
    <n v="1"/>
  </r>
  <r>
    <m/>
    <m/>
    <x v="1"/>
    <s v="91086693001001"/>
    <n v="-1.23"/>
    <n v="39"/>
    <n v="1"/>
    <n v="1"/>
  </r>
  <r>
    <m/>
    <m/>
    <x v="1"/>
    <s v="91108865001003"/>
    <n v="-10.32"/>
    <n v="328"/>
    <n v="2"/>
    <n v="1"/>
  </r>
  <r>
    <m/>
    <m/>
    <x v="1"/>
    <s v="91142812001003"/>
    <n v="-10.81"/>
    <n v="342"/>
    <n v="1"/>
    <n v="1"/>
  </r>
  <r>
    <m/>
    <m/>
    <x v="1"/>
    <s v="91610458001002"/>
    <n v="-22.42"/>
    <n v="709"/>
    <n v="1"/>
    <n v="1"/>
  </r>
  <r>
    <m/>
    <m/>
    <x v="1"/>
    <s v="91686493001001"/>
    <n v="-11.38"/>
    <n v="360"/>
    <n v="1"/>
    <n v="1"/>
  </r>
  <r>
    <m/>
    <m/>
    <x v="1"/>
    <s v="92228839005001"/>
    <n v="-53.53"/>
    <n v="1693"/>
    <n v="1"/>
    <n v="1"/>
  </r>
  <r>
    <m/>
    <m/>
    <x v="1"/>
    <s v="92588678003003"/>
    <n v="-7.95"/>
    <n v="254"/>
    <n v="2"/>
    <n v="1"/>
  </r>
  <r>
    <m/>
    <m/>
    <x v="1"/>
    <s v="92595774001001"/>
    <n v="-1.77"/>
    <n v="56"/>
    <n v="1"/>
    <n v="1"/>
  </r>
  <r>
    <m/>
    <m/>
    <x v="1"/>
    <s v="92684268001001"/>
    <n v="-6.7299999999999995"/>
    <n v="214"/>
    <n v="2"/>
    <n v="1"/>
  </r>
  <r>
    <m/>
    <m/>
    <x v="1"/>
    <s v="92749025001001"/>
    <n v="-0.7"/>
    <n v="22"/>
    <n v="1"/>
    <n v="1"/>
  </r>
  <r>
    <m/>
    <m/>
    <x v="1"/>
    <s v="92806696002005"/>
    <n v="-1.64"/>
    <n v="52"/>
    <n v="1"/>
    <n v="1"/>
  </r>
  <r>
    <m/>
    <m/>
    <x v="1"/>
    <s v="92883803001003"/>
    <n v="-26.66"/>
    <n v="843"/>
    <n v="1"/>
    <n v="1"/>
  </r>
  <r>
    <m/>
    <m/>
    <x v="1"/>
    <s v="93309752001001"/>
    <n v="-7.11"/>
    <n v="225"/>
    <n v="1"/>
    <n v="1"/>
  </r>
  <r>
    <m/>
    <m/>
    <x v="1"/>
    <s v="93316698001001"/>
    <n v="-5.5"/>
    <n v="174"/>
    <n v="1"/>
    <n v="1"/>
  </r>
  <r>
    <m/>
    <m/>
    <x v="1"/>
    <s v="93362702006001"/>
    <n v="-2.02"/>
    <n v="64"/>
    <n v="1"/>
    <n v="1"/>
  </r>
  <r>
    <m/>
    <m/>
    <x v="1"/>
    <s v="93368277001002"/>
    <n v="-6.67"/>
    <n v="211"/>
    <n v="1"/>
    <n v="1"/>
  </r>
  <r>
    <m/>
    <m/>
    <x v="1"/>
    <s v="93387211001009"/>
    <n v="-36.14"/>
    <n v="1143"/>
    <n v="1"/>
    <n v="1"/>
  </r>
  <r>
    <m/>
    <m/>
    <x v="1"/>
    <s v="93483899001001"/>
    <n v="-11.29"/>
    <n v="357"/>
    <n v="1"/>
    <n v="1"/>
  </r>
  <r>
    <m/>
    <m/>
    <x v="1"/>
    <s v="93549993001001"/>
    <n v="-20.079999999999998"/>
    <n v="635"/>
    <n v="1"/>
    <n v="1"/>
  </r>
  <r>
    <m/>
    <m/>
    <x v="1"/>
    <s v="93645499001013"/>
    <n v="-1.4100000000000001"/>
    <n v="45"/>
    <n v="2"/>
    <n v="1"/>
  </r>
  <r>
    <m/>
    <m/>
    <x v="1"/>
    <s v="94287883002008"/>
    <n v="-9.23"/>
    <n v="292"/>
    <n v="1"/>
    <n v="1"/>
  </r>
  <r>
    <m/>
    <m/>
    <x v="1"/>
    <s v="94506465001003"/>
    <n v="-11.45"/>
    <n v="362"/>
    <n v="1"/>
    <n v="1"/>
  </r>
  <r>
    <m/>
    <m/>
    <x v="1"/>
    <s v="94860723001003"/>
    <n v="-13.25"/>
    <n v="419"/>
    <n v="1"/>
    <n v="1"/>
  </r>
  <r>
    <m/>
    <m/>
    <x v="1"/>
    <s v="95036848001006"/>
    <n v="-18.059999999999999"/>
    <n v="571"/>
    <n v="1"/>
    <n v="1"/>
  </r>
  <r>
    <m/>
    <m/>
    <x v="1"/>
    <s v="95248906001001"/>
    <n v="-2.4700000000000002"/>
    <n v="78"/>
    <n v="1"/>
    <n v="1"/>
  </r>
  <r>
    <m/>
    <m/>
    <x v="1"/>
    <s v="95523867004002"/>
    <n v="-3.35"/>
    <n v="106"/>
    <n v="1"/>
    <n v="1"/>
  </r>
  <r>
    <m/>
    <m/>
    <x v="1"/>
    <s v="95675529001008"/>
    <n v="-0.63"/>
    <n v="20"/>
    <n v="1"/>
    <n v="1"/>
  </r>
  <r>
    <m/>
    <m/>
    <x v="1"/>
    <s v="95837796001001"/>
    <n v="-9.1999999999999993"/>
    <n v="291"/>
    <n v="1"/>
    <n v="1"/>
  </r>
  <r>
    <m/>
    <m/>
    <x v="1"/>
    <s v="95880839001001"/>
    <n v="-5.17"/>
    <n v="165"/>
    <n v="2"/>
    <n v="1"/>
  </r>
  <r>
    <m/>
    <m/>
    <x v="1"/>
    <s v="96171891001005"/>
    <n v="-9.2800000000000011"/>
    <n v="295"/>
    <n v="2"/>
    <n v="1"/>
  </r>
  <r>
    <m/>
    <m/>
    <x v="1"/>
    <s v="96336668001003"/>
    <n v="-10.75"/>
    <n v="343"/>
    <n v="2"/>
    <n v="1"/>
  </r>
  <r>
    <m/>
    <m/>
    <x v="1"/>
    <s v="96956354001001"/>
    <n v="-56.21"/>
    <n v="1786"/>
    <n v="2"/>
    <n v="1"/>
  </r>
  <r>
    <m/>
    <m/>
    <x v="1"/>
    <s v="97054812001007"/>
    <n v="-0.95"/>
    <n v="30"/>
    <n v="1"/>
    <n v="1"/>
  </r>
  <r>
    <m/>
    <m/>
    <x v="1"/>
    <s v="97148101001003"/>
    <n v="-14.739999999999998"/>
    <n v="474"/>
    <n v="3"/>
    <n v="1"/>
  </r>
  <r>
    <m/>
    <m/>
    <x v="1"/>
    <s v="97360124001003"/>
    <n v="-1.23"/>
    <n v="39"/>
    <n v="1"/>
    <n v="1"/>
  </r>
  <r>
    <m/>
    <m/>
    <x v="1"/>
    <s v="97375212002001"/>
    <n v="-17.04"/>
    <n v="539"/>
    <n v="1"/>
    <n v="1"/>
  </r>
  <r>
    <m/>
    <m/>
    <x v="1"/>
    <s v="97637799001002"/>
    <n v="-10.94"/>
    <n v="349"/>
    <n v="2"/>
    <n v="1"/>
  </r>
  <r>
    <m/>
    <m/>
    <x v="1"/>
    <s v="97778274001003"/>
    <n v="-1.3"/>
    <n v="41"/>
    <n v="1"/>
    <n v="1"/>
  </r>
  <r>
    <m/>
    <m/>
    <x v="1"/>
    <s v="97820700001001"/>
    <n v="-11.75"/>
    <n v="375"/>
    <n v="2"/>
    <n v="1"/>
  </r>
  <r>
    <m/>
    <m/>
    <x v="1"/>
    <s v="97871680001004"/>
    <n v="-0.73"/>
    <n v="23"/>
    <n v="1"/>
    <n v="1"/>
  </r>
  <r>
    <m/>
    <m/>
    <x v="1"/>
    <s v="97956025003002"/>
    <n v="-20.740000000000002"/>
    <n v="662"/>
    <n v="2"/>
    <n v="1"/>
  </r>
  <r>
    <m/>
    <m/>
    <x v="1"/>
    <s v="98267511008001"/>
    <n v="-22.9"/>
    <n v="731"/>
    <n v="2"/>
    <n v="1"/>
  </r>
  <r>
    <m/>
    <m/>
    <x v="1"/>
    <s v="98411297002003"/>
    <n v="-11.23"/>
    <n v="355"/>
    <n v="1"/>
    <n v="1"/>
  </r>
  <r>
    <m/>
    <m/>
    <x v="1"/>
    <s v="98420960001001"/>
    <n v="-1.1399999999999999"/>
    <n v="36"/>
    <n v="1"/>
    <n v="1"/>
  </r>
  <r>
    <m/>
    <m/>
    <x v="1"/>
    <s v="98472260001001"/>
    <n v="-4.96"/>
    <n v="157"/>
    <n v="1"/>
    <n v="1"/>
  </r>
  <r>
    <m/>
    <m/>
    <x v="1"/>
    <s v="98478092001001"/>
    <n v="-2.94"/>
    <n v="93"/>
    <n v="1"/>
    <n v="1"/>
  </r>
  <r>
    <m/>
    <m/>
    <x v="1"/>
    <s v="98485707001001"/>
    <n v="-1.96"/>
    <n v="62"/>
    <n v="1"/>
    <n v="1"/>
  </r>
  <r>
    <m/>
    <m/>
    <x v="1"/>
    <s v="99162209001001"/>
    <n v="-2.4300000000000002"/>
    <n v="77"/>
    <n v="1"/>
    <n v="1"/>
  </r>
  <r>
    <m/>
    <m/>
    <x v="1"/>
    <s v="99284431001009"/>
    <n v="-0.03"/>
    <n v="1"/>
    <n v="1"/>
    <n v="1"/>
  </r>
  <r>
    <m/>
    <m/>
    <x v="1"/>
    <s v="99321769001003"/>
    <n v="-0.63"/>
    <n v="20"/>
    <n v="1"/>
    <n v="1"/>
  </r>
  <r>
    <m/>
    <m/>
    <x v="1"/>
    <s v="99547055001003"/>
    <n v="-22.59"/>
    <n v="721"/>
    <n v="2"/>
    <n v="1"/>
  </r>
  <r>
    <m/>
    <m/>
    <x v="4"/>
    <m/>
    <n v="-10590.220000000003"/>
    <n v="335915"/>
    <n v="1072"/>
    <n v="900"/>
  </r>
  <r>
    <m/>
    <m/>
    <x v="5"/>
    <s v="00003271001001"/>
    <n v="-46.95"/>
    <n v="999"/>
    <n v="1"/>
    <n v="1"/>
  </r>
  <r>
    <m/>
    <m/>
    <x v="1"/>
    <s v="00068289001001"/>
    <n v="-4.6100000000000003"/>
    <n v="98"/>
    <n v="1"/>
    <n v="1"/>
  </r>
  <r>
    <m/>
    <m/>
    <x v="1"/>
    <s v="00089965001003"/>
    <n v="-20.63"/>
    <n v="439"/>
    <n v="1"/>
    <n v="1"/>
  </r>
  <r>
    <m/>
    <m/>
    <x v="1"/>
    <s v="00248169001001"/>
    <n v="-1.1299999999999999"/>
    <n v="24"/>
    <n v="1"/>
    <n v="1"/>
  </r>
  <r>
    <m/>
    <m/>
    <x v="1"/>
    <s v="00251568001001"/>
    <n v="-12.55"/>
    <n v="267"/>
    <n v="1"/>
    <n v="1"/>
  </r>
  <r>
    <m/>
    <m/>
    <x v="1"/>
    <s v="00319594001001"/>
    <n v="-7.38"/>
    <n v="157"/>
    <n v="1"/>
    <n v="1"/>
  </r>
  <r>
    <m/>
    <m/>
    <x v="1"/>
    <s v="00365733004005"/>
    <n v="-6.78"/>
    <n v="145"/>
    <n v="2"/>
    <n v="1"/>
  </r>
  <r>
    <m/>
    <m/>
    <x v="1"/>
    <s v="00382666001003"/>
    <n v="-6.67"/>
    <n v="142"/>
    <n v="1"/>
    <n v="1"/>
  </r>
  <r>
    <m/>
    <m/>
    <x v="1"/>
    <s v="00424155001001"/>
    <n v="-0.61"/>
    <n v="13"/>
    <n v="1"/>
    <n v="1"/>
  </r>
  <r>
    <m/>
    <m/>
    <x v="1"/>
    <s v="00479722008001"/>
    <n v="-8.93"/>
    <n v="190"/>
    <n v="1"/>
    <n v="1"/>
  </r>
  <r>
    <m/>
    <m/>
    <x v="1"/>
    <s v="00507579001002"/>
    <n v="-20.48"/>
    <n v="440"/>
    <n v="2"/>
    <n v="1"/>
  </r>
  <r>
    <m/>
    <m/>
    <x v="1"/>
    <s v="00552042001003"/>
    <n v="-1.74"/>
    <n v="37"/>
    <n v="1"/>
    <n v="1"/>
  </r>
  <r>
    <m/>
    <m/>
    <x v="1"/>
    <s v="00574926001001"/>
    <n v="-24.35"/>
    <n v="518"/>
    <n v="1"/>
    <n v="1"/>
  </r>
  <r>
    <m/>
    <m/>
    <x v="1"/>
    <s v="00631143001001"/>
    <n v="-6.35"/>
    <n v="135"/>
    <n v="1"/>
    <n v="1"/>
  </r>
  <r>
    <m/>
    <m/>
    <x v="1"/>
    <s v="00722915001001"/>
    <n v="-5.78"/>
    <n v="123"/>
    <n v="1"/>
    <n v="1"/>
  </r>
  <r>
    <m/>
    <m/>
    <x v="1"/>
    <s v="00730907001001"/>
    <n v="-2.96"/>
    <n v="63"/>
    <n v="1"/>
    <n v="1"/>
  </r>
  <r>
    <m/>
    <m/>
    <x v="1"/>
    <s v="00780738001001"/>
    <n v="-22.75"/>
    <n v="484"/>
    <n v="1"/>
    <n v="1"/>
  </r>
  <r>
    <m/>
    <m/>
    <x v="1"/>
    <s v="00906029001008"/>
    <n v="-9.68"/>
    <n v="206"/>
    <n v="1"/>
    <n v="1"/>
  </r>
  <r>
    <m/>
    <m/>
    <x v="1"/>
    <s v="01028343001005"/>
    <n v="-0.99"/>
    <n v="21"/>
    <n v="1"/>
    <n v="1"/>
  </r>
  <r>
    <m/>
    <m/>
    <x v="1"/>
    <s v="01092252001001"/>
    <n v="-27.54"/>
    <n v="586"/>
    <n v="1"/>
    <n v="1"/>
  </r>
  <r>
    <m/>
    <m/>
    <x v="1"/>
    <s v="01125392001001"/>
    <n v="-9.17"/>
    <n v="195"/>
    <n v="1"/>
    <n v="1"/>
  </r>
  <r>
    <m/>
    <m/>
    <x v="1"/>
    <s v="01199376001001"/>
    <n v="-12.22"/>
    <n v="260"/>
    <n v="1"/>
    <n v="1"/>
  </r>
  <r>
    <m/>
    <m/>
    <x v="1"/>
    <s v="01335294001005"/>
    <n v="-5.22"/>
    <n v="111"/>
    <n v="1"/>
    <n v="1"/>
  </r>
  <r>
    <m/>
    <m/>
    <x v="1"/>
    <s v="01403700005001"/>
    <n v="-10.11"/>
    <n v="215"/>
    <n v="1"/>
    <n v="1"/>
  </r>
  <r>
    <m/>
    <m/>
    <x v="1"/>
    <s v="01483465001001"/>
    <n v="-11.56"/>
    <n v="246"/>
    <n v="1"/>
    <n v="1"/>
  </r>
  <r>
    <m/>
    <m/>
    <x v="1"/>
    <s v="01608043001005"/>
    <n v="-42.94"/>
    <n v="918"/>
    <n v="2"/>
    <n v="1"/>
  </r>
  <r>
    <m/>
    <m/>
    <x v="1"/>
    <s v="01698859001001"/>
    <n v="-31.86"/>
    <n v="681"/>
    <n v="2"/>
    <n v="1"/>
  </r>
  <r>
    <m/>
    <m/>
    <x v="1"/>
    <s v="01752705001001"/>
    <n v="-22.56"/>
    <n v="480"/>
    <n v="1"/>
    <n v="1"/>
  </r>
  <r>
    <m/>
    <m/>
    <x v="1"/>
    <s v="01980596001009"/>
    <n v="-8.41"/>
    <n v="179"/>
    <n v="1"/>
    <n v="1"/>
  </r>
  <r>
    <m/>
    <m/>
    <x v="1"/>
    <s v="02012192001001"/>
    <n v="-1.08"/>
    <n v="23"/>
    <n v="1"/>
    <n v="1"/>
  </r>
  <r>
    <m/>
    <m/>
    <x v="1"/>
    <s v="02160615003007"/>
    <n v="-46.72"/>
    <n v="994"/>
    <n v="1"/>
    <n v="1"/>
  </r>
  <r>
    <m/>
    <m/>
    <x v="1"/>
    <s v="02179705001007"/>
    <n v="-12.78"/>
    <n v="272"/>
    <n v="1"/>
    <n v="1"/>
  </r>
  <r>
    <m/>
    <m/>
    <x v="1"/>
    <s v="02188680001001"/>
    <n v="-36.32"/>
    <n v="780"/>
    <n v="2"/>
    <n v="1"/>
  </r>
  <r>
    <m/>
    <m/>
    <x v="1"/>
    <s v="02222873001007"/>
    <n v="-2.77"/>
    <n v="59"/>
    <n v="1"/>
    <n v="1"/>
  </r>
  <r>
    <m/>
    <m/>
    <x v="1"/>
    <s v="02227362001007"/>
    <n v="-0.14000000000000001"/>
    <n v="3"/>
    <n v="1"/>
    <n v="1"/>
  </r>
  <r>
    <m/>
    <m/>
    <x v="1"/>
    <s v="02282438001003"/>
    <n v="-11.23"/>
    <n v="239"/>
    <n v="1"/>
    <n v="1"/>
  </r>
  <r>
    <m/>
    <m/>
    <x v="1"/>
    <s v="02380352001003"/>
    <n v="-2.63"/>
    <n v="56"/>
    <n v="1"/>
    <n v="1"/>
  </r>
  <r>
    <m/>
    <m/>
    <x v="1"/>
    <s v="02412878001001"/>
    <n v="-22.75"/>
    <n v="484"/>
    <n v="1"/>
    <n v="1"/>
  </r>
  <r>
    <m/>
    <m/>
    <x v="1"/>
    <s v="02496747002003"/>
    <n v="-49.589999999999996"/>
    <n v="1065"/>
    <n v="2"/>
    <n v="1"/>
  </r>
  <r>
    <m/>
    <m/>
    <x v="1"/>
    <s v="02546933001001"/>
    <n v="-7.71"/>
    <n v="165"/>
    <n v="2"/>
    <n v="1"/>
  </r>
  <r>
    <m/>
    <m/>
    <x v="1"/>
    <s v="02670836001001"/>
    <n v="-0.42"/>
    <n v="9"/>
    <n v="1"/>
    <n v="1"/>
  </r>
  <r>
    <m/>
    <m/>
    <x v="1"/>
    <s v="02683413001001"/>
    <n v="-1.5"/>
    <n v="32"/>
    <n v="1"/>
    <n v="1"/>
  </r>
  <r>
    <m/>
    <m/>
    <x v="1"/>
    <s v="02717656001001"/>
    <n v="-6.24"/>
    <n v="134"/>
    <n v="2"/>
    <n v="1"/>
  </r>
  <r>
    <m/>
    <m/>
    <x v="1"/>
    <s v="02884496001009"/>
    <n v="-6.3"/>
    <n v="134"/>
    <n v="1"/>
    <n v="1"/>
  </r>
  <r>
    <m/>
    <m/>
    <x v="1"/>
    <s v="02906246001001"/>
    <n v="-12.76"/>
    <n v="274"/>
    <n v="2"/>
    <n v="1"/>
  </r>
  <r>
    <m/>
    <m/>
    <x v="1"/>
    <s v="03018483004001"/>
    <n v="-4.04"/>
    <n v="86"/>
    <n v="1"/>
    <n v="1"/>
  </r>
  <r>
    <m/>
    <m/>
    <x v="1"/>
    <s v="03051677001003"/>
    <n v="-27.97"/>
    <n v="595"/>
    <n v="1"/>
    <n v="1"/>
  </r>
  <r>
    <m/>
    <m/>
    <x v="1"/>
    <s v="03088248001005"/>
    <n v="-6.44"/>
    <n v="137"/>
    <n v="1"/>
    <n v="1"/>
  </r>
  <r>
    <m/>
    <m/>
    <x v="1"/>
    <s v="03091692001001"/>
    <n v="-3.67"/>
    <n v="78"/>
    <n v="1"/>
    <n v="1"/>
  </r>
  <r>
    <m/>
    <m/>
    <x v="1"/>
    <s v="03276788001006"/>
    <n v="-20.73"/>
    <n v="441"/>
    <n v="1"/>
    <n v="1"/>
  </r>
  <r>
    <m/>
    <m/>
    <x v="1"/>
    <s v="03308022002001"/>
    <n v="-46.24"/>
    <n v="993"/>
    <n v="2"/>
    <n v="1"/>
  </r>
  <r>
    <m/>
    <m/>
    <x v="1"/>
    <s v="03330463001002"/>
    <n v="-5.08"/>
    <n v="108"/>
    <n v="1"/>
    <n v="1"/>
  </r>
  <r>
    <m/>
    <m/>
    <x v="1"/>
    <s v="03476916002003"/>
    <n v="-0.42"/>
    <n v="9"/>
    <n v="1"/>
    <n v="1"/>
  </r>
  <r>
    <m/>
    <m/>
    <x v="1"/>
    <s v="03498939002001"/>
    <n v="-30.97"/>
    <n v="659"/>
    <n v="1"/>
    <n v="1"/>
  </r>
  <r>
    <m/>
    <m/>
    <x v="1"/>
    <s v="03499851001001"/>
    <n v="-4.2300000000000004"/>
    <n v="90"/>
    <n v="1"/>
    <n v="1"/>
  </r>
  <r>
    <m/>
    <m/>
    <x v="1"/>
    <s v="03505698001001"/>
    <n v="-10.86"/>
    <n v="231"/>
    <n v="1"/>
    <n v="1"/>
  </r>
  <r>
    <m/>
    <m/>
    <x v="1"/>
    <s v="03517195001001"/>
    <n v="-1.02"/>
    <n v="22"/>
    <n v="2"/>
    <n v="1"/>
  </r>
  <r>
    <m/>
    <m/>
    <x v="1"/>
    <s v="03527986001006"/>
    <n v="-8.7999999999999989"/>
    <n v="189"/>
    <n v="2"/>
    <n v="1"/>
  </r>
  <r>
    <m/>
    <m/>
    <x v="1"/>
    <s v="03530774001005"/>
    <n v="-19.36"/>
    <n v="414"/>
    <n v="2"/>
    <n v="1"/>
  </r>
  <r>
    <m/>
    <m/>
    <x v="1"/>
    <s v="03554715002003"/>
    <n v="-11.33"/>
    <n v="241"/>
    <n v="1"/>
    <n v="1"/>
  </r>
  <r>
    <m/>
    <m/>
    <x v="1"/>
    <s v="03722115001001"/>
    <n v="-32.479999999999997"/>
    <n v="691"/>
    <n v="1"/>
    <n v="1"/>
  </r>
  <r>
    <m/>
    <m/>
    <x v="1"/>
    <s v="03725193001001"/>
    <n v="-20.59"/>
    <n v="438"/>
    <n v="1"/>
    <n v="1"/>
  </r>
  <r>
    <m/>
    <m/>
    <x v="1"/>
    <s v="03757292001002"/>
    <n v="-15.79"/>
    <n v="336"/>
    <n v="1"/>
    <n v="1"/>
  </r>
  <r>
    <m/>
    <m/>
    <x v="1"/>
    <s v="03799095002001"/>
    <n v="-1.79"/>
    <n v="38"/>
    <n v="1"/>
    <n v="1"/>
  </r>
  <r>
    <m/>
    <m/>
    <x v="1"/>
    <s v="03896011001001"/>
    <n v="-28.01"/>
    <n v="596"/>
    <n v="1"/>
    <n v="1"/>
  </r>
  <r>
    <m/>
    <m/>
    <x v="1"/>
    <s v="03983250001004"/>
    <n v="-60.25"/>
    <n v="1288"/>
    <n v="2"/>
    <n v="1"/>
  </r>
  <r>
    <m/>
    <m/>
    <x v="1"/>
    <s v="04065926001004"/>
    <n v="-0.33"/>
    <n v="7"/>
    <n v="1"/>
    <n v="1"/>
  </r>
  <r>
    <m/>
    <m/>
    <x v="1"/>
    <s v="04099598001002"/>
    <n v="-34.69"/>
    <n v="738"/>
    <n v="1"/>
    <n v="1"/>
  </r>
  <r>
    <m/>
    <m/>
    <x v="1"/>
    <s v="04169668001001"/>
    <n v="-1.46"/>
    <n v="31"/>
    <n v="1"/>
    <n v="1"/>
  </r>
  <r>
    <m/>
    <m/>
    <x v="1"/>
    <s v="04226765001003"/>
    <n v="-27.78"/>
    <n v="591"/>
    <n v="1"/>
    <n v="1"/>
  </r>
  <r>
    <m/>
    <m/>
    <x v="1"/>
    <s v="04347740001005"/>
    <n v="-7.73"/>
    <n v="166"/>
    <n v="2"/>
    <n v="1"/>
  </r>
  <r>
    <m/>
    <m/>
    <x v="1"/>
    <s v="04348003001001"/>
    <n v="-18.61"/>
    <n v="396"/>
    <n v="1"/>
    <n v="1"/>
  </r>
  <r>
    <m/>
    <m/>
    <x v="1"/>
    <s v="04544587001001"/>
    <n v="-1.36"/>
    <n v="29"/>
    <n v="1"/>
    <n v="1"/>
  </r>
  <r>
    <m/>
    <m/>
    <x v="1"/>
    <s v="04563700003001"/>
    <n v="-30.46"/>
    <n v="651"/>
    <n v="2"/>
    <n v="1"/>
  </r>
  <r>
    <m/>
    <m/>
    <x v="1"/>
    <s v="04619562001001"/>
    <n v="-22.47"/>
    <n v="478"/>
    <n v="1"/>
    <n v="1"/>
  </r>
  <r>
    <m/>
    <m/>
    <x v="1"/>
    <s v="04707114001002"/>
    <n v="-6.11"/>
    <n v="130"/>
    <n v="1"/>
    <n v="1"/>
  </r>
  <r>
    <m/>
    <m/>
    <x v="1"/>
    <s v="04726736001005"/>
    <n v="-21.43"/>
    <n v="456"/>
    <n v="1"/>
    <n v="1"/>
  </r>
  <r>
    <m/>
    <m/>
    <x v="1"/>
    <s v="04731425001001"/>
    <n v="-3.57"/>
    <n v="76"/>
    <n v="1"/>
    <n v="1"/>
  </r>
  <r>
    <m/>
    <m/>
    <x v="1"/>
    <s v="04805152001005"/>
    <n v="-56.87"/>
    <n v="1210"/>
    <n v="1"/>
    <n v="1"/>
  </r>
  <r>
    <m/>
    <m/>
    <x v="1"/>
    <s v="04961046001001"/>
    <n v="-8.27"/>
    <n v="176"/>
    <n v="1"/>
    <n v="1"/>
  </r>
  <r>
    <m/>
    <m/>
    <x v="1"/>
    <s v="05012951001002"/>
    <n v="-11.37"/>
    <n v="242"/>
    <n v="1"/>
    <n v="1"/>
  </r>
  <r>
    <m/>
    <m/>
    <x v="1"/>
    <s v="05149737001007"/>
    <n v="-16.95"/>
    <n v="364"/>
    <n v="2"/>
    <n v="1"/>
  </r>
  <r>
    <m/>
    <m/>
    <x v="1"/>
    <s v="05178218001003"/>
    <n v="-34.200000000000003"/>
    <n v="731"/>
    <n v="2"/>
    <n v="1"/>
  </r>
  <r>
    <m/>
    <m/>
    <x v="1"/>
    <s v="05181815001001"/>
    <n v="-7.29"/>
    <n v="155"/>
    <n v="1"/>
    <n v="1"/>
  </r>
  <r>
    <m/>
    <m/>
    <x v="1"/>
    <s v="05429860001003"/>
    <n v="-22.42"/>
    <n v="477"/>
    <n v="1"/>
    <n v="1"/>
  </r>
  <r>
    <m/>
    <m/>
    <x v="1"/>
    <s v="05489508003005"/>
    <n v="-9.4499999999999993"/>
    <n v="201"/>
    <n v="1"/>
    <n v="1"/>
  </r>
  <r>
    <m/>
    <m/>
    <x v="1"/>
    <s v="05530045001001"/>
    <n v="-0.09"/>
    <n v="2"/>
    <n v="1"/>
    <n v="1"/>
  </r>
  <r>
    <m/>
    <m/>
    <x v="1"/>
    <s v="05576834001001"/>
    <n v="-1.65"/>
    <n v="35"/>
    <n v="1"/>
    <n v="1"/>
  </r>
  <r>
    <m/>
    <m/>
    <x v="1"/>
    <s v="05707361001002"/>
    <n v="-6.77"/>
    <n v="144"/>
    <n v="1"/>
    <n v="1"/>
  </r>
  <r>
    <m/>
    <m/>
    <x v="1"/>
    <s v="05767750001001"/>
    <n v="-34.22"/>
    <n v="728"/>
    <n v="1"/>
    <n v="1"/>
  </r>
  <r>
    <m/>
    <m/>
    <x v="1"/>
    <s v="05803986001001"/>
    <n v="-0.56000000000000005"/>
    <n v="12"/>
    <n v="1"/>
    <n v="1"/>
  </r>
  <r>
    <m/>
    <m/>
    <x v="1"/>
    <s v="05846062001006"/>
    <n v="-20.350000000000001"/>
    <n v="433"/>
    <n v="1"/>
    <n v="1"/>
  </r>
  <r>
    <m/>
    <m/>
    <x v="1"/>
    <s v="05852224002001"/>
    <n v="-58.1"/>
    <n v="1242"/>
    <n v="2"/>
    <n v="1"/>
  </r>
  <r>
    <m/>
    <m/>
    <x v="1"/>
    <s v="06217746001001"/>
    <n v="-1.32"/>
    <n v="28"/>
    <n v="1"/>
    <n v="1"/>
  </r>
  <r>
    <m/>
    <m/>
    <x v="1"/>
    <s v="06359444001001"/>
    <n v="-44.89"/>
    <n v="955"/>
    <n v="1"/>
    <n v="1"/>
  </r>
  <r>
    <m/>
    <m/>
    <x v="1"/>
    <s v="06381309001001"/>
    <n v="-18.62"/>
    <n v="400"/>
    <n v="2"/>
    <n v="1"/>
  </r>
  <r>
    <m/>
    <m/>
    <x v="1"/>
    <s v="06483393001003"/>
    <n v="-0.61"/>
    <n v="13"/>
    <n v="1"/>
    <n v="1"/>
  </r>
  <r>
    <m/>
    <m/>
    <x v="1"/>
    <s v="06506446002001"/>
    <n v="-6.77"/>
    <n v="144"/>
    <n v="1"/>
    <n v="1"/>
  </r>
  <r>
    <m/>
    <m/>
    <x v="1"/>
    <s v="06659461001001"/>
    <n v="-0.94"/>
    <n v="20"/>
    <n v="1"/>
    <n v="1"/>
  </r>
  <r>
    <m/>
    <m/>
    <x v="1"/>
    <s v="06711370004001"/>
    <n v="-29"/>
    <n v="617"/>
    <n v="1"/>
    <n v="1"/>
  </r>
  <r>
    <m/>
    <m/>
    <x v="1"/>
    <s v="06752272001001"/>
    <n v="-8.32"/>
    <n v="177"/>
    <n v="1"/>
    <n v="1"/>
  </r>
  <r>
    <m/>
    <m/>
    <x v="1"/>
    <s v="06797083002002"/>
    <n v="-1.36"/>
    <n v="29"/>
    <n v="1"/>
    <n v="1"/>
  </r>
  <r>
    <m/>
    <m/>
    <x v="1"/>
    <s v="06815394001001"/>
    <n v="-6.67"/>
    <n v="142"/>
    <n v="1"/>
    <n v="1"/>
  </r>
  <r>
    <m/>
    <m/>
    <x v="1"/>
    <s v="06850200002005"/>
    <n v="-2.0499999999999998"/>
    <n v="44"/>
    <n v="2"/>
    <n v="1"/>
  </r>
  <r>
    <m/>
    <m/>
    <x v="1"/>
    <s v="06921954001001"/>
    <n v="-23.03"/>
    <n v="490"/>
    <n v="1"/>
    <n v="1"/>
  </r>
  <r>
    <m/>
    <m/>
    <x v="1"/>
    <s v="06995052002002"/>
    <n v="-36.370000000000005"/>
    <n v="781"/>
    <n v="2"/>
    <n v="1"/>
  </r>
  <r>
    <m/>
    <m/>
    <x v="1"/>
    <s v="07188065001006"/>
    <n v="-9.7799999999999994"/>
    <n v="208"/>
    <n v="1"/>
    <n v="1"/>
  </r>
  <r>
    <m/>
    <m/>
    <x v="1"/>
    <s v="07402694002004"/>
    <n v="-15.65"/>
    <n v="333"/>
    <n v="1"/>
    <n v="1"/>
  </r>
  <r>
    <m/>
    <m/>
    <x v="1"/>
    <s v="07467331001001"/>
    <n v="-40.75"/>
    <n v="871"/>
    <n v="2"/>
    <n v="1"/>
  </r>
  <r>
    <m/>
    <m/>
    <x v="1"/>
    <s v="07497509001002"/>
    <n v="-6.24"/>
    <n v="134"/>
    <n v="2"/>
    <n v="1"/>
  </r>
  <r>
    <m/>
    <m/>
    <x v="1"/>
    <s v="07806495001002"/>
    <n v="-0.85"/>
    <n v="18"/>
    <n v="1"/>
    <n v="1"/>
  </r>
  <r>
    <m/>
    <m/>
    <x v="1"/>
    <s v="07839530002003"/>
    <n v="-56.92"/>
    <n v="1211"/>
    <n v="1"/>
    <n v="1"/>
  </r>
  <r>
    <m/>
    <m/>
    <x v="1"/>
    <s v="07899713001003"/>
    <n v="-12.17"/>
    <n v="259"/>
    <n v="1"/>
    <n v="1"/>
  </r>
  <r>
    <m/>
    <m/>
    <x v="1"/>
    <s v="07928044001004"/>
    <n v="-14.95"/>
    <n v="318"/>
    <n v="1"/>
    <n v="1"/>
  </r>
  <r>
    <m/>
    <m/>
    <x v="1"/>
    <s v="07949521001004"/>
    <n v="-46.53"/>
    <n v="990"/>
    <n v="1"/>
    <n v="1"/>
  </r>
  <r>
    <m/>
    <m/>
    <x v="1"/>
    <s v="07950772002001"/>
    <n v="-11.52"/>
    <n v="245"/>
    <n v="1"/>
    <n v="1"/>
  </r>
  <r>
    <m/>
    <m/>
    <x v="1"/>
    <s v="08046015005001"/>
    <n v="-2.44"/>
    <n v="52"/>
    <n v="1"/>
    <n v="1"/>
  </r>
  <r>
    <m/>
    <m/>
    <x v="1"/>
    <s v="08047179002001"/>
    <n v="-7.99"/>
    <n v="170"/>
    <n v="1"/>
    <n v="1"/>
  </r>
  <r>
    <m/>
    <m/>
    <x v="1"/>
    <s v="08158686001001"/>
    <n v="-0.99"/>
    <n v="21"/>
    <n v="1"/>
    <n v="1"/>
  </r>
  <r>
    <m/>
    <m/>
    <x v="1"/>
    <s v="08233163001004"/>
    <n v="-1.27"/>
    <n v="27"/>
    <n v="1"/>
    <n v="1"/>
  </r>
  <r>
    <m/>
    <m/>
    <x v="1"/>
    <s v="08395040001001"/>
    <n v="-19.18"/>
    <n v="408"/>
    <n v="1"/>
    <n v="1"/>
  </r>
  <r>
    <m/>
    <m/>
    <x v="1"/>
    <s v="08504635004005"/>
    <n v="-8.4600000000000009"/>
    <n v="180"/>
    <n v="1"/>
    <n v="1"/>
  </r>
  <r>
    <m/>
    <m/>
    <x v="1"/>
    <s v="08549288001007"/>
    <n v="-24.68"/>
    <n v="525"/>
    <n v="1"/>
    <n v="1"/>
  </r>
  <r>
    <m/>
    <m/>
    <x v="1"/>
    <s v="08580823001001"/>
    <n v="-10.39"/>
    <n v="221"/>
    <n v="1"/>
    <n v="1"/>
  </r>
  <r>
    <m/>
    <m/>
    <x v="1"/>
    <s v="08694261001001"/>
    <n v="-1.08"/>
    <n v="23"/>
    <n v="1"/>
    <n v="1"/>
  </r>
  <r>
    <m/>
    <m/>
    <x v="1"/>
    <s v="08733004003004"/>
    <n v="-41.22"/>
    <n v="877"/>
    <n v="1"/>
    <n v="1"/>
  </r>
  <r>
    <m/>
    <m/>
    <x v="1"/>
    <s v="08951802001002"/>
    <n v="-22.89"/>
    <n v="487"/>
    <n v="1"/>
    <n v="1"/>
  </r>
  <r>
    <m/>
    <m/>
    <x v="1"/>
    <s v="08974102001003"/>
    <n v="-3.48"/>
    <n v="74"/>
    <n v="1"/>
    <n v="1"/>
  </r>
  <r>
    <m/>
    <m/>
    <x v="1"/>
    <s v="09010397001001"/>
    <n v="-20.63"/>
    <n v="439"/>
    <n v="1"/>
    <n v="1"/>
  </r>
  <r>
    <m/>
    <m/>
    <x v="1"/>
    <s v="09185093001002"/>
    <n v="-0.42"/>
    <n v="9"/>
    <n v="1"/>
    <n v="1"/>
  </r>
  <r>
    <m/>
    <m/>
    <x v="1"/>
    <s v="09269213006001"/>
    <n v="-13.87"/>
    <n v="295"/>
    <n v="1"/>
    <n v="1"/>
  </r>
  <r>
    <m/>
    <m/>
    <x v="1"/>
    <s v="09289545005001"/>
    <n v="-31.26"/>
    <n v="665"/>
    <n v="1"/>
    <n v="1"/>
  </r>
  <r>
    <m/>
    <m/>
    <x v="1"/>
    <s v="09315806002001"/>
    <n v="-1.08"/>
    <n v="23"/>
    <n v="1"/>
    <n v="1"/>
  </r>
  <r>
    <m/>
    <m/>
    <x v="1"/>
    <s v="09350845002002"/>
    <n v="-34.229999999999997"/>
    <n v="735"/>
    <n v="2"/>
    <n v="1"/>
  </r>
  <r>
    <m/>
    <m/>
    <x v="1"/>
    <s v="09410352001003"/>
    <n v="-16.97"/>
    <n v="361"/>
    <n v="1"/>
    <n v="1"/>
  </r>
  <r>
    <m/>
    <m/>
    <x v="1"/>
    <s v="09541206009003"/>
    <n v="-9.59"/>
    <n v="204"/>
    <n v="1"/>
    <n v="1"/>
  </r>
  <r>
    <m/>
    <m/>
    <x v="1"/>
    <s v="09607312001001"/>
    <n v="-51.75"/>
    <n v="1101"/>
    <n v="1"/>
    <n v="1"/>
  </r>
  <r>
    <m/>
    <m/>
    <x v="1"/>
    <s v="09656421001005"/>
    <n v="-84.27"/>
    <n v="1793"/>
    <n v="1"/>
    <n v="1"/>
  </r>
  <r>
    <m/>
    <m/>
    <x v="1"/>
    <s v="09715929001003"/>
    <n v="-0.19"/>
    <n v="4"/>
    <n v="1"/>
    <n v="1"/>
  </r>
  <r>
    <m/>
    <m/>
    <x v="1"/>
    <s v="09717335001001"/>
    <n v="-19.27"/>
    <n v="410"/>
    <n v="1"/>
    <n v="1"/>
  </r>
  <r>
    <m/>
    <m/>
    <x v="1"/>
    <s v="09742133005001"/>
    <n v="-1.41"/>
    <n v="30"/>
    <n v="1"/>
    <n v="1"/>
  </r>
  <r>
    <m/>
    <m/>
    <x v="1"/>
    <s v="09752135001001"/>
    <n v="-1.27"/>
    <n v="27"/>
    <n v="1"/>
    <n v="1"/>
  </r>
  <r>
    <m/>
    <m/>
    <x v="1"/>
    <s v="09767344004001"/>
    <n v="-33.369999999999997"/>
    <n v="710"/>
    <n v="1"/>
    <n v="1"/>
  </r>
  <r>
    <m/>
    <m/>
    <x v="1"/>
    <s v="10032544001001"/>
    <n v="-17.059999999999999"/>
    <n v="363"/>
    <n v="1"/>
    <n v="1"/>
  </r>
  <r>
    <m/>
    <m/>
    <x v="1"/>
    <s v="10059606001001"/>
    <n v="-25.47"/>
    <n v="542"/>
    <n v="1"/>
    <n v="1"/>
  </r>
  <r>
    <m/>
    <m/>
    <x v="1"/>
    <s v="10089238001001"/>
    <n v="-1.1299999999999999"/>
    <n v="24"/>
    <n v="1"/>
    <n v="1"/>
  </r>
  <r>
    <m/>
    <m/>
    <x v="1"/>
    <s v="10095826001001"/>
    <n v="-28.72"/>
    <n v="611"/>
    <n v="1"/>
    <n v="1"/>
  </r>
  <r>
    <m/>
    <m/>
    <x v="1"/>
    <s v="10286168001001"/>
    <n v="-20.34"/>
    <n v="437"/>
    <n v="2"/>
    <n v="1"/>
  </r>
  <r>
    <m/>
    <m/>
    <x v="1"/>
    <s v="10291136001005"/>
    <n v="-32.049999999999997"/>
    <n v="682"/>
    <n v="1"/>
    <n v="1"/>
  </r>
  <r>
    <m/>
    <m/>
    <x v="1"/>
    <s v="10317407001001"/>
    <n v="-54.15"/>
    <n v="1163"/>
    <n v="2"/>
    <n v="1"/>
  </r>
  <r>
    <m/>
    <m/>
    <x v="1"/>
    <s v="10346018001001"/>
    <n v="-26.27"/>
    <n v="559"/>
    <n v="1"/>
    <n v="1"/>
  </r>
  <r>
    <m/>
    <m/>
    <x v="1"/>
    <s v="10356260001001"/>
    <n v="-38.96"/>
    <n v="829"/>
    <n v="1"/>
    <n v="1"/>
  </r>
  <r>
    <m/>
    <m/>
    <x v="1"/>
    <s v="10377894001016"/>
    <n v="-9.4499999999999993"/>
    <n v="201"/>
    <n v="1"/>
    <n v="1"/>
  </r>
  <r>
    <m/>
    <m/>
    <x v="1"/>
    <s v="10447712003003"/>
    <n v="-0.24"/>
    <n v="5"/>
    <n v="1"/>
    <n v="1"/>
  </r>
  <r>
    <m/>
    <m/>
    <x v="1"/>
    <s v="10635301003001"/>
    <n v="-6.3"/>
    <n v="134"/>
    <n v="1"/>
    <n v="1"/>
  </r>
  <r>
    <m/>
    <m/>
    <x v="1"/>
    <s v="10792246001002"/>
    <n v="-6.82"/>
    <n v="145"/>
    <n v="1"/>
    <n v="1"/>
  </r>
  <r>
    <m/>
    <m/>
    <x v="1"/>
    <s v="10865475001001"/>
    <n v="-43.629999999999995"/>
    <n v="937"/>
    <n v="2"/>
    <n v="1"/>
  </r>
  <r>
    <m/>
    <m/>
    <x v="1"/>
    <s v="11078715001003"/>
    <n v="-22.75"/>
    <n v="484"/>
    <n v="1"/>
    <n v="1"/>
  </r>
  <r>
    <m/>
    <m/>
    <x v="1"/>
    <s v="11190686005003"/>
    <n v="-24.11"/>
    <n v="513"/>
    <n v="1"/>
    <n v="1"/>
  </r>
  <r>
    <m/>
    <m/>
    <x v="1"/>
    <s v="11325923001001"/>
    <n v="-16.170000000000002"/>
    <n v="344"/>
    <n v="1"/>
    <n v="1"/>
  </r>
  <r>
    <m/>
    <m/>
    <x v="1"/>
    <s v="11356050001010"/>
    <n v="-5.55"/>
    <n v="118"/>
    <n v="1"/>
    <n v="1"/>
  </r>
  <r>
    <m/>
    <m/>
    <x v="1"/>
    <s v="11498623002001"/>
    <n v="-22"/>
    <n v="468"/>
    <n v="1"/>
    <n v="1"/>
  </r>
  <r>
    <m/>
    <m/>
    <x v="1"/>
    <s v="11511797001002"/>
    <n v="-2.2999999999999998"/>
    <n v="49"/>
    <n v="1"/>
    <n v="1"/>
  </r>
  <r>
    <m/>
    <m/>
    <x v="1"/>
    <s v="11558237001001"/>
    <n v="-9.17"/>
    <n v="195"/>
    <n v="1"/>
    <n v="1"/>
  </r>
  <r>
    <m/>
    <m/>
    <x v="1"/>
    <s v="11649874003001"/>
    <n v="-15.86"/>
    <n v="339"/>
    <n v="2"/>
    <n v="1"/>
  </r>
  <r>
    <m/>
    <m/>
    <x v="1"/>
    <s v="11662460005001"/>
    <n v="-21.39"/>
    <n v="455"/>
    <n v="1"/>
    <n v="1"/>
  </r>
  <r>
    <m/>
    <m/>
    <x v="1"/>
    <s v="11714515001003"/>
    <n v="-15.6"/>
    <n v="332"/>
    <n v="1"/>
    <n v="1"/>
  </r>
  <r>
    <m/>
    <m/>
    <x v="1"/>
    <s v="11787709001001"/>
    <n v="-19.649999999999999"/>
    <n v="418"/>
    <n v="1"/>
    <n v="1"/>
  </r>
  <r>
    <m/>
    <m/>
    <x v="1"/>
    <s v="12080794001007"/>
    <n v="-5.22"/>
    <n v="111"/>
    <n v="1"/>
    <n v="1"/>
  </r>
  <r>
    <m/>
    <m/>
    <x v="1"/>
    <s v="12190639001002"/>
    <n v="-9.5399999999999991"/>
    <n v="203"/>
    <n v="1"/>
    <n v="1"/>
  </r>
  <r>
    <m/>
    <m/>
    <x v="1"/>
    <s v="12193027001001"/>
    <n v="-0.75"/>
    <n v="16"/>
    <n v="1"/>
    <n v="1"/>
  </r>
  <r>
    <m/>
    <m/>
    <x v="1"/>
    <s v="12199696001001"/>
    <n v="-7.85"/>
    <n v="167"/>
    <n v="1"/>
    <n v="1"/>
  </r>
  <r>
    <m/>
    <m/>
    <x v="1"/>
    <s v="12199921003001"/>
    <n v="-7.48"/>
    <n v="160"/>
    <n v="2"/>
    <n v="1"/>
  </r>
  <r>
    <m/>
    <m/>
    <x v="1"/>
    <s v="12215901001001"/>
    <n v="-0.14000000000000001"/>
    <n v="3"/>
    <n v="1"/>
    <n v="1"/>
  </r>
  <r>
    <m/>
    <m/>
    <x v="1"/>
    <s v="12246503002003"/>
    <n v="-21.62"/>
    <n v="460"/>
    <n v="1"/>
    <n v="1"/>
  </r>
  <r>
    <m/>
    <m/>
    <x v="1"/>
    <s v="12258593002001"/>
    <n v="-16.45"/>
    <n v="350"/>
    <n v="1"/>
    <n v="1"/>
  </r>
  <r>
    <m/>
    <m/>
    <x v="1"/>
    <s v="12347732001004"/>
    <n v="-36.33"/>
    <n v="773"/>
    <n v="1"/>
    <n v="1"/>
  </r>
  <r>
    <m/>
    <m/>
    <x v="1"/>
    <s v="12587071001001"/>
    <n v="-7.61"/>
    <n v="162"/>
    <n v="1"/>
    <n v="1"/>
  </r>
  <r>
    <m/>
    <m/>
    <x v="1"/>
    <s v="12738000001001"/>
    <n v="-78.600000000000009"/>
    <n v="1688"/>
    <n v="2"/>
    <n v="1"/>
  </r>
  <r>
    <m/>
    <m/>
    <x v="1"/>
    <s v="12750086001005"/>
    <n v="-17.670000000000002"/>
    <n v="376"/>
    <n v="1"/>
    <n v="1"/>
  </r>
  <r>
    <m/>
    <m/>
    <x v="1"/>
    <s v="12890384003001"/>
    <n v="-31.21"/>
    <n v="664"/>
    <n v="1"/>
    <n v="1"/>
  </r>
  <r>
    <m/>
    <m/>
    <x v="1"/>
    <s v="12961356001003"/>
    <n v="-0.09"/>
    <n v="2"/>
    <n v="1"/>
    <n v="1"/>
  </r>
  <r>
    <m/>
    <m/>
    <x v="1"/>
    <s v="13219544001001"/>
    <n v="-107.33"/>
    <n v="2305"/>
    <n v="2"/>
    <n v="1"/>
  </r>
  <r>
    <m/>
    <m/>
    <x v="1"/>
    <s v="13250149001002"/>
    <n v="-16.829999999999998"/>
    <n v="358"/>
    <n v="1"/>
    <n v="1"/>
  </r>
  <r>
    <m/>
    <m/>
    <x v="1"/>
    <s v="13584754001005"/>
    <n v="-11.99"/>
    <n v="255"/>
    <n v="1"/>
    <n v="1"/>
  </r>
  <r>
    <m/>
    <m/>
    <x v="1"/>
    <s v="13597159001001"/>
    <n v="-34.36"/>
    <n v="731"/>
    <n v="1"/>
    <n v="1"/>
  </r>
  <r>
    <m/>
    <m/>
    <x v="1"/>
    <s v="13657098001001"/>
    <n v="-8.93"/>
    <n v="190"/>
    <n v="1"/>
    <n v="1"/>
  </r>
  <r>
    <m/>
    <m/>
    <x v="1"/>
    <s v="13673984001003"/>
    <n v="-2.68"/>
    <n v="57"/>
    <n v="1"/>
    <n v="1"/>
  </r>
  <r>
    <m/>
    <m/>
    <x v="1"/>
    <s v="13794916004003"/>
    <n v="-17.3"/>
    <n v="368"/>
    <n v="1"/>
    <n v="1"/>
  </r>
  <r>
    <m/>
    <m/>
    <x v="1"/>
    <s v="13812990001010"/>
    <n v="-21.1"/>
    <n v="449"/>
    <n v="1"/>
    <n v="1"/>
  </r>
  <r>
    <m/>
    <m/>
    <x v="1"/>
    <s v="13818728001007"/>
    <n v="-17.32"/>
    <n v="372"/>
    <n v="2"/>
    <n v="1"/>
  </r>
  <r>
    <m/>
    <m/>
    <x v="1"/>
    <s v="13852682001001"/>
    <n v="-1.03"/>
    <n v="22"/>
    <n v="1"/>
    <n v="1"/>
  </r>
  <r>
    <m/>
    <m/>
    <x v="1"/>
    <s v="13882655001005"/>
    <n v="-33.44"/>
    <n v="718"/>
    <n v="2"/>
    <n v="1"/>
  </r>
  <r>
    <m/>
    <m/>
    <x v="1"/>
    <s v="13925545001001"/>
    <n v="-20.260000000000002"/>
    <n v="431"/>
    <n v="1"/>
    <n v="1"/>
  </r>
  <r>
    <m/>
    <m/>
    <x v="1"/>
    <s v="13972735001001"/>
    <n v="-18.77"/>
    <n v="403"/>
    <n v="2"/>
    <n v="1"/>
  </r>
  <r>
    <m/>
    <m/>
    <x v="1"/>
    <s v="13980714001001"/>
    <n v="-1.97"/>
    <n v="42"/>
    <n v="1"/>
    <n v="1"/>
  </r>
  <r>
    <m/>
    <m/>
    <x v="1"/>
    <s v="14105636001003"/>
    <n v="-30.27"/>
    <n v="644"/>
    <n v="1"/>
    <n v="1"/>
  </r>
  <r>
    <m/>
    <m/>
    <x v="1"/>
    <s v="14123583001011"/>
    <n v="-5.5200000000000005"/>
    <n v="118"/>
    <n v="2"/>
    <n v="1"/>
  </r>
  <r>
    <m/>
    <m/>
    <x v="1"/>
    <s v="14158880001001"/>
    <n v="-31.24"/>
    <n v="671"/>
    <n v="2"/>
    <n v="1"/>
  </r>
  <r>
    <m/>
    <m/>
    <x v="1"/>
    <s v="14171251001006"/>
    <n v="-4.9800000000000004"/>
    <n v="106"/>
    <n v="1"/>
    <n v="1"/>
  </r>
  <r>
    <m/>
    <m/>
    <x v="1"/>
    <s v="14195593002004"/>
    <n v="-31.77"/>
    <n v="676"/>
    <n v="1"/>
    <n v="1"/>
  </r>
  <r>
    <m/>
    <m/>
    <x v="1"/>
    <s v="14250991001001"/>
    <n v="-5.26"/>
    <n v="112"/>
    <n v="1"/>
    <n v="1"/>
  </r>
  <r>
    <m/>
    <m/>
    <x v="1"/>
    <s v="14280190001003"/>
    <n v="-8.27"/>
    <n v="176"/>
    <n v="1"/>
    <n v="1"/>
  </r>
  <r>
    <m/>
    <m/>
    <x v="1"/>
    <s v="14339079001003"/>
    <n v="-4.09"/>
    <n v="87"/>
    <n v="1"/>
    <n v="1"/>
  </r>
  <r>
    <m/>
    <m/>
    <x v="1"/>
    <s v="14387776001005"/>
    <n v="-6.97"/>
    <n v="149"/>
    <n v="2"/>
    <n v="1"/>
  </r>
  <r>
    <m/>
    <m/>
    <x v="1"/>
    <s v="14417667001001"/>
    <n v="-1.36"/>
    <n v="29"/>
    <n v="1"/>
    <n v="1"/>
  </r>
  <r>
    <m/>
    <m/>
    <x v="1"/>
    <s v="14496582001001"/>
    <n v="-1.1299999999999999"/>
    <n v="24"/>
    <n v="1"/>
    <n v="1"/>
  </r>
  <r>
    <m/>
    <m/>
    <x v="1"/>
    <s v="14502955001001"/>
    <n v="-42.77"/>
    <n v="910"/>
    <n v="1"/>
    <n v="1"/>
  </r>
  <r>
    <m/>
    <m/>
    <x v="1"/>
    <s v="14612915001001"/>
    <n v="-20.82"/>
    <n v="443"/>
    <n v="1"/>
    <n v="1"/>
  </r>
  <r>
    <m/>
    <m/>
    <x v="1"/>
    <s v="14663014001002"/>
    <n v="-5.12"/>
    <n v="109"/>
    <n v="1"/>
    <n v="1"/>
  </r>
  <r>
    <m/>
    <m/>
    <x v="1"/>
    <s v="14876434001004"/>
    <n v="-4.28"/>
    <n v="91"/>
    <n v="1"/>
    <n v="1"/>
  </r>
  <r>
    <m/>
    <m/>
    <x v="1"/>
    <s v="14895349001006"/>
    <n v="-50.519999999999996"/>
    <n v="1080"/>
    <n v="2"/>
    <n v="1"/>
  </r>
  <r>
    <m/>
    <m/>
    <x v="1"/>
    <s v="15125902001001"/>
    <n v="-8.51"/>
    <n v="182"/>
    <n v="2"/>
    <n v="1"/>
  </r>
  <r>
    <m/>
    <m/>
    <x v="1"/>
    <s v="15264531001003"/>
    <n v="-2.21"/>
    <n v="47"/>
    <n v="1"/>
    <n v="1"/>
  </r>
  <r>
    <m/>
    <m/>
    <x v="1"/>
    <s v="15335726001008"/>
    <n v="-0.28000000000000003"/>
    <n v="6"/>
    <n v="1"/>
    <n v="1"/>
  </r>
  <r>
    <m/>
    <m/>
    <x v="1"/>
    <s v="15371962001008"/>
    <n v="-3.46"/>
    <n v="74"/>
    <n v="2"/>
    <n v="1"/>
  </r>
  <r>
    <m/>
    <m/>
    <x v="1"/>
    <s v="15431936001001"/>
    <n v="-11.33"/>
    <n v="241"/>
    <n v="1"/>
    <n v="1"/>
  </r>
  <r>
    <m/>
    <m/>
    <x v="1"/>
    <s v="15497150001007"/>
    <n v="-7.76"/>
    <n v="165"/>
    <n v="1"/>
    <n v="1"/>
  </r>
  <r>
    <m/>
    <m/>
    <x v="1"/>
    <s v="15515287001002"/>
    <n v="-26.93"/>
    <n v="573"/>
    <n v="1"/>
    <n v="1"/>
  </r>
  <r>
    <m/>
    <m/>
    <x v="1"/>
    <s v="15524581001001"/>
    <n v="-14.1"/>
    <n v="300"/>
    <n v="1"/>
    <n v="1"/>
  </r>
  <r>
    <m/>
    <m/>
    <x v="1"/>
    <s v="15567974001002"/>
    <n v="-31.35"/>
    <n v="667"/>
    <n v="1"/>
    <n v="1"/>
  </r>
  <r>
    <m/>
    <m/>
    <x v="1"/>
    <s v="15574419001008"/>
    <n v="-30.36"/>
    <n v="646"/>
    <n v="1"/>
    <n v="1"/>
  </r>
  <r>
    <m/>
    <m/>
    <x v="1"/>
    <s v="15723578001004"/>
    <n v="-33.75"/>
    <n v="718"/>
    <n v="1"/>
    <n v="1"/>
  </r>
  <r>
    <m/>
    <m/>
    <x v="1"/>
    <s v="15745592001001"/>
    <n v="-27.64"/>
    <n v="588"/>
    <n v="1"/>
    <n v="1"/>
  </r>
  <r>
    <m/>
    <m/>
    <x v="1"/>
    <s v="15889369001001"/>
    <n v="-7.43"/>
    <n v="158"/>
    <n v="1"/>
    <n v="1"/>
  </r>
  <r>
    <m/>
    <m/>
    <x v="1"/>
    <s v="15925995001001"/>
    <n v="-6.17"/>
    <n v="132"/>
    <n v="2"/>
    <n v="1"/>
  </r>
  <r>
    <m/>
    <m/>
    <x v="1"/>
    <s v="16066827001002"/>
    <n v="-9.9600000000000009"/>
    <n v="212"/>
    <n v="1"/>
    <n v="1"/>
  </r>
  <r>
    <m/>
    <m/>
    <x v="1"/>
    <s v="16066896001005"/>
    <n v="-17.2"/>
    <n v="366"/>
    <n v="1"/>
    <n v="1"/>
  </r>
  <r>
    <m/>
    <m/>
    <x v="1"/>
    <s v="16099578001001"/>
    <n v="-3.71"/>
    <n v="79"/>
    <n v="1"/>
    <n v="1"/>
  </r>
  <r>
    <m/>
    <m/>
    <x v="1"/>
    <s v="16141513003001"/>
    <n v="-27.830000000000002"/>
    <n v="595"/>
    <n v="2"/>
    <n v="1"/>
  </r>
  <r>
    <m/>
    <m/>
    <x v="1"/>
    <s v="16161055001004"/>
    <n v="-14.879999999999999"/>
    <n v="318"/>
    <n v="2"/>
    <n v="1"/>
  </r>
  <r>
    <m/>
    <m/>
    <x v="1"/>
    <s v="16175755001003"/>
    <n v="-1.36"/>
    <n v="29"/>
    <n v="1"/>
    <n v="1"/>
  </r>
  <r>
    <m/>
    <m/>
    <x v="1"/>
    <s v="16222691001005"/>
    <n v="-27.73"/>
    <n v="593"/>
    <n v="2"/>
    <n v="1"/>
  </r>
  <r>
    <m/>
    <m/>
    <x v="1"/>
    <s v="16233681001003"/>
    <n v="-38.83"/>
    <n v="834"/>
    <n v="2"/>
    <n v="1"/>
  </r>
  <r>
    <m/>
    <m/>
    <x v="1"/>
    <s v="16268790001003"/>
    <n v="-2.59"/>
    <n v="55"/>
    <n v="1"/>
    <n v="1"/>
  </r>
  <r>
    <m/>
    <m/>
    <x v="1"/>
    <s v="16272128001001"/>
    <n v="-1.74"/>
    <n v="37"/>
    <n v="1"/>
    <n v="1"/>
  </r>
  <r>
    <m/>
    <m/>
    <x v="1"/>
    <s v="16450177001001"/>
    <n v="-1.32"/>
    <n v="28"/>
    <n v="1"/>
    <n v="1"/>
  </r>
  <r>
    <m/>
    <m/>
    <x v="1"/>
    <s v="16506070001002"/>
    <n v="-11.23"/>
    <n v="239"/>
    <n v="1"/>
    <n v="1"/>
  </r>
  <r>
    <m/>
    <m/>
    <x v="1"/>
    <s v="16578645001005"/>
    <n v="-0.38"/>
    <n v="8"/>
    <n v="1"/>
    <n v="1"/>
  </r>
  <r>
    <m/>
    <m/>
    <x v="1"/>
    <s v="16580528001001"/>
    <n v="-0.66"/>
    <n v="14"/>
    <n v="1"/>
    <n v="1"/>
  </r>
  <r>
    <m/>
    <m/>
    <x v="1"/>
    <s v="16593753001001"/>
    <n v="-8.0399999999999991"/>
    <n v="171"/>
    <n v="1"/>
    <n v="1"/>
  </r>
  <r>
    <m/>
    <m/>
    <x v="1"/>
    <s v="16865540003001"/>
    <n v="-1.31"/>
    <n v="28"/>
    <n v="2"/>
    <n v="1"/>
  </r>
  <r>
    <m/>
    <m/>
    <x v="1"/>
    <s v="16884109001002"/>
    <n v="-0.89"/>
    <n v="19"/>
    <n v="1"/>
    <n v="1"/>
  </r>
  <r>
    <m/>
    <m/>
    <x v="1"/>
    <s v="16946064001004"/>
    <n v="-2.35"/>
    <n v="50"/>
    <n v="1"/>
    <n v="1"/>
  </r>
  <r>
    <m/>
    <m/>
    <x v="1"/>
    <s v="16958956001003"/>
    <n v="-30.5"/>
    <n v="652"/>
    <n v="2"/>
    <n v="1"/>
  </r>
  <r>
    <m/>
    <m/>
    <x v="1"/>
    <s v="17145119002004"/>
    <n v="-14.2"/>
    <n v="305"/>
    <n v="2"/>
    <n v="1"/>
  </r>
  <r>
    <m/>
    <m/>
    <x v="1"/>
    <s v="17236061001003"/>
    <n v="-21.47"/>
    <n v="459"/>
    <n v="2"/>
    <n v="1"/>
  </r>
  <r>
    <m/>
    <m/>
    <x v="1"/>
    <s v="17277532001001"/>
    <n v="-19.27"/>
    <n v="410"/>
    <n v="1"/>
    <n v="1"/>
  </r>
  <r>
    <m/>
    <m/>
    <x v="1"/>
    <s v="17378301001002"/>
    <n v="-49.87"/>
    <n v="1061"/>
    <n v="1"/>
    <n v="1"/>
  </r>
  <r>
    <m/>
    <m/>
    <x v="1"/>
    <s v="17606006001001"/>
    <n v="-19.649999999999999"/>
    <n v="418"/>
    <n v="1"/>
    <n v="1"/>
  </r>
  <r>
    <m/>
    <m/>
    <x v="1"/>
    <s v="17706944001001"/>
    <n v="-14.85"/>
    <n v="316"/>
    <n v="1"/>
    <n v="1"/>
  </r>
  <r>
    <m/>
    <m/>
    <x v="1"/>
    <s v="17724609001006"/>
    <n v="-17.11"/>
    <n v="364"/>
    <n v="1"/>
    <n v="1"/>
  </r>
  <r>
    <m/>
    <m/>
    <x v="1"/>
    <s v="17740472001001"/>
    <n v="-1.79"/>
    <n v="38"/>
    <n v="1"/>
    <n v="1"/>
  </r>
  <r>
    <m/>
    <m/>
    <x v="1"/>
    <s v="17861861001001"/>
    <n v="-14.95"/>
    <n v="318"/>
    <n v="1"/>
    <n v="1"/>
  </r>
  <r>
    <m/>
    <m/>
    <x v="1"/>
    <s v="17953292001001"/>
    <n v="-16.45"/>
    <n v="350"/>
    <n v="1"/>
    <n v="1"/>
  </r>
  <r>
    <m/>
    <m/>
    <x v="1"/>
    <s v="17980153001002"/>
    <n v="-1.18"/>
    <n v="25"/>
    <n v="1"/>
    <n v="1"/>
  </r>
  <r>
    <m/>
    <m/>
    <x v="1"/>
    <s v="18004459001001"/>
    <n v="-4.18"/>
    <n v="89"/>
    <n v="1"/>
    <n v="1"/>
  </r>
  <r>
    <m/>
    <m/>
    <x v="1"/>
    <s v="18092440001003"/>
    <n v="-25.85"/>
    <n v="550"/>
    <n v="1"/>
    <n v="1"/>
  </r>
  <r>
    <m/>
    <m/>
    <x v="1"/>
    <s v="18093249001001"/>
    <n v="-9.92"/>
    <n v="211"/>
    <n v="1"/>
    <n v="1"/>
  </r>
  <r>
    <m/>
    <m/>
    <x v="1"/>
    <s v="18172453001003"/>
    <n v="-9.31"/>
    <n v="198"/>
    <n v="1"/>
    <n v="1"/>
  </r>
  <r>
    <m/>
    <m/>
    <x v="1"/>
    <s v="18214356001003"/>
    <n v="-8.5500000000000007"/>
    <n v="182"/>
    <n v="1"/>
    <n v="1"/>
  </r>
  <r>
    <m/>
    <m/>
    <x v="1"/>
    <s v="18273680003003"/>
    <n v="-2.2999999999999998"/>
    <n v="49"/>
    <n v="1"/>
    <n v="1"/>
  </r>
  <r>
    <m/>
    <m/>
    <x v="1"/>
    <s v="18510970001001"/>
    <n v="-19.27"/>
    <n v="410"/>
    <n v="1"/>
    <n v="1"/>
  </r>
  <r>
    <m/>
    <m/>
    <x v="1"/>
    <s v="18517557001005"/>
    <n v="-1.32"/>
    <n v="28"/>
    <n v="1"/>
    <n v="1"/>
  </r>
  <r>
    <m/>
    <m/>
    <x v="1"/>
    <s v="18631095001001"/>
    <n v="-21.1"/>
    <n v="449"/>
    <n v="1"/>
    <n v="1"/>
  </r>
  <r>
    <m/>
    <m/>
    <x v="1"/>
    <s v="18699658001004"/>
    <n v="-5.36"/>
    <n v="114"/>
    <n v="1"/>
    <n v="1"/>
  </r>
  <r>
    <m/>
    <m/>
    <x v="1"/>
    <s v="18702333001003"/>
    <n v="-61.85"/>
    <n v="1316"/>
    <n v="1"/>
    <n v="1"/>
  </r>
  <r>
    <m/>
    <m/>
    <x v="1"/>
    <s v="18898892001003"/>
    <n v="-17.16"/>
    <n v="365"/>
    <n v="1"/>
    <n v="1"/>
  </r>
  <r>
    <m/>
    <m/>
    <x v="1"/>
    <s v="18996467001003"/>
    <n v="-38.64"/>
    <n v="826"/>
    <n v="2"/>
    <n v="1"/>
  </r>
  <r>
    <m/>
    <m/>
    <x v="1"/>
    <s v="19109796001004"/>
    <n v="-6.49"/>
    <n v="138"/>
    <n v="1"/>
    <n v="1"/>
  </r>
  <r>
    <m/>
    <m/>
    <x v="1"/>
    <s v="19152907001005"/>
    <n v="-5.08"/>
    <n v="109"/>
    <n v="2"/>
    <n v="1"/>
  </r>
  <r>
    <m/>
    <m/>
    <x v="1"/>
    <s v="19242774001002"/>
    <n v="-11.27"/>
    <n v="241"/>
    <n v="2"/>
    <n v="1"/>
  </r>
  <r>
    <m/>
    <m/>
    <x v="1"/>
    <s v="19345185001001"/>
    <n v="-1.55"/>
    <n v="33"/>
    <n v="1"/>
    <n v="1"/>
  </r>
  <r>
    <m/>
    <m/>
    <x v="1"/>
    <s v="19422871001001"/>
    <n v="-45.54"/>
    <n v="969"/>
    <n v="1"/>
    <n v="1"/>
  </r>
  <r>
    <m/>
    <m/>
    <x v="1"/>
    <s v="19435050001001"/>
    <n v="-8.7899999999999991"/>
    <n v="187"/>
    <n v="1"/>
    <n v="1"/>
  </r>
  <r>
    <m/>
    <m/>
    <x v="1"/>
    <s v="19496026001002"/>
    <n v="-4.9400000000000004"/>
    <n v="105"/>
    <n v="1"/>
    <n v="1"/>
  </r>
  <r>
    <m/>
    <m/>
    <x v="1"/>
    <s v="19549167001005"/>
    <n v="-30.36"/>
    <n v="646"/>
    <n v="1"/>
    <n v="1"/>
  </r>
  <r>
    <m/>
    <m/>
    <x v="1"/>
    <s v="19653996003001"/>
    <n v="-13.77"/>
    <n v="293"/>
    <n v="1"/>
    <n v="1"/>
  </r>
  <r>
    <m/>
    <m/>
    <x v="1"/>
    <s v="19669200001002"/>
    <n v="-20.07"/>
    <n v="427"/>
    <n v="1"/>
    <n v="1"/>
  </r>
  <r>
    <m/>
    <m/>
    <x v="1"/>
    <s v="19722554001001"/>
    <n v="-1.45"/>
    <n v="31"/>
    <n v="2"/>
    <n v="1"/>
  </r>
  <r>
    <m/>
    <m/>
    <x v="1"/>
    <s v="19844787001003"/>
    <n v="-17.5"/>
    <n v="374"/>
    <n v="2"/>
    <n v="1"/>
  </r>
  <r>
    <m/>
    <m/>
    <x v="1"/>
    <s v="19860152001001"/>
    <n v="-43.05"/>
    <n v="916"/>
    <n v="1"/>
    <n v="1"/>
  </r>
  <r>
    <m/>
    <m/>
    <x v="1"/>
    <s v="19981285001002"/>
    <n v="-6.58"/>
    <n v="140"/>
    <n v="1"/>
    <n v="1"/>
  </r>
  <r>
    <m/>
    <m/>
    <x v="1"/>
    <s v="19984149003003"/>
    <n v="-20.440000000000001"/>
    <n v="439"/>
    <n v="2"/>
    <n v="1"/>
  </r>
  <r>
    <m/>
    <m/>
    <x v="1"/>
    <s v="20017970001001"/>
    <n v="-1.26"/>
    <n v="27"/>
    <n v="2"/>
    <n v="1"/>
  </r>
  <r>
    <m/>
    <m/>
    <x v="1"/>
    <s v="20111439001001"/>
    <n v="-9.5399999999999991"/>
    <n v="203"/>
    <n v="1"/>
    <n v="1"/>
  </r>
  <r>
    <m/>
    <m/>
    <x v="1"/>
    <s v="20373554001003"/>
    <n v="-24.91"/>
    <n v="530"/>
    <n v="1"/>
    <n v="1"/>
  </r>
  <r>
    <m/>
    <m/>
    <x v="1"/>
    <s v="20387598002003"/>
    <n v="-3.57"/>
    <n v="76"/>
    <n v="1"/>
    <n v="1"/>
  </r>
  <r>
    <m/>
    <m/>
    <x v="1"/>
    <s v="20481559001003"/>
    <n v="-2.68"/>
    <n v="57"/>
    <n v="1"/>
    <n v="1"/>
  </r>
  <r>
    <m/>
    <m/>
    <x v="1"/>
    <s v="20516782001001"/>
    <n v="-8.0399999999999991"/>
    <n v="172"/>
    <n v="2"/>
    <n v="1"/>
  </r>
  <r>
    <m/>
    <m/>
    <x v="1"/>
    <s v="20531435001001"/>
    <n v="-30.59"/>
    <n v="657"/>
    <n v="2"/>
    <n v="1"/>
  </r>
  <r>
    <m/>
    <m/>
    <x v="1"/>
    <s v="20615535002001"/>
    <n v="-2.0699999999999998"/>
    <n v="44"/>
    <n v="1"/>
    <n v="1"/>
  </r>
  <r>
    <m/>
    <m/>
    <x v="1"/>
    <s v="21025729001001"/>
    <n v="-2.91"/>
    <n v="62"/>
    <n v="1"/>
    <n v="1"/>
  </r>
  <r>
    <m/>
    <m/>
    <x v="1"/>
    <s v="21129192001006"/>
    <n v="-18.05"/>
    <n v="384"/>
    <n v="1"/>
    <n v="1"/>
  </r>
  <r>
    <m/>
    <m/>
    <x v="1"/>
    <s v="21211434001004"/>
    <n v="-43.76"/>
    <n v="931"/>
    <n v="1"/>
    <n v="1"/>
  </r>
  <r>
    <m/>
    <m/>
    <x v="1"/>
    <s v="21279456001002"/>
    <n v="-0.89"/>
    <n v="19"/>
    <n v="1"/>
    <n v="1"/>
  </r>
  <r>
    <m/>
    <m/>
    <x v="1"/>
    <s v="21286629001006"/>
    <n v="-25.85"/>
    <n v="550"/>
    <n v="1"/>
    <n v="1"/>
  </r>
  <r>
    <m/>
    <m/>
    <x v="1"/>
    <s v="21479614002001"/>
    <n v="-6.72"/>
    <n v="143"/>
    <n v="1"/>
    <n v="1"/>
  </r>
  <r>
    <m/>
    <m/>
    <x v="1"/>
    <s v="21555911001001"/>
    <n v="-12.41"/>
    <n v="264"/>
    <n v="1"/>
    <n v="1"/>
  </r>
  <r>
    <m/>
    <m/>
    <x v="1"/>
    <s v="21594867001004"/>
    <n v="-31.11"/>
    <n v="662"/>
    <n v="1"/>
    <n v="1"/>
  </r>
  <r>
    <m/>
    <m/>
    <x v="1"/>
    <s v="21600687001001"/>
    <n v="-17.579999999999998"/>
    <n v="374"/>
    <n v="1"/>
    <n v="1"/>
  </r>
  <r>
    <m/>
    <m/>
    <x v="1"/>
    <s v="21669619001001"/>
    <n v="-5.31"/>
    <n v="113"/>
    <n v="1"/>
    <n v="1"/>
  </r>
  <r>
    <m/>
    <m/>
    <x v="1"/>
    <s v="21694077001003"/>
    <n v="-19.41"/>
    <n v="413"/>
    <n v="1"/>
    <n v="1"/>
  </r>
  <r>
    <m/>
    <m/>
    <x v="1"/>
    <s v="21889784001001"/>
    <n v="-3.34"/>
    <n v="71"/>
    <n v="1"/>
    <n v="1"/>
  </r>
  <r>
    <m/>
    <m/>
    <x v="1"/>
    <s v="22010468001003"/>
    <n v="-3.67"/>
    <n v="78"/>
    <n v="1"/>
    <n v="1"/>
  </r>
  <r>
    <m/>
    <m/>
    <x v="1"/>
    <s v="22022857001005"/>
    <n v="-6.2"/>
    <n v="132"/>
    <n v="1"/>
    <n v="1"/>
  </r>
  <r>
    <m/>
    <m/>
    <x v="1"/>
    <s v="22102529001008"/>
    <n v="-12.31"/>
    <n v="262"/>
    <n v="1"/>
    <n v="1"/>
  </r>
  <r>
    <m/>
    <m/>
    <x v="1"/>
    <s v="22108251008001"/>
    <n v="-82.49"/>
    <n v="1755"/>
    <n v="1"/>
    <n v="1"/>
  </r>
  <r>
    <m/>
    <m/>
    <x v="1"/>
    <s v="22118281001001"/>
    <n v="-10.53"/>
    <n v="224"/>
    <n v="1"/>
    <n v="1"/>
  </r>
  <r>
    <m/>
    <m/>
    <x v="1"/>
    <s v="22131630002004"/>
    <n v="-3.24"/>
    <n v="69"/>
    <n v="1"/>
    <n v="1"/>
  </r>
  <r>
    <m/>
    <m/>
    <x v="1"/>
    <s v="22171732002001"/>
    <n v="-6.63"/>
    <n v="141"/>
    <n v="1"/>
    <n v="1"/>
  </r>
  <r>
    <m/>
    <m/>
    <x v="1"/>
    <s v="22178371001001"/>
    <n v="-1.88"/>
    <n v="40"/>
    <n v="1"/>
    <n v="1"/>
  </r>
  <r>
    <m/>
    <m/>
    <x v="1"/>
    <s v="22234236001005"/>
    <n v="-1.46"/>
    <n v="31"/>
    <n v="1"/>
    <n v="1"/>
  </r>
  <r>
    <m/>
    <m/>
    <x v="1"/>
    <s v="22237180001003"/>
    <n v="-3.38"/>
    <n v="72"/>
    <n v="1"/>
    <n v="1"/>
  </r>
  <r>
    <m/>
    <m/>
    <x v="1"/>
    <s v="22368801002001"/>
    <n v="-6.2"/>
    <n v="132"/>
    <n v="1"/>
    <n v="1"/>
  </r>
  <r>
    <m/>
    <m/>
    <x v="1"/>
    <s v="22386532007001"/>
    <n v="-15.93"/>
    <n v="339"/>
    <n v="1"/>
    <n v="1"/>
  </r>
  <r>
    <m/>
    <m/>
    <x v="1"/>
    <s v="22448306001006"/>
    <n v="-19.22"/>
    <n v="409"/>
    <n v="1"/>
    <n v="1"/>
  </r>
  <r>
    <m/>
    <m/>
    <x v="1"/>
    <s v="22537776001001"/>
    <n v="-12.74"/>
    <n v="271"/>
    <n v="1"/>
    <n v="1"/>
  </r>
  <r>
    <m/>
    <m/>
    <x v="1"/>
    <s v="22697285001003"/>
    <n v="-12.55"/>
    <n v="267"/>
    <n v="1"/>
    <n v="1"/>
  </r>
  <r>
    <m/>
    <m/>
    <x v="1"/>
    <s v="22817915001006"/>
    <n v="-1.27"/>
    <n v="27"/>
    <n v="1"/>
    <n v="1"/>
  </r>
  <r>
    <m/>
    <m/>
    <x v="1"/>
    <s v="22968302004001"/>
    <n v="-9.64"/>
    <n v="205"/>
    <n v="1"/>
    <n v="1"/>
  </r>
  <r>
    <m/>
    <m/>
    <x v="1"/>
    <s v="23056711001001"/>
    <n v="-24.27"/>
    <n v="521"/>
    <n v="2"/>
    <n v="1"/>
  </r>
  <r>
    <m/>
    <m/>
    <x v="1"/>
    <s v="23103586001001"/>
    <n v="-3.2"/>
    <n v="68"/>
    <n v="1"/>
    <n v="1"/>
  </r>
  <r>
    <m/>
    <m/>
    <x v="1"/>
    <s v="23131202001001"/>
    <n v="-24.09"/>
    <n v="515"/>
    <n v="2"/>
    <n v="1"/>
  </r>
  <r>
    <m/>
    <m/>
    <x v="1"/>
    <s v="23143876001001"/>
    <n v="-0.52"/>
    <n v="11"/>
    <n v="1"/>
    <n v="1"/>
  </r>
  <r>
    <m/>
    <m/>
    <x v="1"/>
    <s v="23161227001003"/>
    <n v="-13.4"/>
    <n v="285"/>
    <n v="1"/>
    <n v="1"/>
  </r>
  <r>
    <m/>
    <m/>
    <x v="1"/>
    <s v="23191485002001"/>
    <n v="-33.89"/>
    <n v="721"/>
    <n v="1"/>
    <n v="1"/>
  </r>
  <r>
    <m/>
    <m/>
    <x v="1"/>
    <s v="23361845001001"/>
    <n v="-3.81"/>
    <n v="81"/>
    <n v="1"/>
    <n v="1"/>
  </r>
  <r>
    <m/>
    <m/>
    <x v="1"/>
    <s v="23460849001001"/>
    <n v="-13.07"/>
    <n v="278"/>
    <n v="1"/>
    <n v="1"/>
  </r>
  <r>
    <m/>
    <m/>
    <x v="1"/>
    <s v="23465139001008"/>
    <n v="-88.1"/>
    <n v="1892"/>
    <n v="2"/>
    <n v="1"/>
  </r>
  <r>
    <m/>
    <m/>
    <x v="1"/>
    <s v="23535049001001"/>
    <n v="-13.3"/>
    <n v="283"/>
    <n v="1"/>
    <n v="1"/>
  </r>
  <r>
    <m/>
    <m/>
    <x v="1"/>
    <s v="23567089001003"/>
    <n v="-32.89"/>
    <n v="703"/>
    <n v="2"/>
    <n v="1"/>
  </r>
  <r>
    <m/>
    <m/>
    <x v="1"/>
    <s v="23600074001001"/>
    <n v="-4.6500000000000004"/>
    <n v="99"/>
    <n v="1"/>
    <n v="1"/>
  </r>
  <r>
    <m/>
    <m/>
    <x v="1"/>
    <s v="23863133001011"/>
    <n v="-1.5"/>
    <n v="32"/>
    <n v="1"/>
    <n v="1"/>
  </r>
  <r>
    <m/>
    <m/>
    <x v="1"/>
    <s v="24274679001001"/>
    <n v="-12.64"/>
    <n v="269"/>
    <n v="1"/>
    <n v="1"/>
  </r>
  <r>
    <m/>
    <m/>
    <x v="1"/>
    <s v="24291697001001"/>
    <n v="-9.2100000000000009"/>
    <n v="196"/>
    <n v="1"/>
    <n v="1"/>
  </r>
  <r>
    <m/>
    <m/>
    <x v="1"/>
    <s v="24336943003005"/>
    <n v="-47.56"/>
    <n v="1012"/>
    <n v="1"/>
    <n v="1"/>
  </r>
  <r>
    <m/>
    <m/>
    <x v="1"/>
    <s v="24352693002004"/>
    <n v="-24.44"/>
    <n v="520"/>
    <n v="1"/>
    <n v="1"/>
  </r>
  <r>
    <m/>
    <m/>
    <x v="1"/>
    <s v="24416805001001"/>
    <n v="-15.98"/>
    <n v="340"/>
    <n v="1"/>
    <n v="1"/>
  </r>
  <r>
    <m/>
    <m/>
    <x v="1"/>
    <s v="24503591001001"/>
    <n v="-22.619999999999997"/>
    <n v="486"/>
    <n v="2"/>
    <n v="1"/>
  </r>
  <r>
    <m/>
    <m/>
    <x v="1"/>
    <s v="24546313001003"/>
    <n v="-24.96"/>
    <n v="531"/>
    <n v="1"/>
    <n v="1"/>
  </r>
  <r>
    <m/>
    <m/>
    <x v="1"/>
    <s v="24558803001001"/>
    <n v="-1.55"/>
    <n v="33"/>
    <n v="1"/>
    <n v="1"/>
  </r>
  <r>
    <m/>
    <m/>
    <x v="1"/>
    <s v="24571934001005"/>
    <n v="-5.83"/>
    <n v="124"/>
    <n v="1"/>
    <n v="1"/>
  </r>
  <r>
    <m/>
    <m/>
    <x v="1"/>
    <s v="24605344003001"/>
    <n v="-4.04"/>
    <n v="86"/>
    <n v="1"/>
    <n v="1"/>
  </r>
  <r>
    <m/>
    <m/>
    <x v="1"/>
    <s v="24678011002004"/>
    <n v="-15.28"/>
    <n v="325"/>
    <n v="1"/>
    <n v="1"/>
  </r>
  <r>
    <m/>
    <m/>
    <x v="1"/>
    <s v="24678131001007"/>
    <n v="-7.9"/>
    <n v="168"/>
    <n v="1"/>
    <n v="1"/>
  </r>
  <r>
    <m/>
    <m/>
    <x v="1"/>
    <s v="24684171002001"/>
    <n v="-68.150000000000006"/>
    <n v="1450"/>
    <n v="1"/>
    <n v="1"/>
  </r>
  <r>
    <m/>
    <m/>
    <x v="1"/>
    <s v="24806438001006"/>
    <n v="-6.53"/>
    <n v="139"/>
    <n v="1"/>
    <n v="1"/>
  </r>
  <r>
    <m/>
    <m/>
    <x v="1"/>
    <s v="24823730001001"/>
    <n v="-40.83"/>
    <n v="877"/>
    <n v="2"/>
    <n v="1"/>
  </r>
  <r>
    <m/>
    <m/>
    <x v="1"/>
    <s v="24824356001005"/>
    <n v="-86.429999999999993"/>
    <n v="1856"/>
    <n v="2"/>
    <n v="1"/>
  </r>
  <r>
    <m/>
    <m/>
    <x v="1"/>
    <s v="24891420005001"/>
    <n v="-17.579999999999998"/>
    <n v="374"/>
    <n v="1"/>
    <n v="1"/>
  </r>
  <r>
    <m/>
    <m/>
    <x v="1"/>
    <s v="24901880001001"/>
    <n v="-1.41"/>
    <n v="30"/>
    <n v="1"/>
    <n v="1"/>
  </r>
  <r>
    <m/>
    <m/>
    <x v="1"/>
    <s v="24915827001003"/>
    <n v="-19.600000000000001"/>
    <n v="417"/>
    <n v="1"/>
    <n v="1"/>
  </r>
  <r>
    <m/>
    <m/>
    <x v="1"/>
    <s v="25266054001002"/>
    <n v="-39.72"/>
    <n v="845"/>
    <n v="1"/>
    <n v="1"/>
  </r>
  <r>
    <m/>
    <m/>
    <x v="1"/>
    <s v="25397635001001"/>
    <n v="-3.2"/>
    <n v="68"/>
    <n v="1"/>
    <n v="1"/>
  </r>
  <r>
    <m/>
    <m/>
    <x v="1"/>
    <s v="25741551007013"/>
    <n v="-4.04"/>
    <n v="86"/>
    <n v="1"/>
    <n v="1"/>
  </r>
  <r>
    <m/>
    <m/>
    <x v="1"/>
    <s v="25829665002002"/>
    <n v="-40.56"/>
    <n v="863"/>
    <n v="1"/>
    <n v="1"/>
  </r>
  <r>
    <m/>
    <m/>
    <x v="1"/>
    <s v="25874153001001"/>
    <n v="-0.71"/>
    <n v="15"/>
    <n v="1"/>
    <n v="1"/>
  </r>
  <r>
    <m/>
    <m/>
    <x v="1"/>
    <s v="26133946001003"/>
    <n v="-28.53"/>
    <n v="607"/>
    <n v="1"/>
    <n v="1"/>
  </r>
  <r>
    <m/>
    <m/>
    <x v="1"/>
    <s v="26360288004001"/>
    <n v="-0.38"/>
    <n v="8"/>
    <n v="1"/>
    <n v="1"/>
  </r>
  <r>
    <m/>
    <m/>
    <x v="1"/>
    <s v="26458905001002"/>
    <n v="-0.56000000000000005"/>
    <n v="12"/>
    <n v="1"/>
    <n v="1"/>
  </r>
  <r>
    <m/>
    <m/>
    <x v="1"/>
    <s v="26481593001002"/>
    <n v="-45.510000000000005"/>
    <n v="973"/>
    <n v="2"/>
    <n v="1"/>
  </r>
  <r>
    <m/>
    <m/>
    <x v="1"/>
    <s v="26543152001004"/>
    <n v="-5.69"/>
    <n v="121"/>
    <n v="1"/>
    <n v="1"/>
  </r>
  <r>
    <m/>
    <m/>
    <x v="1"/>
    <s v="26719169001001"/>
    <n v="-9.41"/>
    <n v="202"/>
    <n v="2"/>
    <n v="1"/>
  </r>
  <r>
    <m/>
    <m/>
    <x v="1"/>
    <s v="26763592001011"/>
    <n v="-10.01"/>
    <n v="213"/>
    <n v="1"/>
    <n v="1"/>
  </r>
  <r>
    <m/>
    <m/>
    <x v="1"/>
    <s v="26792221001002"/>
    <n v="-18.52"/>
    <n v="394"/>
    <n v="1"/>
    <n v="1"/>
  </r>
  <r>
    <m/>
    <m/>
    <x v="1"/>
    <s v="26889786001001"/>
    <n v="-37.81"/>
    <n v="812"/>
    <n v="2"/>
    <n v="1"/>
  </r>
  <r>
    <m/>
    <m/>
    <x v="1"/>
    <s v="26902722002003"/>
    <n v="-2.2999999999999998"/>
    <n v="49"/>
    <n v="1"/>
    <n v="1"/>
  </r>
  <r>
    <m/>
    <m/>
    <x v="1"/>
    <s v="26975811002001"/>
    <n v="-22.73"/>
    <n v="486"/>
    <n v="2"/>
    <n v="1"/>
  </r>
  <r>
    <m/>
    <m/>
    <x v="1"/>
    <s v="27004406001004"/>
    <n v="-1.1299999999999999"/>
    <n v="24"/>
    <n v="1"/>
    <n v="1"/>
  </r>
  <r>
    <m/>
    <m/>
    <x v="1"/>
    <s v="27126363001003"/>
    <n v="-63.199999999999996"/>
    <n v="1351"/>
    <n v="2"/>
    <n v="1"/>
  </r>
  <r>
    <m/>
    <m/>
    <x v="1"/>
    <s v="27132055004001"/>
    <n v="-53.32"/>
    <n v="1145"/>
    <n v="2"/>
    <n v="1"/>
  </r>
  <r>
    <m/>
    <m/>
    <x v="1"/>
    <s v="27160905001001"/>
    <n v="-4.84"/>
    <n v="103"/>
    <n v="1"/>
    <n v="1"/>
  </r>
  <r>
    <m/>
    <m/>
    <x v="1"/>
    <s v="27214758001001"/>
    <n v="-20.669999999999998"/>
    <n v="442"/>
    <n v="2"/>
    <n v="1"/>
  </r>
  <r>
    <m/>
    <m/>
    <x v="1"/>
    <s v="27335211003001"/>
    <n v="-10.76"/>
    <n v="229"/>
    <n v="1"/>
    <n v="1"/>
  </r>
  <r>
    <m/>
    <m/>
    <x v="1"/>
    <s v="27612583002003"/>
    <n v="-9.82"/>
    <n v="209"/>
    <n v="1"/>
    <n v="1"/>
  </r>
  <r>
    <m/>
    <m/>
    <x v="1"/>
    <s v="27614236002001"/>
    <n v="-20.770000000000003"/>
    <n v="446"/>
    <n v="2"/>
    <n v="1"/>
  </r>
  <r>
    <m/>
    <m/>
    <x v="1"/>
    <s v="27629352001002"/>
    <n v="-73.56"/>
    <n v="1565"/>
    <n v="1"/>
    <n v="1"/>
  </r>
  <r>
    <m/>
    <m/>
    <x v="1"/>
    <s v="27643675001002"/>
    <n v="-45.5"/>
    <n v="968"/>
    <n v="1"/>
    <n v="1"/>
  </r>
  <r>
    <m/>
    <m/>
    <x v="1"/>
    <s v="27670002001006"/>
    <n v="-44.23"/>
    <n v="941"/>
    <n v="1"/>
    <n v="1"/>
  </r>
  <r>
    <m/>
    <m/>
    <x v="1"/>
    <s v="27691065001006"/>
    <n v="-49.489999999999995"/>
    <n v="1063"/>
    <n v="2"/>
    <n v="1"/>
  </r>
  <r>
    <m/>
    <m/>
    <x v="1"/>
    <s v="27808881001014"/>
    <n v="-5.92"/>
    <n v="126"/>
    <n v="1"/>
    <n v="1"/>
  </r>
  <r>
    <m/>
    <m/>
    <x v="1"/>
    <s v="27809870001003"/>
    <n v="-56.39"/>
    <n v="1211"/>
    <n v="2"/>
    <n v="1"/>
  </r>
  <r>
    <m/>
    <m/>
    <x v="1"/>
    <s v="27883736001001"/>
    <n v="-70.819999999999993"/>
    <n v="1521"/>
    <n v="2"/>
    <n v="1"/>
  </r>
  <r>
    <m/>
    <m/>
    <x v="1"/>
    <s v="27899952001001"/>
    <n v="-4.47"/>
    <n v="95"/>
    <n v="1"/>
    <n v="1"/>
  </r>
  <r>
    <m/>
    <m/>
    <x v="1"/>
    <s v="27943716001001"/>
    <n v="-2.54"/>
    <n v="54"/>
    <n v="1"/>
    <n v="1"/>
  </r>
  <r>
    <m/>
    <m/>
    <x v="1"/>
    <s v="28059627001003"/>
    <n v="-3.38"/>
    <n v="72"/>
    <n v="1"/>
    <n v="1"/>
  </r>
  <r>
    <m/>
    <m/>
    <x v="1"/>
    <s v="28195746001005"/>
    <n v="-53.06"/>
    <n v="1129"/>
    <n v="1"/>
    <n v="1"/>
  </r>
  <r>
    <m/>
    <m/>
    <x v="1"/>
    <s v="28261263001001"/>
    <n v="-15.93"/>
    <n v="339"/>
    <n v="1"/>
    <n v="1"/>
  </r>
  <r>
    <m/>
    <m/>
    <x v="1"/>
    <s v="28330708001001"/>
    <n v="-3.01"/>
    <n v="64"/>
    <n v="1"/>
    <n v="1"/>
  </r>
  <r>
    <m/>
    <m/>
    <x v="1"/>
    <s v="28452386002001"/>
    <n v="-18.95"/>
    <n v="405"/>
    <n v="2"/>
    <n v="1"/>
  </r>
  <r>
    <m/>
    <m/>
    <x v="1"/>
    <s v="28472317001001"/>
    <n v="-10.76"/>
    <n v="229"/>
    <n v="1"/>
    <n v="1"/>
  </r>
  <r>
    <m/>
    <m/>
    <x v="1"/>
    <s v="28584427001008"/>
    <n v="-27.64"/>
    <n v="591"/>
    <n v="2"/>
    <n v="1"/>
  </r>
  <r>
    <m/>
    <m/>
    <x v="1"/>
    <s v="28592432001002"/>
    <n v="-15.46"/>
    <n v="329"/>
    <n v="1"/>
    <n v="1"/>
  </r>
  <r>
    <m/>
    <m/>
    <x v="1"/>
    <s v="28647586001001"/>
    <n v="-9.4499999999999993"/>
    <n v="201"/>
    <n v="1"/>
    <n v="1"/>
  </r>
  <r>
    <m/>
    <m/>
    <x v="1"/>
    <s v="28748611001008"/>
    <n v="-48.699999999999996"/>
    <n v="1046"/>
    <n v="2"/>
    <n v="1"/>
  </r>
  <r>
    <m/>
    <m/>
    <x v="1"/>
    <s v="28868417001005"/>
    <n v="-17.279999999999998"/>
    <n v="371"/>
    <n v="2"/>
    <n v="1"/>
  </r>
  <r>
    <m/>
    <m/>
    <x v="1"/>
    <s v="28950576001002"/>
    <n v="-2.91"/>
    <n v="62"/>
    <n v="1"/>
    <n v="1"/>
  </r>
  <r>
    <m/>
    <m/>
    <x v="1"/>
    <s v="28959951001001"/>
    <n v="-46.91"/>
    <n v="998"/>
    <n v="1"/>
    <n v="1"/>
  </r>
  <r>
    <m/>
    <m/>
    <x v="1"/>
    <s v="29003410001001"/>
    <n v="-20.3"/>
    <n v="432"/>
    <n v="1"/>
    <n v="1"/>
  </r>
  <r>
    <m/>
    <m/>
    <x v="1"/>
    <s v="29121023001001"/>
    <n v="-15.42"/>
    <n v="328"/>
    <n v="1"/>
    <n v="1"/>
  </r>
  <r>
    <m/>
    <m/>
    <x v="1"/>
    <s v="29195239002001"/>
    <n v="-5.41"/>
    <n v="115"/>
    <n v="1"/>
    <n v="1"/>
  </r>
  <r>
    <m/>
    <m/>
    <x v="1"/>
    <s v="29197433001003"/>
    <n v="-10.62"/>
    <n v="226"/>
    <n v="1"/>
    <n v="1"/>
  </r>
  <r>
    <m/>
    <m/>
    <x v="1"/>
    <s v="29250485007001"/>
    <n v="-57.81"/>
    <n v="1230"/>
    <n v="1"/>
    <n v="1"/>
  </r>
  <r>
    <m/>
    <m/>
    <x v="1"/>
    <s v="29296094001001"/>
    <n v="-15.6"/>
    <n v="332"/>
    <n v="1"/>
    <n v="1"/>
  </r>
  <r>
    <m/>
    <m/>
    <x v="1"/>
    <s v="29316455001004"/>
    <n v="-1.46"/>
    <n v="31"/>
    <n v="1"/>
    <n v="1"/>
  </r>
  <r>
    <m/>
    <m/>
    <x v="1"/>
    <s v="29333477001001"/>
    <n v="-34.340000000000003"/>
    <n v="734"/>
    <n v="2"/>
    <n v="1"/>
  </r>
  <r>
    <m/>
    <m/>
    <x v="1"/>
    <s v="29365356001002"/>
    <n v="-40.639999999999993"/>
    <n v="873"/>
    <n v="2"/>
    <n v="1"/>
  </r>
  <r>
    <m/>
    <m/>
    <x v="1"/>
    <s v="29448259001002"/>
    <n v="-3.1"/>
    <n v="66"/>
    <n v="1"/>
    <n v="1"/>
  </r>
  <r>
    <m/>
    <m/>
    <x v="1"/>
    <s v="29527274001001"/>
    <n v="-9.1199999999999992"/>
    <n v="194"/>
    <n v="1"/>
    <n v="1"/>
  </r>
  <r>
    <m/>
    <m/>
    <x v="1"/>
    <s v="29600057008001"/>
    <n v="-42.57"/>
    <n v="910"/>
    <n v="2"/>
    <n v="1"/>
  </r>
  <r>
    <m/>
    <m/>
    <x v="1"/>
    <s v="29746522001002"/>
    <n v="-9.7799999999999994"/>
    <n v="208"/>
    <n v="1"/>
    <n v="1"/>
  </r>
  <r>
    <m/>
    <m/>
    <x v="1"/>
    <s v="29810873001003"/>
    <n v="-59.88"/>
    <n v="1274"/>
    <n v="1"/>
    <n v="1"/>
  </r>
  <r>
    <m/>
    <m/>
    <x v="1"/>
    <s v="30023292002005"/>
    <n v="-2.0699999999999998"/>
    <n v="44"/>
    <n v="1"/>
    <n v="1"/>
  </r>
  <r>
    <m/>
    <m/>
    <x v="1"/>
    <s v="30128006001003"/>
    <n v="-24.74"/>
    <n v="529"/>
    <n v="2"/>
    <n v="1"/>
  </r>
  <r>
    <m/>
    <m/>
    <x v="1"/>
    <s v="30199968001001"/>
    <n v="-0.19"/>
    <n v="4"/>
    <n v="1"/>
    <n v="1"/>
  </r>
  <r>
    <m/>
    <m/>
    <x v="1"/>
    <s v="30234293001001"/>
    <n v="-33.090000000000003"/>
    <n v="704"/>
    <n v="1"/>
    <n v="1"/>
  </r>
  <r>
    <m/>
    <m/>
    <x v="1"/>
    <s v="30336396002007"/>
    <n v="-17.48"/>
    <n v="372"/>
    <n v="1"/>
    <n v="1"/>
  </r>
  <r>
    <m/>
    <m/>
    <x v="1"/>
    <s v="30340768001001"/>
    <n v="-31.77"/>
    <n v="676"/>
    <n v="1"/>
    <n v="1"/>
  </r>
  <r>
    <m/>
    <m/>
    <x v="1"/>
    <s v="30341651001005"/>
    <n v="-4.58"/>
    <n v="98"/>
    <n v="2"/>
    <n v="1"/>
  </r>
  <r>
    <m/>
    <m/>
    <x v="1"/>
    <s v="30370464002001"/>
    <n v="-23.12"/>
    <n v="492"/>
    <n v="1"/>
    <n v="1"/>
  </r>
  <r>
    <m/>
    <m/>
    <x v="1"/>
    <s v="30522741002006"/>
    <n v="-32.76"/>
    <n v="697"/>
    <n v="1"/>
    <n v="1"/>
  </r>
  <r>
    <m/>
    <m/>
    <x v="1"/>
    <s v="30816545001001"/>
    <n v="-3.71"/>
    <n v="79"/>
    <n v="1"/>
    <n v="1"/>
  </r>
  <r>
    <m/>
    <m/>
    <x v="1"/>
    <s v="30957294003003"/>
    <n v="-65.19"/>
    <n v="1387"/>
    <n v="1"/>
    <n v="1"/>
  </r>
  <r>
    <m/>
    <m/>
    <x v="1"/>
    <s v="31033019001001"/>
    <n v="-86.38"/>
    <n v="1855"/>
    <n v="2"/>
    <n v="1"/>
  </r>
  <r>
    <m/>
    <m/>
    <x v="1"/>
    <s v="31036584001003"/>
    <n v="-14.85"/>
    <n v="316"/>
    <n v="1"/>
    <n v="1"/>
  </r>
  <r>
    <m/>
    <m/>
    <x v="1"/>
    <s v="31065355001007"/>
    <n v="-17.91"/>
    <n v="381"/>
    <n v="1"/>
    <n v="1"/>
  </r>
  <r>
    <m/>
    <m/>
    <x v="1"/>
    <s v="31123464001003"/>
    <n v="-18.850000000000001"/>
    <n v="401"/>
    <n v="1"/>
    <n v="1"/>
  </r>
  <r>
    <m/>
    <m/>
    <x v="1"/>
    <s v="31128641001003"/>
    <n v="-4.28"/>
    <n v="91"/>
    <n v="1"/>
    <n v="1"/>
  </r>
  <r>
    <m/>
    <m/>
    <x v="1"/>
    <s v="31180110007001"/>
    <n v="-37.130000000000003"/>
    <n v="790"/>
    <n v="1"/>
    <n v="1"/>
  </r>
  <r>
    <m/>
    <m/>
    <x v="1"/>
    <s v="31196731002001"/>
    <n v="-53.11"/>
    <n v="1130"/>
    <n v="1"/>
    <n v="1"/>
  </r>
  <r>
    <m/>
    <m/>
    <x v="1"/>
    <s v="31283347001004"/>
    <n v="-18.990000000000002"/>
    <n v="406"/>
    <n v="2"/>
    <n v="1"/>
  </r>
  <r>
    <m/>
    <m/>
    <x v="1"/>
    <s v="31310853002001"/>
    <n v="-31.47"/>
    <n v="676"/>
    <n v="2"/>
    <n v="1"/>
  </r>
  <r>
    <m/>
    <m/>
    <x v="1"/>
    <s v="31347134001001"/>
    <n v="-32.85"/>
    <n v="699"/>
    <n v="1"/>
    <n v="1"/>
  </r>
  <r>
    <m/>
    <m/>
    <x v="1"/>
    <s v="31363659001003"/>
    <n v="-1.41"/>
    <n v="30"/>
    <n v="1"/>
    <n v="1"/>
  </r>
  <r>
    <m/>
    <m/>
    <x v="1"/>
    <s v="31408462001001"/>
    <n v="-0.94"/>
    <n v="20"/>
    <n v="1"/>
    <n v="1"/>
  </r>
  <r>
    <m/>
    <m/>
    <x v="1"/>
    <s v="31441919002003"/>
    <n v="-31.73"/>
    <n v="675"/>
    <n v="1"/>
    <n v="1"/>
  </r>
  <r>
    <m/>
    <m/>
    <x v="1"/>
    <s v="31484435001001"/>
    <n v="-20.12"/>
    <n v="428"/>
    <n v="1"/>
    <n v="1"/>
  </r>
  <r>
    <m/>
    <m/>
    <x v="1"/>
    <s v="31529203003001"/>
    <n v="-4.7"/>
    <n v="100"/>
    <n v="1"/>
    <n v="1"/>
  </r>
  <r>
    <m/>
    <m/>
    <x v="1"/>
    <s v="31533047001001"/>
    <n v="-16.78"/>
    <n v="357"/>
    <n v="1"/>
    <n v="1"/>
  </r>
  <r>
    <m/>
    <m/>
    <x v="1"/>
    <s v="31770964001004"/>
    <n v="-7.99"/>
    <n v="170"/>
    <n v="1"/>
    <n v="1"/>
  </r>
  <r>
    <m/>
    <m/>
    <x v="1"/>
    <s v="31849917001001"/>
    <n v="-28.53"/>
    <n v="610"/>
    <n v="2"/>
    <n v="1"/>
  </r>
  <r>
    <m/>
    <m/>
    <x v="1"/>
    <s v="31873971002001"/>
    <n v="-67.92"/>
    <n v="1445"/>
    <n v="1"/>
    <n v="1"/>
  </r>
  <r>
    <m/>
    <m/>
    <x v="1"/>
    <s v="31999957003003"/>
    <n v="-36.690000000000005"/>
    <n v="788"/>
    <n v="2"/>
    <n v="1"/>
  </r>
  <r>
    <m/>
    <m/>
    <x v="1"/>
    <s v="32186699001004"/>
    <n v="-1.03"/>
    <n v="22"/>
    <n v="1"/>
    <n v="1"/>
  </r>
  <r>
    <m/>
    <m/>
    <x v="1"/>
    <s v="32293901002001"/>
    <n v="-18.75"/>
    <n v="399"/>
    <n v="1"/>
    <n v="1"/>
  </r>
  <r>
    <m/>
    <m/>
    <x v="1"/>
    <s v="32321580001004"/>
    <n v="-10.34"/>
    <n v="220"/>
    <n v="1"/>
    <n v="1"/>
  </r>
  <r>
    <m/>
    <m/>
    <x v="1"/>
    <s v="32346038007001"/>
    <n v="-22.89"/>
    <n v="487"/>
    <n v="1"/>
    <n v="1"/>
  </r>
  <r>
    <m/>
    <m/>
    <x v="1"/>
    <s v="32419368001001"/>
    <n v="-10.72"/>
    <n v="228"/>
    <n v="1"/>
    <n v="1"/>
  </r>
  <r>
    <m/>
    <m/>
    <x v="1"/>
    <s v="32510019001001"/>
    <n v="-26.56"/>
    <n v="565"/>
    <n v="1"/>
    <n v="1"/>
  </r>
  <r>
    <m/>
    <m/>
    <x v="1"/>
    <s v="32767929001001"/>
    <n v="-4.37"/>
    <n v="93"/>
    <n v="1"/>
    <n v="1"/>
  </r>
  <r>
    <m/>
    <m/>
    <x v="1"/>
    <s v="32853341001004"/>
    <n v="-23.31"/>
    <n v="496"/>
    <n v="1"/>
    <n v="1"/>
  </r>
  <r>
    <m/>
    <m/>
    <x v="1"/>
    <s v="32983109001005"/>
    <n v="-17.34"/>
    <n v="369"/>
    <n v="1"/>
    <n v="1"/>
  </r>
  <r>
    <m/>
    <m/>
    <x v="1"/>
    <s v="33003317001001"/>
    <n v="-60.769999999999996"/>
    <n v="1299"/>
    <n v="2"/>
    <n v="1"/>
  </r>
  <r>
    <m/>
    <m/>
    <x v="1"/>
    <s v="33090993001001"/>
    <n v="-14.43"/>
    <n v="307"/>
    <n v="1"/>
    <n v="1"/>
  </r>
  <r>
    <m/>
    <m/>
    <x v="1"/>
    <s v="33155295001002"/>
    <n v="-26.6"/>
    <n v="566"/>
    <n v="1"/>
    <n v="1"/>
  </r>
  <r>
    <m/>
    <m/>
    <x v="1"/>
    <s v="33209129001005"/>
    <n v="-22.23"/>
    <n v="473"/>
    <n v="1"/>
    <n v="1"/>
  </r>
  <r>
    <m/>
    <m/>
    <x v="1"/>
    <s v="33292898001002"/>
    <n v="-1.46"/>
    <n v="31"/>
    <n v="1"/>
    <n v="1"/>
  </r>
  <r>
    <m/>
    <m/>
    <x v="1"/>
    <s v="33418787001002"/>
    <n v="-26.03"/>
    <n v="559"/>
    <n v="2"/>
    <n v="1"/>
  </r>
  <r>
    <m/>
    <m/>
    <x v="1"/>
    <s v="33439179001002"/>
    <n v="-7.99"/>
    <n v="170"/>
    <n v="1"/>
    <n v="1"/>
  </r>
  <r>
    <m/>
    <m/>
    <x v="1"/>
    <s v="33459488001004"/>
    <n v="-16.21"/>
    <n v="348"/>
    <n v="2"/>
    <n v="1"/>
  </r>
  <r>
    <m/>
    <m/>
    <x v="1"/>
    <s v="33465688002001"/>
    <n v="-46.27"/>
    <n v="989"/>
    <n v="2"/>
    <n v="1"/>
  </r>
  <r>
    <m/>
    <m/>
    <x v="1"/>
    <s v="33529526001001"/>
    <n v="-21.650000000000002"/>
    <n v="465"/>
    <n v="2"/>
    <n v="1"/>
  </r>
  <r>
    <m/>
    <m/>
    <x v="1"/>
    <s v="33533745001003"/>
    <n v="-2.68"/>
    <n v="57"/>
    <n v="1"/>
    <n v="1"/>
  </r>
  <r>
    <m/>
    <m/>
    <x v="1"/>
    <s v="33544933002001"/>
    <n v="-4.9800000000000004"/>
    <n v="106"/>
    <n v="1"/>
    <n v="1"/>
  </r>
  <r>
    <m/>
    <m/>
    <x v="1"/>
    <s v="33551931001003"/>
    <n v="-23.03"/>
    <n v="490"/>
    <n v="1"/>
    <n v="1"/>
  </r>
  <r>
    <m/>
    <m/>
    <x v="1"/>
    <s v="33559246001001"/>
    <n v="-3.2"/>
    <n v="68"/>
    <n v="1"/>
    <n v="1"/>
  </r>
  <r>
    <m/>
    <m/>
    <x v="1"/>
    <s v="33563818001002"/>
    <n v="-3.53"/>
    <n v="75"/>
    <n v="1"/>
    <n v="1"/>
  </r>
  <r>
    <m/>
    <m/>
    <x v="1"/>
    <s v="33674854001001"/>
    <n v="-14.1"/>
    <n v="300"/>
    <n v="1"/>
    <n v="1"/>
  </r>
  <r>
    <m/>
    <m/>
    <x v="1"/>
    <s v="33758373001010"/>
    <n v="-15.18"/>
    <n v="323"/>
    <n v="1"/>
    <n v="1"/>
  </r>
  <r>
    <m/>
    <m/>
    <x v="1"/>
    <s v="33804703001003"/>
    <n v="-9.7799999999999994"/>
    <n v="208"/>
    <n v="1"/>
    <n v="1"/>
  </r>
  <r>
    <m/>
    <m/>
    <x v="1"/>
    <s v="33808192001001"/>
    <n v="-13.68"/>
    <n v="291"/>
    <n v="1"/>
    <n v="1"/>
  </r>
  <r>
    <m/>
    <m/>
    <x v="1"/>
    <s v="33897699003002"/>
    <n v="-10.15"/>
    <n v="216"/>
    <n v="1"/>
    <n v="1"/>
  </r>
  <r>
    <m/>
    <m/>
    <x v="1"/>
    <s v="33988440001001"/>
    <n v="-32.61"/>
    <n v="697"/>
    <n v="2"/>
    <n v="1"/>
  </r>
  <r>
    <m/>
    <m/>
    <x v="1"/>
    <s v="33992123001003"/>
    <n v="-2.21"/>
    <n v="47"/>
    <n v="1"/>
    <n v="1"/>
  </r>
  <r>
    <m/>
    <m/>
    <x v="1"/>
    <s v="34080235001002"/>
    <n v="-4.42"/>
    <n v="94"/>
    <n v="1"/>
    <n v="1"/>
  </r>
  <r>
    <m/>
    <m/>
    <x v="1"/>
    <s v="34135500001003"/>
    <n v="-25.05"/>
    <n v="533"/>
    <n v="1"/>
    <n v="1"/>
  </r>
  <r>
    <m/>
    <m/>
    <x v="1"/>
    <s v="34246525001001"/>
    <n v="-70.27000000000001"/>
    <n v="1509"/>
    <n v="2"/>
    <n v="1"/>
  </r>
  <r>
    <m/>
    <m/>
    <x v="1"/>
    <s v="34489601001003"/>
    <n v="-22.8"/>
    <n v="485"/>
    <n v="1"/>
    <n v="1"/>
  </r>
  <r>
    <m/>
    <m/>
    <x v="1"/>
    <s v="34506194001002"/>
    <n v="-5.22"/>
    <n v="111"/>
    <n v="1"/>
    <n v="1"/>
  </r>
  <r>
    <m/>
    <m/>
    <x v="1"/>
    <s v="34652418001005"/>
    <n v="-26.63"/>
    <n v="572"/>
    <n v="2"/>
    <n v="1"/>
  </r>
  <r>
    <m/>
    <m/>
    <x v="1"/>
    <s v="34683105001001"/>
    <n v="-3.85"/>
    <n v="82"/>
    <n v="1"/>
    <n v="1"/>
  </r>
  <r>
    <m/>
    <m/>
    <x v="1"/>
    <s v="34717698001005"/>
    <n v="-1.22"/>
    <n v="26"/>
    <n v="1"/>
    <n v="1"/>
  </r>
  <r>
    <m/>
    <m/>
    <x v="1"/>
    <s v="34847231001001"/>
    <n v="-1.18"/>
    <n v="25"/>
    <n v="1"/>
    <n v="1"/>
  </r>
  <r>
    <m/>
    <m/>
    <x v="1"/>
    <s v="35012953001002"/>
    <n v="-4.8899999999999997"/>
    <n v="104"/>
    <n v="1"/>
    <n v="1"/>
  </r>
  <r>
    <m/>
    <m/>
    <x v="1"/>
    <s v="35037850001001"/>
    <n v="-2.35"/>
    <n v="50"/>
    <n v="1"/>
    <n v="1"/>
  </r>
  <r>
    <m/>
    <m/>
    <x v="1"/>
    <s v="35116339001001"/>
    <n v="-7.43"/>
    <n v="158"/>
    <n v="1"/>
    <n v="1"/>
  </r>
  <r>
    <m/>
    <m/>
    <x v="1"/>
    <s v="35266479001002"/>
    <n v="-12.88"/>
    <n v="274"/>
    <n v="1"/>
    <n v="1"/>
  </r>
  <r>
    <m/>
    <m/>
    <x v="1"/>
    <s v="35268541002002"/>
    <n v="-11.89"/>
    <n v="253"/>
    <n v="1"/>
    <n v="1"/>
  </r>
  <r>
    <m/>
    <m/>
    <x v="1"/>
    <s v="35340232002001"/>
    <n v="-26.88"/>
    <n v="572"/>
    <n v="1"/>
    <n v="1"/>
  </r>
  <r>
    <m/>
    <m/>
    <x v="1"/>
    <s v="35387208001001"/>
    <n v="-76.63"/>
    <n v="1638"/>
    <n v="2"/>
    <n v="1"/>
  </r>
  <r>
    <m/>
    <m/>
    <x v="1"/>
    <s v="35423655001001"/>
    <n v="-13.3"/>
    <n v="283"/>
    <n v="1"/>
    <n v="1"/>
  </r>
  <r>
    <m/>
    <m/>
    <x v="1"/>
    <s v="35453275001007"/>
    <n v="-35.200000000000003"/>
    <n v="749"/>
    <n v="1"/>
    <n v="1"/>
  </r>
  <r>
    <m/>
    <m/>
    <x v="1"/>
    <s v="35761120001001"/>
    <n v="-16.309999999999999"/>
    <n v="347"/>
    <n v="1"/>
    <n v="1"/>
  </r>
  <r>
    <m/>
    <m/>
    <x v="1"/>
    <s v="35796162001005"/>
    <n v="-7.29"/>
    <n v="155"/>
    <n v="1"/>
    <n v="1"/>
  </r>
  <r>
    <m/>
    <m/>
    <x v="1"/>
    <s v="35861191001002"/>
    <n v="-1.55"/>
    <n v="33"/>
    <n v="1"/>
    <n v="1"/>
  </r>
  <r>
    <m/>
    <m/>
    <x v="1"/>
    <s v="36015931001004"/>
    <n v="-19.04"/>
    <n v="407"/>
    <n v="2"/>
    <n v="1"/>
  </r>
  <r>
    <m/>
    <m/>
    <x v="1"/>
    <s v="36026930001001"/>
    <n v="-14.38"/>
    <n v="306"/>
    <n v="1"/>
    <n v="1"/>
  </r>
  <r>
    <m/>
    <m/>
    <x v="1"/>
    <s v="36048131001001"/>
    <n v="-5.64"/>
    <n v="120"/>
    <n v="1"/>
    <n v="1"/>
  </r>
  <r>
    <m/>
    <m/>
    <x v="1"/>
    <s v="36052702001001"/>
    <n v="-19.079999999999998"/>
    <n v="406"/>
    <n v="1"/>
    <n v="1"/>
  </r>
  <r>
    <m/>
    <m/>
    <x v="1"/>
    <s v="36127419001006"/>
    <n v="-34.26"/>
    <n v="729"/>
    <n v="1"/>
    <n v="1"/>
  </r>
  <r>
    <m/>
    <m/>
    <x v="1"/>
    <s v="36181263001002"/>
    <n v="-17.48"/>
    <n v="372"/>
    <n v="1"/>
    <n v="1"/>
  </r>
  <r>
    <m/>
    <m/>
    <x v="1"/>
    <s v="36248225001001"/>
    <n v="-29.56"/>
    <n v="629"/>
    <n v="1"/>
    <n v="1"/>
  </r>
  <r>
    <m/>
    <m/>
    <x v="1"/>
    <s v="36264381001001"/>
    <n v="-42.75"/>
    <n v="914"/>
    <n v="2"/>
    <n v="1"/>
  </r>
  <r>
    <m/>
    <m/>
    <x v="1"/>
    <s v="36284955001001"/>
    <n v="-1.65"/>
    <n v="35"/>
    <n v="1"/>
    <n v="1"/>
  </r>
  <r>
    <m/>
    <m/>
    <x v="1"/>
    <s v="36292176001002"/>
    <n v="-8.4600000000000009"/>
    <n v="180"/>
    <n v="1"/>
    <n v="1"/>
  </r>
  <r>
    <m/>
    <m/>
    <x v="1"/>
    <s v="36294296001004"/>
    <n v="-23.59"/>
    <n v="502"/>
    <n v="1"/>
    <n v="1"/>
  </r>
  <r>
    <m/>
    <m/>
    <x v="1"/>
    <s v="36405485001001"/>
    <n v="-18.850000000000001"/>
    <n v="401"/>
    <n v="1"/>
    <n v="1"/>
  </r>
  <r>
    <m/>
    <m/>
    <x v="1"/>
    <s v="36529463001001"/>
    <n v="-2.21"/>
    <n v="47"/>
    <n v="1"/>
    <n v="1"/>
  </r>
  <r>
    <m/>
    <m/>
    <x v="1"/>
    <s v="36618779001001"/>
    <n v="-18.3"/>
    <n v="393"/>
    <n v="2"/>
    <n v="1"/>
  </r>
  <r>
    <m/>
    <m/>
    <x v="1"/>
    <s v="36658787001001"/>
    <n v="-2.6500000000000004"/>
    <n v="57"/>
    <n v="2"/>
    <n v="1"/>
  </r>
  <r>
    <m/>
    <m/>
    <x v="1"/>
    <s v="36710944001004"/>
    <n v="-5.55"/>
    <n v="118"/>
    <n v="1"/>
    <n v="1"/>
  </r>
  <r>
    <m/>
    <m/>
    <x v="1"/>
    <s v="36829904002001"/>
    <n v="-70.83"/>
    <n v="1507"/>
    <n v="1"/>
    <n v="1"/>
  </r>
  <r>
    <m/>
    <m/>
    <x v="1"/>
    <s v="36994507001001"/>
    <n v="-26.37"/>
    <n v="561"/>
    <n v="1"/>
    <n v="1"/>
  </r>
  <r>
    <m/>
    <m/>
    <x v="1"/>
    <s v="37043182001006"/>
    <n v="-5.69"/>
    <n v="121"/>
    <n v="1"/>
    <n v="1"/>
  </r>
  <r>
    <m/>
    <m/>
    <x v="1"/>
    <s v="37387403001001"/>
    <n v="-19.04"/>
    <n v="405"/>
    <n v="1"/>
    <n v="1"/>
  </r>
  <r>
    <m/>
    <m/>
    <x v="1"/>
    <s v="37486921001001"/>
    <n v="-1.9100000000000001"/>
    <n v="41"/>
    <n v="2"/>
    <n v="1"/>
  </r>
  <r>
    <m/>
    <m/>
    <x v="1"/>
    <s v="37494438002001"/>
    <n v="-30.55"/>
    <n v="650"/>
    <n v="1"/>
    <n v="1"/>
  </r>
  <r>
    <m/>
    <m/>
    <x v="1"/>
    <s v="37578682001001"/>
    <n v="-14.17"/>
    <n v="303"/>
    <n v="2"/>
    <n v="1"/>
  </r>
  <r>
    <m/>
    <m/>
    <x v="1"/>
    <s v="37649110001001"/>
    <n v="-0.60000000000000009"/>
    <n v="13"/>
    <n v="2"/>
    <n v="1"/>
  </r>
  <r>
    <m/>
    <m/>
    <x v="1"/>
    <s v="37758573001006"/>
    <n v="-2.0499999999999998"/>
    <n v="44"/>
    <n v="2"/>
    <n v="1"/>
  </r>
  <r>
    <m/>
    <m/>
    <x v="1"/>
    <s v="37811888001008"/>
    <n v="-13.68"/>
    <n v="294"/>
    <n v="2"/>
    <n v="1"/>
  </r>
  <r>
    <m/>
    <m/>
    <x v="1"/>
    <s v="37926637001001"/>
    <n v="-18.190000000000001"/>
    <n v="387"/>
    <n v="1"/>
    <n v="1"/>
  </r>
  <r>
    <m/>
    <m/>
    <x v="1"/>
    <s v="38026902001001"/>
    <n v="-15.23"/>
    <n v="324"/>
    <n v="1"/>
    <n v="1"/>
  </r>
  <r>
    <m/>
    <m/>
    <x v="1"/>
    <s v="38052228001001"/>
    <n v="-17.010000000000002"/>
    <n v="362"/>
    <n v="1"/>
    <n v="1"/>
  </r>
  <r>
    <m/>
    <m/>
    <x v="1"/>
    <s v="38058429001003"/>
    <n v="-4"/>
    <n v="85"/>
    <n v="1"/>
    <n v="1"/>
  </r>
  <r>
    <m/>
    <m/>
    <x v="1"/>
    <s v="38237955003002"/>
    <n v="-8.1300000000000008"/>
    <n v="173"/>
    <n v="1"/>
    <n v="1"/>
  </r>
  <r>
    <m/>
    <m/>
    <x v="1"/>
    <s v="38301351001001"/>
    <n v="-1.69"/>
    <n v="36"/>
    <n v="1"/>
    <n v="1"/>
  </r>
  <r>
    <m/>
    <m/>
    <x v="1"/>
    <s v="38337468001001"/>
    <n v="-5.64"/>
    <n v="120"/>
    <n v="1"/>
    <n v="1"/>
  </r>
  <r>
    <m/>
    <m/>
    <x v="1"/>
    <s v="38377929001001"/>
    <n v="-56.31"/>
    <n v="1198"/>
    <n v="1"/>
    <n v="1"/>
  </r>
  <r>
    <m/>
    <m/>
    <x v="1"/>
    <s v="38397225001002"/>
    <n v="-62.82"/>
    <n v="1349"/>
    <n v="2"/>
    <n v="1"/>
  </r>
  <r>
    <m/>
    <m/>
    <x v="1"/>
    <s v="38413246001001"/>
    <n v="-15.98"/>
    <n v="340"/>
    <n v="1"/>
    <n v="1"/>
  </r>
  <r>
    <m/>
    <m/>
    <x v="1"/>
    <s v="38444251002005"/>
    <n v="-12.31"/>
    <n v="262"/>
    <n v="1"/>
    <n v="1"/>
  </r>
  <r>
    <m/>
    <m/>
    <x v="1"/>
    <s v="38448826001003"/>
    <n v="-47.17"/>
    <n v="1013"/>
    <n v="2"/>
    <n v="1"/>
  </r>
  <r>
    <m/>
    <m/>
    <x v="1"/>
    <s v="38499863001004"/>
    <n v="-1.65"/>
    <n v="35"/>
    <n v="1"/>
    <n v="1"/>
  </r>
  <r>
    <m/>
    <m/>
    <x v="1"/>
    <s v="38527198001001"/>
    <n v="-7.19"/>
    <n v="153"/>
    <n v="1"/>
    <n v="1"/>
  </r>
  <r>
    <m/>
    <m/>
    <x v="1"/>
    <s v="38540989001007"/>
    <n v="-1.41"/>
    <n v="30"/>
    <n v="1"/>
    <n v="1"/>
  </r>
  <r>
    <m/>
    <m/>
    <x v="1"/>
    <s v="38577493001007"/>
    <n v="-19.510000000000002"/>
    <n v="415"/>
    <n v="1"/>
    <n v="1"/>
  </r>
  <r>
    <m/>
    <m/>
    <x v="1"/>
    <s v="38611961001001"/>
    <n v="-4.47"/>
    <n v="95"/>
    <n v="1"/>
    <n v="1"/>
  </r>
  <r>
    <m/>
    <m/>
    <x v="1"/>
    <s v="38716177001005"/>
    <n v="-1.27"/>
    <n v="27"/>
    <n v="1"/>
    <n v="1"/>
  </r>
  <r>
    <m/>
    <m/>
    <x v="1"/>
    <s v="38776351002003"/>
    <n v="-0.60000000000000009"/>
    <n v="13"/>
    <n v="2"/>
    <n v="1"/>
  </r>
  <r>
    <m/>
    <m/>
    <x v="1"/>
    <s v="38940264003001"/>
    <n v="-0.8"/>
    <n v="17"/>
    <n v="1"/>
    <n v="1"/>
  </r>
  <r>
    <m/>
    <m/>
    <x v="1"/>
    <s v="38964048001001"/>
    <n v="-2.8800000000000003"/>
    <n v="62"/>
    <n v="2"/>
    <n v="1"/>
  </r>
  <r>
    <m/>
    <m/>
    <x v="1"/>
    <s v="39075374001002"/>
    <n v="-22.61"/>
    <n v="481"/>
    <n v="1"/>
    <n v="1"/>
  </r>
  <r>
    <m/>
    <m/>
    <x v="1"/>
    <s v="39105361003001"/>
    <n v="-2.73"/>
    <n v="58"/>
    <n v="1"/>
    <n v="1"/>
  </r>
  <r>
    <m/>
    <m/>
    <x v="1"/>
    <s v="39206681001007"/>
    <n v="-57.72"/>
    <n v="1228"/>
    <n v="1"/>
    <n v="1"/>
  </r>
  <r>
    <m/>
    <m/>
    <x v="1"/>
    <s v="39250671001002"/>
    <n v="-37.46"/>
    <n v="797"/>
    <n v="1"/>
    <n v="1"/>
  </r>
  <r>
    <m/>
    <m/>
    <x v="1"/>
    <s v="39300831002001"/>
    <n v="-19.739999999999998"/>
    <n v="420"/>
    <n v="1"/>
    <n v="1"/>
  </r>
  <r>
    <m/>
    <m/>
    <x v="1"/>
    <s v="39388823001003"/>
    <n v="-6.82"/>
    <n v="145"/>
    <n v="1"/>
    <n v="1"/>
  </r>
  <r>
    <m/>
    <m/>
    <x v="1"/>
    <s v="39398603002003"/>
    <n v="-6.86"/>
    <n v="146"/>
    <n v="1"/>
    <n v="1"/>
  </r>
  <r>
    <m/>
    <m/>
    <x v="1"/>
    <s v="39419789001003"/>
    <n v="-6.57"/>
    <n v="141"/>
    <n v="2"/>
    <n v="1"/>
  </r>
  <r>
    <m/>
    <m/>
    <x v="1"/>
    <s v="39500179007001"/>
    <n v="-2.91"/>
    <n v="62"/>
    <n v="1"/>
    <n v="1"/>
  </r>
  <r>
    <m/>
    <m/>
    <x v="1"/>
    <s v="39521370001002"/>
    <n v="-6.26"/>
    <n v="134"/>
    <n v="2"/>
    <n v="1"/>
  </r>
  <r>
    <m/>
    <m/>
    <x v="1"/>
    <s v="39525577001001"/>
    <n v="-5.45"/>
    <n v="116"/>
    <n v="1"/>
    <n v="1"/>
  </r>
  <r>
    <m/>
    <m/>
    <x v="1"/>
    <s v="39545289001005"/>
    <n v="-14.71"/>
    <n v="313"/>
    <n v="1"/>
    <n v="1"/>
  </r>
  <r>
    <m/>
    <m/>
    <x v="1"/>
    <s v="39604852001009"/>
    <n v="-12.31"/>
    <n v="262"/>
    <n v="1"/>
    <n v="1"/>
  </r>
  <r>
    <m/>
    <m/>
    <x v="1"/>
    <s v="39766526001003"/>
    <n v="-25.1"/>
    <n v="534"/>
    <n v="1"/>
    <n v="1"/>
  </r>
  <r>
    <m/>
    <m/>
    <x v="1"/>
    <s v="39773816001001"/>
    <n v="-34.36"/>
    <n v="731"/>
    <n v="1"/>
    <n v="1"/>
  </r>
  <r>
    <m/>
    <m/>
    <x v="1"/>
    <s v="39810811001003"/>
    <n v="-2.0699999999999998"/>
    <n v="44"/>
    <n v="1"/>
    <n v="1"/>
  </r>
  <r>
    <m/>
    <m/>
    <x v="1"/>
    <s v="39837826001005"/>
    <n v="-1.46"/>
    <n v="31"/>
    <n v="1"/>
    <n v="1"/>
  </r>
  <r>
    <m/>
    <m/>
    <x v="1"/>
    <s v="39879831002001"/>
    <n v="-29.56"/>
    <n v="629"/>
    <n v="1"/>
    <n v="1"/>
  </r>
  <r>
    <m/>
    <m/>
    <x v="1"/>
    <s v="39896845001003"/>
    <n v="-14.129999999999999"/>
    <n v="302"/>
    <n v="2"/>
    <n v="1"/>
  </r>
  <r>
    <m/>
    <m/>
    <x v="1"/>
    <s v="39956943001001"/>
    <n v="-0.99"/>
    <n v="21"/>
    <n v="1"/>
    <n v="1"/>
  </r>
  <r>
    <m/>
    <m/>
    <x v="1"/>
    <s v="40009788001007"/>
    <n v="-2.44"/>
    <n v="52"/>
    <n v="1"/>
    <n v="1"/>
  </r>
  <r>
    <m/>
    <m/>
    <x v="1"/>
    <s v="40055909001004"/>
    <n v="-2.4"/>
    <n v="51"/>
    <n v="1"/>
    <n v="1"/>
  </r>
  <r>
    <m/>
    <m/>
    <x v="1"/>
    <s v="40077250001001"/>
    <n v="-14.52"/>
    <n v="309"/>
    <n v="1"/>
    <n v="1"/>
  </r>
  <r>
    <m/>
    <m/>
    <x v="1"/>
    <s v="40089329001001"/>
    <n v="-6.36"/>
    <n v="136"/>
    <n v="2"/>
    <n v="1"/>
  </r>
  <r>
    <m/>
    <m/>
    <x v="1"/>
    <s v="40354936001001"/>
    <n v="-9.9600000000000009"/>
    <n v="212"/>
    <n v="1"/>
    <n v="1"/>
  </r>
  <r>
    <m/>
    <m/>
    <x v="1"/>
    <s v="40485294001001"/>
    <n v="-21.18"/>
    <n v="455"/>
    <n v="2"/>
    <n v="1"/>
  </r>
  <r>
    <m/>
    <m/>
    <x v="1"/>
    <s v="40507964001001"/>
    <n v="-9.35"/>
    <n v="199"/>
    <n v="1"/>
    <n v="1"/>
  </r>
  <r>
    <m/>
    <m/>
    <x v="1"/>
    <s v="40551150001001"/>
    <n v="-1.74"/>
    <n v="37"/>
    <n v="1"/>
    <n v="1"/>
  </r>
  <r>
    <m/>
    <m/>
    <x v="1"/>
    <s v="40647033004003"/>
    <n v="-44.23"/>
    <n v="941"/>
    <n v="1"/>
    <n v="1"/>
  </r>
  <r>
    <m/>
    <m/>
    <x v="1"/>
    <s v="40647134001006"/>
    <n v="-16"/>
    <n v="342"/>
    <n v="2"/>
    <n v="1"/>
  </r>
  <r>
    <m/>
    <m/>
    <x v="1"/>
    <s v="40680887001001"/>
    <n v="-82.06"/>
    <n v="1746"/>
    <n v="1"/>
    <n v="1"/>
  </r>
  <r>
    <m/>
    <m/>
    <x v="1"/>
    <s v="40766679002007"/>
    <n v="-12.93"/>
    <n v="275"/>
    <n v="1"/>
    <n v="1"/>
  </r>
  <r>
    <m/>
    <m/>
    <x v="1"/>
    <s v="40775591001001"/>
    <n v="-23.97"/>
    <n v="510"/>
    <n v="1"/>
    <n v="1"/>
  </r>
  <r>
    <m/>
    <m/>
    <x v="1"/>
    <s v="40819353001002"/>
    <n v="-33.730000000000004"/>
    <n v="721"/>
    <n v="2"/>
    <n v="1"/>
  </r>
  <r>
    <m/>
    <m/>
    <x v="1"/>
    <s v="40832381001001"/>
    <n v="-0.75"/>
    <n v="16"/>
    <n v="1"/>
    <n v="1"/>
  </r>
  <r>
    <m/>
    <m/>
    <x v="1"/>
    <s v="40849252002003"/>
    <n v="-41.97"/>
    <n v="893"/>
    <n v="1"/>
    <n v="1"/>
  </r>
  <r>
    <m/>
    <m/>
    <x v="1"/>
    <s v="40922056004001"/>
    <n v="-36.97"/>
    <n v="794"/>
    <n v="2"/>
    <n v="1"/>
  </r>
  <r>
    <m/>
    <m/>
    <x v="1"/>
    <s v="41057260001001"/>
    <n v="-31.58"/>
    <n v="672"/>
    <n v="1"/>
    <n v="1"/>
  </r>
  <r>
    <m/>
    <m/>
    <x v="1"/>
    <s v="41130002001001"/>
    <n v="-29.28"/>
    <n v="623"/>
    <n v="1"/>
    <n v="1"/>
  </r>
  <r>
    <m/>
    <m/>
    <x v="1"/>
    <s v="41179299003006"/>
    <n v="-22.36"/>
    <n v="480"/>
    <n v="2"/>
    <n v="1"/>
  </r>
  <r>
    <m/>
    <m/>
    <x v="1"/>
    <s v="41221819001001"/>
    <n v="-9.8699999999999992"/>
    <n v="211"/>
    <n v="2"/>
    <n v="1"/>
  </r>
  <r>
    <m/>
    <m/>
    <x v="1"/>
    <s v="41401860001002"/>
    <n v="-6.96"/>
    <n v="148"/>
    <n v="1"/>
    <n v="1"/>
  </r>
  <r>
    <m/>
    <m/>
    <x v="1"/>
    <s v="41410810001002"/>
    <n v="-22.75"/>
    <n v="484"/>
    <n v="1"/>
    <n v="1"/>
  </r>
  <r>
    <m/>
    <m/>
    <x v="1"/>
    <s v="41445973001001"/>
    <n v="-7.61"/>
    <n v="162"/>
    <n v="1"/>
    <n v="1"/>
  </r>
  <r>
    <m/>
    <m/>
    <x v="1"/>
    <s v="41456955003007"/>
    <n v="-10.9"/>
    <n v="232"/>
    <n v="1"/>
    <n v="1"/>
  </r>
  <r>
    <m/>
    <m/>
    <x v="1"/>
    <s v="41508622002001"/>
    <n v="-11.08"/>
    <n v="238"/>
    <n v="2"/>
    <n v="1"/>
  </r>
  <r>
    <m/>
    <m/>
    <x v="1"/>
    <s v="41611615001003"/>
    <n v="-0.89"/>
    <n v="19"/>
    <n v="1"/>
    <n v="1"/>
  </r>
  <r>
    <m/>
    <m/>
    <x v="1"/>
    <s v="41643514001001"/>
    <n v="-29.33"/>
    <n v="630"/>
    <n v="2"/>
    <n v="1"/>
  </r>
  <r>
    <m/>
    <m/>
    <x v="1"/>
    <s v="41731451001005"/>
    <n v="-0.33"/>
    <n v="7"/>
    <n v="1"/>
    <n v="1"/>
  </r>
  <r>
    <m/>
    <m/>
    <x v="1"/>
    <s v="41791652002003"/>
    <n v="-10.39"/>
    <n v="221"/>
    <n v="1"/>
    <n v="1"/>
  </r>
  <r>
    <m/>
    <m/>
    <x v="1"/>
    <s v="41878216001003"/>
    <n v="-18.190000000000001"/>
    <n v="387"/>
    <n v="1"/>
    <n v="1"/>
  </r>
  <r>
    <m/>
    <m/>
    <x v="1"/>
    <s v="41980548001001"/>
    <n v="-62.02"/>
    <n v="1332"/>
    <n v="2"/>
    <n v="1"/>
  </r>
  <r>
    <m/>
    <m/>
    <x v="1"/>
    <s v="42100131001001"/>
    <n v="-34.97"/>
    <n v="744"/>
    <n v="1"/>
    <n v="1"/>
  </r>
  <r>
    <m/>
    <m/>
    <x v="1"/>
    <s v="42149831001001"/>
    <n v="-13.72"/>
    <n v="292"/>
    <n v="1"/>
    <n v="1"/>
  </r>
  <r>
    <m/>
    <m/>
    <x v="1"/>
    <s v="42343001003003"/>
    <n v="-10.72"/>
    <n v="228"/>
    <n v="1"/>
    <n v="1"/>
  </r>
  <r>
    <m/>
    <m/>
    <x v="1"/>
    <s v="42367522001001"/>
    <n v="-15.46"/>
    <n v="329"/>
    <n v="1"/>
    <n v="1"/>
  </r>
  <r>
    <m/>
    <m/>
    <x v="1"/>
    <s v="42433691001006"/>
    <n v="-3.34"/>
    <n v="71"/>
    <n v="1"/>
    <n v="1"/>
  </r>
  <r>
    <m/>
    <m/>
    <x v="1"/>
    <s v="42442381001001"/>
    <n v="-2.96"/>
    <n v="63"/>
    <n v="1"/>
    <n v="1"/>
  </r>
  <r>
    <m/>
    <m/>
    <x v="1"/>
    <s v="42472781003002"/>
    <n v="-30.69"/>
    <n v="656"/>
    <n v="2"/>
    <n v="1"/>
  </r>
  <r>
    <m/>
    <m/>
    <x v="1"/>
    <s v="42488881004001"/>
    <n v="-10.1"/>
    <n v="217"/>
    <n v="2"/>
    <n v="1"/>
  </r>
  <r>
    <m/>
    <m/>
    <x v="1"/>
    <s v="42498331001004"/>
    <n v="-21.38"/>
    <n v="457"/>
    <n v="2"/>
    <n v="1"/>
  </r>
  <r>
    <m/>
    <m/>
    <x v="1"/>
    <s v="42500151001003"/>
    <n v="-60.4"/>
    <n v="1285"/>
    <n v="1"/>
    <n v="1"/>
  </r>
  <r>
    <m/>
    <m/>
    <x v="1"/>
    <s v="42515551001011"/>
    <n v="-14.48"/>
    <n v="308"/>
    <n v="1"/>
    <n v="1"/>
  </r>
  <r>
    <m/>
    <m/>
    <x v="1"/>
    <s v="42517161002001"/>
    <n v="-13.959999999999999"/>
    <n v="300"/>
    <n v="2"/>
    <n v="1"/>
  </r>
  <r>
    <m/>
    <m/>
    <x v="1"/>
    <s v="42527320001008"/>
    <n v="-8.14"/>
    <n v="174"/>
    <n v="2"/>
    <n v="1"/>
  </r>
  <r>
    <m/>
    <m/>
    <x v="1"/>
    <s v="42531581001002"/>
    <n v="-14.52"/>
    <n v="309"/>
    <n v="1"/>
    <n v="1"/>
  </r>
  <r>
    <m/>
    <m/>
    <x v="1"/>
    <s v="42537321002001"/>
    <n v="-5.64"/>
    <n v="120"/>
    <n v="1"/>
    <n v="1"/>
  </r>
  <r>
    <m/>
    <m/>
    <x v="1"/>
    <s v="42559441005001"/>
    <n v="-27.31"/>
    <n v="581"/>
    <n v="1"/>
    <n v="1"/>
  </r>
  <r>
    <m/>
    <m/>
    <x v="1"/>
    <s v="42561606001009"/>
    <n v="-24.53"/>
    <n v="522"/>
    <n v="1"/>
    <n v="1"/>
  </r>
  <r>
    <m/>
    <m/>
    <x v="1"/>
    <s v="42577991002002"/>
    <n v="-50.2"/>
    <n v="1068"/>
    <n v="1"/>
    <n v="1"/>
  </r>
  <r>
    <m/>
    <m/>
    <x v="1"/>
    <s v="42600391001002"/>
    <n v="-0.83"/>
    <n v="18"/>
    <n v="2"/>
    <n v="1"/>
  </r>
  <r>
    <m/>
    <m/>
    <x v="1"/>
    <s v="42604451021001"/>
    <n v="-40.28"/>
    <n v="857"/>
    <n v="1"/>
    <n v="1"/>
  </r>
  <r>
    <m/>
    <m/>
    <x v="1"/>
    <s v="42639241005001"/>
    <n v="-22.56"/>
    <n v="480"/>
    <n v="1"/>
    <n v="1"/>
  </r>
  <r>
    <m/>
    <m/>
    <x v="1"/>
    <s v="42640711003001"/>
    <n v="-13.11"/>
    <n v="279"/>
    <n v="1"/>
    <n v="1"/>
  </r>
  <r>
    <m/>
    <m/>
    <x v="1"/>
    <s v="42642741002001"/>
    <n v="-13.96"/>
    <n v="297"/>
    <n v="1"/>
    <n v="1"/>
  </r>
  <r>
    <m/>
    <m/>
    <x v="1"/>
    <s v="42642951010001"/>
    <n v="-4.75"/>
    <n v="102"/>
    <n v="2"/>
    <n v="1"/>
  </r>
  <r>
    <m/>
    <m/>
    <x v="1"/>
    <s v="42675015004001"/>
    <n v="-27.35"/>
    <n v="582"/>
    <n v="1"/>
    <n v="1"/>
  </r>
  <r>
    <m/>
    <m/>
    <x v="1"/>
    <s v="42679491001001"/>
    <n v="-12.46"/>
    <n v="265"/>
    <n v="1"/>
    <n v="1"/>
  </r>
  <r>
    <m/>
    <m/>
    <x v="1"/>
    <s v="42686841002004"/>
    <n v="-6.76"/>
    <n v="145"/>
    <n v="2"/>
    <n v="1"/>
  </r>
  <r>
    <m/>
    <m/>
    <x v="1"/>
    <s v="42689921004001"/>
    <n v="-28.11"/>
    <n v="598"/>
    <n v="1"/>
    <n v="1"/>
  </r>
  <r>
    <m/>
    <m/>
    <x v="1"/>
    <s v="42701961001004"/>
    <n v="-14.66"/>
    <n v="312"/>
    <n v="1"/>
    <n v="1"/>
  </r>
  <r>
    <m/>
    <m/>
    <x v="1"/>
    <s v="42718551001001"/>
    <n v="-34.71"/>
    <n v="742"/>
    <n v="2"/>
    <n v="1"/>
  </r>
  <r>
    <m/>
    <m/>
    <x v="1"/>
    <s v="42723241001001"/>
    <n v="-20.77"/>
    <n v="444"/>
    <n v="2"/>
    <n v="1"/>
  </r>
  <r>
    <m/>
    <m/>
    <x v="1"/>
    <s v="42734931001007"/>
    <n v="-45.870000000000005"/>
    <n v="985"/>
    <n v="2"/>
    <n v="1"/>
  </r>
  <r>
    <m/>
    <m/>
    <x v="1"/>
    <s v="42737381006001"/>
    <n v="-17.95"/>
    <n v="382"/>
    <n v="1"/>
    <n v="1"/>
  </r>
  <r>
    <m/>
    <m/>
    <x v="1"/>
    <s v="42775461005001"/>
    <n v="-37.340000000000003"/>
    <n v="802"/>
    <n v="2"/>
    <n v="1"/>
  </r>
  <r>
    <m/>
    <m/>
    <x v="1"/>
    <s v="42802481004001"/>
    <n v="-24.44"/>
    <n v="520"/>
    <n v="1"/>
    <n v="1"/>
  </r>
  <r>
    <m/>
    <m/>
    <x v="1"/>
    <s v="42889211005001"/>
    <n v="-77.739999999999995"/>
    <n v="1654"/>
    <n v="1"/>
    <n v="1"/>
  </r>
  <r>
    <m/>
    <m/>
    <x v="1"/>
    <s v="42896771001009"/>
    <n v="-39.9"/>
    <n v="849"/>
    <n v="1"/>
    <n v="1"/>
  </r>
  <r>
    <m/>
    <m/>
    <x v="1"/>
    <s v="42901041001001"/>
    <n v="-14.9"/>
    <n v="317"/>
    <n v="1"/>
    <n v="1"/>
  </r>
  <r>
    <m/>
    <m/>
    <x v="1"/>
    <s v="42972931001004"/>
    <n v="-9.9600000000000009"/>
    <n v="212"/>
    <n v="1"/>
    <n v="1"/>
  </r>
  <r>
    <m/>
    <m/>
    <x v="1"/>
    <s v="42997221001001"/>
    <n v="-13.96"/>
    <n v="297"/>
    <n v="1"/>
    <n v="1"/>
  </r>
  <r>
    <m/>
    <m/>
    <x v="1"/>
    <s v="43023681011001"/>
    <n v="-11.19"/>
    <n v="238"/>
    <n v="1"/>
    <n v="1"/>
  </r>
  <r>
    <m/>
    <m/>
    <x v="1"/>
    <s v="43060291001001"/>
    <n v="-32.71"/>
    <n v="696"/>
    <n v="1"/>
    <n v="1"/>
  </r>
  <r>
    <m/>
    <m/>
    <x v="1"/>
    <s v="43122241004003"/>
    <n v="-41.31"/>
    <n v="879"/>
    <n v="1"/>
    <n v="1"/>
  </r>
  <r>
    <m/>
    <m/>
    <x v="1"/>
    <s v="43139951001001"/>
    <n v="-3.85"/>
    <n v="82"/>
    <n v="1"/>
    <n v="1"/>
  </r>
  <r>
    <m/>
    <m/>
    <x v="1"/>
    <s v="43172221002008"/>
    <n v="-75.62"/>
    <n v="1624"/>
    <n v="2"/>
    <n v="1"/>
  </r>
  <r>
    <m/>
    <m/>
    <x v="1"/>
    <s v="43172690004001"/>
    <n v="-9.82"/>
    <n v="209"/>
    <n v="1"/>
    <n v="1"/>
  </r>
  <r>
    <m/>
    <m/>
    <x v="1"/>
    <s v="43223951001010"/>
    <n v="-13.58"/>
    <n v="289"/>
    <n v="1"/>
    <n v="1"/>
  </r>
  <r>
    <m/>
    <m/>
    <x v="1"/>
    <s v="43240331001004"/>
    <n v="-22.02"/>
    <n v="473"/>
    <n v="2"/>
    <n v="1"/>
  </r>
  <r>
    <m/>
    <m/>
    <x v="1"/>
    <s v="43240401001003"/>
    <n v="-25.52"/>
    <n v="543"/>
    <n v="1"/>
    <n v="1"/>
  </r>
  <r>
    <m/>
    <m/>
    <x v="1"/>
    <s v="43243411001002"/>
    <n v="-18.28"/>
    <n v="389"/>
    <n v="1"/>
    <n v="1"/>
  </r>
  <r>
    <m/>
    <m/>
    <x v="1"/>
    <s v="43248661002001"/>
    <n v="-36.28"/>
    <n v="772"/>
    <n v="1"/>
    <n v="1"/>
  </r>
  <r>
    <m/>
    <m/>
    <x v="1"/>
    <s v="43251181001001"/>
    <n v="-6.86"/>
    <n v="146"/>
    <n v="1"/>
    <n v="1"/>
  </r>
  <r>
    <m/>
    <m/>
    <x v="1"/>
    <s v="43254121001004"/>
    <n v="-24.61"/>
    <n v="526"/>
    <n v="2"/>
    <n v="1"/>
  </r>
  <r>
    <m/>
    <m/>
    <x v="1"/>
    <s v="43261541001001"/>
    <n v="-21.15"/>
    <n v="450"/>
    <n v="1"/>
    <n v="1"/>
  </r>
  <r>
    <m/>
    <m/>
    <x v="1"/>
    <s v="43268821001001"/>
    <n v="-34.590000000000003"/>
    <n v="736"/>
    <n v="1"/>
    <n v="1"/>
  </r>
  <r>
    <m/>
    <m/>
    <x v="1"/>
    <s v="43273931004001"/>
    <n v="-23.03"/>
    <n v="490"/>
    <n v="1"/>
    <n v="1"/>
  </r>
  <r>
    <m/>
    <m/>
    <x v="1"/>
    <s v="43285971001002"/>
    <n v="-3.15"/>
    <n v="67"/>
    <n v="1"/>
    <n v="1"/>
  </r>
  <r>
    <m/>
    <m/>
    <x v="1"/>
    <s v="43291781001001"/>
    <n v="-2.96"/>
    <n v="63"/>
    <n v="1"/>
    <n v="1"/>
  </r>
  <r>
    <m/>
    <m/>
    <x v="1"/>
    <s v="43296891001001"/>
    <n v="-9.4499999999999993"/>
    <n v="201"/>
    <n v="1"/>
    <n v="1"/>
  </r>
  <r>
    <m/>
    <m/>
    <x v="1"/>
    <s v="43424081002001"/>
    <n v="-7.43"/>
    <n v="158"/>
    <n v="1"/>
    <n v="1"/>
  </r>
  <r>
    <m/>
    <m/>
    <x v="1"/>
    <s v="43523521003001"/>
    <n v="-15.89"/>
    <n v="338"/>
    <n v="1"/>
    <n v="1"/>
  </r>
  <r>
    <m/>
    <m/>
    <x v="1"/>
    <s v="43575421002001"/>
    <n v="-46.67"/>
    <n v="993"/>
    <n v="1"/>
    <n v="1"/>
  </r>
  <r>
    <m/>
    <m/>
    <x v="1"/>
    <s v="43606427009001"/>
    <n v="-4.09"/>
    <n v="87"/>
    <n v="1"/>
    <n v="1"/>
  </r>
  <r>
    <m/>
    <m/>
    <x v="1"/>
    <s v="43675311001004"/>
    <n v="-2.2999999999999998"/>
    <n v="49"/>
    <n v="1"/>
    <n v="1"/>
  </r>
  <r>
    <m/>
    <m/>
    <x v="1"/>
    <s v="43675731002001"/>
    <n v="-32.99"/>
    <n v="702"/>
    <n v="1"/>
    <n v="1"/>
  </r>
  <r>
    <m/>
    <m/>
    <x v="1"/>
    <s v="43685671001004"/>
    <n v="-8.89"/>
    <n v="191"/>
    <n v="2"/>
    <n v="1"/>
  </r>
  <r>
    <m/>
    <m/>
    <x v="1"/>
    <s v="43686721001006"/>
    <n v="-3.71"/>
    <n v="79"/>
    <n v="1"/>
    <n v="1"/>
  </r>
  <r>
    <m/>
    <m/>
    <x v="1"/>
    <s v="43761831007001"/>
    <n v="-140.19999999999999"/>
    <n v="2997"/>
    <n v="2"/>
    <n v="1"/>
  </r>
  <r>
    <m/>
    <m/>
    <x v="1"/>
    <s v="43865752001004"/>
    <n v="-2.91"/>
    <n v="62"/>
    <n v="1"/>
    <n v="1"/>
  </r>
  <r>
    <m/>
    <m/>
    <x v="1"/>
    <s v="43901831002001"/>
    <n v="-17.48"/>
    <n v="372"/>
    <n v="1"/>
    <n v="1"/>
  </r>
  <r>
    <m/>
    <m/>
    <x v="1"/>
    <s v="43908201002002"/>
    <n v="-3.06"/>
    <n v="65"/>
    <n v="1"/>
    <n v="1"/>
  </r>
  <r>
    <m/>
    <m/>
    <x v="1"/>
    <s v="43924371003001"/>
    <n v="-12.22"/>
    <n v="260"/>
    <n v="1"/>
    <n v="1"/>
  </r>
  <r>
    <m/>
    <m/>
    <x v="1"/>
    <s v="43953794001001"/>
    <n v="-29.52"/>
    <n v="628"/>
    <n v="1"/>
    <n v="1"/>
  </r>
  <r>
    <m/>
    <m/>
    <x v="1"/>
    <s v="43991683002001"/>
    <n v="-23.55"/>
    <n v="501"/>
    <n v="1"/>
    <n v="1"/>
  </r>
  <r>
    <m/>
    <m/>
    <x v="1"/>
    <s v="44027831001002"/>
    <n v="-15.32"/>
    <n v="326"/>
    <n v="1"/>
    <n v="1"/>
  </r>
  <r>
    <m/>
    <m/>
    <x v="1"/>
    <s v="44172520001001"/>
    <n v="-23.22"/>
    <n v="494"/>
    <n v="1"/>
    <n v="1"/>
  </r>
  <r>
    <m/>
    <m/>
    <x v="1"/>
    <s v="44213401001003"/>
    <n v="-23.92"/>
    <n v="509"/>
    <n v="1"/>
    <n v="1"/>
  </r>
  <r>
    <m/>
    <m/>
    <x v="1"/>
    <s v="44261911001001"/>
    <n v="-4.5599999999999996"/>
    <n v="97"/>
    <n v="1"/>
    <n v="1"/>
  </r>
  <r>
    <m/>
    <m/>
    <x v="1"/>
    <s v="44295021002002"/>
    <n v="-4.9800000000000004"/>
    <n v="106"/>
    <n v="1"/>
    <n v="1"/>
  </r>
  <r>
    <m/>
    <m/>
    <x v="1"/>
    <s v="44301741001003"/>
    <n v="-36.61"/>
    <n v="779"/>
    <n v="1"/>
    <n v="1"/>
  </r>
  <r>
    <m/>
    <m/>
    <x v="1"/>
    <s v="44313851003003"/>
    <n v="-13.16"/>
    <n v="280"/>
    <n v="1"/>
    <n v="1"/>
  </r>
  <r>
    <m/>
    <m/>
    <x v="1"/>
    <s v="44346821001002"/>
    <n v="-6.16"/>
    <n v="131"/>
    <n v="1"/>
    <n v="1"/>
  </r>
  <r>
    <m/>
    <m/>
    <x v="1"/>
    <s v="44347031002001"/>
    <n v="-12.5"/>
    <n v="266"/>
    <n v="1"/>
    <n v="1"/>
  </r>
  <r>
    <m/>
    <m/>
    <x v="1"/>
    <s v="44371461001006"/>
    <n v="-1.79"/>
    <n v="38"/>
    <n v="1"/>
    <n v="1"/>
  </r>
  <r>
    <m/>
    <m/>
    <x v="1"/>
    <s v="44380071003001"/>
    <n v="-19.93"/>
    <n v="424"/>
    <n v="1"/>
    <n v="1"/>
  </r>
  <r>
    <m/>
    <m/>
    <x v="1"/>
    <s v="44400231001002"/>
    <n v="-27.31"/>
    <n v="581"/>
    <n v="1"/>
    <n v="1"/>
  </r>
  <r>
    <m/>
    <m/>
    <x v="1"/>
    <s v="44437541001001"/>
    <n v="-62.32"/>
    <n v="1326"/>
    <n v="1"/>
    <n v="1"/>
  </r>
  <r>
    <m/>
    <m/>
    <x v="1"/>
    <s v="44477199001001"/>
    <n v="-2.91"/>
    <n v="62"/>
    <n v="1"/>
    <n v="1"/>
  </r>
  <r>
    <m/>
    <m/>
    <x v="1"/>
    <s v="44504531002005"/>
    <n v="-15.7"/>
    <n v="334"/>
    <n v="1"/>
    <n v="1"/>
  </r>
  <r>
    <m/>
    <m/>
    <x v="1"/>
    <s v="44510901001001"/>
    <n v="-14.9"/>
    <n v="317"/>
    <n v="1"/>
    <n v="1"/>
  </r>
  <r>
    <m/>
    <m/>
    <x v="1"/>
    <s v="44512971001001"/>
    <n v="-12.97"/>
    <n v="276"/>
    <n v="1"/>
    <n v="1"/>
  </r>
  <r>
    <m/>
    <m/>
    <x v="1"/>
    <s v="44514712001002"/>
    <n v="-31.73"/>
    <n v="675"/>
    <n v="1"/>
    <n v="1"/>
  </r>
  <r>
    <m/>
    <m/>
    <x v="1"/>
    <s v="44518951007001"/>
    <n v="-17.86"/>
    <n v="380"/>
    <n v="1"/>
    <n v="1"/>
  </r>
  <r>
    <m/>
    <m/>
    <x v="1"/>
    <s v="44522381001001"/>
    <n v="-28.58"/>
    <n v="608"/>
    <n v="1"/>
    <n v="1"/>
  </r>
  <r>
    <m/>
    <m/>
    <x v="1"/>
    <s v="44524901001003"/>
    <n v="-9.4"/>
    <n v="200"/>
    <n v="1"/>
    <n v="1"/>
  </r>
  <r>
    <m/>
    <m/>
    <x v="1"/>
    <s v="44528121001001"/>
    <n v="-3.48"/>
    <n v="74"/>
    <n v="1"/>
    <n v="1"/>
  </r>
  <r>
    <m/>
    <m/>
    <x v="1"/>
    <s v="44533511002002"/>
    <n v="-20.45"/>
    <n v="435"/>
    <n v="1"/>
    <n v="1"/>
  </r>
  <r>
    <m/>
    <m/>
    <x v="1"/>
    <s v="44545341001001"/>
    <n v="-13.02"/>
    <n v="277"/>
    <n v="1"/>
    <n v="1"/>
  </r>
  <r>
    <m/>
    <m/>
    <x v="1"/>
    <s v="44560475001003"/>
    <n v="-21.86"/>
    <n v="465"/>
    <n v="1"/>
    <n v="1"/>
  </r>
  <r>
    <m/>
    <m/>
    <x v="1"/>
    <s v="44562981001002"/>
    <n v="-28.95"/>
    <n v="616"/>
    <n v="1"/>
    <n v="1"/>
  </r>
  <r>
    <m/>
    <m/>
    <x v="1"/>
    <s v="44563681004003"/>
    <n v="-60.35"/>
    <n v="1284"/>
    <n v="1"/>
    <n v="1"/>
  </r>
  <r>
    <m/>
    <m/>
    <x v="1"/>
    <s v="44568316003001"/>
    <n v="-14.24"/>
    <n v="303"/>
    <n v="1"/>
    <n v="1"/>
  </r>
  <r>
    <m/>
    <m/>
    <x v="1"/>
    <s v="44572361001002"/>
    <n v="-17.77"/>
    <n v="378"/>
    <n v="1"/>
    <n v="1"/>
  </r>
  <r>
    <m/>
    <m/>
    <x v="1"/>
    <s v="44577121001003"/>
    <n v="-30.93"/>
    <n v="658"/>
    <n v="1"/>
    <n v="1"/>
  </r>
  <r>
    <m/>
    <m/>
    <x v="1"/>
    <s v="44577611002002"/>
    <n v="-6.91"/>
    <n v="147"/>
    <n v="1"/>
    <n v="1"/>
  </r>
  <r>
    <m/>
    <m/>
    <x v="1"/>
    <s v="44578101001008"/>
    <n v="-12.5"/>
    <n v="266"/>
    <n v="1"/>
    <n v="1"/>
  </r>
  <r>
    <m/>
    <m/>
    <x v="1"/>
    <s v="44580411001002"/>
    <n v="-17.48"/>
    <n v="372"/>
    <n v="1"/>
    <n v="1"/>
  </r>
  <r>
    <m/>
    <m/>
    <x v="1"/>
    <s v="44617161001001"/>
    <n v="-14.1"/>
    <n v="300"/>
    <n v="1"/>
    <n v="1"/>
  </r>
  <r>
    <m/>
    <m/>
    <x v="1"/>
    <s v="44617721001003"/>
    <n v="-5.12"/>
    <n v="109"/>
    <n v="1"/>
    <n v="1"/>
  </r>
  <r>
    <m/>
    <m/>
    <x v="1"/>
    <s v="44627031001005"/>
    <n v="-61.43"/>
    <n v="1307"/>
    <n v="1"/>
    <n v="1"/>
  </r>
  <r>
    <m/>
    <m/>
    <x v="1"/>
    <s v="44663409001001"/>
    <n v="-48.57"/>
    <n v="1043"/>
    <n v="2"/>
    <n v="1"/>
  </r>
  <r>
    <m/>
    <m/>
    <x v="1"/>
    <s v="44688771001005"/>
    <n v="-25.76"/>
    <n v="548"/>
    <n v="1"/>
    <n v="1"/>
  </r>
  <r>
    <m/>
    <m/>
    <x v="1"/>
    <s v="44706621001001"/>
    <n v="-11.28"/>
    <n v="240"/>
    <n v="1"/>
    <n v="1"/>
  </r>
  <r>
    <m/>
    <m/>
    <x v="1"/>
    <s v="44710891001001"/>
    <n v="-19.510000000000002"/>
    <n v="415"/>
    <n v="1"/>
    <n v="1"/>
  </r>
  <r>
    <m/>
    <m/>
    <x v="1"/>
    <s v="44726291001003"/>
    <n v="-17.25"/>
    <n v="367"/>
    <n v="1"/>
    <n v="1"/>
  </r>
  <r>
    <m/>
    <m/>
    <x v="1"/>
    <s v="44732801001003"/>
    <n v="-15.25"/>
    <n v="326"/>
    <n v="2"/>
    <n v="1"/>
  </r>
  <r>
    <m/>
    <m/>
    <x v="1"/>
    <s v="44746871002001"/>
    <n v="-9.59"/>
    <n v="204"/>
    <n v="1"/>
    <n v="1"/>
  </r>
  <r>
    <m/>
    <m/>
    <x v="1"/>
    <s v="44749671001002"/>
    <n v="-51.89"/>
    <n v="1104"/>
    <n v="1"/>
    <n v="1"/>
  </r>
  <r>
    <m/>
    <m/>
    <x v="1"/>
    <s v="44753381001001"/>
    <n v="-10.39"/>
    <n v="221"/>
    <n v="1"/>
    <n v="1"/>
  </r>
  <r>
    <m/>
    <m/>
    <x v="1"/>
    <s v="44761361002003"/>
    <n v="-29.42"/>
    <n v="626"/>
    <n v="1"/>
    <n v="1"/>
  </r>
  <r>
    <m/>
    <m/>
    <x v="1"/>
    <s v="44774521001002"/>
    <n v="-17.670000000000002"/>
    <n v="376"/>
    <n v="1"/>
    <n v="1"/>
  </r>
  <r>
    <m/>
    <m/>
    <x v="1"/>
    <s v="44784461002001"/>
    <n v="-31.02"/>
    <n v="660"/>
    <n v="1"/>
    <n v="1"/>
  </r>
  <r>
    <m/>
    <m/>
    <x v="1"/>
    <s v="44800981002004"/>
    <n v="-20.259999999999998"/>
    <n v="433"/>
    <n v="2"/>
    <n v="1"/>
  </r>
  <r>
    <m/>
    <m/>
    <x v="1"/>
    <s v="44808191002002"/>
    <n v="-30.88"/>
    <n v="657"/>
    <n v="1"/>
    <n v="1"/>
  </r>
  <r>
    <m/>
    <m/>
    <x v="1"/>
    <s v="44813091001002"/>
    <n v="-12.88"/>
    <n v="274"/>
    <n v="1"/>
    <n v="1"/>
  </r>
  <r>
    <m/>
    <m/>
    <x v="1"/>
    <s v="44817081001006"/>
    <n v="-19.739999999999998"/>
    <n v="420"/>
    <n v="1"/>
    <n v="1"/>
  </r>
  <r>
    <m/>
    <m/>
    <x v="1"/>
    <s v="44846761001001"/>
    <n v="-23.27"/>
    <n v="495"/>
    <n v="1"/>
    <n v="1"/>
  </r>
  <r>
    <m/>
    <m/>
    <x v="1"/>
    <s v="44863491001001"/>
    <n v="-21.53"/>
    <n v="458"/>
    <n v="1"/>
    <n v="1"/>
  </r>
  <r>
    <m/>
    <m/>
    <x v="1"/>
    <s v="44876721001002"/>
    <n v="-32.619999999999997"/>
    <n v="694"/>
    <n v="1"/>
    <n v="1"/>
  </r>
  <r>
    <m/>
    <m/>
    <x v="1"/>
    <s v="44879801001001"/>
    <n v="-1.6"/>
    <n v="34"/>
    <n v="1"/>
    <n v="1"/>
  </r>
  <r>
    <m/>
    <m/>
    <x v="1"/>
    <s v="44881201001001"/>
    <n v="-9.8699999999999992"/>
    <n v="210"/>
    <n v="1"/>
    <n v="1"/>
  </r>
  <r>
    <m/>
    <m/>
    <x v="1"/>
    <s v="44881271001004"/>
    <n v="-35.67"/>
    <n v="759"/>
    <n v="1"/>
    <n v="1"/>
  </r>
  <r>
    <m/>
    <m/>
    <x v="1"/>
    <s v="44893661001002"/>
    <n v="-1.32"/>
    <n v="28"/>
    <n v="1"/>
    <n v="1"/>
  </r>
  <r>
    <m/>
    <m/>
    <x v="1"/>
    <s v="44896251001001"/>
    <n v="-12.36"/>
    <n v="263"/>
    <n v="1"/>
    <n v="1"/>
  </r>
  <r>
    <m/>
    <m/>
    <x v="1"/>
    <s v="44898351001001"/>
    <n v="-27.26"/>
    <n v="580"/>
    <n v="1"/>
    <n v="1"/>
  </r>
  <r>
    <m/>
    <m/>
    <x v="1"/>
    <s v="44956311001001"/>
    <n v="-12.97"/>
    <n v="276"/>
    <n v="1"/>
    <n v="1"/>
  </r>
  <r>
    <m/>
    <m/>
    <x v="1"/>
    <s v="44962961004001"/>
    <n v="-4.42"/>
    <n v="94"/>
    <n v="1"/>
    <n v="1"/>
  </r>
  <r>
    <m/>
    <m/>
    <x v="1"/>
    <s v="44964291001001"/>
    <n v="-0.89"/>
    <n v="19"/>
    <n v="1"/>
    <n v="1"/>
  </r>
  <r>
    <m/>
    <m/>
    <x v="1"/>
    <s v="44967161001001"/>
    <n v="-30.83"/>
    <n v="656"/>
    <n v="1"/>
    <n v="1"/>
  </r>
  <r>
    <m/>
    <m/>
    <x v="1"/>
    <s v="44972551004001"/>
    <n v="-2.77"/>
    <n v="59"/>
    <n v="1"/>
    <n v="1"/>
  </r>
  <r>
    <m/>
    <m/>
    <x v="1"/>
    <s v="44988441001013"/>
    <n v="-8.84"/>
    <n v="188"/>
    <n v="1"/>
    <n v="1"/>
  </r>
  <r>
    <m/>
    <m/>
    <x v="1"/>
    <s v="44990541001001"/>
    <n v="-4.28"/>
    <n v="91"/>
    <n v="1"/>
    <n v="1"/>
  </r>
  <r>
    <m/>
    <m/>
    <x v="1"/>
    <s v="44995231002001"/>
    <n v="-17.059999999999999"/>
    <n v="363"/>
    <n v="1"/>
    <n v="1"/>
  </r>
  <r>
    <m/>
    <m/>
    <x v="1"/>
    <s v="45016581002001"/>
    <n v="-10.58"/>
    <n v="225"/>
    <n v="1"/>
    <n v="1"/>
  </r>
  <r>
    <m/>
    <m/>
    <x v="1"/>
    <s v="45022531002001"/>
    <n v="-11"/>
    <n v="234"/>
    <n v="1"/>
    <n v="1"/>
  </r>
  <r>
    <m/>
    <m/>
    <x v="1"/>
    <s v="45022671002001"/>
    <n v="-4.6100000000000003"/>
    <n v="98"/>
    <n v="1"/>
    <n v="1"/>
  </r>
  <r>
    <m/>
    <m/>
    <x v="1"/>
    <s v="45045911001001"/>
    <n v="-13.16"/>
    <n v="280"/>
    <n v="1"/>
    <n v="1"/>
  </r>
  <r>
    <m/>
    <m/>
    <x v="1"/>
    <s v="45051931001001"/>
    <n v="-2.12"/>
    <n v="45"/>
    <n v="1"/>
    <n v="1"/>
  </r>
  <r>
    <m/>
    <m/>
    <x v="1"/>
    <s v="45054593001001"/>
    <n v="-63.36"/>
    <n v="1348"/>
    <n v="1"/>
    <n v="1"/>
  </r>
  <r>
    <m/>
    <m/>
    <x v="1"/>
    <s v="45057461003001"/>
    <n v="-2.54"/>
    <n v="54"/>
    <n v="1"/>
    <n v="1"/>
  </r>
  <r>
    <m/>
    <m/>
    <x v="1"/>
    <s v="45058426001005"/>
    <n v="-29.799999999999997"/>
    <n v="640"/>
    <n v="2"/>
    <n v="1"/>
  </r>
  <r>
    <m/>
    <m/>
    <x v="1"/>
    <s v="45064461001001"/>
    <n v="-3.48"/>
    <n v="74"/>
    <n v="1"/>
    <n v="1"/>
  </r>
  <r>
    <m/>
    <m/>
    <x v="1"/>
    <s v="45064881001001"/>
    <n v="-21.81"/>
    <n v="464"/>
    <n v="1"/>
    <n v="1"/>
  </r>
  <r>
    <m/>
    <m/>
    <x v="1"/>
    <s v="45068661003001"/>
    <n v="-2.59"/>
    <n v="55"/>
    <n v="1"/>
    <n v="1"/>
  </r>
  <r>
    <m/>
    <m/>
    <x v="1"/>
    <s v="45072791003019"/>
    <n v="-39.53"/>
    <n v="849"/>
    <n v="2"/>
    <n v="1"/>
  </r>
  <r>
    <m/>
    <m/>
    <x v="1"/>
    <s v="45076781001003"/>
    <n v="-6.06"/>
    <n v="129"/>
    <n v="1"/>
    <n v="1"/>
  </r>
  <r>
    <m/>
    <m/>
    <x v="1"/>
    <s v="45077271001001"/>
    <n v="-4.42"/>
    <n v="94"/>
    <n v="1"/>
    <n v="1"/>
  </r>
  <r>
    <m/>
    <m/>
    <x v="1"/>
    <s v="45099251001001"/>
    <n v="-18.05"/>
    <n v="384"/>
    <n v="1"/>
    <n v="1"/>
  </r>
  <r>
    <m/>
    <m/>
    <x v="1"/>
    <s v="45101911002002"/>
    <n v="-27.64"/>
    <n v="588"/>
    <n v="1"/>
    <n v="1"/>
  </r>
  <r>
    <m/>
    <m/>
    <x v="1"/>
    <s v="45114021001001"/>
    <n v="-20.45"/>
    <n v="435"/>
    <n v="1"/>
    <n v="1"/>
  </r>
  <r>
    <m/>
    <m/>
    <x v="1"/>
    <s v="45128931001001"/>
    <n v="-0.24"/>
    <n v="5"/>
    <n v="1"/>
    <n v="1"/>
  </r>
  <r>
    <m/>
    <m/>
    <x v="1"/>
    <s v="45137261001001"/>
    <n v="-35.86"/>
    <n v="763"/>
    <n v="1"/>
    <n v="1"/>
  </r>
  <r>
    <m/>
    <m/>
    <x v="1"/>
    <s v="45146501001004"/>
    <n v="-49.73"/>
    <n v="1068"/>
    <n v="2"/>
    <n v="1"/>
  </r>
  <r>
    <m/>
    <m/>
    <x v="1"/>
    <s v="45146571017003"/>
    <n v="-79.44"/>
    <n v="1706"/>
    <n v="2"/>
    <n v="1"/>
  </r>
  <r>
    <m/>
    <m/>
    <x v="1"/>
    <s v="45153011001003"/>
    <n v="-53.6"/>
    <n v="1151"/>
    <n v="2"/>
    <n v="1"/>
  </r>
  <r>
    <m/>
    <m/>
    <x v="1"/>
    <s v="45156161001001"/>
    <n v="-8.98"/>
    <n v="193"/>
    <n v="2"/>
    <n v="1"/>
  </r>
  <r>
    <m/>
    <m/>
    <x v="1"/>
    <s v="45160921001001"/>
    <n v="-26.959999999999997"/>
    <n v="579"/>
    <n v="2"/>
    <n v="1"/>
  </r>
  <r>
    <m/>
    <m/>
    <x v="1"/>
    <s v="45162391001001"/>
    <n v="-32.08"/>
    <n v="689"/>
    <n v="2"/>
    <n v="1"/>
  </r>
  <r>
    <m/>
    <m/>
    <x v="1"/>
    <s v="45171288002001"/>
    <n v="-21.48"/>
    <n v="457"/>
    <n v="1"/>
    <n v="1"/>
  </r>
  <r>
    <m/>
    <m/>
    <x v="1"/>
    <s v="45177721002001"/>
    <n v="-24.47"/>
    <n v="523"/>
    <n v="2"/>
    <n v="1"/>
  </r>
  <r>
    <m/>
    <m/>
    <x v="1"/>
    <s v="45194521001003"/>
    <n v="-18.810000000000002"/>
    <n v="404"/>
    <n v="2"/>
    <n v="1"/>
  </r>
  <r>
    <m/>
    <m/>
    <x v="1"/>
    <s v="45194661001001"/>
    <n v="-37.21"/>
    <n v="799"/>
    <n v="2"/>
    <n v="1"/>
  </r>
  <r>
    <m/>
    <m/>
    <x v="1"/>
    <s v="45195221001002"/>
    <n v="-11.92"/>
    <n v="256"/>
    <n v="2"/>
    <n v="1"/>
  </r>
  <r>
    <m/>
    <m/>
    <x v="1"/>
    <s v="45195641001001"/>
    <n v="-30.270000000000003"/>
    <n v="650"/>
    <n v="2"/>
    <n v="1"/>
  </r>
  <r>
    <m/>
    <m/>
    <x v="1"/>
    <s v="45221093002001"/>
    <n v="-16.05"/>
    <n v="343"/>
    <n v="2"/>
    <n v="1"/>
  </r>
  <r>
    <m/>
    <m/>
    <x v="1"/>
    <s v="45233441001001"/>
    <n v="-42.58"/>
    <n v="906"/>
    <n v="1"/>
    <n v="1"/>
  </r>
  <r>
    <m/>
    <m/>
    <x v="1"/>
    <s v="45242051001003"/>
    <n v="-43.24"/>
    <n v="920"/>
    <n v="1"/>
    <n v="1"/>
  </r>
  <r>
    <m/>
    <m/>
    <x v="1"/>
    <s v="45244851001001"/>
    <n v="-2.12"/>
    <n v="45"/>
    <n v="1"/>
    <n v="1"/>
  </r>
  <r>
    <m/>
    <m/>
    <x v="1"/>
    <s v="45259481001001"/>
    <n v="-11.28"/>
    <n v="240"/>
    <n v="1"/>
    <n v="1"/>
  </r>
  <r>
    <m/>
    <m/>
    <x v="1"/>
    <s v="45270949001004"/>
    <n v="-18.61"/>
    <n v="396"/>
    <n v="1"/>
    <n v="1"/>
  </r>
  <r>
    <m/>
    <m/>
    <x v="1"/>
    <s v="45304141001001"/>
    <n v="-33.5"/>
    <n v="716"/>
    <n v="2"/>
    <n v="1"/>
  </r>
  <r>
    <m/>
    <m/>
    <x v="1"/>
    <s v="45329621001002"/>
    <n v="-44.580000000000005"/>
    <n v="953"/>
    <n v="2"/>
    <n v="1"/>
  </r>
  <r>
    <m/>
    <m/>
    <x v="1"/>
    <s v="45353841001001"/>
    <n v="-6.91"/>
    <n v="147"/>
    <n v="1"/>
    <n v="1"/>
  </r>
  <r>
    <m/>
    <m/>
    <x v="1"/>
    <s v="45363081001002"/>
    <n v="-13.77"/>
    <n v="293"/>
    <n v="1"/>
    <n v="1"/>
  </r>
  <r>
    <m/>
    <m/>
    <x v="1"/>
    <s v="45363781001003"/>
    <n v="-55.84"/>
    <n v="1188"/>
    <n v="1"/>
    <n v="1"/>
  </r>
  <r>
    <m/>
    <m/>
    <x v="1"/>
    <s v="45372181002001"/>
    <n v="-30.41"/>
    <n v="647"/>
    <n v="1"/>
    <n v="1"/>
  </r>
  <r>
    <m/>
    <m/>
    <x v="1"/>
    <s v="45379041001001"/>
    <n v="-36.99"/>
    <n v="787"/>
    <n v="1"/>
    <n v="1"/>
  </r>
  <r>
    <m/>
    <m/>
    <x v="1"/>
    <s v="45382121001001"/>
    <n v="-21.67"/>
    <n v="461"/>
    <n v="1"/>
    <n v="1"/>
  </r>
  <r>
    <m/>
    <m/>
    <x v="1"/>
    <s v="45395421001001"/>
    <n v="-15.18"/>
    <n v="323"/>
    <n v="1"/>
    <n v="1"/>
  </r>
  <r>
    <m/>
    <m/>
    <x v="1"/>
    <s v="45406543001004"/>
    <n v="-2.02"/>
    <n v="43"/>
    <n v="1"/>
    <n v="1"/>
  </r>
  <r>
    <m/>
    <m/>
    <x v="1"/>
    <s v="45408608002003"/>
    <n v="-70.41"/>
    <n v="1498"/>
    <n v="1"/>
    <n v="1"/>
  </r>
  <r>
    <m/>
    <m/>
    <x v="1"/>
    <s v="45412781001004"/>
    <n v="-31.29"/>
    <n v="672"/>
    <n v="2"/>
    <n v="1"/>
  </r>
  <r>
    <m/>
    <m/>
    <x v="1"/>
    <s v="45432941001004"/>
    <n v="-16.5"/>
    <n v="351"/>
    <n v="1"/>
    <n v="1"/>
  </r>
  <r>
    <m/>
    <m/>
    <x v="1"/>
    <s v="45433851004001"/>
    <n v="-5.5"/>
    <n v="117"/>
    <n v="1"/>
    <n v="1"/>
  </r>
  <r>
    <m/>
    <m/>
    <x v="1"/>
    <s v="45446941001001"/>
    <n v="-4.2300000000000004"/>
    <n v="90"/>
    <n v="1"/>
    <n v="1"/>
  </r>
  <r>
    <m/>
    <m/>
    <x v="1"/>
    <s v="45447641001001"/>
    <n v="-18.100000000000001"/>
    <n v="385"/>
    <n v="1"/>
    <n v="1"/>
  </r>
  <r>
    <m/>
    <m/>
    <x v="1"/>
    <s v="45452652002005"/>
    <n v="-22.400000000000002"/>
    <n v="479"/>
    <n v="2"/>
    <n v="1"/>
  </r>
  <r>
    <m/>
    <m/>
    <x v="1"/>
    <s v="45466051001001"/>
    <n v="-14.24"/>
    <n v="303"/>
    <n v="1"/>
    <n v="1"/>
  </r>
  <r>
    <m/>
    <m/>
    <x v="1"/>
    <s v="45472001001001"/>
    <n v="-9.73"/>
    <n v="207"/>
    <n v="1"/>
    <n v="1"/>
  </r>
  <r>
    <m/>
    <m/>
    <x v="1"/>
    <s v="45487471012001"/>
    <n v="-15.86"/>
    <n v="339"/>
    <n v="2"/>
    <n v="1"/>
  </r>
  <r>
    <m/>
    <m/>
    <x v="1"/>
    <s v="45490131002003"/>
    <n v="-40.94"/>
    <n v="871"/>
    <n v="1"/>
    <n v="1"/>
  </r>
  <r>
    <m/>
    <m/>
    <x v="1"/>
    <s v="45496641001001"/>
    <n v="-14.5"/>
    <n v="310"/>
    <n v="2"/>
    <n v="1"/>
  </r>
  <r>
    <m/>
    <m/>
    <x v="1"/>
    <s v="45496921001002"/>
    <n v="-40"/>
    <n v="855"/>
    <n v="2"/>
    <n v="1"/>
  </r>
  <r>
    <m/>
    <m/>
    <x v="1"/>
    <s v="45500981001001"/>
    <n v="-31.86"/>
    <n v="681"/>
    <n v="2"/>
    <n v="1"/>
  </r>
  <r>
    <m/>
    <m/>
    <x v="1"/>
    <s v="45502521001001"/>
    <n v="-7.76"/>
    <n v="166"/>
    <n v="2"/>
    <n v="1"/>
  </r>
  <r>
    <m/>
    <m/>
    <x v="1"/>
    <s v="45513791001001"/>
    <n v="-4.37"/>
    <n v="93"/>
    <n v="1"/>
    <n v="1"/>
  </r>
  <r>
    <m/>
    <m/>
    <x v="1"/>
    <s v="45517641003008"/>
    <n v="-2.87"/>
    <n v="61"/>
    <n v="1"/>
    <n v="1"/>
  </r>
  <r>
    <m/>
    <m/>
    <x v="1"/>
    <s v="45518411001001"/>
    <n v="-18.2"/>
    <n v="389"/>
    <n v="2"/>
    <n v="1"/>
  </r>
  <r>
    <m/>
    <m/>
    <x v="1"/>
    <s v="45518691001001"/>
    <n v="-36.120000000000005"/>
    <n v="772"/>
    <n v="2"/>
    <n v="1"/>
  </r>
  <r>
    <m/>
    <m/>
    <x v="1"/>
    <s v="45528421001002"/>
    <n v="-18.989999999999998"/>
    <n v="404"/>
    <n v="1"/>
    <n v="1"/>
  </r>
  <r>
    <m/>
    <m/>
    <x v="1"/>
    <s v="45532411001002"/>
    <n v="-1.08"/>
    <n v="23"/>
    <n v="1"/>
    <n v="1"/>
  </r>
  <r>
    <m/>
    <m/>
    <x v="1"/>
    <s v="45543243001003"/>
    <n v="-45.78"/>
    <n v="974"/>
    <n v="1"/>
    <n v="1"/>
  </r>
  <r>
    <m/>
    <m/>
    <x v="1"/>
    <s v="45554531001005"/>
    <n v="-31.86"/>
    <n v="681"/>
    <n v="2"/>
    <n v="1"/>
  </r>
  <r>
    <m/>
    <m/>
    <x v="1"/>
    <s v="45591768003001"/>
    <n v="-45.64"/>
    <n v="971"/>
    <n v="1"/>
    <n v="1"/>
  </r>
  <r>
    <m/>
    <m/>
    <x v="1"/>
    <s v="45623271008003"/>
    <n v="-18.61"/>
    <n v="396"/>
    <n v="1"/>
    <n v="1"/>
  </r>
  <r>
    <m/>
    <m/>
    <x v="1"/>
    <s v="45634593001003"/>
    <n v="-49.12"/>
    <n v="1045"/>
    <n v="1"/>
    <n v="1"/>
  </r>
  <r>
    <m/>
    <m/>
    <x v="1"/>
    <s v="45668001003001"/>
    <n v="-52.71"/>
    <n v="1132"/>
    <n v="2"/>
    <n v="1"/>
  </r>
  <r>
    <m/>
    <m/>
    <x v="1"/>
    <s v="45755151003001"/>
    <n v="-5.36"/>
    <n v="114"/>
    <n v="1"/>
    <n v="1"/>
  </r>
  <r>
    <m/>
    <m/>
    <x v="1"/>
    <s v="45764531001001"/>
    <n v="-2.4900000000000002"/>
    <n v="53"/>
    <n v="1"/>
    <n v="1"/>
  </r>
  <r>
    <m/>
    <m/>
    <x v="1"/>
    <s v="45765931005001"/>
    <n v="-5.45"/>
    <n v="116"/>
    <n v="1"/>
    <n v="1"/>
  </r>
  <r>
    <m/>
    <m/>
    <x v="1"/>
    <s v="45786091001001"/>
    <n v="-13.82"/>
    <n v="294"/>
    <n v="1"/>
    <n v="1"/>
  </r>
  <r>
    <m/>
    <m/>
    <x v="1"/>
    <s v="45805748001001"/>
    <n v="-0.71"/>
    <n v="15"/>
    <n v="1"/>
    <n v="1"/>
  </r>
  <r>
    <m/>
    <m/>
    <x v="1"/>
    <s v="45859311004004"/>
    <n v="-20.82"/>
    <n v="443"/>
    <n v="1"/>
    <n v="1"/>
  </r>
  <r>
    <m/>
    <m/>
    <x v="1"/>
    <s v="45861551007007"/>
    <n v="-23.41"/>
    <n v="498"/>
    <n v="1"/>
    <n v="1"/>
  </r>
  <r>
    <m/>
    <m/>
    <x v="1"/>
    <s v="45871701012003"/>
    <n v="-11.28"/>
    <n v="240"/>
    <n v="1"/>
    <n v="1"/>
  </r>
  <r>
    <m/>
    <m/>
    <x v="1"/>
    <s v="45874431001005"/>
    <n v="-45.49"/>
    <n v="977"/>
    <n v="2"/>
    <n v="1"/>
  </r>
  <r>
    <m/>
    <m/>
    <x v="1"/>
    <s v="45895291003003"/>
    <n v="-19.32"/>
    <n v="411"/>
    <n v="1"/>
    <n v="1"/>
  </r>
  <r>
    <m/>
    <m/>
    <x v="1"/>
    <s v="45897881001001"/>
    <n v="-3.91"/>
    <n v="84"/>
    <n v="2"/>
    <n v="1"/>
  </r>
  <r>
    <m/>
    <m/>
    <x v="1"/>
    <s v="45918111001001"/>
    <n v="-10.149999999999999"/>
    <n v="218"/>
    <n v="2"/>
    <n v="1"/>
  </r>
  <r>
    <m/>
    <m/>
    <x v="1"/>
    <s v="45918951003002"/>
    <n v="-29.57"/>
    <n v="632"/>
    <n v="2"/>
    <n v="1"/>
  </r>
  <r>
    <m/>
    <m/>
    <x v="1"/>
    <s v="45919021001009"/>
    <n v="-18"/>
    <n v="383"/>
    <n v="1"/>
    <n v="1"/>
  </r>
  <r>
    <m/>
    <m/>
    <x v="1"/>
    <s v="45919931007001"/>
    <n v="-46.75"/>
    <n v="1004"/>
    <n v="2"/>
    <n v="1"/>
  </r>
  <r>
    <m/>
    <m/>
    <x v="1"/>
    <s v="45930277001003"/>
    <n v="-0.56000000000000005"/>
    <n v="12"/>
    <n v="1"/>
    <n v="1"/>
  </r>
  <r>
    <m/>
    <m/>
    <x v="1"/>
    <s v="45931061001003"/>
    <n v="-10.25"/>
    <n v="218"/>
    <n v="1"/>
    <n v="1"/>
  </r>
  <r>
    <m/>
    <m/>
    <x v="1"/>
    <s v="45934421003003"/>
    <n v="-0.8"/>
    <n v="17"/>
    <n v="1"/>
    <n v="1"/>
  </r>
  <r>
    <m/>
    <m/>
    <x v="1"/>
    <s v="45939881001006"/>
    <n v="-1.88"/>
    <n v="40"/>
    <n v="1"/>
    <n v="1"/>
  </r>
  <r>
    <m/>
    <m/>
    <x v="1"/>
    <s v="45956471002002"/>
    <n v="-13.82"/>
    <n v="297"/>
    <n v="2"/>
    <n v="1"/>
  </r>
  <r>
    <m/>
    <m/>
    <x v="1"/>
    <s v="45979501004001"/>
    <n v="-22.37"/>
    <n v="476"/>
    <n v="1"/>
    <n v="1"/>
  </r>
  <r>
    <m/>
    <m/>
    <x v="1"/>
    <s v="46024168001001"/>
    <n v="-5.5"/>
    <n v="117"/>
    <n v="1"/>
    <n v="1"/>
  </r>
  <r>
    <m/>
    <m/>
    <x v="1"/>
    <s v="46042851003005"/>
    <n v="-27.97"/>
    <n v="595"/>
    <n v="1"/>
    <n v="1"/>
  </r>
  <r>
    <m/>
    <m/>
    <x v="1"/>
    <s v="46112501001001"/>
    <n v="-39.019999999999996"/>
    <n v="838"/>
    <n v="2"/>
    <n v="1"/>
  </r>
  <r>
    <m/>
    <m/>
    <x v="1"/>
    <s v="46133011004007"/>
    <n v="-5.08"/>
    <n v="108"/>
    <n v="1"/>
    <n v="1"/>
  </r>
  <r>
    <m/>
    <m/>
    <x v="1"/>
    <s v="46133151002005"/>
    <n v="-17.3"/>
    <n v="368"/>
    <n v="1"/>
    <n v="1"/>
  </r>
  <r>
    <m/>
    <m/>
    <x v="1"/>
    <s v="46140291003004"/>
    <n v="-17.09"/>
    <n v="367"/>
    <n v="2"/>
    <n v="1"/>
  </r>
  <r>
    <m/>
    <m/>
    <x v="1"/>
    <s v="46141131001003"/>
    <n v="-21.42"/>
    <n v="460"/>
    <n v="2"/>
    <n v="1"/>
  </r>
  <r>
    <m/>
    <m/>
    <x v="1"/>
    <s v="46155016001001"/>
    <n v="-3.15"/>
    <n v="67"/>
    <n v="1"/>
    <n v="1"/>
  </r>
  <r>
    <m/>
    <m/>
    <x v="1"/>
    <s v="46156461002003"/>
    <n v="-51.14"/>
    <n v="1093"/>
    <n v="2"/>
    <n v="1"/>
  </r>
  <r>
    <m/>
    <m/>
    <x v="1"/>
    <s v="46176053001002"/>
    <n v="-44.720000000000006"/>
    <n v="956"/>
    <n v="2"/>
    <n v="1"/>
  </r>
  <r>
    <m/>
    <m/>
    <x v="1"/>
    <s v="46189291010003"/>
    <n v="-10.81"/>
    <n v="230"/>
    <n v="1"/>
    <n v="1"/>
  </r>
  <r>
    <m/>
    <m/>
    <x v="1"/>
    <s v="46190901003009"/>
    <n v="-10.95"/>
    <n v="234"/>
    <n v="2"/>
    <n v="1"/>
  </r>
  <r>
    <m/>
    <m/>
    <x v="1"/>
    <s v="46191123001001"/>
    <n v="-3.67"/>
    <n v="78"/>
    <n v="1"/>
    <n v="1"/>
  </r>
  <r>
    <m/>
    <m/>
    <x v="1"/>
    <s v="46196011001004"/>
    <n v="-9.9600000000000009"/>
    <n v="212"/>
    <n v="1"/>
    <n v="1"/>
  </r>
  <r>
    <m/>
    <m/>
    <x v="1"/>
    <s v="46217501012001"/>
    <n v="-14.9"/>
    <n v="317"/>
    <n v="1"/>
    <n v="1"/>
  </r>
  <r>
    <m/>
    <m/>
    <x v="1"/>
    <s v="46283959001004"/>
    <n v="-4.5599999999999996"/>
    <n v="97"/>
    <n v="1"/>
    <n v="1"/>
  </r>
  <r>
    <m/>
    <m/>
    <x v="1"/>
    <s v="46290511001002"/>
    <n v="-1.08"/>
    <n v="23"/>
    <n v="1"/>
    <n v="1"/>
  </r>
  <r>
    <m/>
    <m/>
    <x v="1"/>
    <s v="46323621003008"/>
    <n v="-20.58"/>
    <n v="440"/>
    <n v="2"/>
    <n v="1"/>
  </r>
  <r>
    <m/>
    <m/>
    <x v="1"/>
    <s v="46337411004003"/>
    <n v="-61.05"/>
    <n v="1305"/>
    <n v="2"/>
    <n v="1"/>
  </r>
  <r>
    <m/>
    <m/>
    <x v="1"/>
    <s v="46352741003004"/>
    <n v="-0.05"/>
    <n v="1"/>
    <n v="1"/>
    <n v="1"/>
  </r>
  <r>
    <m/>
    <m/>
    <x v="1"/>
    <s v="46363031009001"/>
    <n v="-4.67"/>
    <n v="100"/>
    <n v="2"/>
    <n v="1"/>
  </r>
  <r>
    <m/>
    <m/>
    <x v="1"/>
    <s v="46406546001001"/>
    <n v="-37.61"/>
    <n v="804"/>
    <n v="2"/>
    <n v="1"/>
  </r>
  <r>
    <m/>
    <m/>
    <x v="1"/>
    <s v="46425681001003"/>
    <n v="-30.5"/>
    <n v="652"/>
    <n v="2"/>
    <n v="1"/>
  </r>
  <r>
    <m/>
    <m/>
    <x v="1"/>
    <s v="46426241001001"/>
    <n v="-10.67"/>
    <n v="228"/>
    <n v="2"/>
    <n v="1"/>
  </r>
  <r>
    <m/>
    <m/>
    <x v="1"/>
    <s v="46463061001001"/>
    <n v="-23.16"/>
    <n v="495"/>
    <n v="2"/>
    <n v="1"/>
  </r>
  <r>
    <m/>
    <m/>
    <x v="1"/>
    <s v="46464041009001"/>
    <n v="-16.45"/>
    <n v="350"/>
    <n v="1"/>
    <n v="1"/>
  </r>
  <r>
    <m/>
    <m/>
    <x v="1"/>
    <s v="46483221001003"/>
    <n v="-2.91"/>
    <n v="62"/>
    <n v="1"/>
    <n v="1"/>
  </r>
  <r>
    <m/>
    <m/>
    <x v="1"/>
    <s v="46486091009001"/>
    <n v="-5.41"/>
    <n v="115"/>
    <n v="1"/>
    <n v="1"/>
  </r>
  <r>
    <m/>
    <m/>
    <x v="1"/>
    <s v="46515686001001"/>
    <n v="-78.460000000000008"/>
    <n v="1685"/>
    <n v="2"/>
    <n v="1"/>
  </r>
  <r>
    <m/>
    <m/>
    <x v="1"/>
    <s v="46709404001001"/>
    <n v="-0.24"/>
    <n v="5"/>
    <n v="1"/>
    <n v="1"/>
  </r>
  <r>
    <m/>
    <m/>
    <x v="1"/>
    <s v="46767001003001"/>
    <n v="-8.23"/>
    <n v="175"/>
    <n v="1"/>
    <n v="1"/>
  </r>
  <r>
    <m/>
    <m/>
    <x v="1"/>
    <s v="46769241002001"/>
    <n v="-58.8"/>
    <n v="1257"/>
    <n v="2"/>
    <n v="1"/>
  </r>
  <r>
    <m/>
    <m/>
    <x v="1"/>
    <s v="46772111002005"/>
    <n v="-1.83"/>
    <n v="39"/>
    <n v="1"/>
    <n v="1"/>
  </r>
  <r>
    <m/>
    <m/>
    <x v="1"/>
    <s v="46778971002001"/>
    <n v="-24.35"/>
    <n v="518"/>
    <n v="1"/>
    <n v="1"/>
  </r>
  <r>
    <m/>
    <m/>
    <x v="1"/>
    <s v="46792621001001"/>
    <n v="-30.970000000000002"/>
    <n v="662"/>
    <n v="2"/>
    <n v="1"/>
  </r>
  <r>
    <m/>
    <m/>
    <x v="1"/>
    <s v="46809911002003"/>
    <n v="-0.33"/>
    <n v="7"/>
    <n v="1"/>
    <n v="1"/>
  </r>
  <r>
    <m/>
    <m/>
    <x v="1"/>
    <s v="46819081001002"/>
    <n v="-2.54"/>
    <n v="54"/>
    <n v="1"/>
    <n v="1"/>
  </r>
  <r>
    <m/>
    <m/>
    <x v="1"/>
    <s v="46831191008001"/>
    <n v="-67.930000000000007"/>
    <n v="1452"/>
    <n v="2"/>
    <n v="1"/>
  </r>
  <r>
    <m/>
    <m/>
    <x v="1"/>
    <s v="46834341003003"/>
    <n v="-63.949999999999996"/>
    <n v="1367"/>
    <n v="2"/>
    <n v="1"/>
  </r>
  <r>
    <m/>
    <m/>
    <x v="1"/>
    <s v="46837771002001"/>
    <n v="-56.94"/>
    <n v="1217"/>
    <n v="2"/>
    <n v="1"/>
  </r>
  <r>
    <m/>
    <m/>
    <x v="1"/>
    <s v="46847431016001"/>
    <n v="-57.35"/>
    <n v="1226"/>
    <n v="2"/>
    <n v="1"/>
  </r>
  <r>
    <m/>
    <m/>
    <x v="1"/>
    <s v="46913740001001"/>
    <n v="-10.58"/>
    <n v="225"/>
    <n v="1"/>
    <n v="1"/>
  </r>
  <r>
    <m/>
    <m/>
    <x v="1"/>
    <s v="46960006001001"/>
    <n v="-32.76"/>
    <n v="697"/>
    <n v="1"/>
    <n v="1"/>
  </r>
  <r>
    <m/>
    <m/>
    <x v="1"/>
    <s v="47056381002002"/>
    <n v="-10.67"/>
    <n v="227"/>
    <n v="1"/>
    <n v="1"/>
  </r>
  <r>
    <m/>
    <m/>
    <x v="1"/>
    <s v="47070580001001"/>
    <n v="-7.94"/>
    <n v="169"/>
    <n v="1"/>
    <n v="1"/>
  </r>
  <r>
    <m/>
    <m/>
    <x v="1"/>
    <s v="47117211001001"/>
    <n v="-7.19"/>
    <n v="153"/>
    <n v="1"/>
    <n v="1"/>
  </r>
  <r>
    <m/>
    <m/>
    <x v="1"/>
    <s v="47135971001002"/>
    <n v="-8.32"/>
    <n v="177"/>
    <n v="1"/>
    <n v="1"/>
  </r>
  <r>
    <m/>
    <m/>
    <x v="1"/>
    <s v="47177481001007"/>
    <n v="-10.29"/>
    <n v="219"/>
    <n v="1"/>
    <n v="1"/>
  </r>
  <r>
    <m/>
    <m/>
    <x v="1"/>
    <s v="47178760001004"/>
    <n v="-18.89"/>
    <n v="402"/>
    <n v="1"/>
    <n v="1"/>
  </r>
  <r>
    <m/>
    <m/>
    <x v="1"/>
    <s v="47233131004002"/>
    <n v="-3.85"/>
    <n v="82"/>
    <n v="1"/>
    <n v="1"/>
  </r>
  <r>
    <m/>
    <m/>
    <x v="1"/>
    <s v="47275061002003"/>
    <n v="-6.96"/>
    <n v="148"/>
    <n v="1"/>
    <n v="1"/>
  </r>
  <r>
    <m/>
    <m/>
    <x v="1"/>
    <s v="47309291001002"/>
    <n v="-2.2400000000000002"/>
    <n v="48"/>
    <n v="2"/>
    <n v="1"/>
  </r>
  <r>
    <m/>
    <m/>
    <x v="1"/>
    <s v="47318111004001"/>
    <n v="-160.69"/>
    <n v="3419"/>
    <n v="1"/>
    <n v="1"/>
  </r>
  <r>
    <m/>
    <m/>
    <x v="1"/>
    <s v="47323291001003"/>
    <n v="-32.950000000000003"/>
    <n v="701"/>
    <n v="1"/>
    <n v="1"/>
  </r>
  <r>
    <m/>
    <m/>
    <x v="1"/>
    <s v="47324621003001"/>
    <n v="-32.24"/>
    <n v="686"/>
    <n v="1"/>
    <n v="1"/>
  </r>
  <r>
    <m/>
    <m/>
    <x v="1"/>
    <s v="47326848001001"/>
    <n v="-9.35"/>
    <n v="199"/>
    <n v="1"/>
    <n v="1"/>
  </r>
  <r>
    <m/>
    <m/>
    <x v="1"/>
    <s v="47327631001001"/>
    <n v="-22.18"/>
    <n v="472"/>
    <n v="1"/>
    <n v="1"/>
  </r>
  <r>
    <m/>
    <m/>
    <x v="1"/>
    <s v="47341211003001"/>
    <n v="-4.6500000000000004"/>
    <n v="99"/>
    <n v="1"/>
    <n v="1"/>
  </r>
  <r>
    <m/>
    <m/>
    <x v="1"/>
    <s v="47369561001004"/>
    <n v="-1.46"/>
    <n v="31"/>
    <n v="1"/>
    <n v="1"/>
  </r>
  <r>
    <m/>
    <m/>
    <x v="1"/>
    <s v="47375581005013"/>
    <n v="-22.56"/>
    <n v="480"/>
    <n v="1"/>
    <n v="1"/>
  </r>
  <r>
    <m/>
    <m/>
    <x v="1"/>
    <s v="47378451002003"/>
    <n v="-25.66"/>
    <n v="546"/>
    <n v="1"/>
    <n v="1"/>
  </r>
  <r>
    <m/>
    <m/>
    <x v="1"/>
    <s v="47406521002002"/>
    <n v="-32.15"/>
    <n v="684"/>
    <n v="1"/>
    <n v="1"/>
  </r>
  <r>
    <m/>
    <m/>
    <x v="1"/>
    <s v="47425421003001"/>
    <n v="-30.22"/>
    <n v="643"/>
    <n v="1"/>
    <n v="1"/>
  </r>
  <r>
    <m/>
    <m/>
    <x v="1"/>
    <s v="47463011003001"/>
    <n v="-39.58"/>
    <n v="912"/>
    <n v="4"/>
    <n v="1"/>
  </r>
  <r>
    <m/>
    <m/>
    <x v="1"/>
    <s v="47512000001005"/>
    <n v="-13.08"/>
    <n v="281"/>
    <n v="2"/>
    <n v="1"/>
  </r>
  <r>
    <m/>
    <m/>
    <x v="1"/>
    <s v="47596151001005"/>
    <n v="-9.17"/>
    <n v="195"/>
    <n v="1"/>
    <n v="1"/>
  </r>
  <r>
    <m/>
    <m/>
    <x v="1"/>
    <s v="47602655001004"/>
    <n v="-0.75"/>
    <n v="16"/>
    <n v="1"/>
    <n v="1"/>
  </r>
  <r>
    <m/>
    <m/>
    <x v="1"/>
    <s v="47619881001001"/>
    <n v="-1.5"/>
    <n v="32"/>
    <n v="1"/>
    <n v="1"/>
  </r>
  <r>
    <m/>
    <m/>
    <x v="1"/>
    <s v="47674271002001"/>
    <n v="-12.69"/>
    <n v="270"/>
    <n v="1"/>
    <n v="1"/>
  </r>
  <r>
    <m/>
    <m/>
    <x v="1"/>
    <s v="47723831004001"/>
    <n v="-2.2599999999999998"/>
    <n v="48"/>
    <n v="1"/>
    <n v="1"/>
  </r>
  <r>
    <m/>
    <m/>
    <x v="1"/>
    <s v="47747071003001"/>
    <n v="-20.92"/>
    <n v="445"/>
    <n v="1"/>
    <n v="1"/>
  </r>
  <r>
    <m/>
    <m/>
    <x v="1"/>
    <s v="47757781007001"/>
    <n v="-14.58"/>
    <n v="313"/>
    <n v="2"/>
    <n v="1"/>
  </r>
  <r>
    <m/>
    <m/>
    <x v="1"/>
    <s v="47762681005001"/>
    <n v="-36.1"/>
    <n v="768"/>
    <n v="1"/>
    <n v="1"/>
  </r>
  <r>
    <m/>
    <m/>
    <x v="1"/>
    <s v="47764921003003"/>
    <n v="-83.85"/>
    <n v="1784"/>
    <n v="1"/>
    <n v="1"/>
  </r>
  <r>
    <m/>
    <m/>
    <x v="1"/>
    <s v="47778151001004"/>
    <n v="-69.98"/>
    <n v="1489"/>
    <n v="1"/>
    <n v="1"/>
  </r>
  <r>
    <m/>
    <m/>
    <x v="1"/>
    <s v="47839821001002"/>
    <n v="-18.91"/>
    <n v="406"/>
    <n v="2"/>
    <n v="1"/>
  </r>
  <r>
    <m/>
    <m/>
    <x v="1"/>
    <s v="47842341003001"/>
    <n v="-6.8"/>
    <n v="146"/>
    <n v="2"/>
    <n v="1"/>
  </r>
  <r>
    <m/>
    <m/>
    <x v="1"/>
    <s v="47874432001002"/>
    <n v="-82.11"/>
    <n v="1747"/>
    <n v="1"/>
    <n v="1"/>
  </r>
  <r>
    <m/>
    <m/>
    <x v="1"/>
    <s v="47874541005001"/>
    <n v="-66.990000000000009"/>
    <n v="1432"/>
    <n v="2"/>
    <n v="1"/>
  </r>
  <r>
    <m/>
    <m/>
    <x v="1"/>
    <s v="47881813001003"/>
    <n v="-15.229999999999999"/>
    <n v="327"/>
    <n v="2"/>
    <n v="1"/>
  </r>
  <r>
    <m/>
    <m/>
    <x v="1"/>
    <s v="47907161002001"/>
    <n v="-39.76"/>
    <n v="846"/>
    <n v="1"/>
    <n v="1"/>
  </r>
  <r>
    <m/>
    <m/>
    <x v="1"/>
    <s v="47912897001001"/>
    <n v="-4.79"/>
    <n v="102"/>
    <n v="1"/>
    <n v="1"/>
  </r>
  <r>
    <m/>
    <m/>
    <x v="1"/>
    <s v="47951681001003"/>
    <n v="-19.18"/>
    <n v="408"/>
    <n v="1"/>
    <n v="1"/>
  </r>
  <r>
    <m/>
    <m/>
    <x v="1"/>
    <s v="47958961001001"/>
    <n v="-14.34"/>
    <n v="305"/>
    <n v="1"/>
    <n v="1"/>
  </r>
  <r>
    <m/>
    <m/>
    <x v="1"/>
    <s v="47976321005002"/>
    <n v="-0.28000000000000003"/>
    <n v="6"/>
    <n v="1"/>
    <n v="1"/>
  </r>
  <r>
    <m/>
    <m/>
    <x v="1"/>
    <s v="48023920001005"/>
    <n v="-21"/>
    <n v="449"/>
    <n v="2"/>
    <n v="1"/>
  </r>
  <r>
    <m/>
    <m/>
    <x v="1"/>
    <s v="48037431004001"/>
    <n v="-2.0699999999999998"/>
    <n v="44"/>
    <n v="1"/>
    <n v="1"/>
  </r>
  <r>
    <m/>
    <m/>
    <x v="1"/>
    <s v="48065577001005"/>
    <n v="-4.9800000000000004"/>
    <n v="106"/>
    <n v="1"/>
    <n v="1"/>
  </r>
  <r>
    <m/>
    <m/>
    <x v="1"/>
    <s v="48076533001001"/>
    <n v="-3.81"/>
    <n v="81"/>
    <n v="1"/>
    <n v="1"/>
  </r>
  <r>
    <m/>
    <m/>
    <x v="1"/>
    <s v="48098490001001"/>
    <n v="-20.95"/>
    <n v="448"/>
    <n v="2"/>
    <n v="1"/>
  </r>
  <r>
    <m/>
    <m/>
    <x v="1"/>
    <s v="48117301003004"/>
    <n v="-35.86"/>
    <n v="763"/>
    <n v="1"/>
    <n v="1"/>
  </r>
  <r>
    <m/>
    <m/>
    <x v="1"/>
    <s v="48121641002006"/>
    <n v="-30.79"/>
    <n v="655"/>
    <n v="1"/>
    <n v="1"/>
  </r>
  <r>
    <m/>
    <m/>
    <x v="1"/>
    <s v="48121991001001"/>
    <n v="-11.99"/>
    <n v="255"/>
    <n v="1"/>
    <n v="1"/>
  </r>
  <r>
    <m/>
    <m/>
    <x v="1"/>
    <s v="48222791001001"/>
    <n v="-7.99"/>
    <n v="170"/>
    <n v="1"/>
    <n v="1"/>
  </r>
  <r>
    <m/>
    <m/>
    <x v="1"/>
    <s v="48282431004001"/>
    <n v="-13.96"/>
    <n v="297"/>
    <n v="1"/>
    <n v="1"/>
  </r>
  <r>
    <m/>
    <m/>
    <x v="1"/>
    <s v="48354461005003"/>
    <n v="-18"/>
    <n v="383"/>
    <n v="1"/>
    <n v="1"/>
  </r>
  <r>
    <m/>
    <m/>
    <x v="1"/>
    <s v="48440642001003"/>
    <n v="-7.52"/>
    <n v="160"/>
    <n v="1"/>
    <n v="1"/>
  </r>
  <r>
    <m/>
    <m/>
    <x v="1"/>
    <s v="48464378001001"/>
    <n v="-9.02"/>
    <n v="192"/>
    <n v="1"/>
    <n v="1"/>
  </r>
  <r>
    <m/>
    <m/>
    <x v="1"/>
    <s v="48525331002003"/>
    <n v="-36.57"/>
    <n v="778"/>
    <n v="1"/>
    <n v="1"/>
  </r>
  <r>
    <m/>
    <m/>
    <x v="1"/>
    <s v="48704876001001"/>
    <n v="-29.66"/>
    <n v="637"/>
    <n v="2"/>
    <n v="1"/>
  </r>
  <r>
    <m/>
    <m/>
    <x v="1"/>
    <s v="48751742001006"/>
    <n v="-2.21"/>
    <n v="47"/>
    <n v="1"/>
    <n v="1"/>
  </r>
  <r>
    <m/>
    <m/>
    <x v="1"/>
    <s v="48798510001003"/>
    <n v="-43.459999999999994"/>
    <n v="929"/>
    <n v="2"/>
    <n v="1"/>
  </r>
  <r>
    <m/>
    <m/>
    <x v="1"/>
    <s v="48845721001001"/>
    <n v="-4.7"/>
    <n v="100"/>
    <n v="1"/>
    <n v="1"/>
  </r>
  <r>
    <m/>
    <m/>
    <x v="1"/>
    <s v="48867586002005"/>
    <n v="-7.94"/>
    <n v="169"/>
    <n v="1"/>
    <n v="1"/>
  </r>
  <r>
    <m/>
    <m/>
    <x v="1"/>
    <s v="48924821001008"/>
    <n v="-1.08"/>
    <n v="23"/>
    <n v="1"/>
    <n v="1"/>
  </r>
  <r>
    <m/>
    <m/>
    <x v="1"/>
    <s v="48930701001003"/>
    <n v="-20.21"/>
    <n v="430"/>
    <n v="1"/>
    <n v="1"/>
  </r>
  <r>
    <m/>
    <m/>
    <x v="1"/>
    <s v="48937755001003"/>
    <n v="-13.55"/>
    <n v="291"/>
    <n v="2"/>
    <n v="1"/>
  </r>
  <r>
    <m/>
    <m/>
    <x v="1"/>
    <s v="48972001002006"/>
    <n v="-0.47"/>
    <n v="10"/>
    <n v="1"/>
    <n v="1"/>
  </r>
  <r>
    <m/>
    <m/>
    <x v="1"/>
    <s v="48996360001005"/>
    <n v="-5.12"/>
    <n v="109"/>
    <n v="1"/>
    <n v="1"/>
  </r>
  <r>
    <m/>
    <m/>
    <x v="1"/>
    <s v="49050157001001"/>
    <n v="-10.58"/>
    <n v="225"/>
    <n v="1"/>
    <n v="1"/>
  </r>
  <r>
    <m/>
    <m/>
    <x v="1"/>
    <s v="49075371001010"/>
    <n v="-39.200000000000003"/>
    <n v="834"/>
    <n v="1"/>
    <n v="1"/>
  </r>
  <r>
    <m/>
    <m/>
    <x v="1"/>
    <s v="49110279001004"/>
    <n v="-28.36"/>
    <n v="609"/>
    <n v="2"/>
    <n v="1"/>
  </r>
  <r>
    <m/>
    <m/>
    <x v="1"/>
    <s v="49136131005001"/>
    <n v="-7.99"/>
    <n v="170"/>
    <n v="1"/>
    <n v="1"/>
  </r>
  <r>
    <m/>
    <m/>
    <x v="1"/>
    <s v="49200673001001"/>
    <n v="-13.68"/>
    <n v="291"/>
    <n v="1"/>
    <n v="1"/>
  </r>
  <r>
    <m/>
    <m/>
    <x v="1"/>
    <s v="49305498001003"/>
    <n v="-6.72"/>
    <n v="143"/>
    <n v="1"/>
    <n v="1"/>
  </r>
  <r>
    <m/>
    <m/>
    <x v="1"/>
    <s v="49325151001002"/>
    <n v="-2.59"/>
    <n v="55"/>
    <n v="1"/>
    <n v="1"/>
  </r>
  <r>
    <m/>
    <m/>
    <x v="1"/>
    <s v="49341111002001"/>
    <n v="-4.7"/>
    <n v="100"/>
    <n v="1"/>
    <n v="1"/>
  </r>
  <r>
    <m/>
    <m/>
    <x v="1"/>
    <s v="49394025001001"/>
    <n v="-1.5"/>
    <n v="32"/>
    <n v="1"/>
    <n v="1"/>
  </r>
  <r>
    <m/>
    <m/>
    <x v="1"/>
    <s v="49472851001001"/>
    <n v="-6.58"/>
    <n v="140"/>
    <n v="1"/>
    <n v="1"/>
  </r>
  <r>
    <m/>
    <m/>
    <x v="1"/>
    <s v="49538441006001"/>
    <n v="-56.78"/>
    <n v="1208"/>
    <n v="1"/>
    <n v="1"/>
  </r>
  <r>
    <m/>
    <m/>
    <x v="1"/>
    <s v="49558741001001"/>
    <n v="-1.46"/>
    <n v="31"/>
    <n v="1"/>
    <n v="1"/>
  </r>
  <r>
    <m/>
    <m/>
    <x v="1"/>
    <s v="49568961002001"/>
    <n v="-2.68"/>
    <n v="57"/>
    <n v="1"/>
    <n v="1"/>
  </r>
  <r>
    <m/>
    <m/>
    <x v="1"/>
    <s v="49581965001001"/>
    <n v="-0.38"/>
    <n v="8"/>
    <n v="1"/>
    <n v="1"/>
  </r>
  <r>
    <m/>
    <m/>
    <x v="1"/>
    <s v="49606271002004"/>
    <n v="-1.46"/>
    <n v="31"/>
    <n v="1"/>
    <n v="1"/>
  </r>
  <r>
    <m/>
    <m/>
    <x v="1"/>
    <s v="49608231003009"/>
    <n v="-3.15"/>
    <n v="67"/>
    <n v="1"/>
    <n v="1"/>
  </r>
  <r>
    <m/>
    <m/>
    <x v="1"/>
    <s v="49616351002001"/>
    <n v="-50.669999999999995"/>
    <n v="1083"/>
    <n v="2"/>
    <n v="1"/>
  </r>
  <r>
    <m/>
    <m/>
    <x v="1"/>
    <s v="49632381001008"/>
    <n v="-0.8"/>
    <n v="17"/>
    <n v="1"/>
    <n v="1"/>
  </r>
  <r>
    <m/>
    <m/>
    <x v="1"/>
    <s v="49656951001001"/>
    <n v="-1.5"/>
    <n v="32"/>
    <n v="1"/>
    <n v="1"/>
  </r>
  <r>
    <m/>
    <m/>
    <x v="1"/>
    <s v="49686351001004"/>
    <n v="-0.99"/>
    <n v="21"/>
    <n v="1"/>
    <n v="1"/>
  </r>
  <r>
    <m/>
    <m/>
    <x v="1"/>
    <s v="49693281003001"/>
    <n v="-17.11"/>
    <n v="364"/>
    <n v="1"/>
    <n v="1"/>
  </r>
  <r>
    <m/>
    <m/>
    <x v="1"/>
    <s v="49735399001001"/>
    <n v="-0.71"/>
    <n v="15"/>
    <n v="1"/>
    <n v="1"/>
  </r>
  <r>
    <m/>
    <m/>
    <x v="1"/>
    <s v="49767991001002"/>
    <n v="-28.200000000000003"/>
    <n v="603"/>
    <n v="2"/>
    <n v="1"/>
  </r>
  <r>
    <m/>
    <m/>
    <x v="1"/>
    <s v="49827555001001"/>
    <n v="-0.38"/>
    <n v="8"/>
    <n v="1"/>
    <n v="1"/>
  </r>
  <r>
    <m/>
    <m/>
    <x v="1"/>
    <s v="49828031002004"/>
    <n v="-42.3"/>
    <n v="900"/>
    <n v="1"/>
    <n v="1"/>
  </r>
  <r>
    <m/>
    <m/>
    <x v="1"/>
    <s v="49841331001004"/>
    <n v="-13.35"/>
    <n v="284"/>
    <n v="1"/>
    <n v="1"/>
  </r>
  <r>
    <m/>
    <m/>
    <x v="1"/>
    <s v="49897285001001"/>
    <n v="-6.67"/>
    <n v="142"/>
    <n v="1"/>
    <n v="1"/>
  </r>
  <r>
    <m/>
    <m/>
    <x v="1"/>
    <s v="49922671001002"/>
    <n v="-7.29"/>
    <n v="155"/>
    <n v="1"/>
    <n v="1"/>
  </r>
  <r>
    <m/>
    <m/>
    <x v="1"/>
    <s v="49948361001002"/>
    <n v="-2.12"/>
    <n v="45"/>
    <n v="1"/>
    <n v="1"/>
  </r>
  <r>
    <m/>
    <m/>
    <x v="1"/>
    <s v="49953330001004"/>
    <n v="-12.31"/>
    <n v="262"/>
    <n v="1"/>
    <n v="1"/>
  </r>
  <r>
    <m/>
    <m/>
    <x v="1"/>
    <s v="49996634002003"/>
    <n v="-7.24"/>
    <n v="154"/>
    <n v="1"/>
    <n v="1"/>
  </r>
  <r>
    <m/>
    <m/>
    <x v="1"/>
    <s v="50012621002003"/>
    <n v="-28.16"/>
    <n v="602"/>
    <n v="2"/>
    <n v="1"/>
  </r>
  <r>
    <m/>
    <m/>
    <x v="1"/>
    <s v="50027260001005"/>
    <n v="-41.92"/>
    <n v="892"/>
    <n v="1"/>
    <n v="1"/>
  </r>
  <r>
    <m/>
    <m/>
    <x v="1"/>
    <s v="50047513001001"/>
    <n v="-15.09"/>
    <n v="321"/>
    <n v="1"/>
    <n v="1"/>
  </r>
  <r>
    <m/>
    <m/>
    <x v="1"/>
    <s v="50099824002007"/>
    <n v="-52.21"/>
    <n v="1116"/>
    <n v="2"/>
    <n v="1"/>
  </r>
  <r>
    <m/>
    <m/>
    <x v="1"/>
    <s v="50125531002001"/>
    <n v="-5.88"/>
    <n v="125"/>
    <n v="1"/>
    <n v="1"/>
  </r>
  <r>
    <m/>
    <m/>
    <x v="1"/>
    <s v="50146181002001"/>
    <n v="-25.24"/>
    <n v="537"/>
    <n v="1"/>
    <n v="1"/>
  </r>
  <r>
    <m/>
    <m/>
    <x v="1"/>
    <s v="50149956001001"/>
    <n v="-9.26"/>
    <n v="197"/>
    <n v="1"/>
    <n v="1"/>
  </r>
  <r>
    <m/>
    <m/>
    <x v="1"/>
    <s v="50179851002003"/>
    <n v="-42.1"/>
    <n v="900"/>
    <n v="2"/>
    <n v="1"/>
  </r>
  <r>
    <m/>
    <m/>
    <x v="1"/>
    <s v="50180049001002"/>
    <n v="-16.309999999999999"/>
    <n v="347"/>
    <n v="1"/>
    <n v="1"/>
  </r>
  <r>
    <m/>
    <m/>
    <x v="1"/>
    <s v="50191609001002"/>
    <n v="-1.83"/>
    <n v="39"/>
    <n v="1"/>
    <n v="1"/>
  </r>
  <r>
    <m/>
    <m/>
    <x v="1"/>
    <s v="50245081001005"/>
    <n v="-30.08"/>
    <n v="640"/>
    <n v="1"/>
    <n v="1"/>
  </r>
  <r>
    <m/>
    <m/>
    <x v="1"/>
    <s v="50254821001001"/>
    <n v="-45.45"/>
    <n v="967"/>
    <n v="1"/>
    <n v="1"/>
  </r>
  <r>
    <m/>
    <m/>
    <x v="1"/>
    <s v="50271551003001"/>
    <n v="-12.27"/>
    <n v="261"/>
    <n v="1"/>
    <n v="1"/>
  </r>
  <r>
    <m/>
    <m/>
    <x v="1"/>
    <s v="50306876001004"/>
    <n v="-20.02"/>
    <n v="426"/>
    <n v="1"/>
    <n v="1"/>
  </r>
  <r>
    <m/>
    <m/>
    <x v="1"/>
    <s v="50340550001005"/>
    <n v="-15.23"/>
    <n v="324"/>
    <n v="1"/>
    <n v="1"/>
  </r>
  <r>
    <m/>
    <m/>
    <x v="1"/>
    <s v="50409381003001"/>
    <n v="-6.6400000000000006"/>
    <n v="142"/>
    <n v="2"/>
    <n v="1"/>
  </r>
  <r>
    <m/>
    <m/>
    <x v="1"/>
    <s v="50455091002001"/>
    <n v="-21.24"/>
    <n v="452"/>
    <n v="1"/>
    <n v="1"/>
  </r>
  <r>
    <m/>
    <m/>
    <x v="1"/>
    <s v="50550393001001"/>
    <n v="-31.95"/>
    <n v="686"/>
    <n v="2"/>
    <n v="1"/>
  </r>
  <r>
    <m/>
    <m/>
    <x v="1"/>
    <s v="50552391002001"/>
    <n v="-25"/>
    <n v="532"/>
    <n v="1"/>
    <n v="1"/>
  </r>
  <r>
    <m/>
    <m/>
    <x v="1"/>
    <s v="50577986002006"/>
    <n v="-16.73"/>
    <n v="356"/>
    <n v="1"/>
    <n v="1"/>
  </r>
  <r>
    <m/>
    <m/>
    <x v="1"/>
    <s v="50578291001002"/>
    <n v="-6.86"/>
    <n v="146"/>
    <n v="1"/>
    <n v="1"/>
  </r>
  <r>
    <m/>
    <m/>
    <x v="1"/>
    <s v="50583810001001"/>
    <n v="-26.84"/>
    <n v="571"/>
    <n v="1"/>
    <n v="1"/>
  </r>
  <r>
    <m/>
    <m/>
    <x v="1"/>
    <s v="50718011001001"/>
    <n v="-62.09"/>
    <n v="1321"/>
    <n v="1"/>
    <n v="1"/>
  </r>
  <r>
    <m/>
    <m/>
    <x v="1"/>
    <s v="50741531001002"/>
    <n v="-0.94"/>
    <n v="20"/>
    <n v="1"/>
    <n v="1"/>
  </r>
  <r>
    <m/>
    <m/>
    <x v="1"/>
    <s v="50742301001008"/>
    <n v="-1.08"/>
    <n v="23"/>
    <n v="1"/>
    <n v="1"/>
  </r>
  <r>
    <m/>
    <m/>
    <x v="1"/>
    <s v="50750548001001"/>
    <n v="-18.190000000000001"/>
    <n v="387"/>
    <n v="1"/>
    <n v="1"/>
  </r>
  <r>
    <m/>
    <m/>
    <x v="1"/>
    <s v="50754012001003"/>
    <n v="-0.33"/>
    <n v="7"/>
    <n v="1"/>
    <n v="1"/>
  </r>
  <r>
    <m/>
    <m/>
    <x v="1"/>
    <s v="50756231001002"/>
    <n v="-3.48"/>
    <n v="74"/>
    <n v="1"/>
    <n v="1"/>
  </r>
  <r>
    <m/>
    <m/>
    <x v="1"/>
    <s v="50756301002009"/>
    <n v="-20.12"/>
    <n v="428"/>
    <n v="1"/>
    <n v="1"/>
  </r>
  <r>
    <m/>
    <m/>
    <x v="1"/>
    <s v="50757351002006"/>
    <n v="-0.71"/>
    <n v="15"/>
    <n v="1"/>
    <n v="1"/>
  </r>
  <r>
    <m/>
    <m/>
    <x v="1"/>
    <s v="50773031005001"/>
    <n v="-9.64"/>
    <n v="205"/>
    <n v="1"/>
    <n v="1"/>
  </r>
  <r>
    <m/>
    <m/>
    <x v="1"/>
    <s v="50783321001003"/>
    <n v="-2.35"/>
    <n v="50"/>
    <n v="1"/>
    <n v="1"/>
  </r>
  <r>
    <m/>
    <m/>
    <x v="1"/>
    <s v="50791371001002"/>
    <n v="-3.48"/>
    <n v="74"/>
    <n v="1"/>
    <n v="1"/>
  </r>
  <r>
    <m/>
    <m/>
    <x v="1"/>
    <s v="50809571001001"/>
    <n v="-4.8899999999999997"/>
    <n v="104"/>
    <n v="1"/>
    <n v="1"/>
  </r>
  <r>
    <m/>
    <m/>
    <x v="1"/>
    <s v="50813001003001"/>
    <n v="-6.3"/>
    <n v="134"/>
    <n v="1"/>
    <n v="1"/>
  </r>
  <r>
    <m/>
    <m/>
    <x v="1"/>
    <s v="50823431001001"/>
    <n v="-2.16"/>
    <n v="46"/>
    <n v="1"/>
    <n v="1"/>
  </r>
  <r>
    <m/>
    <m/>
    <x v="1"/>
    <s v="50825051001005"/>
    <n v="-50.81"/>
    <n v="1081"/>
    <n v="1"/>
    <n v="1"/>
  </r>
  <r>
    <m/>
    <m/>
    <x v="1"/>
    <s v="50830011002001"/>
    <n v="-1.65"/>
    <n v="35"/>
    <n v="1"/>
    <n v="1"/>
  </r>
  <r>
    <m/>
    <m/>
    <x v="1"/>
    <s v="50873620001001"/>
    <n v="-78.959999999999994"/>
    <n v="1680"/>
    <n v="1"/>
    <n v="1"/>
  </r>
  <r>
    <m/>
    <m/>
    <x v="1"/>
    <s v="50874321001001"/>
    <n v="-6.2"/>
    <n v="132"/>
    <n v="1"/>
    <n v="1"/>
  </r>
  <r>
    <m/>
    <m/>
    <x v="1"/>
    <s v="50980301002006"/>
    <n v="-2.02"/>
    <n v="43"/>
    <n v="1"/>
    <n v="1"/>
  </r>
  <r>
    <m/>
    <m/>
    <x v="1"/>
    <s v="50987091001012"/>
    <n v="-16.399999999999999"/>
    <n v="349"/>
    <n v="1"/>
    <n v="1"/>
  </r>
  <r>
    <m/>
    <m/>
    <x v="1"/>
    <s v="51011101001001"/>
    <n v="-7.1"/>
    <n v="151"/>
    <n v="1"/>
    <n v="1"/>
  </r>
  <r>
    <m/>
    <m/>
    <x v="1"/>
    <s v="51021905005001"/>
    <n v="-81.03"/>
    <n v="1724"/>
    <n v="1"/>
    <n v="1"/>
  </r>
  <r>
    <m/>
    <m/>
    <x v="1"/>
    <s v="51027691001003"/>
    <n v="-6.2"/>
    <n v="132"/>
    <n v="1"/>
    <n v="1"/>
  </r>
  <r>
    <m/>
    <m/>
    <x v="1"/>
    <s v="51033711001004"/>
    <n v="-29.060000000000002"/>
    <n v="629"/>
    <n v="3"/>
    <n v="1"/>
  </r>
  <r>
    <m/>
    <m/>
    <x v="1"/>
    <s v="51046801003005"/>
    <n v="-0.66"/>
    <n v="14"/>
    <n v="1"/>
    <n v="1"/>
  </r>
  <r>
    <m/>
    <m/>
    <x v="1"/>
    <s v="51047991002005"/>
    <n v="-8.41"/>
    <n v="179"/>
    <n v="1"/>
    <n v="1"/>
  </r>
  <r>
    <m/>
    <m/>
    <x v="1"/>
    <s v="51048201005001"/>
    <n v="-2.0699999999999998"/>
    <n v="44"/>
    <n v="1"/>
    <n v="1"/>
  </r>
  <r>
    <m/>
    <m/>
    <x v="1"/>
    <s v="51057441001003"/>
    <n v="-3.48"/>
    <n v="74"/>
    <n v="1"/>
    <n v="1"/>
  </r>
  <r>
    <m/>
    <m/>
    <x v="1"/>
    <s v="51060871001002"/>
    <n v="-0.52"/>
    <n v="11"/>
    <n v="1"/>
    <n v="1"/>
  </r>
  <r>
    <m/>
    <m/>
    <x v="1"/>
    <s v="51068361001002"/>
    <n v="-2.4"/>
    <n v="51"/>
    <n v="1"/>
    <n v="1"/>
  </r>
  <r>
    <m/>
    <m/>
    <x v="1"/>
    <s v="51072211003001"/>
    <n v="-9.4499999999999993"/>
    <n v="201"/>
    <n v="1"/>
    <n v="1"/>
  </r>
  <r>
    <m/>
    <m/>
    <x v="1"/>
    <s v="51073821001002"/>
    <n v="-2.77"/>
    <n v="59"/>
    <n v="1"/>
    <n v="1"/>
  </r>
  <r>
    <m/>
    <m/>
    <x v="1"/>
    <s v="51084041002005"/>
    <n v="-14.19"/>
    <n v="302"/>
    <n v="1"/>
    <n v="1"/>
  </r>
  <r>
    <m/>
    <m/>
    <x v="1"/>
    <s v="51084811002002"/>
    <n v="-52.31"/>
    <n v="1113"/>
    <n v="1"/>
    <n v="1"/>
  </r>
  <r>
    <m/>
    <m/>
    <x v="1"/>
    <s v="51093652001008"/>
    <n v="-75.81"/>
    <n v="1613"/>
    <n v="1"/>
    <n v="1"/>
  </r>
  <r>
    <m/>
    <m/>
    <x v="1"/>
    <s v="51097131003001"/>
    <n v="-40.700000000000003"/>
    <n v="866"/>
    <n v="1"/>
    <n v="1"/>
  </r>
  <r>
    <m/>
    <m/>
    <x v="1"/>
    <s v="51103431001002"/>
    <n v="-0.75"/>
    <n v="16"/>
    <n v="1"/>
    <n v="1"/>
  </r>
  <r>
    <m/>
    <m/>
    <x v="1"/>
    <s v="51114841002001"/>
    <n v="-7.14"/>
    <n v="152"/>
    <n v="1"/>
    <n v="1"/>
  </r>
  <r>
    <m/>
    <m/>
    <x v="1"/>
    <s v="51125341001001"/>
    <n v="-0.42"/>
    <n v="9"/>
    <n v="1"/>
    <n v="1"/>
  </r>
  <r>
    <m/>
    <m/>
    <x v="1"/>
    <s v="51130731001001"/>
    <n v="-0.19"/>
    <n v="4"/>
    <n v="1"/>
    <n v="1"/>
  </r>
  <r>
    <m/>
    <m/>
    <x v="1"/>
    <s v="51130801001001"/>
    <n v="-2.59"/>
    <n v="55"/>
    <n v="1"/>
    <n v="1"/>
  </r>
  <r>
    <m/>
    <m/>
    <x v="1"/>
    <s v="51138081002001"/>
    <n v="-3.38"/>
    <n v="72"/>
    <n v="1"/>
    <n v="1"/>
  </r>
  <r>
    <m/>
    <m/>
    <x v="1"/>
    <s v="51139481001001"/>
    <n v="-1.5"/>
    <n v="32"/>
    <n v="1"/>
    <n v="1"/>
  </r>
  <r>
    <m/>
    <m/>
    <x v="1"/>
    <s v="51163211002005"/>
    <n v="-10.01"/>
    <n v="213"/>
    <n v="1"/>
    <n v="1"/>
  </r>
  <r>
    <m/>
    <m/>
    <x v="1"/>
    <s v="51163561001003"/>
    <n v="-8.08"/>
    <n v="172"/>
    <n v="1"/>
    <n v="1"/>
  </r>
  <r>
    <m/>
    <m/>
    <x v="1"/>
    <s v="51164261005001"/>
    <n v="-2.82"/>
    <n v="60"/>
    <n v="1"/>
    <n v="1"/>
  </r>
  <r>
    <m/>
    <m/>
    <x v="1"/>
    <s v="51165871003001"/>
    <n v="-4.9400000000000004"/>
    <n v="105"/>
    <n v="1"/>
    <n v="1"/>
  </r>
  <r>
    <m/>
    <m/>
    <x v="1"/>
    <s v="51165941001001"/>
    <n v="-1.18"/>
    <n v="25"/>
    <n v="1"/>
    <n v="1"/>
  </r>
  <r>
    <m/>
    <m/>
    <x v="1"/>
    <s v="51174276001001"/>
    <n v="-6.16"/>
    <n v="131"/>
    <n v="1"/>
    <n v="1"/>
  </r>
  <r>
    <m/>
    <m/>
    <x v="1"/>
    <s v="51175041001001"/>
    <n v="-0.42"/>
    <n v="9"/>
    <n v="1"/>
    <n v="1"/>
  </r>
  <r>
    <m/>
    <m/>
    <x v="1"/>
    <s v="51182321003003"/>
    <n v="-50.66"/>
    <n v="1088"/>
    <n v="2"/>
    <n v="1"/>
  </r>
  <r>
    <m/>
    <m/>
    <x v="1"/>
    <s v="51184281006001"/>
    <n v="-4.04"/>
    <n v="86"/>
    <n v="1"/>
    <n v="1"/>
  </r>
  <r>
    <m/>
    <m/>
    <x v="1"/>
    <s v="51187711001001"/>
    <n v="-0.52"/>
    <n v="11"/>
    <n v="1"/>
    <n v="1"/>
  </r>
  <r>
    <m/>
    <m/>
    <x v="1"/>
    <s v="51194991001002"/>
    <n v="-5.26"/>
    <n v="112"/>
    <n v="1"/>
    <n v="1"/>
  </r>
  <r>
    <m/>
    <m/>
    <x v="1"/>
    <s v="51201221014001"/>
    <n v="-17.77"/>
    <n v="378"/>
    <n v="1"/>
    <n v="1"/>
  </r>
  <r>
    <m/>
    <m/>
    <x v="1"/>
    <s v="51206821003009"/>
    <n v="-3.06"/>
    <n v="65"/>
    <n v="1"/>
    <n v="1"/>
  </r>
  <r>
    <m/>
    <m/>
    <x v="1"/>
    <s v="51208991001001"/>
    <n v="-1.79"/>
    <n v="38"/>
    <n v="1"/>
    <n v="1"/>
  </r>
  <r>
    <m/>
    <m/>
    <x v="1"/>
    <s v="51221801001005"/>
    <n v="-6.72"/>
    <n v="143"/>
    <n v="1"/>
    <n v="1"/>
  </r>
  <r>
    <m/>
    <m/>
    <x v="1"/>
    <s v="51230131007001"/>
    <n v="-3.01"/>
    <n v="64"/>
    <n v="1"/>
    <n v="1"/>
  </r>
  <r>
    <m/>
    <m/>
    <x v="1"/>
    <s v="51237341002006"/>
    <n v="-5.73"/>
    <n v="122"/>
    <n v="1"/>
    <n v="1"/>
  </r>
  <r>
    <m/>
    <m/>
    <x v="1"/>
    <s v="51309651001001"/>
    <n v="-40.369999999999997"/>
    <n v="863"/>
    <n v="2"/>
    <n v="1"/>
  </r>
  <r>
    <m/>
    <m/>
    <x v="1"/>
    <s v="51309721001001"/>
    <n v="-103.15"/>
    <n v="2205"/>
    <n v="2"/>
    <n v="1"/>
  </r>
  <r>
    <m/>
    <m/>
    <x v="1"/>
    <s v="51316301003004"/>
    <n v="-39.11"/>
    <n v="836"/>
    <n v="2"/>
    <n v="1"/>
  </r>
  <r>
    <m/>
    <m/>
    <x v="1"/>
    <s v="51318751001001"/>
    <n v="-33.690000000000005"/>
    <n v="720"/>
    <n v="2"/>
    <n v="1"/>
  </r>
  <r>
    <m/>
    <m/>
    <x v="1"/>
    <s v="51323511001002"/>
    <n v="-19.46"/>
    <n v="416"/>
    <n v="2"/>
    <n v="1"/>
  </r>
  <r>
    <m/>
    <m/>
    <x v="1"/>
    <s v="51333166001001"/>
    <n v="-6.86"/>
    <n v="146"/>
    <n v="1"/>
    <n v="1"/>
  </r>
  <r>
    <m/>
    <m/>
    <x v="1"/>
    <s v="51333941006001"/>
    <n v="-36.14"/>
    <n v="769"/>
    <n v="1"/>
    <n v="1"/>
  </r>
  <r>
    <m/>
    <m/>
    <x v="1"/>
    <s v="51344861001001"/>
    <n v="-60.07"/>
    <n v="1278"/>
    <n v="1"/>
    <n v="1"/>
  </r>
  <r>
    <m/>
    <m/>
    <x v="1"/>
    <s v="51370481001001"/>
    <n v="-32.76"/>
    <n v="697"/>
    <n v="1"/>
    <n v="1"/>
  </r>
  <r>
    <m/>
    <m/>
    <x v="1"/>
    <s v="51370831001001"/>
    <n v="-86.48"/>
    <n v="1840"/>
    <n v="1"/>
    <n v="1"/>
  </r>
  <r>
    <m/>
    <m/>
    <x v="1"/>
    <s v="51377691005001"/>
    <n v="-7.6800000000000006"/>
    <n v="165"/>
    <n v="2"/>
    <n v="1"/>
  </r>
  <r>
    <m/>
    <m/>
    <x v="1"/>
    <s v="51401561004001"/>
    <n v="-52.41"/>
    <n v="1115"/>
    <n v="1"/>
    <n v="1"/>
  </r>
  <r>
    <m/>
    <m/>
    <x v="1"/>
    <s v="51424031003001"/>
    <n v="-19.13"/>
    <n v="407"/>
    <n v="1"/>
    <n v="1"/>
  </r>
  <r>
    <m/>
    <m/>
    <x v="1"/>
    <s v="51439011010001"/>
    <n v="-47.38"/>
    <n v="1008"/>
    <n v="1"/>
    <n v="1"/>
  </r>
  <r>
    <m/>
    <m/>
    <x v="1"/>
    <s v="51443606001006"/>
    <n v="-15.09"/>
    <n v="324"/>
    <n v="2"/>
    <n v="1"/>
  </r>
  <r>
    <m/>
    <m/>
    <x v="1"/>
    <s v="51450421001005"/>
    <n v="-76.44"/>
    <n v="1634"/>
    <n v="2"/>
    <n v="1"/>
  </r>
  <r>
    <m/>
    <m/>
    <x v="1"/>
    <s v="51453851003001"/>
    <n v="-8.0399999999999991"/>
    <n v="171"/>
    <n v="1"/>
    <n v="1"/>
  </r>
  <r>
    <m/>
    <m/>
    <x v="1"/>
    <s v="51461761001001"/>
    <n v="-10.71"/>
    <n v="230"/>
    <n v="2"/>
    <n v="1"/>
  </r>
  <r>
    <m/>
    <m/>
    <x v="1"/>
    <s v="51467250001001"/>
    <n v="-5.45"/>
    <n v="116"/>
    <n v="1"/>
    <n v="1"/>
  </r>
  <r>
    <m/>
    <m/>
    <x v="1"/>
    <s v="51516081001002"/>
    <n v="-8.6999999999999993"/>
    <n v="185"/>
    <n v="1"/>
    <n v="1"/>
  </r>
  <r>
    <m/>
    <m/>
    <x v="1"/>
    <s v="51516361003001"/>
    <n v="-15.51"/>
    <n v="330"/>
    <n v="1"/>
    <n v="1"/>
  </r>
  <r>
    <m/>
    <m/>
    <x v="1"/>
    <s v="51521791001001"/>
    <n v="-12.940000000000001"/>
    <n v="278"/>
    <n v="2"/>
    <n v="1"/>
  </r>
  <r>
    <m/>
    <m/>
    <x v="1"/>
    <s v="51528681001002"/>
    <n v="-0.05"/>
    <n v="1"/>
    <n v="1"/>
    <n v="1"/>
  </r>
  <r>
    <m/>
    <m/>
    <x v="1"/>
    <s v="51542891001003"/>
    <n v="-10.67"/>
    <n v="227"/>
    <n v="1"/>
    <n v="1"/>
  </r>
  <r>
    <m/>
    <m/>
    <x v="1"/>
    <s v="51543591001002"/>
    <n v="-13.58"/>
    <n v="289"/>
    <n v="1"/>
    <n v="1"/>
  </r>
  <r>
    <m/>
    <m/>
    <x v="1"/>
    <s v="51549471001001"/>
    <n v="-3.34"/>
    <n v="71"/>
    <n v="1"/>
    <n v="1"/>
  </r>
  <r>
    <m/>
    <m/>
    <x v="1"/>
    <s v="51554091001001"/>
    <n v="-32.81"/>
    <n v="698"/>
    <n v="1"/>
    <n v="1"/>
  </r>
  <r>
    <m/>
    <m/>
    <x v="1"/>
    <s v="51575021002004"/>
    <n v="-9.4"/>
    <n v="200"/>
    <n v="1"/>
    <n v="1"/>
  </r>
  <r>
    <m/>
    <m/>
    <x v="1"/>
    <s v="51582215001003"/>
    <n v="-47.86"/>
    <n v="1023"/>
    <n v="2"/>
    <n v="1"/>
  </r>
  <r>
    <m/>
    <m/>
    <x v="1"/>
    <s v="51584751002008"/>
    <n v="-28.17"/>
    <n v="605"/>
    <n v="2"/>
    <n v="1"/>
  </r>
  <r>
    <m/>
    <m/>
    <x v="1"/>
    <s v="51585171003003"/>
    <n v="-3.95"/>
    <n v="84"/>
    <n v="1"/>
    <n v="1"/>
  </r>
  <r>
    <m/>
    <m/>
    <x v="1"/>
    <s v="51593431001001"/>
    <n v="-31.11"/>
    <n v="662"/>
    <n v="1"/>
    <n v="1"/>
  </r>
  <r>
    <m/>
    <m/>
    <x v="1"/>
    <s v="51597141001007"/>
    <n v="-17.91"/>
    <n v="381"/>
    <n v="1"/>
    <n v="1"/>
  </r>
  <r>
    <m/>
    <m/>
    <x v="1"/>
    <s v="51603861001001"/>
    <n v="-13.82"/>
    <n v="294"/>
    <n v="1"/>
    <n v="1"/>
  </r>
  <r>
    <m/>
    <m/>
    <x v="1"/>
    <s v="51613101001001"/>
    <n v="-32.43"/>
    <n v="690"/>
    <n v="1"/>
    <n v="1"/>
  </r>
  <r>
    <m/>
    <m/>
    <x v="1"/>
    <s v="51614151001002"/>
    <n v="-1.46"/>
    <n v="31"/>
    <n v="1"/>
    <n v="1"/>
  </r>
  <r>
    <m/>
    <m/>
    <x v="1"/>
    <s v="51614291001001"/>
    <n v="-9.9600000000000009"/>
    <n v="212"/>
    <n v="1"/>
    <n v="1"/>
  </r>
  <r>
    <m/>
    <m/>
    <x v="1"/>
    <s v="51615411001001"/>
    <n v="-16.309999999999999"/>
    <n v="347"/>
    <n v="1"/>
    <n v="1"/>
  </r>
  <r>
    <m/>
    <m/>
    <x v="1"/>
    <s v="51615551001001"/>
    <n v="-23.12"/>
    <n v="492"/>
    <n v="1"/>
    <n v="1"/>
  </r>
  <r>
    <m/>
    <m/>
    <x v="1"/>
    <s v="51634941001001"/>
    <n v="-33.840000000000003"/>
    <n v="720"/>
    <n v="1"/>
    <n v="1"/>
  </r>
  <r>
    <m/>
    <m/>
    <x v="1"/>
    <s v="51764139001006"/>
    <n v="-7.05"/>
    <n v="150"/>
    <n v="1"/>
    <n v="1"/>
  </r>
  <r>
    <m/>
    <m/>
    <x v="1"/>
    <s v="51790155001001"/>
    <n v="-11.28"/>
    <n v="240"/>
    <n v="1"/>
    <n v="1"/>
  </r>
  <r>
    <m/>
    <m/>
    <x v="1"/>
    <s v="51910701001008"/>
    <n v="-3.95"/>
    <n v="84"/>
    <n v="1"/>
    <n v="1"/>
  </r>
  <r>
    <m/>
    <m/>
    <x v="1"/>
    <s v="51973472002001"/>
    <n v="-23.31"/>
    <n v="496"/>
    <n v="1"/>
    <n v="1"/>
  </r>
  <r>
    <m/>
    <m/>
    <x v="1"/>
    <s v="52042325001001"/>
    <n v="-53.67"/>
    <n v="1142"/>
    <n v="1"/>
    <n v="1"/>
  </r>
  <r>
    <m/>
    <m/>
    <x v="1"/>
    <s v="52046011003003"/>
    <n v="-15.15"/>
    <n v="324"/>
    <n v="2"/>
    <n v="1"/>
  </r>
  <r>
    <m/>
    <m/>
    <x v="1"/>
    <s v="52117368001007"/>
    <n v="-100.75999999999999"/>
    <n v="2154"/>
    <n v="2"/>
    <n v="1"/>
  </r>
  <r>
    <m/>
    <m/>
    <x v="1"/>
    <s v="52165482001003"/>
    <n v="-4.42"/>
    <n v="94"/>
    <n v="1"/>
    <n v="1"/>
  </r>
  <r>
    <m/>
    <m/>
    <x v="1"/>
    <s v="52226629002001"/>
    <n v="-39.53"/>
    <n v="841"/>
    <n v="1"/>
    <n v="1"/>
  </r>
  <r>
    <m/>
    <m/>
    <x v="1"/>
    <s v="52232547001001"/>
    <n v="-13.25"/>
    <n v="282"/>
    <n v="1"/>
    <n v="1"/>
  </r>
  <r>
    <m/>
    <m/>
    <x v="1"/>
    <s v="52259109001002"/>
    <n v="-24.39"/>
    <n v="519"/>
    <n v="1"/>
    <n v="1"/>
  </r>
  <r>
    <m/>
    <m/>
    <x v="1"/>
    <s v="52295167001001"/>
    <n v="-26.74"/>
    <n v="569"/>
    <n v="1"/>
    <n v="1"/>
  </r>
  <r>
    <m/>
    <m/>
    <x v="1"/>
    <s v="52325404001004"/>
    <n v="-12.6"/>
    <n v="268"/>
    <n v="1"/>
    <n v="1"/>
  </r>
  <r>
    <m/>
    <m/>
    <x v="1"/>
    <s v="52399384002001"/>
    <n v="-2.02"/>
    <n v="43"/>
    <n v="1"/>
    <n v="1"/>
  </r>
  <r>
    <m/>
    <m/>
    <x v="1"/>
    <s v="52507041001001"/>
    <n v="-7.0600000000000005"/>
    <n v="151"/>
    <n v="2"/>
    <n v="1"/>
  </r>
  <r>
    <m/>
    <m/>
    <x v="1"/>
    <s v="52533908001001"/>
    <n v="-2.2999999999999998"/>
    <n v="49"/>
    <n v="1"/>
    <n v="1"/>
  </r>
  <r>
    <m/>
    <m/>
    <x v="1"/>
    <s v="52553675001009"/>
    <n v="-6.55"/>
    <n v="140"/>
    <n v="2"/>
    <n v="1"/>
  </r>
  <r>
    <m/>
    <m/>
    <x v="1"/>
    <s v="52557185001003"/>
    <n v="-0.8"/>
    <n v="17"/>
    <n v="1"/>
    <n v="1"/>
  </r>
  <r>
    <m/>
    <m/>
    <x v="1"/>
    <s v="52659071001002"/>
    <n v="-49.02"/>
    <n v="1043"/>
    <n v="1"/>
    <n v="1"/>
  </r>
  <r>
    <m/>
    <m/>
    <x v="1"/>
    <s v="52682385001007"/>
    <n v="-23.57"/>
    <n v="504"/>
    <n v="2"/>
    <n v="1"/>
  </r>
  <r>
    <m/>
    <m/>
    <x v="1"/>
    <s v="53082444001001"/>
    <n v="-0.33"/>
    <n v="7"/>
    <n v="1"/>
    <n v="1"/>
  </r>
  <r>
    <m/>
    <m/>
    <x v="1"/>
    <s v="53087879001001"/>
    <n v="-1.32"/>
    <n v="28"/>
    <n v="1"/>
    <n v="1"/>
  </r>
  <r>
    <m/>
    <m/>
    <x v="1"/>
    <s v="53108976001002"/>
    <n v="-19.18"/>
    <n v="408"/>
    <n v="1"/>
    <n v="1"/>
  </r>
  <r>
    <m/>
    <m/>
    <x v="1"/>
    <s v="53224751002001"/>
    <n v="-6.35"/>
    <n v="135"/>
    <n v="1"/>
    <n v="1"/>
  </r>
  <r>
    <m/>
    <m/>
    <x v="1"/>
    <s v="53317522001003"/>
    <n v="-21.06"/>
    <n v="448"/>
    <n v="1"/>
    <n v="1"/>
  </r>
  <r>
    <m/>
    <m/>
    <x v="1"/>
    <s v="53350345002005"/>
    <n v="-1.41"/>
    <n v="30"/>
    <n v="1"/>
    <n v="1"/>
  </r>
  <r>
    <m/>
    <m/>
    <x v="1"/>
    <s v="53356156002001"/>
    <n v="-12.69"/>
    <n v="270"/>
    <n v="1"/>
    <n v="1"/>
  </r>
  <r>
    <m/>
    <m/>
    <x v="1"/>
    <s v="53410550003001"/>
    <n v="-11.979999999999999"/>
    <n v="256"/>
    <n v="2"/>
    <n v="1"/>
  </r>
  <r>
    <m/>
    <m/>
    <x v="1"/>
    <s v="53488010001002"/>
    <n v="-2.4900000000000002"/>
    <n v="53"/>
    <n v="1"/>
    <n v="1"/>
  </r>
  <r>
    <m/>
    <m/>
    <x v="1"/>
    <s v="53681358001001"/>
    <n v="-1.27"/>
    <n v="27"/>
    <n v="1"/>
    <n v="1"/>
  </r>
  <r>
    <m/>
    <m/>
    <x v="1"/>
    <s v="53713362001001"/>
    <n v="-0.47"/>
    <n v="10"/>
    <n v="1"/>
    <n v="1"/>
  </r>
  <r>
    <m/>
    <m/>
    <x v="1"/>
    <s v="53812406001002"/>
    <n v="-24.49"/>
    <n v="521"/>
    <n v="1"/>
    <n v="1"/>
  </r>
  <r>
    <m/>
    <m/>
    <x v="1"/>
    <s v="53848555001002"/>
    <n v="-25.38"/>
    <n v="540"/>
    <n v="1"/>
    <n v="1"/>
  </r>
  <r>
    <m/>
    <m/>
    <x v="1"/>
    <s v="53914791002001"/>
    <n v="-4.37"/>
    <n v="93"/>
    <n v="1"/>
    <n v="1"/>
  </r>
  <r>
    <m/>
    <m/>
    <x v="1"/>
    <s v="53953758001001"/>
    <n v="-16.22"/>
    <n v="345"/>
    <n v="1"/>
    <n v="1"/>
  </r>
  <r>
    <m/>
    <m/>
    <x v="1"/>
    <s v="53970846001001"/>
    <n v="-33.120000000000005"/>
    <n v="708"/>
    <n v="2"/>
    <n v="1"/>
  </r>
  <r>
    <m/>
    <m/>
    <x v="1"/>
    <s v="54011290001001"/>
    <n v="-7.24"/>
    <n v="154"/>
    <n v="1"/>
    <n v="1"/>
  </r>
  <r>
    <m/>
    <m/>
    <x v="1"/>
    <s v="54019982001004"/>
    <n v="-62.26"/>
    <n v="1337"/>
    <n v="2"/>
    <n v="1"/>
  </r>
  <r>
    <m/>
    <m/>
    <x v="1"/>
    <s v="54099172001001"/>
    <n v="-1.46"/>
    <n v="31"/>
    <n v="1"/>
    <n v="1"/>
  </r>
  <r>
    <m/>
    <m/>
    <x v="1"/>
    <s v="54147532001001"/>
    <n v="-20.12"/>
    <n v="428"/>
    <n v="1"/>
    <n v="1"/>
  </r>
  <r>
    <m/>
    <m/>
    <x v="1"/>
    <s v="54256535001001"/>
    <n v="-2.68"/>
    <n v="57"/>
    <n v="1"/>
    <n v="1"/>
  </r>
  <r>
    <m/>
    <m/>
    <x v="1"/>
    <s v="54329736005001"/>
    <n v="-0.14000000000000001"/>
    <n v="3"/>
    <n v="1"/>
    <n v="1"/>
  </r>
  <r>
    <m/>
    <m/>
    <x v="1"/>
    <s v="54399460003005"/>
    <n v="-17.440000000000001"/>
    <n v="371"/>
    <n v="1"/>
    <n v="1"/>
  </r>
  <r>
    <m/>
    <m/>
    <x v="1"/>
    <s v="54477932001003"/>
    <n v="-12.08"/>
    <n v="257"/>
    <n v="1"/>
    <n v="1"/>
  </r>
  <r>
    <m/>
    <m/>
    <x v="1"/>
    <s v="54523601001001"/>
    <n v="-22.18"/>
    <n v="472"/>
    <n v="1"/>
    <n v="1"/>
  </r>
  <r>
    <m/>
    <m/>
    <x v="1"/>
    <s v="54582419004001"/>
    <n v="-1.69"/>
    <n v="36"/>
    <n v="1"/>
    <n v="1"/>
  </r>
  <r>
    <m/>
    <m/>
    <x v="1"/>
    <s v="54609162004002"/>
    <n v="-3.01"/>
    <n v="64"/>
    <n v="1"/>
    <n v="1"/>
  </r>
  <r>
    <m/>
    <m/>
    <x v="1"/>
    <s v="54633989001003"/>
    <n v="-36"/>
    <n v="766"/>
    <n v="1"/>
    <n v="1"/>
  </r>
  <r>
    <m/>
    <m/>
    <x v="1"/>
    <s v="54844815001003"/>
    <n v="-0.61"/>
    <n v="13"/>
    <n v="1"/>
    <n v="1"/>
  </r>
  <r>
    <m/>
    <m/>
    <x v="1"/>
    <s v="54884722001003"/>
    <n v="-1.97"/>
    <n v="42"/>
    <n v="1"/>
    <n v="1"/>
  </r>
  <r>
    <m/>
    <m/>
    <x v="1"/>
    <s v="54897257001001"/>
    <n v="-19.04"/>
    <n v="405"/>
    <n v="1"/>
    <n v="1"/>
  </r>
  <r>
    <m/>
    <m/>
    <x v="1"/>
    <s v="54978920001003"/>
    <n v="-6.3"/>
    <n v="134"/>
    <n v="1"/>
    <n v="1"/>
  </r>
  <r>
    <m/>
    <m/>
    <x v="1"/>
    <s v="55036747001002"/>
    <n v="-3.57"/>
    <n v="76"/>
    <n v="1"/>
    <n v="1"/>
  </r>
  <r>
    <m/>
    <m/>
    <x v="1"/>
    <s v="55121276001005"/>
    <n v="-15.79"/>
    <n v="336"/>
    <n v="1"/>
    <n v="1"/>
  </r>
  <r>
    <m/>
    <m/>
    <x v="1"/>
    <s v="55185996001003"/>
    <n v="-8.93"/>
    <n v="190"/>
    <n v="1"/>
    <n v="1"/>
  </r>
  <r>
    <m/>
    <m/>
    <x v="1"/>
    <s v="55389283006001"/>
    <n v="-2.21"/>
    <n v="47"/>
    <n v="1"/>
    <n v="1"/>
  </r>
  <r>
    <m/>
    <m/>
    <x v="1"/>
    <s v="55476730001005"/>
    <n v="-67.289999999999992"/>
    <n v="1445"/>
    <n v="2"/>
    <n v="1"/>
  </r>
  <r>
    <m/>
    <m/>
    <x v="1"/>
    <s v="55524078001001"/>
    <n v="-1.69"/>
    <n v="36"/>
    <n v="1"/>
    <n v="1"/>
  </r>
  <r>
    <m/>
    <m/>
    <x v="1"/>
    <s v="55536729004001"/>
    <n v="-1.5"/>
    <n v="32"/>
    <n v="1"/>
    <n v="1"/>
  </r>
  <r>
    <m/>
    <m/>
    <x v="1"/>
    <s v="55743493002001"/>
    <n v="-7"/>
    <n v="149"/>
    <n v="1"/>
    <n v="1"/>
  </r>
  <r>
    <m/>
    <m/>
    <x v="1"/>
    <s v="55781832001008"/>
    <n v="-12.78"/>
    <n v="272"/>
    <n v="1"/>
    <n v="1"/>
  </r>
  <r>
    <m/>
    <m/>
    <x v="1"/>
    <s v="55852549001004"/>
    <n v="-12.93"/>
    <n v="275"/>
    <n v="1"/>
    <n v="1"/>
  </r>
  <r>
    <m/>
    <m/>
    <x v="1"/>
    <s v="55894222001001"/>
    <n v="-29.619999999999997"/>
    <n v="633"/>
    <n v="2"/>
    <n v="1"/>
  </r>
  <r>
    <m/>
    <m/>
    <x v="1"/>
    <s v="55898070001005"/>
    <n v="-45.14"/>
    <n v="965"/>
    <n v="2"/>
    <n v="1"/>
  </r>
  <r>
    <m/>
    <m/>
    <x v="1"/>
    <s v="56027623001001"/>
    <n v="-30.74"/>
    <n v="654"/>
    <n v="1"/>
    <n v="1"/>
  </r>
  <r>
    <m/>
    <m/>
    <x v="1"/>
    <s v="56063826001003"/>
    <n v="-2.16"/>
    <n v="46"/>
    <n v="1"/>
    <n v="1"/>
  </r>
  <r>
    <m/>
    <m/>
    <x v="1"/>
    <s v="56072830001004"/>
    <n v="-14.48"/>
    <n v="308"/>
    <n v="1"/>
    <n v="1"/>
  </r>
  <r>
    <m/>
    <m/>
    <x v="1"/>
    <s v="56079112001004"/>
    <n v="-43.85"/>
    <n v="933"/>
    <n v="1"/>
    <n v="1"/>
  </r>
  <r>
    <m/>
    <m/>
    <x v="1"/>
    <s v="56158181001001"/>
    <n v="-10.24"/>
    <n v="220"/>
    <n v="2"/>
    <n v="1"/>
  </r>
  <r>
    <m/>
    <m/>
    <x v="1"/>
    <s v="56272890001001"/>
    <n v="-1.69"/>
    <n v="36"/>
    <n v="1"/>
    <n v="1"/>
  </r>
  <r>
    <m/>
    <m/>
    <x v="1"/>
    <s v="56326619001001"/>
    <n v="-3.53"/>
    <n v="75"/>
    <n v="1"/>
    <n v="1"/>
  </r>
  <r>
    <m/>
    <m/>
    <x v="1"/>
    <s v="56533159001001"/>
    <n v="-19.18"/>
    <n v="408"/>
    <n v="1"/>
    <n v="1"/>
  </r>
  <r>
    <m/>
    <m/>
    <x v="1"/>
    <s v="56725042001004"/>
    <n v="-9.26"/>
    <n v="198"/>
    <n v="2"/>
    <n v="1"/>
  </r>
  <r>
    <m/>
    <m/>
    <x v="1"/>
    <s v="56745375001001"/>
    <n v="-10.25"/>
    <n v="218"/>
    <n v="1"/>
    <n v="1"/>
  </r>
  <r>
    <m/>
    <m/>
    <x v="1"/>
    <s v="56918510001001"/>
    <n v="-6.39"/>
    <n v="136"/>
    <n v="1"/>
    <n v="1"/>
  </r>
  <r>
    <m/>
    <m/>
    <x v="1"/>
    <s v="56947002001001"/>
    <n v="-6.49"/>
    <n v="138"/>
    <n v="1"/>
    <n v="1"/>
  </r>
  <r>
    <m/>
    <m/>
    <x v="1"/>
    <s v="57000650001002"/>
    <n v="-19.09"/>
    <n v="410"/>
    <n v="2"/>
    <n v="1"/>
  </r>
  <r>
    <m/>
    <m/>
    <x v="1"/>
    <s v="57097404001004"/>
    <n v="-28.29"/>
    <n v="602"/>
    <n v="1"/>
    <n v="1"/>
  </r>
  <r>
    <m/>
    <m/>
    <x v="1"/>
    <s v="57110729007001"/>
    <n v="-3.06"/>
    <n v="65"/>
    <n v="1"/>
    <n v="1"/>
  </r>
  <r>
    <m/>
    <m/>
    <x v="1"/>
    <s v="57232509003001"/>
    <n v="-14.48"/>
    <n v="308"/>
    <n v="1"/>
    <n v="1"/>
  </r>
  <r>
    <m/>
    <m/>
    <x v="1"/>
    <s v="57356716001002"/>
    <n v="-19.79"/>
    <n v="425"/>
    <n v="2"/>
    <n v="1"/>
  </r>
  <r>
    <m/>
    <m/>
    <x v="1"/>
    <s v="57453412001005"/>
    <n v="-11.7"/>
    <n v="249"/>
    <n v="1"/>
    <n v="1"/>
  </r>
  <r>
    <m/>
    <m/>
    <x v="1"/>
    <s v="57455935001001"/>
    <n v="-15.13"/>
    <n v="322"/>
    <n v="1"/>
    <n v="1"/>
  </r>
  <r>
    <m/>
    <m/>
    <x v="1"/>
    <s v="57511006004003"/>
    <n v="-2.91"/>
    <n v="62"/>
    <n v="1"/>
    <n v="1"/>
  </r>
  <r>
    <m/>
    <m/>
    <x v="1"/>
    <s v="57634785001001"/>
    <n v="-39.479999999999997"/>
    <n v="848"/>
    <n v="2"/>
    <n v="1"/>
  </r>
  <r>
    <m/>
    <m/>
    <x v="1"/>
    <s v="58070087003003"/>
    <n v="-42.35"/>
    <n v="901"/>
    <n v="1"/>
    <n v="1"/>
  </r>
  <r>
    <m/>
    <m/>
    <x v="1"/>
    <s v="58123333001002"/>
    <n v="-32.24"/>
    <n v="686"/>
    <n v="1"/>
    <n v="1"/>
  </r>
  <r>
    <m/>
    <m/>
    <x v="1"/>
    <s v="58144822001002"/>
    <n v="-35.340000000000003"/>
    <n v="752"/>
    <n v="1"/>
    <n v="1"/>
  </r>
  <r>
    <m/>
    <m/>
    <x v="1"/>
    <s v="58254409001002"/>
    <n v="-2.4"/>
    <n v="51"/>
    <n v="1"/>
    <n v="1"/>
  </r>
  <r>
    <m/>
    <m/>
    <x v="1"/>
    <s v="58433748001002"/>
    <n v="-7.14"/>
    <n v="152"/>
    <n v="1"/>
    <n v="1"/>
  </r>
  <r>
    <m/>
    <m/>
    <x v="1"/>
    <s v="58436858001004"/>
    <n v="-19.93"/>
    <n v="424"/>
    <n v="1"/>
    <n v="1"/>
  </r>
  <r>
    <m/>
    <m/>
    <x v="1"/>
    <s v="58468448002001"/>
    <n v="-31.91"/>
    <n v="682"/>
    <n v="2"/>
    <n v="1"/>
  </r>
  <r>
    <m/>
    <m/>
    <x v="1"/>
    <s v="58549564001001"/>
    <n v="-0.19"/>
    <n v="4"/>
    <n v="1"/>
    <n v="1"/>
  </r>
  <r>
    <m/>
    <m/>
    <x v="1"/>
    <s v="58643665001003"/>
    <n v="-20.349999999999998"/>
    <n v="435"/>
    <n v="2"/>
    <n v="1"/>
  </r>
  <r>
    <m/>
    <m/>
    <x v="1"/>
    <s v="58665150001005"/>
    <n v="-2.4900000000000002"/>
    <n v="53"/>
    <n v="1"/>
    <n v="1"/>
  </r>
  <r>
    <m/>
    <m/>
    <x v="1"/>
    <s v="58704052001001"/>
    <n v="-3.58"/>
    <n v="77"/>
    <n v="2"/>
    <n v="1"/>
  </r>
  <r>
    <m/>
    <m/>
    <x v="1"/>
    <s v="58815775001003"/>
    <n v="-8.08"/>
    <n v="172"/>
    <n v="1"/>
    <n v="1"/>
  </r>
  <r>
    <m/>
    <m/>
    <x v="1"/>
    <s v="58828870007001"/>
    <n v="-19.690000000000001"/>
    <n v="419"/>
    <n v="1"/>
    <n v="1"/>
  </r>
  <r>
    <m/>
    <m/>
    <x v="1"/>
    <s v="58952317002005"/>
    <n v="-1.83"/>
    <n v="39"/>
    <n v="1"/>
    <n v="1"/>
  </r>
  <r>
    <m/>
    <m/>
    <x v="1"/>
    <s v="59053011001001"/>
    <n v="-2.54"/>
    <n v="54"/>
    <n v="1"/>
    <n v="1"/>
  </r>
  <r>
    <m/>
    <m/>
    <x v="1"/>
    <s v="59085749001001"/>
    <n v="-18.239999999999998"/>
    <n v="388"/>
    <n v="1"/>
    <n v="1"/>
  </r>
  <r>
    <m/>
    <m/>
    <x v="1"/>
    <s v="59136213001001"/>
    <n v="-9.5399999999999991"/>
    <n v="203"/>
    <n v="1"/>
    <n v="1"/>
  </r>
  <r>
    <m/>
    <m/>
    <x v="1"/>
    <s v="59547463005003"/>
    <n v="-2.59"/>
    <n v="55"/>
    <n v="1"/>
    <n v="1"/>
  </r>
  <r>
    <m/>
    <m/>
    <x v="1"/>
    <s v="59582257003001"/>
    <n v="-2.4"/>
    <n v="51"/>
    <n v="1"/>
    <n v="1"/>
  </r>
  <r>
    <m/>
    <m/>
    <x v="1"/>
    <s v="59712638001001"/>
    <n v="-24.79"/>
    <n v="530"/>
    <n v="2"/>
    <n v="1"/>
  </r>
  <r>
    <m/>
    <m/>
    <x v="1"/>
    <s v="59835939001001"/>
    <n v="-18.100000000000001"/>
    <n v="385"/>
    <n v="1"/>
    <n v="1"/>
  </r>
  <r>
    <m/>
    <m/>
    <x v="1"/>
    <s v="59904249001001"/>
    <n v="-26.65"/>
    <n v="567"/>
    <n v="1"/>
    <n v="1"/>
  </r>
  <r>
    <m/>
    <m/>
    <x v="1"/>
    <s v="60000842001003"/>
    <n v="-0.75"/>
    <n v="16"/>
    <n v="1"/>
    <n v="1"/>
  </r>
  <r>
    <m/>
    <m/>
    <x v="1"/>
    <s v="60085172002003"/>
    <n v="-24.58"/>
    <n v="523"/>
    <n v="1"/>
    <n v="1"/>
  </r>
  <r>
    <m/>
    <m/>
    <x v="1"/>
    <s v="60103851002003"/>
    <n v="-6.94"/>
    <n v="149"/>
    <n v="2"/>
    <n v="1"/>
  </r>
  <r>
    <m/>
    <m/>
    <x v="1"/>
    <s v="60129080001001"/>
    <n v="-25.9"/>
    <n v="551"/>
    <n v="1"/>
    <n v="1"/>
  </r>
  <r>
    <m/>
    <m/>
    <x v="1"/>
    <s v="60239588001006"/>
    <n v="-43.4"/>
    <n v="932"/>
    <n v="2"/>
    <n v="1"/>
  </r>
  <r>
    <m/>
    <m/>
    <x v="1"/>
    <s v="60270707001007"/>
    <n v="-8.7899999999999991"/>
    <n v="187"/>
    <n v="1"/>
    <n v="1"/>
  </r>
  <r>
    <m/>
    <m/>
    <x v="1"/>
    <s v="60290167001006"/>
    <n v="-2.91"/>
    <n v="62"/>
    <n v="1"/>
    <n v="1"/>
  </r>
  <r>
    <m/>
    <m/>
    <x v="1"/>
    <s v="60311880001002"/>
    <n v="-18"/>
    <n v="383"/>
    <n v="1"/>
    <n v="1"/>
  </r>
  <r>
    <m/>
    <m/>
    <x v="1"/>
    <s v="60362120001002"/>
    <n v="-0.28000000000000003"/>
    <n v="6"/>
    <n v="1"/>
    <n v="1"/>
  </r>
  <r>
    <m/>
    <m/>
    <x v="1"/>
    <s v="60372686002003"/>
    <n v="-3.57"/>
    <n v="76"/>
    <n v="1"/>
    <n v="1"/>
  </r>
  <r>
    <m/>
    <m/>
    <x v="1"/>
    <s v="60378444004001"/>
    <n v="-0.47"/>
    <n v="10"/>
    <n v="1"/>
    <n v="1"/>
  </r>
  <r>
    <m/>
    <m/>
    <x v="1"/>
    <s v="60473262001001"/>
    <n v="-5.59"/>
    <n v="119"/>
    <n v="1"/>
    <n v="1"/>
  </r>
  <r>
    <m/>
    <m/>
    <x v="1"/>
    <s v="60503071001008"/>
    <n v="-7.94"/>
    <n v="169"/>
    <n v="1"/>
    <n v="1"/>
  </r>
  <r>
    <m/>
    <m/>
    <x v="1"/>
    <s v="60570725002001"/>
    <n v="-95.79"/>
    <n v="2057"/>
    <n v="2"/>
    <n v="1"/>
  </r>
  <r>
    <m/>
    <m/>
    <x v="1"/>
    <s v="60626334001001"/>
    <n v="-19.41"/>
    <n v="413"/>
    <n v="1"/>
    <n v="1"/>
  </r>
  <r>
    <m/>
    <m/>
    <x v="1"/>
    <s v="60790565001008"/>
    <n v="-43.57"/>
    <n v="927"/>
    <n v="1"/>
    <n v="1"/>
  </r>
  <r>
    <m/>
    <m/>
    <x v="1"/>
    <s v="60942818001007"/>
    <n v="-24.68"/>
    <n v="525"/>
    <n v="1"/>
    <n v="1"/>
  </r>
  <r>
    <m/>
    <m/>
    <x v="1"/>
    <s v="61029624002001"/>
    <n v="-19.04"/>
    <n v="405"/>
    <n v="1"/>
    <n v="1"/>
  </r>
  <r>
    <m/>
    <m/>
    <x v="1"/>
    <s v="61096024001005"/>
    <n v="-41.03"/>
    <n v="873"/>
    <n v="1"/>
    <n v="1"/>
  </r>
  <r>
    <m/>
    <m/>
    <x v="1"/>
    <s v="61201741001001"/>
    <n v="-4.09"/>
    <n v="87"/>
    <n v="1"/>
    <n v="1"/>
  </r>
  <r>
    <m/>
    <m/>
    <x v="1"/>
    <s v="61237473001001"/>
    <n v="-34.599999999999994"/>
    <n v="743"/>
    <n v="2"/>
    <n v="1"/>
  </r>
  <r>
    <m/>
    <m/>
    <x v="1"/>
    <s v="61254120001004"/>
    <n v="-1.5"/>
    <n v="32"/>
    <n v="1"/>
    <n v="1"/>
  </r>
  <r>
    <m/>
    <m/>
    <x v="1"/>
    <s v="61309008001005"/>
    <n v="-3.2"/>
    <n v="68"/>
    <n v="1"/>
    <n v="1"/>
  </r>
  <r>
    <m/>
    <m/>
    <x v="1"/>
    <s v="61327383003001"/>
    <n v="-10.29"/>
    <n v="219"/>
    <n v="1"/>
    <n v="1"/>
  </r>
  <r>
    <m/>
    <m/>
    <x v="1"/>
    <s v="61446494004007"/>
    <n v="-8.6999999999999993"/>
    <n v="185"/>
    <n v="1"/>
    <n v="1"/>
  </r>
  <r>
    <m/>
    <m/>
    <x v="1"/>
    <s v="61517595001002"/>
    <n v="-0.56000000000000005"/>
    <n v="12"/>
    <n v="1"/>
    <n v="1"/>
  </r>
  <r>
    <m/>
    <m/>
    <x v="1"/>
    <s v="61553021001001"/>
    <n v="-4.09"/>
    <n v="87"/>
    <n v="1"/>
    <n v="1"/>
  </r>
  <r>
    <m/>
    <m/>
    <x v="1"/>
    <s v="61590681001006"/>
    <n v="-4.75"/>
    <n v="101"/>
    <n v="1"/>
    <n v="1"/>
  </r>
  <r>
    <m/>
    <m/>
    <x v="1"/>
    <s v="61630580001002"/>
    <n v="-13.02"/>
    <n v="277"/>
    <n v="1"/>
    <n v="1"/>
  </r>
  <r>
    <m/>
    <m/>
    <x v="1"/>
    <s v="61791165002003"/>
    <n v="-2.96"/>
    <n v="63"/>
    <n v="1"/>
    <n v="1"/>
  </r>
  <r>
    <m/>
    <m/>
    <x v="1"/>
    <s v="61792646001001"/>
    <n v="-15.79"/>
    <n v="336"/>
    <n v="1"/>
    <n v="1"/>
  </r>
  <r>
    <m/>
    <m/>
    <x v="1"/>
    <s v="61831600002001"/>
    <n v="-40.129999999999995"/>
    <n v="862"/>
    <n v="2"/>
    <n v="1"/>
  </r>
  <r>
    <m/>
    <m/>
    <x v="1"/>
    <s v="61935568001001"/>
    <n v="-0.66"/>
    <n v="14"/>
    <n v="1"/>
    <n v="1"/>
  </r>
  <r>
    <m/>
    <m/>
    <x v="1"/>
    <s v="62065609001001"/>
    <n v="-20.45"/>
    <n v="435"/>
    <n v="1"/>
    <n v="1"/>
  </r>
  <r>
    <m/>
    <m/>
    <x v="1"/>
    <s v="62089132001003"/>
    <n v="-16.22"/>
    <n v="345"/>
    <n v="1"/>
    <n v="1"/>
  </r>
  <r>
    <m/>
    <m/>
    <x v="1"/>
    <s v="62209532002001"/>
    <n v="-5.45"/>
    <n v="116"/>
    <n v="1"/>
    <n v="1"/>
  </r>
  <r>
    <m/>
    <m/>
    <x v="1"/>
    <s v="62244159001003"/>
    <n v="-24.35"/>
    <n v="518"/>
    <n v="1"/>
    <n v="1"/>
  </r>
  <r>
    <m/>
    <m/>
    <x v="1"/>
    <s v="62313382001001"/>
    <n v="-1.69"/>
    <n v="36"/>
    <n v="1"/>
    <n v="1"/>
  </r>
  <r>
    <m/>
    <m/>
    <x v="1"/>
    <s v="62406515001008"/>
    <n v="-9.4499999999999993"/>
    <n v="201"/>
    <n v="1"/>
    <n v="1"/>
  </r>
  <r>
    <m/>
    <m/>
    <x v="1"/>
    <s v="62447696001001"/>
    <n v="-1.93"/>
    <n v="41"/>
    <n v="1"/>
    <n v="1"/>
  </r>
  <r>
    <m/>
    <m/>
    <x v="1"/>
    <s v="62485672001001"/>
    <n v="-9.92"/>
    <n v="211"/>
    <n v="1"/>
    <n v="1"/>
  </r>
  <r>
    <m/>
    <m/>
    <x v="1"/>
    <s v="62610781001004"/>
    <n v="-36"/>
    <n v="766"/>
    <n v="1"/>
    <n v="1"/>
  </r>
  <r>
    <m/>
    <m/>
    <x v="1"/>
    <s v="62620561001002"/>
    <n v="-26.88"/>
    <n v="572"/>
    <n v="1"/>
    <n v="1"/>
  </r>
  <r>
    <m/>
    <m/>
    <x v="1"/>
    <s v="62682462001001"/>
    <n v="-62.65"/>
    <n v="1333"/>
    <n v="1"/>
    <n v="1"/>
  </r>
  <r>
    <m/>
    <m/>
    <x v="1"/>
    <s v="62691329005001"/>
    <n v="-55.84"/>
    <n v="1188"/>
    <n v="1"/>
    <n v="1"/>
  </r>
  <r>
    <m/>
    <m/>
    <x v="1"/>
    <s v="62717858001005"/>
    <n v="-7.95"/>
    <n v="170"/>
    <n v="2"/>
    <n v="1"/>
  </r>
  <r>
    <m/>
    <m/>
    <x v="1"/>
    <s v="62912547001003"/>
    <n v="-44.23"/>
    <n v="941"/>
    <n v="1"/>
    <n v="1"/>
  </r>
  <r>
    <m/>
    <m/>
    <x v="1"/>
    <s v="62945137001003"/>
    <n v="-49.73"/>
    <n v="1058"/>
    <n v="1"/>
    <n v="1"/>
  </r>
  <r>
    <m/>
    <m/>
    <x v="1"/>
    <s v="63046648001001"/>
    <n v="-16.09"/>
    <n v="344"/>
    <n v="2"/>
    <n v="1"/>
  </r>
  <r>
    <m/>
    <m/>
    <x v="1"/>
    <s v="63050925001004"/>
    <n v="-8.93"/>
    <n v="191"/>
    <n v="2"/>
    <n v="1"/>
  </r>
  <r>
    <m/>
    <m/>
    <x v="1"/>
    <s v="63179517001005"/>
    <n v="-4.18"/>
    <n v="89"/>
    <n v="1"/>
    <n v="1"/>
  </r>
  <r>
    <m/>
    <m/>
    <x v="1"/>
    <s v="63202392001004"/>
    <n v="-0.8"/>
    <n v="17"/>
    <n v="1"/>
    <n v="1"/>
  </r>
  <r>
    <m/>
    <m/>
    <x v="1"/>
    <s v="63207813001001"/>
    <n v="-7.8"/>
    <n v="166"/>
    <n v="1"/>
    <n v="1"/>
  </r>
  <r>
    <m/>
    <m/>
    <x v="1"/>
    <s v="63329115001002"/>
    <n v="-4.84"/>
    <n v="103"/>
    <n v="1"/>
    <n v="1"/>
  </r>
  <r>
    <m/>
    <m/>
    <x v="1"/>
    <s v="63432424001001"/>
    <n v="-48.22"/>
    <n v="1026"/>
    <n v="1"/>
    <n v="1"/>
  </r>
  <r>
    <m/>
    <m/>
    <x v="1"/>
    <s v="63448216001004"/>
    <n v="-34.549999999999997"/>
    <n v="742"/>
    <n v="2"/>
    <n v="1"/>
  </r>
  <r>
    <m/>
    <m/>
    <x v="1"/>
    <s v="63451251001003"/>
    <n v="-8.51"/>
    <n v="181"/>
    <n v="1"/>
    <n v="1"/>
  </r>
  <r>
    <m/>
    <m/>
    <x v="1"/>
    <s v="63481341001004"/>
    <n v="-13.35"/>
    <n v="284"/>
    <n v="1"/>
    <n v="1"/>
  </r>
  <r>
    <m/>
    <m/>
    <x v="1"/>
    <s v="63569005002001"/>
    <n v="-8.8800000000000008"/>
    <n v="189"/>
    <n v="1"/>
    <n v="1"/>
  </r>
  <r>
    <m/>
    <m/>
    <x v="1"/>
    <s v="63572704001006"/>
    <n v="-15.89"/>
    <n v="338"/>
    <n v="1"/>
    <n v="1"/>
  </r>
  <r>
    <m/>
    <m/>
    <x v="1"/>
    <s v="63697179001006"/>
    <n v="-36.690000000000005"/>
    <n v="788"/>
    <n v="2"/>
    <n v="1"/>
  </r>
  <r>
    <m/>
    <m/>
    <x v="1"/>
    <s v="63707556001001"/>
    <n v="-21.15"/>
    <n v="450"/>
    <n v="1"/>
    <n v="1"/>
  </r>
  <r>
    <m/>
    <m/>
    <x v="1"/>
    <s v="63730275001001"/>
    <n v="-9.68"/>
    <n v="206"/>
    <n v="1"/>
    <n v="1"/>
  </r>
  <r>
    <m/>
    <m/>
    <x v="1"/>
    <s v="63734655001004"/>
    <n v="-4.9400000000000004"/>
    <n v="105"/>
    <n v="1"/>
    <n v="1"/>
  </r>
  <r>
    <m/>
    <m/>
    <x v="1"/>
    <s v="63836931001003"/>
    <n v="-0.33"/>
    <n v="7"/>
    <n v="1"/>
    <n v="1"/>
  </r>
  <r>
    <m/>
    <m/>
    <x v="1"/>
    <s v="63889252001005"/>
    <n v="-17.36"/>
    <n v="371"/>
    <n v="2"/>
    <n v="1"/>
  </r>
  <r>
    <m/>
    <m/>
    <x v="1"/>
    <s v="63921435001001"/>
    <n v="-1.93"/>
    <n v="41"/>
    <n v="1"/>
    <n v="1"/>
  </r>
  <r>
    <m/>
    <m/>
    <x v="1"/>
    <s v="63997968001003"/>
    <n v="-22.28"/>
    <n v="474"/>
    <n v="1"/>
    <n v="1"/>
  </r>
  <r>
    <m/>
    <m/>
    <x v="1"/>
    <s v="64085179001001"/>
    <n v="-25.29"/>
    <n v="543"/>
    <n v="2"/>
    <n v="1"/>
  </r>
  <r>
    <m/>
    <m/>
    <x v="1"/>
    <s v="64119790001003"/>
    <n v="-11.19"/>
    <n v="238"/>
    <n v="1"/>
    <n v="1"/>
  </r>
  <r>
    <m/>
    <m/>
    <x v="1"/>
    <s v="64166284001002"/>
    <n v="-10.81"/>
    <n v="230"/>
    <n v="1"/>
    <n v="1"/>
  </r>
  <r>
    <m/>
    <m/>
    <x v="1"/>
    <s v="64227891001003"/>
    <n v="-52.120000000000005"/>
    <n v="1114"/>
    <n v="2"/>
    <n v="1"/>
  </r>
  <r>
    <m/>
    <m/>
    <x v="1"/>
    <s v="64243431001001"/>
    <n v="-2.77"/>
    <n v="59"/>
    <n v="1"/>
    <n v="1"/>
  </r>
  <r>
    <m/>
    <m/>
    <x v="1"/>
    <s v="64352398001002"/>
    <n v="-39.53"/>
    <n v="849"/>
    <n v="2"/>
    <n v="1"/>
  </r>
  <r>
    <m/>
    <m/>
    <x v="1"/>
    <s v="64412831001001"/>
    <n v="-14.15"/>
    <n v="301"/>
    <n v="1"/>
    <n v="1"/>
  </r>
  <r>
    <m/>
    <m/>
    <x v="1"/>
    <s v="64579615002001"/>
    <n v="-29.23"/>
    <n v="622"/>
    <n v="1"/>
    <n v="1"/>
  </r>
  <r>
    <m/>
    <m/>
    <x v="1"/>
    <s v="64598979001001"/>
    <n v="-47.85"/>
    <n v="1018"/>
    <n v="1"/>
    <n v="1"/>
  </r>
  <r>
    <m/>
    <m/>
    <x v="1"/>
    <s v="64718002001001"/>
    <n v="-1.65"/>
    <n v="35"/>
    <n v="1"/>
    <n v="1"/>
  </r>
  <r>
    <m/>
    <m/>
    <x v="1"/>
    <s v="64744855003004"/>
    <n v="-7"/>
    <n v="149"/>
    <n v="1"/>
    <n v="1"/>
  </r>
  <r>
    <m/>
    <m/>
    <x v="1"/>
    <s v="64764760001001"/>
    <n v="-5.03"/>
    <n v="107"/>
    <n v="1"/>
    <n v="1"/>
  </r>
  <r>
    <m/>
    <m/>
    <x v="1"/>
    <s v="64815090001001"/>
    <n v="-4.4800000000000004"/>
    <n v="96"/>
    <n v="2"/>
    <n v="1"/>
  </r>
  <r>
    <m/>
    <m/>
    <x v="1"/>
    <s v="64851960001004"/>
    <n v="-16.36"/>
    <n v="348"/>
    <n v="1"/>
    <n v="1"/>
  </r>
  <r>
    <m/>
    <m/>
    <x v="1"/>
    <s v="64941226002005"/>
    <n v="-8.2799999999999994"/>
    <n v="177"/>
    <n v="2"/>
    <n v="1"/>
  </r>
  <r>
    <m/>
    <m/>
    <x v="1"/>
    <s v="65005121001001"/>
    <n v="-1.83"/>
    <n v="39"/>
    <n v="1"/>
    <n v="1"/>
  </r>
  <r>
    <m/>
    <m/>
    <x v="1"/>
    <s v="65026421001002"/>
    <n v="-0.66"/>
    <n v="14"/>
    <n v="1"/>
    <n v="1"/>
  </r>
  <r>
    <m/>
    <m/>
    <x v="1"/>
    <s v="65047530001001"/>
    <n v="-20.82"/>
    <n v="443"/>
    <n v="1"/>
    <n v="1"/>
  </r>
  <r>
    <m/>
    <m/>
    <x v="1"/>
    <s v="65237142002001"/>
    <n v="-29.7"/>
    <n v="632"/>
    <n v="1"/>
    <n v="1"/>
  </r>
  <r>
    <m/>
    <m/>
    <x v="1"/>
    <s v="65270935001002"/>
    <n v="-20.21"/>
    <n v="430"/>
    <n v="1"/>
    <n v="1"/>
  </r>
  <r>
    <m/>
    <m/>
    <x v="1"/>
    <s v="65368514001004"/>
    <n v="-15.84"/>
    <n v="337"/>
    <n v="1"/>
    <n v="1"/>
  </r>
  <r>
    <m/>
    <m/>
    <x v="1"/>
    <s v="65369611001005"/>
    <n v="-6.02"/>
    <n v="128"/>
    <n v="1"/>
    <n v="1"/>
  </r>
  <r>
    <m/>
    <m/>
    <x v="1"/>
    <s v="65622408001002"/>
    <n v="-47.25"/>
    <n v="1010"/>
    <n v="2"/>
    <n v="1"/>
  </r>
  <r>
    <m/>
    <m/>
    <x v="1"/>
    <s v="65628483001001"/>
    <n v="-0.61"/>
    <n v="13"/>
    <n v="1"/>
    <n v="1"/>
  </r>
  <r>
    <m/>
    <m/>
    <x v="1"/>
    <s v="65698533001004"/>
    <n v="-28.67"/>
    <n v="613"/>
    <n v="2"/>
    <n v="1"/>
  </r>
  <r>
    <m/>
    <m/>
    <x v="1"/>
    <s v="65734956001007"/>
    <n v="-25.47"/>
    <n v="542"/>
    <n v="1"/>
    <n v="1"/>
  </r>
  <r>
    <m/>
    <m/>
    <x v="1"/>
    <s v="65839251002007"/>
    <n v="-0.66"/>
    <n v="14"/>
    <n v="1"/>
    <n v="1"/>
  </r>
  <r>
    <m/>
    <m/>
    <x v="1"/>
    <s v="66136740001003"/>
    <n v="-15.75"/>
    <n v="335"/>
    <n v="1"/>
    <n v="1"/>
  </r>
  <r>
    <m/>
    <m/>
    <x v="1"/>
    <s v="66262731001003"/>
    <n v="-0.85"/>
    <n v="18"/>
    <n v="1"/>
    <n v="1"/>
  </r>
  <r>
    <m/>
    <m/>
    <x v="1"/>
    <s v="66418644001004"/>
    <n v="-13.63"/>
    <n v="290"/>
    <n v="1"/>
    <n v="1"/>
  </r>
  <r>
    <m/>
    <m/>
    <x v="1"/>
    <s v="66438713001007"/>
    <n v="-65.63"/>
    <n v="1403"/>
    <n v="2"/>
    <n v="1"/>
  </r>
  <r>
    <m/>
    <m/>
    <x v="1"/>
    <s v="66498540001001"/>
    <n v="-2.12"/>
    <n v="45"/>
    <n v="1"/>
    <n v="1"/>
  </r>
  <r>
    <m/>
    <m/>
    <x v="1"/>
    <s v="66795559006001"/>
    <n v="-3.3600000000000003"/>
    <n v="72"/>
    <n v="2"/>
    <n v="1"/>
  </r>
  <r>
    <m/>
    <m/>
    <x v="1"/>
    <s v="66924685002003"/>
    <n v="-5.08"/>
    <n v="108"/>
    <n v="1"/>
    <n v="1"/>
  </r>
  <r>
    <m/>
    <m/>
    <x v="1"/>
    <s v="67060193001001"/>
    <n v="-0.42"/>
    <n v="9"/>
    <n v="1"/>
    <n v="1"/>
  </r>
  <r>
    <m/>
    <m/>
    <x v="1"/>
    <s v="67083125001001"/>
    <n v="-24.98"/>
    <n v="534"/>
    <n v="2"/>
    <n v="1"/>
  </r>
  <r>
    <m/>
    <m/>
    <x v="1"/>
    <s v="67204908002001"/>
    <n v="-22.07"/>
    <n v="474"/>
    <n v="2"/>
    <n v="1"/>
  </r>
  <r>
    <m/>
    <m/>
    <x v="1"/>
    <s v="67271689001005"/>
    <n v="-10.01"/>
    <n v="213"/>
    <n v="1"/>
    <n v="1"/>
  </r>
  <r>
    <m/>
    <m/>
    <x v="1"/>
    <s v="67347226001001"/>
    <n v="-5.17"/>
    <n v="110"/>
    <n v="1"/>
    <n v="1"/>
  </r>
  <r>
    <m/>
    <m/>
    <x v="1"/>
    <s v="67399952001001"/>
    <n v="-56.39"/>
    <n v="1211"/>
    <n v="2"/>
    <n v="1"/>
  </r>
  <r>
    <m/>
    <m/>
    <x v="1"/>
    <s v="67401944001001"/>
    <n v="-29.33"/>
    <n v="624"/>
    <n v="1"/>
    <n v="1"/>
  </r>
  <r>
    <m/>
    <m/>
    <x v="1"/>
    <s v="67440113001009"/>
    <n v="-3.2"/>
    <n v="68"/>
    <n v="1"/>
    <n v="1"/>
  </r>
  <r>
    <m/>
    <m/>
    <x v="1"/>
    <s v="67479940002009"/>
    <n v="-25.24"/>
    <n v="537"/>
    <n v="1"/>
    <n v="1"/>
  </r>
  <r>
    <m/>
    <m/>
    <x v="1"/>
    <s v="67650637001001"/>
    <n v="-2.2999999999999998"/>
    <n v="49"/>
    <n v="1"/>
    <n v="1"/>
  </r>
  <r>
    <m/>
    <m/>
    <x v="1"/>
    <s v="67745822001001"/>
    <n v="-24.42"/>
    <n v="522"/>
    <n v="2"/>
    <n v="1"/>
  </r>
  <r>
    <m/>
    <m/>
    <x v="1"/>
    <s v="67782140001005"/>
    <n v="-5.63"/>
    <n v="121"/>
    <n v="2"/>
    <n v="1"/>
  </r>
  <r>
    <m/>
    <m/>
    <x v="1"/>
    <s v="67805859001001"/>
    <n v="-24.63"/>
    <n v="524"/>
    <n v="1"/>
    <n v="1"/>
  </r>
  <r>
    <m/>
    <m/>
    <x v="1"/>
    <s v="68031934001001"/>
    <n v="-1.41"/>
    <n v="30"/>
    <n v="1"/>
    <n v="1"/>
  </r>
  <r>
    <m/>
    <m/>
    <x v="1"/>
    <s v="68101697001005"/>
    <n v="-19.79"/>
    <n v="421"/>
    <n v="1"/>
    <n v="1"/>
  </r>
  <r>
    <m/>
    <m/>
    <x v="1"/>
    <s v="68146477002001"/>
    <n v="-33.979999999999997"/>
    <n v="723"/>
    <n v="1"/>
    <n v="1"/>
  </r>
  <r>
    <m/>
    <m/>
    <x v="1"/>
    <s v="68221241001001"/>
    <n v="-10.34"/>
    <n v="220"/>
    <n v="1"/>
    <n v="1"/>
  </r>
  <r>
    <m/>
    <m/>
    <x v="1"/>
    <s v="68261372001003"/>
    <n v="-0.28000000000000003"/>
    <n v="6"/>
    <n v="1"/>
    <n v="1"/>
  </r>
  <r>
    <m/>
    <m/>
    <x v="1"/>
    <s v="68326356001009"/>
    <n v="-1.08"/>
    <n v="23"/>
    <n v="1"/>
    <n v="1"/>
  </r>
  <r>
    <m/>
    <m/>
    <x v="1"/>
    <s v="68362600001007"/>
    <n v="-47.71"/>
    <n v="1015"/>
    <n v="1"/>
    <n v="1"/>
  </r>
  <r>
    <m/>
    <m/>
    <x v="1"/>
    <s v="68373597002003"/>
    <n v="-25"/>
    <n v="532"/>
    <n v="1"/>
    <n v="1"/>
  </r>
  <r>
    <m/>
    <m/>
    <x v="1"/>
    <s v="68374425001001"/>
    <n v="-71.91"/>
    <n v="1530"/>
    <n v="1"/>
    <n v="1"/>
  </r>
  <r>
    <m/>
    <m/>
    <x v="1"/>
    <s v="68400908001007"/>
    <n v="-20.350000000000001"/>
    <n v="433"/>
    <n v="1"/>
    <n v="1"/>
  </r>
  <r>
    <m/>
    <m/>
    <x v="1"/>
    <s v="68441476001004"/>
    <n v="-39.07"/>
    <n v="839"/>
    <n v="2"/>
    <n v="1"/>
  </r>
  <r>
    <m/>
    <m/>
    <x v="1"/>
    <s v="68561006001001"/>
    <n v="-51.92"/>
    <n v="1115"/>
    <n v="2"/>
    <n v="1"/>
  </r>
  <r>
    <m/>
    <m/>
    <x v="1"/>
    <s v="68562129001001"/>
    <n v="-24.39"/>
    <n v="519"/>
    <n v="1"/>
    <n v="1"/>
  </r>
  <r>
    <m/>
    <m/>
    <x v="1"/>
    <s v="68616474001004"/>
    <n v="-19.18"/>
    <n v="408"/>
    <n v="1"/>
    <n v="1"/>
  </r>
  <r>
    <m/>
    <m/>
    <x v="1"/>
    <s v="68665924002001"/>
    <n v="-1.55"/>
    <n v="33"/>
    <n v="1"/>
    <n v="1"/>
  </r>
  <r>
    <m/>
    <m/>
    <x v="1"/>
    <s v="68732877001001"/>
    <n v="-0.94"/>
    <n v="20"/>
    <n v="1"/>
    <n v="1"/>
  </r>
  <r>
    <m/>
    <m/>
    <x v="1"/>
    <s v="68845646002005"/>
    <n v="-31.939999999999998"/>
    <n v="686"/>
    <n v="2"/>
    <n v="1"/>
  </r>
  <r>
    <m/>
    <m/>
    <x v="1"/>
    <s v="68940427001001"/>
    <n v="-29.94"/>
    <n v="637"/>
    <n v="1"/>
    <n v="1"/>
  </r>
  <r>
    <m/>
    <m/>
    <x v="1"/>
    <s v="69000077001002"/>
    <n v="-44.42"/>
    <n v="945"/>
    <n v="1"/>
    <n v="1"/>
  </r>
  <r>
    <m/>
    <m/>
    <x v="1"/>
    <s v="69028266002003"/>
    <n v="-8.61"/>
    <n v="185"/>
    <n v="2"/>
    <n v="1"/>
  </r>
  <r>
    <m/>
    <m/>
    <x v="1"/>
    <s v="69135376002001"/>
    <n v="-2.21"/>
    <n v="47"/>
    <n v="1"/>
    <n v="1"/>
  </r>
  <r>
    <m/>
    <m/>
    <x v="1"/>
    <s v="69175081002005"/>
    <n v="-52.88"/>
    <n v="1125"/>
    <n v="1"/>
    <n v="1"/>
  </r>
  <r>
    <m/>
    <m/>
    <x v="1"/>
    <s v="69212535001003"/>
    <n v="-3.2"/>
    <n v="68"/>
    <n v="1"/>
    <n v="1"/>
  </r>
  <r>
    <m/>
    <m/>
    <x v="1"/>
    <s v="69413741001001"/>
    <n v="-18"/>
    <n v="383"/>
    <n v="1"/>
    <n v="1"/>
  </r>
  <r>
    <m/>
    <m/>
    <x v="1"/>
    <s v="69455470001001"/>
    <n v="-34.340000000000003"/>
    <n v="734"/>
    <n v="2"/>
    <n v="1"/>
  </r>
  <r>
    <m/>
    <m/>
    <x v="1"/>
    <s v="69692573001005"/>
    <n v="-19.04"/>
    <n v="405"/>
    <n v="1"/>
    <n v="1"/>
  </r>
  <r>
    <m/>
    <m/>
    <x v="1"/>
    <s v="69726976003004"/>
    <n v="-8.6"/>
    <n v="183"/>
    <n v="1"/>
    <n v="1"/>
  </r>
  <r>
    <m/>
    <m/>
    <x v="1"/>
    <s v="69776815003001"/>
    <n v="-21.97"/>
    <n v="472"/>
    <n v="2"/>
    <n v="1"/>
  </r>
  <r>
    <m/>
    <m/>
    <x v="1"/>
    <s v="69778160001001"/>
    <n v="-2.73"/>
    <n v="58"/>
    <n v="1"/>
    <n v="1"/>
  </r>
  <r>
    <m/>
    <m/>
    <x v="1"/>
    <s v="69795270001001"/>
    <n v="-20.399999999999999"/>
    <n v="434"/>
    <n v="1"/>
    <n v="1"/>
  </r>
  <r>
    <m/>
    <m/>
    <x v="1"/>
    <s v="69860350001003"/>
    <n v="-10.01"/>
    <n v="213"/>
    <n v="1"/>
    <n v="1"/>
  </r>
  <r>
    <m/>
    <m/>
    <x v="1"/>
    <s v="69952866001005"/>
    <n v="-1.6"/>
    <n v="34"/>
    <n v="1"/>
    <n v="1"/>
  </r>
  <r>
    <m/>
    <m/>
    <x v="1"/>
    <s v="69991566001003"/>
    <n v="-20.59"/>
    <n v="438"/>
    <n v="1"/>
    <n v="1"/>
  </r>
  <r>
    <m/>
    <m/>
    <x v="1"/>
    <s v="69998683001001"/>
    <n v="-29.38"/>
    <n v="631"/>
    <n v="2"/>
    <n v="1"/>
  </r>
  <r>
    <m/>
    <m/>
    <x v="1"/>
    <s v="70196025001001"/>
    <n v="-20.54"/>
    <n v="437"/>
    <n v="1"/>
    <n v="1"/>
  </r>
  <r>
    <m/>
    <m/>
    <x v="1"/>
    <s v="70468885005005"/>
    <n v="-27.31"/>
    <n v="581"/>
    <n v="1"/>
    <n v="1"/>
  </r>
  <r>
    <m/>
    <m/>
    <x v="1"/>
    <s v="70587997002003"/>
    <n v="-1.27"/>
    <n v="27"/>
    <n v="1"/>
    <n v="1"/>
  </r>
  <r>
    <m/>
    <m/>
    <x v="1"/>
    <s v="70593073001001"/>
    <n v="-1.88"/>
    <n v="40"/>
    <n v="1"/>
    <n v="1"/>
  </r>
  <r>
    <m/>
    <m/>
    <x v="1"/>
    <s v="70655150003008"/>
    <n v="-38.4"/>
    <n v="821"/>
    <n v="2"/>
    <n v="1"/>
  </r>
  <r>
    <m/>
    <m/>
    <x v="1"/>
    <s v="70723544001001"/>
    <n v="-2.12"/>
    <n v="45"/>
    <n v="1"/>
    <n v="1"/>
  </r>
  <r>
    <m/>
    <m/>
    <x v="1"/>
    <s v="70761570001001"/>
    <n v="-9.26"/>
    <n v="197"/>
    <n v="1"/>
    <n v="1"/>
  </r>
  <r>
    <m/>
    <m/>
    <x v="1"/>
    <s v="70804751001003"/>
    <n v="-29.8"/>
    <n v="634"/>
    <n v="1"/>
    <n v="1"/>
  </r>
  <r>
    <m/>
    <m/>
    <x v="1"/>
    <s v="70922853001003"/>
    <n v="-0.8"/>
    <n v="17"/>
    <n v="1"/>
    <n v="1"/>
  </r>
  <r>
    <m/>
    <m/>
    <x v="1"/>
    <s v="71047342001002"/>
    <n v="-10.67"/>
    <n v="227"/>
    <n v="1"/>
    <n v="1"/>
  </r>
  <r>
    <m/>
    <m/>
    <x v="1"/>
    <s v="71067872001007"/>
    <n v="-2.02"/>
    <n v="43"/>
    <n v="1"/>
    <n v="1"/>
  </r>
  <r>
    <m/>
    <m/>
    <x v="1"/>
    <s v="71079674002001"/>
    <n v="-14.15"/>
    <n v="304"/>
    <n v="2"/>
    <n v="1"/>
  </r>
  <r>
    <m/>
    <m/>
    <x v="1"/>
    <s v="71196011001009"/>
    <n v="-3.71"/>
    <n v="79"/>
    <n v="1"/>
    <n v="1"/>
  </r>
  <r>
    <m/>
    <m/>
    <x v="1"/>
    <s v="71197984001001"/>
    <n v="-11.47"/>
    <n v="244"/>
    <n v="1"/>
    <n v="1"/>
  </r>
  <r>
    <m/>
    <m/>
    <x v="1"/>
    <s v="71339719006001"/>
    <n v="-0.42"/>
    <n v="9"/>
    <n v="1"/>
    <n v="1"/>
  </r>
  <r>
    <m/>
    <m/>
    <x v="1"/>
    <s v="71391581006001"/>
    <n v="-18.57"/>
    <n v="395"/>
    <n v="1"/>
    <n v="1"/>
  </r>
  <r>
    <m/>
    <m/>
    <x v="1"/>
    <s v="71502529001003"/>
    <n v="-4"/>
    <n v="85"/>
    <n v="1"/>
    <n v="1"/>
  </r>
  <r>
    <m/>
    <m/>
    <x v="1"/>
    <s v="71528185001004"/>
    <n v="-29.1"/>
    <n v="625"/>
    <n v="2"/>
    <n v="1"/>
  </r>
  <r>
    <m/>
    <m/>
    <x v="1"/>
    <s v="71649441001001"/>
    <n v="-14.81"/>
    <n v="315"/>
    <n v="1"/>
    <n v="1"/>
  </r>
  <r>
    <m/>
    <m/>
    <x v="1"/>
    <s v="71769014004002"/>
    <n v="-10.62"/>
    <n v="226"/>
    <n v="1"/>
    <n v="1"/>
  </r>
  <r>
    <m/>
    <m/>
    <x v="1"/>
    <s v="71824810001006"/>
    <n v="-13.35"/>
    <n v="284"/>
    <n v="1"/>
    <n v="1"/>
  </r>
  <r>
    <m/>
    <m/>
    <x v="1"/>
    <s v="72034597001001"/>
    <n v="-28.72"/>
    <n v="611"/>
    <n v="1"/>
    <n v="1"/>
  </r>
  <r>
    <m/>
    <m/>
    <x v="1"/>
    <s v="72074341001003"/>
    <n v="-46.81"/>
    <n v="996"/>
    <n v="1"/>
    <n v="1"/>
  </r>
  <r>
    <m/>
    <m/>
    <x v="1"/>
    <s v="72106643001003"/>
    <n v="-1.65"/>
    <n v="35"/>
    <n v="1"/>
    <n v="1"/>
  </r>
  <r>
    <m/>
    <m/>
    <x v="1"/>
    <s v="72163255001003"/>
    <n v="-16.22"/>
    <n v="345"/>
    <n v="1"/>
    <n v="1"/>
  </r>
  <r>
    <m/>
    <m/>
    <x v="1"/>
    <s v="72174875001001"/>
    <n v="-6.72"/>
    <n v="143"/>
    <n v="1"/>
    <n v="1"/>
  </r>
  <r>
    <m/>
    <m/>
    <x v="1"/>
    <s v="72209762001001"/>
    <n v="-2.09"/>
    <n v="45"/>
    <n v="2"/>
    <n v="1"/>
  </r>
  <r>
    <m/>
    <m/>
    <x v="1"/>
    <s v="72237773002003"/>
    <n v="-18.48"/>
    <n v="395"/>
    <n v="2"/>
    <n v="1"/>
  </r>
  <r>
    <m/>
    <m/>
    <x v="1"/>
    <s v="72276334001008"/>
    <n v="-41.82"/>
    <n v="894"/>
    <n v="2"/>
    <n v="1"/>
  </r>
  <r>
    <m/>
    <m/>
    <x v="1"/>
    <s v="72339786001001"/>
    <n v="-21.88"/>
    <n v="470"/>
    <n v="2"/>
    <n v="1"/>
  </r>
  <r>
    <m/>
    <m/>
    <x v="1"/>
    <s v="72459581001010"/>
    <n v="-51.82"/>
    <n v="1113"/>
    <n v="2"/>
    <n v="1"/>
  </r>
  <r>
    <m/>
    <m/>
    <x v="1"/>
    <s v="72649617001013"/>
    <n v="-5.36"/>
    <n v="114"/>
    <n v="1"/>
    <n v="1"/>
  </r>
  <r>
    <m/>
    <m/>
    <x v="1"/>
    <s v="72668251001001"/>
    <n v="-20.21"/>
    <n v="430"/>
    <n v="1"/>
    <n v="1"/>
  </r>
  <r>
    <m/>
    <m/>
    <x v="1"/>
    <s v="72693737001001"/>
    <n v="-14.99"/>
    <n v="319"/>
    <n v="1"/>
    <n v="1"/>
  </r>
  <r>
    <m/>
    <m/>
    <x v="1"/>
    <s v="72779015001004"/>
    <n v="-12.93"/>
    <n v="275"/>
    <n v="1"/>
    <n v="1"/>
  </r>
  <r>
    <m/>
    <m/>
    <x v="1"/>
    <s v="72889636001003"/>
    <n v="-11.8"/>
    <n v="251"/>
    <n v="1"/>
    <n v="1"/>
  </r>
  <r>
    <m/>
    <m/>
    <x v="1"/>
    <s v="72946000004001"/>
    <n v="-67.180000000000007"/>
    <n v="1436"/>
    <n v="2"/>
    <n v="1"/>
  </r>
  <r>
    <m/>
    <m/>
    <x v="1"/>
    <s v="72993733003001"/>
    <n v="-38.69"/>
    <n v="827"/>
    <n v="2"/>
    <n v="1"/>
  </r>
  <r>
    <m/>
    <m/>
    <x v="1"/>
    <s v="73073162002001"/>
    <n v="-3.48"/>
    <n v="74"/>
    <n v="1"/>
    <n v="1"/>
  </r>
  <r>
    <m/>
    <m/>
    <x v="1"/>
    <s v="73108651001003"/>
    <n v="-9.64"/>
    <n v="205"/>
    <n v="1"/>
    <n v="1"/>
  </r>
  <r>
    <m/>
    <m/>
    <x v="1"/>
    <s v="73173555001001"/>
    <n v="-34.64"/>
    <n v="737"/>
    <n v="1"/>
    <n v="1"/>
  </r>
  <r>
    <m/>
    <m/>
    <x v="1"/>
    <s v="73183610001001"/>
    <n v="-28.62"/>
    <n v="609"/>
    <n v="1"/>
    <n v="1"/>
  </r>
  <r>
    <m/>
    <m/>
    <x v="1"/>
    <s v="73257691001002"/>
    <n v="-12.200000000000001"/>
    <n v="262"/>
    <n v="2"/>
    <n v="1"/>
  </r>
  <r>
    <m/>
    <m/>
    <x v="1"/>
    <s v="73396535001003"/>
    <n v="-0.33"/>
    <n v="7"/>
    <n v="1"/>
    <n v="1"/>
  </r>
  <r>
    <m/>
    <m/>
    <x v="1"/>
    <s v="73477303001005"/>
    <n v="-3.2"/>
    <n v="68"/>
    <n v="1"/>
    <n v="1"/>
  </r>
  <r>
    <m/>
    <m/>
    <x v="1"/>
    <s v="73496965001001"/>
    <n v="-32.61"/>
    <n v="697"/>
    <n v="2"/>
    <n v="1"/>
  </r>
  <r>
    <m/>
    <m/>
    <x v="1"/>
    <s v="73571632001001"/>
    <n v="-6.02"/>
    <n v="128"/>
    <n v="1"/>
    <n v="1"/>
  </r>
  <r>
    <m/>
    <m/>
    <x v="1"/>
    <s v="73718834002001"/>
    <n v="-25.57"/>
    <n v="544"/>
    <n v="1"/>
    <n v="1"/>
  </r>
  <r>
    <m/>
    <m/>
    <x v="1"/>
    <s v="73774640001002"/>
    <n v="-2.35"/>
    <n v="50"/>
    <n v="1"/>
    <n v="1"/>
  </r>
  <r>
    <m/>
    <m/>
    <x v="1"/>
    <s v="73774824001005"/>
    <n v="-42.72"/>
    <n v="909"/>
    <n v="1"/>
    <n v="1"/>
  </r>
  <r>
    <m/>
    <m/>
    <x v="1"/>
    <s v="73783764001001"/>
    <n v="-39.159999999999997"/>
    <n v="837"/>
    <n v="2"/>
    <n v="1"/>
  </r>
  <r>
    <m/>
    <m/>
    <x v="1"/>
    <s v="73887552001001"/>
    <n v="-3.1"/>
    <n v="66"/>
    <n v="1"/>
    <n v="1"/>
  </r>
  <r>
    <m/>
    <m/>
    <x v="1"/>
    <s v="73935992001002"/>
    <n v="-61.38"/>
    <n v="1306"/>
    <n v="1"/>
    <n v="1"/>
  </r>
  <r>
    <m/>
    <m/>
    <x v="1"/>
    <s v="74037047001002"/>
    <n v="-7.43"/>
    <n v="158"/>
    <n v="1"/>
    <n v="1"/>
  </r>
  <r>
    <m/>
    <m/>
    <x v="1"/>
    <s v="74055933001001"/>
    <n v="-7.14"/>
    <n v="152"/>
    <n v="1"/>
    <n v="1"/>
  </r>
  <r>
    <m/>
    <m/>
    <x v="1"/>
    <s v="74076340001003"/>
    <n v="-1.58"/>
    <n v="34"/>
    <n v="2"/>
    <n v="1"/>
  </r>
  <r>
    <m/>
    <m/>
    <x v="1"/>
    <s v="74197454001001"/>
    <n v="-9.31"/>
    <n v="198"/>
    <n v="1"/>
    <n v="1"/>
  </r>
  <r>
    <m/>
    <m/>
    <x v="1"/>
    <s v="74242350003001"/>
    <n v="-19.27"/>
    <n v="410"/>
    <n v="1"/>
    <n v="1"/>
  </r>
  <r>
    <m/>
    <m/>
    <x v="1"/>
    <s v="74312616001001"/>
    <n v="-22.51"/>
    <n v="479"/>
    <n v="1"/>
    <n v="1"/>
  </r>
  <r>
    <m/>
    <m/>
    <x v="1"/>
    <s v="74322803001001"/>
    <n v="-3.48"/>
    <n v="74"/>
    <n v="1"/>
    <n v="1"/>
  </r>
  <r>
    <m/>
    <m/>
    <x v="1"/>
    <s v="74325215001001"/>
    <n v="-5.83"/>
    <n v="124"/>
    <n v="1"/>
    <n v="1"/>
  </r>
  <r>
    <m/>
    <m/>
    <x v="1"/>
    <s v="74349005002009"/>
    <n v="-0.66"/>
    <n v="14"/>
    <n v="1"/>
    <n v="1"/>
  </r>
  <r>
    <m/>
    <m/>
    <x v="1"/>
    <s v="74386329001002"/>
    <n v="-0.75"/>
    <n v="16"/>
    <n v="1"/>
    <n v="1"/>
  </r>
  <r>
    <m/>
    <m/>
    <x v="1"/>
    <s v="74429992001006"/>
    <n v="-23.12"/>
    <n v="492"/>
    <n v="1"/>
    <n v="1"/>
  </r>
  <r>
    <m/>
    <m/>
    <x v="1"/>
    <s v="74440719001001"/>
    <n v="-4"/>
    <n v="85"/>
    <n v="1"/>
    <n v="1"/>
  </r>
  <r>
    <m/>
    <m/>
    <x v="1"/>
    <s v="74467874001005"/>
    <n v="-2.82"/>
    <n v="60"/>
    <n v="1"/>
    <n v="1"/>
  </r>
  <r>
    <m/>
    <m/>
    <x v="1"/>
    <s v="74601184002001"/>
    <n v="-100.89999999999999"/>
    <n v="2157"/>
    <n v="2"/>
    <n v="1"/>
  </r>
  <r>
    <m/>
    <m/>
    <x v="1"/>
    <s v="74802804001001"/>
    <n v="-36.730000000000004"/>
    <n v="785"/>
    <n v="2"/>
    <n v="1"/>
  </r>
  <r>
    <m/>
    <m/>
    <x v="1"/>
    <s v="74897585001003"/>
    <n v="-5.41"/>
    <n v="115"/>
    <n v="1"/>
    <n v="1"/>
  </r>
  <r>
    <m/>
    <m/>
    <x v="1"/>
    <s v="74921730001003"/>
    <n v="-0.75"/>
    <n v="16"/>
    <n v="1"/>
    <n v="1"/>
  </r>
  <r>
    <m/>
    <m/>
    <x v="1"/>
    <s v="74985601001004"/>
    <n v="-16.07"/>
    <n v="342"/>
    <n v="1"/>
    <n v="1"/>
  </r>
  <r>
    <m/>
    <m/>
    <x v="1"/>
    <s v="75149375001006"/>
    <n v="-1.65"/>
    <n v="35"/>
    <n v="1"/>
    <n v="1"/>
  </r>
  <r>
    <m/>
    <m/>
    <x v="1"/>
    <s v="75195091001003"/>
    <n v="-8.27"/>
    <n v="176"/>
    <n v="1"/>
    <n v="1"/>
  </r>
  <r>
    <m/>
    <m/>
    <x v="1"/>
    <s v="75436572002003"/>
    <n v="-18.53"/>
    <n v="398"/>
    <n v="2"/>
    <n v="1"/>
  </r>
  <r>
    <m/>
    <m/>
    <x v="1"/>
    <s v="75539286001003"/>
    <n v="-15.98"/>
    <n v="340"/>
    <n v="1"/>
    <n v="1"/>
  </r>
  <r>
    <m/>
    <m/>
    <x v="1"/>
    <s v="75656650001006"/>
    <n v="-1.41"/>
    <n v="30"/>
    <n v="1"/>
    <n v="1"/>
  </r>
  <r>
    <m/>
    <m/>
    <x v="1"/>
    <s v="75758051001005"/>
    <n v="-34.129999999999995"/>
    <n v="733"/>
    <n v="2"/>
    <n v="1"/>
  </r>
  <r>
    <m/>
    <m/>
    <x v="1"/>
    <s v="75764971002001"/>
    <n v="-8.15"/>
    <n v="175"/>
    <n v="2"/>
    <n v="1"/>
  </r>
  <r>
    <m/>
    <m/>
    <x v="1"/>
    <s v="75795046001003"/>
    <n v="-9.1199999999999992"/>
    <n v="194"/>
    <n v="1"/>
    <n v="1"/>
  </r>
  <r>
    <m/>
    <m/>
    <x v="1"/>
    <s v="75932167001003"/>
    <n v="-11.8"/>
    <n v="251"/>
    <n v="1"/>
    <n v="1"/>
  </r>
  <r>
    <m/>
    <m/>
    <x v="1"/>
    <s v="76010246001001"/>
    <n v="-0.8"/>
    <n v="17"/>
    <n v="1"/>
    <n v="1"/>
  </r>
  <r>
    <m/>
    <m/>
    <x v="1"/>
    <s v="76126934004001"/>
    <n v="-5.45"/>
    <n v="116"/>
    <n v="1"/>
    <n v="1"/>
  </r>
  <r>
    <m/>
    <m/>
    <x v="1"/>
    <s v="76205410001002"/>
    <n v="-19.36"/>
    <n v="412"/>
    <n v="1"/>
    <n v="1"/>
  </r>
  <r>
    <m/>
    <m/>
    <x v="1"/>
    <s v="76321169001002"/>
    <n v="-9.02"/>
    <n v="192"/>
    <n v="1"/>
    <n v="1"/>
  </r>
  <r>
    <m/>
    <m/>
    <x v="1"/>
    <s v="76381196002001"/>
    <n v="-25.47"/>
    <n v="542"/>
    <n v="1"/>
    <n v="1"/>
  </r>
  <r>
    <m/>
    <m/>
    <x v="1"/>
    <s v="76563942002003"/>
    <n v="-35.200000000000003"/>
    <n v="749"/>
    <n v="1"/>
    <n v="1"/>
  </r>
  <r>
    <m/>
    <m/>
    <x v="1"/>
    <s v="76608992001003"/>
    <n v="-37.14"/>
    <n v="794"/>
    <n v="2"/>
    <n v="1"/>
  </r>
  <r>
    <m/>
    <m/>
    <x v="1"/>
    <s v="76680484001004"/>
    <n v="-77.099999999999994"/>
    <n v="1648"/>
    <n v="2"/>
    <n v="1"/>
  </r>
  <r>
    <m/>
    <m/>
    <x v="1"/>
    <s v="76834821003003"/>
    <n v="-4.1399999999999997"/>
    <n v="88"/>
    <n v="1"/>
    <n v="1"/>
  </r>
  <r>
    <m/>
    <m/>
    <x v="1"/>
    <s v="76840100001001"/>
    <n v="-24.72"/>
    <n v="526"/>
    <n v="1"/>
    <n v="1"/>
  </r>
  <r>
    <m/>
    <m/>
    <x v="1"/>
    <s v="76893121001007"/>
    <n v="-12.61"/>
    <n v="271"/>
    <n v="2"/>
    <n v="1"/>
  </r>
  <r>
    <m/>
    <m/>
    <x v="1"/>
    <s v="76903196001004"/>
    <n v="-6.44"/>
    <n v="137"/>
    <n v="1"/>
    <n v="1"/>
  </r>
  <r>
    <m/>
    <m/>
    <x v="1"/>
    <s v="76944469001001"/>
    <n v="-42.46"/>
    <n v="912"/>
    <n v="2"/>
    <n v="1"/>
  </r>
  <r>
    <m/>
    <m/>
    <x v="1"/>
    <s v="77028597002005"/>
    <n v="-8.93"/>
    <n v="190"/>
    <n v="1"/>
    <n v="1"/>
  </r>
  <r>
    <m/>
    <m/>
    <x v="1"/>
    <s v="77098046002002"/>
    <n v="-19.46"/>
    <n v="414"/>
    <n v="1"/>
    <n v="1"/>
  </r>
  <r>
    <m/>
    <m/>
    <x v="1"/>
    <s v="77501830002003"/>
    <n v="-22.47"/>
    <n v="478"/>
    <n v="1"/>
    <n v="1"/>
  </r>
  <r>
    <m/>
    <m/>
    <x v="1"/>
    <s v="77681333001007"/>
    <n v="-32.49"/>
    <n v="698"/>
    <n v="2"/>
    <n v="1"/>
  </r>
  <r>
    <m/>
    <m/>
    <x v="1"/>
    <s v="77743243001001"/>
    <n v="-0.8"/>
    <n v="17"/>
    <n v="1"/>
    <n v="1"/>
  </r>
  <r>
    <m/>
    <m/>
    <x v="1"/>
    <s v="77965715001003"/>
    <n v="-9.2100000000000009"/>
    <n v="196"/>
    <n v="1"/>
    <n v="1"/>
  </r>
  <r>
    <m/>
    <m/>
    <x v="1"/>
    <s v="77965745001001"/>
    <n v="-24.73"/>
    <n v="531"/>
    <n v="2"/>
    <n v="1"/>
  </r>
  <r>
    <m/>
    <m/>
    <x v="1"/>
    <s v="78170608001003"/>
    <n v="-11.37"/>
    <n v="242"/>
    <n v="1"/>
    <n v="1"/>
  </r>
  <r>
    <m/>
    <m/>
    <x v="1"/>
    <s v="78288740003001"/>
    <n v="-56.17"/>
    <n v="1195"/>
    <n v="1"/>
    <n v="1"/>
  </r>
  <r>
    <m/>
    <m/>
    <x v="1"/>
    <s v="78305476001002"/>
    <n v="-13.72"/>
    <n v="292"/>
    <n v="1"/>
    <n v="1"/>
  </r>
  <r>
    <m/>
    <m/>
    <x v="1"/>
    <s v="78319567001011"/>
    <n v="-13.63"/>
    <n v="290"/>
    <n v="1"/>
    <n v="1"/>
  </r>
  <r>
    <m/>
    <m/>
    <x v="1"/>
    <s v="78408331001003"/>
    <n v="-9.35"/>
    <n v="199"/>
    <n v="1"/>
    <n v="1"/>
  </r>
  <r>
    <m/>
    <m/>
    <x v="1"/>
    <s v="78621225002001"/>
    <n v="-56.300000000000004"/>
    <n v="1209"/>
    <n v="2"/>
    <n v="1"/>
  </r>
  <r>
    <m/>
    <m/>
    <x v="1"/>
    <s v="78933573001002"/>
    <n v="-12.22"/>
    <n v="260"/>
    <n v="1"/>
    <n v="1"/>
  </r>
  <r>
    <m/>
    <m/>
    <x v="1"/>
    <s v="79021044002001"/>
    <n v="-11.94"/>
    <n v="254"/>
    <n v="1"/>
    <n v="1"/>
  </r>
  <r>
    <m/>
    <m/>
    <x v="1"/>
    <s v="79030418001001"/>
    <n v="-10.01"/>
    <n v="214"/>
    <n v="2"/>
    <n v="1"/>
  </r>
  <r>
    <m/>
    <m/>
    <x v="1"/>
    <s v="79100730002005"/>
    <n v="-0.42"/>
    <n v="9"/>
    <n v="1"/>
    <n v="1"/>
  </r>
  <r>
    <m/>
    <m/>
    <x v="1"/>
    <s v="79103866001003"/>
    <n v="-0.47"/>
    <n v="10"/>
    <n v="1"/>
    <n v="1"/>
  </r>
  <r>
    <m/>
    <m/>
    <x v="1"/>
    <s v="79209847002003"/>
    <n v="-8.93"/>
    <n v="190"/>
    <n v="1"/>
    <n v="1"/>
  </r>
  <r>
    <m/>
    <m/>
    <x v="1"/>
    <s v="79262329001005"/>
    <n v="-2.4900000000000002"/>
    <n v="53"/>
    <n v="1"/>
    <n v="1"/>
  </r>
  <r>
    <m/>
    <m/>
    <x v="1"/>
    <s v="79306812001001"/>
    <n v="-10.53"/>
    <n v="224"/>
    <n v="1"/>
    <n v="1"/>
  </r>
  <r>
    <m/>
    <m/>
    <x v="1"/>
    <s v="79543609001001"/>
    <n v="-1.83"/>
    <n v="39"/>
    <n v="1"/>
    <n v="1"/>
  </r>
  <r>
    <m/>
    <m/>
    <x v="1"/>
    <s v="79692122001001"/>
    <n v="-47.4"/>
    <n v="1018"/>
    <n v="2"/>
    <n v="1"/>
  </r>
  <r>
    <m/>
    <m/>
    <x v="1"/>
    <s v="79770536002001"/>
    <n v="-5.36"/>
    <n v="114"/>
    <n v="1"/>
    <n v="1"/>
  </r>
  <r>
    <m/>
    <m/>
    <x v="1"/>
    <s v="79923140001002"/>
    <n v="-62.56"/>
    <n v="1331"/>
    <n v="1"/>
    <n v="1"/>
  </r>
  <r>
    <m/>
    <m/>
    <x v="1"/>
    <s v="79955342001001"/>
    <n v="-47.25"/>
    <n v="1010"/>
    <n v="2"/>
    <n v="1"/>
  </r>
  <r>
    <m/>
    <m/>
    <x v="1"/>
    <s v="79992996001001"/>
    <n v="-28.62"/>
    <n v="609"/>
    <n v="1"/>
    <n v="1"/>
  </r>
  <r>
    <m/>
    <m/>
    <x v="1"/>
    <s v="80342056002002"/>
    <n v="-4.2300000000000004"/>
    <n v="90"/>
    <n v="1"/>
    <n v="1"/>
  </r>
  <r>
    <m/>
    <m/>
    <x v="1"/>
    <s v="80429336001003"/>
    <n v="-10.53"/>
    <n v="224"/>
    <n v="1"/>
    <n v="1"/>
  </r>
  <r>
    <m/>
    <m/>
    <x v="1"/>
    <s v="80469234001007"/>
    <n v="-8.7899999999999991"/>
    <n v="187"/>
    <n v="1"/>
    <n v="1"/>
  </r>
  <r>
    <m/>
    <m/>
    <x v="1"/>
    <s v="80538341001002"/>
    <n v="-36.590000000000003"/>
    <n v="782"/>
    <n v="2"/>
    <n v="1"/>
  </r>
  <r>
    <m/>
    <m/>
    <x v="1"/>
    <s v="80547178001002"/>
    <n v="-3.48"/>
    <n v="74"/>
    <n v="1"/>
    <n v="1"/>
  </r>
  <r>
    <m/>
    <m/>
    <x v="1"/>
    <s v="80550984001003"/>
    <n v="-31.26"/>
    <n v="665"/>
    <n v="1"/>
    <n v="1"/>
  </r>
  <r>
    <m/>
    <m/>
    <x v="1"/>
    <s v="80568343004001"/>
    <n v="-0.8"/>
    <n v="17"/>
    <n v="1"/>
    <n v="1"/>
  </r>
  <r>
    <m/>
    <m/>
    <x v="1"/>
    <s v="80643686001001"/>
    <n v="-29.56"/>
    <n v="629"/>
    <n v="1"/>
    <n v="1"/>
  </r>
  <r>
    <m/>
    <m/>
    <x v="1"/>
    <s v="80745052001006"/>
    <n v="-9.02"/>
    <n v="193"/>
    <n v="2"/>
    <n v="1"/>
  </r>
  <r>
    <m/>
    <m/>
    <x v="1"/>
    <s v="80748492001001"/>
    <n v="-12.22"/>
    <n v="260"/>
    <n v="1"/>
    <n v="1"/>
  </r>
  <r>
    <m/>
    <m/>
    <x v="1"/>
    <s v="80829169004007"/>
    <n v="-71.86"/>
    <n v="1536"/>
    <n v="2"/>
    <n v="1"/>
  </r>
  <r>
    <m/>
    <m/>
    <x v="1"/>
    <s v="80917149001001"/>
    <n v="-16.260000000000002"/>
    <n v="346"/>
    <n v="1"/>
    <n v="1"/>
  </r>
  <r>
    <m/>
    <m/>
    <x v="1"/>
    <s v="80918426001002"/>
    <n v="-14.62"/>
    <n v="311"/>
    <n v="1"/>
    <n v="1"/>
  </r>
  <r>
    <m/>
    <m/>
    <x v="1"/>
    <s v="80965084001001"/>
    <n v="-15.46"/>
    <n v="329"/>
    <n v="1"/>
    <n v="1"/>
  </r>
  <r>
    <m/>
    <m/>
    <x v="1"/>
    <s v="81092601001003"/>
    <n v="-28.53"/>
    <n v="607"/>
    <n v="1"/>
    <n v="1"/>
  </r>
  <r>
    <m/>
    <m/>
    <x v="1"/>
    <s v="81235844001001"/>
    <n v="-21.95"/>
    <n v="467"/>
    <n v="1"/>
    <n v="1"/>
  </r>
  <r>
    <m/>
    <m/>
    <x v="1"/>
    <s v="81336263001001"/>
    <n v="-25.66"/>
    <n v="546"/>
    <n v="1"/>
    <n v="1"/>
  </r>
  <r>
    <m/>
    <m/>
    <x v="1"/>
    <s v="81500226001001"/>
    <n v="-17.440000000000001"/>
    <n v="371"/>
    <n v="1"/>
    <n v="1"/>
  </r>
  <r>
    <m/>
    <m/>
    <x v="1"/>
    <s v="81762889001004"/>
    <n v="-12.13"/>
    <n v="258"/>
    <n v="1"/>
    <n v="1"/>
  </r>
  <r>
    <m/>
    <m/>
    <x v="1"/>
    <s v="81782046001003"/>
    <n v="-0.52"/>
    <n v="11"/>
    <n v="1"/>
    <n v="1"/>
  </r>
  <r>
    <m/>
    <m/>
    <x v="1"/>
    <s v="81908653002007"/>
    <n v="-27.64"/>
    <n v="588"/>
    <n v="1"/>
    <n v="1"/>
  </r>
  <r>
    <m/>
    <m/>
    <x v="1"/>
    <s v="82041298001001"/>
    <n v="-19.36"/>
    <n v="412"/>
    <n v="1"/>
    <n v="1"/>
  </r>
  <r>
    <m/>
    <m/>
    <x v="1"/>
    <s v="82204885001007"/>
    <n v="-0.05"/>
    <n v="1"/>
    <n v="1"/>
    <n v="1"/>
  </r>
  <r>
    <m/>
    <m/>
    <x v="1"/>
    <s v="82503971001003"/>
    <n v="-1.93"/>
    <n v="41"/>
    <n v="1"/>
    <n v="1"/>
  </r>
  <r>
    <m/>
    <m/>
    <x v="1"/>
    <s v="82551362001001"/>
    <n v="-0.94"/>
    <n v="20"/>
    <n v="1"/>
    <n v="1"/>
  </r>
  <r>
    <m/>
    <m/>
    <x v="1"/>
    <s v="82742339002001"/>
    <n v="-31.3"/>
    <n v="666"/>
    <n v="1"/>
    <n v="1"/>
  </r>
  <r>
    <m/>
    <m/>
    <x v="1"/>
    <s v="82768682001003"/>
    <n v="-5.31"/>
    <n v="113"/>
    <n v="1"/>
    <n v="1"/>
  </r>
  <r>
    <m/>
    <m/>
    <x v="1"/>
    <s v="82896055001001"/>
    <n v="-10.9"/>
    <n v="232"/>
    <n v="1"/>
    <n v="1"/>
  </r>
  <r>
    <m/>
    <m/>
    <x v="1"/>
    <s v="82995786002003"/>
    <n v="-2.02"/>
    <n v="43"/>
    <n v="1"/>
    <n v="1"/>
  </r>
  <r>
    <m/>
    <m/>
    <x v="1"/>
    <s v="83009929002001"/>
    <n v="-64.44"/>
    <n v="1371"/>
    <n v="1"/>
    <n v="1"/>
  </r>
  <r>
    <m/>
    <m/>
    <x v="1"/>
    <s v="83058315001003"/>
    <n v="-36.78"/>
    <n v="790"/>
    <n v="2"/>
    <n v="1"/>
  </r>
  <r>
    <m/>
    <m/>
    <x v="1"/>
    <s v="83298969001003"/>
    <n v="-6.25"/>
    <n v="133"/>
    <n v="1"/>
    <n v="1"/>
  </r>
  <r>
    <m/>
    <m/>
    <x v="1"/>
    <s v="83316320002001"/>
    <n v="-6.53"/>
    <n v="139"/>
    <n v="1"/>
    <n v="1"/>
  </r>
  <r>
    <m/>
    <m/>
    <x v="1"/>
    <s v="83336149003004"/>
    <n v="-1.79"/>
    <n v="38"/>
    <n v="1"/>
    <n v="1"/>
  </r>
  <r>
    <m/>
    <m/>
    <x v="1"/>
    <s v="83430858001001"/>
    <n v="-20.54"/>
    <n v="437"/>
    <n v="1"/>
    <n v="1"/>
  </r>
  <r>
    <m/>
    <m/>
    <x v="1"/>
    <s v="83532056001002"/>
    <n v="-0.09"/>
    <n v="2"/>
    <n v="1"/>
    <n v="1"/>
  </r>
  <r>
    <m/>
    <m/>
    <x v="1"/>
    <s v="83534984001009"/>
    <n v="-11.05"/>
    <n v="235"/>
    <n v="1"/>
    <n v="1"/>
  </r>
  <r>
    <m/>
    <m/>
    <x v="1"/>
    <s v="83590012003001"/>
    <n v="-16.77"/>
    <n v="360"/>
    <n v="2"/>
    <n v="1"/>
  </r>
  <r>
    <m/>
    <m/>
    <x v="1"/>
    <s v="83638855001001"/>
    <n v="-4.7"/>
    <n v="100"/>
    <n v="1"/>
    <n v="1"/>
  </r>
  <r>
    <m/>
    <m/>
    <x v="1"/>
    <s v="83665512001001"/>
    <n v="-62.13"/>
    <n v="1322"/>
    <n v="1"/>
    <n v="1"/>
  </r>
  <r>
    <m/>
    <m/>
    <x v="1"/>
    <s v="83822694001003"/>
    <n v="-0.14000000000000001"/>
    <n v="3"/>
    <n v="1"/>
    <n v="1"/>
  </r>
  <r>
    <m/>
    <m/>
    <x v="1"/>
    <s v="83921448001001"/>
    <n v="-53.53"/>
    <n v="1139"/>
    <n v="1"/>
    <n v="1"/>
  </r>
  <r>
    <m/>
    <m/>
    <x v="1"/>
    <s v="83926751003001"/>
    <n v="-9.1199999999999992"/>
    <n v="194"/>
    <n v="1"/>
    <n v="1"/>
  </r>
  <r>
    <m/>
    <m/>
    <x v="1"/>
    <s v="83985151001001"/>
    <n v="-57.73"/>
    <n v="1234"/>
    <n v="2"/>
    <n v="1"/>
  </r>
  <r>
    <m/>
    <m/>
    <x v="1"/>
    <s v="84171103003001"/>
    <n v="-54.72"/>
    <n v="1175"/>
    <n v="2"/>
    <n v="1"/>
  </r>
  <r>
    <m/>
    <m/>
    <x v="1"/>
    <s v="84172805003001"/>
    <n v="-13.54"/>
    <n v="288"/>
    <n v="1"/>
    <n v="1"/>
  </r>
  <r>
    <m/>
    <m/>
    <x v="1"/>
    <s v="84270072001001"/>
    <n v="-17.16"/>
    <n v="365"/>
    <n v="1"/>
    <n v="1"/>
  </r>
  <r>
    <m/>
    <m/>
    <x v="1"/>
    <s v="84291714001001"/>
    <n v="-52.41"/>
    <n v="1115"/>
    <n v="1"/>
    <n v="1"/>
  </r>
  <r>
    <m/>
    <m/>
    <x v="1"/>
    <s v="84323944001003"/>
    <n v="-33.51"/>
    <n v="713"/>
    <n v="1"/>
    <n v="1"/>
  </r>
  <r>
    <m/>
    <m/>
    <x v="1"/>
    <s v="84341077001001"/>
    <n v="-30.93"/>
    <n v="661"/>
    <n v="2"/>
    <n v="1"/>
  </r>
  <r>
    <m/>
    <m/>
    <x v="1"/>
    <s v="84393062001001"/>
    <n v="-3.71"/>
    <n v="79"/>
    <n v="1"/>
    <n v="1"/>
  </r>
  <r>
    <m/>
    <m/>
    <x v="1"/>
    <s v="84762200002001"/>
    <n v="-15.58"/>
    <n v="333"/>
    <n v="2"/>
    <n v="1"/>
  </r>
  <r>
    <m/>
    <m/>
    <x v="1"/>
    <s v="84892204001006"/>
    <n v="-3.01"/>
    <n v="64"/>
    <n v="1"/>
    <n v="1"/>
  </r>
  <r>
    <m/>
    <m/>
    <x v="1"/>
    <s v="84915098001001"/>
    <n v="-10.91"/>
    <n v="233"/>
    <n v="2"/>
    <n v="1"/>
  </r>
  <r>
    <m/>
    <m/>
    <x v="1"/>
    <s v="84961216001001"/>
    <n v="-26.939999999999998"/>
    <n v="576"/>
    <n v="2"/>
    <n v="1"/>
  </r>
  <r>
    <m/>
    <m/>
    <x v="1"/>
    <s v="85026024001001"/>
    <n v="-6.39"/>
    <n v="136"/>
    <n v="1"/>
    <n v="1"/>
  </r>
  <r>
    <m/>
    <m/>
    <x v="1"/>
    <s v="85036880003001"/>
    <n v="-0.28000000000000003"/>
    <n v="6"/>
    <n v="1"/>
    <n v="1"/>
  </r>
  <r>
    <m/>
    <m/>
    <x v="1"/>
    <s v="85145810002001"/>
    <n v="-59.79"/>
    <n v="1284"/>
    <n v="2"/>
    <n v="1"/>
  </r>
  <r>
    <m/>
    <m/>
    <x v="1"/>
    <s v="85361201001008"/>
    <n v="-14.27"/>
    <n v="305"/>
    <n v="2"/>
    <n v="1"/>
  </r>
  <r>
    <m/>
    <m/>
    <x v="1"/>
    <s v="85368082001007"/>
    <n v="-8.23"/>
    <n v="175"/>
    <n v="1"/>
    <n v="1"/>
  </r>
  <r>
    <m/>
    <m/>
    <x v="1"/>
    <s v="85443154001001"/>
    <n v="-0.56000000000000005"/>
    <n v="12"/>
    <n v="1"/>
    <n v="1"/>
  </r>
  <r>
    <m/>
    <m/>
    <x v="1"/>
    <s v="85593168001001"/>
    <n v="-22.42"/>
    <n v="477"/>
    <n v="1"/>
    <n v="1"/>
  </r>
  <r>
    <m/>
    <m/>
    <x v="1"/>
    <s v="85607571003001"/>
    <n v="-8.5500000000000007"/>
    <n v="182"/>
    <n v="1"/>
    <n v="1"/>
  </r>
  <r>
    <m/>
    <m/>
    <x v="1"/>
    <s v="85663723001011"/>
    <n v="-0.33"/>
    <n v="7"/>
    <n v="1"/>
    <n v="1"/>
  </r>
  <r>
    <m/>
    <m/>
    <x v="1"/>
    <s v="85691100003003"/>
    <n v="-17.459999999999997"/>
    <n v="375"/>
    <n v="2"/>
    <n v="1"/>
  </r>
  <r>
    <m/>
    <m/>
    <x v="1"/>
    <s v="85820968001001"/>
    <n v="-9.8699999999999992"/>
    <n v="210"/>
    <n v="1"/>
    <n v="1"/>
  </r>
  <r>
    <m/>
    <m/>
    <x v="1"/>
    <s v="85887194001001"/>
    <n v="-4.9400000000000004"/>
    <n v="105"/>
    <n v="1"/>
    <n v="1"/>
  </r>
  <r>
    <m/>
    <m/>
    <x v="1"/>
    <s v="86054286001001"/>
    <n v="-12.5"/>
    <n v="266"/>
    <n v="1"/>
    <n v="1"/>
  </r>
  <r>
    <m/>
    <m/>
    <x v="1"/>
    <s v="86084151001007"/>
    <n v="-8.32"/>
    <n v="177"/>
    <n v="1"/>
    <n v="1"/>
  </r>
  <r>
    <m/>
    <m/>
    <x v="1"/>
    <s v="86408131001004"/>
    <n v="-7.1"/>
    <n v="151"/>
    <n v="1"/>
    <n v="1"/>
  </r>
  <r>
    <m/>
    <m/>
    <x v="1"/>
    <s v="86420880001004"/>
    <n v="-93.27"/>
    <n v="2003"/>
    <n v="2"/>
    <n v="1"/>
  </r>
  <r>
    <m/>
    <m/>
    <x v="1"/>
    <s v="86628477001001"/>
    <n v="-4.28"/>
    <n v="91"/>
    <n v="1"/>
    <n v="1"/>
  </r>
  <r>
    <m/>
    <m/>
    <x v="1"/>
    <s v="86693437001005"/>
    <n v="-2.21"/>
    <n v="47"/>
    <n v="1"/>
    <n v="1"/>
  </r>
  <r>
    <m/>
    <m/>
    <x v="1"/>
    <s v="86709161001013"/>
    <n v="-4.6100000000000003"/>
    <n v="98"/>
    <n v="1"/>
    <n v="1"/>
  </r>
  <r>
    <m/>
    <m/>
    <x v="1"/>
    <s v="86973909002001"/>
    <n v="-5.97"/>
    <n v="127"/>
    <n v="1"/>
    <n v="1"/>
  </r>
  <r>
    <m/>
    <m/>
    <x v="1"/>
    <s v="86983732001001"/>
    <n v="-31.44"/>
    <n v="669"/>
    <n v="1"/>
    <n v="1"/>
  </r>
  <r>
    <m/>
    <m/>
    <x v="1"/>
    <s v="86997021001001"/>
    <n v="-10.58"/>
    <n v="225"/>
    <n v="1"/>
    <n v="1"/>
  </r>
  <r>
    <m/>
    <m/>
    <x v="1"/>
    <s v="87014077001006"/>
    <n v="-26.18"/>
    <n v="557"/>
    <n v="1"/>
    <n v="1"/>
  </r>
  <r>
    <m/>
    <m/>
    <x v="1"/>
    <s v="87070925001002"/>
    <n v="-35.86"/>
    <n v="763"/>
    <n v="1"/>
    <n v="1"/>
  </r>
  <r>
    <m/>
    <m/>
    <x v="1"/>
    <s v="87236238001001"/>
    <n v="-3.48"/>
    <n v="74"/>
    <n v="1"/>
    <n v="1"/>
  </r>
  <r>
    <m/>
    <m/>
    <x v="1"/>
    <s v="87251090001001"/>
    <n v="-37.18"/>
    <n v="791"/>
    <n v="1"/>
    <n v="1"/>
  </r>
  <r>
    <m/>
    <m/>
    <x v="1"/>
    <s v="87298950001009"/>
    <n v="-12.97"/>
    <n v="276"/>
    <n v="1"/>
    <n v="1"/>
  </r>
  <r>
    <m/>
    <m/>
    <x v="1"/>
    <s v="87315623001002"/>
    <n v="-7.61"/>
    <n v="162"/>
    <n v="1"/>
    <n v="1"/>
  </r>
  <r>
    <m/>
    <m/>
    <x v="1"/>
    <s v="87361385001003"/>
    <n v="-40.61"/>
    <n v="864"/>
    <n v="1"/>
    <n v="1"/>
  </r>
  <r>
    <m/>
    <m/>
    <x v="1"/>
    <s v="87496467002001"/>
    <n v="-41.55"/>
    <n v="884"/>
    <n v="1"/>
    <n v="1"/>
  </r>
  <r>
    <m/>
    <m/>
    <x v="1"/>
    <s v="87518854002005"/>
    <n v="-25.43"/>
    <n v="541"/>
    <n v="1"/>
    <n v="1"/>
  </r>
  <r>
    <m/>
    <m/>
    <x v="1"/>
    <s v="87551644002001"/>
    <n v="-0.05"/>
    <n v="1"/>
    <n v="1"/>
    <n v="1"/>
  </r>
  <r>
    <m/>
    <m/>
    <x v="1"/>
    <s v="87567739001004"/>
    <n v="-18.850000000000001"/>
    <n v="401"/>
    <n v="1"/>
    <n v="1"/>
  </r>
  <r>
    <m/>
    <m/>
    <x v="1"/>
    <s v="87582546001007"/>
    <n v="-39.07"/>
    <n v="839"/>
    <n v="2"/>
    <n v="1"/>
  </r>
  <r>
    <m/>
    <m/>
    <x v="1"/>
    <s v="87672343001003"/>
    <n v="-11.739999999999998"/>
    <n v="251"/>
    <n v="2"/>
    <n v="1"/>
  </r>
  <r>
    <m/>
    <m/>
    <x v="1"/>
    <s v="87750579001001"/>
    <n v="-7.71"/>
    <n v="164"/>
    <n v="1"/>
    <n v="1"/>
  </r>
  <r>
    <m/>
    <m/>
    <x v="1"/>
    <s v="87810851004003"/>
    <n v="-16.170000000000002"/>
    <n v="344"/>
    <n v="1"/>
    <n v="1"/>
  </r>
  <r>
    <m/>
    <m/>
    <x v="1"/>
    <s v="87919824001001"/>
    <n v="-82.65"/>
    <n v="1775"/>
    <n v="2"/>
    <n v="1"/>
  </r>
  <r>
    <m/>
    <m/>
    <x v="1"/>
    <s v="88017121001002"/>
    <n v="-32.479999999999997"/>
    <n v="691"/>
    <n v="1"/>
    <n v="1"/>
  </r>
  <r>
    <m/>
    <m/>
    <x v="1"/>
    <s v="88063060001002"/>
    <n v="-54.85"/>
    <n v="1167"/>
    <n v="1"/>
    <n v="1"/>
  </r>
  <r>
    <m/>
    <m/>
    <x v="1"/>
    <s v="88063563001006"/>
    <n v="-59.5"/>
    <n v="1278"/>
    <n v="2"/>
    <n v="1"/>
  </r>
  <r>
    <m/>
    <m/>
    <x v="1"/>
    <s v="88122486001001"/>
    <n v="-5.73"/>
    <n v="122"/>
    <n v="1"/>
    <n v="1"/>
  </r>
  <r>
    <m/>
    <m/>
    <x v="1"/>
    <s v="88142806002001"/>
    <n v="-48.41"/>
    <n v="1030"/>
    <n v="1"/>
    <n v="1"/>
  </r>
  <r>
    <m/>
    <m/>
    <x v="1"/>
    <s v="88196768003001"/>
    <n v="-42.21"/>
    <n v="898"/>
    <n v="1"/>
    <n v="1"/>
  </r>
  <r>
    <m/>
    <m/>
    <x v="1"/>
    <s v="88304092001001"/>
    <n v="-0.8"/>
    <n v="17"/>
    <n v="1"/>
    <n v="1"/>
  </r>
  <r>
    <m/>
    <m/>
    <x v="1"/>
    <s v="88484707001005"/>
    <n v="-1.03"/>
    <n v="22"/>
    <n v="1"/>
    <n v="1"/>
  </r>
  <r>
    <m/>
    <m/>
    <x v="1"/>
    <s v="88560211001003"/>
    <n v="-16.309999999999999"/>
    <n v="347"/>
    <n v="1"/>
    <n v="1"/>
  </r>
  <r>
    <m/>
    <m/>
    <x v="1"/>
    <s v="88573270001001"/>
    <n v="-11.52"/>
    <n v="245"/>
    <n v="1"/>
    <n v="1"/>
  </r>
  <r>
    <m/>
    <m/>
    <x v="1"/>
    <s v="88732713001004"/>
    <n v="-12.31"/>
    <n v="262"/>
    <n v="1"/>
    <n v="1"/>
  </r>
  <r>
    <m/>
    <m/>
    <x v="1"/>
    <s v="88772979001005"/>
    <n v="-10.48"/>
    <n v="224"/>
    <n v="2"/>
    <n v="1"/>
  </r>
  <r>
    <m/>
    <m/>
    <x v="1"/>
    <s v="88908327001003"/>
    <n v="-20.02"/>
    <n v="426"/>
    <n v="1"/>
    <n v="1"/>
  </r>
  <r>
    <m/>
    <m/>
    <x v="1"/>
    <s v="89037466001001"/>
    <n v="-3.2"/>
    <n v="68"/>
    <n v="1"/>
    <n v="1"/>
  </r>
  <r>
    <m/>
    <m/>
    <x v="1"/>
    <s v="89105915001001"/>
    <n v="-149.9"/>
    <n v="3219"/>
    <n v="2"/>
    <n v="1"/>
  </r>
  <r>
    <m/>
    <m/>
    <x v="1"/>
    <s v="89107006001001"/>
    <n v="-8.6"/>
    <n v="183"/>
    <n v="1"/>
    <n v="1"/>
  </r>
  <r>
    <m/>
    <m/>
    <x v="1"/>
    <s v="89184529001001"/>
    <n v="-1.93"/>
    <n v="41"/>
    <n v="1"/>
    <n v="1"/>
  </r>
  <r>
    <m/>
    <m/>
    <x v="1"/>
    <s v="89283834002003"/>
    <n v="-26.41"/>
    <n v="562"/>
    <n v="1"/>
    <n v="1"/>
  </r>
  <r>
    <m/>
    <m/>
    <x v="1"/>
    <s v="89432491001004"/>
    <n v="-3.34"/>
    <n v="71"/>
    <n v="1"/>
    <n v="1"/>
  </r>
  <r>
    <m/>
    <m/>
    <x v="1"/>
    <s v="89432732001001"/>
    <n v="-14.96"/>
    <n v="325"/>
    <n v="2"/>
    <n v="1"/>
  </r>
  <r>
    <m/>
    <m/>
    <x v="1"/>
    <s v="89438476002010"/>
    <n v="-14.79"/>
    <n v="316"/>
    <n v="2"/>
    <n v="1"/>
  </r>
  <r>
    <m/>
    <m/>
    <x v="1"/>
    <s v="89636629003001"/>
    <n v="-3.53"/>
    <n v="75"/>
    <n v="1"/>
    <n v="1"/>
  </r>
  <r>
    <m/>
    <m/>
    <x v="1"/>
    <s v="89768877001001"/>
    <n v="-8.98"/>
    <n v="191"/>
    <n v="1"/>
    <n v="1"/>
  </r>
  <r>
    <m/>
    <m/>
    <x v="1"/>
    <s v="89805136001001"/>
    <n v="-58.28"/>
    <n v="1240"/>
    <n v="1"/>
    <n v="1"/>
  </r>
  <r>
    <m/>
    <m/>
    <x v="1"/>
    <s v="89949893001001"/>
    <n v="-2.0499999999999998"/>
    <n v="44"/>
    <n v="2"/>
    <n v="1"/>
  </r>
  <r>
    <m/>
    <m/>
    <x v="1"/>
    <s v="90058594005003"/>
    <n v="-13.87"/>
    <n v="295"/>
    <n v="1"/>
    <n v="1"/>
  </r>
  <r>
    <m/>
    <m/>
    <x v="1"/>
    <s v="90167563001003"/>
    <n v="-4.18"/>
    <n v="89"/>
    <n v="1"/>
    <n v="1"/>
  </r>
  <r>
    <m/>
    <m/>
    <x v="1"/>
    <s v="90177529001008"/>
    <n v="-2.59"/>
    <n v="55"/>
    <n v="1"/>
    <n v="1"/>
  </r>
  <r>
    <m/>
    <m/>
    <x v="1"/>
    <s v="90223411001018"/>
    <n v="-10.53"/>
    <n v="224"/>
    <n v="1"/>
    <n v="1"/>
  </r>
  <r>
    <m/>
    <m/>
    <x v="1"/>
    <s v="90278607001005"/>
    <n v="-1.18"/>
    <n v="25"/>
    <n v="1"/>
    <n v="1"/>
  </r>
  <r>
    <m/>
    <m/>
    <x v="1"/>
    <s v="90301796001001"/>
    <n v="-0.38"/>
    <n v="8"/>
    <n v="1"/>
    <n v="1"/>
  </r>
  <r>
    <m/>
    <m/>
    <x v="1"/>
    <s v="90326789001003"/>
    <n v="-7.85"/>
    <n v="167"/>
    <n v="1"/>
    <n v="1"/>
  </r>
  <r>
    <m/>
    <m/>
    <x v="1"/>
    <s v="90381406001001"/>
    <n v="-0.45999999999999996"/>
    <n v="10"/>
    <n v="2"/>
    <n v="1"/>
  </r>
  <r>
    <m/>
    <m/>
    <x v="1"/>
    <s v="90452230001004"/>
    <n v="-14.24"/>
    <n v="303"/>
    <n v="1"/>
    <n v="1"/>
  </r>
  <r>
    <m/>
    <m/>
    <x v="1"/>
    <s v="90453061001001"/>
    <n v="-27.33"/>
    <n v="587"/>
    <n v="2"/>
    <n v="1"/>
  </r>
  <r>
    <m/>
    <m/>
    <x v="1"/>
    <s v="90556685001003"/>
    <n v="-29.57"/>
    <n v="632"/>
    <n v="2"/>
    <n v="1"/>
  </r>
  <r>
    <m/>
    <m/>
    <x v="1"/>
    <s v="90593570008003"/>
    <n v="-84.3"/>
    <n v="1802"/>
    <n v="2"/>
    <n v="1"/>
  </r>
  <r>
    <m/>
    <m/>
    <x v="1"/>
    <s v="90725573001001"/>
    <n v="-21.42"/>
    <n v="460"/>
    <n v="2"/>
    <n v="1"/>
  </r>
  <r>
    <m/>
    <m/>
    <x v="1"/>
    <s v="90740546001001"/>
    <n v="-13.3"/>
    <n v="283"/>
    <n v="1"/>
    <n v="1"/>
  </r>
  <r>
    <m/>
    <m/>
    <x v="1"/>
    <s v="90923089001001"/>
    <n v="-5.36"/>
    <n v="115"/>
    <n v="2"/>
    <n v="1"/>
  </r>
  <r>
    <m/>
    <m/>
    <x v="1"/>
    <s v="90927229001003"/>
    <n v="-8.65"/>
    <n v="184"/>
    <n v="1"/>
    <n v="1"/>
  </r>
  <r>
    <m/>
    <m/>
    <x v="1"/>
    <s v="91155934001001"/>
    <n v="-5.17"/>
    <n v="110"/>
    <n v="1"/>
    <n v="1"/>
  </r>
  <r>
    <m/>
    <m/>
    <x v="1"/>
    <s v="91237440001003"/>
    <n v="-24.11"/>
    <n v="513"/>
    <n v="1"/>
    <n v="1"/>
  </r>
  <r>
    <m/>
    <m/>
    <x v="1"/>
    <s v="91266513001005"/>
    <n v="-7.03"/>
    <n v="151"/>
    <n v="2"/>
    <n v="1"/>
  </r>
  <r>
    <m/>
    <m/>
    <x v="1"/>
    <s v="91537061004005"/>
    <n v="-12.55"/>
    <n v="267"/>
    <n v="1"/>
    <n v="1"/>
  </r>
  <r>
    <m/>
    <m/>
    <x v="1"/>
    <s v="91552426001001"/>
    <n v="-5.69"/>
    <n v="121"/>
    <n v="1"/>
    <n v="1"/>
  </r>
  <r>
    <m/>
    <m/>
    <x v="1"/>
    <s v="91759038001001"/>
    <n v="-35.06"/>
    <n v="746"/>
    <n v="1"/>
    <n v="1"/>
  </r>
  <r>
    <m/>
    <m/>
    <x v="1"/>
    <s v="91774675002002"/>
    <n v="-55.28"/>
    <n v="1187"/>
    <n v="2"/>
    <n v="1"/>
  </r>
  <r>
    <m/>
    <m/>
    <x v="1"/>
    <s v="91792182001002"/>
    <n v="-14.48"/>
    <n v="311"/>
    <n v="2"/>
    <n v="1"/>
  </r>
  <r>
    <m/>
    <m/>
    <x v="1"/>
    <s v="91827766001002"/>
    <n v="-12.93"/>
    <n v="275"/>
    <n v="1"/>
    <n v="1"/>
  </r>
  <r>
    <m/>
    <m/>
    <x v="1"/>
    <s v="91895802001005"/>
    <n v="-3.67"/>
    <n v="78"/>
    <n v="1"/>
    <n v="1"/>
  </r>
  <r>
    <m/>
    <m/>
    <x v="1"/>
    <s v="91911316001004"/>
    <n v="-9.64"/>
    <n v="205"/>
    <n v="1"/>
    <n v="1"/>
  </r>
  <r>
    <m/>
    <m/>
    <x v="1"/>
    <s v="91915411001003"/>
    <n v="-67.489999999999995"/>
    <n v="1436"/>
    <n v="1"/>
    <n v="1"/>
  </r>
  <r>
    <m/>
    <m/>
    <x v="1"/>
    <s v="91933726001002"/>
    <n v="-10.43"/>
    <n v="224"/>
    <n v="2"/>
    <n v="1"/>
  </r>
  <r>
    <m/>
    <m/>
    <x v="1"/>
    <s v="91995451001005"/>
    <n v="-4.84"/>
    <n v="103"/>
    <n v="1"/>
    <n v="1"/>
  </r>
  <r>
    <m/>
    <m/>
    <x v="1"/>
    <s v="92041740001001"/>
    <n v="-12.379999999999999"/>
    <n v="266"/>
    <n v="2"/>
    <n v="1"/>
  </r>
  <r>
    <m/>
    <m/>
    <x v="1"/>
    <s v="92061113001004"/>
    <n v="-1.65"/>
    <n v="35"/>
    <n v="1"/>
    <n v="1"/>
  </r>
  <r>
    <m/>
    <m/>
    <x v="1"/>
    <s v="92255766001001"/>
    <n v="-27.73"/>
    <n v="590"/>
    <n v="1"/>
    <n v="1"/>
  </r>
  <r>
    <m/>
    <m/>
    <x v="1"/>
    <s v="92399017001001"/>
    <n v="-2.21"/>
    <n v="47"/>
    <n v="1"/>
    <n v="1"/>
  </r>
  <r>
    <m/>
    <m/>
    <x v="1"/>
    <s v="92452991003001"/>
    <n v="-4.79"/>
    <n v="102"/>
    <n v="1"/>
    <n v="1"/>
  </r>
  <r>
    <m/>
    <m/>
    <x v="1"/>
    <s v="92476559001004"/>
    <n v="-2.2999999999999998"/>
    <n v="49"/>
    <n v="1"/>
    <n v="1"/>
  </r>
  <r>
    <m/>
    <m/>
    <x v="1"/>
    <s v="92523561001001"/>
    <n v="-2.21"/>
    <n v="47"/>
    <n v="1"/>
    <n v="1"/>
  </r>
  <r>
    <m/>
    <m/>
    <x v="1"/>
    <s v="92643112001001"/>
    <n v="-3.85"/>
    <n v="82"/>
    <n v="1"/>
    <n v="1"/>
  </r>
  <r>
    <m/>
    <m/>
    <x v="1"/>
    <s v="92962178001001"/>
    <n v="-3.57"/>
    <n v="76"/>
    <n v="1"/>
    <n v="1"/>
  </r>
  <r>
    <m/>
    <m/>
    <x v="1"/>
    <s v="93054261001004"/>
    <n v="-6.3"/>
    <n v="134"/>
    <n v="1"/>
    <n v="1"/>
  </r>
  <r>
    <m/>
    <m/>
    <x v="1"/>
    <s v="93261690001003"/>
    <n v="-7.76"/>
    <n v="165"/>
    <n v="1"/>
    <n v="1"/>
  </r>
  <r>
    <m/>
    <m/>
    <x v="1"/>
    <s v="93293830001004"/>
    <n v="-2.0699999999999998"/>
    <n v="44"/>
    <n v="1"/>
    <n v="1"/>
  </r>
  <r>
    <m/>
    <m/>
    <x v="1"/>
    <s v="93295699001009"/>
    <n v="-4.8899999999999997"/>
    <n v="104"/>
    <n v="1"/>
    <n v="1"/>
  </r>
  <r>
    <m/>
    <m/>
    <x v="1"/>
    <s v="93357124001001"/>
    <n v="-49.44"/>
    <n v="1052"/>
    <n v="1"/>
    <n v="1"/>
  </r>
  <r>
    <m/>
    <m/>
    <x v="1"/>
    <s v="93451293001002"/>
    <n v="-6.25"/>
    <n v="133"/>
    <n v="1"/>
    <n v="1"/>
  </r>
  <r>
    <m/>
    <m/>
    <x v="1"/>
    <s v="93453320001012"/>
    <n v="-1.55"/>
    <n v="33"/>
    <n v="1"/>
    <n v="1"/>
  </r>
  <r>
    <m/>
    <m/>
    <x v="1"/>
    <s v="93477594002001"/>
    <n v="-0.47"/>
    <n v="10"/>
    <n v="1"/>
    <n v="1"/>
  </r>
  <r>
    <m/>
    <m/>
    <x v="1"/>
    <s v="93525219001001"/>
    <n v="-3.48"/>
    <n v="74"/>
    <n v="1"/>
    <n v="1"/>
  </r>
  <r>
    <m/>
    <m/>
    <x v="1"/>
    <s v="93908930001001"/>
    <n v="-100.17"/>
    <n v="2151"/>
    <n v="3"/>
    <n v="1"/>
  </r>
  <r>
    <m/>
    <m/>
    <x v="1"/>
    <s v="93981586001005"/>
    <n v="-25.52"/>
    <n v="543"/>
    <n v="1"/>
    <n v="1"/>
  </r>
  <r>
    <m/>
    <m/>
    <x v="1"/>
    <s v="94127903001001"/>
    <n v="-11.82"/>
    <n v="254"/>
    <n v="2"/>
    <n v="1"/>
  </r>
  <r>
    <m/>
    <m/>
    <x v="1"/>
    <s v="94338453002001"/>
    <n v="-5.03"/>
    <n v="107"/>
    <n v="1"/>
    <n v="1"/>
  </r>
  <r>
    <m/>
    <m/>
    <x v="1"/>
    <s v="94383185001003"/>
    <n v="-6.67"/>
    <n v="142"/>
    <n v="1"/>
    <n v="1"/>
  </r>
  <r>
    <m/>
    <m/>
    <x v="1"/>
    <s v="94648149001003"/>
    <n v="-12.08"/>
    <n v="257"/>
    <n v="1"/>
    <n v="1"/>
  </r>
  <r>
    <m/>
    <m/>
    <x v="1"/>
    <s v="94664502002001"/>
    <n v="-6.44"/>
    <n v="137"/>
    <n v="1"/>
    <n v="1"/>
  </r>
  <r>
    <m/>
    <m/>
    <x v="1"/>
    <s v="94670446001001"/>
    <n v="-11.14"/>
    <n v="237"/>
    <n v="1"/>
    <n v="1"/>
  </r>
  <r>
    <m/>
    <m/>
    <x v="1"/>
    <s v="94725102001001"/>
    <n v="-0.14000000000000001"/>
    <n v="3"/>
    <n v="1"/>
    <n v="1"/>
  </r>
  <r>
    <m/>
    <m/>
    <x v="1"/>
    <s v="94788572001004"/>
    <n v="-34.03"/>
    <n v="724"/>
    <n v="1"/>
    <n v="1"/>
  </r>
  <r>
    <m/>
    <m/>
    <x v="1"/>
    <s v="94794096001013"/>
    <n v="-3.71"/>
    <n v="79"/>
    <n v="1"/>
    <n v="1"/>
  </r>
  <r>
    <m/>
    <m/>
    <x v="1"/>
    <s v="94825236001003"/>
    <n v="-3.48"/>
    <n v="74"/>
    <n v="1"/>
    <n v="1"/>
  </r>
  <r>
    <m/>
    <m/>
    <x v="1"/>
    <s v="94878471002001"/>
    <n v="-0.24"/>
    <n v="5"/>
    <n v="1"/>
    <n v="1"/>
  </r>
  <r>
    <m/>
    <m/>
    <x v="1"/>
    <s v="94900294001001"/>
    <n v="-56.26"/>
    <n v="1197"/>
    <n v="1"/>
    <n v="1"/>
  </r>
  <r>
    <m/>
    <m/>
    <x v="1"/>
    <s v="95032265001003"/>
    <n v="-25.71"/>
    <n v="547"/>
    <n v="1"/>
    <n v="1"/>
  </r>
  <r>
    <m/>
    <m/>
    <x v="1"/>
    <s v="95080825001003"/>
    <n v="-15.93"/>
    <n v="342"/>
    <n v="2"/>
    <n v="1"/>
  </r>
  <r>
    <m/>
    <m/>
    <x v="1"/>
    <s v="95117315001002"/>
    <n v="-3.34"/>
    <n v="71"/>
    <n v="1"/>
    <n v="1"/>
  </r>
  <r>
    <m/>
    <m/>
    <x v="1"/>
    <s v="95142141001001"/>
    <n v="-13.82"/>
    <n v="294"/>
    <n v="1"/>
    <n v="1"/>
  </r>
  <r>
    <m/>
    <m/>
    <x v="1"/>
    <s v="95224398001001"/>
    <n v="-4.09"/>
    <n v="87"/>
    <n v="1"/>
    <n v="1"/>
  </r>
  <r>
    <m/>
    <m/>
    <x v="1"/>
    <s v="95275266001003"/>
    <n v="-9.92"/>
    <n v="211"/>
    <n v="1"/>
    <n v="1"/>
  </r>
  <r>
    <m/>
    <m/>
    <x v="1"/>
    <s v="95382413001005"/>
    <n v="-10.8"/>
    <n v="232"/>
    <n v="2"/>
    <n v="1"/>
  </r>
  <r>
    <m/>
    <m/>
    <x v="1"/>
    <s v="95442300001011"/>
    <n v="-30.36"/>
    <n v="646"/>
    <n v="1"/>
    <n v="1"/>
  </r>
  <r>
    <m/>
    <m/>
    <x v="1"/>
    <s v="95614176003001"/>
    <n v="-28.54"/>
    <n v="613"/>
    <n v="2"/>
    <n v="1"/>
  </r>
  <r>
    <m/>
    <m/>
    <x v="1"/>
    <s v="95640914001001"/>
    <n v="-0.84000000000000008"/>
    <n v="18"/>
    <n v="2"/>
    <n v="1"/>
  </r>
  <r>
    <m/>
    <m/>
    <x v="1"/>
    <s v="95773639001006"/>
    <n v="-8.18"/>
    <n v="174"/>
    <n v="1"/>
    <n v="1"/>
  </r>
  <r>
    <m/>
    <m/>
    <x v="1"/>
    <s v="95815042001004"/>
    <n v="-1.36"/>
    <n v="29"/>
    <n v="1"/>
    <n v="1"/>
  </r>
  <r>
    <m/>
    <m/>
    <x v="1"/>
    <s v="96057942001003"/>
    <n v="-16.07"/>
    <n v="342"/>
    <n v="1"/>
    <n v="1"/>
  </r>
  <r>
    <m/>
    <m/>
    <x v="1"/>
    <s v="96065231001001"/>
    <n v="-18.62"/>
    <n v="398"/>
    <n v="2"/>
    <n v="1"/>
  </r>
  <r>
    <m/>
    <m/>
    <x v="1"/>
    <s v="96139953003003"/>
    <n v="-3.48"/>
    <n v="74"/>
    <n v="1"/>
    <n v="1"/>
  </r>
  <r>
    <m/>
    <m/>
    <x v="1"/>
    <s v="96145942001001"/>
    <n v="-1.88"/>
    <n v="40"/>
    <n v="1"/>
    <n v="1"/>
  </r>
  <r>
    <m/>
    <m/>
    <x v="1"/>
    <s v="96179295004001"/>
    <n v="-14.24"/>
    <n v="303"/>
    <n v="1"/>
    <n v="1"/>
  </r>
  <r>
    <m/>
    <m/>
    <x v="1"/>
    <s v="96179506001001"/>
    <n v="-3.57"/>
    <n v="76"/>
    <n v="1"/>
    <n v="1"/>
  </r>
  <r>
    <m/>
    <m/>
    <x v="1"/>
    <s v="96258332001001"/>
    <n v="-0.05"/>
    <n v="1"/>
    <n v="1"/>
    <n v="1"/>
  </r>
  <r>
    <m/>
    <m/>
    <x v="1"/>
    <s v="96305704001001"/>
    <n v="-17.72"/>
    <n v="377"/>
    <n v="1"/>
    <n v="1"/>
  </r>
  <r>
    <m/>
    <m/>
    <x v="1"/>
    <s v="96426781002003"/>
    <n v="-5.22"/>
    <n v="111"/>
    <n v="1"/>
    <n v="1"/>
  </r>
  <r>
    <m/>
    <m/>
    <x v="1"/>
    <s v="96460390002003"/>
    <n v="-9.1199999999999992"/>
    <n v="194"/>
    <n v="1"/>
    <n v="1"/>
  </r>
  <r>
    <m/>
    <m/>
    <x v="1"/>
    <s v="96578754001001"/>
    <n v="-3.1"/>
    <n v="66"/>
    <n v="1"/>
    <n v="1"/>
  </r>
  <r>
    <m/>
    <m/>
    <x v="1"/>
    <s v="96664201001004"/>
    <n v="-6.39"/>
    <n v="136"/>
    <n v="1"/>
    <n v="1"/>
  </r>
  <r>
    <m/>
    <m/>
    <x v="1"/>
    <s v="96678659001003"/>
    <n v="-12.93"/>
    <n v="275"/>
    <n v="1"/>
    <n v="1"/>
  </r>
  <r>
    <m/>
    <m/>
    <x v="1"/>
    <s v="96692526002001"/>
    <n v="-2.12"/>
    <n v="45"/>
    <n v="1"/>
    <n v="1"/>
  </r>
  <r>
    <m/>
    <m/>
    <x v="1"/>
    <s v="96743423001001"/>
    <n v="-10.72"/>
    <n v="228"/>
    <n v="1"/>
    <n v="1"/>
  </r>
  <r>
    <m/>
    <m/>
    <x v="1"/>
    <s v="96759256001001"/>
    <n v="-0.14000000000000001"/>
    <n v="3"/>
    <n v="1"/>
    <n v="1"/>
  </r>
  <r>
    <m/>
    <m/>
    <x v="1"/>
    <s v="96994536001004"/>
    <n v="-30.970000000000002"/>
    <n v="662"/>
    <n v="2"/>
    <n v="1"/>
  </r>
  <r>
    <m/>
    <m/>
    <x v="1"/>
    <s v="97019963001004"/>
    <n v="-28.39"/>
    <n v="604"/>
    <n v="1"/>
    <n v="1"/>
  </r>
  <r>
    <m/>
    <m/>
    <x v="1"/>
    <s v="97064187001001"/>
    <n v="-43.32"/>
    <n v="926"/>
    <n v="2"/>
    <n v="1"/>
  </r>
  <r>
    <m/>
    <m/>
    <x v="1"/>
    <s v="97083962001002"/>
    <n v="-8.36"/>
    <n v="179"/>
    <n v="2"/>
    <n v="1"/>
  </r>
  <r>
    <m/>
    <m/>
    <x v="1"/>
    <s v="97096820001001"/>
    <n v="-71.16"/>
    <n v="1521"/>
    <n v="2"/>
    <n v="1"/>
  </r>
  <r>
    <m/>
    <m/>
    <x v="1"/>
    <s v="97150663001009"/>
    <n v="-0.38"/>
    <n v="8"/>
    <n v="1"/>
    <n v="1"/>
  </r>
  <r>
    <m/>
    <m/>
    <x v="1"/>
    <s v="97170225001001"/>
    <n v="-37.86"/>
    <n v="813"/>
    <n v="2"/>
    <n v="1"/>
  </r>
  <r>
    <m/>
    <m/>
    <x v="1"/>
    <s v="97203407001003"/>
    <n v="-24.69"/>
    <n v="528"/>
    <n v="2"/>
    <n v="1"/>
  </r>
  <r>
    <m/>
    <m/>
    <x v="1"/>
    <s v="97221863001001"/>
    <n v="-0.89"/>
    <n v="19"/>
    <n v="1"/>
    <n v="1"/>
  </r>
  <r>
    <m/>
    <m/>
    <x v="1"/>
    <s v="97253174003002"/>
    <n v="-0.66"/>
    <n v="14"/>
    <n v="1"/>
    <n v="1"/>
  </r>
  <r>
    <m/>
    <m/>
    <x v="1"/>
    <s v="97323566001003"/>
    <n v="-10.81"/>
    <n v="230"/>
    <n v="1"/>
    <n v="1"/>
  </r>
  <r>
    <m/>
    <m/>
    <x v="1"/>
    <s v="97325763001002"/>
    <n v="-0.28000000000000003"/>
    <n v="6"/>
    <n v="1"/>
    <n v="1"/>
  </r>
  <r>
    <m/>
    <m/>
    <x v="1"/>
    <s v="97346635001003"/>
    <n v="-29.42"/>
    <n v="626"/>
    <n v="1"/>
    <n v="1"/>
  </r>
  <r>
    <m/>
    <m/>
    <x v="1"/>
    <s v="97402482001001"/>
    <n v="-47.120000000000005"/>
    <n v="1012"/>
    <n v="2"/>
    <n v="1"/>
  </r>
  <r>
    <m/>
    <m/>
    <x v="1"/>
    <s v="97538964002001"/>
    <n v="-12.83"/>
    <n v="273"/>
    <n v="1"/>
    <n v="1"/>
  </r>
  <r>
    <m/>
    <m/>
    <x v="1"/>
    <s v="97551459001001"/>
    <n v="-7.66"/>
    <n v="163"/>
    <n v="1"/>
    <n v="1"/>
  </r>
  <r>
    <m/>
    <m/>
    <x v="1"/>
    <s v="97558477001003"/>
    <n v="-1.5"/>
    <n v="32"/>
    <n v="1"/>
    <n v="1"/>
  </r>
  <r>
    <m/>
    <m/>
    <x v="1"/>
    <s v="97569565011005"/>
    <n v="-4.5599999999999996"/>
    <n v="97"/>
    <n v="1"/>
    <n v="1"/>
  </r>
  <r>
    <m/>
    <m/>
    <x v="1"/>
    <s v="97625233001001"/>
    <n v="-8.98"/>
    <n v="191"/>
    <n v="1"/>
    <n v="1"/>
  </r>
  <r>
    <m/>
    <m/>
    <x v="1"/>
    <s v="97636856002001"/>
    <n v="-17.059999999999999"/>
    <n v="363"/>
    <n v="1"/>
    <n v="1"/>
  </r>
  <r>
    <m/>
    <m/>
    <x v="1"/>
    <s v="97678050001005"/>
    <n v="-44.84"/>
    <n v="954"/>
    <n v="1"/>
    <n v="1"/>
  </r>
  <r>
    <m/>
    <m/>
    <x v="1"/>
    <s v="97678237004001"/>
    <n v="-9.92"/>
    <n v="211"/>
    <n v="1"/>
    <n v="1"/>
  </r>
  <r>
    <m/>
    <m/>
    <x v="1"/>
    <s v="97885984003001"/>
    <n v="-6.3"/>
    <n v="134"/>
    <n v="1"/>
    <n v="1"/>
  </r>
  <r>
    <m/>
    <m/>
    <x v="1"/>
    <s v="97963093001001"/>
    <n v="-6.11"/>
    <n v="130"/>
    <n v="1"/>
    <n v="1"/>
  </r>
  <r>
    <m/>
    <m/>
    <x v="1"/>
    <s v="97982416001001"/>
    <n v="-14.99"/>
    <n v="319"/>
    <n v="1"/>
    <n v="1"/>
  </r>
  <r>
    <m/>
    <m/>
    <x v="1"/>
    <s v="97996225001008"/>
    <n v="-40.04"/>
    <n v="852"/>
    <n v="1"/>
    <n v="1"/>
  </r>
  <r>
    <m/>
    <m/>
    <x v="1"/>
    <s v="98090991002001"/>
    <n v="-1.1299999999999999"/>
    <n v="24"/>
    <n v="1"/>
    <n v="1"/>
  </r>
  <r>
    <m/>
    <m/>
    <x v="1"/>
    <s v="98163492001001"/>
    <n v="-20.54"/>
    <n v="437"/>
    <n v="1"/>
    <n v="1"/>
  </r>
  <r>
    <m/>
    <m/>
    <x v="1"/>
    <s v="98243275001011"/>
    <n v="-13.76"/>
    <n v="294"/>
    <n v="2"/>
    <n v="1"/>
  </r>
  <r>
    <m/>
    <m/>
    <x v="1"/>
    <s v="98265055001006"/>
    <n v="-10.34"/>
    <n v="220"/>
    <n v="1"/>
    <n v="1"/>
  </r>
  <r>
    <m/>
    <m/>
    <x v="1"/>
    <s v="98317810002003"/>
    <n v="-38.78"/>
    <n v="825"/>
    <n v="1"/>
    <n v="1"/>
  </r>
  <r>
    <m/>
    <m/>
    <x v="1"/>
    <s v="98396921001007"/>
    <n v="-7.19"/>
    <n v="153"/>
    <n v="1"/>
    <n v="1"/>
  </r>
  <r>
    <m/>
    <m/>
    <x v="1"/>
    <s v="98472116001003"/>
    <n v="-29.61"/>
    <n v="630"/>
    <n v="1"/>
    <n v="1"/>
  </r>
  <r>
    <m/>
    <m/>
    <x v="1"/>
    <s v="98496940001004"/>
    <n v="-39.29"/>
    <n v="836"/>
    <n v="1"/>
    <n v="1"/>
  </r>
  <r>
    <m/>
    <m/>
    <x v="1"/>
    <s v="98568936001003"/>
    <n v="-3.76"/>
    <n v="80"/>
    <n v="1"/>
    <n v="1"/>
  </r>
  <r>
    <m/>
    <m/>
    <x v="1"/>
    <s v="98835009001001"/>
    <n v="-16.97"/>
    <n v="361"/>
    <n v="1"/>
    <n v="1"/>
  </r>
  <r>
    <m/>
    <m/>
    <x v="1"/>
    <s v="98869027002005"/>
    <n v="-37.32"/>
    <n v="794"/>
    <n v="1"/>
    <n v="1"/>
  </r>
  <r>
    <m/>
    <m/>
    <x v="1"/>
    <s v="98887462001001"/>
    <n v="-6.16"/>
    <n v="131"/>
    <n v="1"/>
    <n v="1"/>
  </r>
  <r>
    <m/>
    <m/>
    <x v="1"/>
    <s v="99016570002001"/>
    <n v="-3.15"/>
    <n v="67"/>
    <n v="1"/>
    <n v="1"/>
  </r>
  <r>
    <m/>
    <m/>
    <x v="1"/>
    <s v="99023190002005"/>
    <n v="-25.15"/>
    <n v="535"/>
    <n v="1"/>
    <n v="1"/>
  </r>
  <r>
    <m/>
    <m/>
    <x v="1"/>
    <s v="99154035001001"/>
    <n v="-1.46"/>
    <n v="31"/>
    <n v="1"/>
    <n v="1"/>
  </r>
  <r>
    <m/>
    <m/>
    <x v="1"/>
    <s v="99181573002001"/>
    <n v="-0.52"/>
    <n v="11"/>
    <n v="1"/>
    <n v="1"/>
  </r>
  <r>
    <m/>
    <m/>
    <x v="1"/>
    <s v="99207126001001"/>
    <n v="-43.129999999999995"/>
    <n v="922"/>
    <n v="2"/>
    <n v="1"/>
  </r>
  <r>
    <m/>
    <m/>
    <x v="1"/>
    <s v="99299615002001"/>
    <n v="-54.43"/>
    <n v="1158"/>
    <n v="1"/>
    <n v="1"/>
  </r>
  <r>
    <m/>
    <m/>
    <x v="1"/>
    <s v="99435304001001"/>
    <n v="-21.9"/>
    <n v="466"/>
    <n v="1"/>
    <n v="1"/>
  </r>
  <r>
    <m/>
    <m/>
    <x v="1"/>
    <s v="99442912002001"/>
    <n v="-104.21000000000001"/>
    <n v="2238"/>
    <n v="2"/>
    <n v="1"/>
  </r>
  <r>
    <m/>
    <m/>
    <x v="1"/>
    <s v="99693016001003"/>
    <n v="-44.32"/>
    <n v="1089"/>
    <n v="1"/>
    <n v="1"/>
  </r>
  <r>
    <m/>
    <m/>
    <x v="1"/>
    <s v="99914779006003"/>
    <n v="-12.22"/>
    <n v="260"/>
    <n v="1"/>
    <n v="1"/>
  </r>
  <r>
    <m/>
    <m/>
    <x v="6"/>
    <m/>
    <n v="-32040.269999999997"/>
    <n v="683640"/>
    <n v="2098"/>
    <n v="1727"/>
  </r>
  <r>
    <m/>
    <s v="201106"/>
    <x v="0"/>
    <s v="02157263001003"/>
    <n v="-0.06"/>
    <n v="3"/>
    <n v="1"/>
    <n v="1"/>
  </r>
  <r>
    <m/>
    <m/>
    <x v="1"/>
    <s v="10948443001012"/>
    <n v="-0.12"/>
    <n v="6"/>
    <n v="1"/>
    <n v="1"/>
  </r>
  <r>
    <m/>
    <m/>
    <x v="1"/>
    <s v="12053528001002"/>
    <n v="-0.49"/>
    <n v="25"/>
    <n v="1"/>
    <n v="1"/>
  </r>
  <r>
    <m/>
    <m/>
    <x v="1"/>
    <s v="18991884001001"/>
    <n v="-0.24"/>
    <n v="12"/>
    <n v="1"/>
    <n v="1"/>
  </r>
  <r>
    <m/>
    <m/>
    <x v="1"/>
    <s v="22064595001002"/>
    <n v="-0.26"/>
    <n v="13"/>
    <n v="1"/>
    <n v="1"/>
  </r>
  <r>
    <m/>
    <m/>
    <x v="1"/>
    <s v="22479204001001"/>
    <n v="-0.14000000000000001"/>
    <n v="7"/>
    <n v="1"/>
    <n v="1"/>
  </r>
  <r>
    <m/>
    <m/>
    <x v="1"/>
    <s v="24878853001001"/>
    <n v="-0.61"/>
    <n v="31"/>
    <n v="1"/>
    <n v="1"/>
  </r>
  <r>
    <m/>
    <m/>
    <x v="1"/>
    <s v="30315366001001"/>
    <n v="-0.71"/>
    <n v="36"/>
    <n v="1"/>
    <n v="1"/>
  </r>
  <r>
    <m/>
    <m/>
    <x v="1"/>
    <s v="30975210001001"/>
    <n v="-0.2"/>
    <n v="10"/>
    <n v="1"/>
    <n v="1"/>
  </r>
  <r>
    <m/>
    <m/>
    <x v="1"/>
    <s v="33383973002003"/>
    <n v="-0.1"/>
    <n v="5"/>
    <n v="1"/>
    <n v="1"/>
  </r>
  <r>
    <m/>
    <m/>
    <x v="1"/>
    <s v="42524441001002"/>
    <n v="-0.93"/>
    <n v="47"/>
    <n v="1"/>
    <n v="1"/>
  </r>
  <r>
    <m/>
    <m/>
    <x v="1"/>
    <s v="42576676002001"/>
    <n v="-0.04"/>
    <n v="2"/>
    <n v="1"/>
    <n v="1"/>
  </r>
  <r>
    <m/>
    <m/>
    <x v="1"/>
    <s v="44449861003001"/>
    <n v="-0.61"/>
    <n v="31"/>
    <n v="1"/>
    <n v="1"/>
  </r>
  <r>
    <m/>
    <m/>
    <x v="1"/>
    <s v="44844661001002"/>
    <n v="-0.65"/>
    <n v="33"/>
    <n v="1"/>
    <n v="1"/>
  </r>
  <r>
    <m/>
    <m/>
    <x v="1"/>
    <s v="44875811001006"/>
    <n v="-0.18"/>
    <n v="9"/>
    <n v="1"/>
    <n v="1"/>
  </r>
  <r>
    <m/>
    <m/>
    <x v="1"/>
    <s v="45170721001001"/>
    <n v="-0.51"/>
    <n v="26"/>
    <n v="1"/>
    <n v="1"/>
  </r>
  <r>
    <m/>
    <m/>
    <x v="1"/>
    <s v="45200471001003"/>
    <n v="-0.4"/>
    <n v="20"/>
    <n v="1"/>
    <n v="1"/>
  </r>
  <r>
    <m/>
    <m/>
    <x v="1"/>
    <s v="45628101001001"/>
    <n v="-0.2"/>
    <n v="10"/>
    <n v="1"/>
    <n v="1"/>
  </r>
  <r>
    <m/>
    <m/>
    <x v="1"/>
    <s v="45845101001001"/>
    <n v="-0.02"/>
    <n v="1"/>
    <n v="1"/>
    <n v="1"/>
  </r>
  <r>
    <m/>
    <m/>
    <x v="1"/>
    <s v="45848041001001"/>
    <n v="-0.4"/>
    <n v="20"/>
    <n v="1"/>
    <n v="1"/>
  </r>
  <r>
    <m/>
    <m/>
    <x v="1"/>
    <s v="45851261001001"/>
    <n v="-0.24"/>
    <n v="12"/>
    <n v="1"/>
    <n v="1"/>
  </r>
  <r>
    <m/>
    <m/>
    <x v="1"/>
    <s v="45918181001001"/>
    <n v="-0.04"/>
    <n v="2"/>
    <n v="1"/>
    <n v="1"/>
  </r>
  <r>
    <m/>
    <m/>
    <x v="1"/>
    <s v="45924481001001"/>
    <n v="-0.3"/>
    <n v="15"/>
    <n v="1"/>
    <n v="1"/>
  </r>
  <r>
    <m/>
    <m/>
    <x v="1"/>
    <s v="46181801006035"/>
    <n v="-0.16"/>
    <n v="8"/>
    <n v="1"/>
    <n v="1"/>
  </r>
  <r>
    <m/>
    <m/>
    <x v="1"/>
    <s v="46210291002003"/>
    <n v="-0.67"/>
    <n v="34"/>
    <n v="1"/>
    <n v="1"/>
  </r>
  <r>
    <m/>
    <m/>
    <x v="1"/>
    <s v="46794861003003"/>
    <n v="-0.06"/>
    <n v="3"/>
    <n v="1"/>
    <n v="1"/>
  </r>
  <r>
    <m/>
    <m/>
    <x v="1"/>
    <s v="47162081002004"/>
    <n v="-0.2"/>
    <n v="10"/>
    <n v="1"/>
    <n v="1"/>
  </r>
  <r>
    <m/>
    <m/>
    <x v="1"/>
    <s v="49283851001002"/>
    <n v="-0.36"/>
    <n v="18"/>
    <n v="1"/>
    <n v="1"/>
  </r>
  <r>
    <m/>
    <m/>
    <x v="1"/>
    <s v="49629854001004"/>
    <n v="-0.14000000000000001"/>
    <n v="7"/>
    <n v="1"/>
    <n v="1"/>
  </r>
  <r>
    <m/>
    <m/>
    <x v="1"/>
    <s v="49705321003001"/>
    <n v="-0.24"/>
    <n v="12"/>
    <n v="1"/>
    <n v="1"/>
  </r>
  <r>
    <m/>
    <m/>
    <x v="1"/>
    <s v="50791002001001"/>
    <n v="-0.1"/>
    <n v="5"/>
    <n v="1"/>
    <n v="1"/>
  </r>
  <r>
    <m/>
    <m/>
    <x v="1"/>
    <s v="53931640001001"/>
    <n v="-0.45"/>
    <n v="23"/>
    <n v="1"/>
    <n v="1"/>
  </r>
  <r>
    <m/>
    <m/>
    <x v="1"/>
    <s v="55905100001001"/>
    <n v="-0.14000000000000001"/>
    <n v="7"/>
    <n v="1"/>
    <n v="1"/>
  </r>
  <r>
    <m/>
    <m/>
    <x v="1"/>
    <s v="56315778001004"/>
    <n v="-0.43"/>
    <n v="22"/>
    <n v="1"/>
    <n v="1"/>
  </r>
  <r>
    <m/>
    <m/>
    <x v="1"/>
    <s v="60891092001002"/>
    <n v="-0.18"/>
    <n v="9"/>
    <n v="1"/>
    <n v="1"/>
  </r>
  <r>
    <m/>
    <m/>
    <x v="1"/>
    <s v="70262426002001"/>
    <n v="-0.16"/>
    <n v="8"/>
    <n v="1"/>
    <n v="1"/>
  </r>
  <r>
    <m/>
    <m/>
    <x v="1"/>
    <s v="72327193001003"/>
    <n v="-0.51"/>
    <n v="26"/>
    <n v="1"/>
    <n v="1"/>
  </r>
  <r>
    <m/>
    <m/>
    <x v="1"/>
    <s v="76068750001001"/>
    <n v="-0.34"/>
    <n v="17"/>
    <n v="1"/>
    <n v="1"/>
  </r>
  <r>
    <m/>
    <m/>
    <x v="1"/>
    <s v="82088762001001"/>
    <n v="-0.56999999999999995"/>
    <n v="29"/>
    <n v="1"/>
    <n v="1"/>
  </r>
  <r>
    <m/>
    <m/>
    <x v="1"/>
    <s v="84345456001001"/>
    <n v="-0.14000000000000001"/>
    <n v="7"/>
    <n v="1"/>
    <n v="1"/>
  </r>
  <r>
    <m/>
    <m/>
    <x v="1"/>
    <s v="85785045001005"/>
    <n v="-0.97"/>
    <n v="49"/>
    <n v="1"/>
    <n v="1"/>
  </r>
  <r>
    <m/>
    <m/>
    <x v="1"/>
    <s v="88233884001001"/>
    <n v="-0.12"/>
    <n v="6"/>
    <n v="1"/>
    <n v="1"/>
  </r>
  <r>
    <m/>
    <m/>
    <x v="1"/>
    <s v="90516824001003"/>
    <n v="-0.43"/>
    <n v="22"/>
    <n v="1"/>
    <n v="1"/>
  </r>
  <r>
    <m/>
    <m/>
    <x v="1"/>
    <s v="98323580001002"/>
    <n v="-0.12"/>
    <n v="6"/>
    <n v="1"/>
    <n v="1"/>
  </r>
  <r>
    <m/>
    <m/>
    <x v="2"/>
    <m/>
    <n v="-13.94"/>
    <n v="704"/>
    <n v="44"/>
    <n v="44"/>
  </r>
  <r>
    <m/>
    <m/>
    <x v="3"/>
    <s v="02489977001002"/>
    <n v="-0.13"/>
    <n v="4"/>
    <n v="1"/>
    <n v="1"/>
  </r>
  <r>
    <m/>
    <m/>
    <x v="1"/>
    <s v="04036291001005"/>
    <n v="-0.56999999999999995"/>
    <n v="18"/>
    <n v="1"/>
    <n v="1"/>
  </r>
  <r>
    <m/>
    <m/>
    <x v="1"/>
    <s v="04330395001006"/>
    <n v="-0.79"/>
    <n v="25"/>
    <n v="1"/>
    <n v="1"/>
  </r>
  <r>
    <m/>
    <m/>
    <x v="1"/>
    <s v="08116506001004"/>
    <n v="-0.63"/>
    <n v="20"/>
    <n v="1"/>
    <n v="1"/>
  </r>
  <r>
    <m/>
    <m/>
    <x v="1"/>
    <s v="08352681002008"/>
    <n v="-0.85"/>
    <n v="27"/>
    <n v="1"/>
    <n v="1"/>
  </r>
  <r>
    <m/>
    <m/>
    <x v="1"/>
    <s v="08985843002001"/>
    <n v="-0.32"/>
    <n v="10"/>
    <n v="1"/>
    <n v="1"/>
  </r>
  <r>
    <m/>
    <m/>
    <x v="1"/>
    <s v="11044266002005"/>
    <n v="-0.38"/>
    <n v="12"/>
    <n v="1"/>
    <n v="1"/>
  </r>
  <r>
    <m/>
    <m/>
    <x v="1"/>
    <s v="13942590001005"/>
    <n v="-0.19"/>
    <n v="6"/>
    <n v="1"/>
    <n v="1"/>
  </r>
  <r>
    <m/>
    <m/>
    <x v="1"/>
    <s v="21429755001006"/>
    <n v="-0.28000000000000003"/>
    <n v="9"/>
    <n v="1"/>
    <n v="1"/>
  </r>
  <r>
    <m/>
    <m/>
    <x v="1"/>
    <s v="21530313001003"/>
    <n v="-0.16"/>
    <n v="5"/>
    <n v="1"/>
    <n v="1"/>
  </r>
  <r>
    <m/>
    <m/>
    <x v="1"/>
    <s v="22784555001001"/>
    <n v="-0.06"/>
    <n v="2"/>
    <n v="1"/>
    <n v="1"/>
  </r>
  <r>
    <m/>
    <m/>
    <x v="1"/>
    <s v="28937856003001"/>
    <n v="-0.35"/>
    <n v="11"/>
    <n v="1"/>
    <n v="1"/>
  </r>
  <r>
    <m/>
    <m/>
    <x v="1"/>
    <s v="33824960001003"/>
    <n v="-0.82"/>
    <n v="26"/>
    <n v="1"/>
    <n v="1"/>
  </r>
  <r>
    <m/>
    <m/>
    <x v="1"/>
    <s v="34024657001003"/>
    <n v="-1.52"/>
    <n v="48"/>
    <n v="1"/>
    <n v="1"/>
  </r>
  <r>
    <m/>
    <m/>
    <x v="1"/>
    <s v="38132797001001"/>
    <n v="-0.89"/>
    <n v="28"/>
    <n v="1"/>
    <n v="1"/>
  </r>
  <r>
    <m/>
    <m/>
    <x v="1"/>
    <s v="42073484003001"/>
    <n v="-1.01"/>
    <n v="32"/>
    <n v="1"/>
    <n v="1"/>
  </r>
  <r>
    <m/>
    <m/>
    <x v="1"/>
    <s v="42503651001002"/>
    <n v="-0.22"/>
    <n v="7"/>
    <n v="1"/>
    <n v="1"/>
  </r>
  <r>
    <m/>
    <m/>
    <x v="1"/>
    <s v="42503721001001"/>
    <n v="-0.09"/>
    <n v="3"/>
    <n v="1"/>
    <n v="1"/>
  </r>
  <r>
    <m/>
    <m/>
    <x v="1"/>
    <s v="42523951001001"/>
    <n v="-0.35"/>
    <n v="11"/>
    <n v="1"/>
    <n v="1"/>
  </r>
  <r>
    <m/>
    <m/>
    <x v="1"/>
    <s v="42591011001001"/>
    <n v="-0.25"/>
    <n v="8"/>
    <n v="1"/>
    <n v="1"/>
  </r>
  <r>
    <m/>
    <m/>
    <x v="1"/>
    <s v="42972511001003"/>
    <n v="-0.56999999999999995"/>
    <n v="18"/>
    <n v="1"/>
    <n v="1"/>
  </r>
  <r>
    <m/>
    <m/>
    <x v="1"/>
    <s v="43036071001003"/>
    <n v="-0.03"/>
    <n v="1"/>
    <n v="1"/>
    <n v="1"/>
  </r>
  <r>
    <m/>
    <m/>
    <x v="1"/>
    <s v="43224441001007"/>
    <n v="-1.04"/>
    <n v="33"/>
    <n v="1"/>
    <n v="1"/>
  </r>
  <r>
    <m/>
    <m/>
    <x v="1"/>
    <s v="43485650001007"/>
    <n v="-0.28000000000000003"/>
    <n v="9"/>
    <n v="1"/>
    <n v="1"/>
  </r>
  <r>
    <m/>
    <m/>
    <x v="1"/>
    <s v="44416401001001"/>
    <n v="-0.41"/>
    <n v="13"/>
    <n v="1"/>
    <n v="1"/>
  </r>
  <r>
    <m/>
    <m/>
    <x v="1"/>
    <s v="44422491002001"/>
    <n v="-0.38"/>
    <n v="12"/>
    <n v="1"/>
    <n v="1"/>
  </r>
  <r>
    <m/>
    <m/>
    <x v="1"/>
    <s v="44424451001001"/>
    <n v="-0.32"/>
    <n v="10"/>
    <n v="1"/>
    <n v="1"/>
  </r>
  <r>
    <m/>
    <m/>
    <x v="1"/>
    <s v="44770041002001"/>
    <n v="-0.95"/>
    <n v="30"/>
    <n v="1"/>
    <n v="1"/>
  </r>
  <r>
    <m/>
    <m/>
    <x v="1"/>
    <s v="44877561001002"/>
    <n v="-0.28000000000000003"/>
    <n v="9"/>
    <n v="1"/>
    <n v="1"/>
  </r>
  <r>
    <m/>
    <m/>
    <x v="1"/>
    <s v="44919565001001"/>
    <n v="-0.09"/>
    <n v="3"/>
    <n v="1"/>
    <n v="1"/>
  </r>
  <r>
    <m/>
    <m/>
    <x v="1"/>
    <s v="45155461001001"/>
    <n v="-1.1100000000000001"/>
    <n v="35"/>
    <n v="1"/>
    <n v="1"/>
  </r>
  <r>
    <m/>
    <m/>
    <x v="1"/>
    <s v="45162811004003"/>
    <n v="-0.51"/>
    <n v="16"/>
    <n v="1"/>
    <n v="1"/>
  </r>
  <r>
    <m/>
    <m/>
    <x v="1"/>
    <s v="45171701001001"/>
    <n v="-0.41"/>
    <n v="13"/>
    <n v="1"/>
    <n v="1"/>
  </r>
  <r>
    <m/>
    <m/>
    <x v="1"/>
    <s v="45174711001001"/>
    <n v="-0.13"/>
    <n v="4"/>
    <n v="1"/>
    <n v="1"/>
  </r>
  <r>
    <m/>
    <m/>
    <x v="1"/>
    <s v="45188011001001"/>
    <n v="-0.09"/>
    <n v="3"/>
    <n v="1"/>
    <n v="1"/>
  </r>
  <r>
    <m/>
    <m/>
    <x v="1"/>
    <s v="45192001001001"/>
    <n v="-0.44"/>
    <n v="14"/>
    <n v="1"/>
    <n v="1"/>
  </r>
  <r>
    <m/>
    <m/>
    <x v="1"/>
    <s v="45195991002001"/>
    <n v="-0.28000000000000003"/>
    <n v="9"/>
    <n v="1"/>
    <n v="1"/>
  </r>
  <r>
    <m/>
    <m/>
    <x v="1"/>
    <s v="45846991001001"/>
    <n v="-0.44"/>
    <n v="14"/>
    <n v="1"/>
    <n v="1"/>
  </r>
  <r>
    <m/>
    <m/>
    <x v="1"/>
    <s v="45878001001001"/>
    <n v="-0.82"/>
    <n v="26"/>
    <n v="1"/>
    <n v="1"/>
  </r>
  <r>
    <m/>
    <m/>
    <x v="1"/>
    <s v="45884231001001"/>
    <n v="-0.82"/>
    <n v="26"/>
    <n v="1"/>
    <n v="1"/>
  </r>
  <r>
    <m/>
    <m/>
    <x v="1"/>
    <s v="46074016001001"/>
    <n v="-0.6"/>
    <n v="19"/>
    <n v="1"/>
    <n v="1"/>
  </r>
  <r>
    <m/>
    <m/>
    <x v="1"/>
    <s v="46098781002001"/>
    <n v="-1.42"/>
    <n v="45"/>
    <n v="1"/>
    <n v="1"/>
  </r>
  <r>
    <m/>
    <m/>
    <x v="1"/>
    <s v="46115161001001"/>
    <n v="-0.19"/>
    <n v="6"/>
    <n v="1"/>
    <n v="1"/>
  </r>
  <r>
    <m/>
    <m/>
    <x v="1"/>
    <s v="46135041001002"/>
    <n v="-0.92"/>
    <n v="29"/>
    <n v="1"/>
    <n v="1"/>
  </r>
  <r>
    <m/>
    <m/>
    <x v="1"/>
    <s v="46146381001003"/>
    <n v="-0.51"/>
    <n v="16"/>
    <n v="1"/>
    <n v="1"/>
  </r>
  <r>
    <m/>
    <m/>
    <x v="1"/>
    <s v="46149601001005"/>
    <n v="-0.79"/>
    <n v="25"/>
    <n v="1"/>
    <n v="1"/>
  </r>
  <r>
    <m/>
    <m/>
    <x v="1"/>
    <s v="46432121004001"/>
    <n v="-0.85"/>
    <n v="27"/>
    <n v="1"/>
    <n v="1"/>
  </r>
  <r>
    <m/>
    <m/>
    <x v="1"/>
    <s v="51293341001001"/>
    <n v="-0.38"/>
    <n v="12"/>
    <n v="1"/>
    <n v="1"/>
  </r>
  <r>
    <m/>
    <m/>
    <x v="1"/>
    <s v="51462741002002"/>
    <n v="-0.25"/>
    <n v="8"/>
    <n v="1"/>
    <n v="1"/>
  </r>
  <r>
    <m/>
    <m/>
    <x v="1"/>
    <s v="51917069001003"/>
    <n v="-0.22"/>
    <n v="7"/>
    <n v="1"/>
    <n v="1"/>
  </r>
  <r>
    <m/>
    <m/>
    <x v="1"/>
    <s v="52724555001001"/>
    <n v="-0.92"/>
    <n v="29"/>
    <n v="1"/>
    <n v="1"/>
  </r>
  <r>
    <m/>
    <m/>
    <x v="1"/>
    <s v="53400662001001"/>
    <n v="-0.7"/>
    <n v="22"/>
    <n v="1"/>
    <n v="1"/>
  </r>
  <r>
    <m/>
    <m/>
    <x v="1"/>
    <s v="55334382001001"/>
    <n v="-0.7"/>
    <n v="22"/>
    <n v="1"/>
    <n v="1"/>
  </r>
  <r>
    <m/>
    <m/>
    <x v="1"/>
    <s v="57564327001001"/>
    <n v="-0.32"/>
    <n v="10"/>
    <n v="1"/>
    <n v="1"/>
  </r>
  <r>
    <m/>
    <m/>
    <x v="1"/>
    <s v="59521833001010"/>
    <n v="-1.04"/>
    <n v="33"/>
    <n v="1"/>
    <n v="1"/>
  </r>
  <r>
    <m/>
    <m/>
    <x v="1"/>
    <s v="61241854001001"/>
    <n v="-0.25"/>
    <n v="8"/>
    <n v="1"/>
    <n v="1"/>
  </r>
  <r>
    <m/>
    <m/>
    <x v="1"/>
    <s v="62230536001003"/>
    <n v="-1.2"/>
    <n v="38"/>
    <n v="1"/>
    <n v="1"/>
  </r>
  <r>
    <m/>
    <m/>
    <x v="1"/>
    <s v="63847291001002"/>
    <n v="-0.54"/>
    <n v="17"/>
    <n v="1"/>
    <n v="1"/>
  </r>
  <r>
    <m/>
    <m/>
    <x v="1"/>
    <s v="65039500002001"/>
    <n v="-0.13"/>
    <n v="4"/>
    <n v="1"/>
    <n v="1"/>
  </r>
  <r>
    <m/>
    <m/>
    <x v="1"/>
    <s v="65788356001004"/>
    <n v="-0.09"/>
    <n v="3"/>
    <n v="1"/>
    <n v="1"/>
  </r>
  <r>
    <m/>
    <m/>
    <x v="1"/>
    <s v="73497461001001"/>
    <n v="-0.95"/>
    <n v="30"/>
    <n v="1"/>
    <n v="1"/>
  </r>
  <r>
    <m/>
    <m/>
    <x v="1"/>
    <s v="76556293001005"/>
    <n v="-1.23"/>
    <n v="39"/>
    <n v="1"/>
    <n v="1"/>
  </r>
  <r>
    <m/>
    <m/>
    <x v="1"/>
    <s v="77981276001001"/>
    <n v="-0.13"/>
    <n v="4"/>
    <n v="1"/>
    <n v="1"/>
  </r>
  <r>
    <m/>
    <m/>
    <x v="1"/>
    <s v="78465175004001"/>
    <n v="-0.6"/>
    <n v="19"/>
    <n v="1"/>
    <n v="1"/>
  </r>
  <r>
    <m/>
    <m/>
    <x v="1"/>
    <s v="79256766001003"/>
    <n v="-0.06"/>
    <n v="2"/>
    <n v="1"/>
    <n v="1"/>
  </r>
  <r>
    <m/>
    <m/>
    <x v="1"/>
    <s v="79713989002001"/>
    <n v="-0.79"/>
    <n v="25"/>
    <n v="1"/>
    <n v="1"/>
  </r>
  <r>
    <m/>
    <m/>
    <x v="1"/>
    <s v="82203094001003"/>
    <n v="-0.35"/>
    <n v="11"/>
    <n v="1"/>
    <n v="1"/>
  </r>
  <r>
    <m/>
    <m/>
    <x v="1"/>
    <s v="84649205001001"/>
    <n v="-0.06"/>
    <n v="2"/>
    <n v="1"/>
    <n v="1"/>
  </r>
  <r>
    <m/>
    <m/>
    <x v="1"/>
    <s v="86965244003001"/>
    <n v="-0.25"/>
    <n v="8"/>
    <n v="1"/>
    <n v="1"/>
  </r>
  <r>
    <m/>
    <m/>
    <x v="1"/>
    <s v="87486491001002"/>
    <n v="-0.06"/>
    <n v="2"/>
    <n v="1"/>
    <n v="1"/>
  </r>
  <r>
    <m/>
    <m/>
    <x v="1"/>
    <s v="87795931001003"/>
    <n v="-1.3"/>
    <n v="41"/>
    <n v="1"/>
    <n v="1"/>
  </r>
  <r>
    <m/>
    <m/>
    <x v="1"/>
    <s v="88182721001002"/>
    <n v="-0.63"/>
    <n v="20"/>
    <n v="1"/>
    <n v="1"/>
  </r>
  <r>
    <m/>
    <m/>
    <x v="1"/>
    <s v="88600796001001"/>
    <n v="-0.16"/>
    <n v="5"/>
    <n v="1"/>
    <n v="1"/>
  </r>
  <r>
    <m/>
    <m/>
    <x v="1"/>
    <s v="93645499001013"/>
    <n v="-0.06"/>
    <n v="2"/>
    <n v="1"/>
    <n v="1"/>
  </r>
  <r>
    <m/>
    <m/>
    <x v="1"/>
    <s v="95880839001001"/>
    <n v="-0.06"/>
    <n v="2"/>
    <n v="1"/>
    <n v="1"/>
  </r>
  <r>
    <m/>
    <m/>
    <x v="1"/>
    <s v="96336668001003"/>
    <n v="-0.32"/>
    <n v="10"/>
    <n v="1"/>
    <n v="1"/>
  </r>
  <r>
    <m/>
    <m/>
    <x v="1"/>
    <s v="97820700001001"/>
    <n v="-0.19"/>
    <n v="6"/>
    <n v="1"/>
    <n v="1"/>
  </r>
  <r>
    <m/>
    <m/>
    <x v="1"/>
    <s v="97956025003002"/>
    <n v="-0.38"/>
    <n v="12"/>
    <n v="1"/>
    <n v="1"/>
  </r>
  <r>
    <m/>
    <m/>
    <x v="1"/>
    <s v="98267511008001"/>
    <n v="-0.44"/>
    <n v="14"/>
    <n v="1"/>
    <n v="1"/>
  </r>
  <r>
    <m/>
    <m/>
    <x v="1"/>
    <s v="99547055001003"/>
    <n v="-0.09"/>
    <n v="3"/>
    <n v="1"/>
    <n v="1"/>
  </r>
  <r>
    <m/>
    <m/>
    <x v="4"/>
    <m/>
    <n v="-39.390000000000015"/>
    <n v="1247"/>
    <n v="80"/>
    <n v="80"/>
  </r>
  <r>
    <m/>
    <m/>
    <x v="5"/>
    <s v="00507579001002"/>
    <n v="-0.8"/>
    <n v="17"/>
    <n v="1"/>
    <n v="1"/>
  </r>
  <r>
    <m/>
    <m/>
    <x v="1"/>
    <s v="02188680001001"/>
    <n v="-0.56000000000000005"/>
    <n v="12"/>
    <n v="1"/>
    <n v="1"/>
  </r>
  <r>
    <m/>
    <m/>
    <x v="1"/>
    <s v="02496747002003"/>
    <n v="-1.36"/>
    <n v="29"/>
    <n v="1"/>
    <n v="1"/>
  </r>
  <r>
    <m/>
    <m/>
    <x v="1"/>
    <s v="02717656001001"/>
    <n v="-0.28000000000000003"/>
    <n v="6"/>
    <n v="1"/>
    <n v="1"/>
  </r>
  <r>
    <m/>
    <m/>
    <x v="1"/>
    <s v="02906246001001"/>
    <n v="-0.52"/>
    <n v="11"/>
    <n v="1"/>
    <n v="1"/>
  </r>
  <r>
    <m/>
    <m/>
    <x v="1"/>
    <s v="03308022002001"/>
    <n v="-1.18"/>
    <n v="25"/>
    <n v="1"/>
    <n v="1"/>
  </r>
  <r>
    <m/>
    <m/>
    <x v="1"/>
    <s v="03517195001001"/>
    <n v="-0.47"/>
    <n v="10"/>
    <n v="1"/>
    <n v="1"/>
  </r>
  <r>
    <m/>
    <m/>
    <x v="1"/>
    <s v="03527986001006"/>
    <n v="-0.38"/>
    <n v="8"/>
    <n v="1"/>
    <n v="1"/>
  </r>
  <r>
    <m/>
    <m/>
    <x v="1"/>
    <s v="06381309001001"/>
    <n v="-0.71"/>
    <n v="15"/>
    <n v="1"/>
    <n v="1"/>
  </r>
  <r>
    <m/>
    <m/>
    <x v="1"/>
    <s v="07497509001002"/>
    <n v="-0.33"/>
    <n v="7"/>
    <n v="1"/>
    <n v="1"/>
  </r>
  <r>
    <m/>
    <m/>
    <x v="1"/>
    <s v="09350845002002"/>
    <n v="-0.38"/>
    <n v="8"/>
    <n v="1"/>
    <n v="1"/>
  </r>
  <r>
    <m/>
    <m/>
    <x v="1"/>
    <s v="10286168001001"/>
    <n v="-0.61"/>
    <n v="13"/>
    <n v="1"/>
    <n v="1"/>
  </r>
  <r>
    <m/>
    <m/>
    <x v="1"/>
    <s v="10317407001001"/>
    <n v="-1.32"/>
    <n v="28"/>
    <n v="1"/>
    <n v="1"/>
  </r>
  <r>
    <m/>
    <m/>
    <x v="1"/>
    <s v="10865475001001"/>
    <n v="-0.75"/>
    <n v="16"/>
    <n v="1"/>
    <n v="1"/>
  </r>
  <r>
    <m/>
    <m/>
    <x v="1"/>
    <s v="12738000001001"/>
    <n v="-2.21"/>
    <n v="47"/>
    <n v="1"/>
    <n v="1"/>
  </r>
  <r>
    <m/>
    <m/>
    <x v="1"/>
    <s v="13219544001001"/>
    <n v="-2.73"/>
    <n v="58"/>
    <n v="1"/>
    <n v="1"/>
  </r>
  <r>
    <m/>
    <m/>
    <x v="1"/>
    <s v="13818728001007"/>
    <n v="-0.28000000000000003"/>
    <n v="6"/>
    <n v="1"/>
    <n v="1"/>
  </r>
  <r>
    <m/>
    <m/>
    <x v="1"/>
    <s v="13882655001005"/>
    <n v="-1.08"/>
    <n v="23"/>
    <n v="1"/>
    <n v="1"/>
  </r>
  <r>
    <m/>
    <m/>
    <x v="1"/>
    <s v="13972735001001"/>
    <n v="-0.24"/>
    <n v="5"/>
    <n v="1"/>
    <n v="1"/>
  </r>
  <r>
    <m/>
    <m/>
    <x v="1"/>
    <s v="14158880001001"/>
    <n v="-0.47"/>
    <n v="10"/>
    <n v="1"/>
    <n v="1"/>
  </r>
  <r>
    <m/>
    <m/>
    <x v="1"/>
    <s v="16233681001003"/>
    <n v="-0.56000000000000005"/>
    <n v="12"/>
    <n v="1"/>
    <n v="1"/>
  </r>
  <r>
    <m/>
    <m/>
    <x v="1"/>
    <s v="17145119002004"/>
    <n v="-0.28000000000000003"/>
    <n v="6"/>
    <n v="1"/>
    <n v="1"/>
  </r>
  <r>
    <m/>
    <m/>
    <x v="1"/>
    <s v="19984149003003"/>
    <n v="-0.24"/>
    <n v="5"/>
    <n v="1"/>
    <n v="1"/>
  </r>
  <r>
    <m/>
    <m/>
    <x v="1"/>
    <s v="23056711001001"/>
    <n v="-0.05"/>
    <n v="1"/>
    <n v="1"/>
    <n v="1"/>
  </r>
  <r>
    <m/>
    <m/>
    <x v="1"/>
    <s v="23465139001008"/>
    <n v="-1.79"/>
    <n v="38"/>
    <n v="1"/>
    <n v="1"/>
  </r>
  <r>
    <m/>
    <m/>
    <x v="1"/>
    <s v="24503591001001"/>
    <n v="-0.47"/>
    <n v="10"/>
    <n v="1"/>
    <n v="1"/>
  </r>
  <r>
    <m/>
    <m/>
    <x v="1"/>
    <s v="24824356001005"/>
    <n v="-1.83"/>
    <n v="39"/>
    <n v="1"/>
    <n v="1"/>
  </r>
  <r>
    <m/>
    <m/>
    <x v="1"/>
    <s v="26574451002003"/>
    <n v="-53.11"/>
    <n v="1130"/>
    <n v="1"/>
    <n v="1"/>
  </r>
  <r>
    <m/>
    <m/>
    <x v="1"/>
    <s v="26889786001001"/>
    <n v="-0.94"/>
    <n v="20"/>
    <n v="1"/>
    <n v="1"/>
  </r>
  <r>
    <m/>
    <m/>
    <x v="1"/>
    <s v="27132055004001"/>
    <n v="-1.41"/>
    <n v="30"/>
    <n v="1"/>
    <n v="1"/>
  </r>
  <r>
    <m/>
    <m/>
    <x v="1"/>
    <s v="27614236002001"/>
    <n v="-0.42"/>
    <n v="9"/>
    <n v="1"/>
    <n v="1"/>
  </r>
  <r>
    <m/>
    <m/>
    <x v="1"/>
    <s v="27691065001006"/>
    <n v="-1.32"/>
    <n v="28"/>
    <n v="1"/>
    <n v="1"/>
  </r>
  <r>
    <m/>
    <m/>
    <x v="1"/>
    <s v="27809870001003"/>
    <n v="-1.74"/>
    <n v="37"/>
    <n v="1"/>
    <n v="1"/>
  </r>
  <r>
    <m/>
    <m/>
    <x v="1"/>
    <s v="27883736001001"/>
    <n v="-1.41"/>
    <n v="30"/>
    <n v="1"/>
    <n v="1"/>
  </r>
  <r>
    <m/>
    <m/>
    <x v="1"/>
    <s v="28868417001005"/>
    <n v="-0.14000000000000001"/>
    <n v="3"/>
    <n v="1"/>
    <n v="1"/>
  </r>
  <r>
    <m/>
    <m/>
    <x v="1"/>
    <s v="29365356001002"/>
    <n v="-1.18"/>
    <n v="25"/>
    <n v="1"/>
    <n v="1"/>
  </r>
  <r>
    <m/>
    <m/>
    <x v="1"/>
    <s v="31310853002001"/>
    <n v="-1.1299999999999999"/>
    <n v="24"/>
    <n v="1"/>
    <n v="1"/>
  </r>
  <r>
    <m/>
    <m/>
    <x v="1"/>
    <s v="31999957003003"/>
    <n v="-0.85"/>
    <n v="18"/>
    <n v="1"/>
    <n v="1"/>
  </r>
  <r>
    <m/>
    <m/>
    <x v="1"/>
    <s v="33418787001002"/>
    <n v="-0.94"/>
    <n v="20"/>
    <n v="1"/>
    <n v="1"/>
  </r>
  <r>
    <m/>
    <m/>
    <x v="1"/>
    <s v="33529526001001"/>
    <n v="-1.08"/>
    <n v="23"/>
    <n v="1"/>
    <n v="1"/>
  </r>
  <r>
    <m/>
    <m/>
    <x v="1"/>
    <s v="34246525001001"/>
    <n v="-1.22"/>
    <n v="26"/>
    <n v="1"/>
    <n v="1"/>
  </r>
  <r>
    <m/>
    <m/>
    <x v="1"/>
    <s v="34652418001005"/>
    <n v="-0.38"/>
    <n v="8"/>
    <n v="1"/>
    <n v="1"/>
  </r>
  <r>
    <m/>
    <m/>
    <x v="1"/>
    <s v="36618779001001"/>
    <n v="-0.38"/>
    <n v="8"/>
    <n v="1"/>
    <n v="1"/>
  </r>
  <r>
    <m/>
    <m/>
    <x v="1"/>
    <s v="36658787001001"/>
    <n v="-0.05"/>
    <n v="1"/>
    <n v="1"/>
    <n v="1"/>
  </r>
  <r>
    <m/>
    <m/>
    <x v="1"/>
    <s v="37811888001008"/>
    <n v="-0.47"/>
    <n v="10"/>
    <n v="1"/>
    <n v="1"/>
  </r>
  <r>
    <m/>
    <m/>
    <x v="1"/>
    <s v="38397225001002"/>
    <n v="-0.71"/>
    <n v="15"/>
    <n v="1"/>
    <n v="1"/>
  </r>
  <r>
    <m/>
    <m/>
    <x v="1"/>
    <s v="38448826001003"/>
    <n v="-1.36"/>
    <n v="29"/>
    <n v="1"/>
    <n v="1"/>
  </r>
  <r>
    <m/>
    <m/>
    <x v="1"/>
    <s v="38964048001001"/>
    <n v="-0.14000000000000001"/>
    <n v="3"/>
    <n v="1"/>
    <n v="1"/>
  </r>
  <r>
    <m/>
    <m/>
    <x v="1"/>
    <s v="39419789001003"/>
    <n v="-0.19"/>
    <n v="4"/>
    <n v="1"/>
    <n v="1"/>
  </r>
  <r>
    <m/>
    <m/>
    <x v="1"/>
    <s v="40485294001001"/>
    <n v="-0.19"/>
    <n v="4"/>
    <n v="1"/>
    <n v="1"/>
  </r>
  <r>
    <m/>
    <m/>
    <x v="1"/>
    <s v="40922056004001"/>
    <n v="-1.03"/>
    <n v="22"/>
    <n v="1"/>
    <n v="1"/>
  </r>
  <r>
    <m/>
    <m/>
    <x v="1"/>
    <s v="41508622002001"/>
    <n v="-0.05"/>
    <n v="1"/>
    <n v="1"/>
    <n v="1"/>
  </r>
  <r>
    <m/>
    <m/>
    <x v="1"/>
    <s v="41643514001001"/>
    <n v="-0.56000000000000005"/>
    <n v="12"/>
    <n v="1"/>
    <n v="1"/>
  </r>
  <r>
    <m/>
    <m/>
    <x v="1"/>
    <s v="41980548001001"/>
    <n v="-0.71"/>
    <n v="15"/>
    <n v="1"/>
    <n v="1"/>
  </r>
  <r>
    <m/>
    <m/>
    <x v="1"/>
    <s v="42488881004001"/>
    <n v="-0.75"/>
    <n v="16"/>
    <n v="1"/>
    <n v="1"/>
  </r>
  <r>
    <m/>
    <m/>
    <x v="1"/>
    <s v="42642951010001"/>
    <n v="-0.28000000000000003"/>
    <n v="6"/>
    <n v="1"/>
    <n v="1"/>
  </r>
  <r>
    <m/>
    <m/>
    <x v="1"/>
    <s v="42734931001007"/>
    <n v="-1.55"/>
    <n v="33"/>
    <n v="1"/>
    <n v="1"/>
  </r>
  <r>
    <m/>
    <m/>
    <x v="1"/>
    <s v="42775461005001"/>
    <n v="-1.22"/>
    <n v="26"/>
    <n v="1"/>
    <n v="1"/>
  </r>
  <r>
    <m/>
    <m/>
    <x v="1"/>
    <s v="43172221002008"/>
    <n v="-1.55"/>
    <n v="33"/>
    <n v="1"/>
    <n v="1"/>
  </r>
  <r>
    <m/>
    <m/>
    <x v="1"/>
    <s v="43240331001004"/>
    <n v="-0.33"/>
    <n v="7"/>
    <n v="1"/>
    <n v="1"/>
  </r>
  <r>
    <m/>
    <m/>
    <x v="1"/>
    <s v="43685671001004"/>
    <n v="-0.33"/>
    <n v="7"/>
    <n v="1"/>
    <n v="1"/>
  </r>
  <r>
    <m/>
    <m/>
    <x v="1"/>
    <s v="44663409001001"/>
    <n v="-0.94"/>
    <n v="20"/>
    <n v="1"/>
    <n v="1"/>
  </r>
  <r>
    <m/>
    <m/>
    <x v="1"/>
    <s v="45058426001005"/>
    <n v="-0.71"/>
    <n v="15"/>
    <n v="1"/>
    <n v="1"/>
  </r>
  <r>
    <m/>
    <m/>
    <x v="1"/>
    <s v="45072791003019"/>
    <n v="-0.66"/>
    <n v="14"/>
    <n v="1"/>
    <n v="1"/>
  </r>
  <r>
    <m/>
    <m/>
    <x v="1"/>
    <s v="45146501001004"/>
    <n v="-1.1299999999999999"/>
    <n v="24"/>
    <n v="1"/>
    <n v="1"/>
  </r>
  <r>
    <m/>
    <m/>
    <x v="1"/>
    <s v="45153011001003"/>
    <n v="-1.03"/>
    <n v="22"/>
    <n v="1"/>
    <n v="1"/>
  </r>
  <r>
    <m/>
    <m/>
    <x v="1"/>
    <s v="45160921001001"/>
    <n v="-0.56000000000000005"/>
    <n v="12"/>
    <n v="1"/>
    <n v="1"/>
  </r>
  <r>
    <m/>
    <m/>
    <x v="1"/>
    <s v="45194661001001"/>
    <n v="-0.66"/>
    <n v="14"/>
    <n v="1"/>
    <n v="1"/>
  </r>
  <r>
    <m/>
    <m/>
    <x v="1"/>
    <s v="45195221001002"/>
    <n v="-0.75"/>
    <n v="16"/>
    <n v="1"/>
    <n v="1"/>
  </r>
  <r>
    <m/>
    <m/>
    <x v="1"/>
    <s v="45195641001001"/>
    <n v="-0.05"/>
    <n v="1"/>
    <n v="1"/>
    <n v="1"/>
  </r>
  <r>
    <m/>
    <m/>
    <x v="1"/>
    <s v="45412781001004"/>
    <n v="-0.05"/>
    <n v="1"/>
    <n v="1"/>
    <n v="1"/>
  </r>
  <r>
    <m/>
    <m/>
    <x v="1"/>
    <s v="45668001003001"/>
    <n v="-1.1299999999999999"/>
    <n v="24"/>
    <n v="1"/>
    <n v="1"/>
  </r>
  <r>
    <m/>
    <m/>
    <x v="1"/>
    <s v="45874431001005"/>
    <n v="-0.89"/>
    <n v="19"/>
    <n v="1"/>
    <n v="1"/>
  </r>
  <r>
    <m/>
    <m/>
    <x v="1"/>
    <s v="45897881001001"/>
    <n v="-0.56000000000000005"/>
    <n v="12"/>
    <n v="1"/>
    <n v="1"/>
  </r>
  <r>
    <m/>
    <m/>
    <x v="1"/>
    <s v="45918111001001"/>
    <n v="-0.52"/>
    <n v="11"/>
    <n v="1"/>
    <n v="1"/>
  </r>
  <r>
    <m/>
    <m/>
    <x v="1"/>
    <s v="45919931007001"/>
    <n v="-1.03"/>
    <n v="22"/>
    <n v="1"/>
    <n v="1"/>
  </r>
  <r>
    <m/>
    <m/>
    <x v="1"/>
    <s v="45956471002002"/>
    <n v="-0.38"/>
    <n v="8"/>
    <n v="1"/>
    <n v="1"/>
  </r>
  <r>
    <m/>
    <m/>
    <x v="1"/>
    <s v="46112501001001"/>
    <n v="-1.46"/>
    <n v="31"/>
    <n v="1"/>
    <n v="1"/>
  </r>
  <r>
    <m/>
    <m/>
    <x v="1"/>
    <s v="46141131001003"/>
    <n v="-0.61"/>
    <n v="13"/>
    <n v="1"/>
    <n v="1"/>
  </r>
  <r>
    <m/>
    <m/>
    <x v="1"/>
    <s v="46515686001001"/>
    <n v="-1.22"/>
    <n v="26"/>
    <n v="1"/>
    <n v="1"/>
  </r>
  <r>
    <m/>
    <m/>
    <x v="1"/>
    <s v="47512000001005"/>
    <n v="-0.33"/>
    <n v="7"/>
    <n v="1"/>
    <n v="1"/>
  </r>
  <r>
    <m/>
    <m/>
    <x v="1"/>
    <s v="47839821001002"/>
    <n v="-0.28000000000000003"/>
    <n v="6"/>
    <n v="1"/>
    <n v="1"/>
  </r>
  <r>
    <m/>
    <m/>
    <x v="1"/>
    <s v="47842341003001"/>
    <n v="-0.09"/>
    <n v="2"/>
    <n v="1"/>
    <n v="1"/>
  </r>
  <r>
    <m/>
    <m/>
    <x v="1"/>
    <s v="47881813001003"/>
    <n v="-0.47"/>
    <n v="10"/>
    <n v="1"/>
    <n v="1"/>
  </r>
  <r>
    <m/>
    <m/>
    <x v="1"/>
    <s v="48937755001003"/>
    <n v="-0.09"/>
    <n v="2"/>
    <n v="1"/>
    <n v="1"/>
  </r>
  <r>
    <m/>
    <m/>
    <x v="1"/>
    <s v="49110279001004"/>
    <n v="-0.47"/>
    <n v="10"/>
    <n v="1"/>
    <n v="1"/>
  </r>
  <r>
    <m/>
    <m/>
    <x v="1"/>
    <s v="51182321003003"/>
    <n v="-0.52"/>
    <n v="11"/>
    <n v="1"/>
    <n v="1"/>
  </r>
  <r>
    <m/>
    <m/>
    <x v="1"/>
    <s v="51377691005001"/>
    <n v="-0.05"/>
    <n v="1"/>
    <n v="1"/>
    <n v="1"/>
  </r>
  <r>
    <m/>
    <m/>
    <x v="1"/>
    <s v="51443606001006"/>
    <n v="-0.42"/>
    <n v="9"/>
    <n v="1"/>
    <n v="1"/>
  </r>
  <r>
    <m/>
    <m/>
    <x v="1"/>
    <s v="51461761001001"/>
    <n v="-0.09"/>
    <n v="2"/>
    <n v="1"/>
    <n v="1"/>
  </r>
  <r>
    <m/>
    <m/>
    <x v="1"/>
    <s v="51521791001001"/>
    <n v="-0.33"/>
    <n v="7"/>
    <n v="1"/>
    <n v="1"/>
  </r>
  <r>
    <m/>
    <m/>
    <x v="1"/>
    <s v="51584751002008"/>
    <n v="-0.14000000000000001"/>
    <n v="3"/>
    <n v="1"/>
    <n v="1"/>
  </r>
  <r>
    <m/>
    <m/>
    <x v="1"/>
    <s v="54019982001004"/>
    <n v="-1.22"/>
    <n v="26"/>
    <n v="1"/>
    <n v="1"/>
  </r>
  <r>
    <m/>
    <m/>
    <x v="1"/>
    <s v="55476730001005"/>
    <n v="-1.27"/>
    <n v="27"/>
    <n v="1"/>
    <n v="1"/>
  </r>
  <r>
    <m/>
    <m/>
    <x v="1"/>
    <s v="56158181001001"/>
    <n v="-0.14000000000000001"/>
    <n v="3"/>
    <n v="1"/>
    <n v="1"/>
  </r>
  <r>
    <m/>
    <m/>
    <x v="1"/>
    <s v="57000650001002"/>
    <n v="-0.19"/>
    <n v="4"/>
    <n v="1"/>
    <n v="1"/>
  </r>
  <r>
    <m/>
    <m/>
    <x v="1"/>
    <s v="57356716001002"/>
    <n v="-0.14000000000000001"/>
    <n v="3"/>
    <n v="1"/>
    <n v="1"/>
  </r>
  <r>
    <m/>
    <m/>
    <x v="1"/>
    <s v="57634785001001"/>
    <n v="-0.61"/>
    <n v="13"/>
    <n v="1"/>
    <n v="1"/>
  </r>
  <r>
    <m/>
    <m/>
    <x v="1"/>
    <s v="60239588001006"/>
    <n v="-0.99"/>
    <n v="21"/>
    <n v="1"/>
    <n v="1"/>
  </r>
  <r>
    <m/>
    <m/>
    <x v="1"/>
    <s v="60570725002001"/>
    <n v="-2.2999999999999998"/>
    <n v="49"/>
    <n v="1"/>
    <n v="1"/>
  </r>
  <r>
    <m/>
    <m/>
    <x v="1"/>
    <s v="61237473001001"/>
    <n v="-0.47"/>
    <n v="10"/>
    <n v="1"/>
    <n v="1"/>
  </r>
  <r>
    <m/>
    <m/>
    <x v="1"/>
    <s v="61831600002001"/>
    <n v="-0.89"/>
    <n v="19"/>
    <n v="1"/>
    <n v="1"/>
  </r>
  <r>
    <m/>
    <m/>
    <x v="1"/>
    <s v="63448216001004"/>
    <n v="-0.56000000000000005"/>
    <n v="12"/>
    <n v="1"/>
    <n v="1"/>
  </r>
  <r>
    <m/>
    <m/>
    <x v="1"/>
    <s v="63697179001006"/>
    <n v="-0.47"/>
    <n v="10"/>
    <n v="1"/>
    <n v="1"/>
  </r>
  <r>
    <m/>
    <m/>
    <x v="1"/>
    <s v="64085179001001"/>
    <n v="-0.28000000000000003"/>
    <n v="6"/>
    <n v="1"/>
    <n v="1"/>
  </r>
  <r>
    <m/>
    <m/>
    <x v="1"/>
    <s v="64352398001002"/>
    <n v="-0.52"/>
    <n v="11"/>
    <n v="1"/>
    <n v="1"/>
  </r>
  <r>
    <m/>
    <m/>
    <x v="1"/>
    <s v="67204908002001"/>
    <n v="-0.19"/>
    <n v="4"/>
    <n v="1"/>
    <n v="1"/>
  </r>
  <r>
    <m/>
    <m/>
    <x v="1"/>
    <s v="67782140001005"/>
    <n v="-0.14000000000000001"/>
    <n v="3"/>
    <n v="1"/>
    <n v="1"/>
  </r>
  <r>
    <m/>
    <m/>
    <x v="1"/>
    <s v="68441476001004"/>
    <n v="-0.75"/>
    <n v="16"/>
    <n v="1"/>
    <n v="1"/>
  </r>
  <r>
    <m/>
    <m/>
    <x v="1"/>
    <s v="68561006001001"/>
    <n v="-0.71"/>
    <n v="15"/>
    <n v="1"/>
    <n v="1"/>
  </r>
  <r>
    <m/>
    <m/>
    <x v="1"/>
    <s v="68845646002005"/>
    <n v="-0.75"/>
    <n v="16"/>
    <n v="1"/>
    <n v="1"/>
  </r>
  <r>
    <m/>
    <m/>
    <x v="1"/>
    <s v="69776815003001"/>
    <n v="-0.33"/>
    <n v="7"/>
    <n v="1"/>
    <n v="1"/>
  </r>
  <r>
    <m/>
    <m/>
    <x v="1"/>
    <s v="69998683001001"/>
    <n v="-0.56000000000000005"/>
    <n v="12"/>
    <n v="1"/>
    <n v="1"/>
  </r>
  <r>
    <m/>
    <m/>
    <x v="1"/>
    <s v="71079674002001"/>
    <n v="-0.33"/>
    <n v="7"/>
    <n v="1"/>
    <n v="1"/>
  </r>
  <r>
    <m/>
    <m/>
    <x v="1"/>
    <s v="71528185001004"/>
    <n v="-0.38"/>
    <n v="8"/>
    <n v="1"/>
    <n v="1"/>
  </r>
  <r>
    <m/>
    <m/>
    <x v="1"/>
    <s v="72209762001001"/>
    <n v="-0.05"/>
    <n v="1"/>
    <n v="1"/>
    <n v="1"/>
  </r>
  <r>
    <m/>
    <m/>
    <x v="1"/>
    <s v="72339786001001"/>
    <n v="-0.28000000000000003"/>
    <n v="6"/>
    <n v="1"/>
    <n v="1"/>
  </r>
  <r>
    <m/>
    <m/>
    <x v="1"/>
    <s v="73257691001002"/>
    <n v="-0.19"/>
    <n v="4"/>
    <n v="1"/>
    <n v="1"/>
  </r>
  <r>
    <m/>
    <m/>
    <x v="1"/>
    <s v="75436572002003"/>
    <n v="-0.14000000000000001"/>
    <n v="3"/>
    <n v="1"/>
    <n v="1"/>
  </r>
  <r>
    <m/>
    <m/>
    <x v="1"/>
    <s v="75758051001005"/>
    <n v="-1.08"/>
    <n v="23"/>
    <n v="1"/>
    <n v="1"/>
  </r>
  <r>
    <m/>
    <m/>
    <x v="1"/>
    <s v="76169400001001"/>
    <n v="-3.81"/>
    <n v="81"/>
    <n v="1"/>
    <n v="1"/>
  </r>
  <r>
    <m/>
    <m/>
    <x v="1"/>
    <s v="76893121001007"/>
    <n v="-0.14000000000000001"/>
    <n v="3"/>
    <n v="1"/>
    <n v="1"/>
  </r>
  <r>
    <m/>
    <m/>
    <x v="1"/>
    <s v="76944469001001"/>
    <n v="-0.71"/>
    <n v="15"/>
    <n v="1"/>
    <n v="1"/>
  </r>
  <r>
    <m/>
    <m/>
    <x v="1"/>
    <s v="77965745001001"/>
    <n v="-0.28000000000000003"/>
    <n v="6"/>
    <n v="1"/>
    <n v="1"/>
  </r>
  <r>
    <m/>
    <m/>
    <x v="1"/>
    <s v="78621225002001"/>
    <n v="-1.6"/>
    <n v="34"/>
    <n v="1"/>
    <n v="1"/>
  </r>
  <r>
    <m/>
    <m/>
    <x v="1"/>
    <s v="84171103003001"/>
    <n v="-0.8"/>
    <n v="17"/>
    <n v="1"/>
    <n v="1"/>
  </r>
  <r>
    <m/>
    <m/>
    <x v="1"/>
    <s v="85145810002001"/>
    <n v="-0.8"/>
    <n v="17"/>
    <n v="1"/>
    <n v="1"/>
  </r>
  <r>
    <m/>
    <m/>
    <x v="1"/>
    <s v="85691100003003"/>
    <n v="-0.47"/>
    <n v="10"/>
    <n v="1"/>
    <n v="1"/>
  </r>
  <r>
    <m/>
    <m/>
    <x v="1"/>
    <s v="86420880001004"/>
    <n v="-1.83"/>
    <n v="39"/>
    <n v="1"/>
    <n v="1"/>
  </r>
  <r>
    <m/>
    <m/>
    <x v="1"/>
    <s v="87582546001007"/>
    <n v="-0.42"/>
    <n v="9"/>
    <n v="1"/>
    <n v="1"/>
  </r>
  <r>
    <m/>
    <m/>
    <x v="1"/>
    <s v="87919824001001"/>
    <n v="-1.97"/>
    <n v="42"/>
    <n v="1"/>
    <n v="1"/>
  </r>
  <r>
    <m/>
    <m/>
    <x v="1"/>
    <s v="88063563001006"/>
    <n v="-1.22"/>
    <n v="26"/>
    <n v="1"/>
    <n v="1"/>
  </r>
  <r>
    <m/>
    <m/>
    <x v="1"/>
    <s v="89105915001001"/>
    <n v="-2.87"/>
    <n v="61"/>
    <n v="1"/>
    <n v="1"/>
  </r>
  <r>
    <m/>
    <m/>
    <x v="1"/>
    <s v="90453061001001"/>
    <n v="-0.33"/>
    <n v="7"/>
    <n v="1"/>
    <n v="1"/>
  </r>
  <r>
    <m/>
    <m/>
    <x v="1"/>
    <s v="90725573001001"/>
    <n v="-0.24"/>
    <n v="5"/>
    <n v="1"/>
    <n v="1"/>
  </r>
  <r>
    <m/>
    <m/>
    <x v="1"/>
    <s v="91266513001005"/>
    <n v="-0.38"/>
    <n v="8"/>
    <n v="1"/>
    <n v="1"/>
  </r>
  <r>
    <m/>
    <m/>
    <x v="1"/>
    <s v="91792182001002"/>
    <n v="-0.52"/>
    <n v="11"/>
    <n v="1"/>
    <n v="1"/>
  </r>
  <r>
    <m/>
    <m/>
    <x v="1"/>
    <s v="91933726001002"/>
    <n v="-0.14000000000000001"/>
    <n v="3"/>
    <n v="1"/>
    <n v="1"/>
  </r>
  <r>
    <m/>
    <m/>
    <x v="1"/>
    <s v="92041740001001"/>
    <n v="-0.19"/>
    <n v="4"/>
    <n v="1"/>
    <n v="1"/>
  </r>
  <r>
    <m/>
    <m/>
    <x v="1"/>
    <s v="95080825001003"/>
    <n v="-0.09"/>
    <n v="2"/>
    <n v="1"/>
    <n v="1"/>
  </r>
  <r>
    <m/>
    <m/>
    <x v="1"/>
    <s v="95614176003001"/>
    <n v="-0.89"/>
    <n v="19"/>
    <n v="1"/>
    <n v="1"/>
  </r>
  <r>
    <m/>
    <m/>
    <x v="1"/>
    <s v="97170225001001"/>
    <n v="-0.19"/>
    <n v="4"/>
    <n v="1"/>
    <n v="1"/>
  </r>
  <r>
    <m/>
    <m/>
    <x v="1"/>
    <s v="99442912002001"/>
    <n v="-2.0699999999999998"/>
    <n v="44"/>
    <n v="1"/>
    <n v="1"/>
  </r>
  <r>
    <m/>
    <m/>
    <x v="6"/>
    <m/>
    <n v="-156.50999999999991"/>
    <n v="3329"/>
    <n v="143"/>
    <n v="143"/>
  </r>
  <r>
    <m/>
    <s v="201107"/>
    <x v="5"/>
    <s v="44052581002003"/>
    <n v="-72.45"/>
    <n v="1780"/>
    <n v="1"/>
    <n v="1"/>
  </r>
  <r>
    <m/>
    <m/>
    <x v="1"/>
    <s v="46795071001003"/>
    <n v="-279.09000000000003"/>
    <n v="6779"/>
    <n v="8"/>
    <n v="1"/>
  </r>
  <r>
    <m/>
    <m/>
    <x v="6"/>
    <m/>
    <n v="-351.54"/>
    <n v="8559"/>
    <n v="9"/>
    <n v="2"/>
  </r>
  <r>
    <m/>
    <s v="201109"/>
    <x v="3"/>
    <s v="97961919002001"/>
    <n v="-25.01"/>
    <n v="791"/>
    <n v="1"/>
    <n v="1"/>
  </r>
  <r>
    <m/>
    <m/>
    <x v="4"/>
    <m/>
    <n v="-25.01"/>
    <n v="791"/>
    <n v="1"/>
    <n v="1"/>
  </r>
  <r>
    <m/>
    <m/>
    <x v="5"/>
    <s v="45066141001001"/>
    <n v="-5.17"/>
    <n v="127"/>
    <n v="1"/>
    <n v="1"/>
  </r>
  <r>
    <m/>
    <m/>
    <x v="6"/>
    <m/>
    <n v="-5.17"/>
    <n v="127"/>
    <n v="1"/>
    <n v="1"/>
  </r>
  <r>
    <m/>
    <s v="201111"/>
    <x v="0"/>
    <s v="00387135001001"/>
    <n v="-45.31"/>
    <n v="2293"/>
    <n v="1"/>
    <n v="1"/>
  </r>
  <r>
    <m/>
    <m/>
    <x v="1"/>
    <s v="00756296002002"/>
    <n v="-2.06"/>
    <n v="104"/>
    <n v="1"/>
    <n v="1"/>
  </r>
  <r>
    <m/>
    <m/>
    <x v="1"/>
    <s v="01066485001001"/>
    <n v="-7.37"/>
    <n v="373"/>
    <n v="1"/>
    <n v="1"/>
  </r>
  <r>
    <m/>
    <m/>
    <x v="1"/>
    <s v="01423270002001"/>
    <n v="-2.67"/>
    <n v="135"/>
    <n v="1"/>
    <n v="1"/>
  </r>
  <r>
    <m/>
    <m/>
    <x v="1"/>
    <s v="01554676001002"/>
    <n v="-0.3"/>
    <n v="15"/>
    <n v="1"/>
    <n v="1"/>
  </r>
  <r>
    <m/>
    <m/>
    <x v="1"/>
    <s v="01734407003001"/>
    <n v="-5.87"/>
    <n v="297"/>
    <n v="1"/>
    <n v="1"/>
  </r>
  <r>
    <m/>
    <m/>
    <x v="1"/>
    <s v="01772343001001"/>
    <n v="-36.020000000000003"/>
    <n v="1823"/>
    <n v="1"/>
    <n v="1"/>
  </r>
  <r>
    <m/>
    <m/>
    <x v="1"/>
    <s v="01782458001001"/>
    <n v="-18.059999999999999"/>
    <n v="914"/>
    <n v="1"/>
    <n v="1"/>
  </r>
  <r>
    <m/>
    <m/>
    <x v="1"/>
    <s v="01883451001001"/>
    <n v="-5.55"/>
    <n v="281"/>
    <n v="1"/>
    <n v="1"/>
  </r>
  <r>
    <m/>
    <m/>
    <x v="1"/>
    <s v="01933876002003"/>
    <n v="-11.4"/>
    <n v="577"/>
    <n v="1"/>
    <n v="1"/>
  </r>
  <r>
    <m/>
    <m/>
    <x v="1"/>
    <s v="02201812001003"/>
    <n v="-0.81"/>
    <n v="41"/>
    <n v="1"/>
    <n v="1"/>
  </r>
  <r>
    <m/>
    <m/>
    <x v="1"/>
    <s v="02425825002002"/>
    <n v="-7.35"/>
    <n v="372"/>
    <n v="1"/>
    <n v="1"/>
  </r>
  <r>
    <m/>
    <m/>
    <x v="1"/>
    <s v="02653483001002"/>
    <n v="-11.5"/>
    <n v="582"/>
    <n v="1"/>
    <n v="1"/>
  </r>
  <r>
    <m/>
    <m/>
    <x v="1"/>
    <s v="02819214001007"/>
    <n v="-9.94"/>
    <n v="503"/>
    <n v="1"/>
    <n v="1"/>
  </r>
  <r>
    <m/>
    <m/>
    <x v="1"/>
    <s v="03505698001003"/>
    <n v="-15.55"/>
    <n v="787"/>
    <n v="1"/>
    <n v="1"/>
  </r>
  <r>
    <m/>
    <m/>
    <x v="1"/>
    <s v="04052496001003"/>
    <n v="-2.87"/>
    <n v="145"/>
    <n v="1"/>
    <n v="1"/>
  </r>
  <r>
    <m/>
    <m/>
    <x v="1"/>
    <s v="04454218002003"/>
    <n v="-0.65"/>
    <n v="33"/>
    <n v="1"/>
    <n v="1"/>
  </r>
  <r>
    <m/>
    <m/>
    <x v="1"/>
    <s v="04813613001001"/>
    <n v="-7.17"/>
    <n v="363"/>
    <n v="1"/>
    <n v="1"/>
  </r>
  <r>
    <m/>
    <m/>
    <x v="1"/>
    <s v="05105357001001"/>
    <n v="-0.85"/>
    <n v="43"/>
    <n v="1"/>
    <n v="1"/>
  </r>
  <r>
    <m/>
    <m/>
    <x v="1"/>
    <s v="05306126003005"/>
    <n v="-2.09"/>
    <n v="106"/>
    <n v="1"/>
    <n v="1"/>
  </r>
  <r>
    <m/>
    <m/>
    <x v="1"/>
    <s v="05589577002005"/>
    <n v="-7.71"/>
    <n v="390"/>
    <n v="1"/>
    <n v="1"/>
  </r>
  <r>
    <m/>
    <m/>
    <x v="1"/>
    <s v="05867332001001"/>
    <n v="-8.73"/>
    <n v="442"/>
    <n v="1"/>
    <n v="1"/>
  </r>
  <r>
    <m/>
    <m/>
    <x v="1"/>
    <s v="05955645001001"/>
    <n v="-1.44"/>
    <n v="73"/>
    <n v="1"/>
    <n v="1"/>
  </r>
  <r>
    <m/>
    <m/>
    <x v="1"/>
    <s v="06290405001001"/>
    <n v="-0.43"/>
    <n v="22"/>
    <n v="1"/>
    <n v="1"/>
  </r>
  <r>
    <m/>
    <m/>
    <x v="1"/>
    <s v="06477303002003"/>
    <n v="-34.01"/>
    <n v="1721"/>
    <n v="1"/>
    <n v="1"/>
  </r>
  <r>
    <m/>
    <m/>
    <x v="1"/>
    <s v="06507249001002"/>
    <n v="-1.74"/>
    <n v="88"/>
    <n v="1"/>
    <n v="1"/>
  </r>
  <r>
    <m/>
    <m/>
    <x v="1"/>
    <s v="06525325001005"/>
    <n v="-13.3"/>
    <n v="673"/>
    <n v="1"/>
    <n v="1"/>
  </r>
  <r>
    <m/>
    <m/>
    <x v="1"/>
    <s v="06751249001005"/>
    <n v="-19.66"/>
    <n v="995"/>
    <n v="1"/>
    <n v="1"/>
  </r>
  <r>
    <m/>
    <m/>
    <x v="1"/>
    <s v="06752272001001"/>
    <n v="-1.17"/>
    <n v="59"/>
    <n v="1"/>
    <n v="1"/>
  </r>
  <r>
    <m/>
    <m/>
    <x v="1"/>
    <s v="06910038001001"/>
    <n v="-2"/>
    <n v="101"/>
    <n v="1"/>
    <n v="1"/>
  </r>
  <r>
    <m/>
    <m/>
    <x v="1"/>
    <s v="06987704001003"/>
    <n v="-34.619999999999997"/>
    <n v="1752"/>
    <n v="1"/>
    <n v="1"/>
  </r>
  <r>
    <m/>
    <m/>
    <x v="1"/>
    <s v="07371395001001"/>
    <n v="-6.88"/>
    <n v="348"/>
    <n v="1"/>
    <n v="1"/>
  </r>
  <r>
    <m/>
    <m/>
    <x v="1"/>
    <s v="07792519004001"/>
    <n v="-0.99"/>
    <n v="50"/>
    <n v="1"/>
    <n v="1"/>
  </r>
  <r>
    <m/>
    <m/>
    <x v="1"/>
    <s v="07806495001002"/>
    <n v="-17.88"/>
    <n v="905"/>
    <n v="1"/>
    <n v="1"/>
  </r>
  <r>
    <m/>
    <m/>
    <x v="1"/>
    <s v="08205707001001"/>
    <n v="-19.38"/>
    <n v="981"/>
    <n v="1"/>
    <n v="1"/>
  </r>
  <r>
    <m/>
    <m/>
    <x v="1"/>
    <s v="08264904001001"/>
    <n v="-20.51"/>
    <n v="1038"/>
    <n v="1"/>
    <n v="1"/>
  </r>
  <r>
    <m/>
    <m/>
    <x v="1"/>
    <s v="08515494002001"/>
    <n v="-24.36"/>
    <n v="1233"/>
    <n v="1"/>
    <n v="1"/>
  </r>
  <r>
    <m/>
    <m/>
    <x v="1"/>
    <s v="08897151001004"/>
    <n v="-2.02"/>
    <n v="102"/>
    <n v="1"/>
    <n v="1"/>
  </r>
  <r>
    <m/>
    <m/>
    <x v="1"/>
    <s v="08932288001003"/>
    <n v="-0.4"/>
    <n v="20"/>
    <n v="1"/>
    <n v="1"/>
  </r>
  <r>
    <m/>
    <m/>
    <x v="1"/>
    <s v="09118704002001"/>
    <n v="-5.14"/>
    <n v="260"/>
    <n v="1"/>
    <n v="1"/>
  </r>
  <r>
    <m/>
    <m/>
    <x v="1"/>
    <s v="09136354002001"/>
    <n v="-2.21"/>
    <n v="112"/>
    <n v="1"/>
    <n v="1"/>
  </r>
  <r>
    <m/>
    <m/>
    <x v="1"/>
    <s v="09547488001001"/>
    <n v="-8.44"/>
    <n v="427"/>
    <n v="1"/>
    <n v="1"/>
  </r>
  <r>
    <m/>
    <m/>
    <x v="1"/>
    <s v="10153548001001"/>
    <n v="-15.14"/>
    <n v="766"/>
    <n v="1"/>
    <n v="1"/>
  </r>
  <r>
    <m/>
    <m/>
    <x v="1"/>
    <s v="10356260001001"/>
    <n v="-2.37"/>
    <n v="120"/>
    <n v="1"/>
    <n v="1"/>
  </r>
  <r>
    <m/>
    <m/>
    <x v="1"/>
    <s v="10532169002004"/>
    <n v="-4.68"/>
    <n v="237"/>
    <n v="1"/>
    <n v="1"/>
  </r>
  <r>
    <m/>
    <m/>
    <x v="1"/>
    <s v="11039539001001"/>
    <n v="-17.05"/>
    <n v="863"/>
    <n v="1"/>
    <n v="1"/>
  </r>
  <r>
    <m/>
    <m/>
    <x v="1"/>
    <s v="11296202003001"/>
    <n v="-10.14"/>
    <n v="513"/>
    <n v="1"/>
    <n v="1"/>
  </r>
  <r>
    <m/>
    <m/>
    <x v="1"/>
    <s v="11407277001001"/>
    <n v="-0.04"/>
    <n v="2"/>
    <n v="1"/>
    <n v="1"/>
  </r>
  <r>
    <m/>
    <m/>
    <x v="1"/>
    <s v="11611399001004"/>
    <n v="-0.65"/>
    <n v="33"/>
    <n v="1"/>
    <n v="1"/>
  </r>
  <r>
    <m/>
    <m/>
    <x v="1"/>
    <s v="11937030001007"/>
    <n v="-0.43"/>
    <n v="22"/>
    <n v="1"/>
    <n v="1"/>
  </r>
  <r>
    <m/>
    <m/>
    <x v="1"/>
    <s v="12112131001001"/>
    <n v="-15.69"/>
    <n v="794"/>
    <n v="1"/>
    <n v="1"/>
  </r>
  <r>
    <m/>
    <m/>
    <x v="1"/>
    <s v="12738579001003"/>
    <n v="-24.72"/>
    <n v="1251"/>
    <n v="1"/>
    <n v="1"/>
  </r>
  <r>
    <m/>
    <m/>
    <x v="1"/>
    <s v="13147069001001"/>
    <n v="-0.43"/>
    <n v="22"/>
    <n v="1"/>
    <n v="1"/>
  </r>
  <r>
    <m/>
    <m/>
    <x v="1"/>
    <s v="13571312002003"/>
    <n v="-0.02"/>
    <n v="1"/>
    <n v="1"/>
    <n v="1"/>
  </r>
  <r>
    <m/>
    <m/>
    <x v="1"/>
    <s v="13879891001006"/>
    <n v="-1.42"/>
    <n v="72"/>
    <n v="1"/>
    <n v="1"/>
  </r>
  <r>
    <m/>
    <m/>
    <x v="1"/>
    <s v="14623321001001"/>
    <n v="-13.5"/>
    <n v="683"/>
    <n v="1"/>
    <n v="1"/>
  </r>
  <r>
    <m/>
    <m/>
    <x v="1"/>
    <s v="14663014001002"/>
    <n v="-8.02"/>
    <n v="406"/>
    <n v="1"/>
    <n v="1"/>
  </r>
  <r>
    <m/>
    <m/>
    <x v="1"/>
    <s v="15035025001001"/>
    <n v="-30.35"/>
    <n v="1536"/>
    <n v="1"/>
    <n v="1"/>
  </r>
  <r>
    <m/>
    <m/>
    <x v="1"/>
    <s v="15335726001008"/>
    <n v="-0.02"/>
    <n v="1"/>
    <n v="1"/>
    <n v="1"/>
  </r>
  <r>
    <m/>
    <m/>
    <x v="1"/>
    <s v="15488061001002"/>
    <n v="-5.0199999999999996"/>
    <n v="254"/>
    <n v="1"/>
    <n v="1"/>
  </r>
  <r>
    <m/>
    <m/>
    <x v="1"/>
    <s v="15663563001002"/>
    <n v="-4.8"/>
    <n v="243"/>
    <n v="1"/>
    <n v="1"/>
  </r>
  <r>
    <m/>
    <m/>
    <x v="1"/>
    <s v="16309419001005"/>
    <n v="-0.12"/>
    <n v="6"/>
    <n v="1"/>
    <n v="1"/>
  </r>
  <r>
    <m/>
    <m/>
    <x v="1"/>
    <s v="16948935001002"/>
    <n v="-5.2"/>
    <n v="263"/>
    <n v="1"/>
    <n v="1"/>
  </r>
  <r>
    <m/>
    <m/>
    <x v="1"/>
    <s v="16965265001001"/>
    <n v="-28.65"/>
    <n v="1450"/>
    <n v="1"/>
    <n v="1"/>
  </r>
  <r>
    <m/>
    <m/>
    <x v="1"/>
    <s v="17078399001001"/>
    <n v="-1.7"/>
    <n v="86"/>
    <n v="1"/>
    <n v="1"/>
  </r>
  <r>
    <m/>
    <m/>
    <x v="1"/>
    <s v="17700255001003"/>
    <n v="-10.61"/>
    <n v="537"/>
    <n v="1"/>
    <n v="1"/>
  </r>
  <r>
    <m/>
    <m/>
    <x v="1"/>
    <s v="17915609001002"/>
    <n v="-14.5"/>
    <n v="734"/>
    <n v="1"/>
    <n v="1"/>
  </r>
  <r>
    <m/>
    <m/>
    <x v="1"/>
    <s v="17975956002001"/>
    <n v="-16.399999999999999"/>
    <n v="830"/>
    <n v="1"/>
    <n v="1"/>
  </r>
  <r>
    <m/>
    <m/>
    <x v="1"/>
    <s v="18165838001002"/>
    <n v="-0.85"/>
    <n v="43"/>
    <n v="1"/>
    <n v="1"/>
  </r>
  <r>
    <m/>
    <m/>
    <x v="1"/>
    <s v="18172453001003"/>
    <n v="-8.65"/>
    <n v="438"/>
    <n v="1"/>
    <n v="1"/>
  </r>
  <r>
    <m/>
    <m/>
    <x v="1"/>
    <s v="18303915001001"/>
    <n v="-1.0900000000000001"/>
    <n v="55"/>
    <n v="1"/>
    <n v="1"/>
  </r>
  <r>
    <m/>
    <m/>
    <x v="1"/>
    <s v="19248493001003"/>
    <n v="-2.37"/>
    <n v="120"/>
    <n v="1"/>
    <n v="1"/>
  </r>
  <r>
    <m/>
    <m/>
    <x v="1"/>
    <s v="19349491001001"/>
    <n v="-11.54"/>
    <n v="584"/>
    <n v="1"/>
    <n v="1"/>
  </r>
  <r>
    <m/>
    <m/>
    <x v="1"/>
    <s v="19508093004001"/>
    <n v="-5.18"/>
    <n v="262"/>
    <n v="1"/>
    <n v="1"/>
  </r>
  <r>
    <m/>
    <m/>
    <x v="1"/>
    <s v="19522787001001"/>
    <n v="-11.36"/>
    <n v="575"/>
    <n v="1"/>
    <n v="1"/>
  </r>
  <r>
    <m/>
    <m/>
    <x v="1"/>
    <s v="19938960001001"/>
    <n v="-1.05"/>
    <n v="53"/>
    <n v="1"/>
    <n v="1"/>
  </r>
  <r>
    <m/>
    <m/>
    <x v="1"/>
    <s v="20180113003001"/>
    <n v="-2.31"/>
    <n v="117"/>
    <n v="1"/>
    <n v="1"/>
  </r>
  <r>
    <m/>
    <m/>
    <x v="1"/>
    <s v="20263571001001"/>
    <n v="-9.6999999999999993"/>
    <n v="491"/>
    <n v="1"/>
    <n v="1"/>
  </r>
  <r>
    <m/>
    <m/>
    <x v="1"/>
    <s v="20449624001005"/>
    <n v="-11.38"/>
    <n v="576"/>
    <n v="1"/>
    <n v="1"/>
  </r>
  <r>
    <m/>
    <m/>
    <x v="1"/>
    <s v="20938987001003"/>
    <n v="-1.21"/>
    <n v="61"/>
    <n v="1"/>
    <n v="1"/>
  </r>
  <r>
    <m/>
    <m/>
    <x v="1"/>
    <s v="21504650001001"/>
    <n v="-6.76"/>
    <n v="342"/>
    <n v="1"/>
    <n v="1"/>
  </r>
  <r>
    <m/>
    <m/>
    <x v="1"/>
    <s v="22006059001003"/>
    <n v="-13.02"/>
    <n v="659"/>
    <n v="1"/>
    <n v="1"/>
  </r>
  <r>
    <m/>
    <m/>
    <x v="1"/>
    <s v="23072089004002"/>
    <n v="-0.91"/>
    <n v="46"/>
    <n v="1"/>
    <n v="1"/>
  </r>
  <r>
    <m/>
    <m/>
    <x v="1"/>
    <s v="23397291001002"/>
    <n v="-9.31"/>
    <n v="471"/>
    <n v="1"/>
    <n v="1"/>
  </r>
  <r>
    <m/>
    <m/>
    <x v="1"/>
    <s v="24046335006003"/>
    <n v="-5.0999999999999996"/>
    <n v="258"/>
    <n v="1"/>
    <n v="1"/>
  </r>
  <r>
    <m/>
    <m/>
    <x v="1"/>
    <s v="24117411001001"/>
    <n v="-3.75"/>
    <n v="190"/>
    <n v="1"/>
    <n v="1"/>
  </r>
  <r>
    <m/>
    <m/>
    <x v="1"/>
    <s v="24897958001003"/>
    <n v="-0.16"/>
    <n v="8"/>
    <n v="1"/>
    <n v="1"/>
  </r>
  <r>
    <m/>
    <m/>
    <x v="1"/>
    <s v="25616940003001"/>
    <n v="-6.11"/>
    <n v="309"/>
    <n v="1"/>
    <n v="1"/>
  </r>
  <r>
    <m/>
    <m/>
    <x v="1"/>
    <s v="25768900001001"/>
    <n v="-3.93"/>
    <n v="199"/>
    <n v="1"/>
    <n v="1"/>
  </r>
  <r>
    <m/>
    <m/>
    <x v="1"/>
    <s v="25839879001001"/>
    <n v="-29.88"/>
    <n v="1512"/>
    <n v="1"/>
    <n v="1"/>
  </r>
  <r>
    <m/>
    <m/>
    <x v="1"/>
    <s v="25934033002010"/>
    <n v="-6.66"/>
    <n v="337"/>
    <n v="1"/>
    <n v="1"/>
  </r>
  <r>
    <m/>
    <m/>
    <x v="1"/>
    <s v="26293541004003"/>
    <n v="-17.88"/>
    <n v="905"/>
    <n v="1"/>
    <n v="1"/>
  </r>
  <r>
    <m/>
    <m/>
    <x v="1"/>
    <s v="26366881002001"/>
    <n v="-3.68"/>
    <n v="186"/>
    <n v="1"/>
    <n v="1"/>
  </r>
  <r>
    <m/>
    <m/>
    <x v="1"/>
    <s v="26858584001001"/>
    <n v="-7.49"/>
    <n v="379"/>
    <n v="1"/>
    <n v="1"/>
  </r>
  <r>
    <m/>
    <m/>
    <x v="1"/>
    <s v="27353470003003"/>
    <n v="-1.86"/>
    <n v="94"/>
    <n v="1"/>
    <n v="1"/>
  </r>
  <r>
    <m/>
    <m/>
    <x v="1"/>
    <s v="27603609001001"/>
    <n v="-2.85"/>
    <n v="144"/>
    <n v="1"/>
    <n v="1"/>
  </r>
  <r>
    <m/>
    <m/>
    <x v="1"/>
    <s v="27696108001012"/>
    <n v="-35.29"/>
    <n v="1786"/>
    <n v="1"/>
    <n v="1"/>
  </r>
  <r>
    <m/>
    <m/>
    <x v="1"/>
    <s v="27991196001001"/>
    <n v="-10.220000000000001"/>
    <n v="517"/>
    <n v="1"/>
    <n v="1"/>
  </r>
  <r>
    <m/>
    <m/>
    <x v="1"/>
    <s v="28014351004008"/>
    <n v="-14.03"/>
    <n v="710"/>
    <n v="1"/>
    <n v="1"/>
  </r>
  <r>
    <m/>
    <m/>
    <x v="1"/>
    <s v="28252202004001"/>
    <n v="-0.56999999999999995"/>
    <n v="29"/>
    <n v="1"/>
    <n v="1"/>
  </r>
  <r>
    <m/>
    <m/>
    <x v="1"/>
    <s v="28282482001001"/>
    <n v="-5.0199999999999996"/>
    <n v="254"/>
    <n v="1"/>
    <n v="1"/>
  </r>
  <r>
    <m/>
    <m/>
    <x v="1"/>
    <s v="29195239002001"/>
    <n v="-40.409999999999997"/>
    <n v="2045"/>
    <n v="1"/>
    <n v="1"/>
  </r>
  <r>
    <m/>
    <m/>
    <x v="1"/>
    <s v="29197433001003"/>
    <n v="-10.79"/>
    <n v="546"/>
    <n v="1"/>
    <n v="1"/>
  </r>
  <r>
    <m/>
    <m/>
    <x v="1"/>
    <s v="29565242001001"/>
    <n v="-0.81"/>
    <n v="41"/>
    <n v="1"/>
    <n v="1"/>
  </r>
  <r>
    <m/>
    <m/>
    <x v="1"/>
    <s v="29907188001008"/>
    <n v="-10.02"/>
    <n v="507"/>
    <n v="1"/>
    <n v="1"/>
  </r>
  <r>
    <m/>
    <m/>
    <x v="1"/>
    <s v="29966739001002"/>
    <n v="-21.7"/>
    <n v="1098"/>
    <n v="1"/>
    <n v="1"/>
  </r>
  <r>
    <m/>
    <m/>
    <x v="1"/>
    <s v="30360605008001"/>
    <n v="-46.87"/>
    <n v="2372"/>
    <n v="1"/>
    <n v="1"/>
  </r>
  <r>
    <m/>
    <m/>
    <x v="1"/>
    <s v="30361706001001"/>
    <n v="-7.82"/>
    <n v="396"/>
    <n v="1"/>
    <n v="1"/>
  </r>
  <r>
    <m/>
    <m/>
    <x v="1"/>
    <s v="30618491001003"/>
    <n v="-35.69"/>
    <n v="1806"/>
    <n v="1"/>
    <n v="1"/>
  </r>
  <r>
    <m/>
    <m/>
    <x v="1"/>
    <s v="30842696001001"/>
    <n v="-2.4500000000000002"/>
    <n v="124"/>
    <n v="1"/>
    <n v="1"/>
  </r>
  <r>
    <m/>
    <m/>
    <x v="1"/>
    <s v="31016219002001"/>
    <n v="-1.17"/>
    <n v="59"/>
    <n v="1"/>
    <n v="1"/>
  </r>
  <r>
    <m/>
    <m/>
    <x v="1"/>
    <s v="31129585001008"/>
    <n v="-9.56"/>
    <n v="484"/>
    <n v="1"/>
    <n v="1"/>
  </r>
  <r>
    <m/>
    <m/>
    <x v="1"/>
    <s v="31135369004005"/>
    <n v="-1.34"/>
    <n v="68"/>
    <n v="1"/>
    <n v="1"/>
  </r>
  <r>
    <m/>
    <m/>
    <x v="1"/>
    <s v="31452473001001"/>
    <n v="-6.46"/>
    <n v="327"/>
    <n v="1"/>
    <n v="1"/>
  </r>
  <r>
    <m/>
    <m/>
    <x v="1"/>
    <s v="31590004001001"/>
    <n v="-7.09"/>
    <n v="359"/>
    <n v="1"/>
    <n v="1"/>
  </r>
  <r>
    <m/>
    <m/>
    <x v="1"/>
    <s v="32300637001002"/>
    <n v="-4.29"/>
    <n v="217"/>
    <n v="1"/>
    <n v="1"/>
  </r>
  <r>
    <m/>
    <m/>
    <x v="1"/>
    <s v="32517568004001"/>
    <n v="-5.55"/>
    <n v="281"/>
    <n v="1"/>
    <n v="1"/>
  </r>
  <r>
    <m/>
    <m/>
    <x v="1"/>
    <s v="32741260001001"/>
    <n v="-4.03"/>
    <n v="204"/>
    <n v="1"/>
    <n v="1"/>
  </r>
  <r>
    <m/>
    <m/>
    <x v="1"/>
    <s v="32759956001001"/>
    <n v="-1.66"/>
    <n v="84"/>
    <n v="1"/>
    <n v="1"/>
  </r>
  <r>
    <m/>
    <m/>
    <x v="1"/>
    <s v="32804453001009"/>
    <n v="-15.61"/>
    <n v="790"/>
    <n v="1"/>
    <n v="1"/>
  </r>
  <r>
    <m/>
    <m/>
    <x v="1"/>
    <s v="33383973002003"/>
    <n v="-14.09"/>
    <n v="713"/>
    <n v="1"/>
    <n v="1"/>
  </r>
  <r>
    <m/>
    <m/>
    <x v="1"/>
    <s v="33792679001001"/>
    <n v="-9.7200000000000006"/>
    <n v="492"/>
    <n v="1"/>
    <n v="1"/>
  </r>
  <r>
    <m/>
    <m/>
    <x v="1"/>
    <s v="33808192001001"/>
    <n v="-0.12"/>
    <n v="6"/>
    <n v="1"/>
    <n v="1"/>
  </r>
  <r>
    <m/>
    <m/>
    <x v="1"/>
    <s v="34088818001004"/>
    <n v="-11.92"/>
    <n v="603"/>
    <n v="1"/>
    <n v="1"/>
  </r>
  <r>
    <m/>
    <m/>
    <x v="1"/>
    <s v="34099616001006"/>
    <n v="-1.07"/>
    <n v="54"/>
    <n v="1"/>
    <n v="1"/>
  </r>
  <r>
    <m/>
    <m/>
    <x v="1"/>
    <s v="34758238001001"/>
    <n v="-0.47"/>
    <n v="24"/>
    <n v="1"/>
    <n v="1"/>
  </r>
  <r>
    <m/>
    <m/>
    <x v="1"/>
    <s v="34902092001003"/>
    <n v="-1.74"/>
    <n v="88"/>
    <n v="1"/>
    <n v="1"/>
  </r>
  <r>
    <m/>
    <m/>
    <x v="1"/>
    <s v="35345438001001"/>
    <n v="-0.53"/>
    <n v="27"/>
    <n v="1"/>
    <n v="1"/>
  </r>
  <r>
    <m/>
    <m/>
    <x v="1"/>
    <s v="35490120001003"/>
    <n v="-21.78"/>
    <n v="1102"/>
    <n v="1"/>
    <n v="1"/>
  </r>
  <r>
    <m/>
    <m/>
    <x v="1"/>
    <s v="36052702001001"/>
    <n v="-3.28"/>
    <n v="166"/>
    <n v="1"/>
    <n v="1"/>
  </r>
  <r>
    <m/>
    <m/>
    <x v="1"/>
    <s v="36145080002001"/>
    <n v="-0.53"/>
    <n v="27"/>
    <n v="1"/>
    <n v="1"/>
  </r>
  <r>
    <m/>
    <m/>
    <x v="1"/>
    <s v="36405191001001"/>
    <n v="-3.22"/>
    <n v="163"/>
    <n v="1"/>
    <n v="1"/>
  </r>
  <r>
    <m/>
    <m/>
    <x v="1"/>
    <s v="36459596001003"/>
    <n v="-0.04"/>
    <n v="2"/>
    <n v="1"/>
    <n v="1"/>
  </r>
  <r>
    <m/>
    <m/>
    <x v="1"/>
    <s v="36872264001001"/>
    <n v="-21.06"/>
    <n v="1066"/>
    <n v="1"/>
    <n v="1"/>
  </r>
  <r>
    <m/>
    <m/>
    <x v="1"/>
    <s v="37072302001005"/>
    <n v="-42.03"/>
    <n v="2127"/>
    <n v="1"/>
    <n v="1"/>
  </r>
  <r>
    <m/>
    <m/>
    <x v="1"/>
    <s v="37420592003001"/>
    <n v="-0.67"/>
    <n v="34"/>
    <n v="1"/>
    <n v="1"/>
  </r>
  <r>
    <m/>
    <m/>
    <x v="1"/>
    <s v="37463674001001"/>
    <n v="-1.07"/>
    <n v="54"/>
    <n v="1"/>
    <n v="1"/>
  </r>
  <r>
    <m/>
    <m/>
    <x v="1"/>
    <s v="37926637001001"/>
    <n v="-0.95"/>
    <n v="48"/>
    <n v="1"/>
    <n v="1"/>
  </r>
  <r>
    <m/>
    <m/>
    <x v="1"/>
    <s v="38030170001001"/>
    <n v="-14.96"/>
    <n v="757"/>
    <n v="1"/>
    <n v="1"/>
  </r>
  <r>
    <m/>
    <m/>
    <x v="1"/>
    <s v="38415558002003"/>
    <n v="-7.51"/>
    <n v="380"/>
    <n v="1"/>
    <n v="1"/>
  </r>
  <r>
    <m/>
    <m/>
    <x v="1"/>
    <s v="38517099001003"/>
    <n v="-1.94"/>
    <n v="98"/>
    <n v="1"/>
    <n v="1"/>
  </r>
  <r>
    <m/>
    <m/>
    <x v="1"/>
    <s v="38597136001002"/>
    <n v="-10.79"/>
    <n v="546"/>
    <n v="1"/>
    <n v="1"/>
  </r>
  <r>
    <m/>
    <m/>
    <x v="1"/>
    <s v="38666511001005"/>
    <n v="-9.82"/>
    <n v="497"/>
    <n v="1"/>
    <n v="1"/>
  </r>
  <r>
    <m/>
    <m/>
    <x v="1"/>
    <s v="38860694001003"/>
    <n v="-36.950000000000003"/>
    <n v="1870"/>
    <n v="1"/>
    <n v="1"/>
  </r>
  <r>
    <m/>
    <m/>
    <x v="1"/>
    <s v="39075374001002"/>
    <n v="-7.67"/>
    <n v="388"/>
    <n v="1"/>
    <n v="1"/>
  </r>
  <r>
    <m/>
    <m/>
    <x v="1"/>
    <s v="39458933001002"/>
    <n v="-1.17"/>
    <n v="59"/>
    <n v="1"/>
    <n v="1"/>
  </r>
  <r>
    <m/>
    <m/>
    <x v="1"/>
    <s v="39658784002001"/>
    <n v="-5.3"/>
    <n v="268"/>
    <n v="1"/>
    <n v="1"/>
  </r>
  <r>
    <m/>
    <m/>
    <x v="1"/>
    <s v="39662471001003"/>
    <n v="-1.23"/>
    <n v="62"/>
    <n v="1"/>
    <n v="1"/>
  </r>
  <r>
    <m/>
    <m/>
    <x v="1"/>
    <s v="39860007001003"/>
    <n v="-3.89"/>
    <n v="197"/>
    <n v="1"/>
    <n v="1"/>
  </r>
  <r>
    <m/>
    <m/>
    <x v="1"/>
    <s v="39954610002010"/>
    <n v="-2.13"/>
    <n v="108"/>
    <n v="1"/>
    <n v="1"/>
  </r>
  <r>
    <m/>
    <m/>
    <x v="1"/>
    <s v="40507964001001"/>
    <n v="-0.18"/>
    <n v="9"/>
    <n v="1"/>
    <n v="1"/>
  </r>
  <r>
    <m/>
    <m/>
    <x v="1"/>
    <s v="40602210001001"/>
    <n v="-14.25"/>
    <n v="721"/>
    <n v="1"/>
    <n v="1"/>
  </r>
  <r>
    <m/>
    <m/>
    <x v="1"/>
    <s v="41254471001004"/>
    <n v="-1.6"/>
    <n v="81"/>
    <n v="1"/>
    <n v="1"/>
  </r>
  <r>
    <m/>
    <m/>
    <x v="1"/>
    <s v="41528513001001"/>
    <n v="-10.039999999999999"/>
    <n v="508"/>
    <n v="1"/>
    <n v="1"/>
  </r>
  <r>
    <m/>
    <m/>
    <x v="1"/>
    <s v="41559231001001"/>
    <n v="-0.97"/>
    <n v="49"/>
    <n v="1"/>
    <n v="1"/>
  </r>
  <r>
    <m/>
    <m/>
    <x v="1"/>
    <s v="41938265001001"/>
    <n v="-3.22"/>
    <n v="163"/>
    <n v="1"/>
    <n v="1"/>
  </r>
  <r>
    <m/>
    <m/>
    <x v="1"/>
    <s v="42014470001005"/>
    <n v="-10.89"/>
    <n v="551"/>
    <n v="1"/>
    <n v="1"/>
  </r>
  <r>
    <m/>
    <m/>
    <x v="1"/>
    <s v="42234044003001"/>
    <n v="-26.54"/>
    <n v="1343"/>
    <n v="1"/>
    <n v="1"/>
  </r>
  <r>
    <m/>
    <m/>
    <x v="1"/>
    <s v="42528501001002"/>
    <n v="-0.67"/>
    <n v="34"/>
    <n v="1"/>
    <n v="1"/>
  </r>
  <r>
    <m/>
    <m/>
    <x v="1"/>
    <s v="42540401001001"/>
    <n v="-0.04"/>
    <n v="2"/>
    <n v="1"/>
    <n v="1"/>
  </r>
  <r>
    <m/>
    <m/>
    <x v="1"/>
    <s v="42579951001011"/>
    <n v="-0.3"/>
    <n v="15"/>
    <n v="1"/>
    <n v="1"/>
  </r>
  <r>
    <m/>
    <m/>
    <x v="1"/>
    <s v="42613341001001"/>
    <n v="-0.47"/>
    <n v="24"/>
    <n v="1"/>
    <n v="1"/>
  </r>
  <r>
    <m/>
    <m/>
    <x v="1"/>
    <s v="42620271001001"/>
    <n v="-1.9"/>
    <n v="96"/>
    <n v="1"/>
    <n v="1"/>
  </r>
  <r>
    <m/>
    <m/>
    <x v="1"/>
    <s v="42624051001002"/>
    <n v="-1.98"/>
    <n v="100"/>
    <n v="1"/>
    <n v="1"/>
  </r>
  <r>
    <m/>
    <m/>
    <x v="1"/>
    <s v="42659261001004"/>
    <n v="-0.85"/>
    <n v="43"/>
    <n v="1"/>
    <n v="1"/>
  </r>
  <r>
    <m/>
    <m/>
    <x v="1"/>
    <s v="42662971001011"/>
    <n v="-5.63"/>
    <n v="285"/>
    <n v="1"/>
    <n v="1"/>
  </r>
  <r>
    <m/>
    <m/>
    <x v="1"/>
    <s v="42725901002002"/>
    <n v="-5.53"/>
    <n v="280"/>
    <n v="1"/>
    <n v="1"/>
  </r>
  <r>
    <m/>
    <m/>
    <x v="1"/>
    <s v="42812881002001"/>
    <n v="-0.1"/>
    <n v="5"/>
    <n v="1"/>
    <n v="1"/>
  </r>
  <r>
    <m/>
    <m/>
    <x v="1"/>
    <s v="42851271004005"/>
    <n v="-7.35"/>
    <n v="372"/>
    <n v="1"/>
    <n v="1"/>
  </r>
  <r>
    <m/>
    <m/>
    <x v="1"/>
    <s v="42898451001001"/>
    <n v="-0.08"/>
    <n v="4"/>
    <n v="1"/>
    <n v="1"/>
  </r>
  <r>
    <m/>
    <m/>
    <x v="1"/>
    <s v="42926275001002"/>
    <n v="-35.25"/>
    <n v="1784"/>
    <n v="1"/>
    <n v="1"/>
  </r>
  <r>
    <m/>
    <m/>
    <x v="1"/>
    <s v="42954661002001"/>
    <n v="-2.69"/>
    <n v="136"/>
    <n v="1"/>
    <n v="1"/>
  </r>
  <r>
    <m/>
    <m/>
    <x v="1"/>
    <s v="42972301001006"/>
    <n v="-0.49"/>
    <n v="25"/>
    <n v="1"/>
    <n v="1"/>
  </r>
  <r>
    <m/>
    <m/>
    <x v="1"/>
    <s v="43045241001001"/>
    <n v="-0.02"/>
    <n v="1"/>
    <n v="1"/>
    <n v="1"/>
  </r>
  <r>
    <m/>
    <m/>
    <x v="1"/>
    <s v="43137151001001"/>
    <n v="-1.01"/>
    <n v="51"/>
    <n v="1"/>
    <n v="1"/>
  </r>
  <r>
    <m/>
    <m/>
    <x v="1"/>
    <s v="43192521002006"/>
    <n v="-0.22"/>
    <n v="11"/>
    <n v="1"/>
    <n v="1"/>
  </r>
  <r>
    <m/>
    <m/>
    <x v="1"/>
    <s v="43234101001001"/>
    <n v="-0.06"/>
    <n v="3"/>
    <n v="1"/>
    <n v="1"/>
  </r>
  <r>
    <m/>
    <m/>
    <x v="1"/>
    <s v="43267071001006"/>
    <n v="-5.08"/>
    <n v="257"/>
    <n v="1"/>
    <n v="1"/>
  </r>
  <r>
    <m/>
    <m/>
    <x v="1"/>
    <s v="43297591001002"/>
    <n v="-5.35"/>
    <n v="271"/>
    <n v="1"/>
    <n v="1"/>
  </r>
  <r>
    <m/>
    <m/>
    <x v="1"/>
    <s v="43333711001002"/>
    <n v="-0.14000000000000001"/>
    <n v="7"/>
    <n v="1"/>
    <n v="1"/>
  </r>
  <r>
    <m/>
    <m/>
    <x v="1"/>
    <s v="43363111001003"/>
    <n v="-8.89"/>
    <n v="450"/>
    <n v="1"/>
    <n v="1"/>
  </r>
  <r>
    <m/>
    <m/>
    <x v="1"/>
    <s v="43399301001003"/>
    <n v="-1.01"/>
    <n v="51"/>
    <n v="1"/>
    <n v="1"/>
  </r>
  <r>
    <m/>
    <m/>
    <x v="1"/>
    <s v="43399301001004"/>
    <n v="-4.68"/>
    <n v="237"/>
    <n v="1"/>
    <n v="1"/>
  </r>
  <r>
    <m/>
    <m/>
    <x v="1"/>
    <s v="43411551001012"/>
    <n v="-0.2"/>
    <n v="10"/>
    <n v="1"/>
    <n v="1"/>
  </r>
  <r>
    <m/>
    <m/>
    <x v="1"/>
    <s v="43629601001002"/>
    <n v="-8"/>
    <n v="405"/>
    <n v="1"/>
    <n v="1"/>
  </r>
  <r>
    <m/>
    <m/>
    <x v="1"/>
    <s v="43665824001003"/>
    <n v="-8.93"/>
    <n v="452"/>
    <n v="1"/>
    <n v="1"/>
  </r>
  <r>
    <m/>
    <m/>
    <x v="1"/>
    <s v="43692811001002"/>
    <n v="-9.94"/>
    <n v="503"/>
    <n v="1"/>
    <n v="1"/>
  </r>
  <r>
    <m/>
    <m/>
    <x v="1"/>
    <s v="43717941001003"/>
    <n v="-4.1900000000000004"/>
    <n v="212"/>
    <n v="1"/>
    <n v="1"/>
  </r>
  <r>
    <m/>
    <m/>
    <x v="1"/>
    <s v="43777301002001"/>
    <n v="-2.5499999999999998"/>
    <n v="129"/>
    <n v="1"/>
    <n v="1"/>
  </r>
  <r>
    <m/>
    <m/>
    <x v="1"/>
    <s v="43805161001001"/>
    <n v="-2.39"/>
    <n v="121"/>
    <n v="1"/>
    <n v="1"/>
  </r>
  <r>
    <m/>
    <m/>
    <x v="1"/>
    <s v="43822311002001"/>
    <n v="-2.11"/>
    <n v="107"/>
    <n v="1"/>
    <n v="1"/>
  </r>
  <r>
    <m/>
    <m/>
    <x v="1"/>
    <s v="43823991001001"/>
    <n v="-5.22"/>
    <n v="264"/>
    <n v="1"/>
    <n v="1"/>
  </r>
  <r>
    <m/>
    <m/>
    <x v="1"/>
    <s v="43829871002001"/>
    <n v="-6.2"/>
    <n v="314"/>
    <n v="1"/>
    <n v="1"/>
  </r>
  <r>
    <m/>
    <m/>
    <x v="1"/>
    <s v="43835420001001"/>
    <n v="-4.68"/>
    <n v="237"/>
    <n v="1"/>
    <n v="1"/>
  </r>
  <r>
    <m/>
    <m/>
    <x v="1"/>
    <s v="43865752001004"/>
    <n v="-0.06"/>
    <n v="3"/>
    <n v="1"/>
    <n v="1"/>
  </r>
  <r>
    <m/>
    <m/>
    <x v="1"/>
    <s v="43890421001006"/>
    <n v="-16.5"/>
    <n v="835"/>
    <n v="1"/>
    <n v="1"/>
  </r>
  <r>
    <m/>
    <m/>
    <x v="1"/>
    <s v="43901831002001"/>
    <n v="-9.07"/>
    <n v="459"/>
    <n v="1"/>
    <n v="1"/>
  </r>
  <r>
    <m/>
    <m/>
    <x v="1"/>
    <s v="43920871001009"/>
    <n v="-1.32"/>
    <n v="67"/>
    <n v="1"/>
    <n v="1"/>
  </r>
  <r>
    <m/>
    <m/>
    <x v="1"/>
    <s v="44032311001001"/>
    <n v="-4.1900000000000004"/>
    <n v="212"/>
    <n v="1"/>
    <n v="1"/>
  </r>
  <r>
    <m/>
    <m/>
    <x v="1"/>
    <s v="44114631002002"/>
    <n v="-23.28"/>
    <n v="1178"/>
    <n v="1"/>
    <n v="1"/>
  </r>
  <r>
    <m/>
    <m/>
    <x v="1"/>
    <s v="44225511001001"/>
    <n v="-8.1999999999999993"/>
    <n v="415"/>
    <n v="1"/>
    <n v="1"/>
  </r>
  <r>
    <m/>
    <m/>
    <x v="1"/>
    <s v="44254071001001"/>
    <n v="-6.9"/>
    <n v="349"/>
    <n v="1"/>
    <n v="1"/>
  </r>
  <r>
    <m/>
    <m/>
    <x v="1"/>
    <s v="44271711001001"/>
    <n v="-0.49"/>
    <n v="25"/>
    <n v="1"/>
    <n v="1"/>
  </r>
  <r>
    <m/>
    <m/>
    <x v="1"/>
    <s v="44275631001001"/>
    <n v="-7.84"/>
    <n v="397"/>
    <n v="1"/>
    <n v="1"/>
  </r>
  <r>
    <m/>
    <m/>
    <x v="1"/>
    <s v="44339401001001"/>
    <n v="-21.56"/>
    <n v="1091"/>
    <n v="1"/>
    <n v="1"/>
  </r>
  <r>
    <m/>
    <m/>
    <x v="1"/>
    <s v="44378391001002"/>
    <n v="-15.47"/>
    <n v="783"/>
    <n v="1"/>
    <n v="1"/>
  </r>
  <r>
    <m/>
    <m/>
    <x v="1"/>
    <s v="44387071001001"/>
    <n v="-3.06"/>
    <n v="155"/>
    <n v="1"/>
    <n v="1"/>
  </r>
  <r>
    <m/>
    <m/>
    <x v="1"/>
    <s v="44431101001001"/>
    <n v="-0.81"/>
    <n v="41"/>
    <n v="1"/>
    <n v="1"/>
  </r>
  <r>
    <m/>
    <m/>
    <x v="1"/>
    <s v="44432151001001"/>
    <n v="-0.22"/>
    <n v="11"/>
    <n v="1"/>
    <n v="1"/>
  </r>
  <r>
    <m/>
    <m/>
    <x v="1"/>
    <s v="44452381001001"/>
    <n v="-1.3"/>
    <n v="66"/>
    <n v="1"/>
    <n v="1"/>
  </r>
  <r>
    <m/>
    <m/>
    <x v="1"/>
    <s v="44480241001005"/>
    <n v="-15.97"/>
    <n v="808"/>
    <n v="1"/>
    <n v="1"/>
  </r>
  <r>
    <m/>
    <m/>
    <x v="1"/>
    <s v="44493681001004"/>
    <n v="-15.18"/>
    <n v="768"/>
    <n v="1"/>
    <n v="1"/>
  </r>
  <r>
    <m/>
    <m/>
    <x v="1"/>
    <s v="44519441001001"/>
    <n v="-3.77"/>
    <n v="191"/>
    <n v="1"/>
    <n v="1"/>
  </r>
  <r>
    <m/>
    <m/>
    <x v="1"/>
    <s v="44562771002001"/>
    <n v="-3.24"/>
    <n v="164"/>
    <n v="1"/>
    <n v="1"/>
  </r>
  <r>
    <m/>
    <m/>
    <x v="1"/>
    <s v="44580411001002"/>
    <n v="-2.9"/>
    <n v="147"/>
    <n v="1"/>
    <n v="1"/>
  </r>
  <r>
    <m/>
    <m/>
    <x v="1"/>
    <s v="44612044001005"/>
    <n v="-4.9800000000000004"/>
    <n v="252"/>
    <n v="1"/>
    <n v="1"/>
  </r>
  <r>
    <m/>
    <m/>
    <x v="1"/>
    <s v="44615761003001"/>
    <n v="-5"/>
    <n v="253"/>
    <n v="1"/>
    <n v="1"/>
  </r>
  <r>
    <m/>
    <m/>
    <x v="1"/>
    <s v="44636761001001"/>
    <n v="-3.81"/>
    <n v="193"/>
    <n v="1"/>
    <n v="1"/>
  </r>
  <r>
    <m/>
    <m/>
    <x v="1"/>
    <s v="44639981001001"/>
    <n v="-2.69"/>
    <n v="136"/>
    <n v="1"/>
    <n v="1"/>
  </r>
  <r>
    <m/>
    <m/>
    <x v="1"/>
    <s v="44702771001003"/>
    <n v="-1.96"/>
    <n v="99"/>
    <n v="1"/>
    <n v="1"/>
  </r>
  <r>
    <m/>
    <m/>
    <x v="1"/>
    <s v="44713691001003"/>
    <n v="-3.58"/>
    <n v="181"/>
    <n v="1"/>
    <n v="1"/>
  </r>
  <r>
    <m/>
    <m/>
    <x v="1"/>
    <s v="44713901001001"/>
    <n v="-12.19"/>
    <n v="617"/>
    <n v="1"/>
    <n v="1"/>
  </r>
  <r>
    <m/>
    <m/>
    <x v="1"/>
    <s v="44717961001001"/>
    <n v="-0.53"/>
    <n v="27"/>
    <n v="1"/>
    <n v="1"/>
  </r>
  <r>
    <m/>
    <m/>
    <x v="1"/>
    <s v="44719431001001"/>
    <n v="-4.29"/>
    <n v="217"/>
    <n v="1"/>
    <n v="1"/>
  </r>
  <r>
    <m/>
    <m/>
    <x v="1"/>
    <s v="44760031004001"/>
    <n v="-30.77"/>
    <n v="1557"/>
    <n v="1"/>
    <n v="1"/>
  </r>
  <r>
    <m/>
    <m/>
    <x v="1"/>
    <s v="44775991001002"/>
    <n v="-3.89"/>
    <n v="197"/>
    <n v="1"/>
    <n v="1"/>
  </r>
  <r>
    <m/>
    <m/>
    <x v="1"/>
    <s v="44797411005020"/>
    <n v="-16.760000000000002"/>
    <n v="848"/>
    <n v="1"/>
    <n v="1"/>
  </r>
  <r>
    <m/>
    <m/>
    <x v="1"/>
    <s v="44805881002002"/>
    <n v="-13.38"/>
    <n v="677"/>
    <n v="1"/>
    <n v="1"/>
  </r>
  <r>
    <m/>
    <m/>
    <x v="1"/>
    <s v="44846761001001"/>
    <n v="-12.59"/>
    <n v="637"/>
    <n v="1"/>
    <n v="1"/>
  </r>
  <r>
    <m/>
    <m/>
    <x v="1"/>
    <s v="44847951001001"/>
    <n v="-21.52"/>
    <n v="1089"/>
    <n v="1"/>
    <n v="1"/>
  </r>
  <r>
    <m/>
    <m/>
    <x v="1"/>
    <s v="44856771002005"/>
    <n v="-6.17"/>
    <n v="312"/>
    <n v="1"/>
    <n v="1"/>
  </r>
  <r>
    <m/>
    <m/>
    <x v="1"/>
    <s v="44861671002001"/>
    <n v="-3.95"/>
    <n v="200"/>
    <n v="1"/>
    <n v="1"/>
  </r>
  <r>
    <m/>
    <m/>
    <x v="1"/>
    <s v="44862161002001"/>
    <n v="-3.04"/>
    <n v="154"/>
    <n v="1"/>
    <n v="1"/>
  </r>
  <r>
    <m/>
    <m/>
    <x v="1"/>
    <s v="44882082003001"/>
    <n v="-11.26"/>
    <n v="570"/>
    <n v="1"/>
    <n v="1"/>
  </r>
  <r>
    <m/>
    <m/>
    <x v="1"/>
    <s v="44885681001001"/>
    <n v="-9.17"/>
    <n v="464"/>
    <n v="1"/>
    <n v="1"/>
  </r>
  <r>
    <m/>
    <m/>
    <x v="1"/>
    <s v="44905001001001"/>
    <n v="-8.73"/>
    <n v="442"/>
    <n v="1"/>
    <n v="1"/>
  </r>
  <r>
    <m/>
    <m/>
    <x v="1"/>
    <s v="44905701001001"/>
    <n v="-0.93"/>
    <n v="47"/>
    <n v="1"/>
    <n v="1"/>
  </r>
  <r>
    <m/>
    <m/>
    <x v="1"/>
    <s v="44908781005001"/>
    <n v="-6.13"/>
    <n v="310"/>
    <n v="1"/>
    <n v="1"/>
  </r>
  <r>
    <m/>
    <m/>
    <x v="1"/>
    <s v="44909201001001"/>
    <n v="-0.18"/>
    <n v="9"/>
    <n v="1"/>
    <n v="1"/>
  </r>
  <r>
    <m/>
    <m/>
    <x v="1"/>
    <s v="44955261001002"/>
    <n v="-7"/>
    <n v="354"/>
    <n v="1"/>
    <n v="1"/>
  </r>
  <r>
    <m/>
    <m/>
    <x v="1"/>
    <s v="44995231002001"/>
    <n v="-4.68"/>
    <n v="237"/>
    <n v="1"/>
    <n v="1"/>
  </r>
  <r>
    <m/>
    <m/>
    <x v="1"/>
    <s v="45022671002001"/>
    <n v="-11.11"/>
    <n v="562"/>
    <n v="1"/>
    <n v="1"/>
  </r>
  <r>
    <m/>
    <m/>
    <x v="1"/>
    <s v="45037931001001"/>
    <n v="-13.54"/>
    <n v="685"/>
    <n v="1"/>
    <n v="1"/>
  </r>
  <r>
    <m/>
    <m/>
    <x v="1"/>
    <s v="45049061001001"/>
    <n v="-13.75"/>
    <n v="696"/>
    <n v="1"/>
    <n v="1"/>
  </r>
  <r>
    <m/>
    <m/>
    <x v="1"/>
    <s v="45051091001001"/>
    <n v="-13.89"/>
    <n v="703"/>
    <n v="1"/>
    <n v="1"/>
  </r>
  <r>
    <m/>
    <m/>
    <x v="1"/>
    <s v="45060821001003"/>
    <n v="-8.26"/>
    <n v="418"/>
    <n v="1"/>
    <n v="1"/>
  </r>
  <r>
    <m/>
    <m/>
    <x v="1"/>
    <s v="45072511001002"/>
    <n v="-10.039999999999999"/>
    <n v="508"/>
    <n v="1"/>
    <n v="1"/>
  </r>
  <r>
    <m/>
    <m/>
    <x v="1"/>
    <s v="45076991001001"/>
    <n v="-8.8699999999999992"/>
    <n v="449"/>
    <n v="1"/>
    <n v="1"/>
  </r>
  <r>
    <m/>
    <m/>
    <x v="1"/>
    <s v="45126691002004"/>
    <n v="-13.67"/>
    <n v="692"/>
    <n v="1"/>
    <n v="1"/>
  </r>
  <r>
    <m/>
    <m/>
    <x v="1"/>
    <s v="45128721001001"/>
    <n v="-2.71"/>
    <n v="137"/>
    <n v="1"/>
    <n v="1"/>
  </r>
  <r>
    <m/>
    <m/>
    <x v="1"/>
    <s v="45130821001001"/>
    <n v="-2.9"/>
    <n v="147"/>
    <n v="1"/>
    <n v="1"/>
  </r>
  <r>
    <m/>
    <m/>
    <x v="1"/>
    <s v="45136421001001"/>
    <n v="-3.12"/>
    <n v="158"/>
    <n v="1"/>
    <n v="1"/>
  </r>
  <r>
    <m/>
    <m/>
    <x v="1"/>
    <s v="45259341001001"/>
    <n v="-0.22"/>
    <n v="11"/>
    <n v="1"/>
    <n v="1"/>
  </r>
  <r>
    <m/>
    <m/>
    <x v="1"/>
    <s v="45272991001001"/>
    <n v="-0.53"/>
    <n v="27"/>
    <n v="1"/>
    <n v="1"/>
  </r>
  <r>
    <m/>
    <m/>
    <x v="1"/>
    <s v="45290141001001"/>
    <n v="-1.72"/>
    <n v="87"/>
    <n v="1"/>
    <n v="1"/>
  </r>
  <r>
    <m/>
    <m/>
    <x v="1"/>
    <s v="45360911001001"/>
    <n v="-1.1499999999999999"/>
    <n v="58"/>
    <n v="1"/>
    <n v="1"/>
  </r>
  <r>
    <m/>
    <m/>
    <x v="1"/>
    <s v="45371411001001"/>
    <n v="-0.41"/>
    <n v="21"/>
    <n v="1"/>
    <n v="1"/>
  </r>
  <r>
    <m/>
    <m/>
    <x v="1"/>
    <s v="45384011001002"/>
    <n v="-4.8600000000000003"/>
    <n v="246"/>
    <n v="1"/>
    <n v="1"/>
  </r>
  <r>
    <m/>
    <m/>
    <x v="1"/>
    <s v="45401791001002"/>
    <n v="-20.37"/>
    <n v="1031"/>
    <n v="1"/>
    <n v="1"/>
  </r>
  <r>
    <m/>
    <m/>
    <x v="1"/>
    <s v="45406543001004"/>
    <n v="-0.12"/>
    <n v="6"/>
    <n v="1"/>
    <n v="1"/>
  </r>
  <r>
    <m/>
    <m/>
    <x v="1"/>
    <s v="45451631001001"/>
    <n v="-0.1"/>
    <n v="5"/>
    <n v="1"/>
    <n v="1"/>
  </r>
  <r>
    <m/>
    <m/>
    <x v="1"/>
    <s v="45478511001002"/>
    <n v="-5.0199999999999996"/>
    <n v="254"/>
    <n v="1"/>
    <n v="1"/>
  </r>
  <r>
    <m/>
    <m/>
    <x v="1"/>
    <s v="45487611001002"/>
    <n v="-10.16"/>
    <n v="514"/>
    <n v="1"/>
    <n v="1"/>
  </r>
  <r>
    <m/>
    <m/>
    <x v="1"/>
    <s v="45521841002001"/>
    <n v="-5.87"/>
    <n v="297"/>
    <n v="1"/>
    <n v="1"/>
  </r>
  <r>
    <m/>
    <m/>
    <x v="1"/>
    <s v="45524858001001"/>
    <n v="-19.920000000000002"/>
    <n v="1008"/>
    <n v="1"/>
    <n v="1"/>
  </r>
  <r>
    <m/>
    <m/>
    <x v="1"/>
    <s v="45526041001005"/>
    <n v="-0.06"/>
    <n v="3"/>
    <n v="1"/>
    <n v="1"/>
  </r>
  <r>
    <m/>
    <m/>
    <x v="1"/>
    <s v="45615361005001"/>
    <n v="-10.83"/>
    <n v="548"/>
    <n v="1"/>
    <n v="1"/>
  </r>
  <r>
    <m/>
    <m/>
    <x v="1"/>
    <s v="45662681001001"/>
    <n v="-1.64"/>
    <n v="83"/>
    <n v="1"/>
    <n v="1"/>
  </r>
  <r>
    <m/>
    <m/>
    <x v="1"/>
    <s v="45708595001003"/>
    <n v="-20.89"/>
    <n v="1057"/>
    <n v="1"/>
    <n v="1"/>
  </r>
  <r>
    <m/>
    <m/>
    <x v="1"/>
    <s v="45863581003010"/>
    <n v="-8.83"/>
    <n v="447"/>
    <n v="1"/>
    <n v="1"/>
  </r>
  <r>
    <m/>
    <m/>
    <x v="1"/>
    <s v="46000571001002"/>
    <n v="-46.65"/>
    <n v="2361"/>
    <n v="1"/>
    <n v="1"/>
  </r>
  <r>
    <m/>
    <m/>
    <x v="1"/>
    <s v="46005261001001"/>
    <n v="-18.850000000000001"/>
    <n v="954"/>
    <n v="1"/>
    <n v="1"/>
  </r>
  <r>
    <m/>
    <m/>
    <x v="1"/>
    <s v="46024168001001"/>
    <n v="-3.42"/>
    <n v="173"/>
    <n v="1"/>
    <n v="1"/>
  </r>
  <r>
    <m/>
    <m/>
    <x v="1"/>
    <s v="46040191001001"/>
    <n v="-0.79"/>
    <n v="40"/>
    <n v="1"/>
    <n v="1"/>
  </r>
  <r>
    <m/>
    <m/>
    <x v="1"/>
    <s v="46087791001001"/>
    <n v="-35.729999999999997"/>
    <n v="1808"/>
    <n v="1"/>
    <n v="1"/>
  </r>
  <r>
    <m/>
    <m/>
    <x v="1"/>
    <s v="46220091004001"/>
    <n v="-17.25"/>
    <n v="873"/>
    <n v="1"/>
    <n v="1"/>
  </r>
  <r>
    <m/>
    <m/>
    <x v="1"/>
    <s v="46227600003001"/>
    <n v="-6.2"/>
    <n v="314"/>
    <n v="1"/>
    <n v="1"/>
  </r>
  <r>
    <m/>
    <m/>
    <x v="1"/>
    <s v="46235281001001"/>
    <n v="-4.3099999999999996"/>
    <n v="218"/>
    <n v="1"/>
    <n v="1"/>
  </r>
  <r>
    <m/>
    <m/>
    <x v="1"/>
    <s v="46279171001001"/>
    <n v="-14.58"/>
    <n v="738"/>
    <n v="1"/>
    <n v="1"/>
  </r>
  <r>
    <m/>
    <m/>
    <x v="1"/>
    <s v="46289181004001"/>
    <n v="-22.86"/>
    <n v="1157"/>
    <n v="1"/>
    <n v="1"/>
  </r>
  <r>
    <m/>
    <m/>
    <x v="1"/>
    <s v="46327191003002"/>
    <n v="-3.48"/>
    <n v="176"/>
    <n v="1"/>
    <n v="1"/>
  </r>
  <r>
    <m/>
    <m/>
    <x v="1"/>
    <s v="46350571001003"/>
    <n v="-16.12"/>
    <n v="816"/>
    <n v="1"/>
    <n v="1"/>
  </r>
  <r>
    <m/>
    <m/>
    <x v="1"/>
    <s v="46361701013001"/>
    <n v="-20.83"/>
    <n v="1054"/>
    <n v="1"/>
    <n v="1"/>
  </r>
  <r>
    <m/>
    <m/>
    <x v="1"/>
    <s v="46363801003001"/>
    <n v="-33.549999999999997"/>
    <n v="1698"/>
    <n v="1"/>
    <n v="1"/>
  </r>
  <r>
    <m/>
    <m/>
    <x v="1"/>
    <s v="46392431004003"/>
    <n v="-9.64"/>
    <n v="488"/>
    <n v="1"/>
    <n v="1"/>
  </r>
  <r>
    <m/>
    <m/>
    <x v="1"/>
    <s v="46438351001002"/>
    <n v="-1.74"/>
    <n v="88"/>
    <n v="1"/>
    <n v="1"/>
  </r>
  <r>
    <m/>
    <m/>
    <x v="1"/>
    <s v="46459421003005"/>
    <n v="-9.43"/>
    <n v="477"/>
    <n v="1"/>
    <n v="1"/>
  </r>
  <r>
    <m/>
    <m/>
    <x v="1"/>
    <s v="46488681001003"/>
    <n v="-15.1"/>
    <n v="764"/>
    <n v="1"/>
    <n v="1"/>
  </r>
  <r>
    <m/>
    <m/>
    <x v="1"/>
    <s v="46595026001001"/>
    <n v="-0.75"/>
    <n v="38"/>
    <n v="1"/>
    <n v="1"/>
  </r>
  <r>
    <m/>
    <m/>
    <x v="1"/>
    <s v="46689301001005"/>
    <n v="-30.81"/>
    <n v="1559"/>
    <n v="1"/>
    <n v="1"/>
  </r>
  <r>
    <m/>
    <m/>
    <x v="1"/>
    <s v="46747261004011"/>
    <n v="-6.11"/>
    <n v="309"/>
    <n v="1"/>
    <n v="1"/>
  </r>
  <r>
    <m/>
    <m/>
    <x v="1"/>
    <s v="46748311001002"/>
    <n v="-38.53"/>
    <n v="1950"/>
    <n v="1"/>
    <n v="1"/>
  </r>
  <r>
    <m/>
    <m/>
    <x v="1"/>
    <s v="46767211003001"/>
    <n v="-14.07"/>
    <n v="712"/>
    <n v="1"/>
    <n v="1"/>
  </r>
  <r>
    <m/>
    <m/>
    <x v="1"/>
    <s v="46774841003005"/>
    <n v="-9.0500000000000007"/>
    <n v="458"/>
    <n v="1"/>
    <n v="1"/>
  </r>
  <r>
    <m/>
    <m/>
    <x v="1"/>
    <s v="46786251002001"/>
    <n v="-10.55"/>
    <n v="534"/>
    <n v="1"/>
    <n v="1"/>
  </r>
  <r>
    <m/>
    <m/>
    <x v="1"/>
    <s v="46791361001012"/>
    <n v="-3.46"/>
    <n v="175"/>
    <n v="1"/>
    <n v="1"/>
  </r>
  <r>
    <m/>
    <m/>
    <x v="1"/>
    <s v="46795071001004"/>
    <n v="-38"/>
    <n v="1923"/>
    <n v="1"/>
    <n v="1"/>
  </r>
  <r>
    <m/>
    <m/>
    <x v="1"/>
    <s v="46836751001001"/>
    <n v="-22.07"/>
    <n v="1117"/>
    <n v="1"/>
    <n v="1"/>
  </r>
  <r>
    <m/>
    <m/>
    <x v="1"/>
    <s v="46839241002001"/>
    <n v="-9.2899999999999991"/>
    <n v="470"/>
    <n v="1"/>
    <n v="1"/>
  </r>
  <r>
    <m/>
    <m/>
    <x v="1"/>
    <s v="46866331001002"/>
    <n v="-18.850000000000001"/>
    <n v="954"/>
    <n v="1"/>
    <n v="1"/>
  </r>
  <r>
    <m/>
    <m/>
    <x v="1"/>
    <s v="46933740002003"/>
    <n v="-15.89"/>
    <n v="804"/>
    <n v="1"/>
    <n v="1"/>
  </r>
  <r>
    <m/>
    <m/>
    <x v="1"/>
    <s v="47139891001002"/>
    <n v="-8.5"/>
    <n v="430"/>
    <n v="1"/>
    <n v="1"/>
  </r>
  <r>
    <m/>
    <m/>
    <x v="1"/>
    <s v="47180631003001"/>
    <n v="-0.51"/>
    <n v="26"/>
    <n v="1"/>
    <n v="1"/>
  </r>
  <r>
    <m/>
    <m/>
    <x v="1"/>
    <s v="47244331002001"/>
    <n v="-2.21"/>
    <n v="112"/>
    <n v="1"/>
    <n v="1"/>
  </r>
  <r>
    <m/>
    <m/>
    <x v="1"/>
    <s v="47256425001001"/>
    <n v="-15.2"/>
    <n v="769"/>
    <n v="1"/>
    <n v="1"/>
  </r>
  <r>
    <m/>
    <m/>
    <x v="1"/>
    <s v="47282621001001"/>
    <n v="-1.74"/>
    <n v="88"/>
    <n v="1"/>
    <n v="1"/>
  </r>
  <r>
    <m/>
    <m/>
    <x v="1"/>
    <s v="47323011001001"/>
    <n v="-0.85"/>
    <n v="43"/>
    <n v="1"/>
    <n v="1"/>
  </r>
  <r>
    <m/>
    <m/>
    <x v="1"/>
    <s v="47326848001001"/>
    <n v="-0.22"/>
    <n v="11"/>
    <n v="1"/>
    <n v="1"/>
  </r>
  <r>
    <m/>
    <m/>
    <x v="1"/>
    <s v="47345831001004"/>
    <n v="-0.49"/>
    <n v="25"/>
    <n v="1"/>
    <n v="1"/>
  </r>
  <r>
    <m/>
    <m/>
    <x v="1"/>
    <s v="47379221001002"/>
    <n v="-1.44"/>
    <n v="73"/>
    <n v="1"/>
    <n v="1"/>
  </r>
  <r>
    <m/>
    <m/>
    <x v="1"/>
    <s v="47382161001005"/>
    <n v="-14.15"/>
    <n v="716"/>
    <n v="1"/>
    <n v="1"/>
  </r>
  <r>
    <m/>
    <m/>
    <x v="1"/>
    <s v="47445167002001"/>
    <n v="-7.51"/>
    <n v="380"/>
    <n v="1"/>
    <n v="1"/>
  </r>
  <r>
    <m/>
    <m/>
    <x v="1"/>
    <s v="47494974001015"/>
    <n v="-30.45"/>
    <n v="1541"/>
    <n v="1"/>
    <n v="1"/>
  </r>
  <r>
    <m/>
    <m/>
    <x v="1"/>
    <s v="47541901001001"/>
    <n v="-5.95"/>
    <n v="301"/>
    <n v="1"/>
    <n v="1"/>
  </r>
  <r>
    <m/>
    <m/>
    <x v="1"/>
    <s v="47555411002001"/>
    <n v="-6.3"/>
    <n v="319"/>
    <n v="1"/>
    <n v="1"/>
  </r>
  <r>
    <m/>
    <m/>
    <x v="1"/>
    <s v="47557441001002"/>
    <n v="-13.26"/>
    <n v="671"/>
    <n v="1"/>
    <n v="1"/>
  </r>
  <r>
    <m/>
    <m/>
    <x v="1"/>
    <s v="47558607001001"/>
    <n v="-20.02"/>
    <n v="1013"/>
    <n v="1"/>
    <n v="1"/>
  </r>
  <r>
    <m/>
    <m/>
    <x v="1"/>
    <s v="47651311002005"/>
    <n v="-7.35"/>
    <n v="372"/>
    <n v="1"/>
    <n v="1"/>
  </r>
  <r>
    <m/>
    <m/>
    <x v="1"/>
    <s v="47671401001005"/>
    <n v="-23.24"/>
    <n v="1176"/>
    <n v="1"/>
    <n v="1"/>
  </r>
  <r>
    <m/>
    <m/>
    <x v="1"/>
    <s v="47675111001001"/>
    <n v="-10.55"/>
    <n v="534"/>
    <n v="1"/>
    <n v="1"/>
  </r>
  <r>
    <m/>
    <m/>
    <x v="1"/>
    <s v="47696251001001"/>
    <n v="-12.25"/>
    <n v="620"/>
    <n v="1"/>
    <n v="1"/>
  </r>
  <r>
    <m/>
    <m/>
    <x v="1"/>
    <s v="47755961001002"/>
    <n v="-20.04"/>
    <n v="1014"/>
    <n v="1"/>
    <n v="1"/>
  </r>
  <r>
    <m/>
    <m/>
    <x v="1"/>
    <s v="47774371002002"/>
    <n v="-9.5399999999999991"/>
    <n v="483"/>
    <n v="1"/>
    <n v="1"/>
  </r>
  <r>
    <m/>
    <m/>
    <x v="1"/>
    <s v="47798305005009"/>
    <n v="-14.25"/>
    <n v="721"/>
    <n v="1"/>
    <n v="1"/>
  </r>
  <r>
    <m/>
    <m/>
    <x v="1"/>
    <s v="47842700001003"/>
    <n v="-4.3099999999999996"/>
    <n v="218"/>
    <n v="1"/>
    <n v="1"/>
  </r>
  <r>
    <m/>
    <m/>
    <x v="1"/>
    <s v="47849621001003"/>
    <n v="-7.92"/>
    <n v="401"/>
    <n v="1"/>
    <n v="1"/>
  </r>
  <r>
    <m/>
    <m/>
    <x v="1"/>
    <s v="47876291003003"/>
    <n v="-0.89"/>
    <n v="45"/>
    <n v="1"/>
    <n v="1"/>
  </r>
  <r>
    <m/>
    <m/>
    <x v="1"/>
    <s v="47902401001001"/>
    <n v="-10.63"/>
    <n v="538"/>
    <n v="1"/>
    <n v="1"/>
  </r>
  <r>
    <m/>
    <m/>
    <x v="1"/>
    <s v="47907721006005"/>
    <n v="-1.7"/>
    <n v="86"/>
    <n v="1"/>
    <n v="1"/>
  </r>
  <r>
    <m/>
    <m/>
    <x v="1"/>
    <s v="47907721006007"/>
    <n v="-4.54"/>
    <n v="230"/>
    <n v="1"/>
    <n v="1"/>
  </r>
  <r>
    <m/>
    <m/>
    <x v="1"/>
    <s v="47930051002001"/>
    <n v="-2.71"/>
    <n v="137"/>
    <n v="1"/>
    <n v="1"/>
  </r>
  <r>
    <m/>
    <m/>
    <x v="1"/>
    <s v="47944401002002"/>
    <n v="-6.66"/>
    <n v="337"/>
    <n v="1"/>
    <n v="1"/>
  </r>
  <r>
    <m/>
    <m/>
    <x v="1"/>
    <s v="47950841001006"/>
    <n v="-22.74"/>
    <n v="1151"/>
    <n v="1"/>
    <n v="1"/>
  </r>
  <r>
    <m/>
    <m/>
    <x v="1"/>
    <s v="47977511001001"/>
    <n v="-18.97"/>
    <n v="960"/>
    <n v="1"/>
    <n v="1"/>
  </r>
  <r>
    <m/>
    <m/>
    <x v="1"/>
    <s v="48048211001001"/>
    <n v="-7.71"/>
    <n v="390"/>
    <n v="1"/>
    <n v="1"/>
  </r>
  <r>
    <m/>
    <m/>
    <x v="1"/>
    <s v="48055981001001"/>
    <n v="-3.46"/>
    <n v="175"/>
    <n v="1"/>
    <n v="1"/>
  </r>
  <r>
    <m/>
    <m/>
    <x v="1"/>
    <s v="48058431001001"/>
    <n v="-6.94"/>
    <n v="351"/>
    <n v="1"/>
    <n v="1"/>
  </r>
  <r>
    <m/>
    <m/>
    <x v="1"/>
    <s v="48098261002004"/>
    <n v="-4.5999999999999996"/>
    <n v="233"/>
    <n v="1"/>
    <n v="1"/>
  </r>
  <r>
    <m/>
    <m/>
    <x v="1"/>
    <s v="48218278001003"/>
    <n v="-19.84"/>
    <n v="1004"/>
    <n v="1"/>
    <n v="1"/>
  </r>
  <r>
    <m/>
    <m/>
    <x v="1"/>
    <s v="48266891004001"/>
    <n v="-12.35"/>
    <n v="625"/>
    <n v="1"/>
    <n v="1"/>
  </r>
  <r>
    <m/>
    <m/>
    <x v="1"/>
    <s v="48326391001002"/>
    <n v="-5.45"/>
    <n v="276"/>
    <n v="1"/>
    <n v="1"/>
  </r>
  <r>
    <m/>
    <m/>
    <x v="1"/>
    <s v="48367307001003"/>
    <n v="-1.1299999999999999"/>
    <n v="57"/>
    <n v="1"/>
    <n v="1"/>
  </r>
  <r>
    <m/>
    <m/>
    <x v="1"/>
    <s v="48488730001001"/>
    <n v="-25.83"/>
    <n v="1307"/>
    <n v="1"/>
    <n v="1"/>
  </r>
  <r>
    <m/>
    <m/>
    <x v="1"/>
    <s v="48516511001001"/>
    <n v="-6.09"/>
    <n v="308"/>
    <n v="1"/>
    <n v="1"/>
  </r>
  <r>
    <m/>
    <m/>
    <x v="1"/>
    <s v="48622948001002"/>
    <n v="-3.85"/>
    <n v="195"/>
    <n v="1"/>
    <n v="1"/>
  </r>
  <r>
    <m/>
    <m/>
    <x v="1"/>
    <s v="48681659001003"/>
    <n v="-0.34"/>
    <n v="17"/>
    <n v="1"/>
    <n v="1"/>
  </r>
  <r>
    <m/>
    <m/>
    <x v="1"/>
    <s v="48684021001001"/>
    <n v="-10.89"/>
    <n v="551"/>
    <n v="1"/>
    <n v="1"/>
  </r>
  <r>
    <m/>
    <m/>
    <x v="1"/>
    <s v="48802881001001"/>
    <n v="-13.04"/>
    <n v="660"/>
    <n v="1"/>
    <n v="1"/>
  </r>
  <r>
    <m/>
    <m/>
    <x v="1"/>
    <s v="48985511001001"/>
    <n v="-43.91"/>
    <n v="2222"/>
    <n v="1"/>
    <n v="1"/>
  </r>
  <r>
    <m/>
    <m/>
    <x v="1"/>
    <s v="49078891001002"/>
    <n v="-0.08"/>
    <n v="4"/>
    <n v="1"/>
    <n v="1"/>
  </r>
  <r>
    <m/>
    <m/>
    <x v="1"/>
    <s v="49254521001002"/>
    <n v="-5.53"/>
    <n v="280"/>
    <n v="1"/>
    <n v="1"/>
  </r>
  <r>
    <m/>
    <m/>
    <x v="1"/>
    <s v="49277102003001"/>
    <n v="-5.53"/>
    <n v="280"/>
    <n v="1"/>
    <n v="1"/>
  </r>
  <r>
    <m/>
    <m/>
    <x v="1"/>
    <s v="49301721001001"/>
    <n v="-7.53"/>
    <n v="381"/>
    <n v="1"/>
    <n v="1"/>
  </r>
  <r>
    <m/>
    <m/>
    <x v="1"/>
    <s v="49365331001001"/>
    <n v="-32.520000000000003"/>
    <n v="1646"/>
    <n v="1"/>
    <n v="1"/>
  </r>
  <r>
    <m/>
    <m/>
    <x v="1"/>
    <s v="49393121003003"/>
    <n v="-0.56999999999999995"/>
    <n v="29"/>
    <n v="1"/>
    <n v="1"/>
  </r>
  <r>
    <m/>
    <m/>
    <x v="1"/>
    <s v="49399211004004"/>
    <n v="-1.36"/>
    <n v="69"/>
    <n v="1"/>
    <n v="1"/>
  </r>
  <r>
    <m/>
    <m/>
    <x v="1"/>
    <s v="49419650001003"/>
    <n v="-21.06"/>
    <n v="1066"/>
    <n v="1"/>
    <n v="1"/>
  </r>
  <r>
    <m/>
    <m/>
    <x v="1"/>
    <s v="49422279001002"/>
    <n v="-2.4900000000000002"/>
    <n v="126"/>
    <n v="1"/>
    <n v="1"/>
  </r>
  <r>
    <m/>
    <m/>
    <x v="1"/>
    <s v="49429043003003"/>
    <n v="-31.38"/>
    <n v="1588"/>
    <n v="1"/>
    <n v="1"/>
  </r>
  <r>
    <m/>
    <m/>
    <x v="1"/>
    <s v="49469981001001"/>
    <n v="-1.74"/>
    <n v="88"/>
    <n v="1"/>
    <n v="1"/>
  </r>
  <r>
    <m/>
    <m/>
    <x v="1"/>
    <s v="49473341001001"/>
    <n v="-2.15"/>
    <n v="109"/>
    <n v="1"/>
    <n v="1"/>
  </r>
  <r>
    <m/>
    <m/>
    <x v="1"/>
    <s v="49494020001001"/>
    <n v="-8.2799999999999994"/>
    <n v="419"/>
    <n v="1"/>
    <n v="1"/>
  </r>
  <r>
    <m/>
    <m/>
    <x v="1"/>
    <s v="49496682001005"/>
    <n v="-0.59"/>
    <n v="30"/>
    <n v="1"/>
    <n v="1"/>
  </r>
  <r>
    <m/>
    <m/>
    <x v="1"/>
    <s v="49565145002005"/>
    <n v="-27.86"/>
    <n v="1410"/>
    <n v="1"/>
    <n v="1"/>
  </r>
  <r>
    <m/>
    <m/>
    <x v="1"/>
    <s v="49577991001002"/>
    <n v="-6.18"/>
    <n v="313"/>
    <n v="1"/>
    <n v="1"/>
  </r>
  <r>
    <m/>
    <m/>
    <x v="1"/>
    <s v="49577991001003"/>
    <n v="-4.68"/>
    <n v="237"/>
    <n v="1"/>
    <n v="1"/>
  </r>
  <r>
    <m/>
    <m/>
    <x v="1"/>
    <s v="49591431001003"/>
    <n v="-8.16"/>
    <n v="413"/>
    <n v="1"/>
    <n v="1"/>
  </r>
  <r>
    <m/>
    <m/>
    <x v="1"/>
    <s v="49603891001006"/>
    <n v="-12.39"/>
    <n v="627"/>
    <n v="1"/>
    <n v="1"/>
  </r>
  <r>
    <m/>
    <m/>
    <x v="1"/>
    <s v="49606131001005"/>
    <n v="-7.53"/>
    <n v="381"/>
    <n v="1"/>
    <n v="1"/>
  </r>
  <r>
    <m/>
    <m/>
    <x v="1"/>
    <s v="49606271002004"/>
    <n v="-29.78"/>
    <n v="1507"/>
    <n v="1"/>
    <n v="1"/>
  </r>
  <r>
    <m/>
    <m/>
    <x v="1"/>
    <s v="49608381001001"/>
    <n v="-1.1299999999999999"/>
    <n v="57"/>
    <n v="1"/>
    <n v="1"/>
  </r>
  <r>
    <m/>
    <m/>
    <x v="1"/>
    <s v="49617249001009"/>
    <n v="-0.69"/>
    <n v="35"/>
    <n v="1"/>
    <n v="1"/>
  </r>
  <r>
    <m/>
    <m/>
    <x v="1"/>
    <s v="49640846002001"/>
    <n v="-0.83"/>
    <n v="42"/>
    <n v="1"/>
    <n v="1"/>
  </r>
  <r>
    <m/>
    <m/>
    <x v="1"/>
    <s v="49656951001001"/>
    <n v="-33.39"/>
    <n v="1690"/>
    <n v="1"/>
    <n v="1"/>
  </r>
  <r>
    <m/>
    <m/>
    <x v="1"/>
    <s v="49743471001001"/>
    <n v="-10.18"/>
    <n v="515"/>
    <n v="1"/>
    <n v="1"/>
  </r>
  <r>
    <m/>
    <m/>
    <x v="1"/>
    <s v="49774436001006"/>
    <n v="-5.22"/>
    <n v="264"/>
    <n v="1"/>
    <n v="1"/>
  </r>
  <r>
    <m/>
    <m/>
    <x v="1"/>
    <s v="49950881001002"/>
    <n v="-2.21"/>
    <n v="112"/>
    <n v="1"/>
    <n v="1"/>
  </r>
  <r>
    <m/>
    <m/>
    <x v="1"/>
    <s v="49975801002002"/>
    <n v="-31.56"/>
    <n v="1597"/>
    <n v="1"/>
    <n v="1"/>
  </r>
  <r>
    <m/>
    <m/>
    <x v="1"/>
    <s v="49994841002002"/>
    <n v="-14.82"/>
    <n v="750"/>
    <n v="1"/>
    <n v="1"/>
  </r>
  <r>
    <m/>
    <m/>
    <x v="1"/>
    <s v="50034391001002"/>
    <n v="-3.1"/>
    <n v="157"/>
    <n v="1"/>
    <n v="1"/>
  </r>
  <r>
    <m/>
    <m/>
    <x v="1"/>
    <s v="50072891002002"/>
    <n v="-24.23"/>
    <n v="1226"/>
    <n v="1"/>
    <n v="1"/>
  </r>
  <r>
    <m/>
    <m/>
    <x v="1"/>
    <s v="50315231001002"/>
    <n v="-2.19"/>
    <n v="111"/>
    <n v="1"/>
    <n v="1"/>
  </r>
  <r>
    <m/>
    <m/>
    <x v="1"/>
    <s v="50379561001003"/>
    <n v="-7.15"/>
    <n v="362"/>
    <n v="1"/>
    <n v="1"/>
  </r>
  <r>
    <m/>
    <m/>
    <x v="1"/>
    <s v="50421211005001"/>
    <n v="-10.65"/>
    <n v="539"/>
    <n v="1"/>
    <n v="1"/>
  </r>
  <r>
    <m/>
    <m/>
    <x v="1"/>
    <s v="50450191002001"/>
    <n v="-38.51"/>
    <n v="1949"/>
    <n v="1"/>
    <n v="1"/>
  </r>
  <r>
    <m/>
    <m/>
    <x v="1"/>
    <s v="50492401002001"/>
    <n v="-0.45"/>
    <n v="23"/>
    <n v="1"/>
    <n v="1"/>
  </r>
  <r>
    <m/>
    <m/>
    <x v="1"/>
    <s v="50499961001001"/>
    <n v="-0.53"/>
    <n v="27"/>
    <n v="1"/>
    <n v="1"/>
  </r>
  <r>
    <m/>
    <m/>
    <x v="1"/>
    <s v="50539651002001"/>
    <n v="-0.49"/>
    <n v="25"/>
    <n v="1"/>
    <n v="1"/>
  </r>
  <r>
    <m/>
    <m/>
    <x v="1"/>
    <s v="50556031001003"/>
    <n v="-22.13"/>
    <n v="1120"/>
    <n v="1"/>
    <n v="1"/>
  </r>
  <r>
    <m/>
    <m/>
    <x v="1"/>
    <s v="50587853001001"/>
    <n v="-11.12"/>
    <n v="563"/>
    <n v="1"/>
    <n v="1"/>
  </r>
  <r>
    <m/>
    <m/>
    <x v="1"/>
    <s v="50652701001002"/>
    <n v="-0.73"/>
    <n v="37"/>
    <n v="1"/>
    <n v="1"/>
  </r>
  <r>
    <m/>
    <m/>
    <x v="1"/>
    <s v="50658581001002"/>
    <n v="-1.38"/>
    <n v="70"/>
    <n v="1"/>
    <n v="1"/>
  </r>
  <r>
    <m/>
    <m/>
    <x v="1"/>
    <s v="50704851001003"/>
    <n v="-0.22"/>
    <n v="11"/>
    <n v="1"/>
    <n v="1"/>
  </r>
  <r>
    <m/>
    <m/>
    <x v="1"/>
    <s v="50707351001003"/>
    <n v="-45.43"/>
    <n v="2299"/>
    <n v="1"/>
    <n v="1"/>
  </r>
  <r>
    <m/>
    <m/>
    <x v="1"/>
    <s v="50727391001001"/>
    <n v="-13.87"/>
    <n v="702"/>
    <n v="1"/>
    <n v="1"/>
  </r>
  <r>
    <m/>
    <m/>
    <x v="1"/>
    <s v="50733481003001"/>
    <n v="-37.35"/>
    <n v="1890"/>
    <n v="1"/>
    <n v="1"/>
  </r>
  <r>
    <m/>
    <m/>
    <x v="1"/>
    <s v="50774501001001"/>
    <n v="-12.43"/>
    <n v="629"/>
    <n v="1"/>
    <n v="1"/>
  </r>
  <r>
    <m/>
    <m/>
    <x v="1"/>
    <s v="50780101002003"/>
    <n v="-2.71"/>
    <n v="137"/>
    <n v="1"/>
    <n v="1"/>
  </r>
  <r>
    <m/>
    <m/>
    <x v="1"/>
    <s v="50808661003002"/>
    <n v="-6.05"/>
    <n v="306"/>
    <n v="1"/>
    <n v="1"/>
  </r>
  <r>
    <m/>
    <m/>
    <x v="1"/>
    <s v="50814821008001"/>
    <n v="-12.09"/>
    <n v="612"/>
    <n v="1"/>
    <n v="1"/>
  </r>
  <r>
    <m/>
    <m/>
    <x v="1"/>
    <s v="50835751002001"/>
    <n v="-30.11"/>
    <n v="1524"/>
    <n v="1"/>
    <n v="1"/>
  </r>
  <r>
    <m/>
    <m/>
    <x v="1"/>
    <s v="50839041003008"/>
    <n v="-33.22"/>
    <n v="1681"/>
    <n v="1"/>
    <n v="1"/>
  </r>
  <r>
    <m/>
    <m/>
    <x v="1"/>
    <s v="50852621001001"/>
    <n v="-6.64"/>
    <n v="336"/>
    <n v="1"/>
    <n v="1"/>
  </r>
  <r>
    <m/>
    <m/>
    <x v="1"/>
    <s v="50858501001001"/>
    <n v="-1.44"/>
    <n v="73"/>
    <n v="1"/>
    <n v="1"/>
  </r>
  <r>
    <m/>
    <m/>
    <x v="1"/>
    <s v="50860461001005"/>
    <n v="-14.88"/>
    <n v="753"/>
    <n v="1"/>
    <n v="1"/>
  </r>
  <r>
    <m/>
    <m/>
    <x v="1"/>
    <s v="50901131002003"/>
    <n v="-12.9"/>
    <n v="653"/>
    <n v="1"/>
    <n v="1"/>
  </r>
  <r>
    <m/>
    <m/>
    <x v="1"/>
    <s v="50924581001001"/>
    <n v="-22.7"/>
    <n v="1149"/>
    <n v="1"/>
    <n v="1"/>
  </r>
  <r>
    <m/>
    <m/>
    <x v="1"/>
    <s v="50944181001001"/>
    <n v="-4.41"/>
    <n v="223"/>
    <n v="1"/>
    <n v="1"/>
  </r>
  <r>
    <m/>
    <m/>
    <x v="1"/>
    <s v="50978201001001"/>
    <n v="-13.54"/>
    <n v="685"/>
    <n v="1"/>
    <n v="1"/>
  </r>
  <r>
    <m/>
    <m/>
    <x v="1"/>
    <s v="50992883001003"/>
    <n v="-1.64"/>
    <n v="83"/>
    <n v="1"/>
    <n v="1"/>
  </r>
  <r>
    <m/>
    <m/>
    <x v="1"/>
    <s v="50996471001001"/>
    <n v="-9.9"/>
    <n v="501"/>
    <n v="1"/>
    <n v="1"/>
  </r>
  <r>
    <m/>
    <m/>
    <x v="1"/>
    <s v="51004521001001"/>
    <n v="-7.79"/>
    <n v="394"/>
    <n v="1"/>
    <n v="1"/>
  </r>
  <r>
    <m/>
    <m/>
    <x v="1"/>
    <s v="51007181001003"/>
    <n v="-9.41"/>
    <n v="476"/>
    <n v="1"/>
    <n v="1"/>
  </r>
  <r>
    <m/>
    <m/>
    <x v="1"/>
    <s v="51011661001002"/>
    <n v="-0.28000000000000003"/>
    <n v="14"/>
    <n v="1"/>
    <n v="1"/>
  </r>
  <r>
    <m/>
    <m/>
    <x v="1"/>
    <s v="51012781001001"/>
    <n v="-42.42"/>
    <n v="2147"/>
    <n v="1"/>
    <n v="1"/>
  </r>
  <r>
    <m/>
    <m/>
    <x v="1"/>
    <s v="51048061001001"/>
    <n v="-4.03"/>
    <n v="204"/>
    <n v="1"/>
    <n v="1"/>
  </r>
  <r>
    <m/>
    <m/>
    <x v="1"/>
    <s v="51051935001001"/>
    <n v="-3.12"/>
    <n v="158"/>
    <n v="1"/>
    <n v="1"/>
  </r>
  <r>
    <m/>
    <m/>
    <x v="1"/>
    <s v="51086071003003"/>
    <n v="-31.87"/>
    <n v="1613"/>
    <n v="1"/>
    <n v="1"/>
  </r>
  <r>
    <m/>
    <m/>
    <x v="1"/>
    <s v="51088381003003"/>
    <n v="-10.33"/>
    <n v="523"/>
    <n v="1"/>
    <n v="1"/>
  </r>
  <r>
    <m/>
    <m/>
    <x v="1"/>
    <s v="51094611001002"/>
    <n v="-12.01"/>
    <n v="608"/>
    <n v="1"/>
    <n v="1"/>
  </r>
  <r>
    <m/>
    <m/>
    <x v="1"/>
    <s v="51118901001001"/>
    <n v="-27.82"/>
    <n v="1408"/>
    <n v="1"/>
    <n v="1"/>
  </r>
  <r>
    <m/>
    <m/>
    <x v="1"/>
    <s v="51136541001001"/>
    <n v="-29.42"/>
    <n v="1489"/>
    <n v="1"/>
    <n v="1"/>
  </r>
  <r>
    <m/>
    <m/>
    <x v="1"/>
    <s v="51159921001001"/>
    <n v="-13.18"/>
    <n v="667"/>
    <n v="1"/>
    <n v="1"/>
  </r>
  <r>
    <m/>
    <m/>
    <x v="1"/>
    <s v="51163071001001"/>
    <n v="-21.83"/>
    <n v="1105"/>
    <n v="1"/>
    <n v="1"/>
  </r>
  <r>
    <m/>
    <m/>
    <x v="1"/>
    <s v="51168881002007"/>
    <n v="-2.37"/>
    <n v="120"/>
    <n v="1"/>
    <n v="1"/>
  </r>
  <r>
    <m/>
    <m/>
    <x v="1"/>
    <s v="51193241002001"/>
    <n v="-34.01"/>
    <n v="1721"/>
    <n v="1"/>
    <n v="1"/>
  </r>
  <r>
    <m/>
    <m/>
    <x v="1"/>
    <s v="51219771005001"/>
    <n v="-9.0299999999999994"/>
    <n v="457"/>
    <n v="1"/>
    <n v="1"/>
  </r>
  <r>
    <m/>
    <m/>
    <x v="1"/>
    <s v="51315674001002"/>
    <n v="-9.6999999999999993"/>
    <n v="491"/>
    <n v="1"/>
    <n v="1"/>
  </r>
  <r>
    <m/>
    <m/>
    <x v="1"/>
    <s v="51333171001001"/>
    <n v="-0.77"/>
    <n v="39"/>
    <n v="1"/>
    <n v="1"/>
  </r>
  <r>
    <m/>
    <m/>
    <x v="1"/>
    <s v="51335971001001"/>
    <n v="-0.59"/>
    <n v="30"/>
    <n v="1"/>
    <n v="1"/>
  </r>
  <r>
    <m/>
    <m/>
    <x v="1"/>
    <s v="51349481002001"/>
    <n v="-7.49"/>
    <n v="379"/>
    <n v="1"/>
    <n v="1"/>
  </r>
  <r>
    <m/>
    <m/>
    <x v="1"/>
    <s v="51351441001005"/>
    <n v="-16.54"/>
    <n v="837"/>
    <n v="1"/>
    <n v="1"/>
  </r>
  <r>
    <m/>
    <m/>
    <x v="1"/>
    <s v="51386861002001"/>
    <n v="-0.69"/>
    <n v="35"/>
    <n v="1"/>
    <n v="1"/>
  </r>
  <r>
    <m/>
    <m/>
    <x v="1"/>
    <s v="51441601002001"/>
    <n v="-4.68"/>
    <n v="237"/>
    <n v="1"/>
    <n v="1"/>
  </r>
  <r>
    <m/>
    <m/>
    <x v="1"/>
    <s v="51505861001001"/>
    <n v="-0.3"/>
    <n v="15"/>
    <n v="1"/>
    <n v="1"/>
  </r>
  <r>
    <m/>
    <m/>
    <x v="1"/>
    <s v="51514261001001"/>
    <n v="-0.38"/>
    <n v="19"/>
    <n v="1"/>
    <n v="1"/>
  </r>
  <r>
    <m/>
    <m/>
    <x v="1"/>
    <s v="51529534001001"/>
    <n v="-3.97"/>
    <n v="201"/>
    <n v="1"/>
    <n v="1"/>
  </r>
  <r>
    <m/>
    <m/>
    <x v="1"/>
    <s v="51531201001002"/>
    <n v="-1.4"/>
    <n v="71"/>
    <n v="1"/>
    <n v="1"/>
  </r>
  <r>
    <m/>
    <m/>
    <x v="1"/>
    <s v="51533581001002"/>
    <n v="-5.39"/>
    <n v="273"/>
    <n v="1"/>
    <n v="1"/>
  </r>
  <r>
    <m/>
    <m/>
    <x v="1"/>
    <s v="51538831001002"/>
    <n v="-10.1"/>
    <n v="511"/>
    <n v="1"/>
    <n v="1"/>
  </r>
  <r>
    <m/>
    <m/>
    <x v="1"/>
    <s v="51578031001001"/>
    <n v="-9.7799999999999994"/>
    <n v="495"/>
    <n v="1"/>
    <n v="1"/>
  </r>
  <r>
    <m/>
    <m/>
    <x v="1"/>
    <s v="51583981001001"/>
    <n v="-6.34"/>
    <n v="321"/>
    <n v="1"/>
    <n v="1"/>
  </r>
  <r>
    <m/>
    <m/>
    <x v="1"/>
    <s v="51593501001001"/>
    <n v="-9.5399999999999991"/>
    <n v="483"/>
    <n v="1"/>
    <n v="1"/>
  </r>
  <r>
    <m/>
    <m/>
    <x v="1"/>
    <s v="51596441002007"/>
    <n v="-3.02"/>
    <n v="153"/>
    <n v="1"/>
    <n v="1"/>
  </r>
  <r>
    <m/>
    <m/>
    <x v="1"/>
    <s v="51603091001001"/>
    <n v="-16.48"/>
    <n v="834"/>
    <n v="1"/>
    <n v="1"/>
  </r>
  <r>
    <m/>
    <m/>
    <x v="1"/>
    <s v="51603721001003"/>
    <n v="-14.23"/>
    <n v="720"/>
    <n v="1"/>
    <n v="1"/>
  </r>
  <r>
    <m/>
    <m/>
    <x v="1"/>
    <s v="51607711002002"/>
    <n v="-7.82"/>
    <n v="396"/>
    <n v="1"/>
    <n v="1"/>
  </r>
  <r>
    <m/>
    <m/>
    <x v="1"/>
    <s v="51614221001001"/>
    <n v="-14.88"/>
    <n v="753"/>
    <n v="1"/>
    <n v="1"/>
  </r>
  <r>
    <m/>
    <m/>
    <x v="1"/>
    <s v="51615621001002"/>
    <n v="-10.67"/>
    <n v="540"/>
    <n v="1"/>
    <n v="1"/>
  </r>
  <r>
    <m/>
    <m/>
    <x v="1"/>
    <s v="51629518001004"/>
    <n v="-1.4"/>
    <n v="71"/>
    <n v="1"/>
    <n v="1"/>
  </r>
  <r>
    <m/>
    <m/>
    <x v="1"/>
    <s v="51943401001002"/>
    <n v="-21.78"/>
    <n v="1102"/>
    <n v="1"/>
    <n v="1"/>
  </r>
  <r>
    <m/>
    <m/>
    <x v="1"/>
    <s v="51961148002001"/>
    <n v="-1.36"/>
    <n v="69"/>
    <n v="1"/>
    <n v="1"/>
  </r>
  <r>
    <m/>
    <m/>
    <x v="1"/>
    <s v="52068305001010"/>
    <n v="-2.65"/>
    <n v="134"/>
    <n v="1"/>
    <n v="1"/>
  </r>
  <r>
    <m/>
    <m/>
    <x v="1"/>
    <s v="52179797002001"/>
    <n v="-4.2699999999999996"/>
    <n v="216"/>
    <n v="1"/>
    <n v="1"/>
  </r>
  <r>
    <m/>
    <m/>
    <x v="1"/>
    <s v="52231893001002"/>
    <n v="-15.16"/>
    <n v="767"/>
    <n v="1"/>
    <n v="1"/>
  </r>
  <r>
    <m/>
    <m/>
    <x v="1"/>
    <s v="52507741001001"/>
    <n v="-0.61"/>
    <n v="31"/>
    <n v="1"/>
    <n v="1"/>
  </r>
  <r>
    <m/>
    <m/>
    <x v="1"/>
    <s v="52743980001001"/>
    <n v="-7.96"/>
    <n v="403"/>
    <n v="1"/>
    <n v="1"/>
  </r>
  <r>
    <m/>
    <m/>
    <x v="1"/>
    <s v="52773305001001"/>
    <n v="-13.44"/>
    <n v="680"/>
    <n v="1"/>
    <n v="1"/>
  </r>
  <r>
    <m/>
    <m/>
    <x v="1"/>
    <s v="52839681001001"/>
    <n v="-0.18"/>
    <n v="9"/>
    <n v="1"/>
    <n v="1"/>
  </r>
  <r>
    <m/>
    <m/>
    <x v="1"/>
    <s v="53040645001004"/>
    <n v="-10.89"/>
    <n v="551"/>
    <n v="1"/>
    <n v="1"/>
  </r>
  <r>
    <m/>
    <m/>
    <x v="1"/>
    <s v="53444975001003"/>
    <n v="-20.67"/>
    <n v="1046"/>
    <n v="1"/>
    <n v="1"/>
  </r>
  <r>
    <m/>
    <m/>
    <x v="1"/>
    <s v="53854476001004"/>
    <n v="-14.68"/>
    <n v="743"/>
    <n v="1"/>
    <n v="1"/>
  </r>
  <r>
    <m/>
    <m/>
    <x v="1"/>
    <s v="54088357001001"/>
    <n v="-7.55"/>
    <n v="382"/>
    <n v="1"/>
    <n v="1"/>
  </r>
  <r>
    <m/>
    <m/>
    <x v="1"/>
    <s v="54362749001005"/>
    <n v="-18.48"/>
    <n v="935"/>
    <n v="1"/>
    <n v="1"/>
  </r>
  <r>
    <m/>
    <m/>
    <x v="1"/>
    <s v="54582419004001"/>
    <n v="-6.6"/>
    <n v="334"/>
    <n v="1"/>
    <n v="1"/>
  </r>
  <r>
    <m/>
    <m/>
    <x v="1"/>
    <s v="55096000001001"/>
    <n v="-10.02"/>
    <n v="507"/>
    <n v="1"/>
    <n v="1"/>
  </r>
  <r>
    <m/>
    <m/>
    <x v="1"/>
    <s v="55208319002001"/>
    <n v="-41.65"/>
    <n v="2108"/>
    <n v="1"/>
    <n v="1"/>
  </r>
  <r>
    <m/>
    <m/>
    <x v="1"/>
    <s v="55654237001001"/>
    <n v="-2.27"/>
    <n v="115"/>
    <n v="1"/>
    <n v="1"/>
  </r>
  <r>
    <m/>
    <m/>
    <x v="1"/>
    <s v="55743493002001"/>
    <n v="-13.77"/>
    <n v="697"/>
    <n v="1"/>
    <n v="1"/>
  </r>
  <r>
    <m/>
    <m/>
    <x v="1"/>
    <s v="55782975001001"/>
    <n v="-0.45"/>
    <n v="23"/>
    <n v="1"/>
    <n v="1"/>
  </r>
  <r>
    <m/>
    <m/>
    <x v="1"/>
    <s v="56116311001003"/>
    <n v="-34.46"/>
    <n v="1744"/>
    <n v="1"/>
    <n v="1"/>
  </r>
  <r>
    <m/>
    <m/>
    <x v="1"/>
    <s v="56213971001001"/>
    <n v="-21.99"/>
    <n v="1113"/>
    <n v="1"/>
    <n v="1"/>
  </r>
  <r>
    <m/>
    <m/>
    <x v="1"/>
    <s v="56962580001003"/>
    <n v="-4.2699999999999996"/>
    <n v="216"/>
    <n v="1"/>
    <n v="1"/>
  </r>
  <r>
    <m/>
    <m/>
    <x v="1"/>
    <s v="57165863001001"/>
    <n v="-15.53"/>
    <n v="786"/>
    <n v="1"/>
    <n v="1"/>
  </r>
  <r>
    <m/>
    <m/>
    <x v="1"/>
    <s v="57690835002001"/>
    <n v="-15.93"/>
    <n v="806"/>
    <n v="1"/>
    <n v="1"/>
  </r>
  <r>
    <m/>
    <m/>
    <x v="1"/>
    <s v="57747087001003"/>
    <n v="-26.52"/>
    <n v="1342"/>
    <n v="1"/>
    <n v="1"/>
  </r>
  <r>
    <m/>
    <m/>
    <x v="1"/>
    <s v="58010908001002"/>
    <n v="-0.56999999999999995"/>
    <n v="29"/>
    <n v="1"/>
    <n v="1"/>
  </r>
  <r>
    <m/>
    <m/>
    <x v="1"/>
    <s v="58133349001003"/>
    <n v="-1.1499999999999999"/>
    <n v="58"/>
    <n v="1"/>
    <n v="1"/>
  </r>
  <r>
    <m/>
    <m/>
    <x v="1"/>
    <s v="58959510002004"/>
    <n v="-3.66"/>
    <n v="185"/>
    <n v="1"/>
    <n v="1"/>
  </r>
  <r>
    <m/>
    <m/>
    <x v="1"/>
    <s v="59187160001001"/>
    <n v="-20.55"/>
    <n v="1040"/>
    <n v="1"/>
    <n v="1"/>
  </r>
  <r>
    <m/>
    <m/>
    <x v="1"/>
    <s v="59268197006001"/>
    <n v="-60.07"/>
    <n v="3040"/>
    <n v="1"/>
    <n v="1"/>
  </r>
  <r>
    <m/>
    <m/>
    <x v="1"/>
    <s v="59498637001004"/>
    <n v="-1.54"/>
    <n v="78"/>
    <n v="1"/>
    <n v="1"/>
  </r>
  <r>
    <m/>
    <m/>
    <x v="1"/>
    <s v="59549396001001"/>
    <n v="-3.46"/>
    <n v="175"/>
    <n v="1"/>
    <n v="1"/>
  </r>
  <r>
    <m/>
    <m/>
    <x v="1"/>
    <s v="59804283001007"/>
    <n v="-1.1499999999999999"/>
    <n v="58"/>
    <n v="1"/>
    <n v="1"/>
  </r>
  <r>
    <m/>
    <m/>
    <x v="1"/>
    <s v="59919501001005"/>
    <n v="-6.76"/>
    <n v="342"/>
    <n v="1"/>
    <n v="1"/>
  </r>
  <r>
    <m/>
    <m/>
    <x v="1"/>
    <s v="60270707001007"/>
    <n v="-7.82"/>
    <n v="396"/>
    <n v="1"/>
    <n v="1"/>
  </r>
  <r>
    <m/>
    <m/>
    <x v="1"/>
    <s v="60682907002001"/>
    <n v="-25.51"/>
    <n v="1291"/>
    <n v="1"/>
    <n v="1"/>
  </r>
  <r>
    <m/>
    <m/>
    <x v="1"/>
    <s v="60807489001003"/>
    <n v="-28.28"/>
    <n v="1431"/>
    <n v="1"/>
    <n v="1"/>
  </r>
  <r>
    <m/>
    <m/>
    <x v="1"/>
    <s v="62089132001003"/>
    <n v="-0.87"/>
    <n v="44"/>
    <n v="1"/>
    <n v="1"/>
  </r>
  <r>
    <m/>
    <m/>
    <x v="1"/>
    <s v="62125470001002"/>
    <n v="-24.17"/>
    <n v="1223"/>
    <n v="1"/>
    <n v="1"/>
  </r>
  <r>
    <m/>
    <m/>
    <x v="1"/>
    <s v="62139312001006"/>
    <n v="-0.38"/>
    <n v="19"/>
    <n v="1"/>
    <n v="1"/>
  </r>
  <r>
    <m/>
    <m/>
    <x v="1"/>
    <s v="62235479001001"/>
    <n v="-0.34"/>
    <n v="17"/>
    <n v="1"/>
    <n v="1"/>
  </r>
  <r>
    <m/>
    <m/>
    <x v="1"/>
    <s v="62826325002002"/>
    <n v="-8.6199999999999992"/>
    <n v="436"/>
    <n v="1"/>
    <n v="1"/>
  </r>
  <r>
    <m/>
    <m/>
    <x v="1"/>
    <s v="62941252001003"/>
    <n v="-5.83"/>
    <n v="295"/>
    <n v="1"/>
    <n v="1"/>
  </r>
  <r>
    <m/>
    <m/>
    <x v="1"/>
    <s v="63069576002007"/>
    <n v="-10.039999999999999"/>
    <n v="508"/>
    <n v="1"/>
    <n v="1"/>
  </r>
  <r>
    <m/>
    <m/>
    <x v="1"/>
    <s v="63101970001001"/>
    <n v="-0.43"/>
    <n v="22"/>
    <n v="1"/>
    <n v="1"/>
  </r>
  <r>
    <m/>
    <m/>
    <x v="1"/>
    <s v="63189646005005"/>
    <n v="-0.16"/>
    <n v="8"/>
    <n v="1"/>
    <n v="1"/>
  </r>
  <r>
    <m/>
    <m/>
    <x v="1"/>
    <s v="63462936001004"/>
    <n v="-10.51"/>
    <n v="532"/>
    <n v="1"/>
    <n v="1"/>
  </r>
  <r>
    <m/>
    <m/>
    <x v="1"/>
    <s v="63473427001003"/>
    <n v="-4.68"/>
    <n v="237"/>
    <n v="1"/>
    <n v="1"/>
  </r>
  <r>
    <m/>
    <m/>
    <x v="1"/>
    <s v="63681093001001"/>
    <n v="-20.21"/>
    <n v="1023"/>
    <n v="1"/>
    <n v="1"/>
  </r>
  <r>
    <m/>
    <m/>
    <x v="1"/>
    <s v="64113638001001"/>
    <n v="-4.1900000000000004"/>
    <n v="212"/>
    <n v="1"/>
    <n v="1"/>
  </r>
  <r>
    <m/>
    <m/>
    <x v="1"/>
    <s v="64618850001005"/>
    <n v="-10.39"/>
    <n v="526"/>
    <n v="1"/>
    <n v="1"/>
  </r>
  <r>
    <m/>
    <m/>
    <x v="1"/>
    <s v="64954947001003"/>
    <n v="-6.15"/>
    <n v="311"/>
    <n v="1"/>
    <n v="1"/>
  </r>
  <r>
    <m/>
    <m/>
    <x v="1"/>
    <s v="65368514001004"/>
    <n v="-9.23"/>
    <n v="467"/>
    <n v="1"/>
    <n v="1"/>
  </r>
  <r>
    <m/>
    <m/>
    <x v="1"/>
    <s v="65497555001001"/>
    <n v="-4.78"/>
    <n v="242"/>
    <n v="1"/>
    <n v="1"/>
  </r>
  <r>
    <m/>
    <m/>
    <x v="1"/>
    <s v="65509206001003"/>
    <n v="-11.03"/>
    <n v="558"/>
    <n v="1"/>
    <n v="1"/>
  </r>
  <r>
    <m/>
    <m/>
    <x v="1"/>
    <s v="66083905003003"/>
    <n v="-14.05"/>
    <n v="711"/>
    <n v="1"/>
    <n v="1"/>
  </r>
  <r>
    <m/>
    <m/>
    <x v="1"/>
    <s v="66997780001001"/>
    <n v="-14.94"/>
    <n v="756"/>
    <n v="1"/>
    <n v="1"/>
  </r>
  <r>
    <m/>
    <m/>
    <x v="1"/>
    <s v="67059049001002"/>
    <n v="-5.0199999999999996"/>
    <n v="254"/>
    <n v="1"/>
    <n v="1"/>
  </r>
  <r>
    <m/>
    <m/>
    <x v="1"/>
    <s v="67090070001001"/>
    <n v="-7.86"/>
    <n v="398"/>
    <n v="1"/>
    <n v="1"/>
  </r>
  <r>
    <m/>
    <m/>
    <x v="1"/>
    <s v="67401944001001"/>
    <n v="-22.51"/>
    <n v="1139"/>
    <n v="1"/>
    <n v="1"/>
  </r>
  <r>
    <m/>
    <m/>
    <x v="1"/>
    <s v="67456537001003"/>
    <n v="-6.52"/>
    <n v="330"/>
    <n v="1"/>
    <n v="1"/>
  </r>
  <r>
    <m/>
    <m/>
    <x v="1"/>
    <s v="67580955001002"/>
    <n v="-24.34"/>
    <n v="1232"/>
    <n v="1"/>
    <n v="1"/>
  </r>
  <r>
    <m/>
    <m/>
    <x v="1"/>
    <s v="67587226001001"/>
    <n v="-6.94"/>
    <n v="351"/>
    <n v="1"/>
    <n v="1"/>
  </r>
  <r>
    <m/>
    <m/>
    <x v="1"/>
    <s v="67993777004001"/>
    <n v="-0.61"/>
    <n v="31"/>
    <n v="1"/>
    <n v="1"/>
  </r>
  <r>
    <m/>
    <m/>
    <x v="1"/>
    <s v="68146157001004"/>
    <n v="-4.09"/>
    <n v="207"/>
    <n v="1"/>
    <n v="1"/>
  </r>
  <r>
    <m/>
    <m/>
    <x v="1"/>
    <s v="68333351001002"/>
    <n v="-5.53"/>
    <n v="280"/>
    <n v="1"/>
    <n v="1"/>
  </r>
  <r>
    <m/>
    <m/>
    <x v="1"/>
    <s v="68461671002003"/>
    <n v="-16.399999999999999"/>
    <n v="830"/>
    <n v="1"/>
    <n v="1"/>
  </r>
  <r>
    <m/>
    <m/>
    <x v="1"/>
    <s v="68624650001002"/>
    <n v="-5.97"/>
    <n v="302"/>
    <n v="1"/>
    <n v="1"/>
  </r>
  <r>
    <m/>
    <m/>
    <x v="1"/>
    <s v="69085256001001"/>
    <n v="-6.98"/>
    <n v="353"/>
    <n v="1"/>
    <n v="1"/>
  </r>
  <r>
    <m/>
    <m/>
    <x v="1"/>
    <s v="69170739001001"/>
    <n v="-0.49"/>
    <n v="25"/>
    <n v="1"/>
    <n v="1"/>
  </r>
  <r>
    <m/>
    <m/>
    <x v="1"/>
    <s v="69567080001004"/>
    <n v="-5.87"/>
    <n v="297"/>
    <n v="1"/>
    <n v="1"/>
  </r>
  <r>
    <m/>
    <m/>
    <x v="1"/>
    <s v="69692573001005"/>
    <n v="-9.7200000000000006"/>
    <n v="492"/>
    <n v="1"/>
    <n v="1"/>
  </r>
  <r>
    <m/>
    <m/>
    <x v="1"/>
    <s v="69853838001007"/>
    <n v="-0.63"/>
    <n v="32"/>
    <n v="1"/>
    <n v="1"/>
  </r>
  <r>
    <m/>
    <m/>
    <x v="1"/>
    <s v="70262974001001"/>
    <n v="-1.78"/>
    <n v="90"/>
    <n v="1"/>
    <n v="1"/>
  </r>
  <r>
    <m/>
    <m/>
    <x v="1"/>
    <s v="70498831001001"/>
    <n v="-12.8"/>
    <n v="648"/>
    <n v="1"/>
    <n v="1"/>
  </r>
  <r>
    <m/>
    <m/>
    <x v="1"/>
    <s v="70925378002003"/>
    <n v="-9.27"/>
    <n v="469"/>
    <n v="1"/>
    <n v="1"/>
  </r>
  <r>
    <m/>
    <m/>
    <x v="1"/>
    <s v="71127815001002"/>
    <n v="-0.24"/>
    <n v="12"/>
    <n v="1"/>
    <n v="1"/>
  </r>
  <r>
    <m/>
    <m/>
    <x v="1"/>
    <s v="71181295001001"/>
    <n v="-0.18"/>
    <n v="9"/>
    <n v="1"/>
    <n v="1"/>
  </r>
  <r>
    <m/>
    <m/>
    <x v="1"/>
    <s v="71338480001002"/>
    <n v="-0.77"/>
    <n v="39"/>
    <n v="1"/>
    <n v="1"/>
  </r>
  <r>
    <m/>
    <m/>
    <x v="1"/>
    <s v="71339719006001"/>
    <n v="-17.82"/>
    <n v="902"/>
    <n v="1"/>
    <n v="1"/>
  </r>
  <r>
    <m/>
    <m/>
    <x v="1"/>
    <s v="71726966001001"/>
    <n v="-52.32"/>
    <n v="2648"/>
    <n v="1"/>
    <n v="1"/>
  </r>
  <r>
    <m/>
    <m/>
    <x v="1"/>
    <s v="72998399001006"/>
    <n v="-20.29"/>
    <n v="1027"/>
    <n v="1"/>
    <n v="1"/>
  </r>
  <r>
    <m/>
    <m/>
    <x v="1"/>
    <s v="73001153001001"/>
    <n v="-0.1"/>
    <n v="5"/>
    <n v="1"/>
    <n v="1"/>
  </r>
  <r>
    <m/>
    <m/>
    <x v="1"/>
    <s v="73642053002003"/>
    <n v="-7.05"/>
    <n v="357"/>
    <n v="1"/>
    <n v="1"/>
  </r>
  <r>
    <m/>
    <m/>
    <x v="1"/>
    <s v="73656211001005"/>
    <n v="-11.030000000000001"/>
    <n v="558"/>
    <n v="2"/>
    <n v="1"/>
  </r>
  <r>
    <m/>
    <m/>
    <x v="1"/>
    <s v="73887552001001"/>
    <n v="-1.96"/>
    <n v="99"/>
    <n v="1"/>
    <n v="1"/>
  </r>
  <r>
    <m/>
    <m/>
    <x v="1"/>
    <s v="73949590003001"/>
    <n v="-1.21"/>
    <n v="61"/>
    <n v="1"/>
    <n v="1"/>
  </r>
  <r>
    <m/>
    <m/>
    <x v="1"/>
    <s v="74037047001002"/>
    <n v="-0.02"/>
    <n v="1"/>
    <n v="1"/>
    <n v="1"/>
  </r>
  <r>
    <m/>
    <m/>
    <x v="1"/>
    <s v="74101362001001"/>
    <n v="-39.26"/>
    <n v="1987"/>
    <n v="1"/>
    <n v="1"/>
  </r>
  <r>
    <m/>
    <m/>
    <x v="1"/>
    <s v="75492701001001"/>
    <n v="-8.24"/>
    <n v="417"/>
    <n v="1"/>
    <n v="1"/>
  </r>
  <r>
    <m/>
    <m/>
    <x v="1"/>
    <s v="75544198001002"/>
    <n v="-0.53"/>
    <n v="27"/>
    <n v="1"/>
    <n v="1"/>
  </r>
  <r>
    <m/>
    <m/>
    <x v="1"/>
    <s v="75633930001001"/>
    <n v="-7.25"/>
    <n v="367"/>
    <n v="1"/>
    <n v="1"/>
  </r>
  <r>
    <m/>
    <m/>
    <x v="1"/>
    <s v="75818016001003"/>
    <n v="-9.5399999999999991"/>
    <n v="483"/>
    <n v="1"/>
    <n v="1"/>
  </r>
  <r>
    <m/>
    <m/>
    <x v="1"/>
    <s v="76017664001001"/>
    <n v="-3.79"/>
    <n v="192"/>
    <n v="1"/>
    <n v="1"/>
  </r>
  <r>
    <m/>
    <m/>
    <x v="1"/>
    <s v="76590700001002"/>
    <n v="-0.53"/>
    <n v="27"/>
    <n v="1"/>
    <n v="1"/>
  </r>
  <r>
    <m/>
    <m/>
    <x v="1"/>
    <s v="76615869001006"/>
    <n v="-10.99"/>
    <n v="556"/>
    <n v="1"/>
    <n v="1"/>
  </r>
  <r>
    <m/>
    <m/>
    <x v="1"/>
    <s v="77152442001008"/>
    <n v="-8.64"/>
    <n v="437"/>
    <n v="1"/>
    <n v="1"/>
  </r>
  <r>
    <m/>
    <m/>
    <x v="1"/>
    <s v="77153785002001"/>
    <n v="-5.37"/>
    <n v="272"/>
    <n v="1"/>
    <n v="1"/>
  </r>
  <r>
    <m/>
    <m/>
    <x v="1"/>
    <s v="77227323001001"/>
    <n v="-11.42"/>
    <n v="578"/>
    <n v="1"/>
    <n v="1"/>
  </r>
  <r>
    <m/>
    <m/>
    <x v="1"/>
    <s v="77587631001002"/>
    <n v="-28.36"/>
    <n v="1435"/>
    <n v="1"/>
    <n v="1"/>
  </r>
  <r>
    <m/>
    <m/>
    <x v="1"/>
    <s v="77740138001001"/>
    <n v="-0.65"/>
    <n v="33"/>
    <n v="1"/>
    <n v="1"/>
  </r>
  <r>
    <m/>
    <m/>
    <x v="1"/>
    <s v="77810743001005"/>
    <n v="-0.08"/>
    <n v="4"/>
    <n v="1"/>
    <n v="1"/>
  </r>
  <r>
    <m/>
    <m/>
    <x v="1"/>
    <s v="78102550001004"/>
    <n v="-15.65"/>
    <n v="792"/>
    <n v="1"/>
    <n v="1"/>
  </r>
  <r>
    <m/>
    <m/>
    <x v="1"/>
    <s v="78306458001001"/>
    <n v="-0.1"/>
    <n v="5"/>
    <n v="1"/>
    <n v="1"/>
  </r>
  <r>
    <m/>
    <m/>
    <x v="1"/>
    <s v="78406843001002"/>
    <n v="-4.45"/>
    <n v="225"/>
    <n v="1"/>
    <n v="1"/>
  </r>
  <r>
    <m/>
    <m/>
    <x v="1"/>
    <s v="79006720001008"/>
    <n v="-4.1900000000000004"/>
    <n v="212"/>
    <n v="1"/>
    <n v="1"/>
  </r>
  <r>
    <m/>
    <m/>
    <x v="1"/>
    <s v="79794330001001"/>
    <n v="-1.88"/>
    <n v="95"/>
    <n v="1"/>
    <n v="1"/>
  </r>
  <r>
    <m/>
    <m/>
    <x v="1"/>
    <s v="80135267005001"/>
    <n v="-16.079999999999998"/>
    <n v="814"/>
    <n v="1"/>
    <n v="1"/>
  </r>
  <r>
    <m/>
    <m/>
    <x v="1"/>
    <s v="80270144001001"/>
    <n v="-0.47"/>
    <n v="24"/>
    <n v="1"/>
    <n v="1"/>
  </r>
  <r>
    <m/>
    <m/>
    <x v="1"/>
    <s v="80293559001001"/>
    <n v="-14.94"/>
    <n v="756"/>
    <n v="1"/>
    <n v="1"/>
  </r>
  <r>
    <m/>
    <m/>
    <x v="1"/>
    <s v="80867382002003"/>
    <n v="-21.38"/>
    <n v="1082"/>
    <n v="1"/>
    <n v="1"/>
  </r>
  <r>
    <m/>
    <m/>
    <x v="1"/>
    <s v="81331550002001"/>
    <n v="-0.22"/>
    <n v="11"/>
    <n v="1"/>
    <n v="1"/>
  </r>
  <r>
    <m/>
    <m/>
    <x v="1"/>
    <s v="81416667001004"/>
    <n v="-9.66"/>
    <n v="489"/>
    <n v="1"/>
    <n v="1"/>
  </r>
  <r>
    <m/>
    <m/>
    <x v="1"/>
    <s v="81635154007001"/>
    <n v="-23.95"/>
    <n v="1212"/>
    <n v="1"/>
    <n v="1"/>
  </r>
  <r>
    <m/>
    <m/>
    <x v="1"/>
    <s v="81964610001001"/>
    <n v="-3.06"/>
    <n v="155"/>
    <n v="1"/>
    <n v="1"/>
  </r>
  <r>
    <m/>
    <m/>
    <x v="1"/>
    <s v="81993307001003"/>
    <n v="-1.26"/>
    <n v="64"/>
    <n v="1"/>
    <n v="1"/>
  </r>
  <r>
    <m/>
    <m/>
    <x v="1"/>
    <s v="82090212005001"/>
    <n v="-14.72"/>
    <n v="745"/>
    <n v="1"/>
    <n v="1"/>
  </r>
  <r>
    <m/>
    <m/>
    <x v="1"/>
    <s v="82225464001008"/>
    <n v="-3.48"/>
    <n v="176"/>
    <n v="1"/>
    <n v="1"/>
  </r>
  <r>
    <m/>
    <m/>
    <x v="1"/>
    <s v="82480022001002"/>
    <n v="-15.53"/>
    <n v="786"/>
    <n v="1"/>
    <n v="1"/>
  </r>
  <r>
    <m/>
    <m/>
    <x v="1"/>
    <s v="82804369003001"/>
    <n v="-13.89"/>
    <n v="703"/>
    <n v="1"/>
    <n v="1"/>
  </r>
  <r>
    <m/>
    <m/>
    <x v="1"/>
    <s v="82844671001002"/>
    <n v="-44.6"/>
    <n v="2257"/>
    <n v="1"/>
    <n v="1"/>
  </r>
  <r>
    <m/>
    <m/>
    <x v="1"/>
    <s v="83107789001001"/>
    <n v="-0.59"/>
    <n v="30"/>
    <n v="1"/>
    <n v="1"/>
  </r>
  <r>
    <m/>
    <m/>
    <x v="1"/>
    <s v="83365022001002"/>
    <n v="-10.16"/>
    <n v="514"/>
    <n v="1"/>
    <n v="1"/>
  </r>
  <r>
    <m/>
    <m/>
    <x v="1"/>
    <s v="83624396002001"/>
    <n v="-24.88"/>
    <n v="1259"/>
    <n v="1"/>
    <n v="1"/>
  </r>
  <r>
    <m/>
    <m/>
    <x v="1"/>
    <s v="83700495001001"/>
    <n v="-14.82"/>
    <n v="750"/>
    <n v="1"/>
    <n v="1"/>
  </r>
  <r>
    <m/>
    <m/>
    <x v="1"/>
    <s v="83921448001001"/>
    <n v="-14.29"/>
    <n v="723"/>
    <n v="1"/>
    <n v="1"/>
  </r>
  <r>
    <m/>
    <m/>
    <x v="1"/>
    <s v="84001278001001"/>
    <n v="-5.67"/>
    <n v="287"/>
    <n v="1"/>
    <n v="1"/>
  </r>
  <r>
    <m/>
    <m/>
    <x v="1"/>
    <s v="84934447001001"/>
    <n v="-9.2899999999999991"/>
    <n v="470"/>
    <n v="1"/>
    <n v="1"/>
  </r>
  <r>
    <m/>
    <m/>
    <x v="1"/>
    <s v="85004567002008"/>
    <n v="-6.05"/>
    <n v="306"/>
    <n v="1"/>
    <n v="1"/>
  </r>
  <r>
    <m/>
    <m/>
    <x v="1"/>
    <s v="85042047001001"/>
    <n v="-11.6"/>
    <n v="587"/>
    <n v="1"/>
    <n v="1"/>
  </r>
  <r>
    <m/>
    <m/>
    <x v="1"/>
    <s v="85155127001002"/>
    <n v="-15.39"/>
    <n v="779"/>
    <n v="1"/>
    <n v="1"/>
  </r>
  <r>
    <m/>
    <m/>
    <x v="1"/>
    <s v="85419820001002"/>
    <n v="-23.79"/>
    <n v="1204"/>
    <n v="1"/>
    <n v="1"/>
  </r>
  <r>
    <m/>
    <m/>
    <x v="1"/>
    <s v="86518069001001"/>
    <n v="-3.3"/>
    <n v="167"/>
    <n v="1"/>
    <n v="1"/>
  </r>
  <r>
    <m/>
    <m/>
    <x v="1"/>
    <s v="86574879001008"/>
    <n v="-61.47"/>
    <n v="3111"/>
    <n v="1"/>
    <n v="1"/>
  </r>
  <r>
    <m/>
    <m/>
    <x v="1"/>
    <s v="86620072001003"/>
    <n v="-12.9"/>
    <n v="653"/>
    <n v="1"/>
    <n v="1"/>
  </r>
  <r>
    <m/>
    <m/>
    <x v="1"/>
    <s v="86973909002001"/>
    <n v="-7.88"/>
    <n v="399"/>
    <n v="1"/>
    <n v="1"/>
  </r>
  <r>
    <m/>
    <m/>
    <x v="1"/>
    <s v="87271363001002"/>
    <n v="-0.65"/>
    <n v="33"/>
    <n v="1"/>
    <n v="1"/>
  </r>
  <r>
    <m/>
    <m/>
    <x v="1"/>
    <s v="87380869001001"/>
    <n v="-11.62"/>
    <n v="588"/>
    <n v="1"/>
    <n v="1"/>
  </r>
  <r>
    <m/>
    <m/>
    <x v="1"/>
    <s v="87425140001001"/>
    <n v="-3.93"/>
    <n v="199"/>
    <n v="1"/>
    <n v="1"/>
  </r>
  <r>
    <m/>
    <m/>
    <x v="1"/>
    <s v="87750579001001"/>
    <n v="-5.28"/>
    <n v="267"/>
    <n v="1"/>
    <n v="1"/>
  </r>
  <r>
    <m/>
    <m/>
    <x v="1"/>
    <s v="87989600001003"/>
    <n v="-1.26"/>
    <n v="64"/>
    <n v="1"/>
    <n v="1"/>
  </r>
  <r>
    <m/>
    <m/>
    <x v="1"/>
    <s v="88075199001001"/>
    <n v="-7.59"/>
    <n v="384"/>
    <n v="1"/>
    <n v="1"/>
  </r>
  <r>
    <m/>
    <m/>
    <x v="1"/>
    <s v="88142806002001"/>
    <n v="-2.5099999999999998"/>
    <n v="127"/>
    <n v="1"/>
    <n v="1"/>
  </r>
  <r>
    <m/>
    <m/>
    <x v="1"/>
    <s v="88777401001007"/>
    <n v="-27.31"/>
    <n v="1382"/>
    <n v="1"/>
    <n v="1"/>
  </r>
  <r>
    <m/>
    <m/>
    <x v="1"/>
    <s v="88847370001001"/>
    <n v="-1.8"/>
    <n v="91"/>
    <n v="1"/>
    <n v="1"/>
  </r>
  <r>
    <m/>
    <m/>
    <x v="1"/>
    <s v="89432732001001"/>
    <n v="-20.350000000000001"/>
    <n v="1030"/>
    <n v="1"/>
    <n v="1"/>
  </r>
  <r>
    <m/>
    <m/>
    <x v="1"/>
    <s v="89709361001001"/>
    <n v="-0.36"/>
    <n v="18"/>
    <n v="1"/>
    <n v="1"/>
  </r>
  <r>
    <m/>
    <m/>
    <x v="1"/>
    <s v="89870121001001"/>
    <n v="-0.67"/>
    <n v="34"/>
    <n v="1"/>
    <n v="1"/>
  </r>
  <r>
    <m/>
    <m/>
    <x v="1"/>
    <s v="89987541001001"/>
    <n v="-0.3"/>
    <n v="15"/>
    <n v="1"/>
    <n v="1"/>
  </r>
  <r>
    <m/>
    <m/>
    <x v="1"/>
    <s v="90285764001001"/>
    <n v="-0.38"/>
    <n v="19"/>
    <n v="1"/>
    <n v="1"/>
  </r>
  <r>
    <m/>
    <m/>
    <x v="1"/>
    <s v="90314519001006"/>
    <n v="-33.97"/>
    <n v="1719"/>
    <n v="1"/>
    <n v="1"/>
  </r>
  <r>
    <m/>
    <m/>
    <x v="1"/>
    <s v="90474886001001"/>
    <n v="-0.3"/>
    <n v="15"/>
    <n v="1"/>
    <n v="1"/>
  </r>
  <r>
    <m/>
    <m/>
    <x v="1"/>
    <s v="90527747001001"/>
    <n v="-5.39"/>
    <n v="273"/>
    <n v="1"/>
    <n v="1"/>
  </r>
  <r>
    <m/>
    <m/>
    <x v="1"/>
    <s v="91666691002003"/>
    <n v="-43.69"/>
    <n v="2211"/>
    <n v="1"/>
    <n v="1"/>
  </r>
  <r>
    <m/>
    <m/>
    <x v="1"/>
    <s v="92326056001001"/>
    <n v="-0.47"/>
    <n v="24"/>
    <n v="1"/>
    <n v="1"/>
  </r>
  <r>
    <m/>
    <m/>
    <x v="1"/>
    <s v="92476559001004"/>
    <n v="-27.9"/>
    <n v="1412"/>
    <n v="1"/>
    <n v="1"/>
  </r>
  <r>
    <m/>
    <m/>
    <x v="1"/>
    <s v="92573504001002"/>
    <n v="-6.82"/>
    <n v="345"/>
    <n v="1"/>
    <n v="1"/>
  </r>
  <r>
    <m/>
    <m/>
    <x v="1"/>
    <s v="92602233001001"/>
    <n v="-22.27"/>
    <n v="1127"/>
    <n v="1"/>
    <n v="1"/>
  </r>
  <r>
    <m/>
    <m/>
    <x v="1"/>
    <s v="92711390001001"/>
    <n v="-6.13"/>
    <n v="310"/>
    <n v="1"/>
    <n v="1"/>
  </r>
  <r>
    <m/>
    <m/>
    <x v="1"/>
    <s v="93208083001001"/>
    <n v="-0.49"/>
    <n v="25"/>
    <n v="1"/>
    <n v="1"/>
  </r>
  <r>
    <m/>
    <m/>
    <x v="1"/>
    <s v="93273740005001"/>
    <n v="-1.23"/>
    <n v="62"/>
    <n v="1"/>
    <n v="1"/>
  </r>
  <r>
    <m/>
    <m/>
    <x v="1"/>
    <s v="93723374003001"/>
    <n v="-9.5399999999999991"/>
    <n v="483"/>
    <n v="1"/>
    <n v="1"/>
  </r>
  <r>
    <m/>
    <m/>
    <x v="1"/>
    <s v="93767754001003"/>
    <n v="-9.4700000000000006"/>
    <n v="479"/>
    <n v="1"/>
    <n v="1"/>
  </r>
  <r>
    <m/>
    <m/>
    <x v="1"/>
    <s v="93793236001001"/>
    <n v="-1.6"/>
    <n v="81"/>
    <n v="1"/>
    <n v="1"/>
  </r>
  <r>
    <m/>
    <m/>
    <x v="1"/>
    <s v="94464191001001"/>
    <n v="-0.61"/>
    <n v="31"/>
    <n v="1"/>
    <n v="1"/>
  </r>
  <r>
    <m/>
    <m/>
    <x v="1"/>
    <s v="94498857001001"/>
    <n v="-1.01"/>
    <n v="51"/>
    <n v="1"/>
    <n v="1"/>
  </r>
  <r>
    <m/>
    <m/>
    <x v="1"/>
    <s v="94684058001001"/>
    <n v="-2.4500000000000002"/>
    <n v="124"/>
    <n v="1"/>
    <n v="1"/>
  </r>
  <r>
    <m/>
    <m/>
    <x v="1"/>
    <s v="94806860001001"/>
    <n v="-0.16"/>
    <n v="8"/>
    <n v="1"/>
    <n v="1"/>
  </r>
  <r>
    <m/>
    <m/>
    <x v="1"/>
    <s v="95178657001001"/>
    <n v="-12.9"/>
    <n v="653"/>
    <n v="1"/>
    <n v="1"/>
  </r>
  <r>
    <m/>
    <m/>
    <x v="1"/>
    <s v="95229231001002"/>
    <n v="-7.98"/>
    <n v="404"/>
    <n v="1"/>
    <n v="1"/>
  </r>
  <r>
    <m/>
    <m/>
    <x v="1"/>
    <s v="95342054001001"/>
    <n v="-4.92"/>
    <n v="249"/>
    <n v="1"/>
    <n v="1"/>
  </r>
  <r>
    <m/>
    <m/>
    <x v="1"/>
    <s v="95431402002004"/>
    <n v="-3.58"/>
    <n v="181"/>
    <n v="1"/>
    <n v="1"/>
  </r>
  <r>
    <m/>
    <m/>
    <x v="1"/>
    <s v="95466908001001"/>
    <n v="-0.77"/>
    <n v="39"/>
    <n v="1"/>
    <n v="1"/>
  </r>
  <r>
    <m/>
    <m/>
    <x v="1"/>
    <s v="95581312001002"/>
    <n v="-4.45"/>
    <n v="225"/>
    <n v="1"/>
    <n v="1"/>
  </r>
  <r>
    <m/>
    <m/>
    <x v="1"/>
    <s v="95690332001005"/>
    <n v="-1.19"/>
    <n v="60"/>
    <n v="1"/>
    <n v="1"/>
  </r>
  <r>
    <m/>
    <m/>
    <x v="1"/>
    <s v="95803514001003"/>
    <n v="-0.49"/>
    <n v="25"/>
    <n v="1"/>
    <n v="1"/>
  </r>
  <r>
    <m/>
    <m/>
    <x v="1"/>
    <s v="96186430001005"/>
    <n v="-10.119999999999999"/>
    <n v="512"/>
    <n v="1"/>
    <n v="1"/>
  </r>
  <r>
    <m/>
    <m/>
    <x v="1"/>
    <s v="96258552001004"/>
    <n v="-3.4"/>
    <n v="172"/>
    <n v="1"/>
    <n v="1"/>
  </r>
  <r>
    <m/>
    <m/>
    <x v="1"/>
    <s v="96369039001001"/>
    <n v="-0.71"/>
    <n v="36"/>
    <n v="1"/>
    <n v="1"/>
  </r>
  <r>
    <m/>
    <m/>
    <x v="1"/>
    <s v="96472741002003"/>
    <n v="-7.03"/>
    <n v="356"/>
    <n v="1"/>
    <n v="1"/>
  </r>
  <r>
    <m/>
    <m/>
    <x v="1"/>
    <s v="96475469001001"/>
    <n v="-8.1999999999999993"/>
    <n v="415"/>
    <n v="1"/>
    <n v="1"/>
  </r>
  <r>
    <m/>
    <m/>
    <x v="1"/>
    <s v="96478184001006"/>
    <n v="-0.12"/>
    <n v="6"/>
    <n v="1"/>
    <n v="1"/>
  </r>
  <r>
    <m/>
    <m/>
    <x v="1"/>
    <s v="96534616001001"/>
    <n v="-7.09"/>
    <n v="359"/>
    <n v="1"/>
    <n v="1"/>
  </r>
  <r>
    <m/>
    <m/>
    <x v="1"/>
    <s v="96949041001001"/>
    <n v="-6.07"/>
    <n v="307"/>
    <n v="1"/>
    <n v="1"/>
  </r>
  <r>
    <m/>
    <m/>
    <x v="1"/>
    <s v="96955037001003"/>
    <n v="-24.74"/>
    <n v="1252"/>
    <n v="1"/>
    <n v="1"/>
  </r>
  <r>
    <m/>
    <m/>
    <x v="1"/>
    <s v="96986090001001"/>
    <n v="-0.02"/>
    <n v="1"/>
    <n v="1"/>
    <n v="1"/>
  </r>
  <r>
    <m/>
    <m/>
    <x v="1"/>
    <s v="97005215001001"/>
    <n v="-24.74"/>
    <n v="1252"/>
    <n v="1"/>
    <n v="1"/>
  </r>
  <r>
    <m/>
    <m/>
    <x v="1"/>
    <s v="97148101001003"/>
    <n v="-17.11"/>
    <n v="866"/>
    <n v="1"/>
    <n v="1"/>
  </r>
  <r>
    <m/>
    <m/>
    <x v="1"/>
    <s v="97515713001001"/>
    <n v="-0.22"/>
    <n v="11"/>
    <n v="1"/>
    <n v="1"/>
  </r>
  <r>
    <m/>
    <m/>
    <x v="1"/>
    <s v="97521847001001"/>
    <n v="-0.28000000000000003"/>
    <n v="14"/>
    <n v="1"/>
    <n v="1"/>
  </r>
  <r>
    <m/>
    <m/>
    <x v="1"/>
    <s v="97919016001004"/>
    <n v="-26.89"/>
    <n v="1361"/>
    <n v="1"/>
    <n v="1"/>
  </r>
  <r>
    <m/>
    <m/>
    <x v="1"/>
    <s v="98361540001003"/>
    <n v="-0.4"/>
    <n v="20"/>
    <n v="1"/>
    <n v="1"/>
  </r>
  <r>
    <m/>
    <m/>
    <x v="1"/>
    <s v="98374511001001"/>
    <n v="-0.65"/>
    <n v="33"/>
    <n v="1"/>
    <n v="1"/>
  </r>
  <r>
    <m/>
    <m/>
    <x v="1"/>
    <s v="98420960001001"/>
    <n v="-9.64"/>
    <n v="488"/>
    <n v="1"/>
    <n v="1"/>
  </r>
  <r>
    <m/>
    <m/>
    <x v="1"/>
    <s v="98472116001003"/>
    <n v="-0.38"/>
    <n v="19"/>
    <n v="1"/>
    <n v="1"/>
  </r>
  <r>
    <m/>
    <m/>
    <x v="1"/>
    <s v="98628679001001"/>
    <n v="-9.27"/>
    <n v="469"/>
    <n v="1"/>
    <n v="1"/>
  </r>
  <r>
    <m/>
    <m/>
    <x v="1"/>
    <s v="98734416001003"/>
    <n v="-5.79"/>
    <n v="293"/>
    <n v="1"/>
    <n v="1"/>
  </r>
  <r>
    <m/>
    <m/>
    <x v="1"/>
    <s v="99088785001001"/>
    <n v="-1.1499999999999999"/>
    <n v="58"/>
    <n v="1"/>
    <n v="1"/>
  </r>
  <r>
    <m/>
    <m/>
    <x v="1"/>
    <s v="99752520001007"/>
    <n v="-40.729999999999997"/>
    <n v="2061"/>
    <n v="1"/>
    <n v="1"/>
  </r>
  <r>
    <m/>
    <m/>
    <x v="1"/>
    <s v="99831171001001"/>
    <n v="-5.63"/>
    <n v="285"/>
    <n v="1"/>
    <n v="1"/>
  </r>
  <r>
    <m/>
    <m/>
    <x v="1"/>
    <s v="99960737001001"/>
    <n v="-9.48"/>
    <n v="480"/>
    <n v="1"/>
    <n v="1"/>
  </r>
  <r>
    <m/>
    <m/>
    <x v="2"/>
    <m/>
    <n v="-6275.2199999999948"/>
    <n v="317571"/>
    <n v="653"/>
    <n v="652"/>
  </r>
  <r>
    <m/>
    <m/>
    <x v="3"/>
    <s v="00129382001001"/>
    <n v="-0.16"/>
    <n v="5"/>
    <n v="1"/>
    <n v="1"/>
  </r>
  <r>
    <m/>
    <m/>
    <x v="1"/>
    <s v="00416718001001"/>
    <n v="-2.4300000000000002"/>
    <n v="77"/>
    <n v="1"/>
    <n v="1"/>
  </r>
  <r>
    <m/>
    <m/>
    <x v="1"/>
    <s v="00505142001001"/>
    <n v="-1.08"/>
    <n v="34"/>
    <n v="1"/>
    <n v="1"/>
  </r>
  <r>
    <m/>
    <m/>
    <x v="1"/>
    <s v="00620929001002"/>
    <n v="-1.08"/>
    <n v="34"/>
    <n v="1"/>
    <n v="1"/>
  </r>
  <r>
    <m/>
    <m/>
    <x v="1"/>
    <s v="00730907001001"/>
    <n v="-7.62"/>
    <n v="241"/>
    <n v="1"/>
    <n v="1"/>
  </r>
  <r>
    <m/>
    <m/>
    <x v="1"/>
    <s v="00906029001008"/>
    <n v="-8.7899999999999991"/>
    <n v="278"/>
    <n v="1"/>
    <n v="1"/>
  </r>
  <r>
    <m/>
    <m/>
    <x v="1"/>
    <s v="00927680001009"/>
    <n v="-4.5199999999999996"/>
    <n v="143"/>
    <n v="1"/>
    <n v="1"/>
  </r>
  <r>
    <m/>
    <m/>
    <x v="1"/>
    <s v="00973908002001"/>
    <n v="-42.66"/>
    <n v="1349"/>
    <n v="1"/>
    <n v="1"/>
  </r>
  <r>
    <m/>
    <m/>
    <x v="1"/>
    <s v="01105022001001"/>
    <n v="-8.98"/>
    <n v="284"/>
    <n v="1"/>
    <n v="1"/>
  </r>
  <r>
    <m/>
    <m/>
    <x v="1"/>
    <s v="01911223001001"/>
    <n v="-23.65"/>
    <n v="748"/>
    <n v="1"/>
    <n v="1"/>
  </r>
  <r>
    <m/>
    <m/>
    <x v="1"/>
    <s v="02155866001004"/>
    <n v="-11.38"/>
    <n v="360"/>
    <n v="1"/>
    <n v="1"/>
  </r>
  <r>
    <m/>
    <m/>
    <x v="1"/>
    <s v="02249862002005"/>
    <n v="-35.57"/>
    <n v="1125"/>
    <n v="1"/>
    <n v="1"/>
  </r>
  <r>
    <m/>
    <m/>
    <x v="1"/>
    <s v="02523107001004"/>
    <n v="-10.78"/>
    <n v="341"/>
    <n v="1"/>
    <n v="1"/>
  </r>
  <r>
    <m/>
    <m/>
    <x v="1"/>
    <s v="02625530001001"/>
    <n v="-0.85"/>
    <n v="27"/>
    <n v="1"/>
    <n v="1"/>
  </r>
  <r>
    <m/>
    <m/>
    <x v="1"/>
    <s v="02761318001001"/>
    <n v="-29.44"/>
    <n v="931"/>
    <n v="1"/>
    <n v="1"/>
  </r>
  <r>
    <m/>
    <m/>
    <x v="1"/>
    <s v="02861062001008"/>
    <n v="-14.32"/>
    <n v="453"/>
    <n v="1"/>
    <n v="1"/>
  </r>
  <r>
    <m/>
    <m/>
    <x v="1"/>
    <s v="03088248001005"/>
    <n v="-17.899999999999999"/>
    <n v="566"/>
    <n v="1"/>
    <n v="1"/>
  </r>
  <r>
    <m/>
    <m/>
    <x v="1"/>
    <s v="03304096001001"/>
    <n v="-10.72"/>
    <n v="339"/>
    <n v="1"/>
    <n v="1"/>
  </r>
  <r>
    <m/>
    <m/>
    <x v="1"/>
    <s v="03379746001001"/>
    <n v="-1.49"/>
    <n v="47"/>
    <n v="1"/>
    <n v="1"/>
  </r>
  <r>
    <m/>
    <m/>
    <x v="1"/>
    <s v="03494646001002"/>
    <n v="-2.4300000000000002"/>
    <n v="77"/>
    <n v="1"/>
    <n v="1"/>
  </r>
  <r>
    <m/>
    <m/>
    <x v="1"/>
    <s v="03953360002003"/>
    <n v="-3.76"/>
    <n v="119"/>
    <n v="1"/>
    <n v="1"/>
  </r>
  <r>
    <m/>
    <m/>
    <x v="1"/>
    <s v="04235477001011"/>
    <n v="-13.15"/>
    <n v="416"/>
    <n v="1"/>
    <n v="1"/>
  </r>
  <r>
    <m/>
    <m/>
    <x v="1"/>
    <s v="04587647002001"/>
    <n v="-9.74"/>
    <n v="308"/>
    <n v="1"/>
    <n v="1"/>
  </r>
  <r>
    <m/>
    <m/>
    <x v="1"/>
    <s v="04668888001001"/>
    <n v="-12.62"/>
    <n v="399"/>
    <n v="1"/>
    <n v="1"/>
  </r>
  <r>
    <m/>
    <m/>
    <x v="1"/>
    <s v="04763856001007"/>
    <n v="-65.17"/>
    <n v="2061"/>
    <n v="1"/>
    <n v="1"/>
  </r>
  <r>
    <m/>
    <m/>
    <x v="1"/>
    <s v="04767750001002"/>
    <n v="-26.31"/>
    <n v="832"/>
    <n v="1"/>
    <n v="1"/>
  </r>
  <r>
    <m/>
    <m/>
    <x v="1"/>
    <s v="05077769001001"/>
    <n v="-3.23"/>
    <n v="102"/>
    <n v="1"/>
    <n v="1"/>
  </r>
  <r>
    <m/>
    <m/>
    <x v="1"/>
    <s v="05133842001004"/>
    <n v="-5.25"/>
    <n v="166"/>
    <n v="1"/>
    <n v="1"/>
  </r>
  <r>
    <m/>
    <m/>
    <x v="1"/>
    <s v="05169515001001"/>
    <n v="-9.99"/>
    <n v="316"/>
    <n v="1"/>
    <n v="1"/>
  </r>
  <r>
    <m/>
    <m/>
    <x v="1"/>
    <s v="05197516003003"/>
    <n v="-41.42"/>
    <n v="1310"/>
    <n v="1"/>
    <n v="1"/>
  </r>
  <r>
    <m/>
    <m/>
    <x v="1"/>
    <s v="05767750001001"/>
    <n v="-0.63"/>
    <n v="20"/>
    <n v="1"/>
    <n v="1"/>
  </r>
  <r>
    <m/>
    <m/>
    <x v="1"/>
    <s v="05776636001001"/>
    <n v="-41.96"/>
    <n v="1327"/>
    <n v="1"/>
    <n v="1"/>
  </r>
  <r>
    <m/>
    <m/>
    <x v="1"/>
    <s v="05860137001003"/>
    <n v="-1.01"/>
    <n v="32"/>
    <n v="1"/>
    <n v="1"/>
  </r>
  <r>
    <m/>
    <m/>
    <x v="1"/>
    <s v="05861722001003"/>
    <n v="-13.25"/>
    <n v="419"/>
    <n v="1"/>
    <n v="1"/>
  </r>
  <r>
    <m/>
    <m/>
    <x v="1"/>
    <s v="05896396001005"/>
    <n v="-8.16"/>
    <n v="258"/>
    <n v="1"/>
    <n v="1"/>
  </r>
  <r>
    <m/>
    <m/>
    <x v="1"/>
    <s v="05896822001001"/>
    <n v="-6.01"/>
    <n v="190"/>
    <n v="1"/>
    <n v="1"/>
  </r>
  <r>
    <m/>
    <m/>
    <x v="1"/>
    <s v="06200267001003"/>
    <n v="-2.66"/>
    <n v="84"/>
    <n v="1"/>
    <n v="1"/>
  </r>
  <r>
    <m/>
    <m/>
    <x v="1"/>
    <s v="06257315001002"/>
    <n v="-3.41"/>
    <n v="108"/>
    <n v="1"/>
    <n v="1"/>
  </r>
  <r>
    <m/>
    <m/>
    <x v="1"/>
    <s v="06437475001006"/>
    <n v="-12.14"/>
    <n v="384"/>
    <n v="1"/>
    <n v="1"/>
  </r>
  <r>
    <m/>
    <m/>
    <x v="1"/>
    <s v="06650635001001"/>
    <n v="-32"/>
    <n v="1012"/>
    <n v="1"/>
    <n v="1"/>
  </r>
  <r>
    <m/>
    <m/>
    <x v="1"/>
    <s v="06651048001002"/>
    <n v="-7.94"/>
    <n v="251"/>
    <n v="1"/>
    <n v="1"/>
  </r>
  <r>
    <m/>
    <m/>
    <x v="1"/>
    <s v="06815394001001"/>
    <n v="-4.93"/>
    <n v="156"/>
    <n v="1"/>
    <n v="1"/>
  </r>
  <r>
    <m/>
    <m/>
    <x v="1"/>
    <s v="06840429001001"/>
    <n v="-5.15"/>
    <n v="163"/>
    <n v="1"/>
    <n v="1"/>
  </r>
  <r>
    <m/>
    <m/>
    <x v="1"/>
    <s v="07299621001001"/>
    <n v="-4.33"/>
    <n v="137"/>
    <n v="1"/>
    <n v="1"/>
  </r>
  <r>
    <m/>
    <m/>
    <x v="1"/>
    <s v="07580264003001"/>
    <n v="-69.06"/>
    <n v="2184"/>
    <n v="1"/>
    <n v="1"/>
  </r>
  <r>
    <m/>
    <m/>
    <x v="1"/>
    <s v="08005911001002"/>
    <n v="-20.84"/>
    <n v="659"/>
    <n v="1"/>
    <n v="1"/>
  </r>
  <r>
    <m/>
    <m/>
    <x v="1"/>
    <s v="08567574001005"/>
    <n v="-0.92"/>
    <n v="29"/>
    <n v="1"/>
    <n v="1"/>
  </r>
  <r>
    <m/>
    <m/>
    <x v="1"/>
    <s v="09159151001002"/>
    <n v="-0.79"/>
    <n v="25"/>
    <n v="1"/>
    <n v="1"/>
  </r>
  <r>
    <m/>
    <m/>
    <x v="1"/>
    <s v="09792707001004"/>
    <n v="-3.23"/>
    <n v="102"/>
    <n v="1"/>
    <n v="1"/>
  </r>
  <r>
    <m/>
    <m/>
    <x v="1"/>
    <s v="09912352001004"/>
    <n v="-16.850000000000001"/>
    <n v="533"/>
    <n v="1"/>
    <n v="1"/>
  </r>
  <r>
    <m/>
    <m/>
    <x v="1"/>
    <s v="09917655001001"/>
    <n v="-12.49"/>
    <n v="395"/>
    <n v="1"/>
    <n v="1"/>
  </r>
  <r>
    <m/>
    <m/>
    <x v="1"/>
    <s v="10636126001004"/>
    <n v="-1.01"/>
    <n v="32"/>
    <n v="1"/>
    <n v="1"/>
  </r>
  <r>
    <m/>
    <m/>
    <x v="1"/>
    <s v="11266870001001"/>
    <n v="-0.16"/>
    <n v="5"/>
    <n v="1"/>
    <n v="1"/>
  </r>
  <r>
    <m/>
    <m/>
    <x v="1"/>
    <s v="11457839001001"/>
    <n v="-0.66"/>
    <n v="21"/>
    <n v="1"/>
    <n v="1"/>
  </r>
  <r>
    <m/>
    <m/>
    <x v="1"/>
    <s v="11724251004003"/>
    <n v="-3.29"/>
    <n v="104"/>
    <n v="1"/>
    <n v="1"/>
  </r>
  <r>
    <m/>
    <m/>
    <x v="1"/>
    <s v="11913025001002"/>
    <n v="-23.81"/>
    <n v="753"/>
    <n v="1"/>
    <n v="1"/>
  </r>
  <r>
    <m/>
    <m/>
    <x v="1"/>
    <s v="11918881001001"/>
    <n v="-0.82"/>
    <n v="26"/>
    <n v="1"/>
    <n v="1"/>
  </r>
  <r>
    <m/>
    <m/>
    <x v="1"/>
    <s v="11927411001002"/>
    <n v="-15.84"/>
    <n v="501"/>
    <n v="1"/>
    <n v="1"/>
  </r>
  <r>
    <m/>
    <m/>
    <x v="1"/>
    <s v="11968828001003"/>
    <n v="-8.41"/>
    <n v="266"/>
    <n v="1"/>
    <n v="1"/>
  </r>
  <r>
    <m/>
    <m/>
    <x v="1"/>
    <s v="12190744001001"/>
    <n v="-4.55"/>
    <n v="144"/>
    <n v="1"/>
    <n v="1"/>
  </r>
  <r>
    <m/>
    <m/>
    <x v="1"/>
    <s v="12237513001003"/>
    <n v="-41.07"/>
    <n v="1299"/>
    <n v="1"/>
    <n v="1"/>
  </r>
  <r>
    <m/>
    <m/>
    <x v="1"/>
    <s v="12304429001001"/>
    <n v="-1.1100000000000001"/>
    <n v="35"/>
    <n v="1"/>
    <n v="1"/>
  </r>
  <r>
    <m/>
    <m/>
    <x v="1"/>
    <s v="12968693001002"/>
    <n v="-8.6300000000000008"/>
    <n v="273"/>
    <n v="1"/>
    <n v="1"/>
  </r>
  <r>
    <m/>
    <m/>
    <x v="1"/>
    <s v="13064786005003"/>
    <n v="-17.55"/>
    <n v="555"/>
    <n v="1"/>
    <n v="1"/>
  </r>
  <r>
    <m/>
    <m/>
    <x v="1"/>
    <s v="13074980001004"/>
    <n v="-1.49"/>
    <n v="47"/>
    <n v="1"/>
    <n v="1"/>
  </r>
  <r>
    <m/>
    <m/>
    <x v="1"/>
    <s v="13235148001006"/>
    <n v="-2.59"/>
    <n v="82"/>
    <n v="1"/>
    <n v="1"/>
  </r>
  <r>
    <m/>
    <m/>
    <x v="1"/>
    <s v="13302962002001"/>
    <n v="-22.96"/>
    <n v="726"/>
    <n v="1"/>
    <n v="1"/>
  </r>
  <r>
    <m/>
    <m/>
    <x v="1"/>
    <s v="13341729001002"/>
    <n v="-4.84"/>
    <n v="153"/>
    <n v="1"/>
    <n v="1"/>
  </r>
  <r>
    <m/>
    <m/>
    <x v="1"/>
    <s v="13378355002003"/>
    <n v="-0.13"/>
    <n v="4"/>
    <n v="1"/>
    <n v="1"/>
  </r>
  <r>
    <m/>
    <m/>
    <x v="1"/>
    <s v="13653453001001"/>
    <n v="-16.13"/>
    <n v="510"/>
    <n v="1"/>
    <n v="1"/>
  </r>
  <r>
    <m/>
    <m/>
    <x v="1"/>
    <s v="13955388002002"/>
    <n v="-0.6"/>
    <n v="19"/>
    <n v="1"/>
    <n v="1"/>
  </r>
  <r>
    <m/>
    <m/>
    <x v="1"/>
    <s v="14223962001009"/>
    <n v="-7.3"/>
    <n v="231"/>
    <n v="1"/>
    <n v="1"/>
  </r>
  <r>
    <m/>
    <m/>
    <x v="1"/>
    <s v="14250991001001"/>
    <n v="-6.01"/>
    <n v="190"/>
    <n v="1"/>
    <n v="1"/>
  </r>
  <r>
    <m/>
    <m/>
    <x v="1"/>
    <s v="14533471002003"/>
    <n v="-2.97"/>
    <n v="94"/>
    <n v="1"/>
    <n v="1"/>
  </r>
  <r>
    <m/>
    <m/>
    <x v="1"/>
    <s v="14880751002003"/>
    <n v="-37.409999999999997"/>
    <n v="1183"/>
    <n v="1"/>
    <n v="1"/>
  </r>
  <r>
    <m/>
    <m/>
    <x v="1"/>
    <s v="15113741003003"/>
    <n v="-7.43"/>
    <n v="235"/>
    <n v="1"/>
    <n v="1"/>
  </r>
  <r>
    <m/>
    <m/>
    <x v="1"/>
    <s v="15120810001001"/>
    <n v="-4.1399999999999997"/>
    <n v="131"/>
    <n v="1"/>
    <n v="1"/>
  </r>
  <r>
    <m/>
    <m/>
    <x v="1"/>
    <s v="15171809001001"/>
    <n v="-6.61"/>
    <n v="209"/>
    <n v="1"/>
    <n v="1"/>
  </r>
  <r>
    <m/>
    <m/>
    <x v="1"/>
    <s v="15210168001005"/>
    <n v="-9.52"/>
    <n v="301"/>
    <n v="1"/>
    <n v="1"/>
  </r>
  <r>
    <m/>
    <m/>
    <x v="1"/>
    <s v="15330418003001"/>
    <n v="-33.9"/>
    <n v="1072"/>
    <n v="1"/>
    <n v="1"/>
  </r>
  <r>
    <m/>
    <m/>
    <x v="1"/>
    <s v="15503453001003"/>
    <n v="-113.77"/>
    <n v="3598"/>
    <n v="1"/>
    <n v="1"/>
  </r>
  <r>
    <m/>
    <m/>
    <x v="1"/>
    <s v="15945184001001"/>
    <n v="-3.16"/>
    <n v="100"/>
    <n v="1"/>
    <n v="1"/>
  </r>
  <r>
    <m/>
    <m/>
    <x v="1"/>
    <s v="16066827001002"/>
    <n v="-0.22"/>
    <n v="7"/>
    <n v="1"/>
    <n v="1"/>
  </r>
  <r>
    <m/>
    <m/>
    <x v="1"/>
    <s v="16709268001002"/>
    <n v="-1.58"/>
    <n v="50"/>
    <n v="1"/>
    <n v="1"/>
  </r>
  <r>
    <m/>
    <m/>
    <x v="1"/>
    <s v="16766325001001"/>
    <n v="-5.6"/>
    <n v="177"/>
    <n v="1"/>
    <n v="1"/>
  </r>
  <r>
    <m/>
    <m/>
    <x v="1"/>
    <s v="16954651006001"/>
    <n v="-1.52"/>
    <n v="48"/>
    <n v="1"/>
    <n v="1"/>
  </r>
  <r>
    <m/>
    <m/>
    <x v="1"/>
    <s v="17064549001001"/>
    <n v="-55.15"/>
    <n v="1744"/>
    <n v="1"/>
    <n v="1"/>
  </r>
  <r>
    <m/>
    <m/>
    <x v="1"/>
    <s v="17226786001001"/>
    <n v="-23.21"/>
    <n v="734"/>
    <n v="1"/>
    <n v="1"/>
  </r>
  <r>
    <m/>
    <m/>
    <x v="1"/>
    <s v="17540542001001"/>
    <n v="-54.54"/>
    <n v="1725"/>
    <n v="1"/>
    <n v="1"/>
  </r>
  <r>
    <m/>
    <m/>
    <x v="1"/>
    <s v="17617860003002"/>
    <n v="-0.6"/>
    <n v="19"/>
    <n v="1"/>
    <n v="1"/>
  </r>
  <r>
    <m/>
    <m/>
    <x v="1"/>
    <s v="17719524002004"/>
    <n v="-18.149999999999999"/>
    <n v="574"/>
    <n v="1"/>
    <n v="1"/>
  </r>
  <r>
    <m/>
    <m/>
    <x v="1"/>
    <s v="17724609001006"/>
    <n v="-4.4000000000000004"/>
    <n v="139"/>
    <n v="1"/>
    <n v="1"/>
  </r>
  <r>
    <m/>
    <m/>
    <x v="1"/>
    <s v="17785645002001"/>
    <n v="-18.28"/>
    <n v="578"/>
    <n v="1"/>
    <n v="1"/>
  </r>
  <r>
    <m/>
    <m/>
    <x v="1"/>
    <s v="17834267001002"/>
    <n v="-12.74"/>
    <n v="403"/>
    <n v="1"/>
    <n v="1"/>
  </r>
  <r>
    <m/>
    <m/>
    <x v="1"/>
    <s v="18002664001003"/>
    <n v="-1.01"/>
    <n v="32"/>
    <n v="1"/>
    <n v="1"/>
  </r>
  <r>
    <m/>
    <m/>
    <x v="1"/>
    <s v="18029261002004"/>
    <n v="-68.239999999999995"/>
    <n v="2158"/>
    <n v="1"/>
    <n v="1"/>
  </r>
  <r>
    <m/>
    <m/>
    <x v="1"/>
    <s v="18387937001003"/>
    <n v="-6.83"/>
    <n v="216"/>
    <n v="1"/>
    <n v="1"/>
  </r>
  <r>
    <m/>
    <m/>
    <x v="1"/>
    <s v="18598550001004"/>
    <n v="-22.77"/>
    <n v="720"/>
    <n v="1"/>
    <n v="1"/>
  </r>
  <r>
    <m/>
    <m/>
    <x v="1"/>
    <s v="18733572001003"/>
    <n v="-24.57"/>
    <n v="777"/>
    <n v="1"/>
    <n v="1"/>
  </r>
  <r>
    <m/>
    <m/>
    <x v="1"/>
    <s v="19345185001001"/>
    <n v="-43.86"/>
    <n v="1387"/>
    <n v="1"/>
    <n v="1"/>
  </r>
  <r>
    <m/>
    <m/>
    <x v="1"/>
    <s v="20135004001001"/>
    <n v="-8.06"/>
    <n v="255"/>
    <n v="1"/>
    <n v="1"/>
  </r>
  <r>
    <m/>
    <m/>
    <x v="1"/>
    <s v="20367566001001"/>
    <n v="-62.07"/>
    <n v="1963"/>
    <n v="1"/>
    <n v="1"/>
  </r>
  <r>
    <m/>
    <m/>
    <x v="1"/>
    <s v="20480851001001"/>
    <n v="-9.7100000000000009"/>
    <n v="307"/>
    <n v="1"/>
    <n v="1"/>
  </r>
  <r>
    <m/>
    <m/>
    <x v="1"/>
    <s v="20683934001002"/>
    <n v="-51.29"/>
    <n v="1622"/>
    <n v="1"/>
    <n v="1"/>
  </r>
  <r>
    <m/>
    <m/>
    <x v="1"/>
    <s v="21045838003008"/>
    <n v="-1.52"/>
    <n v="48"/>
    <n v="1"/>
    <n v="1"/>
  </r>
  <r>
    <m/>
    <m/>
    <x v="1"/>
    <s v="21219326001001"/>
    <n v="-13.5"/>
    <n v="427"/>
    <n v="1"/>
    <n v="1"/>
  </r>
  <r>
    <m/>
    <m/>
    <x v="1"/>
    <s v="21645618001001"/>
    <n v="-10.18"/>
    <n v="322"/>
    <n v="1"/>
    <n v="1"/>
  </r>
  <r>
    <m/>
    <m/>
    <x v="1"/>
    <s v="21735084001005"/>
    <n v="-7.59"/>
    <n v="240"/>
    <n v="2"/>
    <n v="1"/>
  </r>
  <r>
    <m/>
    <m/>
    <x v="1"/>
    <s v="21809926001003"/>
    <n v="-40.659999999999997"/>
    <n v="1286"/>
    <n v="1"/>
    <n v="1"/>
  </r>
  <r>
    <m/>
    <m/>
    <x v="1"/>
    <s v="21943625001001"/>
    <n v="-5.22"/>
    <n v="165"/>
    <n v="1"/>
    <n v="1"/>
  </r>
  <r>
    <m/>
    <m/>
    <x v="1"/>
    <s v="22038466001001"/>
    <n v="-10.31"/>
    <n v="326"/>
    <n v="1"/>
    <n v="1"/>
  </r>
  <r>
    <m/>
    <m/>
    <x v="1"/>
    <s v="22106063002001"/>
    <n v="-5.15"/>
    <n v="163"/>
    <n v="1"/>
    <n v="1"/>
  </r>
  <r>
    <m/>
    <m/>
    <x v="1"/>
    <s v="22358815001001"/>
    <n v="-2.12"/>
    <n v="67"/>
    <n v="1"/>
    <n v="1"/>
  </r>
  <r>
    <m/>
    <m/>
    <x v="1"/>
    <s v="22380133001001"/>
    <n v="-1.74"/>
    <n v="55"/>
    <n v="1"/>
    <n v="1"/>
  </r>
  <r>
    <m/>
    <m/>
    <x v="1"/>
    <s v="22448306001006"/>
    <n v="-0.51"/>
    <n v="16"/>
    <n v="1"/>
    <n v="1"/>
  </r>
  <r>
    <m/>
    <m/>
    <x v="1"/>
    <s v="22617306001001"/>
    <n v="-16.760000000000002"/>
    <n v="530"/>
    <n v="1"/>
    <n v="1"/>
  </r>
  <r>
    <m/>
    <m/>
    <x v="1"/>
    <s v="23144950001001"/>
    <n v="-12.96"/>
    <n v="410"/>
    <n v="1"/>
    <n v="1"/>
  </r>
  <r>
    <m/>
    <m/>
    <x v="1"/>
    <s v="23176970001001"/>
    <n v="-4.84"/>
    <n v="153"/>
    <n v="1"/>
    <n v="1"/>
  </r>
  <r>
    <m/>
    <m/>
    <x v="1"/>
    <s v="23191485002001"/>
    <n v="-1.8"/>
    <n v="57"/>
    <n v="1"/>
    <n v="1"/>
  </r>
  <r>
    <m/>
    <m/>
    <x v="1"/>
    <s v="23403071001003"/>
    <n v="-14.48"/>
    <n v="458"/>
    <n v="1"/>
    <n v="1"/>
  </r>
  <r>
    <m/>
    <m/>
    <x v="1"/>
    <s v="23407345001001"/>
    <n v="-0.73"/>
    <n v="23"/>
    <n v="1"/>
    <n v="1"/>
  </r>
  <r>
    <m/>
    <m/>
    <x v="1"/>
    <s v="23460849001001"/>
    <n v="-0.25"/>
    <n v="8"/>
    <n v="1"/>
    <n v="1"/>
  </r>
  <r>
    <m/>
    <m/>
    <x v="1"/>
    <s v="24037929001002"/>
    <n v="-12.14"/>
    <n v="384"/>
    <n v="1"/>
    <n v="1"/>
  </r>
  <r>
    <m/>
    <m/>
    <x v="1"/>
    <s v="24288214001003"/>
    <n v="-29.28"/>
    <n v="926"/>
    <n v="1"/>
    <n v="1"/>
  </r>
  <r>
    <m/>
    <m/>
    <x v="1"/>
    <s v="24328203001004"/>
    <n v="-22.36"/>
    <n v="707"/>
    <n v="1"/>
    <n v="1"/>
  </r>
  <r>
    <m/>
    <m/>
    <x v="1"/>
    <s v="24488041001001"/>
    <n v="-1.17"/>
    <n v="37"/>
    <n v="1"/>
    <n v="1"/>
  </r>
  <r>
    <m/>
    <m/>
    <x v="1"/>
    <s v="24516542001001"/>
    <n v="-3.41"/>
    <n v="108"/>
    <n v="1"/>
    <n v="1"/>
  </r>
  <r>
    <m/>
    <m/>
    <x v="1"/>
    <s v="24516542001005"/>
    <n v="-11.35"/>
    <n v="359"/>
    <n v="1"/>
    <n v="1"/>
  </r>
  <r>
    <m/>
    <m/>
    <x v="1"/>
    <s v="24717192001004"/>
    <n v="-1.71"/>
    <n v="54"/>
    <n v="1"/>
    <n v="1"/>
  </r>
  <r>
    <m/>
    <m/>
    <x v="1"/>
    <s v="24992881001001"/>
    <n v="-3.29"/>
    <n v="104"/>
    <n v="1"/>
    <n v="1"/>
  </r>
  <r>
    <m/>
    <m/>
    <x v="1"/>
    <s v="25126731001002"/>
    <n v="-24.85"/>
    <n v="786"/>
    <n v="1"/>
    <n v="1"/>
  </r>
  <r>
    <m/>
    <m/>
    <x v="1"/>
    <s v="25133485004001"/>
    <n v="-10.31"/>
    <n v="326"/>
    <n v="1"/>
    <n v="1"/>
  </r>
  <r>
    <m/>
    <m/>
    <x v="1"/>
    <s v="25184196001003"/>
    <n v="-4.1399999999999997"/>
    <n v="131"/>
    <n v="1"/>
    <n v="1"/>
  </r>
  <r>
    <m/>
    <m/>
    <x v="1"/>
    <s v="25549425001001"/>
    <n v="-13.5"/>
    <n v="427"/>
    <n v="1"/>
    <n v="1"/>
  </r>
  <r>
    <m/>
    <m/>
    <x v="1"/>
    <s v="25577769001001"/>
    <n v="-14.42"/>
    <n v="456"/>
    <n v="1"/>
    <n v="1"/>
  </r>
  <r>
    <m/>
    <m/>
    <x v="1"/>
    <s v="25782349001008"/>
    <n v="-0.66"/>
    <n v="21"/>
    <n v="1"/>
    <n v="1"/>
  </r>
  <r>
    <m/>
    <m/>
    <x v="1"/>
    <s v="25915661001001"/>
    <n v="-15.56"/>
    <n v="492"/>
    <n v="1"/>
    <n v="1"/>
  </r>
  <r>
    <m/>
    <m/>
    <x v="1"/>
    <s v="26054021001002"/>
    <n v="-8.57"/>
    <n v="271"/>
    <n v="1"/>
    <n v="1"/>
  </r>
  <r>
    <m/>
    <m/>
    <x v="1"/>
    <s v="26264318007001"/>
    <n v="-1.3"/>
    <n v="41"/>
    <n v="1"/>
    <n v="1"/>
  </r>
  <r>
    <m/>
    <m/>
    <x v="1"/>
    <s v="26369110002001"/>
    <n v="-11.13"/>
    <n v="352"/>
    <n v="1"/>
    <n v="1"/>
  </r>
  <r>
    <m/>
    <m/>
    <x v="1"/>
    <s v="26826704001001"/>
    <n v="-74.59"/>
    <n v="2359"/>
    <n v="1"/>
    <n v="1"/>
  </r>
  <r>
    <m/>
    <m/>
    <x v="1"/>
    <s v="26894132001003"/>
    <n v="-26.37"/>
    <n v="834"/>
    <n v="1"/>
    <n v="1"/>
  </r>
  <r>
    <m/>
    <m/>
    <x v="1"/>
    <s v="27356342001008"/>
    <n v="-6.89"/>
    <n v="218"/>
    <n v="1"/>
    <n v="1"/>
  </r>
  <r>
    <m/>
    <m/>
    <x v="1"/>
    <s v="27378709001002"/>
    <n v="-3.92"/>
    <n v="124"/>
    <n v="1"/>
    <n v="1"/>
  </r>
  <r>
    <m/>
    <m/>
    <x v="1"/>
    <s v="27386880001001"/>
    <n v="-0.22"/>
    <n v="7"/>
    <n v="1"/>
    <n v="1"/>
  </r>
  <r>
    <m/>
    <m/>
    <x v="1"/>
    <s v="27457180001003"/>
    <n v="-57.2"/>
    <n v="1809"/>
    <n v="1"/>
    <n v="1"/>
  </r>
  <r>
    <m/>
    <m/>
    <x v="1"/>
    <s v="27757021006001"/>
    <n v="-28.33"/>
    <n v="896"/>
    <n v="1"/>
    <n v="1"/>
  </r>
  <r>
    <m/>
    <m/>
    <x v="1"/>
    <s v="27759845001003"/>
    <n v="-26.34"/>
    <n v="833"/>
    <n v="1"/>
    <n v="1"/>
  </r>
  <r>
    <m/>
    <m/>
    <x v="1"/>
    <s v="27853234002005"/>
    <n v="-8.6300000000000008"/>
    <n v="273"/>
    <n v="1"/>
    <n v="1"/>
  </r>
  <r>
    <m/>
    <m/>
    <x v="1"/>
    <s v="27961860001002"/>
    <n v="-30.89"/>
    <n v="977"/>
    <n v="1"/>
    <n v="1"/>
  </r>
  <r>
    <m/>
    <m/>
    <x v="1"/>
    <s v="28152909003008"/>
    <n v="-5.75"/>
    <n v="182"/>
    <n v="1"/>
    <n v="1"/>
  </r>
  <r>
    <m/>
    <m/>
    <x v="1"/>
    <s v="28227700001002"/>
    <n v="-6.61"/>
    <n v="209"/>
    <n v="1"/>
    <n v="1"/>
  </r>
  <r>
    <m/>
    <m/>
    <x v="1"/>
    <s v="28430533001001"/>
    <n v="-7.43"/>
    <n v="235"/>
    <n v="1"/>
    <n v="1"/>
  </r>
  <r>
    <m/>
    <m/>
    <x v="1"/>
    <s v="28758621002006"/>
    <n v="-4.93"/>
    <n v="156"/>
    <n v="1"/>
    <n v="1"/>
  </r>
  <r>
    <m/>
    <m/>
    <x v="1"/>
    <s v="28767495001002"/>
    <n v="-7.49"/>
    <n v="237"/>
    <n v="1"/>
    <n v="1"/>
  </r>
  <r>
    <m/>
    <m/>
    <x v="1"/>
    <s v="28950576001002"/>
    <n v="-4.3600000000000003"/>
    <n v="138"/>
    <n v="1"/>
    <n v="1"/>
  </r>
  <r>
    <m/>
    <m/>
    <x v="1"/>
    <s v="28959951001001"/>
    <n v="-11.07"/>
    <n v="350"/>
    <n v="1"/>
    <n v="1"/>
  </r>
  <r>
    <m/>
    <m/>
    <x v="1"/>
    <s v="29018049002001"/>
    <n v="-60.46"/>
    <n v="1912"/>
    <n v="1"/>
    <n v="1"/>
  </r>
  <r>
    <m/>
    <m/>
    <x v="1"/>
    <s v="29219744003001"/>
    <n v="-3.86"/>
    <n v="122"/>
    <n v="1"/>
    <n v="1"/>
  </r>
  <r>
    <m/>
    <m/>
    <x v="1"/>
    <s v="29374050001001"/>
    <n v="-4.1399999999999997"/>
    <n v="131"/>
    <n v="1"/>
    <n v="1"/>
  </r>
  <r>
    <m/>
    <m/>
    <x v="1"/>
    <s v="29448259001002"/>
    <n v="-6.42"/>
    <n v="203"/>
    <n v="1"/>
    <n v="1"/>
  </r>
  <r>
    <m/>
    <m/>
    <x v="1"/>
    <s v="30127101002001"/>
    <n v="-0.35"/>
    <n v="11"/>
    <n v="1"/>
    <n v="1"/>
  </r>
  <r>
    <m/>
    <m/>
    <x v="1"/>
    <s v="30178239001001"/>
    <n v="-26.05"/>
    <n v="824"/>
    <n v="1"/>
    <n v="1"/>
  </r>
  <r>
    <m/>
    <m/>
    <x v="1"/>
    <s v="30249803005001"/>
    <n v="-61.28"/>
    <n v="1938"/>
    <n v="1"/>
    <n v="1"/>
  </r>
  <r>
    <m/>
    <m/>
    <x v="1"/>
    <s v="30276690001001"/>
    <n v="-28.96"/>
    <n v="916"/>
    <n v="1"/>
    <n v="1"/>
  </r>
  <r>
    <m/>
    <m/>
    <x v="1"/>
    <s v="30816545001001"/>
    <n v="-11.6"/>
    <n v="367"/>
    <n v="1"/>
    <n v="1"/>
  </r>
  <r>
    <m/>
    <m/>
    <x v="1"/>
    <s v="30947723001004"/>
    <n v="-8.1300000000000008"/>
    <n v="257"/>
    <n v="1"/>
    <n v="1"/>
  </r>
  <r>
    <m/>
    <m/>
    <x v="1"/>
    <s v="31180821001001"/>
    <n v="-6.89"/>
    <n v="218"/>
    <n v="1"/>
    <n v="1"/>
  </r>
  <r>
    <m/>
    <m/>
    <x v="1"/>
    <s v="31266211001004"/>
    <n v="-14.77"/>
    <n v="467"/>
    <n v="1"/>
    <n v="1"/>
  </r>
  <r>
    <m/>
    <m/>
    <x v="1"/>
    <s v="31555689001001"/>
    <n v="-7.75"/>
    <n v="245"/>
    <n v="1"/>
    <n v="1"/>
  </r>
  <r>
    <m/>
    <m/>
    <x v="1"/>
    <s v="32083453006001"/>
    <n v="-7.43"/>
    <n v="235"/>
    <n v="1"/>
    <n v="1"/>
  </r>
  <r>
    <m/>
    <m/>
    <x v="1"/>
    <s v="32160303001001"/>
    <n v="-1.3"/>
    <n v="41"/>
    <n v="1"/>
    <n v="1"/>
  </r>
  <r>
    <m/>
    <m/>
    <x v="1"/>
    <s v="32160594001003"/>
    <n v="-0.56999999999999995"/>
    <n v="18"/>
    <n v="1"/>
    <n v="1"/>
  </r>
  <r>
    <m/>
    <m/>
    <x v="1"/>
    <s v="32202242001001"/>
    <n v="-0.32"/>
    <n v="10"/>
    <n v="1"/>
    <n v="1"/>
  </r>
  <r>
    <m/>
    <m/>
    <x v="1"/>
    <s v="32579187001001"/>
    <n v="-16.510000000000002"/>
    <n v="522"/>
    <n v="1"/>
    <n v="1"/>
  </r>
  <r>
    <m/>
    <m/>
    <x v="1"/>
    <s v="32822815001001"/>
    <n v="-13.31"/>
    <n v="421"/>
    <n v="1"/>
    <n v="1"/>
  </r>
  <r>
    <m/>
    <m/>
    <x v="1"/>
    <s v="32974621002003"/>
    <n v="-11.57"/>
    <n v="366"/>
    <n v="1"/>
    <n v="1"/>
  </r>
  <r>
    <m/>
    <m/>
    <x v="1"/>
    <s v="32981616001003"/>
    <n v="-1.96"/>
    <n v="62"/>
    <n v="1"/>
    <n v="1"/>
  </r>
  <r>
    <m/>
    <m/>
    <x v="1"/>
    <s v="33238044001001"/>
    <n v="-1.83"/>
    <n v="58"/>
    <n v="1"/>
    <n v="1"/>
  </r>
  <r>
    <m/>
    <m/>
    <x v="1"/>
    <s v="33406654004008"/>
    <n v="-1.08"/>
    <n v="34"/>
    <n v="1"/>
    <n v="1"/>
  </r>
  <r>
    <m/>
    <m/>
    <x v="1"/>
    <s v="33550060001001"/>
    <n v="-13.63"/>
    <n v="431"/>
    <n v="1"/>
    <n v="1"/>
  </r>
  <r>
    <m/>
    <m/>
    <x v="1"/>
    <s v="33579124001002"/>
    <n v="-7.56"/>
    <n v="239"/>
    <n v="1"/>
    <n v="1"/>
  </r>
  <r>
    <m/>
    <m/>
    <x v="1"/>
    <s v="33599323001007"/>
    <n v="-22.96"/>
    <n v="726"/>
    <n v="1"/>
    <n v="1"/>
  </r>
  <r>
    <m/>
    <m/>
    <x v="1"/>
    <s v="33829956002003"/>
    <n v="-15.02"/>
    <n v="475"/>
    <n v="1"/>
    <n v="1"/>
  </r>
  <r>
    <m/>
    <m/>
    <x v="1"/>
    <s v="34066684001005"/>
    <n v="-0.13"/>
    <n v="4"/>
    <n v="1"/>
    <n v="1"/>
  </r>
  <r>
    <m/>
    <m/>
    <x v="1"/>
    <s v="34181343001001"/>
    <n v="-0.19"/>
    <n v="6"/>
    <n v="1"/>
    <n v="1"/>
  </r>
  <r>
    <m/>
    <m/>
    <x v="1"/>
    <s v="34671364002001"/>
    <n v="-8.66"/>
    <n v="274"/>
    <n v="1"/>
    <n v="1"/>
  </r>
  <r>
    <m/>
    <m/>
    <x v="1"/>
    <s v="34795801001004"/>
    <n v="-1.77"/>
    <n v="56"/>
    <n v="1"/>
    <n v="1"/>
  </r>
  <r>
    <m/>
    <m/>
    <x v="1"/>
    <s v="34874155001002"/>
    <n v="-3.95"/>
    <n v="125"/>
    <n v="1"/>
    <n v="1"/>
  </r>
  <r>
    <m/>
    <m/>
    <x v="1"/>
    <s v="35696004001001"/>
    <n v="-2.15"/>
    <n v="68"/>
    <n v="1"/>
    <n v="1"/>
  </r>
  <r>
    <m/>
    <m/>
    <x v="1"/>
    <s v="35934041001007"/>
    <n v="-2.88"/>
    <n v="91"/>
    <n v="1"/>
    <n v="1"/>
  </r>
  <r>
    <m/>
    <m/>
    <x v="1"/>
    <s v="35958850001005"/>
    <n v="-3.1"/>
    <n v="98"/>
    <n v="1"/>
    <n v="1"/>
  </r>
  <r>
    <m/>
    <m/>
    <x v="1"/>
    <s v="36061364001001"/>
    <n v="-28.65"/>
    <n v="906"/>
    <n v="1"/>
    <n v="1"/>
  </r>
  <r>
    <m/>
    <m/>
    <x v="1"/>
    <s v="36178447001001"/>
    <n v="-3.23"/>
    <n v="102"/>
    <n v="1"/>
    <n v="1"/>
  </r>
  <r>
    <m/>
    <m/>
    <x v="1"/>
    <s v="36181263001002"/>
    <n v="-16.059999999999999"/>
    <n v="508"/>
    <n v="1"/>
    <n v="1"/>
  </r>
  <r>
    <m/>
    <m/>
    <x v="1"/>
    <s v="36557126001001"/>
    <n v="-0.89"/>
    <n v="28"/>
    <n v="1"/>
    <n v="1"/>
  </r>
  <r>
    <m/>
    <m/>
    <x v="1"/>
    <s v="36603976001003"/>
    <n v="-37"/>
    <n v="1170"/>
    <n v="1"/>
    <n v="1"/>
  </r>
  <r>
    <m/>
    <m/>
    <x v="1"/>
    <s v="36713764001003"/>
    <n v="-13.31"/>
    <n v="421"/>
    <n v="1"/>
    <n v="1"/>
  </r>
  <r>
    <m/>
    <m/>
    <x v="1"/>
    <s v="36889550001002"/>
    <n v="-3.73"/>
    <n v="118"/>
    <n v="1"/>
    <n v="1"/>
  </r>
  <r>
    <m/>
    <m/>
    <x v="1"/>
    <s v="37389778001008"/>
    <n v="-10.4"/>
    <n v="329"/>
    <n v="1"/>
    <n v="1"/>
  </r>
  <r>
    <m/>
    <m/>
    <x v="1"/>
    <s v="37518547001003"/>
    <n v="-11.76"/>
    <n v="372"/>
    <n v="1"/>
    <n v="1"/>
  </r>
  <r>
    <m/>
    <m/>
    <x v="1"/>
    <s v="37546855001001"/>
    <n v="-0.22"/>
    <n v="7"/>
    <n v="1"/>
    <n v="1"/>
  </r>
  <r>
    <m/>
    <m/>
    <x v="1"/>
    <s v="37562851001001"/>
    <n v="-38.32"/>
    <n v="1212"/>
    <n v="1"/>
    <n v="1"/>
  </r>
  <r>
    <m/>
    <m/>
    <x v="1"/>
    <s v="37597820001001"/>
    <n v="-7.18"/>
    <n v="227"/>
    <n v="1"/>
    <n v="1"/>
  </r>
  <r>
    <m/>
    <m/>
    <x v="1"/>
    <s v="38003358004003"/>
    <n v="-1.99"/>
    <n v="63"/>
    <n v="1"/>
    <n v="1"/>
  </r>
  <r>
    <m/>
    <m/>
    <x v="1"/>
    <s v="38052228001001"/>
    <n v="-52.49"/>
    <n v="1660"/>
    <n v="1"/>
    <n v="1"/>
  </r>
  <r>
    <m/>
    <m/>
    <x v="1"/>
    <s v="38301543001001"/>
    <n v="-2.75"/>
    <n v="87"/>
    <n v="1"/>
    <n v="1"/>
  </r>
  <r>
    <m/>
    <m/>
    <x v="1"/>
    <s v="38911036001003"/>
    <n v="-18.75"/>
    <n v="593"/>
    <n v="1"/>
    <n v="1"/>
  </r>
  <r>
    <m/>
    <m/>
    <x v="1"/>
    <s v="39322194001002"/>
    <n v="-4.0199999999999996"/>
    <n v="127"/>
    <n v="1"/>
    <n v="1"/>
  </r>
  <r>
    <m/>
    <m/>
    <x v="1"/>
    <s v="39404404001003"/>
    <n v="-51.07"/>
    <n v="1615"/>
    <n v="1"/>
    <n v="1"/>
  </r>
  <r>
    <m/>
    <m/>
    <x v="1"/>
    <s v="39515066004001"/>
    <n v="-6.26"/>
    <n v="198"/>
    <n v="1"/>
    <n v="1"/>
  </r>
  <r>
    <m/>
    <m/>
    <x v="1"/>
    <s v="39597196001001"/>
    <n v="-12.68"/>
    <n v="401"/>
    <n v="1"/>
    <n v="1"/>
  </r>
  <r>
    <m/>
    <m/>
    <x v="1"/>
    <s v="40054017001004"/>
    <n v="-8.0299999999999994"/>
    <n v="254"/>
    <n v="1"/>
    <n v="1"/>
  </r>
  <r>
    <m/>
    <m/>
    <x v="1"/>
    <s v="40302520001002"/>
    <n v="-1.17"/>
    <n v="37"/>
    <n v="1"/>
    <n v="1"/>
  </r>
  <r>
    <m/>
    <m/>
    <x v="1"/>
    <s v="40601469001003"/>
    <n v="-5.22"/>
    <n v="165"/>
    <n v="1"/>
    <n v="1"/>
  </r>
  <r>
    <m/>
    <m/>
    <x v="1"/>
    <s v="40694900001003"/>
    <n v="-2.12"/>
    <n v="67"/>
    <n v="1"/>
    <n v="1"/>
  </r>
  <r>
    <m/>
    <m/>
    <x v="1"/>
    <s v="40702084001003"/>
    <n v="-28.81"/>
    <n v="911"/>
    <n v="1"/>
    <n v="1"/>
  </r>
  <r>
    <m/>
    <m/>
    <x v="1"/>
    <s v="40832381001001"/>
    <n v="-0.22"/>
    <n v="7"/>
    <n v="1"/>
    <n v="1"/>
  </r>
  <r>
    <m/>
    <m/>
    <x v="1"/>
    <s v="40940003001003"/>
    <n v="-2.4"/>
    <n v="76"/>
    <n v="1"/>
    <n v="1"/>
  </r>
  <r>
    <m/>
    <m/>
    <x v="1"/>
    <s v="41068244002001"/>
    <n v="-3.73"/>
    <n v="118"/>
    <n v="1"/>
    <n v="1"/>
  </r>
  <r>
    <m/>
    <m/>
    <x v="1"/>
    <s v="41179210003001"/>
    <n v="-0.89"/>
    <n v="28"/>
    <n v="1"/>
    <n v="1"/>
  </r>
  <r>
    <m/>
    <m/>
    <x v="1"/>
    <s v="41212065001001"/>
    <n v="-20.55"/>
    <n v="650"/>
    <n v="1"/>
    <n v="1"/>
  </r>
  <r>
    <m/>
    <m/>
    <x v="1"/>
    <s v="41335063001001"/>
    <n v="-81.58"/>
    <n v="2580"/>
    <n v="1"/>
    <n v="1"/>
  </r>
  <r>
    <m/>
    <m/>
    <x v="1"/>
    <s v="41401860001002"/>
    <n v="-9.77"/>
    <n v="309"/>
    <n v="1"/>
    <n v="1"/>
  </r>
  <r>
    <m/>
    <m/>
    <x v="1"/>
    <s v="41541188001001"/>
    <n v="-5.94"/>
    <n v="188"/>
    <n v="1"/>
    <n v="1"/>
  </r>
  <r>
    <m/>
    <m/>
    <x v="1"/>
    <s v="41547810001001"/>
    <n v="-7.62"/>
    <n v="241"/>
    <n v="1"/>
    <n v="1"/>
  </r>
  <r>
    <m/>
    <m/>
    <x v="1"/>
    <s v="41580871001004"/>
    <n v="-31.43"/>
    <n v="994"/>
    <n v="1"/>
    <n v="1"/>
  </r>
  <r>
    <m/>
    <m/>
    <x v="1"/>
    <s v="41605082002003"/>
    <n v="-1.71"/>
    <n v="54"/>
    <n v="1"/>
    <n v="1"/>
  </r>
  <r>
    <m/>
    <m/>
    <x v="1"/>
    <s v="42122067001003"/>
    <n v="-7.91"/>
    <n v="250"/>
    <n v="1"/>
    <n v="1"/>
  </r>
  <r>
    <m/>
    <m/>
    <x v="1"/>
    <s v="42453517001001"/>
    <n v="-5.72"/>
    <n v="181"/>
    <n v="1"/>
    <n v="1"/>
  </r>
  <r>
    <m/>
    <m/>
    <x v="1"/>
    <s v="42468571002003"/>
    <n v="-21.5"/>
    <n v="680"/>
    <n v="1"/>
    <n v="1"/>
  </r>
  <r>
    <m/>
    <m/>
    <x v="1"/>
    <s v="42502321001005"/>
    <n v="-4.68"/>
    <n v="148"/>
    <n v="1"/>
    <n v="1"/>
  </r>
  <r>
    <m/>
    <m/>
    <x v="1"/>
    <s v="42503511001002"/>
    <n v="-8.19"/>
    <n v="259"/>
    <n v="1"/>
    <n v="1"/>
  </r>
  <r>
    <m/>
    <m/>
    <x v="1"/>
    <s v="42523746002001"/>
    <n v="-10.06"/>
    <n v="318"/>
    <n v="1"/>
    <n v="1"/>
  </r>
  <r>
    <m/>
    <m/>
    <x v="1"/>
    <s v="42539421001001"/>
    <n v="-1.99"/>
    <n v="63"/>
    <n v="1"/>
    <n v="1"/>
  </r>
  <r>
    <m/>
    <m/>
    <x v="1"/>
    <s v="42543901001001"/>
    <n v="-14.26"/>
    <n v="451"/>
    <n v="1"/>
    <n v="1"/>
  </r>
  <r>
    <m/>
    <m/>
    <x v="1"/>
    <s v="42559441005001"/>
    <n v="-6.07"/>
    <n v="192"/>
    <n v="1"/>
    <n v="1"/>
  </r>
  <r>
    <m/>
    <m/>
    <x v="1"/>
    <s v="42569591004003"/>
    <n v="-1.61"/>
    <n v="51"/>
    <n v="1"/>
    <n v="1"/>
  </r>
  <r>
    <m/>
    <m/>
    <x v="1"/>
    <s v="42580441001002"/>
    <n v="-10.69"/>
    <n v="338"/>
    <n v="1"/>
    <n v="1"/>
  </r>
  <r>
    <m/>
    <m/>
    <x v="1"/>
    <s v="42632941001002"/>
    <n v="-6.77"/>
    <n v="214"/>
    <n v="1"/>
    <n v="1"/>
  </r>
  <r>
    <m/>
    <m/>
    <x v="1"/>
    <s v="42637141001007"/>
    <n v="-10.81"/>
    <n v="342"/>
    <n v="1"/>
    <n v="1"/>
  </r>
  <r>
    <m/>
    <m/>
    <x v="1"/>
    <s v="42646171001006"/>
    <n v="-2.02"/>
    <n v="64"/>
    <n v="1"/>
    <n v="1"/>
  </r>
  <r>
    <m/>
    <m/>
    <x v="1"/>
    <s v="42653661001001"/>
    <n v="-2.56"/>
    <n v="81"/>
    <n v="1"/>
    <n v="1"/>
  </r>
  <r>
    <m/>
    <m/>
    <x v="1"/>
    <s v="42658141001005"/>
    <n v="-3.67"/>
    <n v="116"/>
    <n v="1"/>
    <n v="1"/>
  </r>
  <r>
    <m/>
    <m/>
    <x v="1"/>
    <s v="42677111001001"/>
    <n v="-2.34"/>
    <n v="74"/>
    <n v="1"/>
    <n v="1"/>
  </r>
  <r>
    <m/>
    <m/>
    <x v="1"/>
    <s v="42678651001002"/>
    <n v="-0.89"/>
    <n v="28"/>
    <n v="1"/>
    <n v="1"/>
  </r>
  <r>
    <m/>
    <m/>
    <x v="1"/>
    <s v="42712111003004"/>
    <n v="-14.13"/>
    <n v="447"/>
    <n v="1"/>
    <n v="1"/>
  </r>
  <r>
    <m/>
    <m/>
    <x v="1"/>
    <s v="42740811001004"/>
    <n v="-0.95"/>
    <n v="30"/>
    <n v="1"/>
    <n v="1"/>
  </r>
  <r>
    <m/>
    <m/>
    <x v="1"/>
    <s v="43016751001009"/>
    <n v="-0.66"/>
    <n v="21"/>
    <n v="1"/>
    <n v="1"/>
  </r>
  <r>
    <m/>
    <m/>
    <x v="1"/>
    <s v="43029771001001"/>
    <n v="-0.22"/>
    <n v="7"/>
    <n v="1"/>
    <n v="1"/>
  </r>
  <r>
    <m/>
    <m/>
    <x v="1"/>
    <s v="43037331002001"/>
    <n v="-0.22"/>
    <n v="7"/>
    <n v="1"/>
    <n v="1"/>
  </r>
  <r>
    <m/>
    <m/>
    <x v="1"/>
    <s v="43067921001001"/>
    <n v="-0.38"/>
    <n v="12"/>
    <n v="1"/>
    <n v="1"/>
  </r>
  <r>
    <m/>
    <m/>
    <x v="1"/>
    <s v="43103551001002"/>
    <n v="-2.91"/>
    <n v="92"/>
    <n v="1"/>
    <n v="1"/>
  </r>
  <r>
    <m/>
    <m/>
    <x v="1"/>
    <s v="43113424001001"/>
    <n v="-61.03"/>
    <n v="1930"/>
    <n v="1"/>
    <n v="1"/>
  </r>
  <r>
    <m/>
    <m/>
    <x v="1"/>
    <s v="43225001001001"/>
    <n v="-0.85"/>
    <n v="27"/>
    <n v="1"/>
    <n v="1"/>
  </r>
  <r>
    <m/>
    <m/>
    <x v="1"/>
    <s v="43243411001002"/>
    <n v="-13.88"/>
    <n v="439"/>
    <n v="1"/>
    <n v="1"/>
  </r>
  <r>
    <m/>
    <m/>
    <x v="1"/>
    <s v="43245091005003"/>
    <n v="-0.56999999999999995"/>
    <n v="18"/>
    <n v="1"/>
    <n v="1"/>
  </r>
  <r>
    <m/>
    <m/>
    <x v="1"/>
    <s v="43262451002003"/>
    <n v="-4.05"/>
    <n v="128"/>
    <n v="1"/>
    <n v="1"/>
  </r>
  <r>
    <m/>
    <m/>
    <x v="1"/>
    <s v="43347711001001"/>
    <n v="-3.54"/>
    <n v="112"/>
    <n v="1"/>
    <n v="1"/>
  </r>
  <r>
    <m/>
    <m/>
    <x v="1"/>
    <s v="43386911002002"/>
    <n v="-8.57"/>
    <n v="271"/>
    <n v="1"/>
    <n v="1"/>
  </r>
  <r>
    <m/>
    <m/>
    <x v="1"/>
    <s v="43452641001001"/>
    <n v="-0.25"/>
    <n v="8"/>
    <n v="1"/>
    <n v="1"/>
  </r>
  <r>
    <m/>
    <m/>
    <x v="1"/>
    <s v="43678461001003"/>
    <n v="-0.66"/>
    <n v="21"/>
    <n v="1"/>
    <n v="1"/>
  </r>
  <r>
    <m/>
    <m/>
    <x v="1"/>
    <s v="43688479001001"/>
    <n v="-14.58"/>
    <n v="461"/>
    <n v="1"/>
    <n v="1"/>
  </r>
  <r>
    <m/>
    <m/>
    <x v="1"/>
    <s v="43721161001001"/>
    <n v="-17.989999999999998"/>
    <n v="569"/>
    <n v="1"/>
    <n v="1"/>
  </r>
  <r>
    <m/>
    <m/>
    <x v="1"/>
    <s v="43736211001004"/>
    <n v="-5.63"/>
    <n v="178"/>
    <n v="1"/>
    <n v="1"/>
  </r>
  <r>
    <m/>
    <m/>
    <x v="1"/>
    <s v="43801381001001"/>
    <n v="-9.4499999999999993"/>
    <n v="299"/>
    <n v="1"/>
    <n v="1"/>
  </r>
  <r>
    <m/>
    <m/>
    <x v="1"/>
    <s v="43856891001002"/>
    <n v="-23.56"/>
    <n v="745"/>
    <n v="1"/>
    <n v="1"/>
  </r>
  <r>
    <m/>
    <m/>
    <x v="1"/>
    <s v="43903791001001"/>
    <n v="-2.94"/>
    <n v="93"/>
    <n v="1"/>
    <n v="1"/>
  </r>
  <r>
    <m/>
    <m/>
    <x v="1"/>
    <s v="43950201001004"/>
    <n v="-10.88"/>
    <n v="344"/>
    <n v="1"/>
    <n v="1"/>
  </r>
  <r>
    <m/>
    <m/>
    <x v="1"/>
    <s v="44017401001003"/>
    <n v="-0.6"/>
    <n v="19"/>
    <n v="1"/>
    <n v="1"/>
  </r>
  <r>
    <m/>
    <m/>
    <x v="1"/>
    <s v="44035671002001"/>
    <n v="-6.1"/>
    <n v="193"/>
    <n v="1"/>
    <n v="1"/>
  </r>
  <r>
    <m/>
    <m/>
    <x v="1"/>
    <s v="44070041001001"/>
    <n v="-90.53"/>
    <n v="2863"/>
    <n v="1"/>
    <n v="1"/>
  </r>
  <r>
    <m/>
    <m/>
    <x v="1"/>
    <s v="44095871001001"/>
    <n v="-92.65"/>
    <n v="2930"/>
    <n v="1"/>
    <n v="1"/>
  </r>
  <r>
    <m/>
    <m/>
    <x v="1"/>
    <s v="44172520001001"/>
    <n v="-18.37"/>
    <n v="581"/>
    <n v="1"/>
    <n v="1"/>
  </r>
  <r>
    <m/>
    <m/>
    <x v="1"/>
    <s v="44198701001002"/>
    <n v="-11.26"/>
    <n v="356"/>
    <n v="1"/>
    <n v="1"/>
  </r>
  <r>
    <m/>
    <m/>
    <x v="1"/>
    <s v="44217531004001"/>
    <n v="-9.9600000000000009"/>
    <n v="315"/>
    <n v="1"/>
    <n v="1"/>
  </r>
  <r>
    <m/>
    <m/>
    <x v="1"/>
    <s v="44235381001002"/>
    <n v="-10.88"/>
    <n v="344"/>
    <n v="1"/>
    <n v="1"/>
  </r>
  <r>
    <m/>
    <m/>
    <x v="1"/>
    <s v="44237551001002"/>
    <n v="-3.23"/>
    <n v="102"/>
    <n v="1"/>
    <n v="1"/>
  </r>
  <r>
    <m/>
    <m/>
    <x v="1"/>
    <s v="44286551002002"/>
    <n v="-25.01"/>
    <n v="791"/>
    <n v="1"/>
    <n v="1"/>
  </r>
  <r>
    <m/>
    <m/>
    <x v="1"/>
    <s v="44296841001008"/>
    <n v="-11.16"/>
    <n v="353"/>
    <n v="1"/>
    <n v="1"/>
  </r>
  <r>
    <m/>
    <m/>
    <x v="1"/>
    <s v="44340381001001"/>
    <n v="-38.29"/>
    <n v="1211"/>
    <n v="1"/>
    <n v="1"/>
  </r>
  <r>
    <m/>
    <m/>
    <x v="1"/>
    <s v="44378741001003"/>
    <n v="-57.42"/>
    <n v="1816"/>
    <n v="1"/>
    <n v="1"/>
  </r>
  <r>
    <m/>
    <m/>
    <x v="1"/>
    <s v="44390781002001"/>
    <n v="-23.24"/>
    <n v="735"/>
    <n v="1"/>
    <n v="1"/>
  </r>
  <r>
    <m/>
    <m/>
    <x v="1"/>
    <s v="44406461002001"/>
    <n v="-7.78"/>
    <n v="246"/>
    <n v="1"/>
    <n v="1"/>
  </r>
  <r>
    <m/>
    <m/>
    <x v="1"/>
    <s v="44424535001002"/>
    <n v="-21.31"/>
    <n v="674"/>
    <n v="1"/>
    <n v="1"/>
  </r>
  <r>
    <m/>
    <m/>
    <x v="1"/>
    <s v="44433901001002"/>
    <n v="-5.88"/>
    <n v="186"/>
    <n v="1"/>
    <n v="1"/>
  </r>
  <r>
    <m/>
    <m/>
    <x v="1"/>
    <s v="44442320001001"/>
    <n v="-4.1399999999999997"/>
    <n v="131"/>
    <n v="1"/>
    <n v="1"/>
  </r>
  <r>
    <m/>
    <m/>
    <x v="1"/>
    <s v="44447481001001"/>
    <n v="-0.44"/>
    <n v="14"/>
    <n v="1"/>
    <n v="1"/>
  </r>
  <r>
    <m/>
    <m/>
    <x v="1"/>
    <s v="44449581001001"/>
    <n v="-4.08"/>
    <n v="129"/>
    <n v="1"/>
    <n v="1"/>
  </r>
  <r>
    <m/>
    <m/>
    <x v="1"/>
    <s v="44470529001002"/>
    <n v="-6.17"/>
    <n v="195"/>
    <n v="1"/>
    <n v="1"/>
  </r>
  <r>
    <m/>
    <m/>
    <x v="1"/>
    <s v="44484511001002"/>
    <n v="-8.16"/>
    <n v="258"/>
    <n v="1"/>
    <n v="1"/>
  </r>
  <r>
    <m/>
    <m/>
    <x v="1"/>
    <s v="44494451001004"/>
    <n v="-17.829999999999998"/>
    <n v="564"/>
    <n v="1"/>
    <n v="1"/>
  </r>
  <r>
    <m/>
    <m/>
    <x v="1"/>
    <s v="44502641001003"/>
    <n v="-10.91"/>
    <n v="345"/>
    <n v="1"/>
    <n v="1"/>
  </r>
  <r>
    <m/>
    <m/>
    <x v="1"/>
    <s v="44508871003001"/>
    <n v="-6.64"/>
    <n v="210"/>
    <n v="1"/>
    <n v="1"/>
  </r>
  <r>
    <m/>
    <m/>
    <x v="1"/>
    <s v="44510901001001"/>
    <n v="-7.56"/>
    <n v="239"/>
    <n v="1"/>
    <n v="1"/>
  </r>
  <r>
    <m/>
    <m/>
    <x v="1"/>
    <s v="44522731001001"/>
    <n v="-1.87"/>
    <n v="59"/>
    <n v="1"/>
    <n v="1"/>
  </r>
  <r>
    <m/>
    <m/>
    <x v="1"/>
    <s v="44528121001001"/>
    <n v="-4.1399999999999997"/>
    <n v="131"/>
    <n v="1"/>
    <n v="1"/>
  </r>
  <r>
    <m/>
    <m/>
    <x v="1"/>
    <s v="44536101001001"/>
    <n v="-10.69"/>
    <n v="338"/>
    <n v="1"/>
    <n v="1"/>
  </r>
  <r>
    <m/>
    <m/>
    <x v="1"/>
    <s v="44545061002001"/>
    <n v="-5.75"/>
    <n v="182"/>
    <n v="1"/>
    <n v="1"/>
  </r>
  <r>
    <m/>
    <m/>
    <x v="1"/>
    <s v="44562981001002"/>
    <n v="-12.33"/>
    <n v="390"/>
    <n v="1"/>
    <n v="1"/>
  </r>
  <r>
    <m/>
    <m/>
    <x v="1"/>
    <s v="44603651002001"/>
    <n v="-18.53"/>
    <n v="586"/>
    <n v="1"/>
    <n v="1"/>
  </r>
  <r>
    <m/>
    <m/>
    <x v="1"/>
    <s v="44608551005001"/>
    <n v="-14.36"/>
    <n v="454"/>
    <n v="1"/>
    <n v="1"/>
  </r>
  <r>
    <m/>
    <m/>
    <x v="1"/>
    <s v="44617161001001"/>
    <n v="-8.5399999999999991"/>
    <n v="270"/>
    <n v="1"/>
    <n v="1"/>
  </r>
  <r>
    <m/>
    <m/>
    <x v="1"/>
    <s v="44627031001005"/>
    <n v="-19.07"/>
    <n v="603"/>
    <n v="1"/>
    <n v="1"/>
  </r>
  <r>
    <m/>
    <m/>
    <x v="1"/>
    <s v="44628151002001"/>
    <n v="-7.84"/>
    <n v="248"/>
    <n v="1"/>
    <n v="1"/>
  </r>
  <r>
    <m/>
    <m/>
    <x v="1"/>
    <s v="44654191001001"/>
    <n v="-10.02"/>
    <n v="317"/>
    <n v="1"/>
    <n v="1"/>
  </r>
  <r>
    <m/>
    <m/>
    <x v="1"/>
    <s v="44688771001005"/>
    <n v="-10.4"/>
    <n v="329"/>
    <n v="1"/>
    <n v="1"/>
  </r>
  <r>
    <m/>
    <m/>
    <x v="1"/>
    <s v="44698571001002"/>
    <n v="-8.44"/>
    <n v="267"/>
    <n v="1"/>
    <n v="1"/>
  </r>
  <r>
    <m/>
    <m/>
    <x v="1"/>
    <s v="44774521001002"/>
    <n v="-11.35"/>
    <n v="359"/>
    <n v="1"/>
    <n v="1"/>
  </r>
  <r>
    <m/>
    <m/>
    <x v="1"/>
    <s v="44784741001002"/>
    <n v="-8.0299999999999994"/>
    <n v="254"/>
    <n v="1"/>
    <n v="1"/>
  </r>
  <r>
    <m/>
    <m/>
    <x v="1"/>
    <s v="44789781001001"/>
    <n v="-11.26"/>
    <n v="356"/>
    <n v="1"/>
    <n v="1"/>
  </r>
  <r>
    <m/>
    <m/>
    <x v="1"/>
    <s v="44804971001001"/>
    <n v="-1.68"/>
    <n v="53"/>
    <n v="1"/>
    <n v="1"/>
  </r>
  <r>
    <m/>
    <m/>
    <x v="1"/>
    <s v="44828911003009"/>
    <n v="-0.35"/>
    <n v="11"/>
    <n v="1"/>
    <n v="1"/>
  </r>
  <r>
    <m/>
    <m/>
    <x v="1"/>
    <s v="44843401002001"/>
    <n v="-8.98"/>
    <n v="284"/>
    <n v="1"/>
    <n v="1"/>
  </r>
  <r>
    <m/>
    <m/>
    <x v="1"/>
    <s v="44875461001001"/>
    <n v="-8.0299999999999994"/>
    <n v="254"/>
    <n v="1"/>
    <n v="1"/>
  </r>
  <r>
    <m/>
    <m/>
    <x v="1"/>
    <s v="44881201001001"/>
    <n v="-13.38"/>
    <n v="423"/>
    <n v="1"/>
    <n v="1"/>
  </r>
  <r>
    <m/>
    <m/>
    <x v="1"/>
    <s v="44881621001001"/>
    <n v="-18.399999999999999"/>
    <n v="582"/>
    <n v="1"/>
    <n v="1"/>
  </r>
  <r>
    <m/>
    <m/>
    <x v="1"/>
    <s v="44883581001001"/>
    <n v="-19.350000000000001"/>
    <n v="612"/>
    <n v="1"/>
    <n v="1"/>
  </r>
  <r>
    <m/>
    <m/>
    <x v="1"/>
    <s v="44896251001001"/>
    <n v="-14.32"/>
    <n v="453"/>
    <n v="1"/>
    <n v="1"/>
  </r>
  <r>
    <m/>
    <m/>
    <x v="1"/>
    <s v="44898351001001"/>
    <n v="-26.78"/>
    <n v="847"/>
    <n v="1"/>
    <n v="1"/>
  </r>
  <r>
    <m/>
    <m/>
    <x v="1"/>
    <s v="44901221001004"/>
    <n v="-26.78"/>
    <n v="847"/>
    <n v="1"/>
    <n v="1"/>
  </r>
  <r>
    <m/>
    <m/>
    <x v="1"/>
    <s v="44906681002005"/>
    <n v="-7.53"/>
    <n v="238"/>
    <n v="1"/>
    <n v="1"/>
  </r>
  <r>
    <m/>
    <m/>
    <x v="1"/>
    <s v="44951971004001"/>
    <n v="-23.4"/>
    <n v="740"/>
    <n v="1"/>
    <n v="1"/>
  </r>
  <r>
    <m/>
    <m/>
    <x v="1"/>
    <s v="44959251002002"/>
    <n v="-13.31"/>
    <n v="421"/>
    <n v="1"/>
    <n v="1"/>
  </r>
  <r>
    <m/>
    <m/>
    <x v="1"/>
    <s v="45023091001001"/>
    <n v="-1.26"/>
    <n v="40"/>
    <n v="1"/>
    <n v="1"/>
  </r>
  <r>
    <m/>
    <m/>
    <x v="1"/>
    <s v="45028551001002"/>
    <n v="-19.13"/>
    <n v="605"/>
    <n v="1"/>
    <n v="1"/>
  </r>
  <r>
    <m/>
    <m/>
    <x v="1"/>
    <s v="45047591003001"/>
    <n v="-16.190000000000001"/>
    <n v="512"/>
    <n v="1"/>
    <n v="1"/>
  </r>
  <r>
    <m/>
    <m/>
    <x v="1"/>
    <s v="45048221001001"/>
    <n v="-16"/>
    <n v="506"/>
    <n v="1"/>
    <n v="1"/>
  </r>
  <r>
    <m/>
    <m/>
    <x v="1"/>
    <s v="45055431001001"/>
    <n v="-19.86"/>
    <n v="628"/>
    <n v="1"/>
    <n v="1"/>
  </r>
  <r>
    <m/>
    <m/>
    <x v="1"/>
    <s v="45057251001005"/>
    <n v="-53.56"/>
    <n v="1694"/>
    <n v="1"/>
    <n v="1"/>
  </r>
  <r>
    <m/>
    <m/>
    <x v="1"/>
    <s v="45058021001005"/>
    <n v="-23.37"/>
    <n v="739"/>
    <n v="1"/>
    <n v="1"/>
  </r>
  <r>
    <m/>
    <m/>
    <x v="1"/>
    <s v="45061381001003"/>
    <n v="-41.55"/>
    <n v="1314"/>
    <n v="1"/>
    <n v="1"/>
  </r>
  <r>
    <m/>
    <m/>
    <x v="1"/>
    <s v="45064531001001"/>
    <n v="-8.19"/>
    <n v="259"/>
    <n v="1"/>
    <n v="1"/>
  </r>
  <r>
    <m/>
    <m/>
    <x v="1"/>
    <s v="45064881001001"/>
    <n v="-42.53"/>
    <n v="1345"/>
    <n v="1"/>
    <n v="1"/>
  </r>
  <r>
    <m/>
    <m/>
    <x v="1"/>
    <s v="45068661003001"/>
    <n v="-15.72"/>
    <n v="497"/>
    <n v="1"/>
    <n v="1"/>
  </r>
  <r>
    <m/>
    <m/>
    <x v="1"/>
    <s v="45073281001004"/>
    <n v="-15.94"/>
    <n v="504"/>
    <n v="1"/>
    <n v="1"/>
  </r>
  <r>
    <m/>
    <m/>
    <x v="1"/>
    <s v="45077271001001"/>
    <n v="-3.67"/>
    <n v="116"/>
    <n v="1"/>
    <n v="1"/>
  </r>
  <r>
    <m/>
    <m/>
    <x v="1"/>
    <s v="45099461003003"/>
    <n v="-8.4700000000000006"/>
    <n v="268"/>
    <n v="1"/>
    <n v="1"/>
  </r>
  <r>
    <m/>
    <m/>
    <x v="1"/>
    <s v="45110171002003"/>
    <n v="-1.26"/>
    <n v="40"/>
    <n v="1"/>
    <n v="1"/>
  </r>
  <r>
    <m/>
    <m/>
    <x v="1"/>
    <s v="45120321002003"/>
    <n v="-2.1800000000000002"/>
    <n v="69"/>
    <n v="1"/>
    <n v="1"/>
  </r>
  <r>
    <m/>
    <m/>
    <x v="1"/>
    <s v="45127601001001"/>
    <n v="-7.15"/>
    <n v="226"/>
    <n v="1"/>
    <n v="1"/>
  </r>
  <r>
    <m/>
    <m/>
    <x v="1"/>
    <s v="45128441001005"/>
    <n v="-7.46"/>
    <n v="236"/>
    <n v="1"/>
    <n v="1"/>
  </r>
  <r>
    <m/>
    <m/>
    <x v="1"/>
    <s v="45128931001001"/>
    <n v="-9.33"/>
    <n v="295"/>
    <n v="1"/>
    <n v="1"/>
  </r>
  <r>
    <m/>
    <m/>
    <x v="1"/>
    <s v="45135453001001"/>
    <n v="-5.09"/>
    <n v="161"/>
    <n v="1"/>
    <n v="1"/>
  </r>
  <r>
    <m/>
    <m/>
    <x v="1"/>
    <s v="45143631001001"/>
    <n v="-0.73"/>
    <n v="23"/>
    <n v="1"/>
    <n v="1"/>
  </r>
  <r>
    <m/>
    <m/>
    <x v="1"/>
    <s v="45168131001003"/>
    <n v="-10.09"/>
    <n v="319"/>
    <n v="1"/>
    <n v="1"/>
  </r>
  <r>
    <m/>
    <m/>
    <x v="1"/>
    <s v="45177021001002"/>
    <n v="-0.92"/>
    <n v="29"/>
    <n v="1"/>
    <n v="1"/>
  </r>
  <r>
    <m/>
    <m/>
    <x v="1"/>
    <s v="45191721001004"/>
    <n v="-8.51"/>
    <n v="269"/>
    <n v="1"/>
    <n v="1"/>
  </r>
  <r>
    <m/>
    <m/>
    <x v="1"/>
    <s v="45233441001001"/>
    <n v="-1.42"/>
    <n v="45"/>
    <n v="1"/>
    <n v="1"/>
  </r>
  <r>
    <m/>
    <m/>
    <x v="1"/>
    <s v="45259201001001"/>
    <n v="-2.5"/>
    <n v="79"/>
    <n v="1"/>
    <n v="1"/>
  </r>
  <r>
    <m/>
    <m/>
    <x v="1"/>
    <s v="45353911001001"/>
    <n v="-1.04"/>
    <n v="33"/>
    <n v="1"/>
    <n v="1"/>
  </r>
  <r>
    <m/>
    <m/>
    <x v="1"/>
    <s v="45361541002001"/>
    <n v="-2.62"/>
    <n v="83"/>
    <n v="1"/>
    <n v="1"/>
  </r>
  <r>
    <m/>
    <m/>
    <x v="1"/>
    <s v="45372181002001"/>
    <n v="-0.7"/>
    <n v="22"/>
    <n v="1"/>
    <n v="1"/>
  </r>
  <r>
    <m/>
    <m/>
    <x v="1"/>
    <s v="45382261001001"/>
    <n v="-3.1"/>
    <n v="98"/>
    <n v="1"/>
    <n v="1"/>
  </r>
  <r>
    <m/>
    <m/>
    <x v="1"/>
    <s v="45395421001001"/>
    <n v="-2.25"/>
    <n v="71"/>
    <n v="1"/>
    <n v="1"/>
  </r>
  <r>
    <m/>
    <m/>
    <x v="1"/>
    <s v="45420831002002"/>
    <n v="-2.25"/>
    <n v="71"/>
    <n v="1"/>
    <n v="1"/>
  </r>
  <r>
    <m/>
    <m/>
    <x v="1"/>
    <s v="45435041001004"/>
    <n v="-1.64"/>
    <n v="52"/>
    <n v="1"/>
    <n v="1"/>
  </r>
  <r>
    <m/>
    <m/>
    <x v="1"/>
    <s v="45446941001001"/>
    <n v="-0.51"/>
    <n v="16"/>
    <n v="1"/>
    <n v="1"/>
  </r>
  <r>
    <m/>
    <m/>
    <x v="1"/>
    <s v="45451701001002"/>
    <n v="-1.49"/>
    <n v="47"/>
    <n v="1"/>
    <n v="1"/>
  </r>
  <r>
    <m/>
    <m/>
    <x v="1"/>
    <s v="45466051001001"/>
    <n v="-0.44"/>
    <n v="14"/>
    <n v="1"/>
    <n v="1"/>
  </r>
  <r>
    <m/>
    <m/>
    <x v="1"/>
    <s v="45485021002002"/>
    <n v="-35.22"/>
    <n v="1114"/>
    <n v="1"/>
    <n v="1"/>
  </r>
  <r>
    <m/>
    <m/>
    <x v="1"/>
    <s v="45512671001001"/>
    <n v="-1.2"/>
    <n v="38"/>
    <n v="1"/>
    <n v="1"/>
  </r>
  <r>
    <m/>
    <m/>
    <x v="1"/>
    <s v="45528421001002"/>
    <n v="-0.7"/>
    <n v="22"/>
    <n v="1"/>
    <n v="1"/>
  </r>
  <r>
    <m/>
    <m/>
    <x v="1"/>
    <s v="45609201003001"/>
    <n v="-7.68"/>
    <n v="243"/>
    <n v="1"/>
    <n v="1"/>
  </r>
  <r>
    <m/>
    <m/>
    <x v="1"/>
    <s v="45629221001003"/>
    <n v="-4.3600000000000003"/>
    <n v="138"/>
    <n v="1"/>
    <n v="1"/>
  </r>
  <r>
    <m/>
    <m/>
    <x v="1"/>
    <s v="45644831001001"/>
    <n v="-26.53"/>
    <n v="839"/>
    <n v="1"/>
    <n v="1"/>
  </r>
  <r>
    <m/>
    <m/>
    <x v="1"/>
    <s v="45645881001002"/>
    <n v="-86.23"/>
    <n v="2727"/>
    <n v="1"/>
    <n v="1"/>
  </r>
  <r>
    <m/>
    <m/>
    <x v="1"/>
    <s v="45665201001006"/>
    <n v="-14.96"/>
    <n v="473"/>
    <n v="1"/>
    <n v="1"/>
  </r>
  <r>
    <m/>
    <m/>
    <x v="1"/>
    <s v="45725261001001"/>
    <n v="-67.64"/>
    <n v="2139"/>
    <n v="1"/>
    <n v="1"/>
  </r>
  <r>
    <m/>
    <m/>
    <x v="1"/>
    <s v="45742621001001"/>
    <n v="-48.32"/>
    <n v="1528"/>
    <n v="1"/>
    <n v="1"/>
  </r>
  <r>
    <m/>
    <m/>
    <x v="1"/>
    <s v="45751371001001"/>
    <n v="-17.64"/>
    <n v="558"/>
    <n v="1"/>
    <n v="1"/>
  </r>
  <r>
    <m/>
    <m/>
    <x v="1"/>
    <s v="45755851001001"/>
    <n v="-31.21"/>
    <n v="987"/>
    <n v="1"/>
    <n v="1"/>
  </r>
  <r>
    <m/>
    <m/>
    <x v="1"/>
    <s v="45768031001001"/>
    <n v="-29.37"/>
    <n v="929"/>
    <n v="1"/>
    <n v="1"/>
  </r>
  <r>
    <m/>
    <m/>
    <x v="1"/>
    <s v="45785601001001"/>
    <n v="-12.71"/>
    <n v="402"/>
    <n v="1"/>
    <n v="1"/>
  </r>
  <r>
    <m/>
    <m/>
    <x v="1"/>
    <s v="45787701001001"/>
    <n v="-9.83"/>
    <n v="311"/>
    <n v="1"/>
    <n v="1"/>
  </r>
  <r>
    <m/>
    <m/>
    <x v="1"/>
    <s v="45896761002001"/>
    <n v="-3.51"/>
    <n v="111"/>
    <n v="1"/>
    <n v="1"/>
  </r>
  <r>
    <m/>
    <m/>
    <x v="1"/>
    <s v="45930081004001"/>
    <n v="-18.059999999999999"/>
    <n v="571"/>
    <n v="1"/>
    <n v="1"/>
  </r>
  <r>
    <m/>
    <m/>
    <x v="1"/>
    <s v="45934561001007"/>
    <n v="-26.72"/>
    <n v="845"/>
    <n v="1"/>
    <n v="1"/>
  </r>
  <r>
    <m/>
    <m/>
    <x v="1"/>
    <s v="45939881001006"/>
    <n v="-7.81"/>
    <n v="247"/>
    <n v="1"/>
    <n v="1"/>
  </r>
  <r>
    <m/>
    <m/>
    <x v="1"/>
    <s v="46014571002003"/>
    <n v="-26.02"/>
    <n v="823"/>
    <n v="1"/>
    <n v="1"/>
  </r>
  <r>
    <m/>
    <m/>
    <x v="1"/>
    <s v="46042851003005"/>
    <n v="-13.44"/>
    <n v="425"/>
    <n v="1"/>
    <n v="1"/>
  </r>
  <r>
    <m/>
    <m/>
    <x v="1"/>
    <s v="46155016001001"/>
    <n v="-14.7"/>
    <n v="465"/>
    <n v="1"/>
    <n v="1"/>
  </r>
  <r>
    <m/>
    <m/>
    <x v="1"/>
    <s v="46178853001001"/>
    <n v="-1.33"/>
    <n v="42"/>
    <n v="1"/>
    <n v="1"/>
  </r>
  <r>
    <m/>
    <m/>
    <x v="1"/>
    <s v="46205811013001"/>
    <n v="-92.05"/>
    <n v="2911"/>
    <n v="1"/>
    <n v="1"/>
  </r>
  <r>
    <m/>
    <m/>
    <x v="1"/>
    <s v="46246971001001"/>
    <n v="-93.47"/>
    <n v="2956"/>
    <n v="1"/>
    <n v="1"/>
  </r>
  <r>
    <m/>
    <m/>
    <x v="1"/>
    <s v="46253481001006"/>
    <n v="-1.77"/>
    <n v="56"/>
    <n v="1"/>
    <n v="1"/>
  </r>
  <r>
    <m/>
    <m/>
    <x v="1"/>
    <s v="46289951001001"/>
    <n v="-42.24"/>
    <n v="1336"/>
    <n v="1"/>
    <n v="1"/>
  </r>
  <r>
    <m/>
    <m/>
    <x v="1"/>
    <s v="46322361003003"/>
    <n v="-2.72"/>
    <n v="86"/>
    <n v="1"/>
    <n v="1"/>
  </r>
  <r>
    <m/>
    <m/>
    <x v="1"/>
    <s v="46461591002001"/>
    <n v="-31.97"/>
    <n v="1011"/>
    <n v="1"/>
    <n v="1"/>
  </r>
  <r>
    <m/>
    <m/>
    <x v="1"/>
    <s v="46474191001003"/>
    <n v="-0.03"/>
    <n v="1"/>
    <n v="1"/>
    <n v="1"/>
  </r>
  <r>
    <m/>
    <m/>
    <x v="1"/>
    <s v="46482661001005"/>
    <n v="-80.819999999999993"/>
    <n v="2556"/>
    <n v="1"/>
    <n v="1"/>
  </r>
  <r>
    <m/>
    <m/>
    <x v="1"/>
    <s v="46504501001001"/>
    <n v="-9.17"/>
    <n v="290"/>
    <n v="1"/>
    <n v="1"/>
  </r>
  <r>
    <m/>
    <m/>
    <x v="1"/>
    <s v="46581641003003"/>
    <n v="-20.239999999999998"/>
    <n v="640"/>
    <n v="1"/>
    <n v="1"/>
  </r>
  <r>
    <m/>
    <m/>
    <x v="1"/>
    <s v="46605651001001"/>
    <n v="-13.22"/>
    <n v="418"/>
    <n v="1"/>
    <n v="1"/>
  </r>
  <r>
    <m/>
    <m/>
    <x v="1"/>
    <s v="46666481001001"/>
    <n v="-25.58"/>
    <n v="809"/>
    <n v="1"/>
    <n v="1"/>
  </r>
  <r>
    <m/>
    <m/>
    <x v="1"/>
    <s v="46684121001001"/>
    <n v="-20.14"/>
    <n v="637"/>
    <n v="1"/>
    <n v="1"/>
  </r>
  <r>
    <m/>
    <m/>
    <x v="1"/>
    <s v="46763571002001"/>
    <n v="-1.42"/>
    <n v="45"/>
    <n v="1"/>
    <n v="1"/>
  </r>
  <r>
    <m/>
    <m/>
    <x v="1"/>
    <s v="46768751006006"/>
    <n v="-14.77"/>
    <n v="467"/>
    <n v="1"/>
    <n v="1"/>
  </r>
  <r>
    <m/>
    <m/>
    <x v="1"/>
    <s v="46786380002003"/>
    <n v="-4.7699999999999996"/>
    <n v="151"/>
    <n v="1"/>
    <n v="1"/>
  </r>
  <r>
    <m/>
    <m/>
    <x v="1"/>
    <s v="46799243001001"/>
    <n v="-9.33"/>
    <n v="295"/>
    <n v="1"/>
    <n v="1"/>
  </r>
  <r>
    <m/>
    <m/>
    <x v="1"/>
    <s v="46844491002002"/>
    <n v="-79.52"/>
    <n v="2515"/>
    <n v="1"/>
    <n v="1"/>
  </r>
  <r>
    <m/>
    <m/>
    <x v="1"/>
    <s v="46866681001004"/>
    <n v="-3.64"/>
    <n v="115"/>
    <n v="1"/>
    <n v="1"/>
  </r>
  <r>
    <m/>
    <m/>
    <x v="1"/>
    <s v="46950121002001"/>
    <n v="-0.95"/>
    <n v="30"/>
    <n v="1"/>
    <n v="1"/>
  </r>
  <r>
    <m/>
    <m/>
    <x v="1"/>
    <s v="46962301001002"/>
    <n v="-0.16"/>
    <n v="5"/>
    <n v="1"/>
    <n v="1"/>
  </r>
  <r>
    <m/>
    <m/>
    <x v="1"/>
    <s v="46966151001003"/>
    <n v="-23.49"/>
    <n v="743"/>
    <n v="1"/>
    <n v="1"/>
  </r>
  <r>
    <m/>
    <m/>
    <x v="1"/>
    <s v="47142481001004"/>
    <n v="-0.06"/>
    <n v="2"/>
    <n v="1"/>
    <n v="1"/>
  </r>
  <r>
    <m/>
    <m/>
    <x v="1"/>
    <s v="47161241001003"/>
    <n v="-1.45"/>
    <n v="46"/>
    <n v="1"/>
    <n v="1"/>
  </r>
  <r>
    <m/>
    <m/>
    <x v="1"/>
    <s v="47179931001006"/>
    <n v="-42.4"/>
    <n v="1341"/>
    <n v="1"/>
    <n v="1"/>
  </r>
  <r>
    <m/>
    <m/>
    <x v="1"/>
    <s v="47192251001001"/>
    <n v="-1.61"/>
    <n v="51"/>
    <n v="1"/>
    <n v="1"/>
  </r>
  <r>
    <m/>
    <m/>
    <x v="1"/>
    <s v="47194351001001"/>
    <n v="-0.66"/>
    <n v="21"/>
    <n v="1"/>
    <n v="1"/>
  </r>
  <r>
    <m/>
    <m/>
    <x v="1"/>
    <s v="47199424001002"/>
    <n v="-5.79"/>
    <n v="183"/>
    <n v="1"/>
    <n v="1"/>
  </r>
  <r>
    <m/>
    <m/>
    <x v="1"/>
    <s v="47231801001002"/>
    <n v="-11.7"/>
    <n v="370"/>
    <n v="1"/>
    <n v="1"/>
  </r>
  <r>
    <m/>
    <m/>
    <x v="1"/>
    <s v="47233131004002"/>
    <n v="-70.040000000000006"/>
    <n v="2215"/>
    <n v="1"/>
    <n v="1"/>
  </r>
  <r>
    <m/>
    <m/>
    <x v="1"/>
    <s v="47321401002002"/>
    <n v="-1.68"/>
    <n v="53"/>
    <n v="1"/>
    <n v="1"/>
  </r>
  <r>
    <m/>
    <m/>
    <x v="1"/>
    <s v="47327631001001"/>
    <n v="-1.2"/>
    <n v="38"/>
    <n v="1"/>
    <n v="1"/>
  </r>
  <r>
    <m/>
    <m/>
    <x v="1"/>
    <s v="47354861004001"/>
    <n v="-2.37"/>
    <n v="75"/>
    <n v="1"/>
    <n v="1"/>
  </r>
  <r>
    <m/>
    <m/>
    <x v="1"/>
    <s v="47385661002002"/>
    <n v="-15.94"/>
    <n v="504"/>
    <n v="1"/>
    <n v="1"/>
  </r>
  <r>
    <m/>
    <m/>
    <x v="1"/>
    <s v="47414851004001"/>
    <n v="-9.33"/>
    <n v="295"/>
    <n v="1"/>
    <n v="1"/>
  </r>
  <r>
    <m/>
    <m/>
    <x v="1"/>
    <s v="47443621005003"/>
    <n v="-9.74"/>
    <n v="308"/>
    <n v="1"/>
    <n v="1"/>
  </r>
  <r>
    <m/>
    <m/>
    <x v="1"/>
    <s v="47501091001002"/>
    <n v="-31.02"/>
    <n v="981"/>
    <n v="1"/>
    <n v="1"/>
  </r>
  <r>
    <m/>
    <m/>
    <x v="1"/>
    <s v="47550931002002"/>
    <n v="-4.6500000000000004"/>
    <n v="147"/>
    <n v="1"/>
    <n v="1"/>
  </r>
  <r>
    <m/>
    <m/>
    <x v="1"/>
    <s v="47552611001001"/>
    <n v="-15.21"/>
    <n v="481"/>
    <n v="1"/>
    <n v="1"/>
  </r>
  <r>
    <m/>
    <m/>
    <x v="1"/>
    <s v="47600631003001"/>
    <n v="-23.94"/>
    <n v="757"/>
    <n v="1"/>
    <n v="1"/>
  </r>
  <r>
    <m/>
    <m/>
    <x v="1"/>
    <s v="47670141001007"/>
    <n v="-5.91"/>
    <n v="187"/>
    <n v="1"/>
    <n v="1"/>
  </r>
  <r>
    <m/>
    <m/>
    <x v="1"/>
    <s v="47759881007003"/>
    <n v="-28.68"/>
    <n v="907"/>
    <n v="1"/>
    <n v="1"/>
  </r>
  <r>
    <m/>
    <m/>
    <x v="1"/>
    <s v="47821341001001"/>
    <n v="-18.34"/>
    <n v="580"/>
    <n v="1"/>
    <n v="1"/>
  </r>
  <r>
    <m/>
    <m/>
    <x v="1"/>
    <s v="47826619001001"/>
    <n v="-15.34"/>
    <n v="485"/>
    <n v="1"/>
    <n v="1"/>
  </r>
  <r>
    <m/>
    <m/>
    <x v="1"/>
    <s v="47837581001001"/>
    <n v="-8.0299999999999994"/>
    <n v="254"/>
    <n v="1"/>
    <n v="1"/>
  </r>
  <r>
    <m/>
    <m/>
    <x v="1"/>
    <s v="47854171001002"/>
    <n v="-24.38"/>
    <n v="771"/>
    <n v="1"/>
    <n v="1"/>
  </r>
  <r>
    <m/>
    <m/>
    <x v="1"/>
    <s v="47909401001001"/>
    <n v="-2.5299999999999998"/>
    <n v="80"/>
    <n v="1"/>
    <n v="1"/>
  </r>
  <r>
    <m/>
    <m/>
    <x v="1"/>
    <s v="47943981001003"/>
    <n v="-42.97"/>
    <n v="1359"/>
    <n v="1"/>
    <n v="1"/>
  </r>
  <r>
    <m/>
    <m/>
    <x v="1"/>
    <s v="47945381004001"/>
    <n v="-22.36"/>
    <n v="707"/>
    <n v="1"/>
    <n v="1"/>
  </r>
  <r>
    <m/>
    <m/>
    <x v="1"/>
    <s v="47971841001005"/>
    <n v="-18.690000000000001"/>
    <n v="591"/>
    <n v="1"/>
    <n v="1"/>
  </r>
  <r>
    <m/>
    <m/>
    <x v="1"/>
    <s v="48037431004001"/>
    <n v="-114.81"/>
    <n v="3631"/>
    <n v="1"/>
    <n v="1"/>
  </r>
  <r>
    <m/>
    <m/>
    <x v="1"/>
    <s v="48109251001002"/>
    <n v="-1.49"/>
    <n v="47"/>
    <n v="1"/>
    <n v="1"/>
  </r>
  <r>
    <m/>
    <m/>
    <x v="1"/>
    <s v="48115551001002"/>
    <n v="-0.28000000000000003"/>
    <n v="9"/>
    <n v="1"/>
    <n v="1"/>
  </r>
  <r>
    <m/>
    <m/>
    <x v="1"/>
    <s v="48115691001003"/>
    <n v="-2.97"/>
    <n v="94"/>
    <n v="1"/>
    <n v="1"/>
  </r>
  <r>
    <m/>
    <m/>
    <x v="1"/>
    <s v="48168055001001"/>
    <n v="-4.74"/>
    <n v="150"/>
    <n v="1"/>
    <n v="1"/>
  </r>
  <r>
    <m/>
    <m/>
    <x v="1"/>
    <s v="48182681001001"/>
    <n v="-31.87"/>
    <n v="1008"/>
    <n v="1"/>
    <n v="1"/>
  </r>
  <r>
    <m/>
    <m/>
    <x v="1"/>
    <s v="48194791003001"/>
    <n v="-38.700000000000003"/>
    <n v="1224"/>
    <n v="1"/>
    <n v="1"/>
  </r>
  <r>
    <m/>
    <m/>
    <x v="1"/>
    <s v="48214181001001"/>
    <n v="-19.41"/>
    <n v="614"/>
    <n v="1"/>
    <n v="1"/>
  </r>
  <r>
    <m/>
    <m/>
    <x v="1"/>
    <s v="48215861001001"/>
    <n v="-10.43"/>
    <n v="330"/>
    <n v="1"/>
    <n v="1"/>
  </r>
  <r>
    <m/>
    <m/>
    <x v="1"/>
    <s v="48278021001002"/>
    <n v="-4.71"/>
    <n v="149"/>
    <n v="1"/>
    <n v="1"/>
  </r>
  <r>
    <m/>
    <m/>
    <x v="1"/>
    <s v="48312741006001"/>
    <n v="-15.68"/>
    <n v="496"/>
    <n v="1"/>
    <n v="1"/>
  </r>
  <r>
    <m/>
    <m/>
    <x v="1"/>
    <s v="48518541001001"/>
    <n v="-4.4000000000000004"/>
    <n v="139"/>
    <n v="1"/>
    <n v="1"/>
  </r>
  <r>
    <m/>
    <m/>
    <x v="1"/>
    <s v="48524754001001"/>
    <n v="-14.77"/>
    <n v="467"/>
    <n v="1"/>
    <n v="1"/>
  </r>
  <r>
    <m/>
    <m/>
    <x v="1"/>
    <s v="48551861002001"/>
    <n v="-5"/>
    <n v="158"/>
    <n v="1"/>
    <n v="1"/>
  </r>
  <r>
    <m/>
    <m/>
    <x v="1"/>
    <s v="48561381001003"/>
    <n v="-10.53"/>
    <n v="333"/>
    <n v="1"/>
    <n v="1"/>
  </r>
  <r>
    <m/>
    <m/>
    <x v="1"/>
    <s v="48629818001001"/>
    <n v="-22.73"/>
    <n v="719"/>
    <n v="1"/>
    <n v="1"/>
  </r>
  <r>
    <m/>
    <m/>
    <x v="1"/>
    <s v="48660341001001"/>
    <n v="-3.35"/>
    <n v="106"/>
    <n v="1"/>
    <n v="1"/>
  </r>
  <r>
    <m/>
    <m/>
    <x v="1"/>
    <s v="48754161004001"/>
    <n v="-4.55"/>
    <n v="144"/>
    <n v="1"/>
    <n v="1"/>
  </r>
  <r>
    <m/>
    <m/>
    <x v="1"/>
    <s v="48762278001001"/>
    <n v="-16.66"/>
    <n v="527"/>
    <n v="1"/>
    <n v="1"/>
  </r>
  <r>
    <m/>
    <m/>
    <x v="1"/>
    <s v="48765518001002"/>
    <n v="-1.61"/>
    <n v="51"/>
    <n v="1"/>
    <n v="1"/>
  </r>
  <r>
    <m/>
    <m/>
    <x v="1"/>
    <s v="48813381002001"/>
    <n v="-62.83"/>
    <n v="1987"/>
    <n v="1"/>
    <n v="1"/>
  </r>
  <r>
    <m/>
    <m/>
    <x v="1"/>
    <s v="48845721001001"/>
    <n v="-14.26"/>
    <n v="451"/>
    <n v="1"/>
    <n v="1"/>
  </r>
  <r>
    <m/>
    <m/>
    <x v="1"/>
    <s v="48972001002006"/>
    <n v="-10.43"/>
    <n v="330"/>
    <n v="1"/>
    <n v="1"/>
  </r>
  <r>
    <m/>
    <m/>
    <x v="1"/>
    <s v="49050157001001"/>
    <n v="-10.06"/>
    <n v="318"/>
    <n v="1"/>
    <n v="1"/>
  </r>
  <r>
    <m/>
    <m/>
    <x v="1"/>
    <s v="49128591001002"/>
    <n v="-4.87"/>
    <n v="154"/>
    <n v="1"/>
    <n v="1"/>
  </r>
  <r>
    <m/>
    <m/>
    <x v="1"/>
    <s v="49187126001001"/>
    <n v="-12.21"/>
    <n v="386"/>
    <n v="1"/>
    <n v="1"/>
  </r>
  <r>
    <m/>
    <m/>
    <x v="1"/>
    <s v="49267961004003"/>
    <n v="-23.4"/>
    <n v="740"/>
    <n v="1"/>
    <n v="1"/>
  </r>
  <r>
    <m/>
    <m/>
    <x v="1"/>
    <s v="49295541002001"/>
    <n v="-52.36"/>
    <n v="1656"/>
    <n v="1"/>
    <n v="1"/>
  </r>
  <r>
    <m/>
    <m/>
    <x v="1"/>
    <s v="49315865001001"/>
    <n v="-0.7"/>
    <n v="22"/>
    <n v="1"/>
    <n v="1"/>
  </r>
  <r>
    <m/>
    <m/>
    <x v="1"/>
    <s v="49371491001002"/>
    <n v="-0.76"/>
    <n v="24"/>
    <n v="1"/>
    <n v="1"/>
  </r>
  <r>
    <m/>
    <m/>
    <x v="1"/>
    <s v="49418111002001"/>
    <n v="-1.99"/>
    <n v="63"/>
    <n v="1"/>
    <n v="1"/>
  </r>
  <r>
    <m/>
    <m/>
    <x v="1"/>
    <s v="49495461002007"/>
    <n v="-3.51"/>
    <n v="111"/>
    <n v="1"/>
    <n v="1"/>
  </r>
  <r>
    <m/>
    <m/>
    <x v="1"/>
    <s v="49495741001001"/>
    <n v="-5.66"/>
    <n v="179"/>
    <n v="1"/>
    <n v="1"/>
  </r>
  <r>
    <m/>
    <m/>
    <x v="1"/>
    <s v="49538441006001"/>
    <n v="-3.98"/>
    <n v="126"/>
    <n v="1"/>
    <n v="1"/>
  </r>
  <r>
    <m/>
    <m/>
    <x v="1"/>
    <s v="49549801001003"/>
    <n v="-48.32"/>
    <n v="1528"/>
    <n v="1"/>
    <n v="1"/>
  </r>
  <r>
    <m/>
    <m/>
    <x v="1"/>
    <s v="49557341001001"/>
    <n v="-42.12"/>
    <n v="1332"/>
    <n v="1"/>
    <n v="1"/>
  </r>
  <r>
    <m/>
    <m/>
    <x v="1"/>
    <s v="49563081001001"/>
    <n v="-87.02"/>
    <n v="2752"/>
    <n v="1"/>
    <n v="1"/>
  </r>
  <r>
    <m/>
    <m/>
    <x v="1"/>
    <s v="49566231001001"/>
    <n v="-38.39"/>
    <n v="1214"/>
    <n v="1"/>
    <n v="1"/>
  </r>
  <r>
    <m/>
    <m/>
    <x v="1"/>
    <s v="49570221001004"/>
    <n v="-15.27"/>
    <n v="483"/>
    <n v="1"/>
    <n v="1"/>
  </r>
  <r>
    <m/>
    <m/>
    <x v="1"/>
    <s v="49602561001001"/>
    <n v="-38.89"/>
    <n v="1230"/>
    <n v="1"/>
    <n v="1"/>
  </r>
  <r>
    <m/>
    <m/>
    <x v="1"/>
    <s v="49717151001001"/>
    <n v="-64.569999999999993"/>
    <n v="2042"/>
    <n v="1"/>
    <n v="1"/>
  </r>
  <r>
    <m/>
    <m/>
    <x v="1"/>
    <s v="49862149001004"/>
    <n v="-17.71"/>
    <n v="560"/>
    <n v="1"/>
    <n v="1"/>
  </r>
  <r>
    <m/>
    <m/>
    <x v="1"/>
    <s v="49876031001002"/>
    <n v="-23.05"/>
    <n v="729"/>
    <n v="1"/>
    <n v="1"/>
  </r>
  <r>
    <m/>
    <m/>
    <x v="1"/>
    <s v="49896911001001"/>
    <n v="-2.97"/>
    <n v="94"/>
    <n v="1"/>
    <n v="1"/>
  </r>
  <r>
    <m/>
    <m/>
    <x v="1"/>
    <s v="49930301001001"/>
    <n v="-16.54"/>
    <n v="523"/>
    <n v="1"/>
    <n v="1"/>
  </r>
  <r>
    <m/>
    <m/>
    <x v="1"/>
    <s v="49949341001003"/>
    <n v="-9.7100000000000009"/>
    <n v="307"/>
    <n v="1"/>
    <n v="1"/>
  </r>
  <r>
    <m/>
    <m/>
    <x v="1"/>
    <s v="49950321001002"/>
    <n v="-0.06"/>
    <n v="2"/>
    <n v="1"/>
    <n v="1"/>
  </r>
  <r>
    <m/>
    <m/>
    <x v="1"/>
    <s v="49992415001001"/>
    <n v="-4.1399999999999997"/>
    <n v="131"/>
    <n v="1"/>
    <n v="1"/>
  </r>
  <r>
    <m/>
    <m/>
    <x v="1"/>
    <s v="50032081001001"/>
    <n v="-2.66"/>
    <n v="84"/>
    <n v="1"/>
    <n v="1"/>
  </r>
  <r>
    <m/>
    <m/>
    <x v="1"/>
    <s v="50043981001003"/>
    <n v="-1.9"/>
    <n v="60"/>
    <n v="1"/>
    <n v="1"/>
  </r>
  <r>
    <m/>
    <m/>
    <x v="1"/>
    <s v="50095781001001"/>
    <n v="-14.17"/>
    <n v="448"/>
    <n v="1"/>
    <n v="1"/>
  </r>
  <r>
    <m/>
    <m/>
    <x v="1"/>
    <s v="50112861003001"/>
    <n v="-1.1100000000000001"/>
    <n v="35"/>
    <n v="1"/>
    <n v="1"/>
  </r>
  <r>
    <m/>
    <m/>
    <x v="1"/>
    <s v="50173481004001"/>
    <n v="-3.98"/>
    <n v="126"/>
    <n v="1"/>
    <n v="1"/>
  </r>
  <r>
    <m/>
    <m/>
    <x v="1"/>
    <s v="50181601002005"/>
    <n v="-48.13"/>
    <n v="1522"/>
    <n v="1"/>
    <n v="1"/>
  </r>
  <r>
    <m/>
    <m/>
    <x v="1"/>
    <s v="50249641001001"/>
    <n v="-2.1800000000000002"/>
    <n v="69"/>
    <n v="1"/>
    <n v="1"/>
  </r>
  <r>
    <m/>
    <m/>
    <x v="1"/>
    <s v="50288836001003"/>
    <n v="-0.63"/>
    <n v="20"/>
    <n v="1"/>
    <n v="1"/>
  </r>
  <r>
    <m/>
    <m/>
    <x v="1"/>
    <s v="50305221001001"/>
    <n v="-2.06"/>
    <n v="65"/>
    <n v="1"/>
    <n v="1"/>
  </r>
  <r>
    <m/>
    <m/>
    <x v="1"/>
    <s v="50368711001001"/>
    <n v="-28.05"/>
    <n v="887"/>
    <n v="1"/>
    <n v="1"/>
  </r>
  <r>
    <m/>
    <m/>
    <x v="1"/>
    <s v="50374585001001"/>
    <n v="-0.7"/>
    <n v="22"/>
    <n v="1"/>
    <n v="1"/>
  </r>
  <r>
    <m/>
    <m/>
    <x v="1"/>
    <s v="50425271002004"/>
    <n v="-10.4"/>
    <n v="329"/>
    <n v="1"/>
    <n v="1"/>
  </r>
  <r>
    <m/>
    <m/>
    <x v="1"/>
    <s v="50427931002003"/>
    <n v="-5.88"/>
    <n v="186"/>
    <n v="1"/>
    <n v="1"/>
  </r>
  <r>
    <m/>
    <m/>
    <x v="1"/>
    <s v="50448651006001"/>
    <n v="-1.77"/>
    <n v="56"/>
    <n v="1"/>
    <n v="1"/>
  </r>
  <r>
    <m/>
    <m/>
    <x v="1"/>
    <s v="50578966001001"/>
    <n v="-6.77"/>
    <n v="214"/>
    <n v="1"/>
    <n v="1"/>
  </r>
  <r>
    <m/>
    <m/>
    <x v="1"/>
    <s v="50689606001003"/>
    <n v="-0.76"/>
    <n v="24"/>
    <n v="1"/>
    <n v="1"/>
  </r>
  <r>
    <m/>
    <m/>
    <x v="1"/>
    <s v="50695261001002"/>
    <n v="-6.1"/>
    <n v="193"/>
    <n v="1"/>
    <n v="1"/>
  </r>
  <r>
    <m/>
    <m/>
    <x v="1"/>
    <s v="50737681001001"/>
    <n v="-59.13"/>
    <n v="1870"/>
    <n v="1"/>
    <n v="1"/>
  </r>
  <r>
    <m/>
    <m/>
    <x v="1"/>
    <s v="50739851009002"/>
    <n v="-20.84"/>
    <n v="659"/>
    <n v="1"/>
    <n v="1"/>
  </r>
  <r>
    <m/>
    <m/>
    <x v="1"/>
    <s v="50740761001001"/>
    <n v="-39.49"/>
    <n v="1249"/>
    <n v="1"/>
    <n v="1"/>
  </r>
  <r>
    <m/>
    <m/>
    <x v="1"/>
    <s v="50750911003002"/>
    <n v="-21.41"/>
    <n v="677"/>
    <n v="1"/>
    <n v="1"/>
  </r>
  <r>
    <m/>
    <m/>
    <x v="1"/>
    <s v="50779261003001"/>
    <n v="-11.23"/>
    <n v="355"/>
    <n v="1"/>
    <n v="1"/>
  </r>
  <r>
    <m/>
    <m/>
    <x v="1"/>
    <s v="50782131001001"/>
    <n v="-9.93"/>
    <n v="314"/>
    <n v="1"/>
    <n v="1"/>
  </r>
  <r>
    <m/>
    <m/>
    <x v="1"/>
    <s v="50806272001001"/>
    <n v="-1.39"/>
    <n v="44"/>
    <n v="1"/>
    <n v="1"/>
  </r>
  <r>
    <m/>
    <m/>
    <x v="1"/>
    <s v="50808591001001"/>
    <n v="-51.73"/>
    <n v="1636"/>
    <n v="1"/>
    <n v="1"/>
  </r>
  <r>
    <m/>
    <m/>
    <x v="1"/>
    <s v="50809571001001"/>
    <n v="-25.23"/>
    <n v="798"/>
    <n v="1"/>
    <n v="1"/>
  </r>
  <r>
    <m/>
    <m/>
    <x v="1"/>
    <s v="50823431001001"/>
    <n v="-46.61"/>
    <n v="1474"/>
    <n v="1"/>
    <n v="1"/>
  </r>
  <r>
    <m/>
    <m/>
    <x v="1"/>
    <s v="50841001001001"/>
    <n v="-3.35"/>
    <n v="106"/>
    <n v="1"/>
    <n v="1"/>
  </r>
  <r>
    <m/>
    <m/>
    <x v="1"/>
    <s v="50849401001002"/>
    <n v="-0.6"/>
    <n v="19"/>
    <n v="1"/>
    <n v="1"/>
  </r>
  <r>
    <m/>
    <m/>
    <x v="1"/>
    <s v="50858361001001"/>
    <n v="-50.5"/>
    <n v="1597"/>
    <n v="1"/>
    <n v="1"/>
  </r>
  <r>
    <m/>
    <m/>
    <x v="1"/>
    <s v="50870401001001"/>
    <n v="-7.21"/>
    <n v="228"/>
    <n v="1"/>
    <n v="1"/>
  </r>
  <r>
    <m/>
    <m/>
    <x v="1"/>
    <s v="50898883001001"/>
    <n v="-2.5299999999999998"/>
    <n v="80"/>
    <n v="1"/>
    <n v="1"/>
  </r>
  <r>
    <m/>
    <m/>
    <x v="1"/>
    <s v="50899731001002"/>
    <n v="-11.67"/>
    <n v="369"/>
    <n v="1"/>
    <n v="1"/>
  </r>
  <r>
    <m/>
    <m/>
    <x v="1"/>
    <s v="50917791001001"/>
    <n v="-19.510000000000002"/>
    <n v="617"/>
    <n v="1"/>
    <n v="1"/>
  </r>
  <r>
    <m/>
    <m/>
    <x v="1"/>
    <s v="50968331001004"/>
    <n v="-5.44"/>
    <n v="172"/>
    <n v="1"/>
    <n v="1"/>
  </r>
  <r>
    <m/>
    <m/>
    <x v="1"/>
    <s v="50983591002001"/>
    <n v="-1.08"/>
    <n v="34"/>
    <n v="1"/>
    <n v="1"/>
  </r>
  <r>
    <m/>
    <m/>
    <x v="1"/>
    <s v="50997031001001"/>
    <n v="-0.13"/>
    <n v="4"/>
    <n v="1"/>
    <n v="1"/>
  </r>
  <r>
    <m/>
    <m/>
    <x v="1"/>
    <s v="51005151001001"/>
    <n v="-2.21"/>
    <n v="70"/>
    <n v="1"/>
    <n v="1"/>
  </r>
  <r>
    <m/>
    <m/>
    <x v="1"/>
    <s v="51006481001002"/>
    <n v="-4.0199999999999996"/>
    <n v="127"/>
    <n v="1"/>
    <n v="1"/>
  </r>
  <r>
    <m/>
    <m/>
    <x v="1"/>
    <s v="51010891001001"/>
    <n v="-15.24"/>
    <n v="482"/>
    <n v="1"/>
    <n v="1"/>
  </r>
  <r>
    <m/>
    <m/>
    <x v="1"/>
    <s v="51027411002001"/>
    <n v="-31.11"/>
    <n v="984"/>
    <n v="1"/>
    <n v="1"/>
  </r>
  <r>
    <m/>
    <m/>
    <x v="1"/>
    <s v="51046801003005"/>
    <n v="-35.450000000000003"/>
    <n v="1121"/>
    <n v="1"/>
    <n v="1"/>
  </r>
  <r>
    <m/>
    <m/>
    <x v="1"/>
    <s v="51053871001001"/>
    <n v="-16"/>
    <n v="506"/>
    <n v="1"/>
    <n v="1"/>
  </r>
  <r>
    <m/>
    <m/>
    <x v="1"/>
    <s v="51057441001003"/>
    <n v="-58.81"/>
    <n v="1860"/>
    <n v="1"/>
    <n v="1"/>
  </r>
  <r>
    <m/>
    <m/>
    <x v="1"/>
    <s v="51084811002002"/>
    <n v="-0.51"/>
    <n v="16"/>
    <n v="1"/>
    <n v="1"/>
  </r>
  <r>
    <m/>
    <m/>
    <x v="1"/>
    <s v="51093652001008"/>
    <n v="-1.45"/>
    <n v="46"/>
    <n v="1"/>
    <n v="1"/>
  </r>
  <r>
    <m/>
    <m/>
    <x v="1"/>
    <s v="51095876001003"/>
    <n v="-14.39"/>
    <n v="455"/>
    <n v="1"/>
    <n v="1"/>
  </r>
  <r>
    <m/>
    <m/>
    <x v="1"/>
    <s v="51098181001001"/>
    <n v="-28.02"/>
    <n v="886"/>
    <n v="1"/>
    <n v="1"/>
  </r>
  <r>
    <m/>
    <m/>
    <x v="1"/>
    <s v="51100771003002"/>
    <n v="-4.96"/>
    <n v="157"/>
    <n v="1"/>
    <n v="1"/>
  </r>
  <r>
    <m/>
    <m/>
    <x v="1"/>
    <s v="51112881010001"/>
    <n v="-76.680000000000007"/>
    <n v="2425"/>
    <n v="1"/>
    <n v="1"/>
  </r>
  <r>
    <m/>
    <m/>
    <x v="1"/>
    <s v="51114491001004"/>
    <n v="-7.11"/>
    <n v="225"/>
    <n v="1"/>
    <n v="1"/>
  </r>
  <r>
    <m/>
    <m/>
    <x v="1"/>
    <s v="51133041002001"/>
    <n v="-54.64"/>
    <n v="1728"/>
    <n v="1"/>
    <n v="1"/>
  </r>
  <r>
    <m/>
    <m/>
    <x v="1"/>
    <s v="51138571001004"/>
    <n v="-43.38"/>
    <n v="1372"/>
    <n v="1"/>
    <n v="1"/>
  </r>
  <r>
    <m/>
    <m/>
    <x v="1"/>
    <s v="51151311001002"/>
    <n v="-34.78"/>
    <n v="1100"/>
    <n v="1"/>
    <n v="1"/>
  </r>
  <r>
    <m/>
    <m/>
    <x v="1"/>
    <s v="51155161001001"/>
    <n v="-16.760000000000002"/>
    <n v="530"/>
    <n v="1"/>
    <n v="1"/>
  </r>
  <r>
    <m/>
    <m/>
    <x v="1"/>
    <s v="51155231001001"/>
    <n v="-48.38"/>
    <n v="1530"/>
    <n v="1"/>
    <n v="1"/>
  </r>
  <r>
    <m/>
    <m/>
    <x v="1"/>
    <s v="51158731001003"/>
    <n v="-0.54"/>
    <n v="17"/>
    <n v="1"/>
    <n v="1"/>
  </r>
  <r>
    <m/>
    <m/>
    <x v="1"/>
    <s v="51159641001002"/>
    <n v="-25.55"/>
    <n v="808"/>
    <n v="1"/>
    <n v="1"/>
  </r>
  <r>
    <m/>
    <m/>
    <x v="1"/>
    <s v="51164261005001"/>
    <n v="-58.66"/>
    <n v="1855"/>
    <n v="1"/>
    <n v="1"/>
  </r>
  <r>
    <m/>
    <m/>
    <x v="1"/>
    <s v="51165031001003"/>
    <n v="-29.5"/>
    <n v="933"/>
    <n v="1"/>
    <n v="1"/>
  </r>
  <r>
    <m/>
    <m/>
    <x v="1"/>
    <s v="51165871003001"/>
    <n v="-48.35"/>
    <n v="1529"/>
    <n v="1"/>
    <n v="1"/>
  </r>
  <r>
    <m/>
    <m/>
    <x v="1"/>
    <s v="51166641001002"/>
    <n v="-71.709999999999994"/>
    <n v="2268"/>
    <n v="1"/>
    <n v="1"/>
  </r>
  <r>
    <m/>
    <m/>
    <x v="1"/>
    <s v="51169231001001"/>
    <n v="-30.01"/>
    <n v="949"/>
    <n v="1"/>
    <n v="1"/>
  </r>
  <r>
    <m/>
    <m/>
    <x v="1"/>
    <s v="51175111003001"/>
    <n v="-26.59"/>
    <n v="841"/>
    <n v="1"/>
    <n v="1"/>
  </r>
  <r>
    <m/>
    <m/>
    <x v="1"/>
    <s v="51193801002003"/>
    <n v="-49.96"/>
    <n v="1580"/>
    <n v="1"/>
    <n v="1"/>
  </r>
  <r>
    <m/>
    <m/>
    <x v="1"/>
    <s v="51198001001002"/>
    <n v="-5.34"/>
    <n v="169"/>
    <n v="1"/>
    <n v="1"/>
  </r>
  <r>
    <m/>
    <m/>
    <x v="1"/>
    <s v="51198211001002"/>
    <n v="-32.130000000000003"/>
    <n v="1016"/>
    <n v="1"/>
    <n v="1"/>
  </r>
  <r>
    <m/>
    <m/>
    <x v="1"/>
    <s v="51204931003005"/>
    <n v="-29.85"/>
    <n v="944"/>
    <n v="1"/>
    <n v="1"/>
  </r>
  <r>
    <m/>
    <m/>
    <x v="1"/>
    <s v="51206821003010"/>
    <n v="-41.8"/>
    <n v="1322"/>
    <n v="1"/>
    <n v="1"/>
  </r>
  <r>
    <m/>
    <m/>
    <x v="1"/>
    <s v="51208991001001"/>
    <n v="-24.88"/>
    <n v="787"/>
    <n v="1"/>
    <n v="1"/>
  </r>
  <r>
    <m/>
    <m/>
    <x v="1"/>
    <s v="51210671002001"/>
    <n v="-37.090000000000003"/>
    <n v="1173"/>
    <n v="1"/>
    <n v="1"/>
  </r>
  <r>
    <m/>
    <m/>
    <x v="1"/>
    <s v="51211861001003"/>
    <n v="-10.02"/>
    <n v="317"/>
    <n v="1"/>
    <n v="1"/>
  </r>
  <r>
    <m/>
    <m/>
    <x v="1"/>
    <s v="51222851001001"/>
    <n v="-16.190000000000001"/>
    <n v="512"/>
    <n v="1"/>
    <n v="1"/>
  </r>
  <r>
    <m/>
    <m/>
    <x v="1"/>
    <s v="51225161002001"/>
    <n v="-35.950000000000003"/>
    <n v="1137"/>
    <n v="1"/>
    <n v="1"/>
  </r>
  <r>
    <m/>
    <m/>
    <x v="1"/>
    <s v="51225441001001"/>
    <n v="-54.42"/>
    <n v="1721"/>
    <n v="1"/>
    <n v="1"/>
  </r>
  <r>
    <m/>
    <m/>
    <x v="1"/>
    <s v="51227051001001"/>
    <n v="-19.57"/>
    <n v="619"/>
    <n v="1"/>
    <n v="1"/>
  </r>
  <r>
    <m/>
    <m/>
    <x v="1"/>
    <s v="51231111001004"/>
    <n v="-53.22"/>
    <n v="1683"/>
    <n v="1"/>
    <n v="1"/>
  </r>
  <r>
    <m/>
    <m/>
    <x v="1"/>
    <s v="51309651001001"/>
    <n v="-0.73"/>
    <n v="23"/>
    <n v="1"/>
    <n v="1"/>
  </r>
  <r>
    <m/>
    <m/>
    <x v="1"/>
    <s v="51309721001001"/>
    <n v="-2.25"/>
    <n v="71"/>
    <n v="1"/>
    <n v="1"/>
  </r>
  <r>
    <m/>
    <m/>
    <x v="1"/>
    <s v="51316301003004"/>
    <n v="-0.54"/>
    <n v="17"/>
    <n v="1"/>
    <n v="1"/>
  </r>
  <r>
    <m/>
    <m/>
    <x v="1"/>
    <s v="51323511001002"/>
    <n v="-0.32"/>
    <n v="10"/>
    <n v="1"/>
    <n v="1"/>
  </r>
  <r>
    <m/>
    <m/>
    <x v="1"/>
    <s v="51344791001003"/>
    <n v="-50.75"/>
    <n v="1605"/>
    <n v="1"/>
    <n v="1"/>
  </r>
  <r>
    <m/>
    <m/>
    <x v="1"/>
    <s v="51344861001001"/>
    <n v="-1.36"/>
    <n v="43"/>
    <n v="1"/>
    <n v="1"/>
  </r>
  <r>
    <m/>
    <m/>
    <x v="1"/>
    <s v="51370831001001"/>
    <n v="-4.62"/>
    <n v="146"/>
    <n v="1"/>
    <n v="1"/>
  </r>
  <r>
    <m/>
    <m/>
    <x v="1"/>
    <s v="51405131001001"/>
    <n v="-3.38"/>
    <n v="107"/>
    <n v="1"/>
    <n v="1"/>
  </r>
  <r>
    <m/>
    <m/>
    <x v="1"/>
    <s v="51405271001001"/>
    <n v="-1.99"/>
    <n v="63"/>
    <n v="1"/>
    <n v="1"/>
  </r>
  <r>
    <m/>
    <m/>
    <x v="1"/>
    <s v="51416681001001"/>
    <n v="-22.61"/>
    <n v="715"/>
    <n v="1"/>
    <n v="1"/>
  </r>
  <r>
    <m/>
    <m/>
    <x v="1"/>
    <s v="51456371002001"/>
    <n v="-2.69"/>
    <n v="85"/>
    <n v="1"/>
    <n v="1"/>
  </r>
  <r>
    <m/>
    <m/>
    <x v="1"/>
    <s v="51513351001001"/>
    <n v="-7.11"/>
    <n v="225"/>
    <n v="1"/>
    <n v="1"/>
  </r>
  <r>
    <m/>
    <m/>
    <x v="1"/>
    <s v="51514331001001"/>
    <n v="-3.92"/>
    <n v="124"/>
    <n v="1"/>
    <n v="1"/>
  </r>
  <r>
    <m/>
    <m/>
    <x v="1"/>
    <s v="51518391001001"/>
    <n v="-22.67"/>
    <n v="717"/>
    <n v="1"/>
    <n v="1"/>
  </r>
  <r>
    <m/>
    <m/>
    <x v="1"/>
    <s v="51519511001001"/>
    <n v="-1.2"/>
    <n v="38"/>
    <n v="1"/>
    <n v="1"/>
  </r>
  <r>
    <m/>
    <m/>
    <x v="1"/>
    <s v="51525601001002"/>
    <n v="-1.8"/>
    <n v="57"/>
    <n v="1"/>
    <n v="1"/>
  </r>
  <r>
    <m/>
    <m/>
    <x v="1"/>
    <s v="51528681001002"/>
    <n v="-3.35"/>
    <n v="106"/>
    <n v="1"/>
    <n v="1"/>
  </r>
  <r>
    <m/>
    <m/>
    <x v="1"/>
    <s v="51532811002001"/>
    <n v="-15.59"/>
    <n v="493"/>
    <n v="1"/>
    <n v="1"/>
  </r>
  <r>
    <m/>
    <m/>
    <x v="1"/>
    <s v="51536031001001"/>
    <n v="-2.94"/>
    <n v="93"/>
    <n v="1"/>
    <n v="1"/>
  </r>
  <r>
    <m/>
    <m/>
    <x v="1"/>
    <s v="51542891001003"/>
    <n v="-6.64"/>
    <n v="210"/>
    <n v="1"/>
    <n v="1"/>
  </r>
  <r>
    <m/>
    <m/>
    <x v="1"/>
    <s v="51549471001001"/>
    <n v="-3.76"/>
    <n v="119"/>
    <n v="1"/>
    <n v="1"/>
  </r>
  <r>
    <m/>
    <m/>
    <x v="1"/>
    <s v="51555701001005"/>
    <n v="-7.4"/>
    <n v="234"/>
    <n v="1"/>
    <n v="1"/>
  </r>
  <r>
    <m/>
    <m/>
    <x v="1"/>
    <s v="51560951001001"/>
    <n v="-14.83"/>
    <n v="469"/>
    <n v="1"/>
    <n v="1"/>
  </r>
  <r>
    <m/>
    <m/>
    <x v="1"/>
    <s v="51579291002005"/>
    <n v="-34.47"/>
    <n v="1090"/>
    <n v="1"/>
    <n v="1"/>
  </r>
  <r>
    <m/>
    <m/>
    <x v="1"/>
    <s v="51591471001001"/>
    <n v="-11.92"/>
    <n v="377"/>
    <n v="1"/>
    <n v="1"/>
  </r>
  <r>
    <m/>
    <m/>
    <x v="1"/>
    <s v="51593291002001"/>
    <n v="-19"/>
    <n v="601"/>
    <n v="1"/>
    <n v="1"/>
  </r>
  <r>
    <m/>
    <m/>
    <x v="1"/>
    <s v="51597701001005"/>
    <n v="-2.66"/>
    <n v="84"/>
    <n v="1"/>
    <n v="1"/>
  </r>
  <r>
    <m/>
    <m/>
    <x v="1"/>
    <s v="51603441001001"/>
    <n v="-14.23"/>
    <n v="450"/>
    <n v="1"/>
    <n v="1"/>
  </r>
  <r>
    <m/>
    <m/>
    <x v="1"/>
    <s v="51613101001001"/>
    <n v="-30.92"/>
    <n v="978"/>
    <n v="1"/>
    <n v="1"/>
  </r>
  <r>
    <m/>
    <m/>
    <x v="1"/>
    <s v="51615411001001"/>
    <n v="-17.39"/>
    <n v="550"/>
    <n v="1"/>
    <n v="1"/>
  </r>
  <r>
    <m/>
    <m/>
    <x v="1"/>
    <s v="51618981001001"/>
    <n v="-17.010000000000002"/>
    <n v="538"/>
    <n v="1"/>
    <n v="1"/>
  </r>
  <r>
    <m/>
    <m/>
    <x v="1"/>
    <s v="51625841001001"/>
    <n v="-11.19"/>
    <n v="354"/>
    <n v="1"/>
    <n v="1"/>
  </r>
  <r>
    <m/>
    <m/>
    <x v="1"/>
    <s v="51625911001001"/>
    <n v="-1.01"/>
    <n v="32"/>
    <n v="1"/>
    <n v="1"/>
  </r>
  <r>
    <m/>
    <m/>
    <x v="1"/>
    <s v="51627031001001"/>
    <n v="-9.01"/>
    <n v="285"/>
    <n v="1"/>
    <n v="1"/>
  </r>
  <r>
    <m/>
    <m/>
    <x v="1"/>
    <s v="51709201001002"/>
    <n v="-22.26"/>
    <n v="704"/>
    <n v="1"/>
    <n v="1"/>
  </r>
  <r>
    <m/>
    <m/>
    <x v="1"/>
    <s v="52411414001001"/>
    <n v="-25.68"/>
    <n v="812"/>
    <n v="1"/>
    <n v="1"/>
  </r>
  <r>
    <m/>
    <m/>
    <x v="1"/>
    <s v="53001899001007"/>
    <n v="-5.19"/>
    <n v="164"/>
    <n v="1"/>
    <n v="1"/>
  </r>
  <r>
    <m/>
    <m/>
    <x v="1"/>
    <s v="53096079004003"/>
    <n v="-11.19"/>
    <n v="354"/>
    <n v="1"/>
    <n v="1"/>
  </r>
  <r>
    <m/>
    <m/>
    <x v="1"/>
    <s v="53097867001003"/>
    <n v="-26.97"/>
    <n v="853"/>
    <n v="1"/>
    <n v="1"/>
  </r>
  <r>
    <m/>
    <m/>
    <x v="1"/>
    <s v="53296048001001"/>
    <n v="-8.0299999999999994"/>
    <n v="254"/>
    <n v="1"/>
    <n v="1"/>
  </r>
  <r>
    <m/>
    <m/>
    <x v="1"/>
    <s v="53355064001008"/>
    <n v="-4.96"/>
    <n v="157"/>
    <n v="1"/>
    <n v="1"/>
  </r>
  <r>
    <m/>
    <m/>
    <x v="1"/>
    <s v="53358702001003"/>
    <n v="-44.96"/>
    <n v="1422"/>
    <n v="1"/>
    <n v="1"/>
  </r>
  <r>
    <m/>
    <m/>
    <x v="1"/>
    <s v="53369288001006"/>
    <n v="-4.68"/>
    <n v="148"/>
    <n v="1"/>
    <n v="1"/>
  </r>
  <r>
    <m/>
    <m/>
    <x v="1"/>
    <s v="53425442001001"/>
    <n v="-12.4"/>
    <n v="392"/>
    <n v="1"/>
    <n v="1"/>
  </r>
  <r>
    <m/>
    <m/>
    <x v="1"/>
    <s v="53697250001001"/>
    <n v="-8.66"/>
    <n v="274"/>
    <n v="1"/>
    <n v="1"/>
  </r>
  <r>
    <m/>
    <m/>
    <x v="1"/>
    <s v="53848555001002"/>
    <n v="-1.68"/>
    <n v="53"/>
    <n v="1"/>
    <n v="1"/>
  </r>
  <r>
    <m/>
    <m/>
    <x v="1"/>
    <s v="53915118004001"/>
    <n v="-10.18"/>
    <n v="322"/>
    <n v="1"/>
    <n v="1"/>
  </r>
  <r>
    <m/>
    <m/>
    <x v="1"/>
    <s v="54028064001002"/>
    <n v="-3.76"/>
    <n v="119"/>
    <n v="1"/>
    <n v="1"/>
  </r>
  <r>
    <m/>
    <m/>
    <x v="1"/>
    <s v="54147532001001"/>
    <n v="-14.8"/>
    <n v="468"/>
    <n v="1"/>
    <n v="1"/>
  </r>
  <r>
    <m/>
    <m/>
    <x v="1"/>
    <s v="54213868001001"/>
    <n v="-88.79"/>
    <n v="2808"/>
    <n v="1"/>
    <n v="1"/>
  </r>
  <r>
    <m/>
    <m/>
    <x v="1"/>
    <s v="54346046001001"/>
    <n v="-1.9"/>
    <n v="60"/>
    <n v="1"/>
    <n v="1"/>
  </r>
  <r>
    <m/>
    <m/>
    <x v="1"/>
    <s v="54604589002003"/>
    <n v="-0.09"/>
    <n v="3"/>
    <n v="1"/>
    <n v="1"/>
  </r>
  <r>
    <m/>
    <m/>
    <x v="1"/>
    <s v="54687727001003"/>
    <n v="-1.08"/>
    <n v="34"/>
    <n v="1"/>
    <n v="1"/>
  </r>
  <r>
    <m/>
    <m/>
    <x v="1"/>
    <s v="54980338001003"/>
    <n v="-30.39"/>
    <n v="961"/>
    <n v="1"/>
    <n v="1"/>
  </r>
  <r>
    <m/>
    <m/>
    <x v="1"/>
    <s v="55036747001002"/>
    <n v="-44.33"/>
    <n v="1402"/>
    <n v="1"/>
    <n v="1"/>
  </r>
  <r>
    <m/>
    <m/>
    <x v="1"/>
    <s v="55174948002001"/>
    <n v="-7.84"/>
    <n v="248"/>
    <n v="1"/>
    <n v="1"/>
  </r>
  <r>
    <m/>
    <m/>
    <x v="1"/>
    <s v="55611530002001"/>
    <n v="-21.47"/>
    <n v="679"/>
    <n v="1"/>
    <n v="1"/>
  </r>
  <r>
    <m/>
    <m/>
    <x v="1"/>
    <s v="55719958002003"/>
    <n v="-32.979999999999997"/>
    <n v="1043"/>
    <n v="1"/>
    <n v="1"/>
  </r>
  <r>
    <m/>
    <m/>
    <x v="1"/>
    <s v="55904293003001"/>
    <n v="-16.600000000000001"/>
    <n v="525"/>
    <n v="1"/>
    <n v="1"/>
  </r>
  <r>
    <m/>
    <m/>
    <x v="1"/>
    <s v="56072830001004"/>
    <n v="-11.95"/>
    <n v="378"/>
    <n v="1"/>
    <n v="1"/>
  </r>
  <r>
    <m/>
    <m/>
    <x v="1"/>
    <s v="56095941001001"/>
    <n v="-41.26"/>
    <n v="1305"/>
    <n v="1"/>
    <n v="1"/>
  </r>
  <r>
    <m/>
    <m/>
    <x v="1"/>
    <s v="56469291001004"/>
    <n v="-16.32"/>
    <n v="516"/>
    <n v="1"/>
    <n v="1"/>
  </r>
  <r>
    <m/>
    <m/>
    <x v="1"/>
    <s v="56745375001001"/>
    <n v="-0.22"/>
    <n v="7"/>
    <n v="1"/>
    <n v="1"/>
  </r>
  <r>
    <m/>
    <m/>
    <x v="1"/>
    <s v="57023876001009"/>
    <n v="-1.64"/>
    <n v="52"/>
    <n v="1"/>
    <n v="1"/>
  </r>
  <r>
    <m/>
    <m/>
    <x v="1"/>
    <s v="57038793001001"/>
    <n v="-2.4300000000000002"/>
    <n v="77"/>
    <n v="1"/>
    <n v="1"/>
  </r>
  <r>
    <m/>
    <m/>
    <x v="1"/>
    <s v="57453412001005"/>
    <n v="-0.35"/>
    <n v="11"/>
    <n v="1"/>
    <n v="1"/>
  </r>
  <r>
    <m/>
    <m/>
    <x v="1"/>
    <s v="57674970002001"/>
    <n v="-3.29"/>
    <n v="104"/>
    <n v="1"/>
    <n v="1"/>
  </r>
  <r>
    <m/>
    <m/>
    <x v="1"/>
    <s v="57703524001001"/>
    <n v="-0.63"/>
    <n v="20"/>
    <n v="1"/>
    <n v="1"/>
  </r>
  <r>
    <m/>
    <m/>
    <x v="1"/>
    <s v="58035525001001"/>
    <n v="-5.85"/>
    <n v="185"/>
    <n v="1"/>
    <n v="1"/>
  </r>
  <r>
    <m/>
    <m/>
    <x v="1"/>
    <s v="58144822001002"/>
    <n v="-0.63"/>
    <n v="20"/>
    <n v="1"/>
    <n v="1"/>
  </r>
  <r>
    <m/>
    <m/>
    <x v="1"/>
    <s v="58232265001001"/>
    <n v="-4.74"/>
    <n v="150"/>
    <n v="1"/>
    <n v="1"/>
  </r>
  <r>
    <m/>
    <m/>
    <x v="1"/>
    <s v="58340544001005"/>
    <n v="-13.63"/>
    <n v="431"/>
    <n v="1"/>
    <n v="1"/>
  </r>
  <r>
    <m/>
    <m/>
    <x v="1"/>
    <s v="58442302001005"/>
    <n v="-31.4"/>
    <n v="993"/>
    <n v="1"/>
    <n v="1"/>
  </r>
  <r>
    <m/>
    <m/>
    <x v="1"/>
    <s v="58584299001003"/>
    <n v="-41.3"/>
    <n v="1306"/>
    <n v="1"/>
    <n v="1"/>
  </r>
  <r>
    <m/>
    <m/>
    <x v="1"/>
    <s v="58591973002001"/>
    <n v="-4.3600000000000003"/>
    <n v="138"/>
    <n v="1"/>
    <n v="1"/>
  </r>
  <r>
    <m/>
    <m/>
    <x v="1"/>
    <s v="58619499001001"/>
    <n v="-3.76"/>
    <n v="119"/>
    <n v="1"/>
    <n v="1"/>
  </r>
  <r>
    <m/>
    <m/>
    <x v="1"/>
    <s v="58719680001001"/>
    <n v="-6.99"/>
    <n v="221"/>
    <n v="1"/>
    <n v="1"/>
  </r>
  <r>
    <m/>
    <m/>
    <x v="1"/>
    <s v="58876732001001"/>
    <n v="-30.29"/>
    <n v="958"/>
    <n v="2"/>
    <n v="1"/>
  </r>
  <r>
    <m/>
    <m/>
    <x v="1"/>
    <s v="59053011001001"/>
    <n v="-51.19"/>
    <n v="1619"/>
    <n v="1"/>
    <n v="1"/>
  </r>
  <r>
    <m/>
    <m/>
    <x v="1"/>
    <s v="59085749001001"/>
    <n v="-0.95"/>
    <n v="30"/>
    <n v="1"/>
    <n v="1"/>
  </r>
  <r>
    <m/>
    <m/>
    <x v="1"/>
    <s v="59739422001001"/>
    <n v="-35.79"/>
    <n v="1132"/>
    <n v="1"/>
    <n v="1"/>
  </r>
  <r>
    <m/>
    <m/>
    <x v="1"/>
    <s v="59904249001001"/>
    <n v="-21.03"/>
    <n v="665"/>
    <n v="1"/>
    <n v="1"/>
  </r>
  <r>
    <m/>
    <m/>
    <x v="1"/>
    <s v="60000842001003"/>
    <n v="-44.93"/>
    <n v="1421"/>
    <n v="1"/>
    <n v="1"/>
  </r>
  <r>
    <m/>
    <m/>
    <x v="1"/>
    <s v="60111846001007"/>
    <n v="-19.13"/>
    <n v="605"/>
    <n v="1"/>
    <n v="1"/>
  </r>
  <r>
    <m/>
    <m/>
    <x v="1"/>
    <s v="60292201001004"/>
    <n v="-33.99"/>
    <n v="1075"/>
    <n v="1"/>
    <n v="1"/>
  </r>
  <r>
    <m/>
    <m/>
    <x v="1"/>
    <s v="60362120001002"/>
    <n v="-11.98"/>
    <n v="379"/>
    <n v="1"/>
    <n v="1"/>
  </r>
  <r>
    <m/>
    <m/>
    <x v="1"/>
    <s v="60524809001001"/>
    <n v="-28.33"/>
    <n v="896"/>
    <n v="1"/>
    <n v="1"/>
  </r>
  <r>
    <m/>
    <m/>
    <x v="1"/>
    <s v="60536331001001"/>
    <n v="-41.9"/>
    <n v="1325"/>
    <n v="1"/>
    <n v="1"/>
  </r>
  <r>
    <m/>
    <m/>
    <x v="1"/>
    <s v="60784386002004"/>
    <n v="-5.25"/>
    <n v="166"/>
    <n v="1"/>
    <n v="1"/>
  </r>
  <r>
    <m/>
    <m/>
    <x v="1"/>
    <s v="60842999001005"/>
    <n v="-13.72"/>
    <n v="434"/>
    <n v="1"/>
    <n v="1"/>
  </r>
  <r>
    <m/>
    <m/>
    <x v="1"/>
    <s v="61308081001001"/>
    <n v="-2.21"/>
    <n v="70"/>
    <n v="1"/>
    <n v="1"/>
  </r>
  <r>
    <m/>
    <m/>
    <x v="1"/>
    <s v="61514360001001"/>
    <n v="-6.01"/>
    <n v="190"/>
    <n v="1"/>
    <n v="1"/>
  </r>
  <r>
    <m/>
    <m/>
    <x v="1"/>
    <s v="61683151001005"/>
    <n v="-0.98"/>
    <n v="31"/>
    <n v="1"/>
    <n v="1"/>
  </r>
  <r>
    <m/>
    <m/>
    <x v="1"/>
    <s v="61690664001003"/>
    <n v="-0.13"/>
    <n v="4"/>
    <n v="1"/>
    <n v="1"/>
  </r>
  <r>
    <m/>
    <m/>
    <x v="1"/>
    <s v="62003086001001"/>
    <n v="-1.1399999999999999"/>
    <n v="36"/>
    <n v="1"/>
    <n v="1"/>
  </r>
  <r>
    <m/>
    <m/>
    <x v="1"/>
    <s v="62350475002004"/>
    <n v="-4.17"/>
    <n v="132"/>
    <n v="1"/>
    <n v="1"/>
  </r>
  <r>
    <m/>
    <m/>
    <x v="1"/>
    <s v="62483712001004"/>
    <n v="-1.23"/>
    <n v="39"/>
    <n v="1"/>
    <n v="1"/>
  </r>
  <r>
    <m/>
    <m/>
    <x v="1"/>
    <s v="62844982001007"/>
    <n v="-13.03"/>
    <n v="412"/>
    <n v="1"/>
    <n v="1"/>
  </r>
  <r>
    <m/>
    <m/>
    <x v="1"/>
    <s v="62873190001003"/>
    <n v="-27.26"/>
    <n v="862"/>
    <n v="1"/>
    <n v="1"/>
  </r>
  <r>
    <m/>
    <m/>
    <x v="1"/>
    <s v="62914468001003"/>
    <n v="-9.99"/>
    <n v="316"/>
    <n v="1"/>
    <n v="1"/>
  </r>
  <r>
    <m/>
    <m/>
    <x v="1"/>
    <s v="63212679001001"/>
    <n v="-0.22"/>
    <n v="7"/>
    <n v="1"/>
    <n v="1"/>
  </r>
  <r>
    <m/>
    <m/>
    <x v="1"/>
    <s v="63875460001002"/>
    <n v="-26.18"/>
    <n v="828"/>
    <n v="1"/>
    <n v="1"/>
  </r>
  <r>
    <m/>
    <m/>
    <x v="1"/>
    <s v="63898256001003"/>
    <n v="-13.15"/>
    <n v="416"/>
    <n v="1"/>
    <n v="1"/>
  </r>
  <r>
    <m/>
    <m/>
    <x v="1"/>
    <s v="64166284001002"/>
    <n v="-10.85"/>
    <n v="343"/>
    <n v="1"/>
    <n v="1"/>
  </r>
  <r>
    <m/>
    <m/>
    <x v="1"/>
    <s v="64399841001001"/>
    <n v="-55.84"/>
    <n v="1766"/>
    <n v="1"/>
    <n v="1"/>
  </r>
  <r>
    <m/>
    <m/>
    <x v="1"/>
    <s v="64700335001001"/>
    <n v="-1.01"/>
    <n v="32"/>
    <n v="1"/>
    <n v="1"/>
  </r>
  <r>
    <m/>
    <m/>
    <x v="1"/>
    <s v="64802495002001"/>
    <n v="-4.93"/>
    <n v="156"/>
    <n v="1"/>
    <n v="1"/>
  </r>
  <r>
    <m/>
    <m/>
    <x v="1"/>
    <s v="64825767001002"/>
    <n v="-1.45"/>
    <n v="46"/>
    <n v="1"/>
    <n v="1"/>
  </r>
  <r>
    <m/>
    <m/>
    <x v="1"/>
    <s v="64826160001001"/>
    <n v="-40.32"/>
    <n v="1275"/>
    <n v="1"/>
    <n v="1"/>
  </r>
  <r>
    <m/>
    <m/>
    <x v="1"/>
    <s v="64995258001006"/>
    <n v="-0.44"/>
    <n v="14"/>
    <n v="1"/>
    <n v="1"/>
  </r>
  <r>
    <m/>
    <m/>
    <x v="1"/>
    <s v="65005121001001"/>
    <n v="-26.4"/>
    <n v="835"/>
    <n v="1"/>
    <n v="1"/>
  </r>
  <r>
    <m/>
    <m/>
    <x v="1"/>
    <s v="65041396001006"/>
    <n v="-1.26"/>
    <n v="40"/>
    <n v="1"/>
    <n v="1"/>
  </r>
  <r>
    <m/>
    <m/>
    <x v="1"/>
    <s v="65633759004001"/>
    <n v="-64.98"/>
    <n v="2055"/>
    <n v="1"/>
    <n v="1"/>
  </r>
  <r>
    <m/>
    <m/>
    <x v="1"/>
    <s v="65693388001001"/>
    <n v="-0.28000000000000003"/>
    <n v="9"/>
    <n v="1"/>
    <n v="1"/>
  </r>
  <r>
    <m/>
    <m/>
    <x v="1"/>
    <s v="65715070001003"/>
    <n v="-19.48"/>
    <n v="616"/>
    <n v="1"/>
    <n v="1"/>
  </r>
  <r>
    <m/>
    <m/>
    <x v="1"/>
    <s v="65721814002001"/>
    <n v="-4.7699999999999996"/>
    <n v="151"/>
    <n v="1"/>
    <n v="1"/>
  </r>
  <r>
    <m/>
    <m/>
    <x v="1"/>
    <s v="65840761001001"/>
    <n v="-0.35"/>
    <n v="11"/>
    <n v="1"/>
    <n v="1"/>
  </r>
  <r>
    <m/>
    <m/>
    <x v="1"/>
    <s v="66035608002005"/>
    <n v="-14.39"/>
    <n v="455"/>
    <n v="1"/>
    <n v="1"/>
  </r>
  <r>
    <m/>
    <m/>
    <x v="1"/>
    <s v="66054732001002"/>
    <n v="-29.56"/>
    <n v="935"/>
    <n v="1"/>
    <n v="1"/>
  </r>
  <r>
    <m/>
    <m/>
    <x v="1"/>
    <s v="66293697001004"/>
    <n v="-9.93"/>
    <n v="314"/>
    <n v="1"/>
    <n v="1"/>
  </r>
  <r>
    <m/>
    <m/>
    <x v="1"/>
    <s v="66355473001004"/>
    <n v="-1.68"/>
    <n v="53"/>
    <n v="1"/>
    <n v="1"/>
  </r>
  <r>
    <m/>
    <m/>
    <x v="1"/>
    <s v="66682187001001"/>
    <n v="-1.8"/>
    <n v="57"/>
    <n v="1"/>
    <n v="1"/>
  </r>
  <r>
    <m/>
    <m/>
    <x v="1"/>
    <s v="67052660001005"/>
    <n v="-33.42"/>
    <n v="1057"/>
    <n v="1"/>
    <n v="1"/>
  </r>
  <r>
    <m/>
    <m/>
    <x v="1"/>
    <s v="67271689001005"/>
    <n v="-12.62"/>
    <n v="399"/>
    <n v="1"/>
    <n v="1"/>
  </r>
  <r>
    <m/>
    <m/>
    <x v="1"/>
    <s v="67306787001001"/>
    <n v="-11.13"/>
    <n v="352"/>
    <n v="1"/>
    <n v="1"/>
  </r>
  <r>
    <m/>
    <m/>
    <x v="1"/>
    <s v="67805859001003"/>
    <n v="-25.83"/>
    <n v="817"/>
    <n v="1"/>
    <n v="1"/>
  </r>
  <r>
    <m/>
    <m/>
    <x v="1"/>
    <s v="67923885001001"/>
    <n v="-29.15"/>
    <n v="922"/>
    <n v="1"/>
    <n v="1"/>
  </r>
  <r>
    <m/>
    <m/>
    <x v="1"/>
    <s v="68039419001001"/>
    <n v="-13.41"/>
    <n v="424"/>
    <n v="1"/>
    <n v="1"/>
  </r>
  <r>
    <m/>
    <m/>
    <x v="1"/>
    <s v="68082611001001"/>
    <n v="-0.56999999999999995"/>
    <n v="18"/>
    <n v="1"/>
    <n v="1"/>
  </r>
  <r>
    <m/>
    <m/>
    <x v="1"/>
    <s v="68107039001001"/>
    <n v="-1.77"/>
    <n v="56"/>
    <n v="1"/>
    <n v="1"/>
  </r>
  <r>
    <m/>
    <m/>
    <x v="1"/>
    <s v="68173550001001"/>
    <n v="-26.09"/>
    <n v="825"/>
    <n v="1"/>
    <n v="1"/>
  </r>
  <r>
    <m/>
    <m/>
    <x v="1"/>
    <s v="68326356001009"/>
    <n v="-16.13"/>
    <n v="510"/>
    <n v="1"/>
    <n v="1"/>
  </r>
  <r>
    <m/>
    <m/>
    <x v="1"/>
    <s v="68338933001001"/>
    <n v="-9.8699999999999992"/>
    <n v="312"/>
    <n v="1"/>
    <n v="1"/>
  </r>
  <r>
    <m/>
    <m/>
    <x v="1"/>
    <s v="68453365001002"/>
    <n v="-40.06"/>
    <n v="1267"/>
    <n v="1"/>
    <n v="1"/>
  </r>
  <r>
    <m/>
    <m/>
    <x v="1"/>
    <s v="68711288001003"/>
    <n v="-82.75"/>
    <n v="2617"/>
    <n v="1"/>
    <n v="1"/>
  </r>
  <r>
    <m/>
    <m/>
    <x v="1"/>
    <s v="68836312001001"/>
    <n v="-8"/>
    <n v="253"/>
    <n v="1"/>
    <n v="1"/>
  </r>
  <r>
    <m/>
    <m/>
    <x v="1"/>
    <s v="68837584001003"/>
    <n v="-7.34"/>
    <n v="232"/>
    <n v="1"/>
    <n v="1"/>
  </r>
  <r>
    <m/>
    <m/>
    <x v="1"/>
    <s v="69000077001002"/>
    <n v="-2.4"/>
    <n v="76"/>
    <n v="1"/>
    <n v="1"/>
  </r>
  <r>
    <m/>
    <m/>
    <x v="1"/>
    <s v="69182870001007"/>
    <n v="-20.43"/>
    <n v="646"/>
    <n v="1"/>
    <n v="1"/>
  </r>
  <r>
    <m/>
    <m/>
    <x v="1"/>
    <s v="69208025001001"/>
    <n v="-5.6"/>
    <n v="177"/>
    <n v="1"/>
    <n v="1"/>
  </r>
  <r>
    <m/>
    <m/>
    <x v="1"/>
    <s v="69445924001001"/>
    <n v="-13.91"/>
    <n v="440"/>
    <n v="1"/>
    <n v="1"/>
  </r>
  <r>
    <m/>
    <m/>
    <x v="1"/>
    <s v="69542400001002"/>
    <n v="-21.5"/>
    <n v="680"/>
    <n v="1"/>
    <n v="1"/>
  </r>
  <r>
    <m/>
    <m/>
    <x v="1"/>
    <s v="69778160001001"/>
    <n v="-40.409999999999997"/>
    <n v="1278"/>
    <n v="1"/>
    <n v="1"/>
  </r>
  <r>
    <m/>
    <m/>
    <x v="1"/>
    <s v="69851222003003"/>
    <n v="-9.74"/>
    <n v="308"/>
    <n v="1"/>
    <n v="1"/>
  </r>
  <r>
    <m/>
    <m/>
    <x v="1"/>
    <s v="69906946003001"/>
    <n v="-6.26"/>
    <n v="198"/>
    <n v="1"/>
    <n v="1"/>
  </r>
  <r>
    <m/>
    <m/>
    <x v="1"/>
    <s v="70041367001007"/>
    <n v="-0.22"/>
    <n v="7"/>
    <n v="1"/>
    <n v="1"/>
  </r>
  <r>
    <m/>
    <m/>
    <x v="1"/>
    <s v="70272425001001"/>
    <n v="-4.3"/>
    <n v="136"/>
    <n v="1"/>
    <n v="1"/>
  </r>
  <r>
    <m/>
    <m/>
    <x v="1"/>
    <s v="70468885005005"/>
    <n v="-4.1399999999999997"/>
    <n v="131"/>
    <n v="1"/>
    <n v="1"/>
  </r>
  <r>
    <m/>
    <m/>
    <x v="1"/>
    <s v="70566844001001"/>
    <n v="-1.93"/>
    <n v="61"/>
    <n v="1"/>
    <n v="1"/>
  </r>
  <r>
    <m/>
    <m/>
    <x v="1"/>
    <s v="70930301001003"/>
    <n v="-2.12"/>
    <n v="67"/>
    <n v="1"/>
    <n v="1"/>
  </r>
  <r>
    <m/>
    <m/>
    <x v="1"/>
    <s v="70944177001002"/>
    <n v="-10.62"/>
    <n v="336"/>
    <n v="1"/>
    <n v="1"/>
  </r>
  <r>
    <m/>
    <m/>
    <x v="1"/>
    <s v="71983541001003"/>
    <n v="-31.02"/>
    <n v="981"/>
    <n v="1"/>
    <n v="1"/>
  </r>
  <r>
    <m/>
    <m/>
    <x v="1"/>
    <s v="72021826001002"/>
    <n v="-6.32"/>
    <n v="200"/>
    <n v="1"/>
    <n v="1"/>
  </r>
  <r>
    <m/>
    <m/>
    <x v="1"/>
    <s v="72706041002001"/>
    <n v="-6.07"/>
    <n v="192"/>
    <n v="1"/>
    <n v="1"/>
  </r>
  <r>
    <m/>
    <m/>
    <x v="1"/>
    <s v="72748480001001"/>
    <n v="-10.28"/>
    <n v="325"/>
    <n v="1"/>
    <n v="1"/>
  </r>
  <r>
    <m/>
    <m/>
    <x v="1"/>
    <s v="72816069001004"/>
    <n v="-6.13"/>
    <n v="194"/>
    <n v="1"/>
    <n v="1"/>
  </r>
  <r>
    <m/>
    <m/>
    <x v="1"/>
    <s v="72820369001003"/>
    <n v="-5.75"/>
    <n v="182"/>
    <n v="1"/>
    <n v="1"/>
  </r>
  <r>
    <m/>
    <m/>
    <x v="1"/>
    <s v="72947721001001"/>
    <n v="-0.6"/>
    <n v="19"/>
    <n v="1"/>
    <n v="1"/>
  </r>
  <r>
    <m/>
    <m/>
    <x v="1"/>
    <s v="73203415001002"/>
    <n v="-0.38"/>
    <n v="12"/>
    <n v="1"/>
    <n v="1"/>
  </r>
  <r>
    <m/>
    <m/>
    <x v="1"/>
    <s v="73519230001001"/>
    <n v="-2.21"/>
    <n v="70"/>
    <n v="1"/>
    <n v="1"/>
  </r>
  <r>
    <m/>
    <m/>
    <x v="1"/>
    <s v="73571653001001"/>
    <n v="-14.7"/>
    <n v="465"/>
    <n v="1"/>
    <n v="1"/>
  </r>
  <r>
    <m/>
    <m/>
    <x v="1"/>
    <s v="73932323001001"/>
    <n v="-13.22"/>
    <n v="418"/>
    <n v="1"/>
    <n v="1"/>
  </r>
  <r>
    <m/>
    <m/>
    <x v="1"/>
    <s v="74187446001006"/>
    <n v="-50.24"/>
    <n v="1589"/>
    <n v="1"/>
    <n v="1"/>
  </r>
  <r>
    <m/>
    <m/>
    <x v="1"/>
    <s v="74229049001001"/>
    <n v="-15.78"/>
    <n v="499"/>
    <n v="1"/>
    <n v="1"/>
  </r>
  <r>
    <m/>
    <m/>
    <x v="1"/>
    <s v="74349005002009"/>
    <n v="-13.03"/>
    <n v="412"/>
    <n v="1"/>
    <n v="1"/>
  </r>
  <r>
    <m/>
    <m/>
    <x v="1"/>
    <s v="74351356002001"/>
    <n v="-80.69"/>
    <n v="2552"/>
    <n v="1"/>
    <n v="1"/>
  </r>
  <r>
    <m/>
    <m/>
    <x v="1"/>
    <s v="74361620004003"/>
    <n v="-52.01"/>
    <n v="1645"/>
    <n v="1"/>
    <n v="1"/>
  </r>
  <r>
    <m/>
    <m/>
    <x v="1"/>
    <s v="74369035001005"/>
    <n v="-38.58"/>
    <n v="1220"/>
    <n v="1"/>
    <n v="1"/>
  </r>
  <r>
    <m/>
    <m/>
    <x v="1"/>
    <s v="74657239001002"/>
    <n v="-2.1800000000000002"/>
    <n v="69"/>
    <n v="1"/>
    <n v="1"/>
  </r>
  <r>
    <m/>
    <m/>
    <x v="1"/>
    <s v="74792156002002"/>
    <n v="-1.42"/>
    <n v="45"/>
    <n v="1"/>
    <n v="1"/>
  </r>
  <r>
    <m/>
    <m/>
    <x v="1"/>
    <s v="75448417001001"/>
    <n v="-8.0299999999999994"/>
    <n v="254"/>
    <n v="1"/>
    <n v="1"/>
  </r>
  <r>
    <m/>
    <m/>
    <x v="1"/>
    <s v="75761373002005"/>
    <n v="-0.09"/>
    <n v="3"/>
    <n v="1"/>
    <n v="1"/>
  </r>
  <r>
    <m/>
    <m/>
    <x v="1"/>
    <s v="76201540001001"/>
    <n v="-43.45"/>
    <n v="1374"/>
    <n v="1"/>
    <n v="1"/>
  </r>
  <r>
    <m/>
    <m/>
    <x v="1"/>
    <s v="76293471001003"/>
    <n v="-0.7"/>
    <n v="22"/>
    <n v="1"/>
    <n v="1"/>
  </r>
  <r>
    <m/>
    <m/>
    <x v="1"/>
    <s v="76471101001001"/>
    <n v="-1.96"/>
    <n v="62"/>
    <n v="1"/>
    <n v="1"/>
  </r>
  <r>
    <m/>
    <m/>
    <x v="1"/>
    <s v="76595548001001"/>
    <n v="-54.83"/>
    <n v="1734"/>
    <n v="1"/>
    <n v="1"/>
  </r>
  <r>
    <m/>
    <m/>
    <x v="1"/>
    <s v="76713060001001"/>
    <n v="-94.77"/>
    <n v="2997"/>
    <n v="1"/>
    <n v="1"/>
  </r>
  <r>
    <m/>
    <m/>
    <x v="1"/>
    <s v="76834821003003"/>
    <n v="-3.89"/>
    <n v="123"/>
    <n v="1"/>
    <n v="1"/>
  </r>
  <r>
    <m/>
    <m/>
    <x v="1"/>
    <s v="77034079001001"/>
    <n v="-0.95"/>
    <n v="30"/>
    <n v="1"/>
    <n v="1"/>
  </r>
  <r>
    <m/>
    <m/>
    <x v="1"/>
    <s v="77104713001006"/>
    <n v="-0.38"/>
    <n v="12"/>
    <n v="1"/>
    <n v="1"/>
  </r>
  <r>
    <m/>
    <m/>
    <x v="1"/>
    <s v="77660994001001"/>
    <n v="-27.83"/>
    <n v="880"/>
    <n v="1"/>
    <n v="1"/>
  </r>
  <r>
    <m/>
    <m/>
    <x v="1"/>
    <s v="77922884001002"/>
    <n v="-13.69"/>
    <n v="433"/>
    <n v="1"/>
    <n v="1"/>
  </r>
  <r>
    <m/>
    <m/>
    <x v="1"/>
    <s v="77931356002006"/>
    <n v="-0.47"/>
    <n v="15"/>
    <n v="1"/>
    <n v="1"/>
  </r>
  <r>
    <m/>
    <m/>
    <x v="1"/>
    <s v="78058251001001"/>
    <n v="-1.61"/>
    <n v="51"/>
    <n v="1"/>
    <n v="1"/>
  </r>
  <r>
    <m/>
    <m/>
    <x v="1"/>
    <s v="78258113001003"/>
    <n v="-7.94"/>
    <n v="251"/>
    <n v="1"/>
    <n v="1"/>
  </r>
  <r>
    <m/>
    <m/>
    <x v="1"/>
    <s v="78272932003017"/>
    <n v="-11.76"/>
    <n v="372"/>
    <n v="1"/>
    <n v="1"/>
  </r>
  <r>
    <m/>
    <m/>
    <x v="1"/>
    <s v="78360766001001"/>
    <n v="-6.45"/>
    <n v="204"/>
    <n v="1"/>
    <n v="1"/>
  </r>
  <r>
    <m/>
    <m/>
    <x v="1"/>
    <s v="79019455001003"/>
    <n v="-3.76"/>
    <n v="119"/>
    <n v="1"/>
    <n v="1"/>
  </r>
  <r>
    <m/>
    <m/>
    <x v="1"/>
    <s v="79557576001005"/>
    <n v="-29.85"/>
    <n v="944"/>
    <n v="1"/>
    <n v="1"/>
  </r>
  <r>
    <m/>
    <m/>
    <x v="1"/>
    <s v="79889145002003"/>
    <n v="-7.46"/>
    <n v="236"/>
    <n v="1"/>
    <n v="1"/>
  </r>
  <r>
    <m/>
    <m/>
    <x v="1"/>
    <s v="80168519001003"/>
    <n v="-0.28000000000000003"/>
    <n v="9"/>
    <n v="1"/>
    <n v="1"/>
  </r>
  <r>
    <m/>
    <m/>
    <x v="1"/>
    <s v="80725718001001"/>
    <n v="-6.1"/>
    <n v="193"/>
    <n v="1"/>
    <n v="1"/>
  </r>
  <r>
    <m/>
    <m/>
    <x v="1"/>
    <s v="80768782001005"/>
    <n v="-7.65"/>
    <n v="242"/>
    <n v="1"/>
    <n v="1"/>
  </r>
  <r>
    <m/>
    <m/>
    <x v="1"/>
    <s v="80965084001001"/>
    <n v="-18.12"/>
    <n v="573"/>
    <n v="1"/>
    <n v="1"/>
  </r>
  <r>
    <m/>
    <m/>
    <x v="1"/>
    <s v="81097028001001"/>
    <n v="-28.27"/>
    <n v="894"/>
    <n v="1"/>
    <n v="1"/>
  </r>
  <r>
    <m/>
    <m/>
    <x v="1"/>
    <s v="81099232001001"/>
    <n v="-3.13"/>
    <n v="99"/>
    <n v="1"/>
    <n v="1"/>
  </r>
  <r>
    <m/>
    <m/>
    <x v="1"/>
    <s v="81284913001001"/>
    <n v="-3.45"/>
    <n v="109"/>
    <n v="1"/>
    <n v="1"/>
  </r>
  <r>
    <m/>
    <m/>
    <x v="1"/>
    <s v="81678039001001"/>
    <n v="-13.47"/>
    <n v="426"/>
    <n v="1"/>
    <n v="1"/>
  </r>
  <r>
    <m/>
    <m/>
    <x v="1"/>
    <s v="81905257001001"/>
    <n v="-2.5299999999999998"/>
    <n v="80"/>
    <n v="1"/>
    <n v="1"/>
  </r>
  <r>
    <m/>
    <m/>
    <x v="1"/>
    <s v="82161245001007"/>
    <n v="-6.8"/>
    <n v="215"/>
    <n v="1"/>
    <n v="1"/>
  </r>
  <r>
    <m/>
    <m/>
    <x v="1"/>
    <s v="82389671001001"/>
    <n v="-26.5"/>
    <n v="838"/>
    <n v="1"/>
    <n v="1"/>
  </r>
  <r>
    <m/>
    <m/>
    <x v="1"/>
    <s v="82440956001001"/>
    <n v="-55.11"/>
    <n v="1743"/>
    <n v="1"/>
    <n v="1"/>
  </r>
  <r>
    <m/>
    <m/>
    <x v="1"/>
    <s v="82697231001002"/>
    <n v="-19.04"/>
    <n v="602"/>
    <n v="1"/>
    <n v="1"/>
  </r>
  <r>
    <m/>
    <m/>
    <x v="1"/>
    <s v="82960555001001"/>
    <n v="-27.89"/>
    <n v="882"/>
    <n v="1"/>
    <n v="1"/>
  </r>
  <r>
    <m/>
    <m/>
    <x v="1"/>
    <s v="83010955001001"/>
    <n v="-5.53"/>
    <n v="175"/>
    <n v="1"/>
    <n v="1"/>
  </r>
  <r>
    <m/>
    <m/>
    <x v="1"/>
    <s v="83084544001001"/>
    <n v="-5.63"/>
    <n v="178"/>
    <n v="1"/>
    <n v="1"/>
  </r>
  <r>
    <m/>
    <m/>
    <x v="1"/>
    <s v="83187563001001"/>
    <n v="-6.83"/>
    <n v="216"/>
    <n v="1"/>
    <n v="1"/>
  </r>
  <r>
    <m/>
    <m/>
    <x v="1"/>
    <s v="83430858001001"/>
    <n v="-2.4300000000000002"/>
    <n v="77"/>
    <n v="1"/>
    <n v="1"/>
  </r>
  <r>
    <m/>
    <m/>
    <x v="1"/>
    <s v="83648881001001"/>
    <n v="-59.98"/>
    <n v="1897"/>
    <n v="1"/>
    <n v="1"/>
  </r>
  <r>
    <m/>
    <m/>
    <x v="1"/>
    <s v="83800275001002"/>
    <n v="-9.74"/>
    <n v="308"/>
    <n v="1"/>
    <n v="1"/>
  </r>
  <r>
    <m/>
    <m/>
    <x v="1"/>
    <s v="84096990001001"/>
    <n v="-1.52"/>
    <n v="48"/>
    <n v="1"/>
    <n v="1"/>
  </r>
  <r>
    <m/>
    <m/>
    <x v="1"/>
    <s v="85306232001001"/>
    <n v="-54.07"/>
    <n v="1710"/>
    <n v="1"/>
    <n v="1"/>
  </r>
  <r>
    <m/>
    <m/>
    <x v="1"/>
    <s v="85338592002003"/>
    <n v="-12.77"/>
    <n v="404"/>
    <n v="1"/>
    <n v="1"/>
  </r>
  <r>
    <m/>
    <m/>
    <x v="1"/>
    <s v="85384490001002"/>
    <n v="-3.7"/>
    <n v="117"/>
    <n v="1"/>
    <n v="1"/>
  </r>
  <r>
    <m/>
    <m/>
    <x v="1"/>
    <s v="85581047001001"/>
    <n v="-79.05"/>
    <n v="2500"/>
    <n v="1"/>
    <n v="1"/>
  </r>
  <r>
    <m/>
    <m/>
    <x v="1"/>
    <s v="85590751001003"/>
    <n v="-34.15"/>
    <n v="1080"/>
    <n v="1"/>
    <n v="1"/>
  </r>
  <r>
    <m/>
    <m/>
    <x v="1"/>
    <s v="85758200001003"/>
    <n v="-15.59"/>
    <n v="493"/>
    <n v="1"/>
    <n v="1"/>
  </r>
  <r>
    <m/>
    <m/>
    <x v="1"/>
    <s v="85767727002001"/>
    <n v="-0.06"/>
    <n v="2"/>
    <n v="1"/>
    <n v="1"/>
  </r>
  <r>
    <m/>
    <m/>
    <x v="1"/>
    <s v="85877100003001"/>
    <n v="-3.86"/>
    <n v="122"/>
    <n v="1"/>
    <n v="1"/>
  </r>
  <r>
    <m/>
    <m/>
    <x v="1"/>
    <s v="85887194001001"/>
    <n v="-0.16"/>
    <n v="5"/>
    <n v="1"/>
    <n v="1"/>
  </r>
  <r>
    <m/>
    <m/>
    <x v="1"/>
    <s v="85995109001001"/>
    <n v="-14.07"/>
    <n v="445"/>
    <n v="1"/>
    <n v="1"/>
  </r>
  <r>
    <m/>
    <m/>
    <x v="1"/>
    <s v="86374866001001"/>
    <n v="-0.66"/>
    <n v="21"/>
    <n v="1"/>
    <n v="1"/>
  </r>
  <r>
    <m/>
    <m/>
    <x v="1"/>
    <s v="86693437001005"/>
    <n v="-70.319999999999993"/>
    <n v="2224"/>
    <n v="1"/>
    <n v="1"/>
  </r>
  <r>
    <m/>
    <m/>
    <x v="1"/>
    <s v="86993697001006"/>
    <n v="-7.3"/>
    <n v="231"/>
    <n v="1"/>
    <n v="1"/>
  </r>
  <r>
    <m/>
    <m/>
    <x v="1"/>
    <s v="87090986001001"/>
    <n v="-5.98"/>
    <n v="189"/>
    <n v="1"/>
    <n v="1"/>
  </r>
  <r>
    <m/>
    <m/>
    <x v="1"/>
    <s v="87432684001003"/>
    <n v="-6.26"/>
    <n v="198"/>
    <n v="1"/>
    <n v="1"/>
  </r>
  <r>
    <m/>
    <m/>
    <x v="1"/>
    <s v="87885809001004"/>
    <n v="-40.06"/>
    <n v="1267"/>
    <n v="1"/>
    <n v="1"/>
  </r>
  <r>
    <m/>
    <m/>
    <x v="1"/>
    <s v="87902088001001"/>
    <n v="-16.28"/>
    <n v="515"/>
    <n v="1"/>
    <n v="1"/>
  </r>
  <r>
    <m/>
    <m/>
    <x v="1"/>
    <s v="88018571001001"/>
    <n v="-25.36"/>
    <n v="802"/>
    <n v="1"/>
    <n v="1"/>
  </r>
  <r>
    <m/>
    <m/>
    <x v="1"/>
    <s v="88225503002006"/>
    <n v="-8.3800000000000008"/>
    <n v="265"/>
    <n v="1"/>
    <n v="1"/>
  </r>
  <r>
    <m/>
    <m/>
    <x v="1"/>
    <s v="88342076001001"/>
    <n v="-5.44"/>
    <n v="172"/>
    <n v="1"/>
    <n v="1"/>
  </r>
  <r>
    <m/>
    <m/>
    <x v="1"/>
    <s v="89558586004001"/>
    <n v="-23.56"/>
    <n v="745"/>
    <n v="1"/>
    <n v="1"/>
  </r>
  <r>
    <m/>
    <m/>
    <x v="1"/>
    <s v="89581153002001"/>
    <n v="-2.4"/>
    <n v="76"/>
    <n v="1"/>
    <n v="1"/>
  </r>
  <r>
    <m/>
    <m/>
    <x v="1"/>
    <s v="89740735001004"/>
    <n v="-1.61"/>
    <n v="51"/>
    <n v="1"/>
    <n v="1"/>
  </r>
  <r>
    <m/>
    <m/>
    <x v="1"/>
    <s v="89768877001001"/>
    <n v="-2.4"/>
    <n v="76"/>
    <n v="1"/>
    <n v="1"/>
  </r>
  <r>
    <m/>
    <m/>
    <x v="1"/>
    <s v="90729873001001"/>
    <n v="-0.66"/>
    <n v="21"/>
    <n v="1"/>
    <n v="1"/>
  </r>
  <r>
    <m/>
    <m/>
    <x v="1"/>
    <s v="90803817001003"/>
    <n v="-5.44"/>
    <n v="172"/>
    <n v="1"/>
    <n v="1"/>
  </r>
  <r>
    <m/>
    <m/>
    <x v="1"/>
    <s v="90940438001001"/>
    <n v="-28.84"/>
    <n v="912"/>
    <n v="1"/>
    <n v="1"/>
  </r>
  <r>
    <m/>
    <m/>
    <x v="1"/>
    <s v="91086693001001"/>
    <n v="-0.13"/>
    <n v="4"/>
    <n v="1"/>
    <n v="1"/>
  </r>
  <r>
    <m/>
    <m/>
    <x v="1"/>
    <s v="91686493001001"/>
    <n v="-1.17"/>
    <n v="37"/>
    <n v="1"/>
    <n v="1"/>
  </r>
  <r>
    <m/>
    <m/>
    <x v="1"/>
    <s v="91847480001001"/>
    <n v="-32.950000000000003"/>
    <n v="1042"/>
    <n v="1"/>
    <n v="1"/>
  </r>
  <r>
    <m/>
    <m/>
    <x v="1"/>
    <s v="91911316001004"/>
    <n v="-15.18"/>
    <n v="480"/>
    <n v="1"/>
    <n v="1"/>
  </r>
  <r>
    <m/>
    <m/>
    <x v="1"/>
    <s v="92228839005001"/>
    <n v="-5.53"/>
    <n v="175"/>
    <n v="1"/>
    <n v="1"/>
  </r>
  <r>
    <m/>
    <m/>
    <x v="1"/>
    <s v="92523561001001"/>
    <n v="-38.200000000000003"/>
    <n v="1208"/>
    <n v="1"/>
    <n v="1"/>
  </r>
  <r>
    <m/>
    <m/>
    <x v="1"/>
    <s v="92595774001001"/>
    <n v="-67.95"/>
    <n v="2149"/>
    <n v="1"/>
    <n v="1"/>
  </r>
  <r>
    <m/>
    <m/>
    <x v="1"/>
    <s v="92806696002005"/>
    <n v="-12.71"/>
    <n v="402"/>
    <n v="1"/>
    <n v="1"/>
  </r>
  <r>
    <m/>
    <m/>
    <x v="1"/>
    <s v="93295699001010"/>
    <n v="-24.03"/>
    <n v="760"/>
    <n v="1"/>
    <n v="1"/>
  </r>
  <r>
    <m/>
    <m/>
    <x v="1"/>
    <s v="93309752001001"/>
    <n v="-0.28000000000000003"/>
    <n v="9"/>
    <n v="1"/>
    <n v="1"/>
  </r>
  <r>
    <m/>
    <m/>
    <x v="1"/>
    <s v="93316698001001"/>
    <n v="-7.11"/>
    <n v="225"/>
    <n v="1"/>
    <n v="1"/>
  </r>
  <r>
    <m/>
    <m/>
    <x v="1"/>
    <s v="93362702006001"/>
    <n v="-62.96"/>
    <n v="1991"/>
    <n v="1"/>
    <n v="1"/>
  </r>
  <r>
    <m/>
    <m/>
    <x v="1"/>
    <s v="93368277001002"/>
    <n v="-9.61"/>
    <n v="304"/>
    <n v="1"/>
    <n v="1"/>
  </r>
  <r>
    <m/>
    <m/>
    <x v="1"/>
    <s v="93387211001009"/>
    <n v="-1.45"/>
    <n v="46"/>
    <n v="1"/>
    <n v="1"/>
  </r>
  <r>
    <m/>
    <m/>
    <x v="1"/>
    <s v="93549993001001"/>
    <n v="-26.12"/>
    <n v="826"/>
    <n v="1"/>
    <n v="1"/>
  </r>
  <r>
    <m/>
    <m/>
    <x v="1"/>
    <s v="93853061001004"/>
    <n v="-1.3"/>
    <n v="41"/>
    <n v="1"/>
    <n v="1"/>
  </r>
  <r>
    <m/>
    <m/>
    <x v="1"/>
    <s v="94287883002008"/>
    <n v="-0.54"/>
    <n v="17"/>
    <n v="1"/>
    <n v="1"/>
  </r>
  <r>
    <m/>
    <m/>
    <x v="1"/>
    <s v="94403216003001"/>
    <n v="-2.72"/>
    <n v="86"/>
    <n v="1"/>
    <n v="1"/>
  </r>
  <r>
    <m/>
    <m/>
    <x v="1"/>
    <s v="94506465001003"/>
    <n v="-1.3"/>
    <n v="41"/>
    <n v="1"/>
    <n v="1"/>
  </r>
  <r>
    <m/>
    <m/>
    <x v="1"/>
    <s v="94670446001001"/>
    <n v="-0.16"/>
    <n v="5"/>
    <n v="1"/>
    <n v="1"/>
  </r>
  <r>
    <m/>
    <m/>
    <x v="1"/>
    <s v="94726739001001"/>
    <n v="-11.67"/>
    <n v="369"/>
    <n v="1"/>
    <n v="1"/>
  </r>
  <r>
    <m/>
    <m/>
    <x v="1"/>
    <s v="94860723001003"/>
    <n v="-6.67"/>
    <n v="211"/>
    <n v="1"/>
    <n v="1"/>
  </r>
  <r>
    <m/>
    <m/>
    <x v="1"/>
    <s v="95036848001006"/>
    <n v="-9.77"/>
    <n v="309"/>
    <n v="1"/>
    <n v="1"/>
  </r>
  <r>
    <m/>
    <m/>
    <x v="1"/>
    <s v="95248906001001"/>
    <n v="-10.81"/>
    <n v="342"/>
    <n v="1"/>
    <n v="1"/>
  </r>
  <r>
    <m/>
    <m/>
    <x v="1"/>
    <s v="95339197001006"/>
    <n v="-11.1"/>
    <n v="351"/>
    <n v="1"/>
    <n v="1"/>
  </r>
  <r>
    <m/>
    <m/>
    <x v="1"/>
    <s v="95385375003003"/>
    <n v="-3.19"/>
    <n v="101"/>
    <n v="1"/>
    <n v="1"/>
  </r>
  <r>
    <m/>
    <m/>
    <x v="1"/>
    <s v="95523867004002"/>
    <n v="-65.739999999999995"/>
    <n v="2079"/>
    <n v="1"/>
    <n v="1"/>
  </r>
  <r>
    <m/>
    <m/>
    <x v="1"/>
    <s v="95675529001008"/>
    <n v="-16.350000000000001"/>
    <n v="517"/>
    <n v="1"/>
    <n v="1"/>
  </r>
  <r>
    <m/>
    <m/>
    <x v="1"/>
    <s v="95697123001001"/>
    <n v="-3.7"/>
    <n v="117"/>
    <n v="1"/>
    <n v="1"/>
  </r>
  <r>
    <m/>
    <m/>
    <x v="1"/>
    <s v="95837796001001"/>
    <n v="-17.14"/>
    <n v="542"/>
    <n v="1"/>
    <n v="1"/>
  </r>
  <r>
    <m/>
    <m/>
    <x v="1"/>
    <s v="96386777001002"/>
    <n v="-1.1100000000000001"/>
    <n v="35"/>
    <n v="1"/>
    <n v="1"/>
  </r>
  <r>
    <m/>
    <m/>
    <x v="1"/>
    <s v="96653003001001"/>
    <n v="-25.77"/>
    <n v="815"/>
    <n v="1"/>
    <n v="1"/>
  </r>
  <r>
    <m/>
    <m/>
    <x v="1"/>
    <s v="96743423001001"/>
    <n v="-3.19"/>
    <n v="101"/>
    <n v="1"/>
    <n v="1"/>
  </r>
  <r>
    <m/>
    <m/>
    <x v="1"/>
    <s v="96746681001003"/>
    <n v="-10.91"/>
    <n v="345"/>
    <n v="1"/>
    <n v="1"/>
  </r>
  <r>
    <m/>
    <m/>
    <x v="1"/>
    <s v="97054812001007"/>
    <n v="-40.32"/>
    <n v="1275"/>
    <n v="1"/>
    <n v="1"/>
  </r>
  <r>
    <m/>
    <m/>
    <x v="1"/>
    <s v="97375212002001"/>
    <n v="-2.4300000000000002"/>
    <n v="77"/>
    <n v="1"/>
    <n v="1"/>
  </r>
  <r>
    <m/>
    <m/>
    <x v="1"/>
    <s v="97625233001001"/>
    <n v="-8.6300000000000008"/>
    <n v="273"/>
    <n v="1"/>
    <n v="1"/>
  </r>
  <r>
    <m/>
    <m/>
    <x v="1"/>
    <s v="97778274001003"/>
    <n v="-22.77"/>
    <n v="720"/>
    <n v="1"/>
    <n v="1"/>
  </r>
  <r>
    <m/>
    <m/>
    <x v="1"/>
    <s v="98004963001002"/>
    <n v="-19.760000000000002"/>
    <n v="625"/>
    <n v="1"/>
    <n v="1"/>
  </r>
  <r>
    <m/>
    <m/>
    <x v="1"/>
    <s v="98396921001007"/>
    <n v="-12.02"/>
    <n v="380"/>
    <n v="1"/>
    <n v="1"/>
  </r>
  <r>
    <m/>
    <m/>
    <x v="1"/>
    <s v="98411297002003"/>
    <n v="-7.37"/>
    <n v="233"/>
    <n v="1"/>
    <n v="1"/>
  </r>
  <r>
    <m/>
    <m/>
    <x v="1"/>
    <s v="98478092001001"/>
    <n v="-10.31"/>
    <n v="326"/>
    <n v="1"/>
    <n v="1"/>
  </r>
  <r>
    <m/>
    <m/>
    <x v="1"/>
    <s v="98485707001001"/>
    <n v="-10.97"/>
    <n v="347"/>
    <n v="1"/>
    <n v="1"/>
  </r>
  <r>
    <m/>
    <m/>
    <x v="1"/>
    <s v="98987679003001"/>
    <n v="-14.55"/>
    <n v="460"/>
    <n v="1"/>
    <n v="1"/>
  </r>
  <r>
    <m/>
    <m/>
    <x v="1"/>
    <s v="99033596001003"/>
    <n v="-10.02"/>
    <n v="317"/>
    <n v="1"/>
    <n v="1"/>
  </r>
  <r>
    <m/>
    <m/>
    <x v="1"/>
    <s v="99162209001001"/>
    <n v="-89.48"/>
    <n v="2830"/>
    <n v="1"/>
    <n v="1"/>
  </r>
  <r>
    <m/>
    <m/>
    <x v="1"/>
    <s v="99321769001003"/>
    <n v="-42.15"/>
    <n v="1333"/>
    <n v="1"/>
    <n v="1"/>
  </r>
  <r>
    <m/>
    <m/>
    <x v="1"/>
    <s v="99576506001001"/>
    <n v="-7.87"/>
    <n v="249"/>
    <n v="1"/>
    <n v="1"/>
  </r>
  <r>
    <m/>
    <m/>
    <x v="4"/>
    <m/>
    <n v="-13302.990000000005"/>
    <n v="420715"/>
    <n v="846"/>
    <n v="844"/>
  </r>
  <r>
    <m/>
    <m/>
    <x v="5"/>
    <s v="00068289001001"/>
    <n v="-12.74"/>
    <n v="271"/>
    <n v="1"/>
    <n v="1"/>
  </r>
  <r>
    <m/>
    <m/>
    <x v="1"/>
    <s v="00088986001003"/>
    <n v="-0.71"/>
    <n v="15"/>
    <n v="1"/>
    <n v="1"/>
  </r>
  <r>
    <m/>
    <m/>
    <x v="1"/>
    <s v="00089965001003"/>
    <n v="-31.07"/>
    <n v="661"/>
    <n v="1"/>
    <n v="1"/>
  </r>
  <r>
    <m/>
    <m/>
    <x v="1"/>
    <s v="00319594001001"/>
    <n v="-1.74"/>
    <n v="37"/>
    <n v="1"/>
    <n v="1"/>
  </r>
  <r>
    <m/>
    <m/>
    <x v="1"/>
    <s v="00329225001005"/>
    <n v="-0.99"/>
    <n v="21"/>
    <n v="1"/>
    <n v="1"/>
  </r>
  <r>
    <m/>
    <m/>
    <x v="1"/>
    <s v="00382666001003"/>
    <n v="-24.35"/>
    <n v="518"/>
    <n v="1"/>
    <n v="1"/>
  </r>
  <r>
    <m/>
    <m/>
    <x v="1"/>
    <s v="00479722008001"/>
    <n v="-31.26"/>
    <n v="665"/>
    <n v="1"/>
    <n v="1"/>
  </r>
  <r>
    <m/>
    <m/>
    <x v="1"/>
    <s v="00519733001001"/>
    <n v="-65.099999999999994"/>
    <n v="1385"/>
    <n v="1"/>
    <n v="1"/>
  </r>
  <r>
    <m/>
    <m/>
    <x v="1"/>
    <s v="00574926001001"/>
    <n v="-3.38"/>
    <n v="72"/>
    <n v="1"/>
    <n v="1"/>
  </r>
  <r>
    <m/>
    <m/>
    <x v="1"/>
    <s v="00631143001001"/>
    <n v="-0.75"/>
    <n v="16"/>
    <n v="1"/>
    <n v="1"/>
  </r>
  <r>
    <m/>
    <m/>
    <x v="1"/>
    <s v="00772936002001"/>
    <n v="-0.8"/>
    <n v="17"/>
    <n v="1"/>
    <n v="1"/>
  </r>
  <r>
    <m/>
    <m/>
    <x v="1"/>
    <s v="00780738001001"/>
    <n v="-3.48"/>
    <n v="74"/>
    <n v="1"/>
    <n v="1"/>
  </r>
  <r>
    <m/>
    <m/>
    <x v="1"/>
    <s v="01028343001005"/>
    <n v="-57.86"/>
    <n v="1231"/>
    <n v="1"/>
    <n v="1"/>
  </r>
  <r>
    <m/>
    <m/>
    <x v="1"/>
    <s v="01092252001001"/>
    <n v="-2.02"/>
    <n v="43"/>
    <n v="1"/>
    <n v="1"/>
  </r>
  <r>
    <m/>
    <m/>
    <x v="1"/>
    <s v="01114869001001"/>
    <n v="-0.8"/>
    <n v="17"/>
    <n v="1"/>
    <n v="1"/>
  </r>
  <r>
    <m/>
    <m/>
    <x v="1"/>
    <s v="01125392001001"/>
    <n v="-28.67"/>
    <n v="610"/>
    <n v="1"/>
    <n v="1"/>
  </r>
  <r>
    <m/>
    <m/>
    <x v="1"/>
    <s v="01199376001001"/>
    <n v="-17.86"/>
    <n v="380"/>
    <n v="1"/>
    <n v="1"/>
  </r>
  <r>
    <m/>
    <m/>
    <x v="1"/>
    <s v="01335294001005"/>
    <n v="-7.66"/>
    <n v="163"/>
    <n v="1"/>
    <n v="1"/>
  </r>
  <r>
    <m/>
    <m/>
    <x v="1"/>
    <s v="01403700005001"/>
    <n v="-29.14"/>
    <n v="620"/>
    <n v="1"/>
    <n v="1"/>
  </r>
  <r>
    <m/>
    <m/>
    <x v="1"/>
    <s v="01701580001001"/>
    <n v="-7.57"/>
    <n v="161"/>
    <n v="1"/>
    <n v="1"/>
  </r>
  <r>
    <m/>
    <m/>
    <x v="1"/>
    <s v="01727666001001"/>
    <n v="-0.24"/>
    <n v="5"/>
    <n v="1"/>
    <n v="1"/>
  </r>
  <r>
    <m/>
    <m/>
    <x v="1"/>
    <s v="01948293001001"/>
    <n v="-4.37"/>
    <n v="93"/>
    <n v="1"/>
    <n v="1"/>
  </r>
  <r>
    <m/>
    <m/>
    <x v="1"/>
    <s v="01980596001009"/>
    <n v="-47.05"/>
    <n v="1001"/>
    <n v="1"/>
    <n v="1"/>
  </r>
  <r>
    <m/>
    <m/>
    <x v="1"/>
    <s v="02160615003007"/>
    <n v="-6.3"/>
    <n v="134"/>
    <n v="1"/>
    <n v="1"/>
  </r>
  <r>
    <m/>
    <m/>
    <x v="1"/>
    <s v="02179705001007"/>
    <n v="-35.159999999999997"/>
    <n v="748"/>
    <n v="1"/>
    <n v="1"/>
  </r>
  <r>
    <m/>
    <m/>
    <x v="1"/>
    <s v="02222873001007"/>
    <n v="-0.89"/>
    <n v="19"/>
    <n v="2"/>
    <n v="1"/>
  </r>
  <r>
    <m/>
    <m/>
    <x v="1"/>
    <s v="02232792001001"/>
    <n v="-5.92"/>
    <n v="126"/>
    <n v="1"/>
    <n v="1"/>
  </r>
  <r>
    <m/>
    <m/>
    <x v="1"/>
    <s v="02282438001003"/>
    <n v="-11.84"/>
    <n v="252"/>
    <n v="1"/>
    <n v="1"/>
  </r>
  <r>
    <m/>
    <m/>
    <x v="1"/>
    <s v="02334127001004"/>
    <n v="-99.08"/>
    <n v="2108"/>
    <n v="1"/>
    <n v="1"/>
  </r>
  <r>
    <m/>
    <m/>
    <x v="1"/>
    <s v="02412878001003"/>
    <n v="-8.8800000000000008"/>
    <n v="189"/>
    <n v="1"/>
    <n v="1"/>
  </r>
  <r>
    <m/>
    <m/>
    <x v="1"/>
    <s v="02552684009007"/>
    <n v="-54.99"/>
    <n v="1170"/>
    <n v="1"/>
    <n v="1"/>
  </r>
  <r>
    <m/>
    <m/>
    <x v="1"/>
    <s v="02670836001001"/>
    <n v="-22.56"/>
    <n v="480"/>
    <n v="1"/>
    <n v="1"/>
  </r>
  <r>
    <m/>
    <m/>
    <x v="1"/>
    <s v="02683413001001"/>
    <n v="-61.66"/>
    <n v="1312"/>
    <n v="1"/>
    <n v="1"/>
  </r>
  <r>
    <m/>
    <m/>
    <x v="1"/>
    <s v="02704694001001"/>
    <n v="-34.869999999999997"/>
    <n v="742"/>
    <n v="1"/>
    <n v="1"/>
  </r>
  <r>
    <m/>
    <m/>
    <x v="1"/>
    <s v="02784757005003"/>
    <n v="-125.11"/>
    <n v="2662"/>
    <n v="1"/>
    <n v="1"/>
  </r>
  <r>
    <m/>
    <m/>
    <x v="1"/>
    <s v="02855532001001"/>
    <n v="-6.02"/>
    <n v="128"/>
    <n v="1"/>
    <n v="1"/>
  </r>
  <r>
    <m/>
    <m/>
    <x v="1"/>
    <s v="03018483004001"/>
    <n v="-77.459999999999994"/>
    <n v="1648"/>
    <n v="1"/>
    <n v="1"/>
  </r>
  <r>
    <m/>
    <m/>
    <x v="1"/>
    <s v="03051677001003"/>
    <n v="-24.86"/>
    <n v="529"/>
    <n v="1"/>
    <n v="1"/>
  </r>
  <r>
    <m/>
    <m/>
    <x v="1"/>
    <s v="03091692001001"/>
    <n v="-111.48"/>
    <n v="2372"/>
    <n v="1"/>
    <n v="1"/>
  </r>
  <r>
    <m/>
    <m/>
    <x v="1"/>
    <s v="03102076003003"/>
    <n v="-18.420000000000002"/>
    <n v="392"/>
    <n v="1"/>
    <n v="1"/>
  </r>
  <r>
    <m/>
    <m/>
    <x v="1"/>
    <s v="03169833001001"/>
    <n v="-11.52"/>
    <n v="245"/>
    <n v="1"/>
    <n v="1"/>
  </r>
  <r>
    <m/>
    <m/>
    <x v="1"/>
    <s v="03276788001006"/>
    <n v="-4.84"/>
    <n v="103"/>
    <n v="1"/>
    <n v="1"/>
  </r>
  <r>
    <m/>
    <m/>
    <x v="1"/>
    <s v="03303681001001"/>
    <n v="-1.03"/>
    <n v="22"/>
    <n v="1"/>
    <n v="1"/>
  </r>
  <r>
    <m/>
    <m/>
    <x v="1"/>
    <s v="03330463001002"/>
    <n v="-16.45"/>
    <n v="350"/>
    <n v="1"/>
    <n v="1"/>
  </r>
  <r>
    <m/>
    <m/>
    <x v="1"/>
    <s v="03466789001001"/>
    <n v="-10.199999999999999"/>
    <n v="217"/>
    <n v="1"/>
    <n v="1"/>
  </r>
  <r>
    <m/>
    <m/>
    <x v="1"/>
    <s v="03476916002003"/>
    <n v="-2.12"/>
    <n v="45"/>
    <n v="1"/>
    <n v="1"/>
  </r>
  <r>
    <m/>
    <m/>
    <x v="1"/>
    <s v="03498939002001"/>
    <n v="-33.700000000000003"/>
    <n v="717"/>
    <n v="1"/>
    <n v="1"/>
  </r>
  <r>
    <m/>
    <m/>
    <x v="1"/>
    <s v="03499851001001"/>
    <n v="-90.29"/>
    <n v="1921"/>
    <n v="1"/>
    <n v="1"/>
  </r>
  <r>
    <m/>
    <m/>
    <x v="1"/>
    <s v="03530774001005"/>
    <n v="-11.23"/>
    <n v="239"/>
    <n v="1"/>
    <n v="1"/>
  </r>
  <r>
    <m/>
    <m/>
    <x v="1"/>
    <s v="03554715002003"/>
    <n v="-46.53"/>
    <n v="990"/>
    <n v="1"/>
    <n v="1"/>
  </r>
  <r>
    <m/>
    <m/>
    <x v="1"/>
    <s v="03722115001001"/>
    <n v="-4.28"/>
    <n v="91"/>
    <n v="1"/>
    <n v="1"/>
  </r>
  <r>
    <m/>
    <m/>
    <x v="1"/>
    <s v="03725193001001"/>
    <n v="-54.71"/>
    <n v="1164"/>
    <n v="1"/>
    <n v="1"/>
  </r>
  <r>
    <m/>
    <m/>
    <x v="1"/>
    <s v="03799095002001"/>
    <n v="-54.76"/>
    <n v="1165"/>
    <n v="1"/>
    <n v="1"/>
  </r>
  <r>
    <m/>
    <m/>
    <x v="1"/>
    <s v="04022663001001"/>
    <n v="-5.08"/>
    <n v="108"/>
    <n v="1"/>
    <n v="1"/>
  </r>
  <r>
    <m/>
    <m/>
    <x v="1"/>
    <s v="04065926001004"/>
    <n v="-0.24"/>
    <n v="5"/>
    <n v="1"/>
    <n v="1"/>
  </r>
  <r>
    <m/>
    <m/>
    <x v="1"/>
    <s v="04226765001003"/>
    <n v="-1.65"/>
    <n v="35"/>
    <n v="1"/>
    <n v="1"/>
  </r>
  <r>
    <m/>
    <m/>
    <x v="1"/>
    <s v="04348003001001"/>
    <n v="-14.85"/>
    <n v="316"/>
    <n v="1"/>
    <n v="1"/>
  </r>
  <r>
    <m/>
    <m/>
    <x v="1"/>
    <s v="04544587001001"/>
    <n v="-34.36"/>
    <n v="731"/>
    <n v="1"/>
    <n v="1"/>
  </r>
  <r>
    <m/>
    <m/>
    <x v="1"/>
    <s v="04619562001001"/>
    <n v="-12.31"/>
    <n v="262"/>
    <n v="1"/>
    <n v="1"/>
  </r>
  <r>
    <m/>
    <m/>
    <x v="1"/>
    <s v="04707114001002"/>
    <n v="-6.67"/>
    <n v="142"/>
    <n v="1"/>
    <n v="1"/>
  </r>
  <r>
    <m/>
    <m/>
    <x v="1"/>
    <s v="04726736001005"/>
    <n v="-31.91"/>
    <n v="679"/>
    <n v="1"/>
    <n v="1"/>
  </r>
  <r>
    <m/>
    <m/>
    <x v="1"/>
    <s v="04731425001001"/>
    <n v="-95.69"/>
    <n v="2036"/>
    <n v="1"/>
    <n v="1"/>
  </r>
  <r>
    <m/>
    <m/>
    <x v="1"/>
    <s v="04758207001001"/>
    <n v="-27.26"/>
    <n v="580"/>
    <n v="1"/>
    <n v="1"/>
  </r>
  <r>
    <m/>
    <m/>
    <x v="1"/>
    <s v="04805152001005"/>
    <n v="-3.62"/>
    <n v="77"/>
    <n v="1"/>
    <n v="1"/>
  </r>
  <r>
    <m/>
    <m/>
    <x v="1"/>
    <s v="04842107001001"/>
    <n v="-20.02"/>
    <n v="426"/>
    <n v="1"/>
    <n v="1"/>
  </r>
  <r>
    <m/>
    <m/>
    <x v="1"/>
    <s v="04905240001005"/>
    <n v="-8.8800000000000008"/>
    <n v="189"/>
    <n v="1"/>
    <n v="1"/>
  </r>
  <r>
    <m/>
    <m/>
    <x v="1"/>
    <s v="05012951001002"/>
    <n v="-29.47"/>
    <n v="627"/>
    <n v="1"/>
    <n v="1"/>
  </r>
  <r>
    <m/>
    <m/>
    <x v="1"/>
    <s v="05181815001001"/>
    <n v="-12.74"/>
    <n v="271"/>
    <n v="1"/>
    <n v="1"/>
  </r>
  <r>
    <m/>
    <m/>
    <x v="1"/>
    <s v="05397656001004"/>
    <n v="-0.24"/>
    <n v="5"/>
    <n v="1"/>
    <n v="1"/>
  </r>
  <r>
    <m/>
    <m/>
    <x v="1"/>
    <s v="05489508003005"/>
    <n v="-30.97"/>
    <n v="659"/>
    <n v="1"/>
    <n v="1"/>
  </r>
  <r>
    <m/>
    <m/>
    <x v="1"/>
    <s v="05530045001001"/>
    <n v="-31.07"/>
    <n v="661"/>
    <n v="1"/>
    <n v="1"/>
  </r>
  <r>
    <m/>
    <m/>
    <x v="1"/>
    <s v="05611273003001"/>
    <n v="-12.55"/>
    <n v="267"/>
    <n v="1"/>
    <n v="1"/>
  </r>
  <r>
    <m/>
    <m/>
    <x v="1"/>
    <s v="05623338001005"/>
    <n v="-31.96"/>
    <n v="680"/>
    <n v="1"/>
    <n v="1"/>
  </r>
  <r>
    <m/>
    <m/>
    <x v="1"/>
    <s v="05707361001002"/>
    <n v="-26.6"/>
    <n v="566"/>
    <n v="1"/>
    <n v="1"/>
  </r>
  <r>
    <m/>
    <m/>
    <x v="1"/>
    <s v="05729807001001"/>
    <n v="-0.19"/>
    <n v="4"/>
    <n v="1"/>
    <n v="1"/>
  </r>
  <r>
    <m/>
    <m/>
    <x v="1"/>
    <s v="05803986001001"/>
    <n v="-48.22"/>
    <n v="1026"/>
    <n v="1"/>
    <n v="1"/>
  </r>
  <r>
    <m/>
    <m/>
    <x v="1"/>
    <s v="05846062001006"/>
    <n v="-0.85"/>
    <n v="18"/>
    <n v="1"/>
    <n v="1"/>
  </r>
  <r>
    <m/>
    <m/>
    <x v="1"/>
    <s v="06168174001001"/>
    <n v="-1.65"/>
    <n v="35"/>
    <n v="1"/>
    <n v="1"/>
  </r>
  <r>
    <m/>
    <m/>
    <x v="1"/>
    <s v="06217746001001"/>
    <n v="-74.64"/>
    <n v="1588"/>
    <n v="1"/>
    <n v="1"/>
  </r>
  <r>
    <m/>
    <m/>
    <x v="1"/>
    <s v="06359444001001"/>
    <n v="-3.48"/>
    <n v="74"/>
    <n v="1"/>
    <n v="1"/>
  </r>
  <r>
    <m/>
    <m/>
    <x v="1"/>
    <s v="06506446002001"/>
    <n v="-12.64"/>
    <n v="269"/>
    <n v="1"/>
    <n v="1"/>
  </r>
  <r>
    <m/>
    <m/>
    <x v="1"/>
    <s v="06563369001001"/>
    <n v="-2.2599999999999998"/>
    <n v="48"/>
    <n v="1"/>
    <n v="1"/>
  </r>
  <r>
    <m/>
    <m/>
    <x v="1"/>
    <s v="06600253001001"/>
    <n v="-27.4"/>
    <n v="583"/>
    <n v="1"/>
    <n v="1"/>
  </r>
  <r>
    <m/>
    <m/>
    <x v="1"/>
    <s v="06659461001001"/>
    <n v="-66.040000000000006"/>
    <n v="1405"/>
    <n v="1"/>
    <n v="1"/>
  </r>
  <r>
    <m/>
    <m/>
    <x v="1"/>
    <s v="06797083002002"/>
    <n v="-19.649999999999999"/>
    <n v="418"/>
    <n v="1"/>
    <n v="1"/>
  </r>
  <r>
    <m/>
    <m/>
    <x v="1"/>
    <s v="06921954001001"/>
    <n v="-23.78"/>
    <n v="506"/>
    <n v="1"/>
    <n v="1"/>
  </r>
  <r>
    <m/>
    <m/>
    <x v="1"/>
    <s v="07467331001001"/>
    <n v="-62.65"/>
    <n v="1333"/>
    <n v="1"/>
    <n v="1"/>
  </r>
  <r>
    <m/>
    <m/>
    <x v="1"/>
    <s v="07606661001001"/>
    <n v="-2.44"/>
    <n v="52"/>
    <n v="1"/>
    <n v="1"/>
  </r>
  <r>
    <m/>
    <m/>
    <x v="1"/>
    <s v="07816353001005"/>
    <n v="-0.61"/>
    <n v="13"/>
    <n v="1"/>
    <n v="1"/>
  </r>
  <r>
    <m/>
    <m/>
    <x v="1"/>
    <s v="07839530002003"/>
    <n v="-27.82"/>
    <n v="592"/>
    <n v="1"/>
    <n v="1"/>
  </r>
  <r>
    <m/>
    <m/>
    <x v="1"/>
    <s v="07899713001003"/>
    <n v="-6.72"/>
    <n v="143"/>
    <n v="1"/>
    <n v="1"/>
  </r>
  <r>
    <m/>
    <m/>
    <x v="1"/>
    <s v="07928044001004"/>
    <n v="-21.57"/>
    <n v="459"/>
    <n v="1"/>
    <n v="1"/>
  </r>
  <r>
    <m/>
    <m/>
    <x v="1"/>
    <s v="07949521001004"/>
    <n v="-26.51"/>
    <n v="564"/>
    <n v="1"/>
    <n v="1"/>
  </r>
  <r>
    <m/>
    <m/>
    <x v="1"/>
    <s v="07950772002001"/>
    <n v="-1.55"/>
    <n v="33"/>
    <n v="1"/>
    <n v="1"/>
  </r>
  <r>
    <m/>
    <m/>
    <x v="1"/>
    <s v="08007689001001"/>
    <n v="-54.05"/>
    <n v="1150"/>
    <n v="1"/>
    <n v="1"/>
  </r>
  <r>
    <m/>
    <m/>
    <x v="1"/>
    <s v="08008932001009"/>
    <n v="-28.29"/>
    <n v="602"/>
    <n v="1"/>
    <n v="1"/>
  </r>
  <r>
    <m/>
    <m/>
    <x v="1"/>
    <s v="08046015005001"/>
    <n v="-95.55"/>
    <n v="2033"/>
    <n v="1"/>
    <n v="1"/>
  </r>
  <r>
    <m/>
    <m/>
    <x v="1"/>
    <s v="08047179002001"/>
    <n v="-31.07"/>
    <n v="661"/>
    <n v="1"/>
    <n v="1"/>
  </r>
  <r>
    <m/>
    <m/>
    <x v="1"/>
    <s v="08056389001001"/>
    <n v="-5.12"/>
    <n v="109"/>
    <n v="1"/>
    <n v="1"/>
  </r>
  <r>
    <m/>
    <m/>
    <x v="1"/>
    <s v="08158686001001"/>
    <n v="-9.92"/>
    <n v="211"/>
    <n v="1"/>
    <n v="1"/>
  </r>
  <r>
    <m/>
    <m/>
    <x v="1"/>
    <s v="08228077001003"/>
    <n v="-7.47"/>
    <n v="159"/>
    <n v="1"/>
    <n v="1"/>
  </r>
  <r>
    <m/>
    <m/>
    <x v="1"/>
    <s v="08395040001001"/>
    <n v="-13.02"/>
    <n v="277"/>
    <n v="1"/>
    <n v="1"/>
  </r>
  <r>
    <m/>
    <m/>
    <x v="1"/>
    <s v="08422119001005"/>
    <n v="-31.87"/>
    <n v="678"/>
    <n v="1"/>
    <n v="1"/>
  </r>
  <r>
    <m/>
    <m/>
    <x v="1"/>
    <s v="08504635004005"/>
    <n v="-35.72"/>
    <n v="760"/>
    <n v="1"/>
    <n v="1"/>
  </r>
  <r>
    <m/>
    <m/>
    <x v="1"/>
    <s v="08580823001001"/>
    <n v="-27.54"/>
    <n v="586"/>
    <n v="1"/>
    <n v="1"/>
  </r>
  <r>
    <m/>
    <m/>
    <x v="1"/>
    <s v="08612150001001"/>
    <n v="-19.510000000000002"/>
    <n v="415"/>
    <n v="1"/>
    <n v="1"/>
  </r>
  <r>
    <m/>
    <m/>
    <x v="1"/>
    <s v="08694261001001"/>
    <n v="-88.83"/>
    <n v="1890"/>
    <n v="1"/>
    <n v="1"/>
  </r>
  <r>
    <m/>
    <m/>
    <x v="1"/>
    <s v="08733004003004"/>
    <n v="-12.93"/>
    <n v="275"/>
    <n v="1"/>
    <n v="1"/>
  </r>
  <r>
    <m/>
    <m/>
    <x v="1"/>
    <s v="08951802001002"/>
    <n v="-35.25"/>
    <n v="750"/>
    <n v="1"/>
    <n v="1"/>
  </r>
  <r>
    <m/>
    <m/>
    <x v="1"/>
    <s v="08974102001003"/>
    <n v="-8.1300000000000008"/>
    <n v="173"/>
    <n v="1"/>
    <n v="1"/>
  </r>
  <r>
    <m/>
    <m/>
    <x v="1"/>
    <s v="09010397001001"/>
    <n v="-13.16"/>
    <n v="280"/>
    <n v="1"/>
    <n v="1"/>
  </r>
  <r>
    <m/>
    <m/>
    <x v="1"/>
    <s v="09160101003001"/>
    <n v="-53.02"/>
    <n v="1128"/>
    <n v="1"/>
    <n v="1"/>
  </r>
  <r>
    <m/>
    <m/>
    <x v="1"/>
    <s v="09185093001002"/>
    <n v="-31.77"/>
    <n v="676"/>
    <n v="1"/>
    <n v="1"/>
  </r>
  <r>
    <m/>
    <m/>
    <x v="1"/>
    <s v="09289545005001"/>
    <n v="-0.94"/>
    <n v="20"/>
    <n v="1"/>
    <n v="1"/>
  </r>
  <r>
    <m/>
    <m/>
    <x v="1"/>
    <s v="09315806002001"/>
    <n v="-0.94"/>
    <n v="20"/>
    <n v="1"/>
    <n v="1"/>
  </r>
  <r>
    <m/>
    <m/>
    <x v="1"/>
    <s v="09410352001003"/>
    <n v="-10.39"/>
    <n v="221"/>
    <n v="1"/>
    <n v="1"/>
  </r>
  <r>
    <m/>
    <m/>
    <x v="1"/>
    <s v="09427524003001"/>
    <n v="-8.8800000000000008"/>
    <n v="189"/>
    <n v="1"/>
    <n v="1"/>
  </r>
  <r>
    <m/>
    <m/>
    <x v="1"/>
    <s v="09607312001001"/>
    <n v="-1.83"/>
    <n v="39"/>
    <n v="1"/>
    <n v="1"/>
  </r>
  <r>
    <m/>
    <m/>
    <x v="1"/>
    <s v="09715065001001"/>
    <n v="-5.31"/>
    <n v="113"/>
    <n v="1"/>
    <n v="1"/>
  </r>
  <r>
    <m/>
    <m/>
    <x v="1"/>
    <s v="09715929001003"/>
    <n v="-20.3"/>
    <n v="432"/>
    <n v="1"/>
    <n v="1"/>
  </r>
  <r>
    <m/>
    <m/>
    <x v="1"/>
    <s v="09717335001001"/>
    <n v="-0.61"/>
    <n v="13"/>
    <n v="1"/>
    <n v="1"/>
  </r>
  <r>
    <m/>
    <m/>
    <x v="1"/>
    <s v="09742133005001"/>
    <n v="-38.96"/>
    <n v="829"/>
    <n v="1"/>
    <n v="1"/>
  </r>
  <r>
    <m/>
    <m/>
    <x v="1"/>
    <s v="09752135001001"/>
    <n v="-7.85"/>
    <n v="167"/>
    <n v="1"/>
    <n v="1"/>
  </r>
  <r>
    <m/>
    <m/>
    <x v="1"/>
    <s v="09792218001001"/>
    <n v="-105.61"/>
    <n v="2247"/>
    <n v="1"/>
    <n v="1"/>
  </r>
  <r>
    <m/>
    <m/>
    <x v="1"/>
    <s v="10032544001001"/>
    <n v="-9.8699999999999992"/>
    <n v="210"/>
    <n v="1"/>
    <n v="1"/>
  </r>
  <r>
    <m/>
    <m/>
    <x v="1"/>
    <s v="10059606001001"/>
    <n v="-3.67"/>
    <n v="78"/>
    <n v="1"/>
    <n v="1"/>
  </r>
  <r>
    <m/>
    <m/>
    <x v="1"/>
    <s v="10089238001001"/>
    <n v="-36.61"/>
    <n v="779"/>
    <n v="1"/>
    <n v="1"/>
  </r>
  <r>
    <m/>
    <m/>
    <x v="1"/>
    <s v="10291136001005"/>
    <n v="-3.2"/>
    <n v="68"/>
    <n v="1"/>
    <n v="1"/>
  </r>
  <r>
    <m/>
    <m/>
    <x v="1"/>
    <s v="10346018001001"/>
    <n v="-9.49"/>
    <n v="202"/>
    <n v="1"/>
    <n v="1"/>
  </r>
  <r>
    <m/>
    <m/>
    <x v="1"/>
    <s v="10377894001016"/>
    <n v="-33.61"/>
    <n v="715"/>
    <n v="1"/>
    <n v="1"/>
  </r>
  <r>
    <m/>
    <m/>
    <x v="1"/>
    <s v="10447712003003"/>
    <n v="-5.36"/>
    <n v="114"/>
    <n v="1"/>
    <n v="1"/>
  </r>
  <r>
    <m/>
    <m/>
    <x v="1"/>
    <s v="10563066001001"/>
    <n v="-0.38"/>
    <n v="8"/>
    <n v="1"/>
    <n v="1"/>
  </r>
  <r>
    <m/>
    <m/>
    <x v="1"/>
    <s v="10769950001001"/>
    <n v="-17.25"/>
    <n v="367"/>
    <n v="1"/>
    <n v="1"/>
  </r>
  <r>
    <m/>
    <m/>
    <x v="1"/>
    <s v="10783993001001"/>
    <n v="-9.02"/>
    <n v="192"/>
    <n v="1"/>
    <n v="1"/>
  </r>
  <r>
    <m/>
    <m/>
    <x v="1"/>
    <s v="10792246001002"/>
    <n v="-9.35"/>
    <n v="199"/>
    <n v="1"/>
    <n v="1"/>
  </r>
  <r>
    <m/>
    <m/>
    <x v="1"/>
    <s v="11078715001003"/>
    <n v="-2.82"/>
    <n v="60"/>
    <n v="1"/>
    <n v="1"/>
  </r>
  <r>
    <m/>
    <m/>
    <x v="1"/>
    <s v="11190686005003"/>
    <n v="-69.09"/>
    <n v="1470"/>
    <n v="1"/>
    <n v="1"/>
  </r>
  <r>
    <m/>
    <m/>
    <x v="1"/>
    <s v="11193627001001"/>
    <n v="-2.4"/>
    <n v="51"/>
    <n v="1"/>
    <n v="1"/>
  </r>
  <r>
    <m/>
    <m/>
    <x v="1"/>
    <s v="11325923001001"/>
    <n v="-18.61"/>
    <n v="396"/>
    <n v="1"/>
    <n v="1"/>
  </r>
  <r>
    <m/>
    <m/>
    <x v="1"/>
    <s v="11356050001010"/>
    <n v="-2.44"/>
    <n v="52"/>
    <n v="1"/>
    <n v="1"/>
  </r>
  <r>
    <m/>
    <m/>
    <x v="1"/>
    <s v="11498623002001"/>
    <n v="-49.4"/>
    <n v="1051"/>
    <n v="1"/>
    <n v="1"/>
  </r>
  <r>
    <m/>
    <m/>
    <x v="1"/>
    <s v="11511797001002"/>
    <n v="-75.290000000000006"/>
    <n v="1602"/>
    <n v="1"/>
    <n v="1"/>
  </r>
  <r>
    <m/>
    <m/>
    <x v="1"/>
    <s v="11558237001001"/>
    <n v="-31.54"/>
    <n v="671"/>
    <n v="1"/>
    <n v="1"/>
  </r>
  <r>
    <m/>
    <m/>
    <x v="1"/>
    <s v="11662460005001"/>
    <n v="-57.06"/>
    <n v="1214"/>
    <n v="1"/>
    <n v="1"/>
  </r>
  <r>
    <m/>
    <m/>
    <x v="1"/>
    <s v="11714515001003"/>
    <n v="-17.010000000000002"/>
    <n v="362"/>
    <n v="1"/>
    <n v="1"/>
  </r>
  <r>
    <m/>
    <m/>
    <x v="1"/>
    <s v="11787709001001"/>
    <n v="-0.56000000000000005"/>
    <n v="12"/>
    <n v="1"/>
    <n v="1"/>
  </r>
  <r>
    <m/>
    <m/>
    <x v="1"/>
    <s v="12080794001007"/>
    <n v="-10.86"/>
    <n v="231"/>
    <n v="1"/>
    <n v="1"/>
  </r>
  <r>
    <m/>
    <m/>
    <x v="1"/>
    <s v="12190639001002"/>
    <n v="-19.36"/>
    <n v="412"/>
    <n v="1"/>
    <n v="1"/>
  </r>
  <r>
    <m/>
    <m/>
    <x v="1"/>
    <s v="12199696001001"/>
    <n v="-117.78"/>
    <n v="2506"/>
    <n v="1"/>
    <n v="1"/>
  </r>
  <r>
    <m/>
    <m/>
    <x v="1"/>
    <s v="12246503002003"/>
    <n v="-1.69"/>
    <n v="36"/>
    <n v="1"/>
    <n v="1"/>
  </r>
  <r>
    <m/>
    <m/>
    <x v="1"/>
    <s v="12347732001004"/>
    <n v="-1.97"/>
    <n v="42"/>
    <n v="1"/>
    <n v="1"/>
  </r>
  <r>
    <m/>
    <m/>
    <x v="1"/>
    <s v="12513090001001"/>
    <n v="-0.85"/>
    <n v="18"/>
    <n v="1"/>
    <n v="1"/>
  </r>
  <r>
    <m/>
    <m/>
    <x v="1"/>
    <s v="12587071001001"/>
    <n v="-127.56"/>
    <n v="2714"/>
    <n v="1"/>
    <n v="1"/>
  </r>
  <r>
    <m/>
    <m/>
    <x v="1"/>
    <s v="12629931001002"/>
    <n v="-10.39"/>
    <n v="221"/>
    <n v="1"/>
    <n v="1"/>
  </r>
  <r>
    <m/>
    <m/>
    <x v="1"/>
    <s v="12750086001005"/>
    <n v="-22.23"/>
    <n v="473"/>
    <n v="1"/>
    <n v="1"/>
  </r>
  <r>
    <m/>
    <m/>
    <x v="1"/>
    <s v="12887725001001"/>
    <n v="-19.690000000000001"/>
    <n v="419"/>
    <n v="1"/>
    <n v="1"/>
  </r>
  <r>
    <m/>
    <m/>
    <x v="1"/>
    <s v="12890384003001"/>
    <n v="-19.690000000000001"/>
    <n v="419"/>
    <n v="1"/>
    <n v="1"/>
  </r>
  <r>
    <m/>
    <m/>
    <x v="1"/>
    <s v="12961356001003"/>
    <n v="-28.95"/>
    <n v="616"/>
    <n v="1"/>
    <n v="1"/>
  </r>
  <r>
    <m/>
    <m/>
    <x v="1"/>
    <s v="13055066001001"/>
    <n v="-2.2999999999999998"/>
    <n v="49"/>
    <n v="1"/>
    <n v="1"/>
  </r>
  <r>
    <m/>
    <m/>
    <x v="1"/>
    <s v="13202860001002"/>
    <n v="-0.33"/>
    <n v="7"/>
    <n v="1"/>
    <n v="1"/>
  </r>
  <r>
    <m/>
    <m/>
    <x v="1"/>
    <s v="13250149001002"/>
    <n v="-39.72"/>
    <n v="845"/>
    <n v="1"/>
    <n v="1"/>
  </r>
  <r>
    <m/>
    <m/>
    <x v="1"/>
    <s v="13597159001001"/>
    <n v="-37.880000000000003"/>
    <n v="806"/>
    <n v="1"/>
    <n v="1"/>
  </r>
  <r>
    <m/>
    <m/>
    <x v="1"/>
    <s v="13623153001006"/>
    <n v="-35.53"/>
    <n v="756"/>
    <n v="1"/>
    <n v="1"/>
  </r>
  <r>
    <m/>
    <m/>
    <x v="1"/>
    <s v="13657098001001"/>
    <n v="-28.53"/>
    <n v="607"/>
    <n v="1"/>
    <n v="1"/>
  </r>
  <r>
    <m/>
    <m/>
    <x v="1"/>
    <s v="13794916004003"/>
    <n v="-42.72"/>
    <n v="909"/>
    <n v="1"/>
    <n v="1"/>
  </r>
  <r>
    <m/>
    <m/>
    <x v="1"/>
    <s v="13812990001010"/>
    <n v="-13.77"/>
    <n v="293"/>
    <n v="1"/>
    <n v="1"/>
  </r>
  <r>
    <m/>
    <m/>
    <x v="1"/>
    <s v="13925545001001"/>
    <n v="-0.8"/>
    <n v="17"/>
    <n v="1"/>
    <n v="1"/>
  </r>
  <r>
    <m/>
    <m/>
    <x v="1"/>
    <s v="13949554001001"/>
    <n v="-6.82"/>
    <n v="145"/>
    <n v="1"/>
    <n v="1"/>
  </r>
  <r>
    <m/>
    <m/>
    <x v="1"/>
    <s v="14105636001003"/>
    <n v="-57.25"/>
    <n v="1218"/>
    <n v="1"/>
    <n v="1"/>
  </r>
  <r>
    <m/>
    <m/>
    <x v="1"/>
    <s v="14171251001006"/>
    <n v="-7.29"/>
    <n v="155"/>
    <n v="1"/>
    <n v="1"/>
  </r>
  <r>
    <m/>
    <m/>
    <x v="1"/>
    <s v="14280190001003"/>
    <n v="-9.68"/>
    <n v="206"/>
    <n v="1"/>
    <n v="1"/>
  </r>
  <r>
    <m/>
    <m/>
    <x v="1"/>
    <s v="14339079001003"/>
    <n v="-59.5"/>
    <n v="1266"/>
    <n v="1"/>
    <n v="1"/>
  </r>
  <r>
    <m/>
    <m/>
    <x v="1"/>
    <s v="14417667001001"/>
    <n v="-58.61"/>
    <n v="1247"/>
    <n v="1"/>
    <n v="1"/>
  </r>
  <r>
    <m/>
    <m/>
    <x v="1"/>
    <s v="14502955001001"/>
    <n v="-4.18"/>
    <n v="89"/>
    <n v="1"/>
    <n v="1"/>
  </r>
  <r>
    <m/>
    <m/>
    <x v="1"/>
    <s v="14612915001001"/>
    <n v="-3.15"/>
    <n v="67"/>
    <n v="1"/>
    <n v="1"/>
  </r>
  <r>
    <m/>
    <m/>
    <x v="1"/>
    <s v="14767926002001"/>
    <n v="-55.65"/>
    <n v="1184"/>
    <n v="1"/>
    <n v="1"/>
  </r>
  <r>
    <m/>
    <m/>
    <x v="1"/>
    <s v="14809005001008"/>
    <n v="-23.59"/>
    <n v="502"/>
    <n v="1"/>
    <n v="1"/>
  </r>
  <r>
    <m/>
    <m/>
    <x v="1"/>
    <s v="14876434001004"/>
    <n v="-86.76"/>
    <n v="1846"/>
    <n v="1"/>
    <n v="1"/>
  </r>
  <r>
    <m/>
    <m/>
    <x v="1"/>
    <s v="14916764001003"/>
    <n v="-0.19"/>
    <n v="4"/>
    <n v="1"/>
    <n v="1"/>
  </r>
  <r>
    <m/>
    <m/>
    <x v="1"/>
    <s v="15264531001003"/>
    <n v="-21.24"/>
    <n v="452"/>
    <n v="1"/>
    <n v="1"/>
  </r>
  <r>
    <m/>
    <m/>
    <x v="1"/>
    <s v="15398887001006"/>
    <n v="-56.31"/>
    <n v="1198"/>
    <n v="1"/>
    <n v="1"/>
  </r>
  <r>
    <m/>
    <m/>
    <x v="1"/>
    <s v="15431936001001"/>
    <n v="-0.33"/>
    <n v="7"/>
    <n v="1"/>
    <n v="1"/>
  </r>
  <r>
    <m/>
    <m/>
    <x v="1"/>
    <s v="15497150001007"/>
    <n v="-0.52"/>
    <n v="11"/>
    <n v="1"/>
    <n v="1"/>
  </r>
  <r>
    <m/>
    <m/>
    <x v="1"/>
    <s v="15515287001002"/>
    <n v="-3.06"/>
    <n v="65"/>
    <n v="1"/>
    <n v="1"/>
  </r>
  <r>
    <m/>
    <m/>
    <x v="1"/>
    <s v="15567974001002"/>
    <n v="-2.2999999999999998"/>
    <n v="49"/>
    <n v="1"/>
    <n v="1"/>
  </r>
  <r>
    <m/>
    <m/>
    <x v="1"/>
    <s v="15723578001004"/>
    <n v="-18.47"/>
    <n v="393"/>
    <n v="1"/>
    <n v="1"/>
  </r>
  <r>
    <m/>
    <m/>
    <x v="1"/>
    <s v="15745592001001"/>
    <n v="-37.270000000000003"/>
    <n v="793"/>
    <n v="1"/>
    <n v="1"/>
  </r>
  <r>
    <m/>
    <m/>
    <x v="1"/>
    <s v="15889369001001"/>
    <n v="-8.51"/>
    <n v="181"/>
    <n v="1"/>
    <n v="1"/>
  </r>
  <r>
    <m/>
    <m/>
    <x v="1"/>
    <s v="15931274001003"/>
    <n v="-0.09"/>
    <n v="2"/>
    <n v="1"/>
    <n v="1"/>
  </r>
  <r>
    <m/>
    <m/>
    <x v="1"/>
    <s v="16161055001004"/>
    <n v="-0.28000000000000003"/>
    <n v="6"/>
    <n v="1"/>
    <n v="1"/>
  </r>
  <r>
    <m/>
    <m/>
    <x v="1"/>
    <s v="16175755001003"/>
    <n v="-22.28"/>
    <n v="474"/>
    <n v="1"/>
    <n v="1"/>
  </r>
  <r>
    <m/>
    <m/>
    <x v="1"/>
    <s v="16268790001003"/>
    <n v="-70.92"/>
    <n v="1509"/>
    <n v="1"/>
    <n v="1"/>
  </r>
  <r>
    <m/>
    <m/>
    <x v="1"/>
    <s v="16272128001001"/>
    <n v="-26.88"/>
    <n v="572"/>
    <n v="1"/>
    <n v="1"/>
  </r>
  <r>
    <m/>
    <m/>
    <x v="1"/>
    <s v="16506070001002"/>
    <n v="-21.34"/>
    <n v="454"/>
    <n v="1"/>
    <n v="1"/>
  </r>
  <r>
    <m/>
    <m/>
    <x v="1"/>
    <s v="16568578002001"/>
    <n v="-3.29"/>
    <n v="70"/>
    <n v="1"/>
    <n v="1"/>
  </r>
  <r>
    <m/>
    <m/>
    <x v="1"/>
    <s v="16580528001001"/>
    <n v="-93.72"/>
    <n v="1994"/>
    <n v="1"/>
    <n v="1"/>
  </r>
  <r>
    <m/>
    <m/>
    <x v="1"/>
    <s v="16821471001003"/>
    <n v="-12.36"/>
    <n v="263"/>
    <n v="1"/>
    <n v="1"/>
  </r>
  <r>
    <m/>
    <m/>
    <x v="1"/>
    <s v="16884109001002"/>
    <n v="-49.96"/>
    <n v="1063"/>
    <n v="1"/>
    <n v="1"/>
  </r>
  <r>
    <m/>
    <m/>
    <x v="1"/>
    <s v="16946064001004"/>
    <n v="-3.43"/>
    <n v="73"/>
    <n v="1"/>
    <n v="1"/>
  </r>
  <r>
    <m/>
    <m/>
    <x v="1"/>
    <s v="17277532001001"/>
    <n v="-1.36"/>
    <n v="29"/>
    <n v="1"/>
    <n v="1"/>
  </r>
  <r>
    <m/>
    <m/>
    <x v="1"/>
    <s v="17378301001002"/>
    <n v="-8.0399999999999991"/>
    <n v="171"/>
    <n v="1"/>
    <n v="1"/>
  </r>
  <r>
    <m/>
    <m/>
    <x v="1"/>
    <s v="17387294001001"/>
    <n v="-38.119999999999997"/>
    <n v="811"/>
    <n v="1"/>
    <n v="1"/>
  </r>
  <r>
    <m/>
    <m/>
    <x v="1"/>
    <s v="17606006001001"/>
    <n v="-18.850000000000001"/>
    <n v="401"/>
    <n v="1"/>
    <n v="1"/>
  </r>
  <r>
    <m/>
    <m/>
    <x v="1"/>
    <s v="17704374001008"/>
    <n v="-5.26"/>
    <n v="112"/>
    <n v="1"/>
    <n v="1"/>
  </r>
  <r>
    <m/>
    <m/>
    <x v="1"/>
    <s v="17706944001001"/>
    <n v="-12.17"/>
    <n v="259"/>
    <n v="1"/>
    <n v="1"/>
  </r>
  <r>
    <m/>
    <m/>
    <x v="1"/>
    <s v="17740472001001"/>
    <n v="-36.9"/>
    <n v="785"/>
    <n v="1"/>
    <n v="1"/>
  </r>
  <r>
    <m/>
    <m/>
    <x v="1"/>
    <s v="17861861001001"/>
    <n v="-31.16"/>
    <n v="663"/>
    <n v="1"/>
    <n v="1"/>
  </r>
  <r>
    <m/>
    <m/>
    <x v="1"/>
    <s v="17916622001001"/>
    <n v="-12.46"/>
    <n v="265"/>
    <n v="1"/>
    <n v="1"/>
  </r>
  <r>
    <m/>
    <m/>
    <x v="1"/>
    <s v="17953292001001"/>
    <n v="-11.05"/>
    <n v="235"/>
    <n v="1"/>
    <n v="1"/>
  </r>
  <r>
    <m/>
    <m/>
    <x v="1"/>
    <s v="17980153001002"/>
    <n v="-72.709999999999994"/>
    <n v="1547"/>
    <n v="1"/>
    <n v="1"/>
  </r>
  <r>
    <m/>
    <m/>
    <x v="1"/>
    <s v="18004459001001"/>
    <n v="-7.71"/>
    <n v="164"/>
    <n v="1"/>
    <n v="1"/>
  </r>
  <r>
    <m/>
    <m/>
    <x v="1"/>
    <s v="18093249001001"/>
    <n v="-42.02"/>
    <n v="894"/>
    <n v="1"/>
    <n v="1"/>
  </r>
  <r>
    <m/>
    <m/>
    <x v="1"/>
    <s v="18273680003003"/>
    <n v="-74.31"/>
    <n v="1581"/>
    <n v="1"/>
    <n v="1"/>
  </r>
  <r>
    <m/>
    <m/>
    <x v="1"/>
    <s v="18390546001001"/>
    <n v="-21.34"/>
    <n v="454"/>
    <n v="1"/>
    <n v="1"/>
  </r>
  <r>
    <m/>
    <m/>
    <x v="1"/>
    <s v="18631095001001"/>
    <n v="-1.03"/>
    <n v="22"/>
    <n v="1"/>
    <n v="1"/>
  </r>
  <r>
    <m/>
    <m/>
    <x v="1"/>
    <s v="18699658001004"/>
    <n v="-38.26"/>
    <n v="814"/>
    <n v="1"/>
    <n v="1"/>
  </r>
  <r>
    <m/>
    <m/>
    <x v="1"/>
    <s v="18702333001003"/>
    <n v="-5.97"/>
    <n v="127"/>
    <n v="1"/>
    <n v="1"/>
  </r>
  <r>
    <m/>
    <m/>
    <x v="1"/>
    <s v="18766246001015"/>
    <n v="-49.02"/>
    <n v="1043"/>
    <n v="1"/>
    <n v="1"/>
  </r>
  <r>
    <m/>
    <m/>
    <x v="1"/>
    <s v="18882101006001"/>
    <n v="-1.41"/>
    <n v="30"/>
    <n v="1"/>
    <n v="1"/>
  </r>
  <r>
    <m/>
    <m/>
    <x v="1"/>
    <s v="18898892001003"/>
    <n v="-6.11"/>
    <n v="130"/>
    <n v="1"/>
    <n v="1"/>
  </r>
  <r>
    <m/>
    <m/>
    <x v="1"/>
    <s v="18955010005003"/>
    <n v="-0.42"/>
    <n v="9"/>
    <n v="1"/>
    <n v="1"/>
  </r>
  <r>
    <m/>
    <m/>
    <x v="1"/>
    <s v="19283696002001"/>
    <n v="-33.46"/>
    <n v="712"/>
    <n v="1"/>
    <n v="1"/>
  </r>
  <r>
    <m/>
    <m/>
    <x v="1"/>
    <s v="19422871001001"/>
    <n v="-4.09"/>
    <n v="87"/>
    <n v="1"/>
    <n v="1"/>
  </r>
  <r>
    <m/>
    <m/>
    <x v="1"/>
    <s v="19435050001001"/>
    <n v="-47.89"/>
    <n v="1019"/>
    <n v="1"/>
    <n v="1"/>
  </r>
  <r>
    <m/>
    <m/>
    <x v="1"/>
    <s v="19496026001002"/>
    <n v="-1.69"/>
    <n v="36"/>
    <n v="1"/>
    <n v="1"/>
  </r>
  <r>
    <m/>
    <m/>
    <x v="1"/>
    <s v="19549167001005"/>
    <n v="-12.36"/>
    <n v="263"/>
    <n v="1"/>
    <n v="1"/>
  </r>
  <r>
    <m/>
    <m/>
    <x v="1"/>
    <s v="19628621001001"/>
    <n v="-9.9600000000000009"/>
    <n v="212"/>
    <n v="1"/>
    <n v="1"/>
  </r>
  <r>
    <m/>
    <m/>
    <x v="1"/>
    <s v="19760888001002"/>
    <n v="-7.19"/>
    <n v="153"/>
    <n v="1"/>
    <n v="1"/>
  </r>
  <r>
    <m/>
    <m/>
    <x v="1"/>
    <s v="19922627001001"/>
    <n v="-13.68"/>
    <n v="291"/>
    <n v="1"/>
    <n v="1"/>
  </r>
  <r>
    <m/>
    <m/>
    <x v="1"/>
    <s v="19981285001002"/>
    <n v="-9.59"/>
    <n v="204"/>
    <n v="1"/>
    <n v="1"/>
  </r>
  <r>
    <m/>
    <m/>
    <x v="1"/>
    <s v="20111439001001"/>
    <n v="-20.82"/>
    <n v="443"/>
    <n v="1"/>
    <n v="1"/>
  </r>
  <r>
    <m/>
    <m/>
    <x v="1"/>
    <s v="20387598002003"/>
    <n v="-11.05"/>
    <n v="235"/>
    <n v="1"/>
    <n v="1"/>
  </r>
  <r>
    <m/>
    <m/>
    <x v="1"/>
    <s v="20988421001001"/>
    <n v="-2.77"/>
    <n v="59"/>
    <n v="1"/>
    <n v="1"/>
  </r>
  <r>
    <m/>
    <m/>
    <x v="1"/>
    <s v="21211434001004"/>
    <n v="-0.66"/>
    <n v="14"/>
    <n v="1"/>
    <n v="1"/>
  </r>
  <r>
    <m/>
    <m/>
    <x v="1"/>
    <s v="21227003001003"/>
    <n v="-11.14"/>
    <n v="237"/>
    <n v="1"/>
    <n v="1"/>
  </r>
  <r>
    <m/>
    <m/>
    <x v="1"/>
    <s v="21229071001001"/>
    <n v="-31.58"/>
    <n v="672"/>
    <n v="1"/>
    <n v="1"/>
  </r>
  <r>
    <m/>
    <m/>
    <x v="1"/>
    <s v="21279456001002"/>
    <n v="-53.77"/>
    <n v="1144"/>
    <n v="1"/>
    <n v="1"/>
  </r>
  <r>
    <m/>
    <m/>
    <x v="1"/>
    <s v="21479614002001"/>
    <n v="-5.59"/>
    <n v="119"/>
    <n v="1"/>
    <n v="1"/>
  </r>
  <r>
    <m/>
    <m/>
    <x v="1"/>
    <s v="21546690001003"/>
    <n v="-5.36"/>
    <n v="114"/>
    <n v="1"/>
    <n v="1"/>
  </r>
  <r>
    <m/>
    <m/>
    <x v="1"/>
    <s v="21555911001001"/>
    <n v="-13.4"/>
    <n v="285"/>
    <n v="1"/>
    <n v="1"/>
  </r>
  <r>
    <m/>
    <m/>
    <x v="1"/>
    <s v="21594867001004"/>
    <n v="-0.85"/>
    <n v="18"/>
    <n v="1"/>
    <n v="1"/>
  </r>
  <r>
    <m/>
    <m/>
    <x v="1"/>
    <s v="21669619001001"/>
    <n v="-14.05"/>
    <n v="299"/>
    <n v="1"/>
    <n v="1"/>
  </r>
  <r>
    <m/>
    <m/>
    <x v="1"/>
    <s v="21673120001001"/>
    <n v="-9.02"/>
    <n v="192"/>
    <n v="1"/>
    <n v="1"/>
  </r>
  <r>
    <m/>
    <m/>
    <x v="1"/>
    <s v="21686379003001"/>
    <n v="-16.78"/>
    <n v="357"/>
    <n v="1"/>
    <n v="1"/>
  </r>
  <r>
    <m/>
    <m/>
    <x v="1"/>
    <s v="21694077001003"/>
    <n v="-5.31"/>
    <n v="113"/>
    <n v="1"/>
    <n v="1"/>
  </r>
  <r>
    <m/>
    <m/>
    <x v="1"/>
    <s v="21820617001003"/>
    <n v="-11.84"/>
    <n v="252"/>
    <n v="1"/>
    <n v="1"/>
  </r>
  <r>
    <m/>
    <m/>
    <x v="1"/>
    <s v="21859275001001"/>
    <n v="-0.66"/>
    <n v="14"/>
    <n v="1"/>
    <n v="1"/>
  </r>
  <r>
    <m/>
    <m/>
    <x v="1"/>
    <s v="21883954001003"/>
    <n v="-19.93"/>
    <n v="424"/>
    <n v="1"/>
    <n v="1"/>
  </r>
  <r>
    <m/>
    <m/>
    <x v="1"/>
    <s v="22010468001003"/>
    <n v="-50.29"/>
    <n v="1070"/>
    <n v="1"/>
    <n v="1"/>
  </r>
  <r>
    <m/>
    <m/>
    <x v="1"/>
    <s v="22022857001005"/>
    <n v="-40.33"/>
    <n v="858"/>
    <n v="1"/>
    <n v="1"/>
  </r>
  <r>
    <m/>
    <m/>
    <x v="1"/>
    <s v="22102529001008"/>
    <n v="-13.16"/>
    <n v="280"/>
    <n v="1"/>
    <n v="1"/>
  </r>
  <r>
    <m/>
    <m/>
    <x v="1"/>
    <s v="22118281001001"/>
    <n v="-0.66"/>
    <n v="14"/>
    <n v="1"/>
    <n v="1"/>
  </r>
  <r>
    <m/>
    <m/>
    <x v="1"/>
    <s v="22171732002001"/>
    <n v="-16.45"/>
    <n v="350"/>
    <n v="1"/>
    <n v="1"/>
  </r>
  <r>
    <m/>
    <m/>
    <x v="1"/>
    <s v="22178371001001"/>
    <n v="-40.14"/>
    <n v="854"/>
    <n v="1"/>
    <n v="1"/>
  </r>
  <r>
    <m/>
    <m/>
    <x v="1"/>
    <s v="22208875001001"/>
    <n v="-2.73"/>
    <n v="58"/>
    <n v="1"/>
    <n v="1"/>
  </r>
  <r>
    <m/>
    <m/>
    <x v="1"/>
    <s v="22315284001001"/>
    <n v="-4.04"/>
    <n v="86"/>
    <n v="1"/>
    <n v="1"/>
  </r>
  <r>
    <m/>
    <m/>
    <x v="1"/>
    <s v="22386532007001"/>
    <n v="-7.57"/>
    <n v="161"/>
    <n v="1"/>
    <n v="1"/>
  </r>
  <r>
    <m/>
    <m/>
    <x v="1"/>
    <s v="22461172001008"/>
    <n v="-41.36"/>
    <n v="880"/>
    <n v="1"/>
    <n v="1"/>
  </r>
  <r>
    <m/>
    <m/>
    <x v="1"/>
    <s v="22537776001001"/>
    <n v="-24.39"/>
    <n v="519"/>
    <n v="1"/>
    <n v="1"/>
  </r>
  <r>
    <m/>
    <m/>
    <x v="1"/>
    <s v="22697285001003"/>
    <n v="-19.88"/>
    <n v="423"/>
    <n v="1"/>
    <n v="1"/>
  </r>
  <r>
    <m/>
    <m/>
    <x v="1"/>
    <s v="22817915001006"/>
    <n v="-31.91"/>
    <n v="679"/>
    <n v="1"/>
    <n v="1"/>
  </r>
  <r>
    <m/>
    <m/>
    <x v="1"/>
    <s v="22837225001002"/>
    <n v="-23.74"/>
    <n v="505"/>
    <n v="1"/>
    <n v="1"/>
  </r>
  <r>
    <m/>
    <m/>
    <x v="1"/>
    <s v="22968302004001"/>
    <n v="-33.89"/>
    <n v="721"/>
    <n v="1"/>
    <n v="1"/>
  </r>
  <r>
    <m/>
    <m/>
    <x v="1"/>
    <s v="23029958001003"/>
    <n v="-0.52"/>
    <n v="11"/>
    <n v="1"/>
    <n v="1"/>
  </r>
  <r>
    <m/>
    <m/>
    <x v="1"/>
    <s v="23045379001003"/>
    <n v="-15.89"/>
    <n v="338"/>
    <n v="1"/>
    <n v="1"/>
  </r>
  <r>
    <m/>
    <m/>
    <x v="1"/>
    <s v="23143876001001"/>
    <n v="-63.87"/>
    <n v="1359"/>
    <n v="1"/>
    <n v="1"/>
  </r>
  <r>
    <m/>
    <m/>
    <x v="1"/>
    <s v="23361845001001"/>
    <n v="-7.85"/>
    <n v="167"/>
    <n v="1"/>
    <n v="1"/>
  </r>
  <r>
    <m/>
    <m/>
    <x v="1"/>
    <s v="23535049001001"/>
    <n v="-0.52"/>
    <n v="11"/>
    <n v="1"/>
    <n v="1"/>
  </r>
  <r>
    <m/>
    <m/>
    <x v="1"/>
    <s v="23567089001003"/>
    <n v="-0.56000000000000005"/>
    <n v="12"/>
    <n v="1"/>
    <n v="1"/>
  </r>
  <r>
    <m/>
    <m/>
    <x v="1"/>
    <s v="23582904002001"/>
    <n v="-38.82"/>
    <n v="826"/>
    <n v="1"/>
    <n v="1"/>
  </r>
  <r>
    <m/>
    <m/>
    <x v="1"/>
    <s v="23600074001001"/>
    <n v="-16.45"/>
    <n v="350"/>
    <n v="1"/>
    <n v="1"/>
  </r>
  <r>
    <m/>
    <m/>
    <x v="1"/>
    <s v="23634903001001"/>
    <n v="-7.43"/>
    <n v="158"/>
    <n v="1"/>
    <n v="1"/>
  </r>
  <r>
    <m/>
    <m/>
    <x v="1"/>
    <s v="23639240001001"/>
    <n v="-2.91"/>
    <n v="62"/>
    <n v="1"/>
    <n v="1"/>
  </r>
  <r>
    <m/>
    <m/>
    <x v="1"/>
    <s v="24274679001001"/>
    <n v="-25.99"/>
    <n v="553"/>
    <n v="1"/>
    <n v="1"/>
  </r>
  <r>
    <m/>
    <m/>
    <x v="1"/>
    <s v="24291697001001"/>
    <n v="-2.02"/>
    <n v="43"/>
    <n v="1"/>
    <n v="1"/>
  </r>
  <r>
    <m/>
    <m/>
    <x v="1"/>
    <s v="24336943003005"/>
    <n v="-20.45"/>
    <n v="435"/>
    <n v="1"/>
    <n v="1"/>
  </r>
  <r>
    <m/>
    <m/>
    <x v="1"/>
    <s v="24352693002004"/>
    <n v="-56.49"/>
    <n v="1202"/>
    <n v="1"/>
    <n v="1"/>
  </r>
  <r>
    <m/>
    <m/>
    <x v="1"/>
    <s v="24558803001001"/>
    <n v="-5.69"/>
    <n v="121"/>
    <n v="1"/>
    <n v="1"/>
  </r>
  <r>
    <m/>
    <m/>
    <x v="1"/>
    <s v="24571934001005"/>
    <n v="-1.5"/>
    <n v="32"/>
    <n v="1"/>
    <n v="1"/>
  </r>
  <r>
    <m/>
    <m/>
    <x v="1"/>
    <s v="24678131001007"/>
    <n v="-35.81"/>
    <n v="762"/>
    <n v="1"/>
    <n v="1"/>
  </r>
  <r>
    <m/>
    <m/>
    <x v="1"/>
    <s v="24684171002001"/>
    <n v="-16.59"/>
    <n v="353"/>
    <n v="1"/>
    <n v="1"/>
  </r>
  <r>
    <m/>
    <m/>
    <x v="1"/>
    <s v="24806438001006"/>
    <n v="-19.04"/>
    <n v="405"/>
    <n v="1"/>
    <n v="1"/>
  </r>
  <r>
    <m/>
    <m/>
    <x v="1"/>
    <s v="24882043003001"/>
    <n v="-2.87"/>
    <n v="61"/>
    <n v="1"/>
    <n v="1"/>
  </r>
  <r>
    <m/>
    <m/>
    <x v="1"/>
    <s v="24884421006005"/>
    <n v="-29"/>
    <n v="617"/>
    <n v="2"/>
    <n v="1"/>
  </r>
  <r>
    <m/>
    <m/>
    <x v="1"/>
    <s v="24891420005001"/>
    <n v="-25.24"/>
    <n v="537"/>
    <n v="1"/>
    <n v="1"/>
  </r>
  <r>
    <m/>
    <m/>
    <x v="1"/>
    <s v="24901880001001"/>
    <n v="-72.47"/>
    <n v="1542"/>
    <n v="1"/>
    <n v="1"/>
  </r>
  <r>
    <m/>
    <m/>
    <x v="1"/>
    <s v="25160457001004"/>
    <n v="-26.7"/>
    <n v="568"/>
    <n v="2"/>
    <n v="1"/>
  </r>
  <r>
    <m/>
    <m/>
    <x v="1"/>
    <s v="25339323001004"/>
    <n v="-1.97"/>
    <n v="42"/>
    <n v="1"/>
    <n v="1"/>
  </r>
  <r>
    <m/>
    <m/>
    <x v="1"/>
    <s v="25741551007013"/>
    <n v="-135.16999999999999"/>
    <n v="2876"/>
    <n v="1"/>
    <n v="1"/>
  </r>
  <r>
    <m/>
    <m/>
    <x v="1"/>
    <s v="25769735001007"/>
    <n v="-1.27"/>
    <n v="27"/>
    <n v="1"/>
    <n v="1"/>
  </r>
  <r>
    <m/>
    <m/>
    <x v="1"/>
    <s v="25824653001001"/>
    <n v="-2.96"/>
    <n v="63"/>
    <n v="1"/>
    <n v="1"/>
  </r>
  <r>
    <m/>
    <m/>
    <x v="1"/>
    <s v="25829665002003"/>
    <n v="-11.05"/>
    <n v="235"/>
    <n v="1"/>
    <n v="1"/>
  </r>
  <r>
    <m/>
    <m/>
    <x v="1"/>
    <s v="25851963001001"/>
    <n v="-2.68"/>
    <n v="57"/>
    <n v="1"/>
    <n v="1"/>
  </r>
  <r>
    <m/>
    <m/>
    <x v="1"/>
    <s v="26133946001003"/>
    <n v="-0.56000000000000005"/>
    <n v="12"/>
    <n v="1"/>
    <n v="1"/>
  </r>
  <r>
    <m/>
    <m/>
    <x v="1"/>
    <s v="26360288004001"/>
    <n v="-38.450000000000003"/>
    <n v="818"/>
    <n v="1"/>
    <n v="1"/>
  </r>
  <r>
    <m/>
    <m/>
    <x v="1"/>
    <s v="26449890001003"/>
    <n v="-3.48"/>
    <n v="74"/>
    <n v="1"/>
    <n v="1"/>
  </r>
  <r>
    <m/>
    <m/>
    <x v="1"/>
    <s v="26543152001004"/>
    <n v="-20.73"/>
    <n v="441"/>
    <n v="1"/>
    <n v="1"/>
  </r>
  <r>
    <m/>
    <m/>
    <x v="1"/>
    <s v="26574451002003"/>
    <n v="-93.67"/>
    <n v="1993"/>
    <n v="1"/>
    <n v="1"/>
  </r>
  <r>
    <m/>
    <m/>
    <x v="1"/>
    <s v="26763592001011"/>
    <n v="-10.48"/>
    <n v="223"/>
    <n v="1"/>
    <n v="1"/>
  </r>
  <r>
    <m/>
    <m/>
    <x v="1"/>
    <s v="26830706001001"/>
    <n v="-29.85"/>
    <n v="635"/>
    <n v="1"/>
    <n v="1"/>
  </r>
  <r>
    <m/>
    <m/>
    <x v="1"/>
    <s v="27069473001003"/>
    <n v="-5.88"/>
    <n v="125"/>
    <n v="1"/>
    <n v="1"/>
  </r>
  <r>
    <m/>
    <m/>
    <x v="1"/>
    <s v="27186553001002"/>
    <n v="-23.59"/>
    <n v="502"/>
    <n v="1"/>
    <n v="1"/>
  </r>
  <r>
    <m/>
    <m/>
    <x v="1"/>
    <s v="27335211003001"/>
    <n v="-0.09"/>
    <n v="2"/>
    <n v="1"/>
    <n v="1"/>
  </r>
  <r>
    <m/>
    <m/>
    <x v="1"/>
    <s v="27612583002003"/>
    <n v="-60.68"/>
    <n v="1291"/>
    <n v="1"/>
    <n v="1"/>
  </r>
  <r>
    <m/>
    <m/>
    <x v="1"/>
    <s v="27629352001002"/>
    <n v="-1.93"/>
    <n v="41"/>
    <n v="1"/>
    <n v="1"/>
  </r>
  <r>
    <m/>
    <m/>
    <x v="1"/>
    <s v="27670002001006"/>
    <n v="-11"/>
    <n v="234"/>
    <n v="1"/>
    <n v="1"/>
  </r>
  <r>
    <m/>
    <m/>
    <x v="1"/>
    <s v="27899952001001"/>
    <n v="-5.69"/>
    <n v="121"/>
    <n v="1"/>
    <n v="1"/>
  </r>
  <r>
    <m/>
    <m/>
    <x v="1"/>
    <s v="27904723001005"/>
    <n v="-39.86"/>
    <n v="848"/>
    <n v="1"/>
    <n v="1"/>
  </r>
  <r>
    <m/>
    <m/>
    <x v="1"/>
    <s v="27995568001003"/>
    <n v="-34.4"/>
    <n v="732"/>
    <n v="1"/>
    <n v="1"/>
  </r>
  <r>
    <m/>
    <m/>
    <x v="1"/>
    <s v="28066889003005"/>
    <n v="-8.74"/>
    <n v="186"/>
    <n v="1"/>
    <n v="1"/>
  </r>
  <r>
    <m/>
    <m/>
    <x v="1"/>
    <s v="28261263001001"/>
    <n v="-4.7"/>
    <n v="100"/>
    <n v="1"/>
    <n v="1"/>
  </r>
  <r>
    <m/>
    <m/>
    <x v="1"/>
    <s v="28320978001001"/>
    <n v="-37.08"/>
    <n v="789"/>
    <n v="1"/>
    <n v="1"/>
  </r>
  <r>
    <m/>
    <m/>
    <x v="1"/>
    <s v="28330708001001"/>
    <n v="-108.05"/>
    <n v="2299"/>
    <n v="1"/>
    <n v="1"/>
  </r>
  <r>
    <m/>
    <m/>
    <x v="1"/>
    <s v="28477040001004"/>
    <n v="-4.9800000000000004"/>
    <n v="106"/>
    <n v="1"/>
    <n v="1"/>
  </r>
  <r>
    <m/>
    <m/>
    <x v="1"/>
    <s v="28592432001002"/>
    <n v="-36.71"/>
    <n v="781"/>
    <n v="1"/>
    <n v="1"/>
  </r>
  <r>
    <m/>
    <m/>
    <x v="1"/>
    <s v="28645126001006"/>
    <n v="-60.35"/>
    <n v="1284"/>
    <n v="1"/>
    <n v="1"/>
  </r>
  <r>
    <m/>
    <m/>
    <x v="1"/>
    <s v="28647586001001"/>
    <n v="-3.29"/>
    <n v="70"/>
    <n v="1"/>
    <n v="1"/>
  </r>
  <r>
    <m/>
    <m/>
    <x v="1"/>
    <s v="28886587001003"/>
    <n v="-35.96"/>
    <n v="765"/>
    <n v="1"/>
    <n v="1"/>
  </r>
  <r>
    <m/>
    <m/>
    <x v="1"/>
    <s v="29003410001001"/>
    <n v="-53.63"/>
    <n v="1141"/>
    <n v="1"/>
    <n v="1"/>
  </r>
  <r>
    <m/>
    <m/>
    <x v="1"/>
    <s v="29121023001001"/>
    <n v="-29.09"/>
    <n v="619"/>
    <n v="1"/>
    <n v="1"/>
  </r>
  <r>
    <m/>
    <m/>
    <x v="1"/>
    <s v="29250485007001"/>
    <n v="-11.7"/>
    <n v="249"/>
    <n v="1"/>
    <n v="1"/>
  </r>
  <r>
    <m/>
    <m/>
    <x v="1"/>
    <s v="29527274001001"/>
    <n v="-16.309999999999999"/>
    <n v="347"/>
    <n v="1"/>
    <n v="1"/>
  </r>
  <r>
    <m/>
    <m/>
    <x v="1"/>
    <s v="29810873001003"/>
    <n v="-10.15"/>
    <n v="216"/>
    <n v="1"/>
    <n v="1"/>
  </r>
  <r>
    <m/>
    <m/>
    <x v="1"/>
    <s v="29908837001002"/>
    <n v="-15.79"/>
    <n v="336"/>
    <n v="1"/>
    <n v="1"/>
  </r>
  <r>
    <m/>
    <m/>
    <x v="1"/>
    <s v="30002964001001"/>
    <n v="-2.21"/>
    <n v="47"/>
    <n v="1"/>
    <n v="1"/>
  </r>
  <r>
    <m/>
    <m/>
    <x v="1"/>
    <s v="30023292002005"/>
    <n v="-61.48"/>
    <n v="1308"/>
    <n v="1"/>
    <n v="1"/>
  </r>
  <r>
    <m/>
    <m/>
    <x v="1"/>
    <s v="30133433001001"/>
    <n v="-14.81"/>
    <n v="315"/>
    <n v="1"/>
    <n v="1"/>
  </r>
  <r>
    <m/>
    <m/>
    <x v="1"/>
    <s v="30199968001001"/>
    <n v="-27.54"/>
    <n v="586"/>
    <n v="1"/>
    <n v="1"/>
  </r>
  <r>
    <m/>
    <m/>
    <x v="1"/>
    <s v="30234293001001"/>
    <n v="-0.85"/>
    <n v="18"/>
    <n v="1"/>
    <n v="1"/>
  </r>
  <r>
    <m/>
    <m/>
    <x v="1"/>
    <s v="30336396002007"/>
    <n v="-30.79"/>
    <n v="655"/>
    <n v="1"/>
    <n v="1"/>
  </r>
  <r>
    <m/>
    <m/>
    <x v="1"/>
    <s v="30338555001001"/>
    <n v="-1.88"/>
    <n v="40"/>
    <n v="1"/>
    <n v="1"/>
  </r>
  <r>
    <m/>
    <m/>
    <x v="1"/>
    <s v="30340768001001"/>
    <n v="-0.47"/>
    <n v="10"/>
    <n v="1"/>
    <n v="1"/>
  </r>
  <r>
    <m/>
    <m/>
    <x v="1"/>
    <s v="30370464002001"/>
    <n v="-3.06"/>
    <n v="65"/>
    <n v="1"/>
    <n v="1"/>
  </r>
  <r>
    <m/>
    <m/>
    <x v="1"/>
    <s v="30522741002006"/>
    <n v="-30.64"/>
    <n v="652"/>
    <n v="1"/>
    <n v="1"/>
  </r>
  <r>
    <m/>
    <m/>
    <x v="1"/>
    <s v="30640785003003"/>
    <n v="-46.77"/>
    <n v="995"/>
    <n v="1"/>
    <n v="1"/>
  </r>
  <r>
    <m/>
    <m/>
    <x v="1"/>
    <s v="30684952001001"/>
    <n v="-8.18"/>
    <n v="174"/>
    <n v="1"/>
    <n v="1"/>
  </r>
  <r>
    <m/>
    <m/>
    <x v="1"/>
    <s v="30757590002002"/>
    <n v="-99.64"/>
    <n v="2120"/>
    <n v="1"/>
    <n v="1"/>
  </r>
  <r>
    <m/>
    <m/>
    <x v="1"/>
    <s v="30957294003003"/>
    <n v="-6.49"/>
    <n v="138"/>
    <n v="1"/>
    <n v="1"/>
  </r>
  <r>
    <m/>
    <m/>
    <x v="1"/>
    <s v="31123464001003"/>
    <n v="-3.62"/>
    <n v="77"/>
    <n v="1"/>
    <n v="1"/>
  </r>
  <r>
    <m/>
    <m/>
    <x v="1"/>
    <s v="31180110007001"/>
    <n v="-15.51"/>
    <n v="330"/>
    <n v="1"/>
    <n v="1"/>
  </r>
  <r>
    <m/>
    <m/>
    <x v="1"/>
    <s v="31347134001001"/>
    <n v="-53.96"/>
    <n v="1148"/>
    <n v="1"/>
    <n v="1"/>
  </r>
  <r>
    <m/>
    <m/>
    <x v="1"/>
    <s v="31363659001003"/>
    <n v="-4.47"/>
    <n v="95"/>
    <n v="1"/>
    <n v="1"/>
  </r>
  <r>
    <m/>
    <m/>
    <x v="1"/>
    <s v="31408462001001"/>
    <n v="-5.83"/>
    <n v="124"/>
    <n v="1"/>
    <n v="1"/>
  </r>
  <r>
    <m/>
    <m/>
    <x v="1"/>
    <s v="31413647002001"/>
    <n v="-115.24"/>
    <n v="2452"/>
    <n v="1"/>
    <n v="1"/>
  </r>
  <r>
    <m/>
    <m/>
    <x v="1"/>
    <s v="31501363001001"/>
    <n v="-106.31"/>
    <n v="2262"/>
    <n v="1"/>
    <n v="1"/>
  </r>
  <r>
    <m/>
    <m/>
    <x v="1"/>
    <s v="31529203003001"/>
    <n v="-0.47"/>
    <n v="10"/>
    <n v="1"/>
    <n v="1"/>
  </r>
  <r>
    <m/>
    <m/>
    <x v="1"/>
    <s v="31533047001001"/>
    <n v="-0.99"/>
    <n v="21"/>
    <n v="1"/>
    <n v="1"/>
  </r>
  <r>
    <m/>
    <m/>
    <x v="1"/>
    <s v="31770964001004"/>
    <n v="-46.44"/>
    <n v="988"/>
    <n v="1"/>
    <n v="1"/>
  </r>
  <r>
    <m/>
    <m/>
    <x v="1"/>
    <s v="31849917001001"/>
    <n v="-0.8"/>
    <n v="17"/>
    <n v="1"/>
    <n v="1"/>
  </r>
  <r>
    <m/>
    <m/>
    <x v="1"/>
    <s v="31987952001001"/>
    <n v="-14.81"/>
    <n v="315"/>
    <n v="1"/>
    <n v="1"/>
  </r>
  <r>
    <m/>
    <m/>
    <x v="1"/>
    <s v="32149793001004"/>
    <n v="-8.32"/>
    <n v="177"/>
    <n v="1"/>
    <n v="1"/>
  </r>
  <r>
    <m/>
    <m/>
    <x v="1"/>
    <s v="32293901002001"/>
    <n v="-11.37"/>
    <n v="242"/>
    <n v="1"/>
    <n v="1"/>
  </r>
  <r>
    <m/>
    <m/>
    <x v="1"/>
    <s v="32419368001001"/>
    <n v="-14.1"/>
    <n v="300"/>
    <n v="1"/>
    <n v="1"/>
  </r>
  <r>
    <m/>
    <m/>
    <x v="1"/>
    <s v="32756243001001"/>
    <n v="-58.56"/>
    <n v="1246"/>
    <n v="1"/>
    <n v="1"/>
  </r>
  <r>
    <m/>
    <m/>
    <x v="1"/>
    <s v="32767929001001"/>
    <n v="-100.67"/>
    <n v="2142"/>
    <n v="1"/>
    <n v="1"/>
  </r>
  <r>
    <m/>
    <m/>
    <x v="1"/>
    <s v="32848896001001"/>
    <n v="-5.5"/>
    <n v="117"/>
    <n v="1"/>
    <n v="1"/>
  </r>
  <r>
    <m/>
    <m/>
    <x v="1"/>
    <s v="32853341001004"/>
    <n v="-32.01"/>
    <n v="681"/>
    <n v="1"/>
    <n v="1"/>
  </r>
  <r>
    <m/>
    <m/>
    <x v="1"/>
    <s v="32983109001005"/>
    <n v="-2.63"/>
    <n v="56"/>
    <n v="1"/>
    <n v="1"/>
  </r>
  <r>
    <m/>
    <m/>
    <x v="1"/>
    <s v="33292898001002"/>
    <n v="-54.52"/>
    <n v="1160"/>
    <n v="1"/>
    <n v="1"/>
  </r>
  <r>
    <m/>
    <m/>
    <x v="1"/>
    <s v="33544933002001"/>
    <n v="-116.61"/>
    <n v="2481"/>
    <n v="1"/>
    <n v="1"/>
  </r>
  <r>
    <m/>
    <m/>
    <x v="1"/>
    <s v="33551931001003"/>
    <n v="-34.31"/>
    <n v="730"/>
    <n v="1"/>
    <n v="1"/>
  </r>
  <r>
    <m/>
    <m/>
    <x v="1"/>
    <s v="33559246001001"/>
    <n v="-27.59"/>
    <n v="587"/>
    <n v="1"/>
    <n v="1"/>
  </r>
  <r>
    <m/>
    <m/>
    <x v="1"/>
    <s v="33563818001002"/>
    <n v="-31.54"/>
    <n v="671"/>
    <n v="1"/>
    <n v="1"/>
  </r>
  <r>
    <m/>
    <m/>
    <x v="1"/>
    <s v="33659104001003"/>
    <n v="-23.74"/>
    <n v="505"/>
    <n v="1"/>
    <n v="1"/>
  </r>
  <r>
    <m/>
    <m/>
    <x v="1"/>
    <s v="33674854001001"/>
    <n v="-25.76"/>
    <n v="548"/>
    <n v="1"/>
    <n v="1"/>
  </r>
  <r>
    <m/>
    <m/>
    <x v="1"/>
    <s v="33758373001010"/>
    <n v="-24.02"/>
    <n v="511"/>
    <n v="1"/>
    <n v="1"/>
  </r>
  <r>
    <m/>
    <m/>
    <x v="1"/>
    <s v="33804703001003"/>
    <n v="-3.53"/>
    <n v="75"/>
    <n v="1"/>
    <n v="1"/>
  </r>
  <r>
    <m/>
    <m/>
    <x v="1"/>
    <s v="33897699003002"/>
    <n v="-27.87"/>
    <n v="593"/>
    <n v="1"/>
    <n v="1"/>
  </r>
  <r>
    <m/>
    <m/>
    <x v="1"/>
    <s v="34080235001002"/>
    <n v="-21.71"/>
    <n v="462"/>
    <n v="1"/>
    <n v="1"/>
  </r>
  <r>
    <m/>
    <m/>
    <x v="1"/>
    <s v="34135500001003"/>
    <n v="-14.43"/>
    <n v="307"/>
    <n v="1"/>
    <n v="1"/>
  </r>
  <r>
    <m/>
    <m/>
    <x v="1"/>
    <s v="34489601001003"/>
    <n v="-24.3"/>
    <n v="517"/>
    <n v="1"/>
    <n v="1"/>
  </r>
  <r>
    <m/>
    <m/>
    <x v="1"/>
    <s v="34506194001002"/>
    <n v="-36.75"/>
    <n v="782"/>
    <n v="1"/>
    <n v="1"/>
  </r>
  <r>
    <m/>
    <m/>
    <x v="1"/>
    <s v="34683105001001"/>
    <n v="-19.55"/>
    <n v="416"/>
    <n v="1"/>
    <n v="1"/>
  </r>
  <r>
    <m/>
    <m/>
    <x v="1"/>
    <s v="34847231001001"/>
    <n v="-4.47"/>
    <n v="95"/>
    <n v="1"/>
    <n v="1"/>
  </r>
  <r>
    <m/>
    <m/>
    <x v="1"/>
    <s v="34859648001001"/>
    <n v="-7.47"/>
    <n v="159"/>
    <n v="1"/>
    <n v="1"/>
  </r>
  <r>
    <m/>
    <m/>
    <x v="1"/>
    <s v="35012953001002"/>
    <n v="-20.12"/>
    <n v="428"/>
    <n v="1"/>
    <n v="1"/>
  </r>
  <r>
    <m/>
    <m/>
    <x v="1"/>
    <s v="35340232002001"/>
    <n v="-55.27"/>
    <n v="1176"/>
    <n v="1"/>
    <n v="1"/>
  </r>
  <r>
    <m/>
    <m/>
    <x v="1"/>
    <s v="35405190001004"/>
    <n v="-37.04"/>
    <n v="788"/>
    <n v="1"/>
    <n v="1"/>
  </r>
  <r>
    <m/>
    <m/>
    <x v="1"/>
    <s v="35423655001001"/>
    <n v="-16.22"/>
    <n v="345"/>
    <n v="1"/>
    <n v="1"/>
  </r>
  <r>
    <m/>
    <m/>
    <x v="1"/>
    <s v="35453275001007"/>
    <n v="-3.38"/>
    <n v="72"/>
    <n v="1"/>
    <n v="1"/>
  </r>
  <r>
    <m/>
    <m/>
    <x v="1"/>
    <s v="35761120001001"/>
    <n v="-0.71"/>
    <n v="15"/>
    <n v="1"/>
    <n v="1"/>
  </r>
  <r>
    <m/>
    <m/>
    <x v="1"/>
    <s v="35861191001002"/>
    <n v="-5.83"/>
    <n v="124"/>
    <n v="1"/>
    <n v="1"/>
  </r>
  <r>
    <m/>
    <m/>
    <x v="1"/>
    <s v="35900670002005"/>
    <n v="-3.81"/>
    <n v="81"/>
    <n v="1"/>
    <n v="1"/>
  </r>
  <r>
    <m/>
    <m/>
    <x v="1"/>
    <s v="36048131001001"/>
    <n v="-114.45"/>
    <n v="2435"/>
    <n v="1"/>
    <n v="1"/>
  </r>
  <r>
    <m/>
    <m/>
    <x v="1"/>
    <s v="36127419001006"/>
    <n v="-13.63"/>
    <n v="290"/>
    <n v="1"/>
    <n v="1"/>
  </r>
  <r>
    <m/>
    <m/>
    <x v="1"/>
    <s v="36294296001004"/>
    <n v="-5.97"/>
    <n v="127"/>
    <n v="1"/>
    <n v="1"/>
  </r>
  <r>
    <m/>
    <m/>
    <x v="1"/>
    <s v="36405485001001"/>
    <n v="-0.99"/>
    <n v="21"/>
    <n v="1"/>
    <n v="1"/>
  </r>
  <r>
    <m/>
    <m/>
    <x v="1"/>
    <s v="36529463001001"/>
    <n v="-79.010000000000005"/>
    <n v="1681"/>
    <n v="1"/>
    <n v="1"/>
  </r>
  <r>
    <m/>
    <m/>
    <x v="1"/>
    <s v="36829904002001"/>
    <n v="-20.96"/>
    <n v="446"/>
    <n v="1"/>
    <n v="1"/>
  </r>
  <r>
    <m/>
    <m/>
    <x v="1"/>
    <s v="36994507001001"/>
    <n v="-3.38"/>
    <n v="72"/>
    <n v="1"/>
    <n v="1"/>
  </r>
  <r>
    <m/>
    <m/>
    <x v="1"/>
    <s v="37382058001001"/>
    <n v="-22.84"/>
    <n v="486"/>
    <n v="1"/>
    <n v="1"/>
  </r>
  <r>
    <m/>
    <m/>
    <x v="1"/>
    <s v="37387403001001"/>
    <n v="-41.5"/>
    <n v="883"/>
    <n v="1"/>
    <n v="1"/>
  </r>
  <r>
    <m/>
    <m/>
    <x v="1"/>
    <s v="37494438002001"/>
    <n v="-1.5"/>
    <n v="32"/>
    <n v="1"/>
    <n v="1"/>
  </r>
  <r>
    <m/>
    <m/>
    <x v="1"/>
    <s v="37734979001001"/>
    <n v="-0.28000000000000003"/>
    <n v="6"/>
    <n v="1"/>
    <n v="1"/>
  </r>
  <r>
    <m/>
    <m/>
    <x v="1"/>
    <s v="37848235001001"/>
    <n v="-0.66"/>
    <n v="14"/>
    <n v="1"/>
    <n v="1"/>
  </r>
  <r>
    <m/>
    <m/>
    <x v="1"/>
    <s v="38031459001001"/>
    <n v="-11.28"/>
    <n v="240"/>
    <n v="1"/>
    <n v="1"/>
  </r>
  <r>
    <m/>
    <m/>
    <x v="1"/>
    <s v="38075496001014"/>
    <n v="-41.92"/>
    <n v="892"/>
    <n v="1"/>
    <n v="1"/>
  </r>
  <r>
    <m/>
    <m/>
    <x v="1"/>
    <s v="38301351001001"/>
    <n v="-80.930000000000007"/>
    <n v="1722"/>
    <n v="1"/>
    <n v="1"/>
  </r>
  <r>
    <m/>
    <m/>
    <x v="1"/>
    <s v="38377929001001"/>
    <n v="-18.420000000000002"/>
    <n v="392"/>
    <n v="1"/>
    <n v="1"/>
  </r>
  <r>
    <m/>
    <m/>
    <x v="1"/>
    <s v="38413246001001"/>
    <n v="-43.62"/>
    <n v="928"/>
    <n v="1"/>
    <n v="1"/>
  </r>
  <r>
    <m/>
    <m/>
    <x v="1"/>
    <s v="38444251002005"/>
    <n v="-0.99"/>
    <n v="21"/>
    <n v="1"/>
    <n v="1"/>
  </r>
  <r>
    <m/>
    <m/>
    <x v="1"/>
    <s v="38499863001004"/>
    <n v="-92.03"/>
    <n v="1958"/>
    <n v="1"/>
    <n v="1"/>
  </r>
  <r>
    <m/>
    <m/>
    <x v="1"/>
    <s v="38527198001001"/>
    <n v="-26.74"/>
    <n v="569"/>
    <n v="1"/>
    <n v="1"/>
  </r>
  <r>
    <m/>
    <m/>
    <x v="1"/>
    <s v="38540989001007"/>
    <n v="-30.6"/>
    <n v="651"/>
    <n v="1"/>
    <n v="1"/>
  </r>
  <r>
    <m/>
    <m/>
    <x v="1"/>
    <s v="38577493001007"/>
    <n v="-19.18"/>
    <n v="408"/>
    <n v="1"/>
    <n v="1"/>
  </r>
  <r>
    <m/>
    <m/>
    <x v="1"/>
    <s v="38611961001001"/>
    <n v="-108.85"/>
    <n v="2316"/>
    <n v="1"/>
    <n v="1"/>
  </r>
  <r>
    <m/>
    <m/>
    <x v="1"/>
    <s v="38716177001005"/>
    <n v="-4.84"/>
    <n v="103"/>
    <n v="1"/>
    <n v="1"/>
  </r>
  <r>
    <m/>
    <m/>
    <x v="1"/>
    <s v="38724493001002"/>
    <n v="-0.47"/>
    <n v="10"/>
    <n v="1"/>
    <n v="1"/>
  </r>
  <r>
    <m/>
    <m/>
    <x v="1"/>
    <s v="38916020002003"/>
    <n v="-61.05"/>
    <n v="1299"/>
    <n v="1"/>
    <n v="1"/>
  </r>
  <r>
    <m/>
    <m/>
    <x v="1"/>
    <s v="39105361003001"/>
    <n v="-15.18"/>
    <n v="323"/>
    <n v="1"/>
    <n v="1"/>
  </r>
  <r>
    <m/>
    <m/>
    <x v="1"/>
    <s v="39177585002001"/>
    <n v="-0.19"/>
    <n v="4"/>
    <n v="1"/>
    <n v="1"/>
  </r>
  <r>
    <m/>
    <m/>
    <x v="1"/>
    <s v="39206681001007"/>
    <n v="-2.12"/>
    <n v="45"/>
    <n v="1"/>
    <n v="1"/>
  </r>
  <r>
    <m/>
    <m/>
    <x v="1"/>
    <s v="39250671001002"/>
    <n v="-4.28"/>
    <n v="91"/>
    <n v="1"/>
    <n v="1"/>
  </r>
  <r>
    <m/>
    <m/>
    <x v="1"/>
    <s v="39300831002001"/>
    <n v="-26.18"/>
    <n v="557"/>
    <n v="1"/>
    <n v="1"/>
  </r>
  <r>
    <m/>
    <m/>
    <x v="1"/>
    <s v="39421231001001"/>
    <n v="-0.05"/>
    <n v="1"/>
    <n v="1"/>
    <n v="1"/>
  </r>
  <r>
    <m/>
    <m/>
    <x v="1"/>
    <s v="39500179007001"/>
    <n v="-13.25"/>
    <n v="282"/>
    <n v="1"/>
    <n v="1"/>
  </r>
  <r>
    <m/>
    <m/>
    <x v="1"/>
    <s v="39509588001002"/>
    <n v="-2.87"/>
    <n v="61"/>
    <n v="1"/>
    <n v="1"/>
  </r>
  <r>
    <m/>
    <m/>
    <x v="1"/>
    <s v="39525577001001"/>
    <n v="-34.4"/>
    <n v="732"/>
    <n v="1"/>
    <n v="1"/>
  </r>
  <r>
    <m/>
    <m/>
    <x v="1"/>
    <s v="39545289001005"/>
    <n v="-11.56"/>
    <n v="246"/>
    <n v="1"/>
    <n v="1"/>
  </r>
  <r>
    <m/>
    <m/>
    <x v="1"/>
    <s v="39604852001009"/>
    <n v="-38.4"/>
    <n v="817"/>
    <n v="1"/>
    <n v="1"/>
  </r>
  <r>
    <m/>
    <m/>
    <x v="1"/>
    <s v="39773816001001"/>
    <n v="-2.4"/>
    <n v="51"/>
    <n v="1"/>
    <n v="1"/>
  </r>
  <r>
    <m/>
    <m/>
    <x v="1"/>
    <s v="39837826001005"/>
    <n v="-19.13"/>
    <n v="407"/>
    <n v="1"/>
    <n v="1"/>
  </r>
  <r>
    <m/>
    <m/>
    <x v="1"/>
    <s v="39857500001003"/>
    <n v="-16.260000000000002"/>
    <n v="346"/>
    <n v="1"/>
    <n v="1"/>
  </r>
  <r>
    <m/>
    <m/>
    <x v="1"/>
    <s v="39991003001001"/>
    <n v="-15.98"/>
    <n v="340"/>
    <n v="1"/>
    <n v="1"/>
  </r>
  <r>
    <m/>
    <m/>
    <x v="1"/>
    <s v="40009788001007"/>
    <n v="-46.95"/>
    <n v="999"/>
    <n v="1"/>
    <n v="1"/>
  </r>
  <r>
    <m/>
    <m/>
    <x v="1"/>
    <s v="40055909001004"/>
    <n v="-43.38"/>
    <n v="923"/>
    <n v="1"/>
    <n v="1"/>
  </r>
  <r>
    <m/>
    <m/>
    <x v="1"/>
    <s v="40077250001001"/>
    <n v="-18.89"/>
    <n v="402"/>
    <n v="1"/>
    <n v="1"/>
  </r>
  <r>
    <m/>
    <m/>
    <x v="1"/>
    <s v="40187844001001"/>
    <n v="-4.1399999999999997"/>
    <n v="88"/>
    <n v="1"/>
    <n v="1"/>
  </r>
  <r>
    <m/>
    <m/>
    <x v="1"/>
    <s v="40246067001003"/>
    <n v="-18.75"/>
    <n v="399"/>
    <n v="1"/>
    <n v="1"/>
  </r>
  <r>
    <m/>
    <m/>
    <x v="1"/>
    <s v="40435265016001"/>
    <n v="-55.74"/>
    <n v="1186"/>
    <n v="1"/>
    <n v="1"/>
  </r>
  <r>
    <m/>
    <m/>
    <x v="1"/>
    <s v="40647033004003"/>
    <n v="-15.75"/>
    <n v="335"/>
    <n v="1"/>
    <n v="1"/>
  </r>
  <r>
    <m/>
    <m/>
    <x v="1"/>
    <s v="40680887001001"/>
    <n v="-8.3699999999999992"/>
    <n v="178"/>
    <n v="1"/>
    <n v="1"/>
  </r>
  <r>
    <m/>
    <m/>
    <x v="1"/>
    <s v="40766679002007"/>
    <n v="-0.33"/>
    <n v="7"/>
    <n v="1"/>
    <n v="1"/>
  </r>
  <r>
    <m/>
    <m/>
    <x v="1"/>
    <s v="40849252002003"/>
    <n v="-42.72"/>
    <n v="909"/>
    <n v="1"/>
    <n v="1"/>
  </r>
  <r>
    <m/>
    <m/>
    <x v="1"/>
    <s v="40976156007001"/>
    <n v="-8.32"/>
    <n v="177"/>
    <n v="1"/>
    <n v="1"/>
  </r>
  <r>
    <m/>
    <m/>
    <x v="1"/>
    <s v="41057260001001"/>
    <n v="-25.85"/>
    <n v="550"/>
    <n v="1"/>
    <n v="1"/>
  </r>
  <r>
    <m/>
    <m/>
    <x v="1"/>
    <s v="41102044001001"/>
    <n v="-7.94"/>
    <n v="169"/>
    <n v="1"/>
    <n v="1"/>
  </r>
  <r>
    <m/>
    <m/>
    <x v="1"/>
    <s v="41410810001002"/>
    <n v="-39.25"/>
    <n v="835"/>
    <n v="1"/>
    <n v="1"/>
  </r>
  <r>
    <m/>
    <m/>
    <x v="1"/>
    <s v="41445973001001"/>
    <n v="-25.2"/>
    <n v="536"/>
    <n v="2"/>
    <n v="1"/>
  </r>
  <r>
    <m/>
    <m/>
    <x v="1"/>
    <s v="41466560001002"/>
    <n v="-0.24"/>
    <n v="5"/>
    <n v="1"/>
    <n v="1"/>
  </r>
  <r>
    <m/>
    <m/>
    <x v="1"/>
    <s v="41611615001003"/>
    <n v="-2.2999999999999998"/>
    <n v="49"/>
    <n v="1"/>
    <n v="1"/>
  </r>
  <r>
    <m/>
    <m/>
    <x v="1"/>
    <s v="41731451001005"/>
    <n v="-7.71"/>
    <n v="164"/>
    <n v="1"/>
    <n v="1"/>
  </r>
  <r>
    <m/>
    <m/>
    <x v="1"/>
    <s v="41791652002003"/>
    <n v="-18.28"/>
    <n v="389"/>
    <n v="1"/>
    <n v="1"/>
  </r>
  <r>
    <m/>
    <m/>
    <x v="1"/>
    <s v="41878216001003"/>
    <n v="-23.31"/>
    <n v="496"/>
    <n v="1"/>
    <n v="1"/>
  </r>
  <r>
    <m/>
    <m/>
    <x v="1"/>
    <s v="41946035001005"/>
    <n v="-3.06"/>
    <n v="65"/>
    <n v="1"/>
    <n v="1"/>
  </r>
  <r>
    <m/>
    <m/>
    <x v="1"/>
    <s v="42009866001002"/>
    <n v="-0.47"/>
    <n v="10"/>
    <n v="1"/>
    <n v="1"/>
  </r>
  <r>
    <m/>
    <m/>
    <x v="1"/>
    <s v="42025371002002"/>
    <n v="-14.52"/>
    <n v="309"/>
    <n v="1"/>
    <n v="1"/>
  </r>
  <r>
    <m/>
    <m/>
    <x v="1"/>
    <s v="42053353001001"/>
    <n v="-61.05"/>
    <n v="1299"/>
    <n v="1"/>
    <n v="1"/>
  </r>
  <r>
    <m/>
    <m/>
    <x v="1"/>
    <s v="42088583002001"/>
    <n v="-37.46"/>
    <n v="797"/>
    <n v="1"/>
    <n v="1"/>
  </r>
  <r>
    <m/>
    <m/>
    <x v="1"/>
    <s v="42185507001001"/>
    <n v="-1.03"/>
    <n v="22"/>
    <n v="1"/>
    <n v="1"/>
  </r>
  <r>
    <m/>
    <m/>
    <x v="1"/>
    <s v="42343001003003"/>
    <n v="-5.12"/>
    <n v="109"/>
    <n v="1"/>
    <n v="1"/>
  </r>
  <r>
    <m/>
    <m/>
    <x v="1"/>
    <s v="42367522001001"/>
    <n v="-15.7"/>
    <n v="334"/>
    <n v="1"/>
    <n v="1"/>
  </r>
  <r>
    <m/>
    <m/>
    <x v="1"/>
    <s v="42433691001006"/>
    <n v="-71.11"/>
    <n v="1513"/>
    <n v="1"/>
    <n v="1"/>
  </r>
  <r>
    <m/>
    <m/>
    <x v="1"/>
    <s v="42500151001003"/>
    <n v="-1.65"/>
    <n v="35"/>
    <n v="1"/>
    <n v="1"/>
  </r>
  <r>
    <m/>
    <m/>
    <x v="1"/>
    <s v="42515551001011"/>
    <n v="-2.44"/>
    <n v="52"/>
    <n v="1"/>
    <n v="1"/>
  </r>
  <r>
    <m/>
    <m/>
    <x v="1"/>
    <s v="42527320001008"/>
    <n v="-0.24"/>
    <n v="5"/>
    <n v="1"/>
    <n v="1"/>
  </r>
  <r>
    <m/>
    <m/>
    <x v="1"/>
    <s v="42531581001002"/>
    <n v="-19.88"/>
    <n v="423"/>
    <n v="1"/>
    <n v="1"/>
  </r>
  <r>
    <m/>
    <m/>
    <x v="1"/>
    <s v="42535431005001"/>
    <n v="-23.59"/>
    <n v="502"/>
    <n v="1"/>
    <n v="1"/>
  </r>
  <r>
    <m/>
    <m/>
    <x v="1"/>
    <s v="42537321002001"/>
    <n v="-0.24"/>
    <n v="5"/>
    <n v="1"/>
    <n v="1"/>
  </r>
  <r>
    <m/>
    <m/>
    <x v="1"/>
    <s v="42561606001009"/>
    <n v="-0.42"/>
    <n v="9"/>
    <n v="1"/>
    <n v="1"/>
  </r>
  <r>
    <m/>
    <m/>
    <x v="1"/>
    <s v="42577991002002"/>
    <n v="-8.84"/>
    <n v="188"/>
    <n v="1"/>
    <n v="1"/>
  </r>
  <r>
    <m/>
    <m/>
    <x v="1"/>
    <s v="42640711003001"/>
    <n v="-35.11"/>
    <n v="747"/>
    <n v="1"/>
    <n v="1"/>
  </r>
  <r>
    <m/>
    <m/>
    <x v="1"/>
    <s v="42642741002001"/>
    <n v="-1.69"/>
    <n v="36"/>
    <n v="1"/>
    <n v="1"/>
  </r>
  <r>
    <m/>
    <m/>
    <x v="1"/>
    <s v="42673331002003"/>
    <n v="-0.85"/>
    <n v="18"/>
    <n v="1"/>
    <n v="1"/>
  </r>
  <r>
    <m/>
    <m/>
    <x v="1"/>
    <s v="42675015004001"/>
    <n v="-0.94"/>
    <n v="20"/>
    <n v="1"/>
    <n v="1"/>
  </r>
  <r>
    <m/>
    <m/>
    <x v="1"/>
    <s v="42689921004001"/>
    <n v="-4.9400000000000004"/>
    <n v="105"/>
    <n v="1"/>
    <n v="1"/>
  </r>
  <r>
    <m/>
    <m/>
    <x v="1"/>
    <s v="42837271003004"/>
    <n v="-23.69"/>
    <n v="504"/>
    <n v="1"/>
    <n v="1"/>
  </r>
  <r>
    <m/>
    <m/>
    <x v="1"/>
    <s v="42841997001001"/>
    <n v="-8.4600000000000009"/>
    <n v="180"/>
    <n v="1"/>
    <n v="1"/>
  </r>
  <r>
    <m/>
    <m/>
    <x v="1"/>
    <s v="42889211005001"/>
    <n v="-6.96"/>
    <n v="148"/>
    <n v="1"/>
    <n v="1"/>
  </r>
  <r>
    <m/>
    <m/>
    <x v="1"/>
    <s v="42896771001009"/>
    <n v="-39.67"/>
    <n v="844"/>
    <n v="1"/>
    <n v="1"/>
  </r>
  <r>
    <m/>
    <m/>
    <x v="1"/>
    <s v="42901041001001"/>
    <n v="-0.42"/>
    <n v="9"/>
    <n v="1"/>
    <n v="1"/>
  </r>
  <r>
    <m/>
    <m/>
    <x v="1"/>
    <s v="42997221001001"/>
    <n v="-0.71"/>
    <n v="15"/>
    <n v="1"/>
    <n v="1"/>
  </r>
  <r>
    <m/>
    <m/>
    <x v="1"/>
    <s v="43023681011001"/>
    <n v="-0.42"/>
    <n v="9"/>
    <n v="1"/>
    <n v="1"/>
  </r>
  <r>
    <m/>
    <m/>
    <x v="1"/>
    <s v="43060291001001"/>
    <n v="-0.66"/>
    <n v="14"/>
    <n v="1"/>
    <n v="1"/>
  </r>
  <r>
    <m/>
    <m/>
    <x v="1"/>
    <s v="43122241004003"/>
    <n v="-32.340000000000003"/>
    <n v="688"/>
    <n v="1"/>
    <n v="1"/>
  </r>
  <r>
    <m/>
    <m/>
    <x v="1"/>
    <s v="43139951001001"/>
    <n v="-0.75"/>
    <n v="16"/>
    <n v="1"/>
    <n v="1"/>
  </r>
  <r>
    <m/>
    <m/>
    <x v="1"/>
    <s v="43209041003003"/>
    <n v="-2.12"/>
    <n v="45"/>
    <n v="1"/>
    <n v="1"/>
  </r>
  <r>
    <m/>
    <m/>
    <x v="1"/>
    <s v="43240401001003"/>
    <n v="-1.32"/>
    <n v="28"/>
    <n v="1"/>
    <n v="1"/>
  </r>
  <r>
    <m/>
    <m/>
    <x v="1"/>
    <s v="43248661002001"/>
    <n v="-0.99"/>
    <n v="21"/>
    <n v="1"/>
    <n v="1"/>
  </r>
  <r>
    <m/>
    <m/>
    <x v="1"/>
    <s v="43261541001001"/>
    <n v="-21.24"/>
    <n v="452"/>
    <n v="1"/>
    <n v="1"/>
  </r>
  <r>
    <m/>
    <m/>
    <x v="1"/>
    <s v="43268821001001"/>
    <n v="-1.18"/>
    <n v="25"/>
    <n v="1"/>
    <n v="1"/>
  </r>
  <r>
    <m/>
    <m/>
    <x v="1"/>
    <s v="43273931004001"/>
    <n v="-12.13"/>
    <n v="258"/>
    <n v="1"/>
    <n v="1"/>
  </r>
  <r>
    <m/>
    <m/>
    <x v="1"/>
    <s v="43282821001002"/>
    <n v="-45.64"/>
    <n v="971"/>
    <n v="1"/>
    <n v="1"/>
  </r>
  <r>
    <m/>
    <m/>
    <x v="1"/>
    <s v="43285971001002"/>
    <n v="-4.32"/>
    <n v="92"/>
    <n v="1"/>
    <n v="1"/>
  </r>
  <r>
    <m/>
    <m/>
    <x v="1"/>
    <s v="43291711002001"/>
    <n v="-0.61"/>
    <n v="13"/>
    <n v="1"/>
    <n v="1"/>
  </r>
  <r>
    <m/>
    <m/>
    <x v="1"/>
    <s v="43296891001001"/>
    <n v="-1.27"/>
    <n v="27"/>
    <n v="1"/>
    <n v="1"/>
  </r>
  <r>
    <m/>
    <m/>
    <x v="1"/>
    <s v="43424081002001"/>
    <n v="-0.38"/>
    <n v="8"/>
    <n v="1"/>
    <n v="1"/>
  </r>
  <r>
    <m/>
    <m/>
    <x v="1"/>
    <s v="43445991001003"/>
    <n v="-5.31"/>
    <n v="113"/>
    <n v="1"/>
    <n v="1"/>
  </r>
  <r>
    <m/>
    <m/>
    <x v="1"/>
    <s v="43482671001001"/>
    <n v="-16.12"/>
    <n v="343"/>
    <n v="1"/>
    <n v="1"/>
  </r>
  <r>
    <m/>
    <m/>
    <x v="1"/>
    <s v="43523521003001"/>
    <n v="-17.11"/>
    <n v="364"/>
    <n v="1"/>
    <n v="1"/>
  </r>
  <r>
    <m/>
    <m/>
    <x v="1"/>
    <s v="43530621001001"/>
    <n v="-36.24"/>
    <n v="771"/>
    <n v="1"/>
    <n v="1"/>
  </r>
  <r>
    <m/>
    <m/>
    <x v="1"/>
    <s v="43531181006001"/>
    <n v="-14.48"/>
    <n v="308"/>
    <n v="1"/>
    <n v="1"/>
  </r>
  <r>
    <m/>
    <m/>
    <x v="1"/>
    <s v="43535310001003"/>
    <n v="-32.950000000000003"/>
    <n v="701"/>
    <n v="1"/>
    <n v="1"/>
  </r>
  <r>
    <m/>
    <m/>
    <x v="1"/>
    <s v="43575421002001"/>
    <n v="-15.37"/>
    <n v="327"/>
    <n v="1"/>
    <n v="1"/>
  </r>
  <r>
    <m/>
    <m/>
    <x v="1"/>
    <s v="43675311001004"/>
    <n v="-0.33"/>
    <n v="7"/>
    <n v="1"/>
    <n v="1"/>
  </r>
  <r>
    <m/>
    <m/>
    <x v="1"/>
    <s v="43675731002001"/>
    <n v="-9.8699999999999992"/>
    <n v="210"/>
    <n v="1"/>
    <n v="1"/>
  </r>
  <r>
    <m/>
    <m/>
    <x v="1"/>
    <s v="43685391001005"/>
    <n v="-28.62"/>
    <n v="609"/>
    <n v="1"/>
    <n v="1"/>
  </r>
  <r>
    <m/>
    <m/>
    <x v="1"/>
    <s v="43924371003001"/>
    <n v="-10.86"/>
    <n v="231"/>
    <n v="1"/>
    <n v="1"/>
  </r>
  <r>
    <m/>
    <m/>
    <x v="1"/>
    <s v="43944951004001"/>
    <n v="-67.819999999999993"/>
    <n v="1443"/>
    <n v="1"/>
    <n v="1"/>
  </r>
  <r>
    <m/>
    <m/>
    <x v="1"/>
    <s v="43991683002001"/>
    <n v="-13.77"/>
    <n v="293"/>
    <n v="1"/>
    <n v="1"/>
  </r>
  <r>
    <m/>
    <m/>
    <x v="1"/>
    <s v="44261911001001"/>
    <n v="-9.8699999999999992"/>
    <n v="210"/>
    <n v="1"/>
    <n v="1"/>
  </r>
  <r>
    <m/>
    <m/>
    <x v="1"/>
    <s v="44271151005001"/>
    <n v="-34.03"/>
    <n v="724"/>
    <n v="1"/>
    <n v="1"/>
  </r>
  <r>
    <m/>
    <m/>
    <x v="1"/>
    <s v="44289141002001"/>
    <n v="-9.73"/>
    <n v="207"/>
    <n v="1"/>
    <n v="1"/>
  </r>
  <r>
    <m/>
    <m/>
    <x v="1"/>
    <s v="44295021002002"/>
    <n v="-34.17"/>
    <n v="727"/>
    <n v="1"/>
    <n v="1"/>
  </r>
  <r>
    <m/>
    <m/>
    <x v="1"/>
    <s v="44301741001003"/>
    <n v="-17.579999999999998"/>
    <n v="374"/>
    <n v="1"/>
    <n v="1"/>
  </r>
  <r>
    <m/>
    <m/>
    <x v="1"/>
    <s v="44318891001003"/>
    <n v="-0.56000000000000005"/>
    <n v="12"/>
    <n v="1"/>
    <n v="1"/>
  </r>
  <r>
    <m/>
    <m/>
    <x v="1"/>
    <s v="44346821001002"/>
    <n v="-88.55"/>
    <n v="1884"/>
    <n v="1"/>
    <n v="1"/>
  </r>
  <r>
    <m/>
    <m/>
    <x v="1"/>
    <s v="44371461001006"/>
    <n v="-87.89"/>
    <n v="1870"/>
    <n v="1"/>
    <n v="1"/>
  </r>
  <r>
    <m/>
    <m/>
    <x v="1"/>
    <s v="44380071003003"/>
    <n v="-33.89"/>
    <n v="721"/>
    <n v="1"/>
    <n v="1"/>
  </r>
  <r>
    <m/>
    <m/>
    <x v="1"/>
    <s v="44421791004001"/>
    <n v="-12.03"/>
    <n v="256"/>
    <n v="1"/>
    <n v="1"/>
  </r>
  <r>
    <m/>
    <m/>
    <x v="1"/>
    <s v="44437541001001"/>
    <n v="-9.35"/>
    <n v="199"/>
    <n v="1"/>
    <n v="1"/>
  </r>
  <r>
    <m/>
    <m/>
    <x v="1"/>
    <s v="44504531002005"/>
    <n v="-47.19"/>
    <n v="1004"/>
    <n v="1"/>
    <n v="1"/>
  </r>
  <r>
    <m/>
    <m/>
    <x v="1"/>
    <s v="44512971001001"/>
    <n v="-0.71"/>
    <n v="15"/>
    <n v="1"/>
    <n v="1"/>
  </r>
  <r>
    <m/>
    <m/>
    <x v="1"/>
    <s v="44518951007001"/>
    <n v="-9.59"/>
    <n v="204"/>
    <n v="1"/>
    <n v="1"/>
  </r>
  <r>
    <m/>
    <m/>
    <x v="1"/>
    <s v="44522381001001"/>
    <n v="-22.8"/>
    <n v="485"/>
    <n v="1"/>
    <n v="1"/>
  </r>
  <r>
    <m/>
    <m/>
    <x v="1"/>
    <s v="44524481001001"/>
    <n v="-8.74"/>
    <n v="186"/>
    <n v="1"/>
    <n v="1"/>
  </r>
  <r>
    <m/>
    <m/>
    <x v="1"/>
    <s v="44533511002002"/>
    <n v="-34.5"/>
    <n v="734"/>
    <n v="1"/>
    <n v="1"/>
  </r>
  <r>
    <m/>
    <m/>
    <x v="1"/>
    <s v="44551221001001"/>
    <n v="-9.4"/>
    <n v="200"/>
    <n v="1"/>
    <n v="1"/>
  </r>
  <r>
    <m/>
    <m/>
    <x v="1"/>
    <s v="44563681004003"/>
    <n v="-16.97"/>
    <n v="361"/>
    <n v="1"/>
    <n v="1"/>
  </r>
  <r>
    <m/>
    <m/>
    <x v="1"/>
    <s v="44567671002001"/>
    <n v="-9.64"/>
    <n v="205"/>
    <n v="1"/>
    <n v="1"/>
  </r>
  <r>
    <m/>
    <m/>
    <x v="1"/>
    <s v="44568316003001"/>
    <n v="-37.18"/>
    <n v="791"/>
    <n v="1"/>
    <n v="1"/>
  </r>
  <r>
    <m/>
    <m/>
    <x v="1"/>
    <s v="44570056001001"/>
    <n v="-26.51"/>
    <n v="564"/>
    <n v="1"/>
    <n v="1"/>
  </r>
  <r>
    <m/>
    <m/>
    <x v="1"/>
    <s v="44577611002002"/>
    <n v="-14.71"/>
    <n v="313"/>
    <n v="1"/>
    <n v="1"/>
  </r>
  <r>
    <m/>
    <m/>
    <x v="1"/>
    <s v="44578101001008"/>
    <n v="-9.68"/>
    <n v="206"/>
    <n v="1"/>
    <n v="1"/>
  </r>
  <r>
    <m/>
    <m/>
    <x v="1"/>
    <s v="44596091002001"/>
    <n v="-0.75"/>
    <n v="16"/>
    <n v="1"/>
    <n v="1"/>
  </r>
  <r>
    <m/>
    <m/>
    <x v="1"/>
    <s v="44620801001001"/>
    <n v="-0.09"/>
    <n v="2"/>
    <n v="1"/>
    <n v="1"/>
  </r>
  <r>
    <m/>
    <m/>
    <x v="1"/>
    <s v="44625701002001"/>
    <n v="-22.18"/>
    <n v="472"/>
    <n v="1"/>
    <n v="1"/>
  </r>
  <r>
    <m/>
    <m/>
    <x v="1"/>
    <s v="44697941001004"/>
    <n v="-25.1"/>
    <n v="534"/>
    <n v="1"/>
    <n v="1"/>
  </r>
  <r>
    <m/>
    <m/>
    <x v="1"/>
    <s v="44706621001001"/>
    <n v="-10.86"/>
    <n v="231"/>
    <n v="1"/>
    <n v="1"/>
  </r>
  <r>
    <m/>
    <m/>
    <x v="1"/>
    <s v="44710891001001"/>
    <n v="-12.83"/>
    <n v="273"/>
    <n v="1"/>
    <n v="1"/>
  </r>
  <r>
    <m/>
    <m/>
    <x v="1"/>
    <s v="44717821001014"/>
    <n v="-3.06"/>
    <n v="65"/>
    <n v="1"/>
    <n v="1"/>
  </r>
  <r>
    <m/>
    <m/>
    <x v="1"/>
    <s v="44726291001003"/>
    <n v="-6.77"/>
    <n v="144"/>
    <n v="1"/>
    <n v="1"/>
  </r>
  <r>
    <m/>
    <m/>
    <x v="1"/>
    <s v="44746871002001"/>
    <n v="-2.87"/>
    <n v="61"/>
    <n v="1"/>
    <n v="1"/>
  </r>
  <r>
    <m/>
    <m/>
    <x v="1"/>
    <s v="44753381001001"/>
    <n v="-1.55"/>
    <n v="33"/>
    <n v="1"/>
    <n v="1"/>
  </r>
  <r>
    <m/>
    <m/>
    <x v="1"/>
    <s v="44761361002003"/>
    <n v="-16.399999999999999"/>
    <n v="349"/>
    <n v="1"/>
    <n v="1"/>
  </r>
  <r>
    <m/>
    <m/>
    <x v="1"/>
    <s v="44775221002003"/>
    <n v="-27.12"/>
    <n v="577"/>
    <n v="1"/>
    <n v="1"/>
  </r>
  <r>
    <m/>
    <m/>
    <x v="1"/>
    <s v="44808191002002"/>
    <n v="-20.68"/>
    <n v="440"/>
    <n v="1"/>
    <n v="1"/>
  </r>
  <r>
    <m/>
    <m/>
    <x v="1"/>
    <s v="44817081001006"/>
    <n v="-40.98"/>
    <n v="872"/>
    <n v="1"/>
    <n v="1"/>
  </r>
  <r>
    <m/>
    <m/>
    <x v="1"/>
    <s v="44819842001003"/>
    <n v="-52.17"/>
    <n v="1110"/>
    <n v="1"/>
    <n v="1"/>
  </r>
  <r>
    <m/>
    <m/>
    <x v="1"/>
    <s v="44827301001001"/>
    <n v="-4.09"/>
    <n v="87"/>
    <n v="1"/>
    <n v="1"/>
  </r>
  <r>
    <m/>
    <m/>
    <x v="1"/>
    <s v="44838011001007"/>
    <n v="-17.809999999999999"/>
    <n v="379"/>
    <n v="1"/>
    <n v="1"/>
  </r>
  <r>
    <m/>
    <m/>
    <x v="1"/>
    <s v="44841991002001"/>
    <n v="-85.16"/>
    <n v="1812"/>
    <n v="1"/>
    <n v="1"/>
  </r>
  <r>
    <m/>
    <m/>
    <x v="1"/>
    <s v="44876721001002"/>
    <n v="-24.96"/>
    <n v="531"/>
    <n v="1"/>
    <n v="1"/>
  </r>
  <r>
    <m/>
    <m/>
    <x v="1"/>
    <s v="44956311001001"/>
    <n v="-22.37"/>
    <n v="476"/>
    <n v="1"/>
    <n v="1"/>
  </r>
  <r>
    <m/>
    <m/>
    <x v="1"/>
    <s v="44962961004001"/>
    <n v="-14.85"/>
    <n v="316"/>
    <n v="1"/>
    <n v="1"/>
  </r>
  <r>
    <m/>
    <m/>
    <x v="1"/>
    <s v="44972551004001"/>
    <n v="-58.47"/>
    <n v="1244"/>
    <n v="1"/>
    <n v="1"/>
  </r>
  <r>
    <m/>
    <m/>
    <x v="1"/>
    <s v="44990541001001"/>
    <n v="-6.49"/>
    <n v="138"/>
    <n v="1"/>
    <n v="1"/>
  </r>
  <r>
    <m/>
    <m/>
    <x v="1"/>
    <s v="45004821001001"/>
    <n v="-5.5"/>
    <n v="117"/>
    <n v="1"/>
    <n v="1"/>
  </r>
  <r>
    <m/>
    <m/>
    <x v="1"/>
    <s v="45016581002001"/>
    <n v="-24.86"/>
    <n v="529"/>
    <n v="1"/>
    <n v="1"/>
  </r>
  <r>
    <m/>
    <m/>
    <x v="1"/>
    <s v="45028411001001"/>
    <n v="-11.66"/>
    <n v="248"/>
    <n v="1"/>
    <n v="1"/>
  </r>
  <r>
    <m/>
    <m/>
    <x v="1"/>
    <s v="45045001001003"/>
    <n v="-4.6100000000000003"/>
    <n v="98"/>
    <n v="1"/>
    <n v="1"/>
  </r>
  <r>
    <m/>
    <m/>
    <x v="1"/>
    <s v="45051931001001"/>
    <n v="-23.41"/>
    <n v="498"/>
    <n v="1"/>
    <n v="1"/>
  </r>
  <r>
    <m/>
    <m/>
    <x v="1"/>
    <s v="45054593001001"/>
    <n v="-7.24"/>
    <n v="154"/>
    <n v="1"/>
    <n v="1"/>
  </r>
  <r>
    <m/>
    <m/>
    <x v="1"/>
    <s v="45055711001001"/>
    <n v="-46.72"/>
    <n v="994"/>
    <n v="1"/>
    <n v="1"/>
  </r>
  <r>
    <m/>
    <m/>
    <x v="1"/>
    <s v="45057461003001"/>
    <n v="-18.239999999999998"/>
    <n v="388"/>
    <n v="1"/>
    <n v="1"/>
  </r>
  <r>
    <m/>
    <m/>
    <x v="1"/>
    <s v="45077761001005"/>
    <n v="-35.44"/>
    <n v="754"/>
    <n v="1"/>
    <n v="1"/>
  </r>
  <r>
    <m/>
    <m/>
    <x v="1"/>
    <s v="45087071001001"/>
    <n v="-78.02"/>
    <n v="1660"/>
    <n v="1"/>
    <n v="1"/>
  </r>
  <r>
    <m/>
    <m/>
    <x v="1"/>
    <s v="45099251001001"/>
    <n v="-34.03"/>
    <n v="724"/>
    <n v="1"/>
    <n v="1"/>
  </r>
  <r>
    <m/>
    <m/>
    <x v="1"/>
    <s v="45129556001005"/>
    <n v="-58.19"/>
    <n v="1238"/>
    <n v="1"/>
    <n v="1"/>
  </r>
  <r>
    <m/>
    <m/>
    <x v="1"/>
    <s v="45137261001001"/>
    <n v="-7.71"/>
    <n v="164"/>
    <n v="1"/>
    <n v="1"/>
  </r>
  <r>
    <m/>
    <m/>
    <x v="1"/>
    <s v="45204881002001"/>
    <n v="-9.35"/>
    <n v="199"/>
    <n v="1"/>
    <n v="1"/>
  </r>
  <r>
    <m/>
    <m/>
    <x v="1"/>
    <s v="45242051001003"/>
    <n v="-5.22"/>
    <n v="111"/>
    <n v="1"/>
    <n v="1"/>
  </r>
  <r>
    <m/>
    <m/>
    <x v="1"/>
    <s v="45253671001001"/>
    <n v="-2.63"/>
    <n v="56"/>
    <n v="1"/>
    <n v="1"/>
  </r>
  <r>
    <m/>
    <m/>
    <x v="1"/>
    <s v="45270949001004"/>
    <n v="-1.5"/>
    <n v="32"/>
    <n v="1"/>
    <n v="1"/>
  </r>
  <r>
    <m/>
    <m/>
    <x v="1"/>
    <s v="45353841001001"/>
    <n v="-0.28000000000000003"/>
    <n v="6"/>
    <n v="1"/>
    <n v="1"/>
  </r>
  <r>
    <m/>
    <m/>
    <x v="1"/>
    <s v="45363081001002"/>
    <n v="-2.2999999999999998"/>
    <n v="49"/>
    <n v="1"/>
    <n v="1"/>
  </r>
  <r>
    <m/>
    <m/>
    <x v="1"/>
    <s v="45363781001003"/>
    <n v="-6.39"/>
    <n v="136"/>
    <n v="1"/>
    <n v="1"/>
  </r>
  <r>
    <m/>
    <m/>
    <x v="1"/>
    <s v="45379041001001"/>
    <n v="-1.18"/>
    <n v="25"/>
    <n v="1"/>
    <n v="1"/>
  </r>
  <r>
    <m/>
    <m/>
    <x v="1"/>
    <s v="45382121001001"/>
    <n v="-2.12"/>
    <n v="45"/>
    <n v="1"/>
    <n v="1"/>
  </r>
  <r>
    <m/>
    <m/>
    <x v="1"/>
    <s v="45408608002003"/>
    <n v="-17.63"/>
    <n v="375"/>
    <n v="1"/>
    <n v="1"/>
  </r>
  <r>
    <m/>
    <m/>
    <x v="1"/>
    <s v="45413901003003"/>
    <n v="-0.42"/>
    <n v="9"/>
    <n v="1"/>
    <n v="1"/>
  </r>
  <r>
    <m/>
    <m/>
    <x v="1"/>
    <s v="45417191005001"/>
    <n v="-12.6"/>
    <n v="268"/>
    <n v="1"/>
    <n v="1"/>
  </r>
  <r>
    <m/>
    <m/>
    <x v="1"/>
    <s v="45432941001004"/>
    <n v="-1.46"/>
    <n v="31"/>
    <n v="1"/>
    <n v="1"/>
  </r>
  <r>
    <m/>
    <m/>
    <x v="1"/>
    <s v="45433851004001"/>
    <n v="-0.09"/>
    <n v="2"/>
    <n v="1"/>
    <n v="1"/>
  </r>
  <r>
    <m/>
    <m/>
    <x v="1"/>
    <s v="45443161001003"/>
    <n v="-0.56000000000000005"/>
    <n v="12"/>
    <n v="1"/>
    <n v="1"/>
  </r>
  <r>
    <m/>
    <m/>
    <x v="1"/>
    <s v="45447641001001"/>
    <n v="-0.89"/>
    <n v="19"/>
    <n v="1"/>
    <n v="1"/>
  </r>
  <r>
    <m/>
    <m/>
    <x v="1"/>
    <s v="45472001001001"/>
    <n v="-0.19"/>
    <n v="4"/>
    <n v="1"/>
    <n v="1"/>
  </r>
  <r>
    <m/>
    <m/>
    <x v="1"/>
    <s v="45490131002003"/>
    <n v="-0.85"/>
    <n v="18"/>
    <n v="1"/>
    <n v="1"/>
  </r>
  <r>
    <m/>
    <m/>
    <x v="1"/>
    <s v="45504201001002"/>
    <n v="-1.74"/>
    <n v="37"/>
    <n v="1"/>
    <n v="1"/>
  </r>
  <r>
    <m/>
    <m/>
    <x v="1"/>
    <s v="45513791001001"/>
    <n v="-0.28000000000000003"/>
    <n v="6"/>
    <n v="1"/>
    <n v="1"/>
  </r>
  <r>
    <m/>
    <m/>
    <x v="1"/>
    <s v="45517641003008"/>
    <n v="-45.83"/>
    <n v="975"/>
    <n v="1"/>
    <n v="1"/>
  </r>
  <r>
    <m/>
    <m/>
    <x v="1"/>
    <s v="45543243001003"/>
    <n v="-7.24"/>
    <n v="154"/>
    <n v="1"/>
    <n v="1"/>
  </r>
  <r>
    <m/>
    <m/>
    <x v="1"/>
    <s v="45634593001003"/>
    <n v="-1.83"/>
    <n v="39"/>
    <n v="1"/>
    <n v="1"/>
  </r>
  <r>
    <m/>
    <m/>
    <x v="1"/>
    <s v="45755151003001"/>
    <n v="-86.57"/>
    <n v="1842"/>
    <n v="1"/>
    <n v="1"/>
  </r>
  <r>
    <m/>
    <m/>
    <x v="1"/>
    <s v="45764531001001"/>
    <n v="-62.46"/>
    <n v="1329"/>
    <n v="1"/>
    <n v="1"/>
  </r>
  <r>
    <m/>
    <m/>
    <x v="1"/>
    <s v="45765931005001"/>
    <n v="-98.28"/>
    <n v="2091"/>
    <n v="1"/>
    <n v="1"/>
  </r>
  <r>
    <m/>
    <m/>
    <x v="1"/>
    <s v="45786091001001"/>
    <n v="-103.4"/>
    <n v="2200"/>
    <n v="1"/>
    <n v="1"/>
  </r>
  <r>
    <m/>
    <m/>
    <x v="1"/>
    <s v="45859311004004"/>
    <n v="-58.84"/>
    <n v="1252"/>
    <n v="1"/>
    <n v="1"/>
  </r>
  <r>
    <m/>
    <m/>
    <x v="1"/>
    <s v="45861551007007"/>
    <n v="-0.85"/>
    <n v="18"/>
    <n v="1"/>
    <n v="1"/>
  </r>
  <r>
    <m/>
    <m/>
    <x v="1"/>
    <s v="45861551007011"/>
    <n v="-73.13"/>
    <n v="1556"/>
    <n v="1"/>
    <n v="1"/>
  </r>
  <r>
    <m/>
    <m/>
    <x v="1"/>
    <s v="45871701012003"/>
    <n v="-34.5"/>
    <n v="734"/>
    <n v="1"/>
    <n v="1"/>
  </r>
  <r>
    <m/>
    <m/>
    <x v="1"/>
    <s v="45919021001009"/>
    <n v="-1.88"/>
    <n v="40"/>
    <n v="1"/>
    <n v="1"/>
  </r>
  <r>
    <m/>
    <m/>
    <x v="1"/>
    <s v="45930277001003"/>
    <n v="-1.65"/>
    <n v="35"/>
    <n v="1"/>
    <n v="1"/>
  </r>
  <r>
    <m/>
    <m/>
    <x v="1"/>
    <s v="45979501004001"/>
    <n v="-16.73"/>
    <n v="356"/>
    <n v="1"/>
    <n v="1"/>
  </r>
  <r>
    <m/>
    <m/>
    <x v="1"/>
    <s v="46041661001003"/>
    <n v="-62.28"/>
    <n v="1325"/>
    <n v="1"/>
    <n v="1"/>
  </r>
  <r>
    <m/>
    <m/>
    <x v="1"/>
    <s v="46061541001001"/>
    <n v="-19.93"/>
    <n v="424"/>
    <n v="1"/>
    <n v="1"/>
  </r>
  <r>
    <m/>
    <m/>
    <x v="1"/>
    <s v="46096471001002"/>
    <n v="-5.45"/>
    <n v="116"/>
    <n v="1"/>
    <n v="1"/>
  </r>
  <r>
    <m/>
    <m/>
    <x v="1"/>
    <s v="46133151002005"/>
    <n v="-27.31"/>
    <n v="581"/>
    <n v="1"/>
    <n v="1"/>
  </r>
  <r>
    <m/>
    <m/>
    <x v="1"/>
    <s v="46176053001002"/>
    <n v="-1.18"/>
    <n v="25"/>
    <n v="1"/>
    <n v="1"/>
  </r>
  <r>
    <m/>
    <m/>
    <x v="1"/>
    <s v="46179003001001"/>
    <n v="-11.05"/>
    <n v="235"/>
    <n v="1"/>
    <n v="1"/>
  </r>
  <r>
    <m/>
    <m/>
    <x v="1"/>
    <s v="46189291010003"/>
    <n v="-18.71"/>
    <n v="398"/>
    <n v="1"/>
    <n v="1"/>
  </r>
  <r>
    <m/>
    <m/>
    <x v="1"/>
    <s v="46191123001001"/>
    <n v="-7.76"/>
    <n v="165"/>
    <n v="1"/>
    <n v="1"/>
  </r>
  <r>
    <m/>
    <m/>
    <x v="1"/>
    <s v="46196011001004"/>
    <n v="-9.26"/>
    <n v="197"/>
    <n v="1"/>
    <n v="1"/>
  </r>
  <r>
    <m/>
    <m/>
    <x v="1"/>
    <s v="46217501012001"/>
    <n v="-30.79"/>
    <n v="655"/>
    <n v="1"/>
    <n v="1"/>
  </r>
  <r>
    <m/>
    <m/>
    <x v="1"/>
    <s v="46248581001001"/>
    <n v="-89.02"/>
    <n v="1894"/>
    <n v="1"/>
    <n v="1"/>
  </r>
  <r>
    <m/>
    <m/>
    <x v="1"/>
    <s v="46290511001002"/>
    <n v="-67.400000000000006"/>
    <n v="1434"/>
    <n v="1"/>
    <n v="1"/>
  </r>
  <r>
    <m/>
    <m/>
    <x v="1"/>
    <s v="46352741003004"/>
    <n v="-19.649999999999999"/>
    <n v="418"/>
    <n v="1"/>
    <n v="1"/>
  </r>
  <r>
    <m/>
    <m/>
    <x v="1"/>
    <s v="46383371002005"/>
    <n v="-12.08"/>
    <n v="257"/>
    <n v="1"/>
    <n v="1"/>
  </r>
  <r>
    <m/>
    <m/>
    <x v="1"/>
    <s v="46412521001006"/>
    <n v="-0.99"/>
    <n v="21"/>
    <n v="1"/>
    <n v="1"/>
  </r>
  <r>
    <m/>
    <m/>
    <x v="1"/>
    <s v="46483221001003"/>
    <n v="-69.09"/>
    <n v="1470"/>
    <n v="1"/>
    <n v="1"/>
  </r>
  <r>
    <m/>
    <m/>
    <x v="1"/>
    <s v="46515686001001"/>
    <n v="-55.46"/>
    <n v="1180"/>
    <n v="1"/>
    <n v="1"/>
  </r>
  <r>
    <m/>
    <m/>
    <x v="1"/>
    <s v="46713395001001"/>
    <n v="-4.51"/>
    <n v="96"/>
    <n v="1"/>
    <n v="1"/>
  </r>
  <r>
    <m/>
    <m/>
    <x v="1"/>
    <s v="46752049002013"/>
    <n v="-40.47"/>
    <n v="861"/>
    <n v="1"/>
    <n v="1"/>
  </r>
  <r>
    <m/>
    <m/>
    <x v="1"/>
    <s v="46767001003001"/>
    <n v="-19.79"/>
    <n v="421"/>
    <n v="1"/>
    <n v="1"/>
  </r>
  <r>
    <m/>
    <m/>
    <x v="1"/>
    <s v="46769101001009"/>
    <n v="-112.8"/>
    <n v="2400"/>
    <n v="1"/>
    <n v="1"/>
  </r>
  <r>
    <m/>
    <m/>
    <x v="1"/>
    <s v="46772111002005"/>
    <n v="-74.73"/>
    <n v="1590"/>
    <n v="1"/>
    <n v="1"/>
  </r>
  <r>
    <m/>
    <m/>
    <x v="1"/>
    <s v="46778971002001"/>
    <n v="-2.44"/>
    <n v="52"/>
    <n v="1"/>
    <n v="1"/>
  </r>
  <r>
    <m/>
    <m/>
    <x v="1"/>
    <s v="46819081001002"/>
    <n v="-78.58"/>
    <n v="1672"/>
    <n v="1"/>
    <n v="1"/>
  </r>
  <r>
    <m/>
    <m/>
    <x v="1"/>
    <s v="46853523001007"/>
    <n v="-55.23"/>
    <n v="1175"/>
    <n v="1"/>
    <n v="1"/>
  </r>
  <r>
    <m/>
    <m/>
    <x v="1"/>
    <s v="46867241001005"/>
    <n v="-11.47"/>
    <n v="244"/>
    <n v="1"/>
    <n v="1"/>
  </r>
  <r>
    <m/>
    <m/>
    <x v="1"/>
    <s v="46905092001001"/>
    <n v="-68.95"/>
    <n v="1467"/>
    <n v="1"/>
    <n v="1"/>
  </r>
  <r>
    <m/>
    <m/>
    <x v="1"/>
    <s v="46913740001001"/>
    <n v="-21.24"/>
    <n v="452"/>
    <n v="1"/>
    <n v="1"/>
  </r>
  <r>
    <m/>
    <m/>
    <x v="1"/>
    <s v="46960006001001"/>
    <n v="-3.38"/>
    <n v="72"/>
    <n v="1"/>
    <n v="1"/>
  </r>
  <r>
    <m/>
    <m/>
    <x v="1"/>
    <s v="46962021001002"/>
    <n v="-10.11"/>
    <n v="215"/>
    <n v="1"/>
    <n v="1"/>
  </r>
  <r>
    <m/>
    <m/>
    <x v="1"/>
    <s v="47056381002002"/>
    <n v="-51.14"/>
    <n v="1088"/>
    <n v="1"/>
    <n v="1"/>
  </r>
  <r>
    <m/>
    <m/>
    <x v="1"/>
    <s v="47135971001002"/>
    <n v="-2.4"/>
    <n v="51"/>
    <n v="1"/>
    <n v="1"/>
  </r>
  <r>
    <m/>
    <m/>
    <x v="1"/>
    <s v="47177481001007"/>
    <n v="-22.37"/>
    <n v="476"/>
    <n v="1"/>
    <n v="1"/>
  </r>
  <r>
    <m/>
    <m/>
    <x v="1"/>
    <s v="47178760001004"/>
    <n v="-1.41"/>
    <n v="30"/>
    <n v="1"/>
    <n v="1"/>
  </r>
  <r>
    <m/>
    <m/>
    <x v="1"/>
    <s v="47186106001005"/>
    <n v="-0.28000000000000003"/>
    <n v="6"/>
    <n v="1"/>
    <n v="1"/>
  </r>
  <r>
    <m/>
    <m/>
    <x v="1"/>
    <s v="47275061002003"/>
    <n v="-5.31"/>
    <n v="113"/>
    <n v="1"/>
    <n v="1"/>
  </r>
  <r>
    <m/>
    <m/>
    <x v="1"/>
    <s v="47311671002002"/>
    <n v="-22.84"/>
    <n v="486"/>
    <n v="1"/>
    <n v="1"/>
  </r>
  <r>
    <m/>
    <m/>
    <x v="1"/>
    <s v="47323291001003"/>
    <n v="-2.44"/>
    <n v="52"/>
    <n v="1"/>
    <n v="1"/>
  </r>
  <r>
    <m/>
    <m/>
    <x v="1"/>
    <s v="47324621003001"/>
    <n v="-3.43"/>
    <n v="73"/>
    <n v="1"/>
    <n v="1"/>
  </r>
  <r>
    <m/>
    <m/>
    <x v="1"/>
    <s v="47328821001007"/>
    <n v="-19.690000000000001"/>
    <n v="419"/>
    <n v="1"/>
    <n v="1"/>
  </r>
  <r>
    <m/>
    <m/>
    <x v="1"/>
    <s v="47329241001004"/>
    <n v="-2.63"/>
    <n v="56"/>
    <n v="1"/>
    <n v="1"/>
  </r>
  <r>
    <m/>
    <m/>
    <x v="1"/>
    <s v="47369561001004"/>
    <n v="-43.05"/>
    <n v="916"/>
    <n v="1"/>
    <n v="1"/>
  </r>
  <r>
    <m/>
    <m/>
    <x v="1"/>
    <s v="47375581005013"/>
    <n v="-3.29"/>
    <n v="70"/>
    <n v="1"/>
    <n v="1"/>
  </r>
  <r>
    <m/>
    <m/>
    <x v="1"/>
    <s v="47378451002003"/>
    <n v="-36.33"/>
    <n v="773"/>
    <n v="1"/>
    <n v="1"/>
  </r>
  <r>
    <m/>
    <m/>
    <x v="1"/>
    <s v="47406521002002"/>
    <n v="-19.88"/>
    <n v="423"/>
    <n v="1"/>
    <n v="1"/>
  </r>
  <r>
    <m/>
    <m/>
    <x v="1"/>
    <s v="47406740001003"/>
    <n v="-43.33"/>
    <n v="922"/>
    <n v="1"/>
    <n v="1"/>
  </r>
  <r>
    <m/>
    <m/>
    <x v="1"/>
    <s v="47425421003001"/>
    <n v="-7.66"/>
    <n v="163"/>
    <n v="1"/>
    <n v="1"/>
  </r>
  <r>
    <m/>
    <m/>
    <x v="1"/>
    <s v="47463011003001"/>
    <n v="-62.6"/>
    <n v="1332"/>
    <n v="1"/>
    <n v="1"/>
  </r>
  <r>
    <m/>
    <m/>
    <x v="1"/>
    <s v="47485673001001"/>
    <n v="-0.85"/>
    <n v="18"/>
    <n v="1"/>
    <n v="1"/>
  </r>
  <r>
    <m/>
    <m/>
    <x v="1"/>
    <s v="47486461006009"/>
    <n v="-51"/>
    <n v="1085"/>
    <n v="1"/>
    <n v="1"/>
  </r>
  <r>
    <m/>
    <m/>
    <x v="1"/>
    <s v="47503401001004"/>
    <n v="-6.44"/>
    <n v="137"/>
    <n v="1"/>
    <n v="1"/>
  </r>
  <r>
    <m/>
    <m/>
    <x v="1"/>
    <s v="47526431005003"/>
    <n v="-15.23"/>
    <n v="324"/>
    <n v="1"/>
    <n v="1"/>
  </r>
  <r>
    <m/>
    <m/>
    <x v="1"/>
    <s v="47562061007001"/>
    <n v="-15.42"/>
    <n v="328"/>
    <n v="1"/>
    <n v="1"/>
  </r>
  <r>
    <m/>
    <m/>
    <x v="1"/>
    <s v="47585861004005"/>
    <n v="-5.78"/>
    <n v="123"/>
    <n v="1"/>
    <n v="1"/>
  </r>
  <r>
    <m/>
    <m/>
    <x v="1"/>
    <s v="47596151001005"/>
    <n v="-10.01"/>
    <n v="213"/>
    <n v="1"/>
    <n v="1"/>
  </r>
  <r>
    <m/>
    <m/>
    <x v="1"/>
    <s v="47602655001004"/>
    <n v="-2.35"/>
    <n v="50"/>
    <n v="1"/>
    <n v="1"/>
  </r>
  <r>
    <m/>
    <m/>
    <x v="1"/>
    <s v="47673221001005"/>
    <n v="-55.84"/>
    <n v="1188"/>
    <n v="1"/>
    <n v="1"/>
  </r>
  <r>
    <m/>
    <m/>
    <x v="1"/>
    <s v="47674271002001"/>
    <n v="-1.55"/>
    <n v="33"/>
    <n v="1"/>
    <n v="1"/>
  </r>
  <r>
    <m/>
    <m/>
    <x v="1"/>
    <s v="47723831004001"/>
    <n v="-7.76"/>
    <n v="165"/>
    <n v="1"/>
    <n v="1"/>
  </r>
  <r>
    <m/>
    <m/>
    <x v="1"/>
    <s v="47762681005001"/>
    <n v="-43.15"/>
    <n v="918"/>
    <n v="1"/>
    <n v="1"/>
  </r>
  <r>
    <m/>
    <m/>
    <x v="1"/>
    <s v="47764921003003"/>
    <n v="-9.73"/>
    <n v="207"/>
    <n v="1"/>
    <n v="1"/>
  </r>
  <r>
    <m/>
    <m/>
    <x v="1"/>
    <s v="47778151001004"/>
    <n v="-5.41"/>
    <n v="115"/>
    <n v="1"/>
    <n v="1"/>
  </r>
  <r>
    <m/>
    <m/>
    <x v="1"/>
    <s v="47806652001004"/>
    <n v="-0.8"/>
    <n v="17"/>
    <n v="1"/>
    <n v="1"/>
  </r>
  <r>
    <m/>
    <m/>
    <x v="1"/>
    <s v="47874432001002"/>
    <n v="-1.32"/>
    <n v="28"/>
    <n v="1"/>
    <n v="1"/>
  </r>
  <r>
    <m/>
    <m/>
    <x v="1"/>
    <s v="47927671001001"/>
    <n v="-15.89"/>
    <n v="338"/>
    <n v="1"/>
    <n v="1"/>
  </r>
  <r>
    <m/>
    <m/>
    <x v="1"/>
    <s v="47951681001003"/>
    <n v="-1.55"/>
    <n v="33"/>
    <n v="1"/>
    <n v="1"/>
  </r>
  <r>
    <m/>
    <m/>
    <x v="1"/>
    <s v="48065577001005"/>
    <n v="-51.28"/>
    <n v="1091"/>
    <n v="2"/>
    <n v="1"/>
  </r>
  <r>
    <m/>
    <m/>
    <x v="1"/>
    <s v="48085381001001"/>
    <n v="-4.47"/>
    <n v="95"/>
    <n v="1"/>
    <n v="1"/>
  </r>
  <r>
    <m/>
    <m/>
    <x v="1"/>
    <s v="48117301003004"/>
    <n v="-12.13"/>
    <n v="258"/>
    <n v="1"/>
    <n v="1"/>
  </r>
  <r>
    <m/>
    <m/>
    <x v="1"/>
    <s v="48121641002006"/>
    <n v="-14.57"/>
    <n v="310"/>
    <n v="1"/>
    <n v="1"/>
  </r>
  <r>
    <m/>
    <m/>
    <x v="1"/>
    <s v="48121991001001"/>
    <n v="-6.11"/>
    <n v="130"/>
    <n v="1"/>
    <n v="1"/>
  </r>
  <r>
    <m/>
    <m/>
    <x v="1"/>
    <s v="48173601001003"/>
    <n v="-14.01"/>
    <n v="298"/>
    <n v="1"/>
    <n v="1"/>
  </r>
  <r>
    <m/>
    <m/>
    <x v="1"/>
    <s v="48222791001001"/>
    <n v="-27.5"/>
    <n v="585"/>
    <n v="1"/>
    <n v="1"/>
  </r>
  <r>
    <m/>
    <m/>
    <x v="1"/>
    <s v="48224362001003"/>
    <n v="-4.51"/>
    <n v="96"/>
    <n v="1"/>
    <n v="1"/>
  </r>
  <r>
    <m/>
    <m/>
    <x v="1"/>
    <s v="48282431004001"/>
    <n v="-26.46"/>
    <n v="563"/>
    <n v="1"/>
    <n v="1"/>
  </r>
  <r>
    <m/>
    <m/>
    <x v="1"/>
    <s v="48354461005003"/>
    <n v="-12.78"/>
    <n v="272"/>
    <n v="1"/>
    <n v="1"/>
  </r>
  <r>
    <m/>
    <m/>
    <x v="1"/>
    <s v="48367273001004"/>
    <n v="-3.43"/>
    <n v="73"/>
    <n v="1"/>
    <n v="1"/>
  </r>
  <r>
    <m/>
    <m/>
    <x v="1"/>
    <s v="48438811004001"/>
    <n v="-3.53"/>
    <n v="75"/>
    <n v="1"/>
    <n v="1"/>
  </r>
  <r>
    <m/>
    <m/>
    <x v="1"/>
    <s v="48525331002003"/>
    <n v="-16.97"/>
    <n v="361"/>
    <n v="1"/>
    <n v="1"/>
  </r>
  <r>
    <m/>
    <m/>
    <x v="1"/>
    <s v="48924821001008"/>
    <n v="-45.78"/>
    <n v="974"/>
    <n v="1"/>
    <n v="1"/>
  </r>
  <r>
    <m/>
    <m/>
    <x v="1"/>
    <s v="48930701001003"/>
    <n v="-4.6100000000000003"/>
    <n v="98"/>
    <n v="1"/>
    <n v="1"/>
  </r>
  <r>
    <m/>
    <m/>
    <x v="1"/>
    <s v="49075371001010"/>
    <n v="-5.03"/>
    <n v="107"/>
    <n v="1"/>
    <n v="1"/>
  </r>
  <r>
    <m/>
    <m/>
    <x v="1"/>
    <s v="49136131005001"/>
    <n v="-46.67"/>
    <n v="993"/>
    <n v="1"/>
    <n v="1"/>
  </r>
  <r>
    <m/>
    <m/>
    <x v="1"/>
    <s v="49146371004001"/>
    <n v="-18.14"/>
    <n v="386"/>
    <n v="1"/>
    <n v="1"/>
  </r>
  <r>
    <m/>
    <m/>
    <x v="1"/>
    <s v="49200673001001"/>
    <n v="-10.76"/>
    <n v="229"/>
    <n v="1"/>
    <n v="1"/>
  </r>
  <r>
    <m/>
    <m/>
    <x v="1"/>
    <s v="49262010002001"/>
    <n v="-4.6500000000000004"/>
    <n v="99"/>
    <n v="1"/>
    <n v="1"/>
  </r>
  <r>
    <m/>
    <m/>
    <x v="1"/>
    <s v="49305498001003"/>
    <n v="-19.88"/>
    <n v="423"/>
    <n v="1"/>
    <n v="1"/>
  </r>
  <r>
    <m/>
    <m/>
    <x v="1"/>
    <s v="49325151001002"/>
    <n v="-27.82"/>
    <n v="592"/>
    <n v="1"/>
    <n v="1"/>
  </r>
  <r>
    <m/>
    <m/>
    <x v="1"/>
    <s v="49341111002001"/>
    <n v="-26.13"/>
    <n v="556"/>
    <n v="1"/>
    <n v="1"/>
  </r>
  <r>
    <m/>
    <m/>
    <x v="1"/>
    <s v="49436870001001"/>
    <n v="-21.53"/>
    <n v="458"/>
    <n v="1"/>
    <n v="1"/>
  </r>
  <r>
    <m/>
    <m/>
    <x v="1"/>
    <s v="49472851001001"/>
    <n v="-3.76"/>
    <n v="80"/>
    <n v="1"/>
    <n v="1"/>
  </r>
  <r>
    <m/>
    <m/>
    <x v="1"/>
    <s v="49494032001001"/>
    <n v="-26.6"/>
    <n v="566"/>
    <n v="1"/>
    <n v="1"/>
  </r>
  <r>
    <m/>
    <m/>
    <x v="1"/>
    <s v="49558741001001"/>
    <n v="-38.07"/>
    <n v="810"/>
    <n v="1"/>
    <n v="1"/>
  </r>
  <r>
    <m/>
    <m/>
    <x v="1"/>
    <s v="49568961002001"/>
    <n v="-175.17"/>
    <n v="3727"/>
    <n v="1"/>
    <n v="1"/>
  </r>
  <r>
    <m/>
    <m/>
    <x v="1"/>
    <s v="49579321001001"/>
    <n v="-115.01"/>
    <n v="2447"/>
    <n v="1"/>
    <n v="1"/>
  </r>
  <r>
    <m/>
    <m/>
    <x v="1"/>
    <s v="49581631001005"/>
    <n v="-50.95"/>
    <n v="1084"/>
    <n v="1"/>
    <n v="1"/>
  </r>
  <r>
    <m/>
    <m/>
    <x v="1"/>
    <s v="49600181003002"/>
    <n v="-71.209999999999994"/>
    <n v="1515"/>
    <n v="1"/>
    <n v="1"/>
  </r>
  <r>
    <m/>
    <m/>
    <x v="1"/>
    <s v="49608231003009"/>
    <n v="-109.84"/>
    <n v="2337"/>
    <n v="1"/>
    <n v="1"/>
  </r>
  <r>
    <m/>
    <m/>
    <x v="1"/>
    <s v="49632381001008"/>
    <n v="-66.739999999999995"/>
    <n v="1420"/>
    <n v="1"/>
    <n v="1"/>
  </r>
  <r>
    <m/>
    <m/>
    <x v="1"/>
    <s v="49686351001004"/>
    <n v="-81.12"/>
    <n v="1726"/>
    <n v="1"/>
    <n v="1"/>
  </r>
  <r>
    <m/>
    <m/>
    <x v="1"/>
    <s v="49735399001001"/>
    <n v="-8.6999999999999993"/>
    <n v="185"/>
    <n v="1"/>
    <n v="1"/>
  </r>
  <r>
    <m/>
    <m/>
    <x v="1"/>
    <s v="49809621001003"/>
    <n v="-3.76"/>
    <n v="80"/>
    <n v="1"/>
    <n v="1"/>
  </r>
  <r>
    <m/>
    <m/>
    <x v="1"/>
    <s v="49828031002004"/>
    <n v="-4"/>
    <n v="85"/>
    <n v="1"/>
    <n v="1"/>
  </r>
  <r>
    <m/>
    <m/>
    <x v="1"/>
    <s v="49841331001004"/>
    <n v="-19.600000000000001"/>
    <n v="417"/>
    <n v="1"/>
    <n v="1"/>
  </r>
  <r>
    <m/>
    <m/>
    <x v="1"/>
    <s v="49916861001001"/>
    <n v="-22.37"/>
    <n v="476"/>
    <n v="1"/>
    <n v="1"/>
  </r>
  <r>
    <m/>
    <m/>
    <x v="1"/>
    <s v="49953330001004"/>
    <n v="-1.32"/>
    <n v="28"/>
    <n v="1"/>
    <n v="1"/>
  </r>
  <r>
    <m/>
    <m/>
    <x v="1"/>
    <s v="49996634002003"/>
    <n v="-11.05"/>
    <n v="235"/>
    <n v="1"/>
    <n v="1"/>
  </r>
  <r>
    <m/>
    <m/>
    <x v="1"/>
    <s v="50011086001001"/>
    <n v="-8.65"/>
    <n v="184"/>
    <n v="1"/>
    <n v="1"/>
  </r>
  <r>
    <m/>
    <m/>
    <x v="1"/>
    <s v="50027260001005"/>
    <n v="-4.18"/>
    <n v="89"/>
    <n v="1"/>
    <n v="1"/>
  </r>
  <r>
    <m/>
    <m/>
    <x v="1"/>
    <s v="50047513001001"/>
    <n v="-9.92"/>
    <n v="211"/>
    <n v="1"/>
    <n v="1"/>
  </r>
  <r>
    <m/>
    <m/>
    <x v="1"/>
    <s v="50125531002001"/>
    <n v="-9.2100000000000009"/>
    <n v="196"/>
    <n v="1"/>
    <n v="1"/>
  </r>
  <r>
    <m/>
    <m/>
    <x v="1"/>
    <s v="50146181002001"/>
    <n v="-18.61"/>
    <n v="396"/>
    <n v="1"/>
    <n v="1"/>
  </r>
  <r>
    <m/>
    <m/>
    <x v="1"/>
    <s v="50159341001001"/>
    <n v="-24.06"/>
    <n v="512"/>
    <n v="1"/>
    <n v="1"/>
  </r>
  <r>
    <m/>
    <m/>
    <x v="1"/>
    <s v="50180049001002"/>
    <n v="-28.48"/>
    <n v="606"/>
    <n v="1"/>
    <n v="1"/>
  </r>
  <r>
    <m/>
    <m/>
    <x v="1"/>
    <s v="50234784001005"/>
    <n v="-0.89"/>
    <n v="19"/>
    <n v="1"/>
    <n v="1"/>
  </r>
  <r>
    <m/>
    <m/>
    <x v="1"/>
    <s v="50254821001001"/>
    <n v="-3.1"/>
    <n v="66"/>
    <n v="1"/>
    <n v="1"/>
  </r>
  <r>
    <m/>
    <m/>
    <x v="1"/>
    <s v="50271551003001"/>
    <n v="-17.77"/>
    <n v="378"/>
    <n v="1"/>
    <n v="1"/>
  </r>
  <r>
    <m/>
    <m/>
    <x v="1"/>
    <s v="50306876001004"/>
    <n v="-8.4600000000000009"/>
    <n v="180"/>
    <n v="1"/>
    <n v="1"/>
  </r>
  <r>
    <m/>
    <m/>
    <x v="1"/>
    <s v="50314391002005"/>
    <n v="-16.78"/>
    <n v="357"/>
    <n v="1"/>
    <n v="1"/>
  </r>
  <r>
    <m/>
    <m/>
    <x v="1"/>
    <s v="50363741005001"/>
    <n v="-7.1"/>
    <n v="151"/>
    <n v="1"/>
    <n v="1"/>
  </r>
  <r>
    <m/>
    <m/>
    <x v="1"/>
    <s v="50378091011001"/>
    <n v="-1.88"/>
    <n v="40"/>
    <n v="1"/>
    <n v="1"/>
  </r>
  <r>
    <m/>
    <m/>
    <x v="1"/>
    <s v="50432984001003"/>
    <n v="-3.24"/>
    <n v="69"/>
    <n v="1"/>
    <n v="1"/>
  </r>
  <r>
    <m/>
    <m/>
    <x v="1"/>
    <s v="50448812001001"/>
    <n v="-29.47"/>
    <n v="627"/>
    <n v="1"/>
    <n v="1"/>
  </r>
  <r>
    <m/>
    <m/>
    <x v="1"/>
    <s v="50472322001001"/>
    <n v="-72.099999999999994"/>
    <n v="1534"/>
    <n v="1"/>
    <n v="1"/>
  </r>
  <r>
    <m/>
    <m/>
    <x v="1"/>
    <s v="50516090002010"/>
    <n v="-8.51"/>
    <n v="181"/>
    <n v="1"/>
    <n v="1"/>
  </r>
  <r>
    <m/>
    <m/>
    <x v="1"/>
    <s v="50575121001001"/>
    <n v="-12.5"/>
    <n v="266"/>
    <n v="1"/>
    <n v="1"/>
  </r>
  <r>
    <m/>
    <m/>
    <x v="1"/>
    <s v="50577986002006"/>
    <n v="-41.45"/>
    <n v="882"/>
    <n v="1"/>
    <n v="1"/>
  </r>
  <r>
    <m/>
    <m/>
    <x v="1"/>
    <s v="50583810001001"/>
    <n v="-57.43"/>
    <n v="1222"/>
    <n v="1"/>
    <n v="1"/>
  </r>
  <r>
    <m/>
    <m/>
    <x v="1"/>
    <s v="50584521001002"/>
    <n v="-36.71"/>
    <n v="781"/>
    <n v="1"/>
    <n v="1"/>
  </r>
  <r>
    <m/>
    <m/>
    <x v="1"/>
    <s v="50677761001001"/>
    <n v="-0.19"/>
    <n v="4"/>
    <n v="1"/>
    <n v="1"/>
  </r>
  <r>
    <m/>
    <m/>
    <x v="1"/>
    <s v="50685506001006"/>
    <n v="-41.27"/>
    <n v="878"/>
    <n v="1"/>
    <n v="1"/>
  </r>
  <r>
    <m/>
    <m/>
    <x v="1"/>
    <s v="50718011001001"/>
    <n v="-1.6"/>
    <n v="34"/>
    <n v="1"/>
    <n v="1"/>
  </r>
  <r>
    <m/>
    <m/>
    <x v="1"/>
    <s v="50725151001007"/>
    <n v="-2.02"/>
    <n v="43"/>
    <n v="1"/>
    <n v="1"/>
  </r>
  <r>
    <m/>
    <m/>
    <x v="1"/>
    <s v="50741531001002"/>
    <n v="-42.39"/>
    <n v="902"/>
    <n v="1"/>
    <n v="1"/>
  </r>
  <r>
    <m/>
    <m/>
    <x v="1"/>
    <s v="50742301001008"/>
    <n v="-55.32"/>
    <n v="1177"/>
    <n v="1"/>
    <n v="1"/>
  </r>
  <r>
    <m/>
    <m/>
    <x v="1"/>
    <s v="50750548001001"/>
    <n v="-2.0699999999999998"/>
    <n v="44"/>
    <n v="1"/>
    <n v="1"/>
  </r>
  <r>
    <m/>
    <m/>
    <x v="1"/>
    <s v="50757351002006"/>
    <n v="-47.24"/>
    <n v="1005"/>
    <n v="1"/>
    <n v="1"/>
  </r>
  <r>
    <m/>
    <m/>
    <x v="1"/>
    <s v="50791371001002"/>
    <n v="-49.44"/>
    <n v="1052"/>
    <n v="1"/>
    <n v="1"/>
  </r>
  <r>
    <m/>
    <m/>
    <x v="1"/>
    <s v="50825051001005"/>
    <n v="-2.21"/>
    <n v="47"/>
    <n v="1"/>
    <n v="1"/>
  </r>
  <r>
    <m/>
    <m/>
    <x v="1"/>
    <s v="50831971001002"/>
    <n v="-16.829999999999998"/>
    <n v="358"/>
    <n v="1"/>
    <n v="1"/>
  </r>
  <r>
    <m/>
    <m/>
    <x v="1"/>
    <s v="50873620001001"/>
    <n v="-4.1399999999999997"/>
    <n v="88"/>
    <n v="1"/>
    <n v="1"/>
  </r>
  <r>
    <m/>
    <m/>
    <x v="1"/>
    <s v="50955251001001"/>
    <n v="-7.57"/>
    <n v="161"/>
    <n v="1"/>
    <n v="1"/>
  </r>
  <r>
    <m/>
    <m/>
    <x v="1"/>
    <s v="50980301002006"/>
    <n v="-63.73"/>
    <n v="1356"/>
    <n v="1"/>
    <n v="1"/>
  </r>
  <r>
    <m/>
    <m/>
    <x v="1"/>
    <s v="50982891003001"/>
    <n v="-19.93"/>
    <n v="424"/>
    <n v="1"/>
    <n v="1"/>
  </r>
  <r>
    <m/>
    <m/>
    <x v="1"/>
    <s v="50984921001006"/>
    <n v="-6.53"/>
    <n v="139"/>
    <n v="1"/>
    <n v="1"/>
  </r>
  <r>
    <m/>
    <m/>
    <x v="1"/>
    <s v="51001301006001"/>
    <n v="-18.190000000000001"/>
    <n v="387"/>
    <n v="1"/>
    <n v="1"/>
  </r>
  <r>
    <m/>
    <m/>
    <x v="1"/>
    <s v="51011101001001"/>
    <n v="-42.86"/>
    <n v="912"/>
    <n v="1"/>
    <n v="1"/>
  </r>
  <r>
    <m/>
    <m/>
    <x v="1"/>
    <s v="51021905005001"/>
    <n v="-2.4"/>
    <n v="51"/>
    <n v="1"/>
    <n v="1"/>
  </r>
  <r>
    <m/>
    <m/>
    <x v="1"/>
    <s v="51027691001003"/>
    <n v="-50.67"/>
    <n v="1078"/>
    <n v="1"/>
    <n v="1"/>
  </r>
  <r>
    <m/>
    <m/>
    <x v="1"/>
    <s v="51040151001001"/>
    <n v="-36.659999999999997"/>
    <n v="780"/>
    <n v="1"/>
    <n v="1"/>
  </r>
  <r>
    <m/>
    <m/>
    <x v="1"/>
    <s v="51047991002005"/>
    <n v="-14.01"/>
    <n v="298"/>
    <n v="1"/>
    <n v="1"/>
  </r>
  <r>
    <m/>
    <m/>
    <x v="1"/>
    <s v="51048201005001"/>
    <n v="-93.67"/>
    <n v="1993"/>
    <n v="1"/>
    <n v="1"/>
  </r>
  <r>
    <m/>
    <m/>
    <x v="1"/>
    <s v="51060871001002"/>
    <n v="-39.39"/>
    <n v="838"/>
    <n v="1"/>
    <n v="1"/>
  </r>
  <r>
    <m/>
    <m/>
    <x v="1"/>
    <s v="51068641001003"/>
    <n v="-98.09"/>
    <n v="2087"/>
    <n v="1"/>
    <n v="1"/>
  </r>
  <r>
    <m/>
    <m/>
    <x v="1"/>
    <s v="51072211003001"/>
    <n v="-63.87"/>
    <n v="1359"/>
    <n v="1"/>
    <n v="1"/>
  </r>
  <r>
    <m/>
    <m/>
    <x v="1"/>
    <s v="51073821001002"/>
    <n v="-75.72"/>
    <n v="1611"/>
    <n v="1"/>
    <n v="1"/>
  </r>
  <r>
    <m/>
    <m/>
    <x v="1"/>
    <s v="51082221002003"/>
    <n v="-80.319999999999993"/>
    <n v="1709"/>
    <n v="1"/>
    <n v="1"/>
  </r>
  <r>
    <m/>
    <m/>
    <x v="1"/>
    <s v="51084041002005"/>
    <n v="-1.18"/>
    <n v="25"/>
    <n v="1"/>
    <n v="1"/>
  </r>
  <r>
    <m/>
    <m/>
    <x v="1"/>
    <s v="51097131003001"/>
    <n v="-43.9"/>
    <n v="934"/>
    <n v="1"/>
    <n v="1"/>
  </r>
  <r>
    <m/>
    <m/>
    <x v="1"/>
    <s v="51114841002001"/>
    <n v="-37.369999999999997"/>
    <n v="795"/>
    <n v="1"/>
    <n v="1"/>
  </r>
  <r>
    <m/>
    <m/>
    <x v="1"/>
    <s v="51119531001008"/>
    <n v="-24.68"/>
    <n v="525"/>
    <n v="1"/>
    <n v="1"/>
  </r>
  <r>
    <m/>
    <m/>
    <x v="1"/>
    <s v="51126041002002"/>
    <n v="-94.75"/>
    <n v="2016"/>
    <n v="1"/>
    <n v="1"/>
  </r>
  <r>
    <m/>
    <m/>
    <x v="1"/>
    <s v="51130731001001"/>
    <n v="-8.7899999999999991"/>
    <n v="187"/>
    <n v="1"/>
    <n v="1"/>
  </r>
  <r>
    <m/>
    <m/>
    <x v="1"/>
    <s v="51138081002001"/>
    <n v="-115.01"/>
    <n v="2447"/>
    <n v="1"/>
    <n v="1"/>
  </r>
  <r>
    <m/>
    <m/>
    <x v="1"/>
    <s v="51180361001001"/>
    <n v="-5.88"/>
    <n v="125"/>
    <n v="1"/>
    <n v="1"/>
  </r>
  <r>
    <m/>
    <m/>
    <x v="1"/>
    <s v="51184281006001"/>
    <n v="-58.75"/>
    <n v="1250"/>
    <n v="1"/>
    <n v="1"/>
  </r>
  <r>
    <m/>
    <m/>
    <x v="1"/>
    <s v="51194991001002"/>
    <n v="-95.22"/>
    <n v="2026"/>
    <n v="1"/>
    <n v="1"/>
  </r>
  <r>
    <m/>
    <m/>
    <x v="1"/>
    <s v="51230131007001"/>
    <n v="-2.2999999999999998"/>
    <n v="49"/>
    <n v="1"/>
    <n v="1"/>
  </r>
  <r>
    <m/>
    <m/>
    <x v="1"/>
    <s v="51249451001006"/>
    <n v="-9.73"/>
    <n v="207"/>
    <n v="1"/>
    <n v="1"/>
  </r>
  <r>
    <m/>
    <m/>
    <x v="1"/>
    <s v="51318751001001"/>
    <n v="-0.99"/>
    <n v="21"/>
    <n v="1"/>
    <n v="1"/>
  </r>
  <r>
    <m/>
    <m/>
    <x v="1"/>
    <s v="51328341003001"/>
    <n v="-34.03"/>
    <n v="724"/>
    <n v="1"/>
    <n v="1"/>
  </r>
  <r>
    <m/>
    <m/>
    <x v="1"/>
    <s v="51333941006001"/>
    <n v="-0.85"/>
    <n v="18"/>
    <n v="1"/>
    <n v="1"/>
  </r>
  <r>
    <m/>
    <m/>
    <x v="1"/>
    <s v="51370481001001"/>
    <n v="-2.2599999999999998"/>
    <n v="48"/>
    <n v="1"/>
    <n v="1"/>
  </r>
  <r>
    <m/>
    <m/>
    <x v="1"/>
    <s v="51401561004001"/>
    <n v="-15.84"/>
    <n v="337"/>
    <n v="1"/>
    <n v="1"/>
  </r>
  <r>
    <m/>
    <m/>
    <x v="1"/>
    <s v="51424031003001"/>
    <n v="-8.27"/>
    <n v="176"/>
    <n v="1"/>
    <n v="1"/>
  </r>
  <r>
    <m/>
    <m/>
    <x v="1"/>
    <s v="51439011010001"/>
    <n v="-13.3"/>
    <n v="283"/>
    <n v="1"/>
    <n v="1"/>
  </r>
  <r>
    <m/>
    <m/>
    <x v="1"/>
    <s v="51450421001005"/>
    <n v="-1.5"/>
    <n v="32"/>
    <n v="1"/>
    <n v="1"/>
  </r>
  <r>
    <m/>
    <m/>
    <x v="1"/>
    <s v="51453851003001"/>
    <n v="-42.07"/>
    <n v="895"/>
    <n v="1"/>
    <n v="1"/>
  </r>
  <r>
    <m/>
    <m/>
    <x v="1"/>
    <s v="51467250001001"/>
    <n v="-3.53"/>
    <n v="75"/>
    <n v="1"/>
    <n v="1"/>
  </r>
  <r>
    <m/>
    <m/>
    <x v="1"/>
    <s v="51516361003001"/>
    <n v="-4.04"/>
    <n v="86"/>
    <n v="1"/>
    <n v="1"/>
  </r>
  <r>
    <m/>
    <m/>
    <x v="1"/>
    <s v="51518531001001"/>
    <n v="-1.08"/>
    <n v="23"/>
    <n v="1"/>
    <n v="1"/>
  </r>
  <r>
    <m/>
    <m/>
    <x v="1"/>
    <s v="51543591001002"/>
    <n v="-7.33"/>
    <n v="156"/>
    <n v="1"/>
    <n v="1"/>
  </r>
  <r>
    <m/>
    <m/>
    <x v="1"/>
    <s v="51575021002004"/>
    <n v="-5.17"/>
    <n v="110"/>
    <n v="1"/>
    <n v="1"/>
  </r>
  <r>
    <m/>
    <m/>
    <x v="1"/>
    <s v="51593431001001"/>
    <n v="-35.11"/>
    <n v="747"/>
    <n v="1"/>
    <n v="1"/>
  </r>
  <r>
    <m/>
    <m/>
    <x v="1"/>
    <s v="51593991001001"/>
    <n v="-3.95"/>
    <n v="84"/>
    <n v="1"/>
    <n v="1"/>
  </r>
  <r>
    <m/>
    <m/>
    <x v="1"/>
    <s v="51596301001003"/>
    <n v="-20.12"/>
    <n v="428"/>
    <n v="1"/>
    <n v="1"/>
  </r>
  <r>
    <m/>
    <m/>
    <x v="1"/>
    <s v="51603861001001"/>
    <n v="-21.2"/>
    <n v="451"/>
    <n v="1"/>
    <n v="1"/>
  </r>
  <r>
    <m/>
    <m/>
    <x v="1"/>
    <s v="51614151001002"/>
    <n v="-95.83"/>
    <n v="2039"/>
    <n v="1"/>
    <n v="1"/>
  </r>
  <r>
    <m/>
    <m/>
    <x v="1"/>
    <s v="51615551001001"/>
    <n v="-35.44"/>
    <n v="754"/>
    <n v="1"/>
    <n v="1"/>
  </r>
  <r>
    <m/>
    <m/>
    <x v="1"/>
    <s v="51634941001001"/>
    <n v="-100.11"/>
    <n v="2130"/>
    <n v="1"/>
    <n v="1"/>
  </r>
  <r>
    <m/>
    <m/>
    <x v="1"/>
    <s v="51719592001003"/>
    <n v="-3.38"/>
    <n v="72"/>
    <n v="1"/>
    <n v="1"/>
  </r>
  <r>
    <m/>
    <m/>
    <x v="1"/>
    <s v="51764139001006"/>
    <n v="-10.29"/>
    <n v="219"/>
    <n v="1"/>
    <n v="1"/>
  </r>
  <r>
    <m/>
    <m/>
    <x v="1"/>
    <s v="51808006003005"/>
    <n v="-70.22"/>
    <n v="1494"/>
    <n v="1"/>
    <n v="1"/>
  </r>
  <r>
    <m/>
    <m/>
    <x v="1"/>
    <s v="51910701001010"/>
    <n v="-18.52"/>
    <n v="394"/>
    <n v="1"/>
    <n v="1"/>
  </r>
  <r>
    <m/>
    <m/>
    <x v="1"/>
    <s v="51938061003001"/>
    <n v="-94.61"/>
    <n v="2013"/>
    <n v="1"/>
    <n v="1"/>
  </r>
  <r>
    <m/>
    <m/>
    <x v="1"/>
    <s v="51973472002001"/>
    <n v="-21.53"/>
    <n v="458"/>
    <n v="1"/>
    <n v="1"/>
  </r>
  <r>
    <m/>
    <m/>
    <x v="1"/>
    <s v="52117368001007"/>
    <n v="-2.44"/>
    <n v="52"/>
    <n v="1"/>
    <n v="1"/>
  </r>
  <r>
    <m/>
    <m/>
    <x v="1"/>
    <s v="52232547001001"/>
    <n v="-15.65"/>
    <n v="333"/>
    <n v="1"/>
    <n v="1"/>
  </r>
  <r>
    <m/>
    <m/>
    <x v="1"/>
    <s v="52533908001001"/>
    <n v="-85.92"/>
    <n v="1828"/>
    <n v="1"/>
    <n v="1"/>
  </r>
  <r>
    <m/>
    <m/>
    <x v="1"/>
    <s v="52557185001003"/>
    <n v="-39.39"/>
    <n v="838"/>
    <n v="1"/>
    <n v="1"/>
  </r>
  <r>
    <m/>
    <m/>
    <x v="1"/>
    <s v="52659071001002"/>
    <n v="-16.690000000000001"/>
    <n v="355"/>
    <n v="1"/>
    <n v="1"/>
  </r>
  <r>
    <m/>
    <m/>
    <x v="1"/>
    <s v="52742616001001"/>
    <n v="-133.9"/>
    <n v="2849"/>
    <n v="1"/>
    <n v="1"/>
  </r>
  <r>
    <m/>
    <m/>
    <x v="1"/>
    <s v="53082444001001"/>
    <n v="-15.6"/>
    <n v="332"/>
    <n v="1"/>
    <n v="1"/>
  </r>
  <r>
    <m/>
    <m/>
    <x v="1"/>
    <s v="53087879001001"/>
    <n v="-37.08"/>
    <n v="789"/>
    <n v="1"/>
    <n v="1"/>
  </r>
  <r>
    <m/>
    <m/>
    <x v="1"/>
    <s v="53108976001002"/>
    <n v="-1.5"/>
    <n v="32"/>
    <n v="1"/>
    <n v="1"/>
  </r>
  <r>
    <m/>
    <m/>
    <x v="1"/>
    <s v="53124174001010"/>
    <n v="-6.91"/>
    <n v="147"/>
    <n v="1"/>
    <n v="1"/>
  </r>
  <r>
    <m/>
    <m/>
    <x v="1"/>
    <s v="53221240001001"/>
    <n v="-16.22"/>
    <n v="345"/>
    <n v="1"/>
    <n v="1"/>
  </r>
  <r>
    <m/>
    <m/>
    <x v="1"/>
    <s v="53307067003008"/>
    <n v="-116.51"/>
    <n v="2479"/>
    <n v="1"/>
    <n v="1"/>
  </r>
  <r>
    <m/>
    <m/>
    <x v="1"/>
    <s v="53593144001001"/>
    <n v="-13.02"/>
    <n v="277"/>
    <n v="1"/>
    <n v="1"/>
  </r>
  <r>
    <m/>
    <m/>
    <x v="1"/>
    <s v="53808670001004"/>
    <n v="-1.5"/>
    <n v="32"/>
    <n v="1"/>
    <n v="1"/>
  </r>
  <r>
    <m/>
    <m/>
    <x v="1"/>
    <s v="53812406001002"/>
    <n v="-0.52"/>
    <n v="11"/>
    <n v="1"/>
    <n v="1"/>
  </r>
  <r>
    <m/>
    <m/>
    <x v="1"/>
    <s v="53941221001001"/>
    <n v="-0.28000000000000003"/>
    <n v="6"/>
    <n v="1"/>
    <n v="1"/>
  </r>
  <r>
    <m/>
    <m/>
    <x v="1"/>
    <s v="53953758001001"/>
    <n v="-19.98"/>
    <n v="425"/>
    <n v="1"/>
    <n v="1"/>
  </r>
  <r>
    <m/>
    <m/>
    <x v="1"/>
    <s v="54063280001001"/>
    <n v="-0.99"/>
    <n v="21"/>
    <n v="1"/>
    <n v="1"/>
  </r>
  <r>
    <m/>
    <m/>
    <x v="1"/>
    <s v="54099172001001"/>
    <n v="-6.77"/>
    <n v="144"/>
    <n v="1"/>
    <n v="1"/>
  </r>
  <r>
    <m/>
    <m/>
    <x v="1"/>
    <s v="54141123001001"/>
    <n v="-55.04"/>
    <n v="1171"/>
    <n v="1"/>
    <n v="1"/>
  </r>
  <r>
    <m/>
    <m/>
    <x v="1"/>
    <s v="54256535001001"/>
    <n v="-45.64"/>
    <n v="971"/>
    <n v="1"/>
    <n v="1"/>
  </r>
  <r>
    <m/>
    <m/>
    <x v="1"/>
    <s v="54306064004001"/>
    <n v="-19.55"/>
    <n v="416"/>
    <n v="1"/>
    <n v="1"/>
  </r>
  <r>
    <m/>
    <m/>
    <x v="1"/>
    <s v="54329736005001"/>
    <n v="-36.47"/>
    <n v="776"/>
    <n v="1"/>
    <n v="1"/>
  </r>
  <r>
    <m/>
    <m/>
    <x v="1"/>
    <s v="54514113001001"/>
    <n v="-4.47"/>
    <n v="95"/>
    <n v="1"/>
    <n v="1"/>
  </r>
  <r>
    <m/>
    <m/>
    <x v="1"/>
    <s v="54609162004002"/>
    <n v="-24.44"/>
    <n v="520"/>
    <n v="1"/>
    <n v="1"/>
  </r>
  <r>
    <m/>
    <m/>
    <x v="1"/>
    <s v="54633989001003"/>
    <n v="-22.28"/>
    <n v="474"/>
    <n v="1"/>
    <n v="1"/>
  </r>
  <r>
    <m/>
    <m/>
    <x v="1"/>
    <s v="54706905001001"/>
    <n v="-14.19"/>
    <n v="302"/>
    <n v="1"/>
    <n v="1"/>
  </r>
  <r>
    <m/>
    <m/>
    <x v="1"/>
    <s v="54844815001003"/>
    <n v="-36.57"/>
    <n v="778"/>
    <n v="1"/>
    <n v="1"/>
  </r>
  <r>
    <m/>
    <m/>
    <x v="1"/>
    <s v="54867100001005"/>
    <n v="-5.88"/>
    <n v="125"/>
    <n v="1"/>
    <n v="1"/>
  </r>
  <r>
    <m/>
    <m/>
    <x v="1"/>
    <s v="54884722001003"/>
    <n v="-1.88"/>
    <n v="40"/>
    <n v="1"/>
    <n v="1"/>
  </r>
  <r>
    <m/>
    <m/>
    <x v="1"/>
    <s v="54897257001001"/>
    <n v="-1.36"/>
    <n v="29"/>
    <n v="1"/>
    <n v="1"/>
  </r>
  <r>
    <m/>
    <m/>
    <x v="1"/>
    <s v="54978920001003"/>
    <n v="-21.67"/>
    <n v="461"/>
    <n v="1"/>
    <n v="1"/>
  </r>
  <r>
    <m/>
    <m/>
    <x v="1"/>
    <s v="55121276001005"/>
    <n v="-1.08"/>
    <n v="23"/>
    <n v="1"/>
    <n v="1"/>
  </r>
  <r>
    <m/>
    <m/>
    <x v="1"/>
    <s v="55185996001003"/>
    <n v="-17.809999999999999"/>
    <n v="379"/>
    <n v="1"/>
    <n v="1"/>
  </r>
  <r>
    <m/>
    <m/>
    <x v="1"/>
    <s v="55194605001001"/>
    <n v="-2.4"/>
    <n v="51"/>
    <n v="1"/>
    <n v="1"/>
  </r>
  <r>
    <m/>
    <m/>
    <x v="1"/>
    <s v="55371499001001"/>
    <n v="-4.84"/>
    <n v="103"/>
    <n v="1"/>
    <n v="1"/>
  </r>
  <r>
    <m/>
    <m/>
    <x v="1"/>
    <s v="55524078001001"/>
    <n v="-58"/>
    <n v="1234"/>
    <n v="1"/>
    <n v="1"/>
  </r>
  <r>
    <m/>
    <m/>
    <x v="1"/>
    <s v="55536729004001"/>
    <n v="-52.5"/>
    <n v="1117"/>
    <n v="1"/>
    <n v="1"/>
  </r>
  <r>
    <m/>
    <m/>
    <x v="1"/>
    <s v="55781832001008"/>
    <n v="-32.85"/>
    <n v="699"/>
    <n v="1"/>
    <n v="1"/>
  </r>
  <r>
    <m/>
    <m/>
    <x v="1"/>
    <s v="55852549001004"/>
    <n v="-5.55"/>
    <n v="118"/>
    <n v="1"/>
    <n v="1"/>
  </r>
  <r>
    <m/>
    <m/>
    <x v="1"/>
    <s v="55956687002001"/>
    <n v="-11.89"/>
    <n v="253"/>
    <n v="1"/>
    <n v="1"/>
  </r>
  <r>
    <m/>
    <m/>
    <x v="1"/>
    <s v="56027623001001"/>
    <n v="-50.06"/>
    <n v="1065"/>
    <n v="1"/>
    <n v="1"/>
  </r>
  <r>
    <m/>
    <m/>
    <x v="1"/>
    <s v="56079112001004"/>
    <n v="-10.76"/>
    <n v="229"/>
    <n v="1"/>
    <n v="1"/>
  </r>
  <r>
    <m/>
    <m/>
    <x v="1"/>
    <s v="56272890001001"/>
    <n v="-32.1"/>
    <n v="683"/>
    <n v="1"/>
    <n v="1"/>
  </r>
  <r>
    <m/>
    <m/>
    <x v="1"/>
    <s v="56326619001001"/>
    <n v="-1.83"/>
    <n v="39"/>
    <n v="1"/>
    <n v="1"/>
  </r>
  <r>
    <m/>
    <m/>
    <x v="1"/>
    <s v="56868459001008"/>
    <n v="-0.56000000000000005"/>
    <n v="12"/>
    <n v="1"/>
    <n v="1"/>
  </r>
  <r>
    <m/>
    <m/>
    <x v="1"/>
    <s v="56918510001001"/>
    <n v="-18.28"/>
    <n v="389"/>
    <n v="1"/>
    <n v="1"/>
  </r>
  <r>
    <m/>
    <m/>
    <x v="1"/>
    <s v="56947002001001"/>
    <n v="-21.29"/>
    <n v="453"/>
    <n v="1"/>
    <n v="1"/>
  </r>
  <r>
    <m/>
    <m/>
    <x v="1"/>
    <s v="57110729007001"/>
    <n v="-7.57"/>
    <n v="161"/>
    <n v="1"/>
    <n v="1"/>
  </r>
  <r>
    <m/>
    <m/>
    <x v="1"/>
    <s v="57144962001002"/>
    <n v="-15.18"/>
    <n v="323"/>
    <n v="1"/>
    <n v="1"/>
  </r>
  <r>
    <m/>
    <m/>
    <x v="1"/>
    <s v="57270675001001"/>
    <n v="-7.29"/>
    <n v="155"/>
    <n v="1"/>
    <n v="1"/>
  </r>
  <r>
    <m/>
    <m/>
    <x v="1"/>
    <s v="57271203001001"/>
    <n v="-10.58"/>
    <n v="225"/>
    <n v="1"/>
    <n v="1"/>
  </r>
  <r>
    <m/>
    <m/>
    <x v="1"/>
    <s v="57425690001002"/>
    <n v="-25.38"/>
    <n v="540"/>
    <n v="1"/>
    <n v="1"/>
  </r>
  <r>
    <m/>
    <m/>
    <x v="1"/>
    <s v="58070087003003"/>
    <n v="-3.34"/>
    <n v="71"/>
    <n v="1"/>
    <n v="1"/>
  </r>
  <r>
    <m/>
    <m/>
    <x v="1"/>
    <s v="58123333001002"/>
    <n v="-6.11"/>
    <n v="130"/>
    <n v="1"/>
    <n v="1"/>
  </r>
  <r>
    <m/>
    <m/>
    <x v="1"/>
    <s v="58157660001002"/>
    <n v="-0.85"/>
    <n v="18"/>
    <n v="1"/>
    <n v="1"/>
  </r>
  <r>
    <m/>
    <m/>
    <x v="1"/>
    <s v="58199492001003"/>
    <n v="-0.33"/>
    <n v="7"/>
    <n v="1"/>
    <n v="1"/>
  </r>
  <r>
    <m/>
    <m/>
    <x v="1"/>
    <s v="58433748001002"/>
    <n v="-2.21"/>
    <n v="47"/>
    <n v="1"/>
    <n v="1"/>
  </r>
  <r>
    <m/>
    <m/>
    <x v="1"/>
    <s v="58436858001004"/>
    <n v="-29.09"/>
    <n v="619"/>
    <n v="1"/>
    <n v="1"/>
  </r>
  <r>
    <m/>
    <m/>
    <x v="1"/>
    <s v="58446059002001"/>
    <n v="-1.88"/>
    <n v="40"/>
    <n v="1"/>
    <n v="1"/>
  </r>
  <r>
    <m/>
    <m/>
    <x v="1"/>
    <s v="58479108002001"/>
    <n v="-12.55"/>
    <n v="267"/>
    <n v="1"/>
    <n v="1"/>
  </r>
  <r>
    <m/>
    <m/>
    <x v="1"/>
    <s v="58521117005006"/>
    <n v="-40.369999999999997"/>
    <n v="859"/>
    <n v="1"/>
    <n v="1"/>
  </r>
  <r>
    <m/>
    <m/>
    <x v="1"/>
    <s v="58549564001001"/>
    <n v="-54.29"/>
    <n v="1155"/>
    <n v="1"/>
    <n v="1"/>
  </r>
  <r>
    <m/>
    <m/>
    <x v="1"/>
    <s v="58665150001005"/>
    <n v="-75.06"/>
    <n v="1597"/>
    <n v="1"/>
    <n v="1"/>
  </r>
  <r>
    <m/>
    <m/>
    <x v="1"/>
    <s v="58708783001003"/>
    <n v="-17.809999999999999"/>
    <n v="379"/>
    <n v="1"/>
    <n v="1"/>
  </r>
  <r>
    <m/>
    <m/>
    <x v="1"/>
    <s v="59431046001003"/>
    <n v="-46.39"/>
    <n v="987"/>
    <n v="1"/>
    <n v="1"/>
  </r>
  <r>
    <m/>
    <m/>
    <x v="1"/>
    <s v="59547463005003"/>
    <n v="-114.54"/>
    <n v="2437"/>
    <n v="1"/>
    <n v="1"/>
  </r>
  <r>
    <m/>
    <m/>
    <x v="1"/>
    <s v="59582257003001"/>
    <n v="-28.62"/>
    <n v="609"/>
    <n v="1"/>
    <n v="1"/>
  </r>
  <r>
    <m/>
    <m/>
    <x v="1"/>
    <s v="59782518001001"/>
    <n v="-23.22"/>
    <n v="494"/>
    <n v="1"/>
    <n v="1"/>
  </r>
  <r>
    <m/>
    <m/>
    <x v="1"/>
    <s v="59835939001001"/>
    <n v="-1.74"/>
    <n v="37"/>
    <n v="1"/>
    <n v="1"/>
  </r>
  <r>
    <m/>
    <m/>
    <x v="1"/>
    <s v="60085172002003"/>
    <n v="-6.53"/>
    <n v="139"/>
    <n v="1"/>
    <n v="1"/>
  </r>
  <r>
    <m/>
    <m/>
    <x v="1"/>
    <s v="60237712001009"/>
    <n v="-10.06"/>
    <n v="214"/>
    <n v="1"/>
    <n v="1"/>
  </r>
  <r>
    <m/>
    <m/>
    <x v="1"/>
    <s v="60290167001006"/>
    <n v="-69.84"/>
    <n v="1486"/>
    <n v="1"/>
    <n v="1"/>
  </r>
  <r>
    <m/>
    <m/>
    <x v="1"/>
    <s v="60311880001002"/>
    <n v="-40.19"/>
    <n v="855"/>
    <n v="1"/>
    <n v="1"/>
  </r>
  <r>
    <m/>
    <m/>
    <x v="1"/>
    <s v="60378444004001"/>
    <n v="-93.58"/>
    <n v="1991"/>
    <n v="1"/>
    <n v="1"/>
  </r>
  <r>
    <m/>
    <m/>
    <x v="1"/>
    <s v="60397594001001"/>
    <n v="-109.93"/>
    <n v="2339"/>
    <n v="1"/>
    <n v="1"/>
  </r>
  <r>
    <m/>
    <m/>
    <x v="1"/>
    <s v="60473262001001"/>
    <n v="-17.11"/>
    <n v="364"/>
    <n v="1"/>
    <n v="1"/>
  </r>
  <r>
    <m/>
    <m/>
    <x v="1"/>
    <s v="60503071001008"/>
    <n v="-22.18"/>
    <n v="472"/>
    <n v="1"/>
    <n v="1"/>
  </r>
  <r>
    <m/>
    <m/>
    <x v="1"/>
    <s v="60504144009001"/>
    <n v="-18.190000000000001"/>
    <n v="387"/>
    <n v="1"/>
    <n v="1"/>
  </r>
  <r>
    <m/>
    <m/>
    <x v="1"/>
    <s v="60599585001001"/>
    <n v="-15.79"/>
    <n v="336"/>
    <n v="1"/>
    <n v="1"/>
  </r>
  <r>
    <m/>
    <m/>
    <x v="1"/>
    <s v="60626334001001"/>
    <n v="-2.21"/>
    <n v="47"/>
    <n v="1"/>
    <n v="1"/>
  </r>
  <r>
    <m/>
    <m/>
    <x v="1"/>
    <s v="60790565001008"/>
    <n v="-5.83"/>
    <n v="124"/>
    <n v="1"/>
    <n v="1"/>
  </r>
  <r>
    <m/>
    <m/>
    <x v="1"/>
    <s v="60942818001007"/>
    <n v="-22.89"/>
    <n v="487"/>
    <n v="1"/>
    <n v="1"/>
  </r>
  <r>
    <m/>
    <m/>
    <x v="1"/>
    <s v="60957175001001"/>
    <n v="-15.23"/>
    <n v="324"/>
    <n v="1"/>
    <n v="1"/>
  </r>
  <r>
    <m/>
    <m/>
    <x v="1"/>
    <s v="61107475001005"/>
    <n v="-13.25"/>
    <n v="282"/>
    <n v="1"/>
    <n v="1"/>
  </r>
  <r>
    <m/>
    <m/>
    <x v="1"/>
    <s v="61188221002001"/>
    <n v="-2.2999999999999998"/>
    <n v="49"/>
    <n v="1"/>
    <n v="1"/>
  </r>
  <r>
    <m/>
    <m/>
    <x v="1"/>
    <s v="61309008001005"/>
    <n v="-15.04"/>
    <n v="320"/>
    <n v="1"/>
    <n v="1"/>
  </r>
  <r>
    <m/>
    <m/>
    <x v="1"/>
    <s v="61387272001001"/>
    <n v="-0.38"/>
    <n v="8"/>
    <n v="1"/>
    <n v="1"/>
  </r>
  <r>
    <m/>
    <m/>
    <x v="1"/>
    <s v="61408607001001"/>
    <n v="-54.43"/>
    <n v="1158"/>
    <n v="1"/>
    <n v="1"/>
  </r>
  <r>
    <m/>
    <m/>
    <x v="1"/>
    <s v="61446494004007"/>
    <n v="-9.17"/>
    <n v="195"/>
    <n v="1"/>
    <n v="1"/>
  </r>
  <r>
    <m/>
    <m/>
    <x v="1"/>
    <s v="61517595001002"/>
    <n v="-38.450000000000003"/>
    <n v="818"/>
    <n v="1"/>
    <n v="1"/>
  </r>
  <r>
    <m/>
    <m/>
    <x v="1"/>
    <s v="61614836001001"/>
    <n v="-36.47"/>
    <n v="776"/>
    <n v="1"/>
    <n v="1"/>
  </r>
  <r>
    <m/>
    <m/>
    <x v="1"/>
    <s v="61630580001002"/>
    <n v="-4.09"/>
    <n v="87"/>
    <n v="1"/>
    <n v="1"/>
  </r>
  <r>
    <m/>
    <m/>
    <x v="1"/>
    <s v="62062811001010"/>
    <n v="-1.27"/>
    <n v="27"/>
    <n v="1"/>
    <n v="1"/>
  </r>
  <r>
    <m/>
    <m/>
    <x v="1"/>
    <s v="62209532002001"/>
    <n v="-64.95"/>
    <n v="1382"/>
    <n v="1"/>
    <n v="1"/>
  </r>
  <r>
    <m/>
    <m/>
    <x v="1"/>
    <s v="62244159001003"/>
    <n v="-43.71"/>
    <n v="930"/>
    <n v="1"/>
    <n v="1"/>
  </r>
  <r>
    <m/>
    <m/>
    <x v="1"/>
    <s v="62268891001001"/>
    <n v="-23.59"/>
    <n v="502"/>
    <n v="1"/>
    <n v="1"/>
  </r>
  <r>
    <m/>
    <m/>
    <x v="1"/>
    <s v="62447696001001"/>
    <n v="-2.21"/>
    <n v="47"/>
    <n v="1"/>
    <n v="1"/>
  </r>
  <r>
    <m/>
    <m/>
    <x v="1"/>
    <s v="62610781001004"/>
    <n v="-4.79"/>
    <n v="102"/>
    <n v="1"/>
    <n v="1"/>
  </r>
  <r>
    <m/>
    <m/>
    <x v="1"/>
    <s v="62615155002001"/>
    <n v="-0.14000000000000001"/>
    <n v="3"/>
    <n v="1"/>
    <n v="1"/>
  </r>
  <r>
    <m/>
    <m/>
    <x v="1"/>
    <s v="62682462001001"/>
    <n v="-1.83"/>
    <n v="39"/>
    <n v="1"/>
    <n v="1"/>
  </r>
  <r>
    <m/>
    <m/>
    <x v="1"/>
    <s v="62691329005001"/>
    <n v="-7.99"/>
    <n v="170"/>
    <n v="1"/>
    <n v="1"/>
  </r>
  <r>
    <m/>
    <m/>
    <x v="1"/>
    <s v="62843836001005"/>
    <n v="-1.1299999999999999"/>
    <n v="24"/>
    <n v="1"/>
    <n v="1"/>
  </r>
  <r>
    <m/>
    <m/>
    <x v="1"/>
    <s v="62878804001007"/>
    <n v="-23.22"/>
    <n v="494"/>
    <n v="1"/>
    <n v="1"/>
  </r>
  <r>
    <m/>
    <m/>
    <x v="1"/>
    <s v="62945137001003"/>
    <n v="-6.72"/>
    <n v="143"/>
    <n v="1"/>
    <n v="1"/>
  </r>
  <r>
    <m/>
    <m/>
    <x v="1"/>
    <s v="63172903002001"/>
    <n v="-0.09"/>
    <n v="2"/>
    <n v="1"/>
    <n v="1"/>
  </r>
  <r>
    <m/>
    <m/>
    <x v="1"/>
    <s v="63175467002001"/>
    <n v="-11.19"/>
    <n v="238"/>
    <n v="1"/>
    <n v="1"/>
  </r>
  <r>
    <m/>
    <m/>
    <x v="1"/>
    <s v="63202392001004"/>
    <n v="-24.72"/>
    <n v="526"/>
    <n v="1"/>
    <n v="1"/>
  </r>
  <r>
    <m/>
    <m/>
    <x v="1"/>
    <s v="63254923002001"/>
    <n v="-22.8"/>
    <n v="485"/>
    <n v="1"/>
    <n v="1"/>
  </r>
  <r>
    <m/>
    <m/>
    <x v="1"/>
    <s v="63329115001002"/>
    <n v="-0.14000000000000001"/>
    <n v="3"/>
    <n v="1"/>
    <n v="1"/>
  </r>
  <r>
    <m/>
    <m/>
    <x v="1"/>
    <s v="63373006001001"/>
    <n v="-59.78"/>
    <n v="1272"/>
    <n v="1"/>
    <n v="1"/>
  </r>
  <r>
    <m/>
    <m/>
    <x v="1"/>
    <s v="63432424001001"/>
    <n v="-2.35"/>
    <n v="50"/>
    <n v="1"/>
    <n v="1"/>
  </r>
  <r>
    <m/>
    <m/>
    <x v="1"/>
    <s v="63451251001003"/>
    <n v="-16.45"/>
    <n v="350"/>
    <n v="1"/>
    <n v="1"/>
  </r>
  <r>
    <m/>
    <m/>
    <x v="1"/>
    <s v="63465964004001"/>
    <n v="-16.22"/>
    <n v="345"/>
    <n v="1"/>
    <n v="1"/>
  </r>
  <r>
    <m/>
    <m/>
    <x v="1"/>
    <s v="63569005002001"/>
    <n v="-14.71"/>
    <n v="313"/>
    <n v="1"/>
    <n v="1"/>
  </r>
  <r>
    <m/>
    <m/>
    <x v="1"/>
    <s v="63572704001006"/>
    <n v="-4.47"/>
    <n v="95"/>
    <n v="1"/>
    <n v="1"/>
  </r>
  <r>
    <m/>
    <m/>
    <x v="1"/>
    <s v="63707556001001"/>
    <n v="-25.47"/>
    <n v="542"/>
    <n v="1"/>
    <n v="1"/>
  </r>
  <r>
    <m/>
    <m/>
    <x v="1"/>
    <s v="63730275001001"/>
    <n v="-47.05"/>
    <n v="1001"/>
    <n v="1"/>
    <n v="1"/>
  </r>
  <r>
    <m/>
    <m/>
    <x v="1"/>
    <s v="63836931001003"/>
    <n v="-38.450000000000003"/>
    <n v="818"/>
    <n v="1"/>
    <n v="1"/>
  </r>
  <r>
    <m/>
    <m/>
    <x v="1"/>
    <s v="63921435001001"/>
    <n v="-70.22"/>
    <n v="1494"/>
    <n v="1"/>
    <n v="1"/>
  </r>
  <r>
    <m/>
    <m/>
    <x v="1"/>
    <s v="64119790001003"/>
    <n v="-12.78"/>
    <n v="272"/>
    <n v="1"/>
    <n v="1"/>
  </r>
  <r>
    <m/>
    <m/>
    <x v="1"/>
    <s v="64243431001001"/>
    <n v="-81.59"/>
    <n v="1736"/>
    <n v="1"/>
    <n v="1"/>
  </r>
  <r>
    <m/>
    <m/>
    <x v="1"/>
    <s v="64424188001001"/>
    <n v="-9.35"/>
    <n v="199"/>
    <n v="1"/>
    <n v="1"/>
  </r>
  <r>
    <m/>
    <m/>
    <x v="1"/>
    <s v="64744855003004"/>
    <n v="-1.88"/>
    <n v="40"/>
    <n v="1"/>
    <n v="1"/>
  </r>
  <r>
    <m/>
    <m/>
    <x v="1"/>
    <s v="64764760001001"/>
    <n v="-18.75"/>
    <n v="399"/>
    <n v="1"/>
    <n v="1"/>
  </r>
  <r>
    <m/>
    <m/>
    <x v="1"/>
    <s v="64851960001004"/>
    <n v="-3.38"/>
    <n v="72"/>
    <n v="1"/>
    <n v="1"/>
  </r>
  <r>
    <m/>
    <m/>
    <x v="1"/>
    <s v="64865434002005"/>
    <n v="-1.88"/>
    <n v="40"/>
    <n v="1"/>
    <n v="1"/>
  </r>
  <r>
    <m/>
    <m/>
    <x v="1"/>
    <s v="65026421001002"/>
    <n v="-3.2"/>
    <n v="68"/>
    <n v="1"/>
    <n v="1"/>
  </r>
  <r>
    <m/>
    <m/>
    <x v="1"/>
    <s v="65047530001001"/>
    <n v="-6.39"/>
    <n v="136"/>
    <n v="1"/>
    <n v="1"/>
  </r>
  <r>
    <m/>
    <m/>
    <x v="1"/>
    <s v="65237142002001"/>
    <n v="-10.01"/>
    <n v="213"/>
    <n v="1"/>
    <n v="1"/>
  </r>
  <r>
    <m/>
    <m/>
    <x v="1"/>
    <s v="65369611001005"/>
    <n v="-1.97"/>
    <n v="42"/>
    <n v="1"/>
    <n v="1"/>
  </r>
  <r>
    <m/>
    <m/>
    <x v="1"/>
    <s v="65500085001007"/>
    <n v="-64.39"/>
    <n v="1370"/>
    <n v="1"/>
    <n v="1"/>
  </r>
  <r>
    <m/>
    <m/>
    <x v="1"/>
    <s v="65628483001001"/>
    <n v="-12.97"/>
    <n v="276"/>
    <n v="1"/>
    <n v="1"/>
  </r>
  <r>
    <m/>
    <m/>
    <x v="1"/>
    <s v="65734956001007"/>
    <n v="-5.41"/>
    <n v="115"/>
    <n v="1"/>
    <n v="1"/>
  </r>
  <r>
    <m/>
    <m/>
    <x v="1"/>
    <s v="65819822001006"/>
    <n v="-3.48"/>
    <n v="74"/>
    <n v="1"/>
    <n v="1"/>
  </r>
  <r>
    <m/>
    <m/>
    <x v="1"/>
    <s v="65839251002007"/>
    <n v="-48.27"/>
    <n v="1027"/>
    <n v="1"/>
    <n v="1"/>
  </r>
  <r>
    <m/>
    <m/>
    <x v="1"/>
    <s v="66113464003004"/>
    <n v="-28.91"/>
    <n v="615"/>
    <n v="1"/>
    <n v="1"/>
  </r>
  <r>
    <m/>
    <m/>
    <x v="1"/>
    <s v="66136740001003"/>
    <n v="-42.58"/>
    <n v="906"/>
    <n v="1"/>
    <n v="1"/>
  </r>
  <r>
    <m/>
    <m/>
    <x v="1"/>
    <s v="66222287001001"/>
    <n v="-3.95"/>
    <n v="84"/>
    <n v="1"/>
    <n v="1"/>
  </r>
  <r>
    <m/>
    <m/>
    <x v="1"/>
    <s v="66262731001003"/>
    <n v="-41.45"/>
    <n v="882"/>
    <n v="1"/>
    <n v="1"/>
  </r>
  <r>
    <m/>
    <m/>
    <x v="1"/>
    <s v="66418644001004"/>
    <n v="-11.37"/>
    <n v="242"/>
    <n v="1"/>
    <n v="1"/>
  </r>
  <r>
    <m/>
    <m/>
    <x v="1"/>
    <s v="66484465001002"/>
    <n v="-7.8"/>
    <n v="166"/>
    <n v="1"/>
    <n v="1"/>
  </r>
  <r>
    <m/>
    <m/>
    <x v="1"/>
    <s v="66498540001001"/>
    <n v="-23.59"/>
    <n v="502"/>
    <n v="1"/>
    <n v="1"/>
  </r>
  <r>
    <m/>
    <m/>
    <x v="1"/>
    <s v="66793225001004"/>
    <n v="-19.46"/>
    <n v="414"/>
    <n v="1"/>
    <n v="1"/>
  </r>
  <r>
    <m/>
    <m/>
    <x v="1"/>
    <s v="67012774001001"/>
    <n v="-32.520000000000003"/>
    <n v="692"/>
    <n v="1"/>
    <n v="1"/>
  </r>
  <r>
    <m/>
    <m/>
    <x v="1"/>
    <s v="67060193001001"/>
    <n v="-8.41"/>
    <n v="179"/>
    <n v="1"/>
    <n v="1"/>
  </r>
  <r>
    <m/>
    <m/>
    <x v="1"/>
    <s v="67347226001001"/>
    <n v="-10.62"/>
    <n v="226"/>
    <n v="1"/>
    <n v="1"/>
  </r>
  <r>
    <m/>
    <m/>
    <x v="1"/>
    <s v="67479940002009"/>
    <n v="-2.87"/>
    <n v="61"/>
    <n v="1"/>
    <n v="1"/>
  </r>
  <r>
    <m/>
    <m/>
    <x v="1"/>
    <s v="67650637001001"/>
    <n v="-8.18"/>
    <n v="174"/>
    <n v="2"/>
    <n v="1"/>
  </r>
  <r>
    <m/>
    <m/>
    <x v="1"/>
    <s v="67722017001004"/>
    <n v="-12.83"/>
    <n v="273"/>
    <n v="1"/>
    <n v="1"/>
  </r>
  <r>
    <m/>
    <m/>
    <x v="1"/>
    <s v="67822527001001"/>
    <n v="-50.01"/>
    <n v="1064"/>
    <n v="1"/>
    <n v="1"/>
  </r>
  <r>
    <m/>
    <m/>
    <x v="1"/>
    <s v="67994603001003"/>
    <n v="-13.63"/>
    <n v="290"/>
    <n v="1"/>
    <n v="1"/>
  </r>
  <r>
    <m/>
    <m/>
    <x v="1"/>
    <s v="68002987001001"/>
    <n v="-25.33"/>
    <n v="539"/>
    <n v="2"/>
    <n v="1"/>
  </r>
  <r>
    <m/>
    <m/>
    <x v="1"/>
    <s v="68101697001005"/>
    <n v="-29.99"/>
    <n v="638"/>
    <n v="1"/>
    <n v="1"/>
  </r>
  <r>
    <m/>
    <m/>
    <x v="1"/>
    <s v="68133355002001"/>
    <n v="-8.1300000000000008"/>
    <n v="173"/>
    <n v="1"/>
    <n v="1"/>
  </r>
  <r>
    <m/>
    <m/>
    <x v="1"/>
    <s v="68146477002001"/>
    <n v="-14.9"/>
    <n v="317"/>
    <n v="1"/>
    <n v="1"/>
  </r>
  <r>
    <m/>
    <m/>
    <x v="1"/>
    <s v="68156471001004"/>
    <n v="-11.89"/>
    <n v="253"/>
    <n v="1"/>
    <n v="1"/>
  </r>
  <r>
    <m/>
    <m/>
    <x v="1"/>
    <s v="68251608001001"/>
    <n v="-21.24"/>
    <n v="452"/>
    <n v="1"/>
    <n v="1"/>
  </r>
  <r>
    <m/>
    <m/>
    <x v="1"/>
    <s v="68362600001007"/>
    <n v="-17.059999999999999"/>
    <n v="363"/>
    <n v="1"/>
    <n v="1"/>
  </r>
  <r>
    <m/>
    <m/>
    <x v="1"/>
    <s v="68374425001001"/>
    <n v="-3.57"/>
    <n v="76"/>
    <n v="1"/>
    <n v="1"/>
  </r>
  <r>
    <m/>
    <m/>
    <x v="1"/>
    <s v="68495678001001"/>
    <n v="-5.64"/>
    <n v="120"/>
    <n v="1"/>
    <n v="1"/>
  </r>
  <r>
    <m/>
    <m/>
    <x v="1"/>
    <s v="68540315001001"/>
    <n v="-2.68"/>
    <n v="57"/>
    <n v="1"/>
    <n v="1"/>
  </r>
  <r>
    <m/>
    <m/>
    <x v="1"/>
    <s v="68562129001001"/>
    <n v="-0.94"/>
    <n v="20"/>
    <n v="1"/>
    <n v="1"/>
  </r>
  <r>
    <m/>
    <m/>
    <x v="1"/>
    <s v="68616474001006"/>
    <n v="-52.36"/>
    <n v="1114"/>
    <n v="1"/>
    <n v="1"/>
  </r>
  <r>
    <m/>
    <m/>
    <x v="1"/>
    <s v="68665924002001"/>
    <n v="-66.930000000000007"/>
    <n v="1424"/>
    <n v="1"/>
    <n v="1"/>
  </r>
  <r>
    <m/>
    <m/>
    <x v="1"/>
    <s v="68732877001001"/>
    <n v="-47.56"/>
    <n v="1012"/>
    <n v="1"/>
    <n v="1"/>
  </r>
  <r>
    <m/>
    <m/>
    <x v="1"/>
    <s v="68940427001001"/>
    <n v="-5.31"/>
    <n v="113"/>
    <n v="1"/>
    <n v="1"/>
  </r>
  <r>
    <m/>
    <m/>
    <x v="1"/>
    <s v="69135376002001"/>
    <n v="-44.79"/>
    <n v="953"/>
    <n v="1"/>
    <n v="1"/>
  </r>
  <r>
    <m/>
    <m/>
    <x v="1"/>
    <s v="69212535001003"/>
    <n v="-66.22"/>
    <n v="1409"/>
    <n v="1"/>
    <n v="1"/>
  </r>
  <r>
    <m/>
    <m/>
    <x v="1"/>
    <s v="69304876001002"/>
    <n v="-25.85"/>
    <n v="550"/>
    <n v="1"/>
    <n v="1"/>
  </r>
  <r>
    <m/>
    <m/>
    <x v="1"/>
    <s v="69340720001002"/>
    <n v="-29.7"/>
    <n v="632"/>
    <n v="1"/>
    <n v="1"/>
  </r>
  <r>
    <m/>
    <m/>
    <x v="1"/>
    <s v="69726976003004"/>
    <n v="-6.06"/>
    <n v="129"/>
    <n v="1"/>
    <n v="1"/>
  </r>
  <r>
    <m/>
    <m/>
    <x v="1"/>
    <s v="69795270001001"/>
    <n v="-12.6"/>
    <n v="268"/>
    <n v="1"/>
    <n v="1"/>
  </r>
  <r>
    <m/>
    <m/>
    <x v="1"/>
    <s v="69860350001003"/>
    <n v="-3.95"/>
    <n v="84"/>
    <n v="1"/>
    <n v="1"/>
  </r>
  <r>
    <m/>
    <m/>
    <x v="1"/>
    <s v="69869307002001"/>
    <n v="-0.8"/>
    <n v="17"/>
    <n v="1"/>
    <n v="1"/>
  </r>
  <r>
    <m/>
    <m/>
    <x v="1"/>
    <s v="69991566001003"/>
    <n v="-7.99"/>
    <n v="170"/>
    <n v="1"/>
    <n v="1"/>
  </r>
  <r>
    <m/>
    <m/>
    <x v="1"/>
    <s v="70557497004001"/>
    <n v="-59.31"/>
    <n v="1262"/>
    <n v="1"/>
    <n v="1"/>
  </r>
  <r>
    <m/>
    <m/>
    <x v="1"/>
    <s v="70587997002003"/>
    <n v="-24.77"/>
    <n v="527"/>
    <n v="1"/>
    <n v="1"/>
  </r>
  <r>
    <m/>
    <m/>
    <x v="1"/>
    <s v="70593073001001"/>
    <n v="-75.67"/>
    <n v="1610"/>
    <n v="1"/>
    <n v="1"/>
  </r>
  <r>
    <m/>
    <m/>
    <x v="1"/>
    <s v="70620955003003"/>
    <n v="-16.54"/>
    <n v="352"/>
    <n v="1"/>
    <n v="1"/>
  </r>
  <r>
    <m/>
    <m/>
    <x v="1"/>
    <s v="70723544001001"/>
    <n v="-71.44"/>
    <n v="1520"/>
    <n v="1"/>
    <n v="1"/>
  </r>
  <r>
    <m/>
    <m/>
    <x v="1"/>
    <s v="70761570001001"/>
    <n v="-1.32"/>
    <n v="28"/>
    <n v="1"/>
    <n v="1"/>
  </r>
  <r>
    <m/>
    <m/>
    <x v="1"/>
    <s v="71047342001002"/>
    <n v="-0.47"/>
    <n v="10"/>
    <n v="1"/>
    <n v="1"/>
  </r>
  <r>
    <m/>
    <m/>
    <x v="1"/>
    <s v="71067872001007"/>
    <n v="-14.71"/>
    <n v="313"/>
    <n v="1"/>
    <n v="1"/>
  </r>
  <r>
    <m/>
    <m/>
    <x v="1"/>
    <s v="71196011001009"/>
    <n v="-71.209999999999994"/>
    <n v="1515"/>
    <n v="1"/>
    <n v="1"/>
  </r>
  <r>
    <m/>
    <m/>
    <x v="1"/>
    <s v="71297342003003"/>
    <n v="-7.1"/>
    <n v="151"/>
    <n v="1"/>
    <n v="1"/>
  </r>
  <r>
    <m/>
    <m/>
    <x v="1"/>
    <s v="71391581006001"/>
    <n v="-56.07"/>
    <n v="1193"/>
    <n v="1"/>
    <n v="1"/>
  </r>
  <r>
    <m/>
    <m/>
    <x v="1"/>
    <s v="71502529001003"/>
    <n v="-1.74"/>
    <n v="37"/>
    <n v="1"/>
    <n v="1"/>
  </r>
  <r>
    <m/>
    <m/>
    <x v="1"/>
    <s v="71520788001007"/>
    <n v="-2.2599999999999998"/>
    <n v="48"/>
    <n v="1"/>
    <n v="1"/>
  </r>
  <r>
    <m/>
    <m/>
    <x v="1"/>
    <s v="71769014004002"/>
    <n v="-40.229999999999997"/>
    <n v="856"/>
    <n v="1"/>
    <n v="1"/>
  </r>
  <r>
    <m/>
    <m/>
    <x v="1"/>
    <s v="71833276001003"/>
    <n v="-11"/>
    <n v="234"/>
    <n v="1"/>
    <n v="1"/>
  </r>
  <r>
    <m/>
    <m/>
    <x v="1"/>
    <s v="71897700001003"/>
    <n v="-20.45"/>
    <n v="435"/>
    <n v="1"/>
    <n v="1"/>
  </r>
  <r>
    <m/>
    <m/>
    <x v="1"/>
    <s v="71925425001001"/>
    <n v="-40.28"/>
    <n v="857"/>
    <n v="1"/>
    <n v="1"/>
  </r>
  <r>
    <m/>
    <m/>
    <x v="1"/>
    <s v="71997040001001"/>
    <n v="-14.43"/>
    <n v="307"/>
    <n v="1"/>
    <n v="1"/>
  </r>
  <r>
    <m/>
    <m/>
    <x v="1"/>
    <s v="72034597001001"/>
    <n v="-11.75"/>
    <n v="250"/>
    <n v="1"/>
    <n v="1"/>
  </r>
  <r>
    <m/>
    <m/>
    <x v="1"/>
    <s v="72074341001003"/>
    <n v="-51.23"/>
    <n v="1090"/>
    <n v="1"/>
    <n v="1"/>
  </r>
  <r>
    <m/>
    <m/>
    <x v="1"/>
    <s v="72106643001003"/>
    <n v="-100.11"/>
    <n v="2130"/>
    <n v="1"/>
    <n v="1"/>
  </r>
  <r>
    <m/>
    <m/>
    <x v="1"/>
    <s v="72129383001001"/>
    <n v="-20.3"/>
    <n v="432"/>
    <n v="1"/>
    <n v="1"/>
  </r>
  <r>
    <m/>
    <m/>
    <x v="1"/>
    <s v="72163255001003"/>
    <n v="-4.75"/>
    <n v="101"/>
    <n v="1"/>
    <n v="1"/>
  </r>
  <r>
    <m/>
    <m/>
    <x v="1"/>
    <s v="72174875001001"/>
    <n v="-15.93"/>
    <n v="339"/>
    <n v="1"/>
    <n v="1"/>
  </r>
  <r>
    <m/>
    <m/>
    <x v="1"/>
    <s v="72480056001001"/>
    <n v="-41.83"/>
    <n v="890"/>
    <n v="1"/>
    <n v="1"/>
  </r>
  <r>
    <m/>
    <m/>
    <x v="1"/>
    <s v="72489193001001"/>
    <n v="-105.8"/>
    <n v="2251"/>
    <n v="1"/>
    <n v="1"/>
  </r>
  <r>
    <m/>
    <m/>
    <x v="1"/>
    <s v="72649617001013"/>
    <n v="-18.190000000000001"/>
    <n v="387"/>
    <n v="1"/>
    <n v="1"/>
  </r>
  <r>
    <m/>
    <m/>
    <x v="1"/>
    <s v="72668251001001"/>
    <n v="-26.46"/>
    <n v="563"/>
    <n v="1"/>
    <n v="1"/>
  </r>
  <r>
    <m/>
    <m/>
    <x v="1"/>
    <s v="72693737001001"/>
    <n v="-41.64"/>
    <n v="886"/>
    <n v="1"/>
    <n v="1"/>
  </r>
  <r>
    <m/>
    <m/>
    <x v="1"/>
    <s v="72779015001004"/>
    <n v="-43.62"/>
    <n v="928"/>
    <n v="1"/>
    <n v="1"/>
  </r>
  <r>
    <m/>
    <m/>
    <x v="1"/>
    <s v="73047819001006"/>
    <n v="-18"/>
    <n v="383"/>
    <n v="1"/>
    <n v="1"/>
  </r>
  <r>
    <m/>
    <m/>
    <x v="1"/>
    <s v="73073162002001"/>
    <n v="-0.75"/>
    <n v="16"/>
    <n v="1"/>
    <n v="1"/>
  </r>
  <r>
    <m/>
    <m/>
    <x v="1"/>
    <s v="73088070001002"/>
    <n v="-35.44"/>
    <n v="754"/>
    <n v="1"/>
    <n v="1"/>
  </r>
  <r>
    <m/>
    <m/>
    <x v="1"/>
    <s v="73099039001001"/>
    <n v="-1.88"/>
    <n v="40"/>
    <n v="1"/>
    <n v="1"/>
  </r>
  <r>
    <m/>
    <m/>
    <x v="1"/>
    <s v="73108651001003"/>
    <n v="-6.53"/>
    <n v="139"/>
    <n v="1"/>
    <n v="1"/>
  </r>
  <r>
    <m/>
    <m/>
    <x v="1"/>
    <s v="73173555001001"/>
    <n v="-27.35"/>
    <n v="582"/>
    <n v="1"/>
    <n v="1"/>
  </r>
  <r>
    <m/>
    <m/>
    <x v="1"/>
    <s v="73183610001001"/>
    <n v="-0.52"/>
    <n v="11"/>
    <n v="1"/>
    <n v="1"/>
  </r>
  <r>
    <m/>
    <m/>
    <x v="1"/>
    <s v="73477303001005"/>
    <n v="-5.73"/>
    <n v="122"/>
    <n v="1"/>
    <n v="1"/>
  </r>
  <r>
    <m/>
    <m/>
    <x v="1"/>
    <s v="73571632001001"/>
    <n v="-3.01"/>
    <n v="64"/>
    <n v="1"/>
    <n v="1"/>
  </r>
  <r>
    <m/>
    <m/>
    <x v="1"/>
    <s v="73591467001002"/>
    <n v="-1.22"/>
    <n v="26"/>
    <n v="1"/>
    <n v="1"/>
  </r>
  <r>
    <m/>
    <m/>
    <x v="1"/>
    <s v="73605650001001"/>
    <n v="-0.09"/>
    <n v="2"/>
    <n v="1"/>
    <n v="1"/>
  </r>
  <r>
    <m/>
    <m/>
    <x v="1"/>
    <s v="73718834002001"/>
    <n v="-3.29"/>
    <n v="70"/>
    <n v="1"/>
    <n v="1"/>
  </r>
  <r>
    <m/>
    <m/>
    <x v="1"/>
    <s v="73774640001002"/>
    <n v="-66.599999999999994"/>
    <n v="1417"/>
    <n v="1"/>
    <n v="1"/>
  </r>
  <r>
    <m/>
    <m/>
    <x v="1"/>
    <s v="73774824001005"/>
    <n v="-2.96"/>
    <n v="63"/>
    <n v="1"/>
    <n v="1"/>
  </r>
  <r>
    <m/>
    <m/>
    <x v="1"/>
    <s v="74039552001001"/>
    <n v="-10.95"/>
    <n v="233"/>
    <n v="1"/>
    <n v="1"/>
  </r>
  <r>
    <m/>
    <m/>
    <x v="1"/>
    <s v="74076340001003"/>
    <n v="-0.38"/>
    <n v="8"/>
    <n v="1"/>
    <n v="1"/>
  </r>
  <r>
    <m/>
    <m/>
    <x v="1"/>
    <s v="74197454001001"/>
    <n v="-11.7"/>
    <n v="249"/>
    <n v="1"/>
    <n v="1"/>
  </r>
  <r>
    <m/>
    <m/>
    <x v="1"/>
    <s v="74242350003001"/>
    <n v="-2.87"/>
    <n v="61"/>
    <n v="1"/>
    <n v="1"/>
  </r>
  <r>
    <m/>
    <m/>
    <x v="1"/>
    <s v="74312616001001"/>
    <n v="-0.8"/>
    <n v="17"/>
    <n v="1"/>
    <n v="1"/>
  </r>
  <r>
    <m/>
    <m/>
    <x v="1"/>
    <s v="74322803001001"/>
    <n v="-22.33"/>
    <n v="475"/>
    <n v="1"/>
    <n v="1"/>
  </r>
  <r>
    <m/>
    <m/>
    <x v="1"/>
    <s v="74325215001001"/>
    <n v="-22.56"/>
    <n v="480"/>
    <n v="1"/>
    <n v="1"/>
  </r>
  <r>
    <m/>
    <m/>
    <x v="1"/>
    <s v="74386329001002"/>
    <n v="-42.25"/>
    <n v="899"/>
    <n v="1"/>
    <n v="1"/>
  </r>
  <r>
    <m/>
    <m/>
    <x v="1"/>
    <s v="74429992001006"/>
    <n v="-3.06"/>
    <n v="65"/>
    <n v="1"/>
    <n v="1"/>
  </r>
  <r>
    <m/>
    <m/>
    <x v="1"/>
    <s v="74440719001001"/>
    <n v="-6.11"/>
    <n v="130"/>
    <n v="1"/>
    <n v="1"/>
  </r>
  <r>
    <m/>
    <m/>
    <x v="1"/>
    <s v="74480128001001"/>
    <n v="-5.03"/>
    <n v="107"/>
    <n v="1"/>
    <n v="1"/>
  </r>
  <r>
    <m/>
    <m/>
    <x v="1"/>
    <s v="74897585001003"/>
    <n v="-2.54"/>
    <n v="54"/>
    <n v="1"/>
    <n v="1"/>
  </r>
  <r>
    <m/>
    <m/>
    <x v="1"/>
    <s v="74916061001001"/>
    <n v="-33.46"/>
    <n v="712"/>
    <n v="1"/>
    <n v="1"/>
  </r>
  <r>
    <m/>
    <m/>
    <x v="1"/>
    <s v="74921730001003"/>
    <n v="-45.87"/>
    <n v="976"/>
    <n v="1"/>
    <n v="1"/>
  </r>
  <r>
    <m/>
    <m/>
    <x v="1"/>
    <s v="74985601001004"/>
    <n v="-7.29"/>
    <n v="155"/>
    <n v="1"/>
    <n v="1"/>
  </r>
  <r>
    <m/>
    <m/>
    <x v="1"/>
    <s v="75149375001006"/>
    <n v="-48.03"/>
    <n v="1022"/>
    <n v="1"/>
    <n v="1"/>
  </r>
  <r>
    <m/>
    <m/>
    <x v="1"/>
    <s v="75290016001010"/>
    <n v="-18"/>
    <n v="383"/>
    <n v="1"/>
    <n v="1"/>
  </r>
  <r>
    <m/>
    <m/>
    <x v="1"/>
    <s v="75539286001003"/>
    <n v="-2.2599999999999998"/>
    <n v="48"/>
    <n v="1"/>
    <n v="1"/>
  </r>
  <r>
    <m/>
    <m/>
    <x v="1"/>
    <s v="75599421001001"/>
    <n v="-21.2"/>
    <n v="451"/>
    <n v="1"/>
    <n v="1"/>
  </r>
  <r>
    <m/>
    <m/>
    <x v="1"/>
    <s v="75656650001006"/>
    <n v="-70.78"/>
    <n v="1506"/>
    <n v="1"/>
    <n v="1"/>
  </r>
  <r>
    <m/>
    <m/>
    <x v="1"/>
    <s v="75795046001003"/>
    <n v="-31.11"/>
    <n v="662"/>
    <n v="1"/>
    <n v="1"/>
  </r>
  <r>
    <m/>
    <m/>
    <x v="1"/>
    <s v="76126934004001"/>
    <n v="-3.76"/>
    <n v="80"/>
    <n v="1"/>
    <n v="1"/>
  </r>
  <r>
    <m/>
    <m/>
    <x v="1"/>
    <s v="76205410001002"/>
    <n v="-8.3699999999999992"/>
    <n v="178"/>
    <n v="1"/>
    <n v="1"/>
  </r>
  <r>
    <m/>
    <m/>
    <x v="1"/>
    <s v="76321169001002"/>
    <n v="-10.43"/>
    <n v="222"/>
    <n v="1"/>
    <n v="1"/>
  </r>
  <r>
    <m/>
    <m/>
    <x v="1"/>
    <s v="76563942002003"/>
    <n v="-3.01"/>
    <n v="64"/>
    <n v="1"/>
    <n v="1"/>
  </r>
  <r>
    <m/>
    <m/>
    <x v="1"/>
    <s v="76757615001002"/>
    <n v="-21.2"/>
    <n v="451"/>
    <n v="1"/>
    <n v="1"/>
  </r>
  <r>
    <m/>
    <m/>
    <x v="1"/>
    <s v="76840100001001"/>
    <n v="-17.25"/>
    <n v="367"/>
    <n v="1"/>
    <n v="1"/>
  </r>
  <r>
    <m/>
    <m/>
    <x v="1"/>
    <s v="76903196001004"/>
    <n v="-31.21"/>
    <n v="664"/>
    <n v="1"/>
    <n v="1"/>
  </r>
  <r>
    <m/>
    <m/>
    <x v="1"/>
    <s v="77007576001003"/>
    <n v="-6.53"/>
    <n v="139"/>
    <n v="1"/>
    <n v="1"/>
  </r>
  <r>
    <m/>
    <m/>
    <x v="1"/>
    <s v="77028597002005"/>
    <n v="-0.71"/>
    <n v="15"/>
    <n v="1"/>
    <n v="1"/>
  </r>
  <r>
    <m/>
    <m/>
    <x v="1"/>
    <s v="77098046002002"/>
    <n v="-6.39"/>
    <n v="136"/>
    <n v="1"/>
    <n v="1"/>
  </r>
  <r>
    <m/>
    <m/>
    <x v="1"/>
    <s v="77501830002003"/>
    <n v="-0.85"/>
    <n v="18"/>
    <n v="1"/>
    <n v="1"/>
  </r>
  <r>
    <m/>
    <m/>
    <x v="1"/>
    <s v="77524629001001"/>
    <n v="-26.7"/>
    <n v="568"/>
    <n v="1"/>
    <n v="1"/>
  </r>
  <r>
    <m/>
    <m/>
    <x v="1"/>
    <s v="77671725001005"/>
    <n v="-1.69"/>
    <n v="36"/>
    <n v="1"/>
    <n v="1"/>
  </r>
  <r>
    <m/>
    <m/>
    <x v="1"/>
    <s v="77965715001003"/>
    <n v="-0.66"/>
    <n v="14"/>
    <n v="1"/>
    <n v="1"/>
  </r>
  <r>
    <m/>
    <m/>
    <x v="1"/>
    <s v="78062825001003"/>
    <n v="-2.68"/>
    <n v="57"/>
    <n v="1"/>
    <n v="1"/>
  </r>
  <r>
    <m/>
    <m/>
    <x v="1"/>
    <s v="78192804001002"/>
    <n v="-7"/>
    <n v="149"/>
    <n v="1"/>
    <n v="1"/>
  </r>
  <r>
    <m/>
    <m/>
    <x v="1"/>
    <s v="78363739001001"/>
    <n v="-54.61"/>
    <n v="1162"/>
    <n v="1"/>
    <n v="1"/>
  </r>
  <r>
    <m/>
    <m/>
    <x v="1"/>
    <s v="78933573001002"/>
    <n v="-56.78"/>
    <n v="1208"/>
    <n v="1"/>
    <n v="1"/>
  </r>
  <r>
    <m/>
    <m/>
    <x v="1"/>
    <s v="79229022001003"/>
    <n v="-18.47"/>
    <n v="393"/>
    <n v="1"/>
    <n v="1"/>
  </r>
  <r>
    <m/>
    <m/>
    <x v="1"/>
    <s v="79283500001002"/>
    <n v="-13.49"/>
    <n v="287"/>
    <n v="1"/>
    <n v="1"/>
  </r>
  <r>
    <m/>
    <m/>
    <x v="1"/>
    <s v="79306812001001"/>
    <n v="-9.68"/>
    <n v="206"/>
    <n v="1"/>
    <n v="1"/>
  </r>
  <r>
    <m/>
    <m/>
    <x v="1"/>
    <s v="79770536002001"/>
    <n v="-133.01"/>
    <n v="2830"/>
    <n v="1"/>
    <n v="1"/>
  </r>
  <r>
    <m/>
    <m/>
    <x v="1"/>
    <s v="79923140001002"/>
    <n v="-9.26"/>
    <n v="197"/>
    <n v="1"/>
    <n v="1"/>
  </r>
  <r>
    <m/>
    <m/>
    <x v="1"/>
    <s v="79932201001006"/>
    <n v="-13.63"/>
    <n v="290"/>
    <n v="1"/>
    <n v="1"/>
  </r>
  <r>
    <m/>
    <m/>
    <x v="1"/>
    <s v="79992996001001"/>
    <n v="-1.46"/>
    <n v="31"/>
    <n v="1"/>
    <n v="1"/>
  </r>
  <r>
    <m/>
    <m/>
    <x v="1"/>
    <s v="80001757001001"/>
    <n v="-19.32"/>
    <n v="411"/>
    <n v="1"/>
    <n v="1"/>
  </r>
  <r>
    <m/>
    <m/>
    <x v="1"/>
    <s v="80550984001003"/>
    <n v="-1.46"/>
    <n v="31"/>
    <n v="1"/>
    <n v="1"/>
  </r>
  <r>
    <m/>
    <m/>
    <x v="1"/>
    <s v="80917149001001"/>
    <n v="-0.8"/>
    <n v="17"/>
    <n v="1"/>
    <n v="1"/>
  </r>
  <r>
    <m/>
    <m/>
    <x v="1"/>
    <s v="80918426001002"/>
    <n v="-24.06"/>
    <n v="512"/>
    <n v="1"/>
    <n v="1"/>
  </r>
  <r>
    <m/>
    <m/>
    <x v="1"/>
    <s v="80961881001005"/>
    <n v="-16.36"/>
    <n v="348"/>
    <n v="1"/>
    <n v="1"/>
  </r>
  <r>
    <m/>
    <m/>
    <x v="1"/>
    <s v="81092601001003"/>
    <n v="-12.88"/>
    <n v="274"/>
    <n v="1"/>
    <n v="1"/>
  </r>
  <r>
    <m/>
    <m/>
    <x v="1"/>
    <s v="81336263001001"/>
    <n v="-2.59"/>
    <n v="55"/>
    <n v="1"/>
    <n v="1"/>
  </r>
  <r>
    <m/>
    <m/>
    <x v="1"/>
    <s v="81498585001003"/>
    <n v="-3.34"/>
    <n v="71"/>
    <n v="1"/>
    <n v="1"/>
  </r>
  <r>
    <m/>
    <m/>
    <x v="1"/>
    <s v="81500226001001"/>
    <n v="-38.82"/>
    <n v="826"/>
    <n v="1"/>
    <n v="1"/>
  </r>
  <r>
    <m/>
    <m/>
    <x v="1"/>
    <s v="81762889001004"/>
    <n v="-4.9800000000000004"/>
    <n v="106"/>
    <n v="1"/>
    <n v="1"/>
  </r>
  <r>
    <m/>
    <m/>
    <x v="1"/>
    <s v="81782046001003"/>
    <n v="-20.350000000000001"/>
    <n v="433"/>
    <n v="1"/>
    <n v="1"/>
  </r>
  <r>
    <m/>
    <m/>
    <x v="1"/>
    <s v="81908653002007"/>
    <n v="-12.08"/>
    <n v="257"/>
    <n v="1"/>
    <n v="1"/>
  </r>
  <r>
    <m/>
    <m/>
    <x v="1"/>
    <s v="81944374001004"/>
    <n v="-0.85"/>
    <n v="18"/>
    <n v="1"/>
    <n v="1"/>
  </r>
  <r>
    <m/>
    <m/>
    <x v="1"/>
    <s v="81978497001001"/>
    <n v="-4.51"/>
    <n v="96"/>
    <n v="1"/>
    <n v="1"/>
  </r>
  <r>
    <m/>
    <m/>
    <x v="1"/>
    <s v="82041298001001"/>
    <n v="-52.5"/>
    <n v="1117"/>
    <n v="1"/>
    <n v="1"/>
  </r>
  <r>
    <m/>
    <m/>
    <x v="1"/>
    <s v="82204885001007"/>
    <n v="-20.45"/>
    <n v="435"/>
    <n v="1"/>
    <n v="1"/>
  </r>
  <r>
    <m/>
    <m/>
    <x v="1"/>
    <s v="82239948003003"/>
    <n v="-68.099999999999994"/>
    <n v="1449"/>
    <n v="1"/>
    <n v="1"/>
  </r>
  <r>
    <m/>
    <m/>
    <x v="1"/>
    <s v="82551362001003"/>
    <n v="-35.53"/>
    <n v="756"/>
    <n v="1"/>
    <n v="1"/>
  </r>
  <r>
    <m/>
    <m/>
    <x v="1"/>
    <s v="82738895001002"/>
    <n v="-76.23"/>
    <n v="1622"/>
    <n v="1"/>
    <n v="1"/>
  </r>
  <r>
    <m/>
    <m/>
    <x v="1"/>
    <s v="82742339002001"/>
    <n v="-19.13"/>
    <n v="407"/>
    <n v="1"/>
    <n v="1"/>
  </r>
  <r>
    <m/>
    <m/>
    <x v="1"/>
    <s v="82896055001001"/>
    <n v="-0.71"/>
    <n v="15"/>
    <n v="1"/>
    <n v="1"/>
  </r>
  <r>
    <m/>
    <m/>
    <x v="1"/>
    <s v="82956544001001"/>
    <n v="-6.44"/>
    <n v="137"/>
    <n v="1"/>
    <n v="1"/>
  </r>
  <r>
    <m/>
    <m/>
    <x v="1"/>
    <s v="83009929002001"/>
    <n v="-6.2"/>
    <n v="132"/>
    <n v="1"/>
    <n v="1"/>
  </r>
  <r>
    <m/>
    <m/>
    <x v="1"/>
    <s v="83293149001005"/>
    <n v="-27.82"/>
    <n v="592"/>
    <n v="1"/>
    <n v="1"/>
  </r>
  <r>
    <m/>
    <m/>
    <x v="1"/>
    <s v="83298969001003"/>
    <n v="-5.03"/>
    <n v="107"/>
    <n v="1"/>
    <n v="1"/>
  </r>
  <r>
    <m/>
    <m/>
    <x v="1"/>
    <s v="83316320002001"/>
    <n v="-24.25"/>
    <n v="516"/>
    <n v="1"/>
    <n v="1"/>
  </r>
  <r>
    <m/>
    <m/>
    <x v="1"/>
    <s v="83336149003004"/>
    <n v="-1.1299999999999999"/>
    <n v="24"/>
    <n v="1"/>
    <n v="1"/>
  </r>
  <r>
    <m/>
    <m/>
    <x v="1"/>
    <s v="83341239005003"/>
    <n v="-2.0699999999999998"/>
    <n v="44"/>
    <n v="1"/>
    <n v="1"/>
  </r>
  <r>
    <m/>
    <m/>
    <x v="1"/>
    <s v="83403016001001"/>
    <n v="-21.76"/>
    <n v="463"/>
    <n v="1"/>
    <n v="1"/>
  </r>
  <r>
    <m/>
    <m/>
    <x v="1"/>
    <s v="83532056001002"/>
    <n v="-16.36"/>
    <n v="348"/>
    <n v="1"/>
    <n v="1"/>
  </r>
  <r>
    <m/>
    <m/>
    <x v="1"/>
    <s v="83534984001009"/>
    <n v="-15.56"/>
    <n v="331"/>
    <n v="1"/>
    <n v="1"/>
  </r>
  <r>
    <m/>
    <m/>
    <x v="1"/>
    <s v="83665512001001"/>
    <n v="-0.99"/>
    <n v="21"/>
    <n v="1"/>
    <n v="1"/>
  </r>
  <r>
    <m/>
    <m/>
    <x v="1"/>
    <s v="83822694001003"/>
    <n v="-0.47"/>
    <n v="10"/>
    <n v="1"/>
    <n v="1"/>
  </r>
  <r>
    <m/>
    <m/>
    <x v="1"/>
    <s v="83899589001009"/>
    <n v="-30.32"/>
    <n v="645"/>
    <n v="1"/>
    <n v="1"/>
  </r>
  <r>
    <m/>
    <m/>
    <x v="1"/>
    <s v="84058371001003"/>
    <n v="-55.13"/>
    <n v="1173"/>
    <n v="1"/>
    <n v="1"/>
  </r>
  <r>
    <m/>
    <m/>
    <x v="1"/>
    <s v="84172805003003"/>
    <n v="-1.55"/>
    <n v="33"/>
    <n v="1"/>
    <n v="1"/>
  </r>
  <r>
    <m/>
    <m/>
    <x v="1"/>
    <s v="84270072001001"/>
    <n v="-20.399999999999999"/>
    <n v="434"/>
    <n v="1"/>
    <n v="1"/>
  </r>
  <r>
    <m/>
    <m/>
    <x v="1"/>
    <s v="84323944001003"/>
    <n v="-2.0699999999999998"/>
    <n v="44"/>
    <n v="1"/>
    <n v="1"/>
  </r>
  <r>
    <m/>
    <m/>
    <x v="1"/>
    <s v="84892204001006"/>
    <n v="-52.03"/>
    <n v="1107"/>
    <n v="1"/>
    <n v="1"/>
  </r>
  <r>
    <m/>
    <m/>
    <x v="1"/>
    <s v="84968906001001"/>
    <n v="-11.33"/>
    <n v="241"/>
    <n v="1"/>
    <n v="1"/>
  </r>
  <r>
    <m/>
    <m/>
    <x v="1"/>
    <s v="85026024001001"/>
    <n v="-13.44"/>
    <n v="286"/>
    <n v="1"/>
    <n v="1"/>
  </r>
  <r>
    <m/>
    <m/>
    <x v="1"/>
    <s v="85036880003001"/>
    <n v="-6.53"/>
    <n v="139"/>
    <n v="1"/>
    <n v="1"/>
  </r>
  <r>
    <m/>
    <m/>
    <x v="1"/>
    <s v="85177812001001"/>
    <n v="-0.94"/>
    <n v="20"/>
    <n v="1"/>
    <n v="1"/>
  </r>
  <r>
    <m/>
    <m/>
    <x v="1"/>
    <s v="85292110001006"/>
    <n v="-61.95"/>
    <n v="1318"/>
    <n v="1"/>
    <n v="1"/>
  </r>
  <r>
    <m/>
    <m/>
    <x v="1"/>
    <s v="85307300001016"/>
    <n v="-37.74"/>
    <n v="803"/>
    <n v="1"/>
    <n v="1"/>
  </r>
  <r>
    <m/>
    <m/>
    <x v="1"/>
    <s v="85313155001006"/>
    <n v="-6.25"/>
    <n v="133"/>
    <n v="1"/>
    <n v="1"/>
  </r>
  <r>
    <m/>
    <m/>
    <x v="1"/>
    <s v="85368082001007"/>
    <n v="-8.1300000000000008"/>
    <n v="173"/>
    <n v="1"/>
    <n v="1"/>
  </r>
  <r>
    <m/>
    <m/>
    <x v="1"/>
    <s v="85443154001001"/>
    <n v="-67.260000000000005"/>
    <n v="1431"/>
    <n v="1"/>
    <n v="1"/>
  </r>
  <r>
    <m/>
    <m/>
    <x v="1"/>
    <s v="85593168001001"/>
    <n v="-57.06"/>
    <n v="1214"/>
    <n v="1"/>
    <n v="1"/>
  </r>
  <r>
    <m/>
    <m/>
    <x v="1"/>
    <s v="85645329001001"/>
    <n v="-4.6100000000000003"/>
    <n v="98"/>
    <n v="1"/>
    <n v="1"/>
  </r>
  <r>
    <m/>
    <m/>
    <x v="1"/>
    <s v="85663723001011"/>
    <n v="-59.17"/>
    <n v="1259"/>
    <n v="1"/>
    <n v="1"/>
  </r>
  <r>
    <m/>
    <m/>
    <x v="1"/>
    <s v="85697603001001"/>
    <n v="-13.07"/>
    <n v="278"/>
    <n v="1"/>
    <n v="1"/>
  </r>
  <r>
    <m/>
    <m/>
    <x v="1"/>
    <s v="86044117001001"/>
    <n v="-7.33"/>
    <n v="156"/>
    <n v="1"/>
    <n v="1"/>
  </r>
  <r>
    <m/>
    <m/>
    <x v="1"/>
    <s v="86054286001001"/>
    <n v="-1.65"/>
    <n v="35"/>
    <n v="1"/>
    <n v="1"/>
  </r>
  <r>
    <m/>
    <m/>
    <x v="1"/>
    <s v="86530686001001"/>
    <n v="-83.19"/>
    <n v="1770"/>
    <n v="1"/>
    <n v="1"/>
  </r>
  <r>
    <m/>
    <m/>
    <x v="1"/>
    <s v="86694899002003"/>
    <n v="-22.37"/>
    <n v="476"/>
    <n v="1"/>
    <n v="1"/>
  </r>
  <r>
    <m/>
    <m/>
    <x v="1"/>
    <s v="86709161001013"/>
    <n v="-12.03"/>
    <n v="256"/>
    <n v="1"/>
    <n v="1"/>
  </r>
  <r>
    <m/>
    <m/>
    <x v="1"/>
    <s v="86983732001001"/>
    <n v="-35.86"/>
    <n v="763"/>
    <n v="1"/>
    <n v="1"/>
  </r>
  <r>
    <m/>
    <m/>
    <x v="1"/>
    <s v="86997021001001"/>
    <n v="-11.05"/>
    <n v="235"/>
    <n v="1"/>
    <n v="1"/>
  </r>
  <r>
    <m/>
    <m/>
    <x v="1"/>
    <s v="87014077001006"/>
    <n v="-13.87"/>
    <n v="295"/>
    <n v="1"/>
    <n v="1"/>
  </r>
  <r>
    <m/>
    <m/>
    <x v="1"/>
    <s v="87059621002001"/>
    <n v="-40"/>
    <n v="851"/>
    <n v="1"/>
    <n v="1"/>
  </r>
  <r>
    <m/>
    <m/>
    <x v="1"/>
    <s v="87070925001002"/>
    <n v="-2.12"/>
    <n v="45"/>
    <n v="1"/>
    <n v="1"/>
  </r>
  <r>
    <m/>
    <m/>
    <x v="1"/>
    <s v="87236238001001"/>
    <n v="-75.06"/>
    <n v="1597"/>
    <n v="1"/>
    <n v="1"/>
  </r>
  <r>
    <m/>
    <m/>
    <x v="1"/>
    <s v="87251090001001"/>
    <n v="-4.51"/>
    <n v="96"/>
    <n v="1"/>
    <n v="1"/>
  </r>
  <r>
    <m/>
    <m/>
    <x v="1"/>
    <s v="87298950001009"/>
    <n v="-11.19"/>
    <n v="238"/>
    <n v="1"/>
    <n v="1"/>
  </r>
  <r>
    <m/>
    <m/>
    <x v="1"/>
    <s v="87361385001003"/>
    <n v="-4.8899999999999997"/>
    <n v="104"/>
    <n v="1"/>
    <n v="1"/>
  </r>
  <r>
    <m/>
    <m/>
    <x v="1"/>
    <s v="87518854002005"/>
    <n v="-0.85"/>
    <n v="18"/>
    <n v="1"/>
    <n v="1"/>
  </r>
  <r>
    <m/>
    <m/>
    <x v="1"/>
    <s v="87544588001002"/>
    <n v="-3.67"/>
    <n v="78"/>
    <n v="1"/>
    <n v="1"/>
  </r>
  <r>
    <m/>
    <m/>
    <x v="1"/>
    <s v="87551644002001"/>
    <n v="-42.25"/>
    <n v="899"/>
    <n v="1"/>
    <n v="1"/>
  </r>
  <r>
    <m/>
    <m/>
    <x v="1"/>
    <s v="87556646001001"/>
    <n v="-0.47"/>
    <n v="10"/>
    <n v="1"/>
    <n v="1"/>
  </r>
  <r>
    <m/>
    <m/>
    <x v="1"/>
    <s v="87567739001004"/>
    <n v="-17.16"/>
    <n v="365"/>
    <n v="1"/>
    <n v="1"/>
  </r>
  <r>
    <m/>
    <m/>
    <x v="1"/>
    <s v="87730507001001"/>
    <n v="-18.329999999999998"/>
    <n v="390"/>
    <n v="1"/>
    <n v="1"/>
  </r>
  <r>
    <m/>
    <m/>
    <x v="1"/>
    <s v="87810851004003"/>
    <n v="-73.27"/>
    <n v="1559"/>
    <n v="1"/>
    <n v="1"/>
  </r>
  <r>
    <m/>
    <m/>
    <x v="1"/>
    <s v="88017121001002"/>
    <n v="-3.06"/>
    <n v="65"/>
    <n v="1"/>
    <n v="1"/>
  </r>
  <r>
    <m/>
    <m/>
    <x v="1"/>
    <s v="88060410001002"/>
    <n v="-3.1"/>
    <n v="66"/>
    <n v="1"/>
    <n v="1"/>
  </r>
  <r>
    <m/>
    <m/>
    <x v="1"/>
    <s v="88063060001002"/>
    <n v="-7.8"/>
    <n v="166"/>
    <n v="1"/>
    <n v="1"/>
  </r>
  <r>
    <m/>
    <m/>
    <x v="1"/>
    <s v="88122486001001"/>
    <n v="-18.89"/>
    <n v="402"/>
    <n v="1"/>
    <n v="1"/>
  </r>
  <r>
    <m/>
    <m/>
    <x v="1"/>
    <s v="88142714001001"/>
    <n v="-1.18"/>
    <n v="25"/>
    <n v="1"/>
    <n v="1"/>
  </r>
  <r>
    <m/>
    <m/>
    <x v="1"/>
    <s v="88152741001004"/>
    <n v="-61.95"/>
    <n v="1318"/>
    <n v="1"/>
    <n v="1"/>
  </r>
  <r>
    <m/>
    <m/>
    <x v="1"/>
    <s v="88196768003001"/>
    <n v="-5.5"/>
    <n v="117"/>
    <n v="1"/>
    <n v="1"/>
  </r>
  <r>
    <m/>
    <m/>
    <x v="1"/>
    <s v="88446829001001"/>
    <n v="-19.04"/>
    <n v="405"/>
    <n v="1"/>
    <n v="1"/>
  </r>
  <r>
    <m/>
    <m/>
    <x v="1"/>
    <s v="88484707001005"/>
    <n v="-11.8"/>
    <n v="251"/>
    <n v="1"/>
    <n v="1"/>
  </r>
  <r>
    <m/>
    <m/>
    <x v="1"/>
    <s v="88549766004002"/>
    <n v="-0.14000000000000001"/>
    <n v="3"/>
    <n v="1"/>
    <n v="1"/>
  </r>
  <r>
    <m/>
    <m/>
    <x v="1"/>
    <s v="88744671001001"/>
    <n v="-18.89"/>
    <n v="402"/>
    <n v="1"/>
    <n v="1"/>
  </r>
  <r>
    <m/>
    <m/>
    <x v="1"/>
    <s v="88756758002012"/>
    <n v="-24.35"/>
    <n v="518"/>
    <n v="1"/>
    <n v="1"/>
  </r>
  <r>
    <m/>
    <m/>
    <x v="1"/>
    <s v="88908327001003"/>
    <n v="-14.99"/>
    <n v="319"/>
    <n v="1"/>
    <n v="1"/>
  </r>
  <r>
    <m/>
    <m/>
    <x v="1"/>
    <s v="88998446001001"/>
    <n v="-5.69"/>
    <n v="121"/>
    <n v="1"/>
    <n v="1"/>
  </r>
  <r>
    <m/>
    <m/>
    <x v="1"/>
    <s v="89037466001001"/>
    <n v="-1.08"/>
    <n v="23"/>
    <n v="1"/>
    <n v="1"/>
  </r>
  <r>
    <m/>
    <m/>
    <x v="1"/>
    <s v="89107006001001"/>
    <n v="-18.14"/>
    <n v="386"/>
    <n v="1"/>
    <n v="1"/>
  </r>
  <r>
    <m/>
    <m/>
    <x v="1"/>
    <s v="89128471001009"/>
    <n v="-2.35"/>
    <n v="50"/>
    <n v="1"/>
    <n v="1"/>
  </r>
  <r>
    <m/>
    <m/>
    <x v="1"/>
    <s v="89184529001001"/>
    <n v="-89.96"/>
    <n v="1914"/>
    <n v="1"/>
    <n v="1"/>
  </r>
  <r>
    <m/>
    <m/>
    <x v="1"/>
    <s v="89213833001001"/>
    <n v="-2.96"/>
    <n v="63"/>
    <n v="1"/>
    <n v="1"/>
  </r>
  <r>
    <m/>
    <m/>
    <x v="1"/>
    <s v="89283834002003"/>
    <n v="-15.42"/>
    <n v="328"/>
    <n v="1"/>
    <n v="1"/>
  </r>
  <r>
    <m/>
    <m/>
    <x v="1"/>
    <s v="89594433002001"/>
    <n v="-117.31"/>
    <n v="2496"/>
    <n v="1"/>
    <n v="1"/>
  </r>
  <r>
    <m/>
    <m/>
    <x v="1"/>
    <s v="89636629003001"/>
    <n v="-2.2999999999999998"/>
    <n v="49"/>
    <n v="1"/>
    <n v="1"/>
  </r>
  <r>
    <m/>
    <m/>
    <x v="1"/>
    <s v="89805136001001"/>
    <n v="-7.05"/>
    <n v="150"/>
    <n v="1"/>
    <n v="1"/>
  </r>
  <r>
    <m/>
    <m/>
    <x v="1"/>
    <s v="89900422001003"/>
    <n v="-7"/>
    <n v="149"/>
    <n v="1"/>
    <n v="1"/>
  </r>
  <r>
    <m/>
    <m/>
    <x v="1"/>
    <s v="89962058001001"/>
    <n v="-36.43"/>
    <n v="775"/>
    <n v="1"/>
    <n v="1"/>
  </r>
  <r>
    <m/>
    <m/>
    <x v="1"/>
    <s v="90058594005003"/>
    <n v="-49.4"/>
    <n v="1051"/>
    <n v="1"/>
    <n v="1"/>
  </r>
  <r>
    <m/>
    <m/>
    <x v="1"/>
    <s v="90167563001003"/>
    <n v="-38.68"/>
    <n v="823"/>
    <n v="1"/>
    <n v="1"/>
  </r>
  <r>
    <m/>
    <m/>
    <x v="1"/>
    <s v="90223411001018"/>
    <n v="-0.24"/>
    <n v="5"/>
    <n v="1"/>
    <n v="1"/>
  </r>
  <r>
    <m/>
    <m/>
    <x v="1"/>
    <s v="90326789001003"/>
    <n v="-60.11"/>
    <n v="1279"/>
    <n v="1"/>
    <n v="1"/>
  </r>
  <r>
    <m/>
    <m/>
    <x v="1"/>
    <s v="90376961001005"/>
    <n v="-26.84"/>
    <n v="571"/>
    <n v="1"/>
    <n v="1"/>
  </r>
  <r>
    <m/>
    <m/>
    <x v="1"/>
    <s v="90673462002001"/>
    <n v="-74.400000000000006"/>
    <n v="1583"/>
    <n v="1"/>
    <n v="1"/>
  </r>
  <r>
    <m/>
    <m/>
    <x v="1"/>
    <s v="90740546001001"/>
    <n v="-20.73"/>
    <n v="441"/>
    <n v="1"/>
    <n v="1"/>
  </r>
  <r>
    <m/>
    <m/>
    <x v="1"/>
    <s v="90805481002003"/>
    <n v="-46.25"/>
    <n v="984"/>
    <n v="1"/>
    <n v="1"/>
  </r>
  <r>
    <m/>
    <m/>
    <x v="1"/>
    <s v="90927229001003"/>
    <n v="-26.84"/>
    <n v="571"/>
    <n v="1"/>
    <n v="1"/>
  </r>
  <r>
    <m/>
    <m/>
    <x v="1"/>
    <s v="91085873002001"/>
    <n v="-1.1299999999999999"/>
    <n v="24"/>
    <n v="1"/>
    <n v="1"/>
  </r>
  <r>
    <m/>
    <m/>
    <x v="1"/>
    <s v="91144657001001"/>
    <n v="-0.89"/>
    <n v="19"/>
    <n v="1"/>
    <n v="1"/>
  </r>
  <r>
    <m/>
    <m/>
    <x v="1"/>
    <s v="91155934001001"/>
    <n v="-28.06"/>
    <n v="597"/>
    <n v="1"/>
    <n v="1"/>
  </r>
  <r>
    <m/>
    <m/>
    <x v="1"/>
    <s v="91237440001003"/>
    <n v="-0.99"/>
    <n v="21"/>
    <n v="1"/>
    <n v="1"/>
  </r>
  <r>
    <m/>
    <m/>
    <x v="1"/>
    <s v="91537061004005"/>
    <n v="-47.66"/>
    <n v="1014"/>
    <n v="1"/>
    <n v="1"/>
  </r>
  <r>
    <m/>
    <m/>
    <x v="1"/>
    <s v="91552426001001"/>
    <n v="-0.14000000000000001"/>
    <n v="3"/>
    <n v="1"/>
    <n v="1"/>
  </r>
  <r>
    <m/>
    <m/>
    <x v="1"/>
    <s v="91727388001001"/>
    <n v="-0.75"/>
    <n v="16"/>
    <n v="1"/>
    <n v="1"/>
  </r>
  <r>
    <m/>
    <m/>
    <x v="1"/>
    <s v="91750195001001"/>
    <n v="-1.65"/>
    <n v="35"/>
    <n v="1"/>
    <n v="1"/>
  </r>
  <r>
    <m/>
    <m/>
    <x v="1"/>
    <s v="91759038001001"/>
    <n v="-14.85"/>
    <n v="316"/>
    <n v="1"/>
    <n v="1"/>
  </r>
  <r>
    <m/>
    <m/>
    <x v="1"/>
    <s v="91947072001002"/>
    <n v="-1.55"/>
    <n v="33"/>
    <n v="1"/>
    <n v="1"/>
  </r>
  <r>
    <m/>
    <m/>
    <x v="1"/>
    <s v="92061113001004"/>
    <n v="-6.11"/>
    <n v="130"/>
    <n v="1"/>
    <n v="1"/>
  </r>
  <r>
    <m/>
    <m/>
    <x v="1"/>
    <s v="92139692001003"/>
    <n v="-25.43"/>
    <n v="541"/>
    <n v="1"/>
    <n v="1"/>
  </r>
  <r>
    <m/>
    <m/>
    <x v="1"/>
    <s v="92297397002002"/>
    <n v="-18.66"/>
    <n v="397"/>
    <n v="1"/>
    <n v="1"/>
  </r>
  <r>
    <m/>
    <m/>
    <x v="1"/>
    <s v="92399017001001"/>
    <n v="-13.49"/>
    <n v="287"/>
    <n v="1"/>
    <n v="1"/>
  </r>
  <r>
    <m/>
    <m/>
    <x v="1"/>
    <s v="92408915001007"/>
    <n v="-12.17"/>
    <n v="259"/>
    <n v="1"/>
    <n v="1"/>
  </r>
  <r>
    <m/>
    <m/>
    <x v="1"/>
    <s v="92474314001001"/>
    <n v="-6.49"/>
    <n v="138"/>
    <n v="1"/>
    <n v="1"/>
  </r>
  <r>
    <m/>
    <m/>
    <x v="1"/>
    <s v="92612665001005"/>
    <n v="-33.32"/>
    <n v="709"/>
    <n v="1"/>
    <n v="1"/>
  </r>
  <r>
    <m/>
    <m/>
    <x v="1"/>
    <s v="92643112001001"/>
    <n v="-6.2"/>
    <n v="132"/>
    <n v="1"/>
    <n v="1"/>
  </r>
  <r>
    <m/>
    <m/>
    <x v="1"/>
    <s v="92721092001005"/>
    <n v="-5.26"/>
    <n v="112"/>
    <n v="1"/>
    <n v="1"/>
  </r>
  <r>
    <m/>
    <m/>
    <x v="1"/>
    <s v="92749025001001"/>
    <n v="-34.4"/>
    <n v="732"/>
    <n v="1"/>
    <n v="1"/>
  </r>
  <r>
    <m/>
    <m/>
    <x v="1"/>
    <s v="92883803001003"/>
    <n v="-17.34"/>
    <n v="369"/>
    <n v="1"/>
    <n v="1"/>
  </r>
  <r>
    <m/>
    <m/>
    <x v="1"/>
    <s v="93123792001001"/>
    <n v="-1.83"/>
    <n v="39"/>
    <n v="1"/>
    <n v="1"/>
  </r>
  <r>
    <m/>
    <m/>
    <x v="1"/>
    <s v="93277667005001"/>
    <n v="-7.8"/>
    <n v="166"/>
    <n v="1"/>
    <n v="1"/>
  </r>
  <r>
    <m/>
    <m/>
    <x v="1"/>
    <s v="93293830001004"/>
    <n v="-50.76"/>
    <n v="1080"/>
    <n v="1"/>
    <n v="1"/>
  </r>
  <r>
    <m/>
    <m/>
    <x v="1"/>
    <s v="93304243002003"/>
    <n v="-12.03"/>
    <n v="256"/>
    <n v="1"/>
    <n v="1"/>
  </r>
  <r>
    <m/>
    <m/>
    <x v="1"/>
    <s v="93304318001003"/>
    <n v="-29.38"/>
    <n v="625"/>
    <n v="1"/>
    <n v="1"/>
  </r>
  <r>
    <m/>
    <m/>
    <x v="1"/>
    <s v="93357124001001"/>
    <n v="-2.73"/>
    <n v="58"/>
    <n v="1"/>
    <n v="1"/>
  </r>
  <r>
    <m/>
    <m/>
    <x v="1"/>
    <s v="93453320001012"/>
    <n v="-15.84"/>
    <n v="337"/>
    <n v="1"/>
    <n v="1"/>
  </r>
  <r>
    <m/>
    <m/>
    <x v="1"/>
    <s v="93502736001008"/>
    <n v="-8.5500000000000007"/>
    <n v="182"/>
    <n v="1"/>
    <n v="1"/>
  </r>
  <r>
    <m/>
    <m/>
    <x v="1"/>
    <s v="93626551001001"/>
    <n v="-24.49"/>
    <n v="521"/>
    <n v="1"/>
    <n v="1"/>
  </r>
  <r>
    <m/>
    <m/>
    <x v="1"/>
    <s v="93981586001005"/>
    <n v="-39.76"/>
    <n v="846"/>
    <n v="2"/>
    <n v="1"/>
  </r>
  <r>
    <m/>
    <m/>
    <x v="1"/>
    <s v="94050793001001"/>
    <n v="-7.1"/>
    <n v="151"/>
    <n v="1"/>
    <n v="1"/>
  </r>
  <r>
    <m/>
    <m/>
    <x v="1"/>
    <s v="94085042001001"/>
    <n v="-25.52"/>
    <n v="543"/>
    <n v="1"/>
    <n v="1"/>
  </r>
  <r>
    <m/>
    <m/>
    <x v="1"/>
    <s v="94648149001003"/>
    <n v="-1.1299999999999999"/>
    <n v="24"/>
    <n v="1"/>
    <n v="1"/>
  </r>
  <r>
    <m/>
    <m/>
    <x v="1"/>
    <s v="94788572001004"/>
    <n v="-8.84"/>
    <n v="188"/>
    <n v="1"/>
    <n v="1"/>
  </r>
  <r>
    <m/>
    <m/>
    <x v="1"/>
    <s v="94900294001001"/>
    <n v="-8.93"/>
    <n v="190"/>
    <n v="1"/>
    <n v="1"/>
  </r>
  <r>
    <m/>
    <m/>
    <x v="1"/>
    <s v="95032265001003"/>
    <n v="-26.56"/>
    <n v="565"/>
    <n v="1"/>
    <n v="1"/>
  </r>
  <r>
    <m/>
    <m/>
    <x v="1"/>
    <s v="95117315001002"/>
    <n v="-23.41"/>
    <n v="498"/>
    <n v="1"/>
    <n v="1"/>
  </r>
  <r>
    <m/>
    <m/>
    <x v="1"/>
    <s v="95131113005001"/>
    <n v="-74.5"/>
    <n v="1585"/>
    <n v="1"/>
    <n v="1"/>
  </r>
  <r>
    <m/>
    <m/>
    <x v="1"/>
    <s v="95142141001001"/>
    <n v="-28.06"/>
    <n v="597"/>
    <n v="1"/>
    <n v="1"/>
  </r>
  <r>
    <m/>
    <m/>
    <x v="1"/>
    <s v="95224398001001"/>
    <n v="-35.630000000000003"/>
    <n v="758"/>
    <n v="1"/>
    <n v="1"/>
  </r>
  <r>
    <m/>
    <m/>
    <x v="1"/>
    <s v="95275266001003"/>
    <n v="-0.24"/>
    <n v="5"/>
    <n v="1"/>
    <n v="1"/>
  </r>
  <r>
    <m/>
    <m/>
    <x v="1"/>
    <s v="95773639001006"/>
    <n v="-4.51"/>
    <n v="96"/>
    <n v="1"/>
    <n v="1"/>
  </r>
  <r>
    <m/>
    <m/>
    <x v="1"/>
    <s v="95983524001002"/>
    <n v="-59.83"/>
    <n v="1273"/>
    <n v="1"/>
    <n v="1"/>
  </r>
  <r>
    <m/>
    <m/>
    <x v="1"/>
    <s v="96057942001003"/>
    <n v="-21.06"/>
    <n v="448"/>
    <n v="1"/>
    <n v="1"/>
  </r>
  <r>
    <m/>
    <m/>
    <x v="1"/>
    <s v="96132413001001"/>
    <n v="-5.12"/>
    <n v="109"/>
    <n v="1"/>
    <n v="1"/>
  </r>
  <r>
    <m/>
    <m/>
    <x v="1"/>
    <s v="96145942001001"/>
    <n v="-0.42"/>
    <n v="9"/>
    <n v="1"/>
    <n v="1"/>
  </r>
  <r>
    <m/>
    <m/>
    <x v="1"/>
    <s v="96226382001001"/>
    <n v="-1.97"/>
    <n v="42"/>
    <n v="1"/>
    <n v="1"/>
  </r>
  <r>
    <m/>
    <m/>
    <x v="1"/>
    <s v="96258332001001"/>
    <n v="-4.32"/>
    <n v="92"/>
    <n v="1"/>
    <n v="1"/>
  </r>
  <r>
    <m/>
    <m/>
    <x v="1"/>
    <s v="96385676001003"/>
    <n v="-23.69"/>
    <n v="504"/>
    <n v="1"/>
    <n v="1"/>
  </r>
  <r>
    <m/>
    <m/>
    <x v="1"/>
    <s v="96426781002003"/>
    <n v="-6.25"/>
    <n v="133"/>
    <n v="1"/>
    <n v="1"/>
  </r>
  <r>
    <m/>
    <m/>
    <x v="1"/>
    <s v="96460390002003"/>
    <n v="-0.38"/>
    <n v="8"/>
    <n v="1"/>
    <n v="1"/>
  </r>
  <r>
    <m/>
    <m/>
    <x v="1"/>
    <s v="96578754001001"/>
    <n v="-11.99"/>
    <n v="255"/>
    <n v="1"/>
    <n v="1"/>
  </r>
  <r>
    <m/>
    <m/>
    <x v="1"/>
    <s v="96664201001004"/>
    <n v="-17.440000000000001"/>
    <n v="371"/>
    <n v="1"/>
    <n v="1"/>
  </r>
  <r>
    <m/>
    <m/>
    <x v="1"/>
    <s v="96692526002001"/>
    <n v="-30.69"/>
    <n v="653"/>
    <n v="1"/>
    <n v="1"/>
  </r>
  <r>
    <m/>
    <m/>
    <x v="1"/>
    <s v="96856706001002"/>
    <n v="-6.11"/>
    <n v="130"/>
    <n v="1"/>
    <n v="1"/>
  </r>
  <r>
    <m/>
    <m/>
    <x v="1"/>
    <s v="96913407001002"/>
    <n v="-4.79"/>
    <n v="102"/>
    <n v="1"/>
    <n v="1"/>
  </r>
  <r>
    <m/>
    <m/>
    <x v="1"/>
    <s v="97019963001004"/>
    <n v="-3.62"/>
    <n v="77"/>
    <n v="1"/>
    <n v="1"/>
  </r>
  <r>
    <m/>
    <m/>
    <x v="1"/>
    <s v="97033053001001"/>
    <n v="-53.11"/>
    <n v="1130"/>
    <n v="1"/>
    <n v="1"/>
  </r>
  <r>
    <m/>
    <m/>
    <x v="1"/>
    <s v="97096820001001"/>
    <n v="-1.55"/>
    <n v="33"/>
    <n v="1"/>
    <n v="1"/>
  </r>
  <r>
    <m/>
    <m/>
    <x v="1"/>
    <s v="97150663001009"/>
    <n v="-0.56000000000000005"/>
    <n v="12"/>
    <n v="1"/>
    <n v="1"/>
  </r>
  <r>
    <m/>
    <m/>
    <x v="1"/>
    <s v="97221863001001"/>
    <n v="-53.67"/>
    <n v="1142"/>
    <n v="1"/>
    <n v="1"/>
  </r>
  <r>
    <m/>
    <m/>
    <x v="1"/>
    <s v="97253174003002"/>
    <n v="-25.57"/>
    <n v="544"/>
    <n v="1"/>
    <n v="1"/>
  </r>
  <r>
    <m/>
    <m/>
    <x v="1"/>
    <s v="97461416001006"/>
    <n v="-17.48"/>
    <n v="372"/>
    <n v="1"/>
    <n v="1"/>
  </r>
  <r>
    <m/>
    <m/>
    <x v="1"/>
    <s v="97538964002001"/>
    <n v="-5.31"/>
    <n v="113"/>
    <n v="1"/>
    <n v="1"/>
  </r>
  <r>
    <m/>
    <m/>
    <x v="1"/>
    <s v="97551459001001"/>
    <n v="-18.14"/>
    <n v="386"/>
    <n v="1"/>
    <n v="1"/>
  </r>
  <r>
    <m/>
    <m/>
    <x v="1"/>
    <s v="97636856002001"/>
    <n v="-7.1"/>
    <n v="151"/>
    <n v="1"/>
    <n v="1"/>
  </r>
  <r>
    <m/>
    <m/>
    <x v="1"/>
    <s v="97651944001007"/>
    <n v="-23.27"/>
    <n v="495"/>
    <n v="1"/>
    <n v="1"/>
  </r>
  <r>
    <m/>
    <m/>
    <x v="1"/>
    <s v="97678050001005"/>
    <n v="-5.45"/>
    <n v="116"/>
    <n v="1"/>
    <n v="1"/>
  </r>
  <r>
    <m/>
    <m/>
    <x v="1"/>
    <s v="97885984003001"/>
    <n v="-4.7"/>
    <n v="100"/>
    <n v="1"/>
    <n v="1"/>
  </r>
  <r>
    <m/>
    <m/>
    <x v="1"/>
    <s v="97963093001001"/>
    <n v="-12.22"/>
    <n v="260"/>
    <n v="1"/>
    <n v="1"/>
  </r>
  <r>
    <m/>
    <m/>
    <x v="1"/>
    <s v="98090991002001"/>
    <n v="-10.34"/>
    <n v="220"/>
    <n v="1"/>
    <n v="1"/>
  </r>
  <r>
    <m/>
    <m/>
    <x v="1"/>
    <s v="98163492001001"/>
    <n v="-23.17"/>
    <n v="493"/>
    <n v="1"/>
    <n v="1"/>
  </r>
  <r>
    <m/>
    <m/>
    <x v="1"/>
    <s v="98265055001006"/>
    <n v="-0.47"/>
    <n v="10"/>
    <n v="1"/>
    <n v="1"/>
  </r>
  <r>
    <m/>
    <m/>
    <x v="1"/>
    <s v="98494984001001"/>
    <n v="-2.21"/>
    <n v="47"/>
    <n v="1"/>
    <n v="1"/>
  </r>
  <r>
    <m/>
    <m/>
    <x v="1"/>
    <s v="98496940001004"/>
    <n v="-3.1"/>
    <n v="66"/>
    <n v="1"/>
    <n v="1"/>
  </r>
  <r>
    <m/>
    <m/>
    <x v="1"/>
    <s v="98568936001003"/>
    <n v="-62.28"/>
    <n v="1325"/>
    <n v="1"/>
    <n v="1"/>
  </r>
  <r>
    <m/>
    <m/>
    <x v="1"/>
    <s v="98868264001001"/>
    <n v="-15.13"/>
    <n v="322"/>
    <n v="1"/>
    <n v="1"/>
  </r>
  <r>
    <m/>
    <m/>
    <x v="1"/>
    <s v="98869027002005"/>
    <n v="-7.19"/>
    <n v="153"/>
    <n v="1"/>
    <n v="1"/>
  </r>
  <r>
    <m/>
    <m/>
    <x v="1"/>
    <s v="99141732001002"/>
    <n v="-3.06"/>
    <n v="65"/>
    <n v="1"/>
    <n v="1"/>
  </r>
  <r>
    <m/>
    <m/>
    <x v="1"/>
    <s v="99154035001001"/>
    <n v="-64.39"/>
    <n v="1370"/>
    <n v="1"/>
    <n v="1"/>
  </r>
  <r>
    <m/>
    <m/>
    <x v="1"/>
    <s v="99284431001009"/>
    <n v="-87.14"/>
    <n v="1854"/>
    <n v="1"/>
    <n v="1"/>
  </r>
  <r>
    <m/>
    <m/>
    <x v="1"/>
    <s v="99435304001001"/>
    <n v="-1.74"/>
    <n v="37"/>
    <n v="1"/>
    <n v="1"/>
  </r>
  <r>
    <m/>
    <m/>
    <x v="1"/>
    <s v="99914779006003"/>
    <n v="-9.17"/>
    <n v="195"/>
    <n v="1"/>
    <n v="1"/>
  </r>
  <r>
    <m/>
    <m/>
    <x v="6"/>
    <m/>
    <n v="-28791.990000000005"/>
    <n v="612583"/>
    <n v="1255"/>
    <n v="1247"/>
  </r>
  <r>
    <m/>
    <s v="201112"/>
    <x v="0"/>
    <s v="00277098001001"/>
    <n v="-7.37"/>
    <n v="373"/>
    <n v="1"/>
    <n v="1"/>
  </r>
  <r>
    <m/>
    <m/>
    <x v="1"/>
    <s v="00357993003001"/>
    <n v="-17.84"/>
    <n v="903"/>
    <n v="1"/>
    <n v="1"/>
  </r>
  <r>
    <m/>
    <m/>
    <x v="1"/>
    <s v="00387135001001"/>
    <n v="-57.42"/>
    <n v="2906"/>
    <n v="1"/>
    <n v="1"/>
  </r>
  <r>
    <m/>
    <m/>
    <x v="1"/>
    <s v="00756296002002"/>
    <n v="-36.22"/>
    <n v="1833"/>
    <n v="1"/>
    <n v="1"/>
  </r>
  <r>
    <m/>
    <m/>
    <x v="1"/>
    <s v="01066485001001"/>
    <n v="-28.45"/>
    <n v="1440"/>
    <n v="1"/>
    <n v="1"/>
  </r>
  <r>
    <m/>
    <m/>
    <x v="1"/>
    <s v="01423270002001"/>
    <n v="-25.93"/>
    <n v="1312"/>
    <n v="1"/>
    <n v="1"/>
  </r>
  <r>
    <m/>
    <m/>
    <x v="1"/>
    <s v="01554676001002"/>
    <n v="-2.13"/>
    <n v="108"/>
    <n v="1"/>
    <n v="1"/>
  </r>
  <r>
    <m/>
    <m/>
    <x v="1"/>
    <s v="01589287001003"/>
    <n v="-14.96"/>
    <n v="757"/>
    <n v="1"/>
    <n v="1"/>
  </r>
  <r>
    <m/>
    <m/>
    <x v="1"/>
    <s v="01752705001001"/>
    <n v="-58.57"/>
    <n v="2964"/>
    <n v="1"/>
    <n v="1"/>
  </r>
  <r>
    <m/>
    <m/>
    <x v="1"/>
    <s v="01763997001001"/>
    <n v="-3.62"/>
    <n v="183"/>
    <n v="1"/>
    <n v="1"/>
  </r>
  <r>
    <m/>
    <m/>
    <x v="1"/>
    <s v="01772343001001"/>
    <n v="-65.349999999999994"/>
    <n v="3307"/>
    <n v="1"/>
    <n v="1"/>
  </r>
  <r>
    <m/>
    <m/>
    <x v="1"/>
    <s v="01782458001001"/>
    <n v="-31.02"/>
    <n v="1570"/>
    <n v="1"/>
    <n v="1"/>
  </r>
  <r>
    <m/>
    <m/>
    <x v="1"/>
    <s v="01883451001001"/>
    <n v="-34.74"/>
    <n v="1758"/>
    <n v="1"/>
    <n v="1"/>
  </r>
  <r>
    <m/>
    <m/>
    <x v="1"/>
    <s v="01933876002003"/>
    <n v="-45.17"/>
    <n v="2286"/>
    <n v="1"/>
    <n v="1"/>
  </r>
  <r>
    <m/>
    <m/>
    <x v="1"/>
    <s v="02157263001003"/>
    <n v="-30.94"/>
    <n v="1566"/>
    <n v="1"/>
    <n v="1"/>
  </r>
  <r>
    <m/>
    <m/>
    <x v="1"/>
    <s v="02201812001003"/>
    <n v="-19.21"/>
    <n v="972"/>
    <n v="1"/>
    <n v="1"/>
  </r>
  <r>
    <m/>
    <m/>
    <x v="1"/>
    <s v="02425825002002"/>
    <n v="-26.66"/>
    <n v="1349"/>
    <n v="1"/>
    <n v="1"/>
  </r>
  <r>
    <m/>
    <m/>
    <x v="1"/>
    <s v="02819214001007"/>
    <n v="-30.17"/>
    <n v="1527"/>
    <n v="1"/>
    <n v="1"/>
  </r>
  <r>
    <m/>
    <m/>
    <x v="1"/>
    <s v="03505698001003"/>
    <n v="-44.66"/>
    <n v="2260"/>
    <n v="1"/>
    <n v="1"/>
  </r>
  <r>
    <m/>
    <m/>
    <x v="1"/>
    <s v="03556592002007"/>
    <n v="-12.13"/>
    <n v="614"/>
    <n v="1"/>
    <n v="1"/>
  </r>
  <r>
    <m/>
    <m/>
    <x v="1"/>
    <s v="03563664001001"/>
    <n v="-32.58"/>
    <n v="1649"/>
    <n v="1"/>
    <n v="1"/>
  </r>
  <r>
    <m/>
    <m/>
    <x v="1"/>
    <s v="04052496001003"/>
    <n v="-10.75"/>
    <n v="544"/>
    <n v="1"/>
    <n v="1"/>
  </r>
  <r>
    <m/>
    <m/>
    <x v="1"/>
    <s v="04330395001006"/>
    <n v="-29.58"/>
    <n v="1497"/>
    <n v="1"/>
    <n v="1"/>
  </r>
  <r>
    <m/>
    <m/>
    <x v="1"/>
    <s v="04454218002003"/>
    <n v="-8.85"/>
    <n v="448"/>
    <n v="1"/>
    <n v="1"/>
  </r>
  <r>
    <m/>
    <m/>
    <x v="1"/>
    <s v="05012951001002"/>
    <n v="-37.369999999999997"/>
    <n v="1891"/>
    <n v="1"/>
    <n v="1"/>
  </r>
  <r>
    <m/>
    <m/>
    <x v="1"/>
    <s v="05306126003005"/>
    <n v="-36.24"/>
    <n v="1834"/>
    <n v="1"/>
    <n v="1"/>
  </r>
  <r>
    <m/>
    <m/>
    <x v="1"/>
    <s v="05589577002005"/>
    <n v="-28.59"/>
    <n v="1447"/>
    <n v="1"/>
    <n v="1"/>
  </r>
  <r>
    <m/>
    <m/>
    <x v="1"/>
    <s v="05758127001001"/>
    <n v="-33.75"/>
    <n v="1708"/>
    <n v="1"/>
    <n v="1"/>
  </r>
  <r>
    <m/>
    <m/>
    <x v="1"/>
    <s v="05867332001001"/>
    <n v="-32.840000000000003"/>
    <n v="1662"/>
    <n v="1"/>
    <n v="1"/>
  </r>
  <r>
    <m/>
    <m/>
    <x v="1"/>
    <s v="06290405001001"/>
    <n v="-46.04"/>
    <n v="2330"/>
    <n v="1"/>
    <n v="1"/>
  </r>
  <r>
    <m/>
    <m/>
    <x v="1"/>
    <s v="06414889001004"/>
    <n v="-44.2"/>
    <n v="2237"/>
    <n v="1"/>
    <n v="1"/>
  </r>
  <r>
    <m/>
    <m/>
    <x v="1"/>
    <s v="06477303002003"/>
    <n v="-54.5"/>
    <n v="2758"/>
    <n v="1"/>
    <n v="1"/>
  </r>
  <r>
    <m/>
    <m/>
    <x v="1"/>
    <s v="06525325001005"/>
    <n v="-58.92"/>
    <n v="2982"/>
    <n v="1"/>
    <n v="1"/>
  </r>
  <r>
    <m/>
    <m/>
    <x v="1"/>
    <s v="06751249001005"/>
    <n v="-24.13"/>
    <n v="1221"/>
    <n v="1"/>
    <n v="1"/>
  </r>
  <r>
    <m/>
    <m/>
    <x v="1"/>
    <s v="06752272001001"/>
    <n v="-8.26"/>
    <n v="418"/>
    <n v="1"/>
    <n v="1"/>
  </r>
  <r>
    <m/>
    <m/>
    <x v="1"/>
    <s v="06901257001004"/>
    <n v="-33.99"/>
    <n v="1720"/>
    <n v="1"/>
    <n v="1"/>
  </r>
  <r>
    <m/>
    <m/>
    <x v="1"/>
    <s v="06910038001001"/>
    <n v="-9.82"/>
    <n v="497"/>
    <n v="1"/>
    <n v="1"/>
  </r>
  <r>
    <m/>
    <m/>
    <x v="1"/>
    <s v="06987704001003"/>
    <n v="-79.45"/>
    <n v="4021"/>
    <n v="1"/>
    <n v="1"/>
  </r>
  <r>
    <m/>
    <m/>
    <x v="1"/>
    <s v="07371395001001"/>
    <n v="-49.68"/>
    <n v="2514"/>
    <n v="1"/>
    <n v="1"/>
  </r>
  <r>
    <m/>
    <m/>
    <x v="1"/>
    <s v="07792519004001"/>
    <n v="-14.39"/>
    <n v="728"/>
    <n v="1"/>
    <n v="1"/>
  </r>
  <r>
    <m/>
    <m/>
    <x v="1"/>
    <s v="07806495001002"/>
    <n v="-23.65"/>
    <n v="1197"/>
    <n v="1"/>
    <n v="1"/>
  </r>
  <r>
    <m/>
    <m/>
    <x v="1"/>
    <s v="08190846002001"/>
    <n v="-43.14"/>
    <n v="2183"/>
    <n v="1"/>
    <n v="1"/>
  </r>
  <r>
    <m/>
    <m/>
    <x v="1"/>
    <s v="08205707001001"/>
    <n v="-16.82"/>
    <n v="851"/>
    <n v="1"/>
    <n v="1"/>
  </r>
  <r>
    <m/>
    <m/>
    <x v="1"/>
    <s v="08264904001001"/>
    <n v="-56.57"/>
    <n v="2863"/>
    <n v="1"/>
    <n v="1"/>
  </r>
  <r>
    <m/>
    <m/>
    <x v="1"/>
    <s v="08355466001007"/>
    <n v="-6.9"/>
    <n v="349"/>
    <n v="1"/>
    <n v="1"/>
  </r>
  <r>
    <m/>
    <m/>
    <x v="1"/>
    <s v="08515494002001"/>
    <n v="-44.99"/>
    <n v="2277"/>
    <n v="1"/>
    <n v="1"/>
  </r>
  <r>
    <m/>
    <m/>
    <x v="1"/>
    <s v="08897151001004"/>
    <n v="-52.86"/>
    <n v="2675"/>
    <n v="1"/>
    <n v="1"/>
  </r>
  <r>
    <m/>
    <m/>
    <x v="1"/>
    <s v="08932288001003"/>
    <n v="-8.18"/>
    <n v="414"/>
    <n v="1"/>
    <n v="1"/>
  </r>
  <r>
    <m/>
    <m/>
    <x v="1"/>
    <s v="08937879001001"/>
    <n v="-4.76"/>
    <n v="241"/>
    <n v="1"/>
    <n v="1"/>
  </r>
  <r>
    <m/>
    <m/>
    <x v="1"/>
    <s v="09118704002001"/>
    <n v="-49.16"/>
    <n v="2488"/>
    <n v="1"/>
    <n v="1"/>
  </r>
  <r>
    <m/>
    <m/>
    <x v="1"/>
    <s v="09136354002001"/>
    <n v="-16.14"/>
    <n v="817"/>
    <n v="1"/>
    <n v="1"/>
  </r>
  <r>
    <m/>
    <m/>
    <x v="1"/>
    <s v="09189591001004"/>
    <n v="-37.86"/>
    <n v="1916"/>
    <n v="1"/>
    <n v="1"/>
  </r>
  <r>
    <m/>
    <m/>
    <x v="1"/>
    <s v="09547488001001"/>
    <n v="-42.86"/>
    <n v="2169"/>
    <n v="1"/>
    <n v="1"/>
  </r>
  <r>
    <m/>
    <m/>
    <x v="1"/>
    <s v="09830097001003"/>
    <n v="-30.25"/>
    <n v="1531"/>
    <n v="1"/>
    <n v="1"/>
  </r>
  <r>
    <m/>
    <m/>
    <x v="1"/>
    <s v="10153548001001"/>
    <n v="-22.8"/>
    <n v="1154"/>
    <n v="1"/>
    <n v="1"/>
  </r>
  <r>
    <m/>
    <m/>
    <x v="1"/>
    <s v="10356260001001"/>
    <n v="-48.43"/>
    <n v="2451"/>
    <n v="1"/>
    <n v="1"/>
  </r>
  <r>
    <m/>
    <m/>
    <x v="1"/>
    <s v="10411685001001"/>
    <n v="-40.270000000000003"/>
    <n v="2038"/>
    <n v="1"/>
    <n v="1"/>
  </r>
  <r>
    <m/>
    <m/>
    <x v="1"/>
    <s v="10532169002004"/>
    <n v="-66"/>
    <n v="3340"/>
    <n v="1"/>
    <n v="1"/>
  </r>
  <r>
    <m/>
    <m/>
    <x v="1"/>
    <s v="10650049001003"/>
    <n v="-0.28000000000000003"/>
    <n v="14"/>
    <n v="1"/>
    <n v="1"/>
  </r>
  <r>
    <m/>
    <m/>
    <x v="1"/>
    <s v="10870119001001"/>
    <n v="-15.25"/>
    <n v="772"/>
    <n v="1"/>
    <n v="1"/>
  </r>
  <r>
    <m/>
    <m/>
    <x v="1"/>
    <s v="10948443001012"/>
    <n v="-20.39"/>
    <n v="1032"/>
    <n v="1"/>
    <n v="1"/>
  </r>
  <r>
    <m/>
    <m/>
    <x v="1"/>
    <s v="11039539001001"/>
    <n v="-53.45"/>
    <n v="2705"/>
    <n v="1"/>
    <n v="1"/>
  </r>
  <r>
    <m/>
    <m/>
    <x v="1"/>
    <s v="11073517001005"/>
    <n v="-31.97"/>
    <n v="1618"/>
    <n v="1"/>
    <n v="1"/>
  </r>
  <r>
    <m/>
    <m/>
    <x v="1"/>
    <s v="11296202003001"/>
    <n v="-19.86"/>
    <n v="1005"/>
    <n v="1"/>
    <n v="1"/>
  </r>
  <r>
    <m/>
    <m/>
    <x v="1"/>
    <s v="11611399001004"/>
    <n v="-12.45"/>
    <n v="630"/>
    <n v="1"/>
    <n v="1"/>
  </r>
  <r>
    <m/>
    <m/>
    <x v="1"/>
    <s v="11937030001007"/>
    <n v="-19.72"/>
    <n v="998"/>
    <n v="1"/>
    <n v="1"/>
  </r>
  <r>
    <m/>
    <m/>
    <x v="1"/>
    <s v="12667965001001"/>
    <n v="-18.91"/>
    <n v="957"/>
    <n v="1"/>
    <n v="1"/>
  </r>
  <r>
    <m/>
    <m/>
    <x v="1"/>
    <s v="12738579001003"/>
    <n v="-34.42"/>
    <n v="1742"/>
    <n v="1"/>
    <n v="1"/>
  </r>
  <r>
    <m/>
    <m/>
    <x v="1"/>
    <s v="13116014001003"/>
    <n v="-15.55"/>
    <n v="787"/>
    <n v="1"/>
    <n v="1"/>
  </r>
  <r>
    <m/>
    <m/>
    <x v="1"/>
    <s v="13147069001001"/>
    <n v="-22.88"/>
    <n v="1158"/>
    <n v="1"/>
    <n v="1"/>
  </r>
  <r>
    <m/>
    <m/>
    <x v="1"/>
    <s v="13493838001002"/>
    <n v="-54.18"/>
    <n v="2742"/>
    <n v="1"/>
    <n v="1"/>
  </r>
  <r>
    <m/>
    <m/>
    <x v="1"/>
    <s v="13571312002003"/>
    <n v="-15.31"/>
    <n v="775"/>
    <n v="1"/>
    <n v="1"/>
  </r>
  <r>
    <m/>
    <m/>
    <x v="1"/>
    <s v="13879891001006"/>
    <n v="-9.09"/>
    <n v="460"/>
    <n v="1"/>
    <n v="1"/>
  </r>
  <r>
    <m/>
    <m/>
    <x v="1"/>
    <s v="14115069001001"/>
    <n v="-1.8"/>
    <n v="91"/>
    <n v="1"/>
    <n v="1"/>
  </r>
  <r>
    <m/>
    <m/>
    <x v="1"/>
    <s v="14247506003005"/>
    <n v="-20.190000000000001"/>
    <n v="1022"/>
    <n v="1"/>
    <n v="1"/>
  </r>
  <r>
    <m/>
    <m/>
    <x v="1"/>
    <s v="14550816001001"/>
    <n v="-4.33"/>
    <n v="219"/>
    <n v="1"/>
    <n v="1"/>
  </r>
  <r>
    <m/>
    <m/>
    <x v="1"/>
    <s v="14623321001001"/>
    <n v="-31.5"/>
    <n v="1594"/>
    <n v="1"/>
    <n v="1"/>
  </r>
  <r>
    <m/>
    <m/>
    <x v="1"/>
    <s v="14663014001002"/>
    <n v="-26.56"/>
    <n v="1344"/>
    <n v="1"/>
    <n v="1"/>
  </r>
  <r>
    <m/>
    <m/>
    <x v="1"/>
    <s v="15035025001001"/>
    <n v="-43.16"/>
    <n v="2184"/>
    <n v="1"/>
    <n v="1"/>
  </r>
  <r>
    <m/>
    <m/>
    <x v="1"/>
    <s v="15335726001008"/>
    <n v="-9.01"/>
    <n v="456"/>
    <n v="1"/>
    <n v="1"/>
  </r>
  <r>
    <m/>
    <m/>
    <x v="1"/>
    <s v="15488061001002"/>
    <n v="-22.53"/>
    <n v="1140"/>
    <n v="1"/>
    <n v="1"/>
  </r>
  <r>
    <m/>
    <m/>
    <x v="1"/>
    <s v="15663563001002"/>
    <n v="-29.6"/>
    <n v="1498"/>
    <n v="1"/>
    <n v="1"/>
  </r>
  <r>
    <m/>
    <m/>
    <x v="1"/>
    <s v="15680748001001"/>
    <n v="-18.52"/>
    <n v="937"/>
    <n v="1"/>
    <n v="1"/>
  </r>
  <r>
    <m/>
    <m/>
    <x v="1"/>
    <s v="15945413001003"/>
    <n v="-29.6"/>
    <n v="1498"/>
    <n v="1"/>
    <n v="1"/>
  </r>
  <r>
    <m/>
    <m/>
    <x v="1"/>
    <s v="16460870001003"/>
    <n v="-1.94"/>
    <n v="98"/>
    <n v="1"/>
    <n v="1"/>
  </r>
  <r>
    <m/>
    <m/>
    <x v="1"/>
    <s v="16940606001001"/>
    <n v="-54.66"/>
    <n v="2766"/>
    <n v="1"/>
    <n v="1"/>
  </r>
  <r>
    <m/>
    <m/>
    <x v="1"/>
    <s v="16948935001002"/>
    <n v="-47.86"/>
    <n v="2422"/>
    <n v="1"/>
    <n v="1"/>
  </r>
  <r>
    <m/>
    <m/>
    <x v="1"/>
    <s v="16965265001001"/>
    <n v="-39.86"/>
    <n v="2017"/>
    <n v="1"/>
    <n v="1"/>
  </r>
  <r>
    <m/>
    <m/>
    <x v="1"/>
    <s v="17040013001001"/>
    <n v="-18.829999999999998"/>
    <n v="953"/>
    <n v="1"/>
    <n v="1"/>
  </r>
  <r>
    <m/>
    <m/>
    <x v="1"/>
    <s v="17581646001002"/>
    <n v="-4.49"/>
    <n v="227"/>
    <n v="1"/>
    <n v="1"/>
  </r>
  <r>
    <m/>
    <m/>
    <x v="1"/>
    <s v="17700255001003"/>
    <n v="-42.27"/>
    <n v="2139"/>
    <n v="1"/>
    <n v="1"/>
  </r>
  <r>
    <m/>
    <m/>
    <x v="1"/>
    <s v="17915609001002"/>
    <n v="-50.41"/>
    <n v="2551"/>
    <n v="1"/>
    <n v="1"/>
  </r>
  <r>
    <m/>
    <m/>
    <x v="1"/>
    <s v="17975956002001"/>
    <n v="-34.700000000000003"/>
    <n v="1756"/>
    <n v="1"/>
    <n v="1"/>
  </r>
  <r>
    <m/>
    <m/>
    <x v="1"/>
    <s v="18165838001002"/>
    <n v="-17.39"/>
    <n v="880"/>
    <n v="1"/>
    <n v="1"/>
  </r>
  <r>
    <m/>
    <m/>
    <x v="1"/>
    <s v="18172453001003"/>
    <n v="-36.729999999999997"/>
    <n v="1859"/>
    <n v="1"/>
    <n v="1"/>
  </r>
  <r>
    <m/>
    <m/>
    <x v="1"/>
    <s v="18303915001001"/>
    <n v="-23.47"/>
    <n v="1188"/>
    <n v="1"/>
    <n v="1"/>
  </r>
  <r>
    <m/>
    <m/>
    <x v="1"/>
    <s v="18315090001001"/>
    <n v="-75.069999999999993"/>
    <n v="3799"/>
    <n v="1"/>
    <n v="1"/>
  </r>
  <r>
    <m/>
    <m/>
    <x v="1"/>
    <s v="18991884001001"/>
    <n v="-34.68"/>
    <n v="1755"/>
    <n v="1"/>
    <n v="1"/>
  </r>
  <r>
    <m/>
    <m/>
    <x v="1"/>
    <s v="19212278001001"/>
    <n v="-62.99"/>
    <n v="3188"/>
    <n v="1"/>
    <n v="1"/>
  </r>
  <r>
    <m/>
    <m/>
    <x v="1"/>
    <s v="19349491001001"/>
    <n v="-39.36"/>
    <n v="1992"/>
    <n v="1"/>
    <n v="1"/>
  </r>
  <r>
    <m/>
    <m/>
    <x v="1"/>
    <s v="19508093004001"/>
    <n v="-41"/>
    <n v="2075"/>
    <n v="1"/>
    <n v="1"/>
  </r>
  <r>
    <m/>
    <m/>
    <x v="1"/>
    <s v="19522787001001"/>
    <n v="-34.07"/>
    <n v="1724"/>
    <n v="1"/>
    <n v="1"/>
  </r>
  <r>
    <m/>
    <m/>
    <x v="1"/>
    <s v="20011333001001"/>
    <n v="-4.09"/>
    <n v="207"/>
    <n v="1"/>
    <n v="1"/>
  </r>
  <r>
    <m/>
    <m/>
    <x v="1"/>
    <s v="20142809001007"/>
    <n v="-3.42"/>
    <n v="173"/>
    <n v="1"/>
    <n v="1"/>
  </r>
  <r>
    <m/>
    <m/>
    <x v="1"/>
    <s v="20180113003001"/>
    <n v="-43.73"/>
    <n v="2213"/>
    <n v="1"/>
    <n v="1"/>
  </r>
  <r>
    <m/>
    <m/>
    <x v="1"/>
    <s v="20263571001001"/>
    <n v="-15.04"/>
    <n v="761"/>
    <n v="1"/>
    <n v="1"/>
  </r>
  <r>
    <m/>
    <m/>
    <x v="1"/>
    <s v="20367566001001"/>
    <n v="-60.43"/>
    <n v="3058"/>
    <n v="1"/>
    <n v="1"/>
  </r>
  <r>
    <m/>
    <m/>
    <x v="1"/>
    <s v="20449624001005"/>
    <n v="-27.62"/>
    <n v="1398"/>
    <n v="1"/>
    <n v="1"/>
  </r>
  <r>
    <m/>
    <m/>
    <x v="1"/>
    <s v="20487595001007"/>
    <n v="-22.57"/>
    <n v="1142"/>
    <n v="1"/>
    <n v="1"/>
  </r>
  <r>
    <m/>
    <m/>
    <x v="1"/>
    <s v="20938987001003"/>
    <n v="-15.23"/>
    <n v="771"/>
    <n v="1"/>
    <n v="1"/>
  </r>
  <r>
    <m/>
    <m/>
    <x v="1"/>
    <s v="21046404001005"/>
    <n v="-28.1"/>
    <n v="1422"/>
    <n v="1"/>
    <n v="1"/>
  </r>
  <r>
    <m/>
    <m/>
    <x v="1"/>
    <s v="21504650001001"/>
    <n v="-30.87"/>
    <n v="1562"/>
    <n v="1"/>
    <n v="1"/>
  </r>
  <r>
    <m/>
    <m/>
    <x v="1"/>
    <s v="21525125003001"/>
    <n v="-15.49"/>
    <n v="784"/>
    <n v="1"/>
    <n v="1"/>
  </r>
  <r>
    <m/>
    <m/>
    <x v="1"/>
    <s v="21538057001001"/>
    <n v="-8.3800000000000008"/>
    <n v="424"/>
    <n v="1"/>
    <n v="1"/>
  </r>
  <r>
    <m/>
    <m/>
    <x v="1"/>
    <s v="22006059001003"/>
    <n v="-26.14"/>
    <n v="1323"/>
    <n v="1"/>
    <n v="1"/>
  </r>
  <r>
    <m/>
    <m/>
    <x v="1"/>
    <s v="22064595001002"/>
    <n v="-6.68"/>
    <n v="338"/>
    <n v="1"/>
    <n v="1"/>
  </r>
  <r>
    <m/>
    <m/>
    <x v="1"/>
    <s v="23072089004002"/>
    <n v="-22.55"/>
    <n v="1141"/>
    <n v="1"/>
    <n v="1"/>
  </r>
  <r>
    <m/>
    <m/>
    <x v="1"/>
    <s v="23397291001002"/>
    <n v="-34.46"/>
    <n v="1744"/>
    <n v="1"/>
    <n v="1"/>
  </r>
  <r>
    <m/>
    <m/>
    <x v="1"/>
    <s v="23478229001001"/>
    <n v="-5.71"/>
    <n v="289"/>
    <n v="1"/>
    <n v="1"/>
  </r>
  <r>
    <m/>
    <m/>
    <x v="1"/>
    <s v="24046335006003"/>
    <n v="-17.649999999999999"/>
    <n v="893"/>
    <n v="1"/>
    <n v="1"/>
  </r>
  <r>
    <m/>
    <m/>
    <x v="1"/>
    <s v="24117411001001"/>
    <n v="-16.52"/>
    <n v="836"/>
    <n v="1"/>
    <n v="1"/>
  </r>
  <r>
    <m/>
    <m/>
    <x v="1"/>
    <s v="24367594001003"/>
    <n v="-42.88"/>
    <n v="2170"/>
    <n v="1"/>
    <n v="1"/>
  </r>
  <r>
    <m/>
    <m/>
    <x v="1"/>
    <s v="24897958001003"/>
    <n v="-16.600000000000001"/>
    <n v="840"/>
    <n v="1"/>
    <n v="1"/>
  </r>
  <r>
    <m/>
    <m/>
    <x v="1"/>
    <s v="25616940003001"/>
    <n v="-20.83"/>
    <n v="1054"/>
    <n v="1"/>
    <n v="1"/>
  </r>
  <r>
    <m/>
    <m/>
    <x v="1"/>
    <s v="25839879001001"/>
    <n v="-53.57"/>
    <n v="2711"/>
    <n v="1"/>
    <n v="1"/>
  </r>
  <r>
    <m/>
    <m/>
    <x v="1"/>
    <s v="25934033002010"/>
    <n v="-19.72"/>
    <n v="998"/>
    <n v="1"/>
    <n v="1"/>
  </r>
  <r>
    <m/>
    <m/>
    <x v="1"/>
    <s v="26293541004003"/>
    <n v="-106.03"/>
    <n v="5366"/>
    <n v="1"/>
    <n v="1"/>
  </r>
  <r>
    <m/>
    <m/>
    <x v="1"/>
    <s v="26628348003003"/>
    <n v="-0.26"/>
    <n v="13"/>
    <n v="1"/>
    <n v="1"/>
  </r>
  <r>
    <m/>
    <m/>
    <x v="1"/>
    <s v="26834842001004"/>
    <n v="-2.73"/>
    <n v="138"/>
    <n v="1"/>
    <n v="1"/>
  </r>
  <r>
    <m/>
    <m/>
    <x v="1"/>
    <s v="26858584001001"/>
    <n v="-12.9"/>
    <n v="653"/>
    <n v="1"/>
    <n v="1"/>
  </r>
  <r>
    <m/>
    <m/>
    <x v="1"/>
    <s v="27353470003003"/>
    <n v="-47.07"/>
    <n v="2382"/>
    <n v="1"/>
    <n v="1"/>
  </r>
  <r>
    <m/>
    <m/>
    <x v="1"/>
    <s v="27696108001012"/>
    <n v="-46.85"/>
    <n v="2371"/>
    <n v="1"/>
    <n v="1"/>
  </r>
  <r>
    <m/>
    <m/>
    <x v="1"/>
    <s v="27805620001004"/>
    <n v="-22.13"/>
    <n v="1120"/>
    <n v="1"/>
    <n v="1"/>
  </r>
  <r>
    <m/>
    <m/>
    <x v="1"/>
    <s v="27977791001003"/>
    <n v="-5.0599999999999996"/>
    <n v="256"/>
    <n v="1"/>
    <n v="1"/>
  </r>
  <r>
    <m/>
    <m/>
    <x v="1"/>
    <s v="27991196001001"/>
    <n v="-35.229999999999997"/>
    <n v="1783"/>
    <n v="1"/>
    <n v="1"/>
  </r>
  <r>
    <m/>
    <m/>
    <x v="1"/>
    <s v="28006021003005"/>
    <n v="-39.76"/>
    <n v="2012"/>
    <n v="1"/>
    <n v="1"/>
  </r>
  <r>
    <m/>
    <m/>
    <x v="1"/>
    <s v="28014351004008"/>
    <n v="-43.59"/>
    <n v="2206"/>
    <n v="1"/>
    <n v="1"/>
  </r>
  <r>
    <m/>
    <m/>
    <x v="1"/>
    <s v="28082803001001"/>
    <n v="-7.51"/>
    <n v="380"/>
    <n v="1"/>
    <n v="1"/>
  </r>
  <r>
    <m/>
    <m/>
    <x v="1"/>
    <s v="28177082001005"/>
    <n v="-9.41"/>
    <n v="476"/>
    <n v="1"/>
    <n v="1"/>
  </r>
  <r>
    <m/>
    <m/>
    <x v="1"/>
    <s v="28252202004001"/>
    <n v="-66.53"/>
    <n v="3367"/>
    <n v="1"/>
    <n v="1"/>
  </r>
  <r>
    <m/>
    <m/>
    <x v="1"/>
    <s v="28722691001003"/>
    <n v="-34.17"/>
    <n v="1729"/>
    <n v="1"/>
    <n v="1"/>
  </r>
  <r>
    <m/>
    <m/>
    <x v="1"/>
    <s v="28925131001001"/>
    <n v="-1.58"/>
    <n v="80"/>
    <n v="1"/>
    <n v="1"/>
  </r>
  <r>
    <m/>
    <m/>
    <x v="1"/>
    <s v="29195239002001"/>
    <n v="-43.61"/>
    <n v="2207"/>
    <n v="1"/>
    <n v="1"/>
  </r>
  <r>
    <m/>
    <m/>
    <x v="1"/>
    <s v="29197433001003"/>
    <n v="-33.869999999999997"/>
    <n v="1714"/>
    <n v="1"/>
    <n v="1"/>
  </r>
  <r>
    <m/>
    <m/>
    <x v="1"/>
    <s v="29250419001001"/>
    <n v="-50.92"/>
    <n v="2577"/>
    <n v="1"/>
    <n v="1"/>
  </r>
  <r>
    <m/>
    <m/>
    <x v="1"/>
    <s v="29565242001001"/>
    <n v="-3.62"/>
    <n v="183"/>
    <n v="1"/>
    <n v="1"/>
  </r>
  <r>
    <m/>
    <m/>
    <x v="1"/>
    <s v="29907188001008"/>
    <n v="-33.39"/>
    <n v="1690"/>
    <n v="1"/>
    <n v="1"/>
  </r>
  <r>
    <m/>
    <m/>
    <x v="1"/>
    <s v="29966739001002"/>
    <n v="-41.95"/>
    <n v="2123"/>
    <n v="1"/>
    <n v="1"/>
  </r>
  <r>
    <m/>
    <m/>
    <x v="1"/>
    <s v="30231904001002"/>
    <n v="-5.45"/>
    <n v="276"/>
    <n v="1"/>
    <n v="1"/>
  </r>
  <r>
    <m/>
    <m/>
    <x v="1"/>
    <s v="30315366001001"/>
    <n v="-83.33"/>
    <n v="4217"/>
    <n v="1"/>
    <n v="1"/>
  </r>
  <r>
    <m/>
    <m/>
    <x v="1"/>
    <s v="30360605008001"/>
    <n v="-56.55"/>
    <n v="2862"/>
    <n v="1"/>
    <n v="1"/>
  </r>
  <r>
    <m/>
    <m/>
    <x v="1"/>
    <s v="30415898001001"/>
    <n v="-1.26"/>
    <n v="64"/>
    <n v="1"/>
    <n v="1"/>
  </r>
  <r>
    <m/>
    <m/>
    <x v="1"/>
    <s v="30842696001001"/>
    <n v="-25.59"/>
    <n v="1295"/>
    <n v="1"/>
    <n v="1"/>
  </r>
  <r>
    <m/>
    <m/>
    <x v="1"/>
    <s v="31016219002001"/>
    <n v="-3.66"/>
    <n v="185"/>
    <n v="1"/>
    <n v="1"/>
  </r>
  <r>
    <m/>
    <m/>
    <x v="1"/>
    <s v="31129585001008"/>
    <n v="-62.66"/>
    <n v="3171"/>
    <n v="1"/>
    <n v="1"/>
  </r>
  <r>
    <m/>
    <m/>
    <x v="1"/>
    <s v="31135369004005"/>
    <n v="-24.56"/>
    <n v="1243"/>
    <n v="1"/>
    <n v="1"/>
  </r>
  <r>
    <m/>
    <m/>
    <x v="1"/>
    <s v="31452473001001"/>
    <n v="-0.28000000000000003"/>
    <n v="14"/>
    <n v="1"/>
    <n v="1"/>
  </r>
  <r>
    <m/>
    <m/>
    <x v="1"/>
    <s v="32300637001002"/>
    <n v="-7.55"/>
    <n v="382"/>
    <n v="1"/>
    <n v="1"/>
  </r>
  <r>
    <m/>
    <m/>
    <x v="1"/>
    <s v="32517568004001"/>
    <n v="-11.78"/>
    <n v="596"/>
    <n v="1"/>
    <n v="1"/>
  </r>
  <r>
    <m/>
    <m/>
    <x v="1"/>
    <s v="32701639002001"/>
    <n v="-25.85"/>
    <n v="1308"/>
    <n v="1"/>
    <n v="1"/>
  </r>
  <r>
    <m/>
    <m/>
    <x v="1"/>
    <s v="32741260001001"/>
    <n v="-41.14"/>
    <n v="2082"/>
    <n v="1"/>
    <n v="1"/>
  </r>
  <r>
    <m/>
    <m/>
    <x v="1"/>
    <s v="32804453001009"/>
    <n v="-31.26"/>
    <n v="1582"/>
    <n v="1"/>
    <n v="1"/>
  </r>
  <r>
    <m/>
    <m/>
    <x v="1"/>
    <s v="33688238001003"/>
    <n v="-26.46"/>
    <n v="1339"/>
    <n v="1"/>
    <n v="1"/>
  </r>
  <r>
    <m/>
    <m/>
    <x v="1"/>
    <s v="33792679001001"/>
    <n v="-17.149999999999999"/>
    <n v="868"/>
    <n v="1"/>
    <n v="1"/>
  </r>
  <r>
    <m/>
    <m/>
    <x v="1"/>
    <s v="33808192001001"/>
    <n v="-23.32"/>
    <n v="1180"/>
    <n v="1"/>
    <n v="1"/>
  </r>
  <r>
    <m/>
    <m/>
    <x v="1"/>
    <s v="33910067001001"/>
    <n v="-10.220000000000001"/>
    <n v="517"/>
    <n v="1"/>
    <n v="1"/>
  </r>
  <r>
    <m/>
    <m/>
    <x v="1"/>
    <s v="34088818001004"/>
    <n v="-84.85"/>
    <n v="4294"/>
    <n v="1"/>
    <n v="1"/>
  </r>
  <r>
    <m/>
    <m/>
    <x v="1"/>
    <s v="34099616001006"/>
    <n v="-33.200000000000003"/>
    <n v="1680"/>
    <n v="1"/>
    <n v="1"/>
  </r>
  <r>
    <m/>
    <m/>
    <x v="1"/>
    <s v="34394848001001"/>
    <n v="-38.450000000000003"/>
    <n v="1946"/>
    <n v="1"/>
    <n v="1"/>
  </r>
  <r>
    <m/>
    <m/>
    <x v="1"/>
    <s v="34758238001001"/>
    <n v="-16.46"/>
    <n v="833"/>
    <n v="1"/>
    <n v="1"/>
  </r>
  <r>
    <m/>
    <m/>
    <x v="1"/>
    <s v="34902092001003"/>
    <n v="-7.92"/>
    <n v="401"/>
    <n v="1"/>
    <n v="1"/>
  </r>
  <r>
    <m/>
    <m/>
    <x v="1"/>
    <s v="35109599001002"/>
    <n v="-50.47"/>
    <n v="2554"/>
    <n v="1"/>
    <n v="1"/>
  </r>
  <r>
    <m/>
    <m/>
    <x v="1"/>
    <s v="35345438001001"/>
    <n v="-20.190000000000001"/>
    <n v="1022"/>
    <n v="1"/>
    <n v="1"/>
  </r>
  <r>
    <m/>
    <m/>
    <x v="1"/>
    <s v="35490120001003"/>
    <n v="-32.39"/>
    <n v="1639"/>
    <n v="1"/>
    <n v="1"/>
  </r>
  <r>
    <m/>
    <m/>
    <x v="1"/>
    <s v="35691353001006"/>
    <n v="-32.049999999999997"/>
    <n v="1622"/>
    <n v="1"/>
    <n v="1"/>
  </r>
  <r>
    <m/>
    <m/>
    <x v="1"/>
    <s v="35901843001001"/>
    <n v="-7.05"/>
    <n v="357"/>
    <n v="1"/>
    <n v="1"/>
  </r>
  <r>
    <m/>
    <m/>
    <x v="1"/>
    <s v="36052702001001"/>
    <n v="-25.96"/>
    <n v="1314"/>
    <n v="1"/>
    <n v="1"/>
  </r>
  <r>
    <m/>
    <m/>
    <x v="1"/>
    <s v="36405191001001"/>
    <n v="-19.170000000000002"/>
    <n v="970"/>
    <n v="1"/>
    <n v="1"/>
  </r>
  <r>
    <m/>
    <m/>
    <x v="1"/>
    <s v="36419239001002"/>
    <n v="-29.82"/>
    <n v="1509"/>
    <n v="1"/>
    <n v="1"/>
  </r>
  <r>
    <m/>
    <m/>
    <x v="1"/>
    <s v="36872264001001"/>
    <n v="-56.61"/>
    <n v="2865"/>
    <n v="1"/>
    <n v="1"/>
  </r>
  <r>
    <m/>
    <m/>
    <x v="1"/>
    <s v="37072302001005"/>
    <n v="-64.38"/>
    <n v="3258"/>
    <n v="1"/>
    <n v="1"/>
  </r>
  <r>
    <m/>
    <m/>
    <x v="1"/>
    <s v="37115778001001"/>
    <n v="-15.43"/>
    <n v="781"/>
    <n v="1"/>
    <n v="1"/>
  </r>
  <r>
    <m/>
    <m/>
    <x v="1"/>
    <s v="37420592003001"/>
    <n v="-17.309999999999999"/>
    <n v="876"/>
    <n v="1"/>
    <n v="1"/>
  </r>
  <r>
    <m/>
    <m/>
    <x v="1"/>
    <s v="37463674001001"/>
    <n v="-30.98"/>
    <n v="1568"/>
    <n v="1"/>
    <n v="1"/>
  </r>
  <r>
    <m/>
    <m/>
    <x v="1"/>
    <s v="37926637001001"/>
    <n v="-26.1"/>
    <n v="1321"/>
    <n v="1"/>
    <n v="1"/>
  </r>
  <r>
    <m/>
    <m/>
    <x v="1"/>
    <s v="38030170001001"/>
    <n v="-21.62"/>
    <n v="1094"/>
    <n v="1"/>
    <n v="1"/>
  </r>
  <r>
    <m/>
    <m/>
    <x v="1"/>
    <s v="38161821001001"/>
    <n v="-1.9"/>
    <n v="96"/>
    <n v="1"/>
    <n v="1"/>
  </r>
  <r>
    <m/>
    <m/>
    <x v="1"/>
    <s v="38415558002003"/>
    <n v="-21.3"/>
    <n v="1078"/>
    <n v="1"/>
    <n v="1"/>
  </r>
  <r>
    <m/>
    <m/>
    <x v="1"/>
    <s v="38422639003001"/>
    <n v="-6.58"/>
    <n v="333"/>
    <n v="1"/>
    <n v="1"/>
  </r>
  <r>
    <m/>
    <m/>
    <x v="1"/>
    <s v="38517099001003"/>
    <n v="-48.1"/>
    <n v="2434"/>
    <n v="1"/>
    <n v="1"/>
  </r>
  <r>
    <m/>
    <m/>
    <x v="1"/>
    <s v="38597136001002"/>
    <n v="-39.880000000000003"/>
    <n v="2018"/>
    <n v="1"/>
    <n v="1"/>
  </r>
  <r>
    <m/>
    <m/>
    <x v="1"/>
    <s v="38860694001003"/>
    <n v="-52.44"/>
    <n v="2654"/>
    <n v="1"/>
    <n v="1"/>
  </r>
  <r>
    <m/>
    <m/>
    <x v="1"/>
    <s v="39075374001002"/>
    <n v="-33.85"/>
    <n v="1713"/>
    <n v="1"/>
    <n v="1"/>
  </r>
  <r>
    <m/>
    <m/>
    <x v="1"/>
    <s v="39458933001002"/>
    <n v="-4.54"/>
    <n v="230"/>
    <n v="1"/>
    <n v="1"/>
  </r>
  <r>
    <m/>
    <m/>
    <x v="1"/>
    <s v="39658784002001"/>
    <n v="-10.59"/>
    <n v="536"/>
    <n v="1"/>
    <n v="1"/>
  </r>
  <r>
    <m/>
    <m/>
    <x v="1"/>
    <s v="39661570001002"/>
    <n v="-36.81"/>
    <n v="1863"/>
    <n v="1"/>
    <n v="1"/>
  </r>
  <r>
    <m/>
    <m/>
    <x v="1"/>
    <s v="39662471001003"/>
    <n v="-37.229999999999997"/>
    <n v="1884"/>
    <n v="1"/>
    <n v="1"/>
  </r>
  <r>
    <m/>
    <m/>
    <x v="1"/>
    <s v="39860007001003"/>
    <n v="-24.34"/>
    <n v="1232"/>
    <n v="1"/>
    <n v="1"/>
  </r>
  <r>
    <m/>
    <m/>
    <x v="1"/>
    <s v="39954610002010"/>
    <n v="-11.03"/>
    <n v="558"/>
    <n v="1"/>
    <n v="1"/>
  </r>
  <r>
    <m/>
    <m/>
    <x v="1"/>
    <s v="40492100002001"/>
    <n v="-8.89"/>
    <n v="450"/>
    <n v="1"/>
    <n v="1"/>
  </r>
  <r>
    <m/>
    <m/>
    <x v="1"/>
    <s v="40507964001001"/>
    <n v="-20.49"/>
    <n v="1037"/>
    <n v="1"/>
    <n v="1"/>
  </r>
  <r>
    <m/>
    <m/>
    <x v="1"/>
    <s v="40602210001001"/>
    <n v="-26.66"/>
    <n v="1349"/>
    <n v="1"/>
    <n v="1"/>
  </r>
  <r>
    <m/>
    <m/>
    <x v="1"/>
    <s v="41254471001004"/>
    <n v="-38.83"/>
    <n v="1965"/>
    <n v="1"/>
    <n v="1"/>
  </r>
  <r>
    <m/>
    <m/>
    <x v="1"/>
    <s v="41528513001001"/>
    <n v="-33.99"/>
    <n v="1720"/>
    <n v="1"/>
    <n v="1"/>
  </r>
  <r>
    <m/>
    <m/>
    <x v="1"/>
    <s v="41559231001001"/>
    <n v="-4.5999999999999996"/>
    <n v="233"/>
    <n v="1"/>
    <n v="1"/>
  </r>
  <r>
    <m/>
    <m/>
    <x v="1"/>
    <s v="41580871001004"/>
    <n v="-58.19"/>
    <n v="2945"/>
    <n v="1"/>
    <n v="1"/>
  </r>
  <r>
    <m/>
    <m/>
    <x v="1"/>
    <s v="42014470001005"/>
    <n v="-29.48"/>
    <n v="1492"/>
    <n v="1"/>
    <n v="1"/>
  </r>
  <r>
    <m/>
    <m/>
    <x v="1"/>
    <s v="42234044003001"/>
    <n v="-50.78"/>
    <n v="2570"/>
    <n v="1"/>
    <n v="1"/>
  </r>
  <r>
    <m/>
    <m/>
    <x v="1"/>
    <s v="42238543002001"/>
    <n v="-37.5"/>
    <n v="1898"/>
    <n v="1"/>
    <n v="1"/>
  </r>
  <r>
    <m/>
    <m/>
    <x v="1"/>
    <s v="42508761002002"/>
    <n v="-24.92"/>
    <n v="1261"/>
    <n v="1"/>
    <n v="1"/>
  </r>
  <r>
    <m/>
    <m/>
    <x v="1"/>
    <s v="42528501001002"/>
    <n v="-28.43"/>
    <n v="1439"/>
    <n v="1"/>
    <n v="1"/>
  </r>
  <r>
    <m/>
    <m/>
    <x v="1"/>
    <s v="42533821001001"/>
    <n v="-17.940000000000001"/>
    <n v="908"/>
    <n v="1"/>
    <n v="1"/>
  </r>
  <r>
    <m/>
    <m/>
    <x v="1"/>
    <s v="42540401001001"/>
    <n v="-0.81"/>
    <n v="41"/>
    <n v="1"/>
    <n v="1"/>
  </r>
  <r>
    <m/>
    <m/>
    <x v="1"/>
    <s v="42576676002001"/>
    <n v="-29.28"/>
    <n v="1482"/>
    <n v="1"/>
    <n v="1"/>
  </r>
  <r>
    <m/>
    <m/>
    <x v="1"/>
    <s v="42579951001011"/>
    <n v="-11.8"/>
    <n v="597"/>
    <n v="1"/>
    <n v="1"/>
  </r>
  <r>
    <m/>
    <m/>
    <x v="1"/>
    <s v="42613341001001"/>
    <n v="-12.03"/>
    <n v="609"/>
    <n v="1"/>
    <n v="1"/>
  </r>
  <r>
    <m/>
    <m/>
    <x v="1"/>
    <s v="42620271001001"/>
    <n v="-15.37"/>
    <n v="778"/>
    <n v="1"/>
    <n v="1"/>
  </r>
  <r>
    <m/>
    <m/>
    <x v="1"/>
    <s v="42624051001002"/>
    <n v="-8.18"/>
    <n v="414"/>
    <n v="1"/>
    <n v="1"/>
  </r>
  <r>
    <m/>
    <m/>
    <x v="1"/>
    <s v="42627831001003"/>
    <n v="-2.57"/>
    <n v="130"/>
    <n v="1"/>
    <n v="1"/>
  </r>
  <r>
    <m/>
    <m/>
    <x v="1"/>
    <s v="42633571002001"/>
    <n v="-2.4900000000000002"/>
    <n v="126"/>
    <n v="1"/>
    <n v="1"/>
  </r>
  <r>
    <m/>
    <m/>
    <x v="1"/>
    <s v="42659261001004"/>
    <n v="-53.94"/>
    <n v="2730"/>
    <n v="1"/>
    <n v="1"/>
  </r>
  <r>
    <m/>
    <m/>
    <x v="1"/>
    <s v="42734931001007"/>
    <n v="-27.09"/>
    <n v="1371"/>
    <n v="1"/>
    <n v="1"/>
  </r>
  <r>
    <m/>
    <m/>
    <x v="1"/>
    <s v="42812561001002"/>
    <n v="-46.4"/>
    <n v="2348"/>
    <n v="1"/>
    <n v="1"/>
  </r>
  <r>
    <m/>
    <m/>
    <x v="1"/>
    <s v="42812881002001"/>
    <n v="-18.5"/>
    <n v="936"/>
    <n v="1"/>
    <n v="1"/>
  </r>
  <r>
    <m/>
    <m/>
    <x v="1"/>
    <s v="42851271004005"/>
    <n v="-33.1"/>
    <n v="1675"/>
    <n v="1"/>
    <n v="1"/>
  </r>
  <r>
    <m/>
    <m/>
    <x v="1"/>
    <s v="42898451001001"/>
    <n v="-6.64"/>
    <n v="336"/>
    <n v="1"/>
    <n v="1"/>
  </r>
  <r>
    <m/>
    <m/>
    <x v="1"/>
    <s v="42926275001002"/>
    <n v="-37.049999999999997"/>
    <n v="1875"/>
    <n v="1"/>
    <n v="1"/>
  </r>
  <r>
    <m/>
    <m/>
    <x v="1"/>
    <s v="42954661002001"/>
    <n v="-15.99"/>
    <n v="809"/>
    <n v="1"/>
    <n v="1"/>
  </r>
  <r>
    <m/>
    <m/>
    <x v="1"/>
    <s v="42972301001006"/>
    <n v="-8.52"/>
    <n v="431"/>
    <n v="1"/>
    <n v="1"/>
  </r>
  <r>
    <m/>
    <m/>
    <x v="1"/>
    <s v="43101060001003"/>
    <n v="-47.07"/>
    <n v="2382"/>
    <n v="1"/>
    <n v="1"/>
  </r>
  <r>
    <m/>
    <m/>
    <x v="1"/>
    <s v="43133021001001"/>
    <n v="-1.56"/>
    <n v="79"/>
    <n v="1"/>
    <n v="1"/>
  </r>
  <r>
    <m/>
    <m/>
    <x v="1"/>
    <s v="43137151001001"/>
    <n v="-28.41"/>
    <n v="1438"/>
    <n v="1"/>
    <n v="1"/>
  </r>
  <r>
    <m/>
    <m/>
    <x v="1"/>
    <s v="43231861001003"/>
    <n v="-14.64"/>
    <n v="741"/>
    <n v="1"/>
    <n v="1"/>
  </r>
  <r>
    <m/>
    <m/>
    <x v="1"/>
    <s v="43234101001001"/>
    <n v="-16.89"/>
    <n v="855"/>
    <n v="1"/>
    <n v="1"/>
  </r>
  <r>
    <m/>
    <m/>
    <x v="1"/>
    <s v="43267071001006"/>
    <n v="-18.420000000000002"/>
    <n v="932"/>
    <n v="1"/>
    <n v="1"/>
  </r>
  <r>
    <m/>
    <m/>
    <x v="1"/>
    <s v="43278341001001"/>
    <n v="-0.38"/>
    <n v="19"/>
    <n v="1"/>
    <n v="1"/>
  </r>
  <r>
    <m/>
    <m/>
    <x v="1"/>
    <s v="43297591001002"/>
    <n v="-44.78"/>
    <n v="2266"/>
    <n v="1"/>
    <n v="1"/>
  </r>
  <r>
    <m/>
    <m/>
    <x v="1"/>
    <s v="43333711001002"/>
    <n v="-12.94"/>
    <n v="655"/>
    <n v="1"/>
    <n v="1"/>
  </r>
  <r>
    <m/>
    <m/>
    <x v="1"/>
    <s v="43363111001003"/>
    <n v="-56.85"/>
    <n v="2877"/>
    <n v="1"/>
    <n v="1"/>
  </r>
  <r>
    <m/>
    <m/>
    <x v="1"/>
    <s v="43399301001003"/>
    <n v="-18.2"/>
    <n v="921"/>
    <n v="1"/>
    <n v="1"/>
  </r>
  <r>
    <m/>
    <m/>
    <x v="1"/>
    <s v="43399301001004"/>
    <n v="-39.659999999999997"/>
    <n v="2007"/>
    <n v="1"/>
    <n v="1"/>
  </r>
  <r>
    <m/>
    <m/>
    <x v="1"/>
    <s v="43455426002001"/>
    <n v="-53.04"/>
    <n v="2684"/>
    <n v="1"/>
    <n v="1"/>
  </r>
  <r>
    <m/>
    <m/>
    <x v="1"/>
    <s v="43492640001001"/>
    <n v="-28.14"/>
    <n v="1424"/>
    <n v="1"/>
    <n v="1"/>
  </r>
  <r>
    <m/>
    <m/>
    <x v="1"/>
    <s v="43629601001002"/>
    <n v="-24.8"/>
    <n v="1255"/>
    <n v="1"/>
    <n v="1"/>
  </r>
  <r>
    <m/>
    <m/>
    <x v="1"/>
    <s v="43665824001003"/>
    <n v="-33.75"/>
    <n v="1708"/>
    <n v="1"/>
    <n v="1"/>
  </r>
  <r>
    <m/>
    <m/>
    <x v="1"/>
    <s v="43687491001003"/>
    <n v="-15.41"/>
    <n v="780"/>
    <n v="1"/>
    <n v="1"/>
  </r>
  <r>
    <m/>
    <m/>
    <x v="1"/>
    <s v="43692811001002"/>
    <n v="-38.71"/>
    <n v="1959"/>
    <n v="1"/>
    <n v="1"/>
  </r>
  <r>
    <m/>
    <m/>
    <x v="1"/>
    <s v="43717941001003"/>
    <n v="-18.53"/>
    <n v="938"/>
    <n v="1"/>
    <n v="1"/>
  </r>
  <r>
    <m/>
    <m/>
    <x v="1"/>
    <s v="43736981001001"/>
    <n v="-0.93"/>
    <n v="47"/>
    <n v="1"/>
    <n v="1"/>
  </r>
  <r>
    <m/>
    <m/>
    <x v="1"/>
    <s v="43805161001001"/>
    <n v="-21.64"/>
    <n v="1095"/>
    <n v="1"/>
    <n v="1"/>
  </r>
  <r>
    <m/>
    <m/>
    <x v="1"/>
    <s v="43822311002001"/>
    <n v="-11.82"/>
    <n v="598"/>
    <n v="1"/>
    <n v="1"/>
  </r>
  <r>
    <m/>
    <m/>
    <x v="1"/>
    <s v="43823991001001"/>
    <n v="-20.61"/>
    <n v="1043"/>
    <n v="1"/>
    <n v="1"/>
  </r>
  <r>
    <m/>
    <m/>
    <x v="1"/>
    <s v="43829871002001"/>
    <n v="-28.32"/>
    <n v="1433"/>
    <n v="1"/>
    <n v="1"/>
  </r>
  <r>
    <m/>
    <m/>
    <x v="1"/>
    <s v="43835420001001"/>
    <n v="-21.2"/>
    <n v="1073"/>
    <n v="1"/>
    <n v="1"/>
  </r>
  <r>
    <m/>
    <m/>
    <x v="1"/>
    <s v="43860741001007"/>
    <n v="-7.94"/>
    <n v="402"/>
    <n v="1"/>
    <n v="1"/>
  </r>
  <r>
    <m/>
    <m/>
    <x v="1"/>
    <s v="43865752001004"/>
    <n v="-19.86"/>
    <n v="1005"/>
    <n v="1"/>
    <n v="1"/>
  </r>
  <r>
    <m/>
    <m/>
    <x v="1"/>
    <s v="43881111001003"/>
    <n v="-12.96"/>
    <n v="656"/>
    <n v="1"/>
    <n v="1"/>
  </r>
  <r>
    <m/>
    <m/>
    <x v="1"/>
    <s v="43901831002001"/>
    <n v="-20.61"/>
    <n v="1043"/>
    <n v="1"/>
    <n v="1"/>
  </r>
  <r>
    <m/>
    <m/>
    <x v="1"/>
    <s v="43920871001009"/>
    <n v="-9.6199999999999992"/>
    <n v="487"/>
    <n v="1"/>
    <n v="1"/>
  </r>
  <r>
    <m/>
    <m/>
    <x v="1"/>
    <s v="43986111001006"/>
    <n v="-0.83"/>
    <n v="42"/>
    <n v="1"/>
    <n v="1"/>
  </r>
  <r>
    <m/>
    <m/>
    <x v="1"/>
    <s v="44032311001001"/>
    <n v="-15.83"/>
    <n v="801"/>
    <n v="1"/>
    <n v="1"/>
  </r>
  <r>
    <m/>
    <m/>
    <x v="1"/>
    <s v="44225511001001"/>
    <n v="-64.599999999999994"/>
    <n v="3269"/>
    <n v="1"/>
    <n v="1"/>
  </r>
  <r>
    <m/>
    <m/>
    <x v="1"/>
    <s v="44254071001001"/>
    <n v="-26.64"/>
    <n v="1348"/>
    <n v="1"/>
    <n v="1"/>
  </r>
  <r>
    <m/>
    <m/>
    <x v="1"/>
    <s v="44271711001001"/>
    <n v="-7"/>
    <n v="354"/>
    <n v="1"/>
    <n v="1"/>
  </r>
  <r>
    <m/>
    <m/>
    <x v="1"/>
    <s v="44275631001001"/>
    <n v="-29.5"/>
    <n v="1493"/>
    <n v="1"/>
    <n v="1"/>
  </r>
  <r>
    <m/>
    <m/>
    <x v="1"/>
    <s v="44276401001002"/>
    <n v="-0.3"/>
    <n v="15"/>
    <n v="1"/>
    <n v="1"/>
  </r>
  <r>
    <m/>
    <m/>
    <x v="1"/>
    <s v="44279131001001"/>
    <n v="-3.02"/>
    <n v="153"/>
    <n v="1"/>
    <n v="1"/>
  </r>
  <r>
    <m/>
    <m/>
    <x v="1"/>
    <s v="44324893002003"/>
    <n v="-21.12"/>
    <n v="1069"/>
    <n v="1"/>
    <n v="1"/>
  </r>
  <r>
    <m/>
    <m/>
    <x v="1"/>
    <s v="44339401001001"/>
    <n v="-33.49"/>
    <n v="1695"/>
    <n v="1"/>
    <n v="1"/>
  </r>
  <r>
    <m/>
    <m/>
    <x v="1"/>
    <s v="44365721001001"/>
    <n v="-19.149999999999999"/>
    <n v="969"/>
    <n v="1"/>
    <n v="1"/>
  </r>
  <r>
    <m/>
    <m/>
    <x v="1"/>
    <s v="44378391001002"/>
    <n v="-22.29"/>
    <n v="1128"/>
    <n v="1"/>
    <n v="1"/>
  </r>
  <r>
    <m/>
    <m/>
    <x v="1"/>
    <s v="44387071001001"/>
    <n v="-2.25"/>
    <n v="114"/>
    <n v="1"/>
    <n v="1"/>
  </r>
  <r>
    <m/>
    <m/>
    <x v="1"/>
    <s v="44413951001005"/>
    <n v="-5.93"/>
    <n v="300"/>
    <n v="1"/>
    <n v="1"/>
  </r>
  <r>
    <m/>
    <m/>
    <x v="1"/>
    <s v="44431101001001"/>
    <n v="-21.74"/>
    <n v="1100"/>
    <n v="1"/>
    <n v="1"/>
  </r>
  <r>
    <m/>
    <m/>
    <x v="1"/>
    <s v="44432151001001"/>
    <n v="-21.66"/>
    <n v="1096"/>
    <n v="1"/>
    <n v="1"/>
  </r>
  <r>
    <m/>
    <m/>
    <x v="1"/>
    <s v="44445801002001"/>
    <n v="-42.42"/>
    <n v="2147"/>
    <n v="1"/>
    <n v="1"/>
  </r>
  <r>
    <m/>
    <m/>
    <x v="1"/>
    <s v="44449861003001"/>
    <n v="-57.15"/>
    <n v="2892"/>
    <n v="1"/>
    <n v="1"/>
  </r>
  <r>
    <m/>
    <m/>
    <x v="1"/>
    <s v="44452381001001"/>
    <n v="-28.95"/>
    <n v="1465"/>
    <n v="1"/>
    <n v="1"/>
  </r>
  <r>
    <m/>
    <m/>
    <x v="1"/>
    <s v="44475131001001"/>
    <n v="-21.83"/>
    <n v="1105"/>
    <n v="1"/>
    <n v="1"/>
  </r>
  <r>
    <m/>
    <m/>
    <x v="1"/>
    <s v="44480241001005"/>
    <n v="-30.47"/>
    <n v="1542"/>
    <n v="1"/>
    <n v="1"/>
  </r>
  <r>
    <m/>
    <m/>
    <x v="1"/>
    <s v="44493681001004"/>
    <n v="-56.12"/>
    <n v="2840"/>
    <n v="1"/>
    <n v="1"/>
  </r>
  <r>
    <m/>
    <m/>
    <x v="1"/>
    <s v="44512971001001"/>
    <n v="-25.79"/>
    <n v="1305"/>
    <n v="1"/>
    <n v="1"/>
  </r>
  <r>
    <m/>
    <m/>
    <x v="1"/>
    <s v="44519441001001"/>
    <n v="-15.61"/>
    <n v="790"/>
    <n v="1"/>
    <n v="1"/>
  </r>
  <r>
    <m/>
    <m/>
    <x v="1"/>
    <s v="44562771002001"/>
    <n v="-15.53"/>
    <n v="786"/>
    <n v="1"/>
    <n v="1"/>
  </r>
  <r>
    <m/>
    <m/>
    <x v="1"/>
    <s v="44580411001002"/>
    <n v="-9.52"/>
    <n v="482"/>
    <n v="1"/>
    <n v="1"/>
  </r>
  <r>
    <m/>
    <m/>
    <x v="1"/>
    <s v="44612044001005"/>
    <n v="-15.99"/>
    <n v="809"/>
    <n v="1"/>
    <n v="1"/>
  </r>
  <r>
    <m/>
    <m/>
    <x v="1"/>
    <s v="44615271001001"/>
    <n v="-0.73"/>
    <n v="37"/>
    <n v="1"/>
    <n v="1"/>
  </r>
  <r>
    <m/>
    <m/>
    <x v="1"/>
    <s v="44636061001001"/>
    <n v="-50.98"/>
    <n v="2580"/>
    <n v="1"/>
    <n v="1"/>
  </r>
  <r>
    <m/>
    <m/>
    <x v="1"/>
    <s v="44636761001001"/>
    <n v="-34.700000000000003"/>
    <n v="1756"/>
    <n v="1"/>
    <n v="1"/>
  </r>
  <r>
    <m/>
    <m/>
    <x v="1"/>
    <s v="44713691001003"/>
    <n v="-29.62"/>
    <n v="1499"/>
    <n v="1"/>
    <n v="1"/>
  </r>
  <r>
    <m/>
    <m/>
    <x v="1"/>
    <s v="44713901001001"/>
    <n v="-65.17"/>
    <n v="3298"/>
    <n v="1"/>
    <n v="1"/>
  </r>
  <r>
    <m/>
    <m/>
    <x v="1"/>
    <s v="44717961001001"/>
    <n v="-4.8600000000000003"/>
    <n v="246"/>
    <n v="1"/>
    <n v="1"/>
  </r>
  <r>
    <m/>
    <m/>
    <x v="1"/>
    <s v="44719431001001"/>
    <n v="-25.73"/>
    <n v="1302"/>
    <n v="1"/>
    <n v="1"/>
  </r>
  <r>
    <m/>
    <m/>
    <x v="1"/>
    <s v="44760031004001"/>
    <n v="-45.05"/>
    <n v="2280"/>
    <n v="1"/>
    <n v="1"/>
  </r>
  <r>
    <m/>
    <m/>
    <x v="1"/>
    <s v="44775991001002"/>
    <n v="-21.72"/>
    <n v="1099"/>
    <n v="1"/>
    <n v="1"/>
  </r>
  <r>
    <m/>
    <m/>
    <x v="1"/>
    <s v="44797411005020"/>
    <n v="-23.61"/>
    <n v="1195"/>
    <n v="1"/>
    <n v="1"/>
  </r>
  <r>
    <m/>
    <m/>
    <x v="1"/>
    <s v="44805881002002"/>
    <n v="-58.59"/>
    <n v="2965"/>
    <n v="1"/>
    <n v="1"/>
  </r>
  <r>
    <m/>
    <m/>
    <x v="1"/>
    <s v="44810711003003"/>
    <n v="-17.98"/>
    <n v="910"/>
    <n v="1"/>
    <n v="1"/>
  </r>
  <r>
    <m/>
    <m/>
    <x v="1"/>
    <s v="44811481003005"/>
    <n v="-30.21"/>
    <n v="1529"/>
    <n v="1"/>
    <n v="1"/>
  </r>
  <r>
    <m/>
    <m/>
    <x v="1"/>
    <s v="44826041001002"/>
    <n v="-24.3"/>
    <n v="1230"/>
    <n v="1"/>
    <n v="1"/>
  </r>
  <r>
    <m/>
    <m/>
    <x v="1"/>
    <s v="44846761001001"/>
    <n v="-61.91"/>
    <n v="3133"/>
    <n v="1"/>
    <n v="1"/>
  </r>
  <r>
    <m/>
    <m/>
    <x v="1"/>
    <s v="44847951001001"/>
    <n v="-50.21"/>
    <n v="2541"/>
    <n v="1"/>
    <n v="1"/>
  </r>
  <r>
    <m/>
    <m/>
    <x v="1"/>
    <s v="44856771002005"/>
    <n v="-29.03"/>
    <n v="1469"/>
    <n v="1"/>
    <n v="1"/>
  </r>
  <r>
    <m/>
    <m/>
    <x v="1"/>
    <s v="44861671002001"/>
    <n v="-12.51"/>
    <n v="633"/>
    <n v="1"/>
    <n v="1"/>
  </r>
  <r>
    <m/>
    <m/>
    <x v="1"/>
    <s v="44862161002001"/>
    <n v="-51.47"/>
    <n v="2605"/>
    <n v="1"/>
    <n v="1"/>
  </r>
  <r>
    <m/>
    <m/>
    <x v="1"/>
    <s v="44875811001006"/>
    <n v="-26.56"/>
    <n v="1344"/>
    <n v="1"/>
    <n v="1"/>
  </r>
  <r>
    <m/>
    <m/>
    <x v="1"/>
    <s v="44882082003001"/>
    <n v="-15.89"/>
    <n v="804"/>
    <n v="1"/>
    <n v="1"/>
  </r>
  <r>
    <m/>
    <m/>
    <x v="1"/>
    <s v="44884351001001"/>
    <n v="-0.36"/>
    <n v="18"/>
    <n v="1"/>
    <n v="1"/>
  </r>
  <r>
    <m/>
    <m/>
    <x v="1"/>
    <s v="44905001001001"/>
    <n v="-36.22"/>
    <n v="1833"/>
    <n v="1"/>
    <n v="1"/>
  </r>
  <r>
    <m/>
    <m/>
    <x v="1"/>
    <s v="44905701001001"/>
    <n v="-4.17"/>
    <n v="211"/>
    <n v="1"/>
    <n v="1"/>
  </r>
  <r>
    <m/>
    <m/>
    <x v="1"/>
    <s v="44908781005001"/>
    <n v="-39.119999999999997"/>
    <n v="1980"/>
    <n v="1"/>
    <n v="1"/>
  </r>
  <r>
    <m/>
    <m/>
    <x v="1"/>
    <s v="44909201001001"/>
    <n v="-3.89"/>
    <n v="197"/>
    <n v="1"/>
    <n v="1"/>
  </r>
  <r>
    <m/>
    <m/>
    <x v="1"/>
    <s v="44946581002001"/>
    <n v="-62.22"/>
    <n v="3149"/>
    <n v="1"/>
    <n v="1"/>
  </r>
  <r>
    <m/>
    <m/>
    <x v="1"/>
    <s v="44955261001002"/>
    <n v="-75.72"/>
    <n v="3832"/>
    <n v="1"/>
    <n v="1"/>
  </r>
  <r>
    <m/>
    <m/>
    <x v="1"/>
    <s v="44995231002001"/>
    <n v="-28.4"/>
    <n v="1437"/>
    <n v="1"/>
    <n v="1"/>
  </r>
  <r>
    <m/>
    <m/>
    <x v="1"/>
    <s v="45022671002001"/>
    <n v="-44.74"/>
    <n v="2264"/>
    <n v="1"/>
    <n v="1"/>
  </r>
  <r>
    <m/>
    <m/>
    <x v="1"/>
    <s v="45037931001001"/>
    <n v="-44.86"/>
    <n v="2270"/>
    <n v="1"/>
    <n v="1"/>
  </r>
  <r>
    <m/>
    <m/>
    <x v="1"/>
    <s v="45049061001001"/>
    <n v="-39.799999999999997"/>
    <n v="2014"/>
    <n v="1"/>
    <n v="1"/>
  </r>
  <r>
    <m/>
    <m/>
    <x v="1"/>
    <s v="45051091001001"/>
    <n v="-44.76"/>
    <n v="2265"/>
    <n v="1"/>
    <n v="1"/>
  </r>
  <r>
    <m/>
    <m/>
    <x v="1"/>
    <s v="45060821001003"/>
    <n v="-51.57"/>
    <n v="2610"/>
    <n v="1"/>
    <n v="1"/>
  </r>
  <r>
    <m/>
    <m/>
    <x v="1"/>
    <s v="45072511001002"/>
    <n v="-35.39"/>
    <n v="1791"/>
    <n v="1"/>
    <n v="1"/>
  </r>
  <r>
    <m/>
    <m/>
    <x v="1"/>
    <s v="45074891004011"/>
    <n v="-13.02"/>
    <n v="659"/>
    <n v="1"/>
    <n v="1"/>
  </r>
  <r>
    <m/>
    <m/>
    <x v="1"/>
    <s v="45076991001001"/>
    <n v="-23.14"/>
    <n v="1171"/>
    <n v="1"/>
    <n v="1"/>
  </r>
  <r>
    <m/>
    <m/>
    <x v="1"/>
    <s v="45128721001001"/>
    <n v="-14.94"/>
    <n v="756"/>
    <n v="1"/>
    <n v="1"/>
  </r>
  <r>
    <m/>
    <m/>
    <x v="1"/>
    <s v="45130821001001"/>
    <n v="-8.42"/>
    <n v="426"/>
    <n v="1"/>
    <n v="1"/>
  </r>
  <r>
    <m/>
    <m/>
    <x v="1"/>
    <s v="45136421001001"/>
    <n v="-52.34"/>
    <n v="2649"/>
    <n v="1"/>
    <n v="1"/>
  </r>
  <r>
    <m/>
    <m/>
    <x v="1"/>
    <s v="45143911003001"/>
    <n v="-7.81"/>
    <n v="395"/>
    <n v="1"/>
    <n v="1"/>
  </r>
  <r>
    <m/>
    <m/>
    <x v="1"/>
    <s v="45155461001001"/>
    <n v="-58.49"/>
    <n v="2960"/>
    <n v="1"/>
    <n v="1"/>
  </r>
  <r>
    <m/>
    <m/>
    <x v="1"/>
    <s v="45159171001001"/>
    <n v="-18.5"/>
    <n v="936"/>
    <n v="1"/>
    <n v="1"/>
  </r>
  <r>
    <m/>
    <m/>
    <x v="1"/>
    <s v="45170721001001"/>
    <n v="-40.71"/>
    <n v="2060"/>
    <n v="1"/>
    <n v="1"/>
  </r>
  <r>
    <m/>
    <m/>
    <x v="1"/>
    <s v="45188011001001"/>
    <n v="-12.76"/>
    <n v="646"/>
    <n v="1"/>
    <n v="1"/>
  </r>
  <r>
    <m/>
    <m/>
    <x v="1"/>
    <s v="45200191001001"/>
    <n v="-13.06"/>
    <n v="661"/>
    <n v="1"/>
    <n v="1"/>
  </r>
  <r>
    <m/>
    <m/>
    <x v="1"/>
    <s v="45259341001001"/>
    <n v="-14.31"/>
    <n v="724"/>
    <n v="1"/>
    <n v="1"/>
  </r>
  <r>
    <m/>
    <m/>
    <x v="1"/>
    <s v="45272991001001"/>
    <n v="-8.4600000000000009"/>
    <n v="428"/>
    <n v="1"/>
    <n v="1"/>
  </r>
  <r>
    <m/>
    <m/>
    <x v="1"/>
    <s v="45332981001003"/>
    <n v="-16.48"/>
    <n v="834"/>
    <n v="1"/>
    <n v="1"/>
  </r>
  <r>
    <m/>
    <m/>
    <x v="1"/>
    <s v="45356011003001"/>
    <n v="-40.82"/>
    <n v="2066"/>
    <n v="1"/>
    <n v="1"/>
  </r>
  <r>
    <m/>
    <m/>
    <x v="1"/>
    <s v="45360911001001"/>
    <n v="-34.58"/>
    <n v="1750"/>
    <n v="1"/>
    <n v="1"/>
  </r>
  <r>
    <m/>
    <m/>
    <x v="1"/>
    <s v="45361541002001"/>
    <n v="-41.87"/>
    <n v="2119"/>
    <n v="1"/>
    <n v="1"/>
  </r>
  <r>
    <m/>
    <m/>
    <x v="1"/>
    <s v="45371411001001"/>
    <n v="-20.87"/>
    <n v="1056"/>
    <n v="1"/>
    <n v="1"/>
  </r>
  <r>
    <m/>
    <m/>
    <x v="1"/>
    <s v="45384011001002"/>
    <n v="-40.92"/>
    <n v="2071"/>
    <n v="1"/>
    <n v="1"/>
  </r>
  <r>
    <m/>
    <m/>
    <x v="1"/>
    <s v="45387931001001"/>
    <n v="-28.26"/>
    <n v="1430"/>
    <n v="1"/>
    <n v="1"/>
  </r>
  <r>
    <m/>
    <m/>
    <x v="1"/>
    <s v="45401791001002"/>
    <n v="-47.66"/>
    <n v="2412"/>
    <n v="1"/>
    <n v="1"/>
  </r>
  <r>
    <m/>
    <m/>
    <x v="1"/>
    <s v="45406543001004"/>
    <n v="-9.31"/>
    <n v="471"/>
    <n v="1"/>
    <n v="1"/>
  </r>
  <r>
    <m/>
    <m/>
    <x v="1"/>
    <s v="45440641002001"/>
    <n v="-18.399999999999999"/>
    <n v="931"/>
    <n v="1"/>
    <n v="1"/>
  </r>
  <r>
    <m/>
    <m/>
    <x v="1"/>
    <s v="45478511001002"/>
    <n v="-36.18"/>
    <n v="1831"/>
    <n v="1"/>
    <n v="1"/>
  </r>
  <r>
    <m/>
    <m/>
    <x v="1"/>
    <s v="45487611001002"/>
    <n v="-39.9"/>
    <n v="2019"/>
    <n v="1"/>
    <n v="1"/>
  </r>
  <r>
    <m/>
    <m/>
    <x v="1"/>
    <s v="45494891001001"/>
    <n v="-31.08"/>
    <n v="1573"/>
    <n v="1"/>
    <n v="1"/>
  </r>
  <r>
    <m/>
    <m/>
    <x v="1"/>
    <s v="45519246001001"/>
    <n v="-51.2"/>
    <n v="2591"/>
    <n v="1"/>
    <n v="1"/>
  </r>
  <r>
    <m/>
    <m/>
    <x v="1"/>
    <s v="45521841002001"/>
    <n v="-29.38"/>
    <n v="1487"/>
    <n v="1"/>
    <n v="1"/>
  </r>
  <r>
    <m/>
    <m/>
    <x v="1"/>
    <s v="45524858001001"/>
    <n v="-32.369999999999997"/>
    <n v="1638"/>
    <n v="1"/>
    <n v="1"/>
  </r>
  <r>
    <m/>
    <m/>
    <x v="1"/>
    <s v="45525621001001"/>
    <n v="-39.950000000000003"/>
    <n v="2022"/>
    <n v="1"/>
    <n v="1"/>
  </r>
  <r>
    <m/>
    <m/>
    <x v="1"/>
    <s v="45526041001005"/>
    <n v="-16.68"/>
    <n v="844"/>
    <n v="1"/>
    <n v="1"/>
  </r>
  <r>
    <m/>
    <m/>
    <x v="1"/>
    <s v="45546971002001"/>
    <n v="-38.67"/>
    <n v="1957"/>
    <n v="1"/>
    <n v="1"/>
  </r>
  <r>
    <m/>
    <m/>
    <x v="1"/>
    <s v="45559221007005"/>
    <n v="-33.18"/>
    <n v="1679"/>
    <n v="1"/>
    <n v="1"/>
  </r>
  <r>
    <m/>
    <m/>
    <x v="1"/>
    <s v="45599751001003"/>
    <n v="-26.38"/>
    <n v="1335"/>
    <n v="1"/>
    <n v="1"/>
  </r>
  <r>
    <m/>
    <m/>
    <x v="1"/>
    <s v="45615361005001"/>
    <n v="-74.42"/>
    <n v="3766"/>
    <n v="1"/>
    <n v="1"/>
  </r>
  <r>
    <m/>
    <m/>
    <x v="1"/>
    <s v="45628101001001"/>
    <n v="-41.18"/>
    <n v="2084"/>
    <n v="1"/>
    <n v="1"/>
  </r>
  <r>
    <m/>
    <m/>
    <x v="1"/>
    <s v="45692851001001"/>
    <n v="-84.83"/>
    <n v="4293"/>
    <n v="1"/>
    <n v="1"/>
  </r>
  <r>
    <m/>
    <m/>
    <x v="1"/>
    <s v="45708595001003"/>
    <n v="-34.76"/>
    <n v="1759"/>
    <n v="1"/>
    <n v="1"/>
  </r>
  <r>
    <m/>
    <m/>
    <x v="1"/>
    <s v="45785111001001"/>
    <n v="-1.19"/>
    <n v="60"/>
    <n v="1"/>
    <n v="1"/>
  </r>
  <r>
    <m/>
    <m/>
    <x v="1"/>
    <s v="45788681002001"/>
    <n v="-15.73"/>
    <n v="796"/>
    <n v="1"/>
    <n v="1"/>
  </r>
  <r>
    <m/>
    <m/>
    <x v="1"/>
    <s v="45845101001001"/>
    <n v="-26.3"/>
    <n v="1331"/>
    <n v="1"/>
    <n v="1"/>
  </r>
  <r>
    <m/>
    <m/>
    <x v="1"/>
    <s v="45848041001001"/>
    <n v="-51.97"/>
    <n v="2630"/>
    <n v="1"/>
    <n v="1"/>
  </r>
  <r>
    <m/>
    <m/>
    <x v="1"/>
    <s v="45863581003010"/>
    <n v="-9.9600000000000009"/>
    <n v="504"/>
    <n v="1"/>
    <n v="1"/>
  </r>
  <r>
    <m/>
    <m/>
    <x v="1"/>
    <s v="45878001001001"/>
    <n v="-26.83"/>
    <n v="1358"/>
    <n v="1"/>
    <n v="1"/>
  </r>
  <r>
    <m/>
    <m/>
    <x v="1"/>
    <s v="45890251001001"/>
    <n v="-28.47"/>
    <n v="1441"/>
    <n v="1"/>
    <n v="1"/>
  </r>
  <r>
    <m/>
    <m/>
    <x v="1"/>
    <s v="45918181001001"/>
    <n v="-12.11"/>
    <n v="613"/>
    <n v="1"/>
    <n v="1"/>
  </r>
  <r>
    <m/>
    <m/>
    <x v="1"/>
    <s v="45929941001001"/>
    <n v="-6.68"/>
    <n v="338"/>
    <n v="1"/>
    <n v="1"/>
  </r>
  <r>
    <m/>
    <m/>
    <x v="1"/>
    <s v="46000571001002"/>
    <n v="-67.069999999999993"/>
    <n v="3394"/>
    <n v="1"/>
    <n v="1"/>
  </r>
  <r>
    <m/>
    <m/>
    <x v="1"/>
    <s v="46024168001001"/>
    <n v="-9.31"/>
    <n v="471"/>
    <n v="1"/>
    <n v="1"/>
  </r>
  <r>
    <m/>
    <m/>
    <x v="1"/>
    <s v="46040191001001"/>
    <n v="-0.47"/>
    <n v="24"/>
    <n v="1"/>
    <n v="1"/>
  </r>
  <r>
    <m/>
    <m/>
    <x v="1"/>
    <s v="46087791001001"/>
    <n v="-70.400000000000006"/>
    <n v="3563"/>
    <n v="1"/>
    <n v="1"/>
  </r>
  <r>
    <m/>
    <m/>
    <x v="1"/>
    <s v="46096681001002"/>
    <n v="-21.8"/>
    <n v="1103"/>
    <n v="1"/>
    <n v="1"/>
  </r>
  <r>
    <m/>
    <m/>
    <x v="1"/>
    <s v="46181801006035"/>
    <n v="-28.67"/>
    <n v="1451"/>
    <n v="1"/>
    <n v="1"/>
  </r>
  <r>
    <m/>
    <m/>
    <x v="1"/>
    <s v="46208961001005"/>
    <n v="-44.05"/>
    <n v="2229"/>
    <n v="1"/>
    <n v="1"/>
  </r>
  <r>
    <m/>
    <m/>
    <x v="1"/>
    <s v="46220091004001"/>
    <n v="-51.24"/>
    <n v="2593"/>
    <n v="1"/>
    <n v="1"/>
  </r>
  <r>
    <m/>
    <m/>
    <x v="1"/>
    <s v="46227600003001"/>
    <n v="-12.31"/>
    <n v="623"/>
    <n v="1"/>
    <n v="1"/>
  </r>
  <r>
    <m/>
    <m/>
    <x v="1"/>
    <s v="46235281001001"/>
    <n v="-12.78"/>
    <n v="647"/>
    <n v="1"/>
    <n v="1"/>
  </r>
  <r>
    <m/>
    <m/>
    <x v="1"/>
    <s v="46279171001001"/>
    <n v="-27.49"/>
    <n v="1391"/>
    <n v="1"/>
    <n v="1"/>
  </r>
  <r>
    <m/>
    <m/>
    <x v="1"/>
    <s v="46327191003002"/>
    <n v="-4.5999999999999996"/>
    <n v="233"/>
    <n v="1"/>
    <n v="1"/>
  </r>
  <r>
    <m/>
    <m/>
    <x v="1"/>
    <s v="46333701006001"/>
    <n v="-49.6"/>
    <n v="2510"/>
    <n v="1"/>
    <n v="1"/>
  </r>
  <r>
    <m/>
    <m/>
    <x v="1"/>
    <s v="46345951001005"/>
    <n v="-8.77"/>
    <n v="444"/>
    <n v="1"/>
    <n v="1"/>
  </r>
  <r>
    <m/>
    <m/>
    <x v="1"/>
    <s v="46350571001003"/>
    <n v="-22.13"/>
    <n v="1120"/>
    <n v="1"/>
    <n v="1"/>
  </r>
  <r>
    <m/>
    <m/>
    <x v="1"/>
    <s v="46363801003001"/>
    <n v="-41.14"/>
    <n v="2082"/>
    <n v="1"/>
    <n v="1"/>
  </r>
  <r>
    <m/>
    <m/>
    <x v="1"/>
    <s v="46392431004003"/>
    <n v="-32.799999999999997"/>
    <n v="1660"/>
    <n v="1"/>
    <n v="1"/>
  </r>
  <r>
    <m/>
    <m/>
    <x v="1"/>
    <s v="46438351001002"/>
    <n v="-13.2"/>
    <n v="668"/>
    <n v="1"/>
    <n v="1"/>
  </r>
  <r>
    <m/>
    <m/>
    <x v="1"/>
    <s v="46447731001002"/>
    <n v="-49.32"/>
    <n v="2496"/>
    <n v="1"/>
    <n v="1"/>
  </r>
  <r>
    <m/>
    <m/>
    <x v="1"/>
    <s v="46457955001001"/>
    <n v="-2.59"/>
    <n v="131"/>
    <n v="1"/>
    <n v="1"/>
  </r>
  <r>
    <m/>
    <m/>
    <x v="1"/>
    <s v="46459421003005"/>
    <n v="-34.07"/>
    <n v="1724"/>
    <n v="1"/>
    <n v="1"/>
  </r>
  <r>
    <m/>
    <m/>
    <x v="1"/>
    <s v="46488681001003"/>
    <n v="-63.21"/>
    <n v="3199"/>
    <n v="1"/>
    <n v="1"/>
  </r>
  <r>
    <m/>
    <m/>
    <x v="1"/>
    <s v="46562181001001"/>
    <n v="-59.08"/>
    <n v="2990"/>
    <n v="1"/>
    <n v="1"/>
  </r>
  <r>
    <m/>
    <m/>
    <x v="1"/>
    <s v="46595026001001"/>
    <n v="-51.71"/>
    <n v="2617"/>
    <n v="1"/>
    <n v="1"/>
  </r>
  <r>
    <m/>
    <m/>
    <x v="1"/>
    <s v="46613701001001"/>
    <n v="-42.92"/>
    <n v="2172"/>
    <n v="1"/>
    <n v="1"/>
  </r>
  <r>
    <m/>
    <m/>
    <x v="1"/>
    <s v="46689301001005"/>
    <n v="-47.68"/>
    <n v="2413"/>
    <n v="1"/>
    <n v="1"/>
  </r>
  <r>
    <m/>
    <m/>
    <x v="1"/>
    <s v="46747261004011"/>
    <n v="-8.34"/>
    <n v="422"/>
    <n v="1"/>
    <n v="1"/>
  </r>
  <r>
    <m/>
    <m/>
    <x v="1"/>
    <s v="46748311001002"/>
    <n v="-119.01"/>
    <n v="6023"/>
    <n v="1"/>
    <n v="1"/>
  </r>
  <r>
    <m/>
    <m/>
    <x v="1"/>
    <s v="46767211003001"/>
    <n v="-25.85"/>
    <n v="1308"/>
    <n v="1"/>
    <n v="1"/>
  </r>
  <r>
    <m/>
    <m/>
    <x v="1"/>
    <s v="46774841003005"/>
    <n v="-38.590000000000003"/>
    <n v="1953"/>
    <n v="1"/>
    <n v="1"/>
  </r>
  <r>
    <m/>
    <m/>
    <x v="1"/>
    <s v="46786251002001"/>
    <n v="-36.32"/>
    <n v="1838"/>
    <n v="1"/>
    <n v="1"/>
  </r>
  <r>
    <m/>
    <m/>
    <x v="1"/>
    <s v="46791361001012"/>
    <n v="-13.58"/>
    <n v="687"/>
    <n v="1"/>
    <n v="1"/>
  </r>
  <r>
    <m/>
    <m/>
    <x v="1"/>
    <s v="46794861003003"/>
    <n v="-1.3"/>
    <n v="66"/>
    <n v="1"/>
    <n v="1"/>
  </r>
  <r>
    <m/>
    <m/>
    <x v="1"/>
    <s v="46795071001004"/>
    <n v="-39.090000000000003"/>
    <n v="1978"/>
    <n v="1"/>
    <n v="1"/>
  </r>
  <r>
    <m/>
    <m/>
    <x v="1"/>
    <s v="46806971002001"/>
    <n v="-40.17"/>
    <n v="2033"/>
    <n v="1"/>
    <n v="1"/>
  </r>
  <r>
    <m/>
    <m/>
    <x v="1"/>
    <s v="46824191001001"/>
    <n v="-52.88"/>
    <n v="2676"/>
    <n v="1"/>
    <n v="1"/>
  </r>
  <r>
    <m/>
    <m/>
    <x v="1"/>
    <s v="46834341003003"/>
    <n v="-50.51"/>
    <n v="2556"/>
    <n v="1"/>
    <n v="1"/>
  </r>
  <r>
    <m/>
    <m/>
    <x v="1"/>
    <s v="46836751001001"/>
    <n v="-30.39"/>
    <n v="1538"/>
    <n v="1"/>
    <n v="1"/>
  </r>
  <r>
    <m/>
    <m/>
    <x v="1"/>
    <s v="46839241002001"/>
    <n v="-36"/>
    <n v="1822"/>
    <n v="1"/>
    <n v="1"/>
  </r>
  <r>
    <m/>
    <m/>
    <x v="1"/>
    <s v="46848271001001"/>
    <n v="-30.87"/>
    <n v="1562"/>
    <n v="1"/>
    <n v="1"/>
  </r>
  <r>
    <m/>
    <m/>
    <x v="1"/>
    <s v="46933740002003"/>
    <n v="-33.630000000000003"/>
    <n v="1702"/>
    <n v="1"/>
    <n v="1"/>
  </r>
  <r>
    <m/>
    <m/>
    <x v="1"/>
    <s v="46968467001001"/>
    <n v="-33.1"/>
    <n v="1675"/>
    <n v="1"/>
    <n v="1"/>
  </r>
  <r>
    <m/>
    <m/>
    <x v="1"/>
    <s v="47139891001002"/>
    <n v="-26.81"/>
    <n v="1357"/>
    <n v="1"/>
    <n v="1"/>
  </r>
  <r>
    <m/>
    <m/>
    <x v="1"/>
    <s v="47180631003001"/>
    <n v="-24.92"/>
    <n v="1261"/>
    <n v="1"/>
    <n v="1"/>
  </r>
  <r>
    <m/>
    <m/>
    <x v="1"/>
    <s v="47210381001002"/>
    <n v="-1.24"/>
    <n v="63"/>
    <n v="1"/>
    <n v="1"/>
  </r>
  <r>
    <m/>
    <m/>
    <x v="1"/>
    <s v="47244331002001"/>
    <n v="-33.53"/>
    <n v="1697"/>
    <n v="1"/>
    <n v="1"/>
  </r>
  <r>
    <m/>
    <m/>
    <x v="1"/>
    <s v="47256425001001"/>
    <n v="-21.16"/>
    <n v="1071"/>
    <n v="1"/>
    <n v="1"/>
  </r>
  <r>
    <m/>
    <m/>
    <x v="1"/>
    <s v="47282621001001"/>
    <n v="-22.53"/>
    <n v="1140"/>
    <n v="1"/>
    <n v="1"/>
  </r>
  <r>
    <m/>
    <m/>
    <x v="1"/>
    <s v="47309711002003"/>
    <n v="-33.770000000000003"/>
    <n v="1709"/>
    <n v="1"/>
    <n v="1"/>
  </r>
  <r>
    <m/>
    <m/>
    <x v="1"/>
    <s v="47323011001001"/>
    <n v="-30.25"/>
    <n v="1531"/>
    <n v="1"/>
    <n v="1"/>
  </r>
  <r>
    <m/>
    <m/>
    <x v="1"/>
    <s v="47326848001001"/>
    <n v="-8.34"/>
    <n v="422"/>
    <n v="1"/>
    <n v="1"/>
  </r>
  <r>
    <m/>
    <m/>
    <x v="1"/>
    <s v="47345831001004"/>
    <n v="-18.59"/>
    <n v="941"/>
    <n v="1"/>
    <n v="1"/>
  </r>
  <r>
    <m/>
    <m/>
    <x v="1"/>
    <s v="47379221001002"/>
    <n v="-40.43"/>
    <n v="2046"/>
    <n v="1"/>
    <n v="1"/>
  </r>
  <r>
    <m/>
    <m/>
    <x v="1"/>
    <s v="47382161001005"/>
    <n v="-45.78"/>
    <n v="2317"/>
    <n v="1"/>
    <n v="1"/>
  </r>
  <r>
    <m/>
    <m/>
    <x v="1"/>
    <s v="47385801001001"/>
    <n v="-15.89"/>
    <n v="804"/>
    <n v="1"/>
    <n v="1"/>
  </r>
  <r>
    <m/>
    <m/>
    <x v="1"/>
    <s v="47418141001001"/>
    <n v="-16.52"/>
    <n v="836"/>
    <n v="1"/>
    <n v="1"/>
  </r>
  <r>
    <m/>
    <m/>
    <x v="1"/>
    <s v="47445167002001"/>
    <n v="-38.119999999999997"/>
    <n v="1929"/>
    <n v="1"/>
    <n v="1"/>
  </r>
  <r>
    <m/>
    <m/>
    <x v="1"/>
    <s v="47494974001015"/>
    <n v="-42.01"/>
    <n v="2126"/>
    <n v="1"/>
    <n v="1"/>
  </r>
  <r>
    <m/>
    <m/>
    <x v="1"/>
    <s v="47515391001003"/>
    <n v="-10.53"/>
    <n v="533"/>
    <n v="1"/>
    <n v="1"/>
  </r>
  <r>
    <m/>
    <m/>
    <x v="1"/>
    <s v="47541901001001"/>
    <n v="-40.799999999999997"/>
    <n v="2065"/>
    <n v="1"/>
    <n v="1"/>
  </r>
  <r>
    <m/>
    <m/>
    <x v="1"/>
    <s v="47550301001001"/>
    <n v="-36.909999999999997"/>
    <n v="1868"/>
    <n v="1"/>
    <n v="1"/>
  </r>
  <r>
    <m/>
    <m/>
    <x v="1"/>
    <s v="47555411002001"/>
    <n v="-45.05"/>
    <n v="2280"/>
    <n v="1"/>
    <n v="1"/>
  </r>
  <r>
    <m/>
    <m/>
    <x v="1"/>
    <s v="47557441001002"/>
    <n v="-53.25"/>
    <n v="2695"/>
    <n v="1"/>
    <n v="1"/>
  </r>
  <r>
    <m/>
    <m/>
    <x v="1"/>
    <s v="47558607001001"/>
    <n v="-59.64"/>
    <n v="3018"/>
    <n v="1"/>
    <n v="1"/>
  </r>
  <r>
    <m/>
    <m/>
    <x v="1"/>
    <s v="47567311002006"/>
    <n v="-27.51"/>
    <n v="1392"/>
    <n v="1"/>
    <n v="1"/>
  </r>
  <r>
    <m/>
    <m/>
    <x v="1"/>
    <s v="47651311002005"/>
    <n v="-19.899999999999999"/>
    <n v="1007"/>
    <n v="1"/>
    <n v="1"/>
  </r>
  <r>
    <m/>
    <m/>
    <x v="1"/>
    <s v="47671401001005"/>
    <n v="-59.42"/>
    <n v="3007"/>
    <n v="1"/>
    <n v="1"/>
  </r>
  <r>
    <m/>
    <m/>
    <x v="1"/>
    <s v="47675111001001"/>
    <n v="-34.6"/>
    <n v="1751"/>
    <n v="1"/>
    <n v="1"/>
  </r>
  <r>
    <m/>
    <m/>
    <x v="1"/>
    <s v="47682181001018"/>
    <n v="-102.14"/>
    <n v="5169"/>
    <n v="1"/>
    <n v="1"/>
  </r>
  <r>
    <m/>
    <m/>
    <x v="1"/>
    <s v="47686731001002"/>
    <n v="-2.41"/>
    <n v="122"/>
    <n v="1"/>
    <n v="1"/>
  </r>
  <r>
    <m/>
    <m/>
    <x v="1"/>
    <s v="47696251001001"/>
    <n v="-71.25"/>
    <n v="3606"/>
    <n v="1"/>
    <n v="1"/>
  </r>
  <r>
    <m/>
    <m/>
    <x v="1"/>
    <s v="47755961001002"/>
    <n v="-64.400000000000006"/>
    <n v="3259"/>
    <n v="1"/>
    <n v="1"/>
  </r>
  <r>
    <m/>
    <m/>
    <x v="1"/>
    <s v="47774371002002"/>
    <n v="-25.06"/>
    <n v="1268"/>
    <n v="1"/>
    <n v="1"/>
  </r>
  <r>
    <m/>
    <m/>
    <x v="1"/>
    <s v="47798305005009"/>
    <n v="-61.49"/>
    <n v="3112"/>
    <n v="1"/>
    <n v="1"/>
  </r>
  <r>
    <m/>
    <m/>
    <x v="1"/>
    <s v="47842700001003"/>
    <n v="-22.76"/>
    <n v="1152"/>
    <n v="1"/>
    <n v="1"/>
  </r>
  <r>
    <m/>
    <m/>
    <x v="1"/>
    <s v="47849621001003"/>
    <n v="-36.36"/>
    <n v="1840"/>
    <n v="1"/>
    <n v="1"/>
  </r>
  <r>
    <m/>
    <m/>
    <x v="1"/>
    <s v="47876291003003"/>
    <n v="-27.13"/>
    <n v="1373"/>
    <n v="1"/>
    <n v="1"/>
  </r>
  <r>
    <m/>
    <m/>
    <x v="1"/>
    <s v="47902401001001"/>
    <n v="-41.34"/>
    <n v="2092"/>
    <n v="1"/>
    <n v="1"/>
  </r>
  <r>
    <m/>
    <m/>
    <x v="1"/>
    <s v="47907721006007"/>
    <n v="-12.17"/>
    <n v="616"/>
    <n v="1"/>
    <n v="1"/>
  </r>
  <r>
    <m/>
    <m/>
    <x v="1"/>
    <s v="47930051002001"/>
    <n v="-14.64"/>
    <n v="741"/>
    <n v="1"/>
    <n v="1"/>
  </r>
  <r>
    <m/>
    <m/>
    <x v="1"/>
    <s v="47950841001006"/>
    <n v="-37.659999999999997"/>
    <n v="1906"/>
    <n v="1"/>
    <n v="1"/>
  </r>
  <r>
    <m/>
    <m/>
    <x v="1"/>
    <s v="47977511001001"/>
    <n v="-51.75"/>
    <n v="2619"/>
    <n v="1"/>
    <n v="1"/>
  </r>
  <r>
    <m/>
    <m/>
    <x v="1"/>
    <s v="48048211001001"/>
    <n v="-31.5"/>
    <n v="1594"/>
    <n v="1"/>
    <n v="1"/>
  </r>
  <r>
    <m/>
    <m/>
    <x v="1"/>
    <s v="48055981001001"/>
    <n v="-35.450000000000003"/>
    <n v="1794"/>
    <n v="1"/>
    <n v="1"/>
  </r>
  <r>
    <m/>
    <m/>
    <x v="1"/>
    <s v="48058431001001"/>
    <n v="-50.98"/>
    <n v="2580"/>
    <n v="1"/>
    <n v="1"/>
  </r>
  <r>
    <m/>
    <m/>
    <x v="1"/>
    <s v="48098261002004"/>
    <n v="-24.82"/>
    <n v="1256"/>
    <n v="1"/>
    <n v="1"/>
  </r>
  <r>
    <m/>
    <m/>
    <x v="1"/>
    <s v="48218278001003"/>
    <n v="-25.49"/>
    <n v="1290"/>
    <n v="1"/>
    <n v="1"/>
  </r>
  <r>
    <m/>
    <m/>
    <x v="1"/>
    <s v="48266891004001"/>
    <n v="-38.93"/>
    <n v="1970"/>
    <n v="1"/>
    <n v="1"/>
  </r>
  <r>
    <m/>
    <m/>
    <x v="1"/>
    <s v="48326391001002"/>
    <n v="-36.020000000000003"/>
    <n v="1823"/>
    <n v="1"/>
    <n v="1"/>
  </r>
  <r>
    <m/>
    <m/>
    <x v="1"/>
    <s v="48367307001003"/>
    <n v="-8.0399999999999991"/>
    <n v="407"/>
    <n v="1"/>
    <n v="1"/>
  </r>
  <r>
    <m/>
    <m/>
    <x v="1"/>
    <s v="48488730001001"/>
    <n v="-35.65"/>
    <n v="1804"/>
    <n v="1"/>
    <n v="1"/>
  </r>
  <r>
    <m/>
    <m/>
    <x v="1"/>
    <s v="48516511001001"/>
    <n v="-69.89"/>
    <n v="3537"/>
    <n v="1"/>
    <n v="1"/>
  </r>
  <r>
    <m/>
    <m/>
    <x v="1"/>
    <s v="48622948001002"/>
    <n v="-31.99"/>
    <n v="1619"/>
    <n v="1"/>
    <n v="1"/>
  </r>
  <r>
    <m/>
    <m/>
    <x v="1"/>
    <s v="48681659001003"/>
    <n v="-5"/>
    <n v="253"/>
    <n v="1"/>
    <n v="1"/>
  </r>
  <r>
    <m/>
    <m/>
    <x v="1"/>
    <s v="48684021001001"/>
    <n v="-73.510000000000005"/>
    <n v="3720"/>
    <n v="1"/>
    <n v="1"/>
  </r>
  <r>
    <m/>
    <m/>
    <x v="1"/>
    <s v="48802881001001"/>
    <n v="-13.52"/>
    <n v="684"/>
    <n v="1"/>
    <n v="1"/>
  </r>
  <r>
    <m/>
    <m/>
    <x v="1"/>
    <s v="48985511001001"/>
    <n v="-63.39"/>
    <n v="3208"/>
    <n v="1"/>
    <n v="1"/>
  </r>
  <r>
    <m/>
    <m/>
    <x v="1"/>
    <s v="49040181002004"/>
    <n v="-5.97"/>
    <n v="302"/>
    <n v="1"/>
    <n v="1"/>
  </r>
  <r>
    <m/>
    <m/>
    <x v="1"/>
    <s v="49078891001002"/>
    <n v="-10.199999999999999"/>
    <n v="516"/>
    <n v="1"/>
    <n v="1"/>
  </r>
  <r>
    <m/>
    <m/>
    <x v="1"/>
    <s v="49166301001001"/>
    <n v="-12.13"/>
    <n v="614"/>
    <n v="1"/>
    <n v="1"/>
  </r>
  <r>
    <m/>
    <m/>
    <x v="1"/>
    <s v="49277102003001"/>
    <n v="-32.74"/>
    <n v="1657"/>
    <n v="1"/>
    <n v="1"/>
  </r>
  <r>
    <m/>
    <m/>
    <x v="1"/>
    <s v="49283851001002"/>
    <n v="-26.26"/>
    <n v="1329"/>
    <n v="1"/>
    <n v="1"/>
  </r>
  <r>
    <m/>
    <m/>
    <x v="1"/>
    <s v="49301721001001"/>
    <n v="-35.590000000000003"/>
    <n v="1801"/>
    <n v="1"/>
    <n v="1"/>
  </r>
  <r>
    <m/>
    <m/>
    <x v="1"/>
    <s v="49365331001001"/>
    <n v="-22.98"/>
    <n v="1163"/>
    <n v="1"/>
    <n v="1"/>
  </r>
  <r>
    <m/>
    <m/>
    <x v="1"/>
    <s v="49393121003003"/>
    <n v="-29.5"/>
    <n v="1493"/>
    <n v="1"/>
    <n v="1"/>
  </r>
  <r>
    <m/>
    <m/>
    <x v="1"/>
    <s v="49399211004004"/>
    <n v="-33.39"/>
    <n v="1690"/>
    <n v="1"/>
    <n v="1"/>
  </r>
  <r>
    <m/>
    <m/>
    <x v="1"/>
    <s v="49419650001003"/>
    <n v="-24.74"/>
    <n v="1252"/>
    <n v="1"/>
    <n v="1"/>
  </r>
  <r>
    <m/>
    <m/>
    <x v="1"/>
    <s v="49422279001002"/>
    <n v="-38.75"/>
    <n v="1961"/>
    <n v="1"/>
    <n v="1"/>
  </r>
  <r>
    <m/>
    <m/>
    <x v="1"/>
    <s v="49429043003003"/>
    <n v="-54.64"/>
    <n v="2765"/>
    <n v="1"/>
    <n v="1"/>
  </r>
  <r>
    <m/>
    <m/>
    <x v="1"/>
    <s v="49469981001001"/>
    <n v="-34.130000000000003"/>
    <n v="1727"/>
    <n v="1"/>
    <n v="1"/>
  </r>
  <r>
    <m/>
    <m/>
    <x v="1"/>
    <s v="49473341001001"/>
    <n v="-40.49"/>
    <n v="2049"/>
    <n v="1"/>
    <n v="1"/>
  </r>
  <r>
    <m/>
    <m/>
    <x v="1"/>
    <s v="49577991001002"/>
    <n v="-24.03"/>
    <n v="1216"/>
    <n v="1"/>
    <n v="1"/>
  </r>
  <r>
    <m/>
    <m/>
    <x v="1"/>
    <s v="49577991001003"/>
    <n v="-24.48"/>
    <n v="1239"/>
    <n v="1"/>
    <n v="1"/>
  </r>
  <r>
    <m/>
    <m/>
    <x v="1"/>
    <s v="49591431001003"/>
    <n v="-10.26"/>
    <n v="519"/>
    <n v="1"/>
    <n v="1"/>
  </r>
  <r>
    <m/>
    <m/>
    <x v="1"/>
    <s v="49603891001006"/>
    <n v="-51.22"/>
    <n v="2592"/>
    <n v="1"/>
    <n v="1"/>
  </r>
  <r>
    <m/>
    <m/>
    <x v="1"/>
    <s v="49606131001005"/>
    <n v="-13.97"/>
    <n v="707"/>
    <n v="1"/>
    <n v="1"/>
  </r>
  <r>
    <m/>
    <m/>
    <x v="1"/>
    <s v="49606271002004"/>
    <n v="-51.53"/>
    <n v="2608"/>
    <n v="1"/>
    <n v="1"/>
  </r>
  <r>
    <m/>
    <m/>
    <x v="1"/>
    <s v="49617249001009"/>
    <n v="-28.99"/>
    <n v="1467"/>
    <n v="1"/>
    <n v="1"/>
  </r>
  <r>
    <m/>
    <m/>
    <x v="1"/>
    <s v="49640846002001"/>
    <n v="-38.020000000000003"/>
    <n v="1924"/>
    <n v="1"/>
    <n v="1"/>
  </r>
  <r>
    <m/>
    <m/>
    <x v="1"/>
    <s v="49656951001001"/>
    <n v="-44.16"/>
    <n v="2235"/>
    <n v="1"/>
    <n v="1"/>
  </r>
  <r>
    <m/>
    <m/>
    <x v="1"/>
    <s v="49705321003001"/>
    <n v="-38.99"/>
    <n v="1973"/>
    <n v="1"/>
    <n v="1"/>
  </r>
  <r>
    <m/>
    <m/>
    <x v="1"/>
    <s v="49743471001001"/>
    <n v="-1.82"/>
    <n v="92"/>
    <n v="1"/>
    <n v="1"/>
  </r>
  <r>
    <m/>
    <m/>
    <x v="1"/>
    <s v="49774436001006"/>
    <n v="-14.27"/>
    <n v="722"/>
    <n v="1"/>
    <n v="1"/>
  </r>
  <r>
    <m/>
    <m/>
    <x v="1"/>
    <s v="49918121003005"/>
    <n v="-17.329999999999998"/>
    <n v="877"/>
    <n v="1"/>
    <n v="1"/>
  </r>
  <r>
    <m/>
    <m/>
    <x v="1"/>
    <s v="49920571001002"/>
    <n v="-23.3"/>
    <n v="1179"/>
    <n v="1"/>
    <n v="1"/>
  </r>
  <r>
    <m/>
    <m/>
    <x v="1"/>
    <s v="49994841002002"/>
    <n v="-21.87"/>
    <n v="1107"/>
    <n v="1"/>
    <n v="1"/>
  </r>
  <r>
    <m/>
    <m/>
    <x v="1"/>
    <s v="50034391001002"/>
    <n v="-63.47"/>
    <n v="3212"/>
    <n v="1"/>
    <n v="1"/>
  </r>
  <r>
    <m/>
    <m/>
    <x v="1"/>
    <s v="50072891002002"/>
    <n v="-48.69"/>
    <n v="2464"/>
    <n v="1"/>
    <n v="1"/>
  </r>
  <r>
    <m/>
    <m/>
    <x v="1"/>
    <s v="50185311001007"/>
    <n v="-24.17"/>
    <n v="1223"/>
    <n v="1"/>
    <n v="1"/>
  </r>
  <r>
    <m/>
    <m/>
    <x v="1"/>
    <s v="50193571001001"/>
    <n v="-26.34"/>
    <n v="1333"/>
    <n v="1"/>
    <n v="1"/>
  </r>
  <r>
    <m/>
    <m/>
    <x v="1"/>
    <s v="50218504001005"/>
    <n v="-34.92"/>
    <n v="1767"/>
    <n v="1"/>
    <n v="1"/>
  </r>
  <r>
    <m/>
    <m/>
    <x v="1"/>
    <s v="50379561001003"/>
    <n v="-18.16"/>
    <n v="919"/>
    <n v="1"/>
    <n v="1"/>
  </r>
  <r>
    <m/>
    <m/>
    <x v="1"/>
    <s v="50402241001002"/>
    <n v="-32.86"/>
    <n v="1663"/>
    <n v="1"/>
    <n v="1"/>
  </r>
  <r>
    <m/>
    <m/>
    <x v="1"/>
    <s v="50421211005001"/>
    <n v="-46.59"/>
    <n v="2358"/>
    <n v="1"/>
    <n v="1"/>
  </r>
  <r>
    <m/>
    <m/>
    <x v="1"/>
    <s v="50499961001001"/>
    <n v="-32.72"/>
    <n v="1656"/>
    <n v="1"/>
    <n v="1"/>
  </r>
  <r>
    <m/>
    <m/>
    <x v="1"/>
    <s v="50539651002001"/>
    <n v="-36.619999999999997"/>
    <n v="1853"/>
    <n v="1"/>
    <n v="1"/>
  </r>
  <r>
    <m/>
    <m/>
    <x v="1"/>
    <s v="50556031001003"/>
    <n v="-65.66"/>
    <n v="3323"/>
    <n v="1"/>
    <n v="1"/>
  </r>
  <r>
    <m/>
    <m/>
    <x v="1"/>
    <s v="50587853001001"/>
    <n v="-24.32"/>
    <n v="1231"/>
    <n v="1"/>
    <n v="1"/>
  </r>
  <r>
    <m/>
    <m/>
    <x v="1"/>
    <s v="50603564001001"/>
    <n v="-27.21"/>
    <n v="1377"/>
    <n v="1"/>
    <n v="1"/>
  </r>
  <r>
    <m/>
    <m/>
    <x v="1"/>
    <s v="50652701001002"/>
    <n v="-55.6"/>
    <n v="2814"/>
    <n v="1"/>
    <n v="1"/>
  </r>
  <r>
    <m/>
    <m/>
    <x v="1"/>
    <s v="50658581001002"/>
    <n v="-77.58"/>
    <n v="3926"/>
    <n v="1"/>
    <n v="1"/>
  </r>
  <r>
    <m/>
    <m/>
    <x v="1"/>
    <s v="50704851001003"/>
    <n v="-25.19"/>
    <n v="1275"/>
    <n v="1"/>
    <n v="1"/>
  </r>
  <r>
    <m/>
    <m/>
    <x v="1"/>
    <s v="50707351001003"/>
    <n v="-95.32"/>
    <n v="4824"/>
    <n v="1"/>
    <n v="1"/>
  </r>
  <r>
    <m/>
    <m/>
    <x v="1"/>
    <s v="50727391001001"/>
    <n v="-48.41"/>
    <n v="2450"/>
    <n v="1"/>
    <n v="1"/>
  </r>
  <r>
    <m/>
    <m/>
    <x v="1"/>
    <s v="50733481003001"/>
    <n v="-44.26"/>
    <n v="2240"/>
    <n v="1"/>
    <n v="1"/>
  </r>
  <r>
    <m/>
    <m/>
    <x v="1"/>
    <s v="50774501001001"/>
    <n v="-25.19"/>
    <n v="1275"/>
    <n v="1"/>
    <n v="1"/>
  </r>
  <r>
    <m/>
    <m/>
    <x v="1"/>
    <s v="50780101002003"/>
    <n v="-0.4"/>
    <n v="20"/>
    <n v="1"/>
    <n v="1"/>
  </r>
  <r>
    <m/>
    <m/>
    <x v="1"/>
    <s v="50791002001001"/>
    <n v="-4.74"/>
    <n v="240"/>
    <n v="1"/>
    <n v="1"/>
  </r>
  <r>
    <m/>
    <m/>
    <x v="1"/>
    <s v="50806272001001"/>
    <n v="-35.35"/>
    <n v="1789"/>
    <n v="1"/>
    <n v="1"/>
  </r>
  <r>
    <m/>
    <m/>
    <x v="1"/>
    <s v="50808661003002"/>
    <n v="-6.18"/>
    <n v="313"/>
    <n v="1"/>
    <n v="1"/>
  </r>
  <r>
    <m/>
    <m/>
    <x v="1"/>
    <s v="50813841001001"/>
    <n v="-31.62"/>
    <n v="1600"/>
    <n v="1"/>
    <n v="1"/>
  </r>
  <r>
    <m/>
    <m/>
    <x v="1"/>
    <s v="50814821008001"/>
    <n v="-55.31"/>
    <n v="2799"/>
    <n v="1"/>
    <n v="1"/>
  </r>
  <r>
    <m/>
    <m/>
    <x v="1"/>
    <s v="50835751002001"/>
    <n v="-44.28"/>
    <n v="2241"/>
    <n v="1"/>
    <n v="1"/>
  </r>
  <r>
    <m/>
    <m/>
    <x v="1"/>
    <s v="50839041003008"/>
    <n v="-47.31"/>
    <n v="2394"/>
    <n v="1"/>
    <n v="1"/>
  </r>
  <r>
    <m/>
    <m/>
    <x v="1"/>
    <s v="50852621001001"/>
    <n v="-12.19"/>
    <n v="617"/>
    <n v="1"/>
    <n v="1"/>
  </r>
  <r>
    <m/>
    <m/>
    <x v="1"/>
    <s v="50858501001001"/>
    <n v="-2.37"/>
    <n v="120"/>
    <n v="1"/>
    <n v="1"/>
  </r>
  <r>
    <m/>
    <m/>
    <x v="1"/>
    <s v="50860461001005"/>
    <n v="-19.8"/>
    <n v="1002"/>
    <n v="1"/>
    <n v="1"/>
  </r>
  <r>
    <m/>
    <m/>
    <x v="1"/>
    <s v="50901131002003"/>
    <n v="-39.54"/>
    <n v="2001"/>
    <n v="1"/>
    <n v="1"/>
  </r>
  <r>
    <m/>
    <m/>
    <x v="1"/>
    <s v="50924581001001"/>
    <n v="-46.44"/>
    <n v="2350"/>
    <n v="1"/>
    <n v="1"/>
  </r>
  <r>
    <m/>
    <m/>
    <x v="1"/>
    <s v="50944181001001"/>
    <n v="-13.95"/>
    <n v="706"/>
    <n v="1"/>
    <n v="1"/>
  </r>
  <r>
    <m/>
    <m/>
    <x v="1"/>
    <s v="50978201001001"/>
    <n v="-43.75"/>
    <n v="2214"/>
    <n v="1"/>
    <n v="1"/>
  </r>
  <r>
    <m/>
    <m/>
    <x v="1"/>
    <s v="50990381001004"/>
    <n v="-38.29"/>
    <n v="1938"/>
    <n v="1"/>
    <n v="1"/>
  </r>
  <r>
    <m/>
    <m/>
    <x v="1"/>
    <s v="50992883001003"/>
    <n v="-71.650000000000006"/>
    <n v="3626"/>
    <n v="1"/>
    <n v="1"/>
  </r>
  <r>
    <m/>
    <m/>
    <x v="1"/>
    <s v="50996471001001"/>
    <n v="-36.909999999999997"/>
    <n v="1868"/>
    <n v="1"/>
    <n v="1"/>
  </r>
  <r>
    <m/>
    <m/>
    <x v="1"/>
    <s v="50998792001004"/>
    <n v="-34.03"/>
    <n v="1722"/>
    <n v="1"/>
    <n v="1"/>
  </r>
  <r>
    <m/>
    <m/>
    <x v="1"/>
    <s v="51004521001001"/>
    <n v="-34.700000000000003"/>
    <n v="1756"/>
    <n v="1"/>
    <n v="1"/>
  </r>
  <r>
    <m/>
    <m/>
    <x v="1"/>
    <s v="51007181001003"/>
    <n v="-10.53"/>
    <n v="533"/>
    <n v="1"/>
    <n v="1"/>
  </r>
  <r>
    <m/>
    <m/>
    <x v="1"/>
    <s v="51012781001001"/>
    <n v="-59.81"/>
    <n v="3027"/>
    <n v="1"/>
    <n v="1"/>
  </r>
  <r>
    <m/>
    <m/>
    <x v="1"/>
    <s v="51048061001001"/>
    <n v="-6.44"/>
    <n v="326"/>
    <n v="1"/>
    <n v="1"/>
  </r>
  <r>
    <m/>
    <m/>
    <x v="1"/>
    <s v="51051935001001"/>
    <n v="-32.369999999999997"/>
    <n v="1638"/>
    <n v="1"/>
    <n v="1"/>
  </r>
  <r>
    <m/>
    <m/>
    <x v="1"/>
    <s v="51086071003003"/>
    <n v="-48.71"/>
    <n v="2465"/>
    <n v="1"/>
    <n v="1"/>
  </r>
  <r>
    <m/>
    <m/>
    <x v="1"/>
    <s v="51088381003003"/>
    <n v="-23.89"/>
    <n v="1209"/>
    <n v="1"/>
    <n v="1"/>
  </r>
  <r>
    <m/>
    <m/>
    <x v="1"/>
    <s v="51094611001002"/>
    <n v="-19.64"/>
    <n v="994"/>
    <n v="1"/>
    <n v="1"/>
  </r>
  <r>
    <m/>
    <m/>
    <x v="1"/>
    <s v="51118901001001"/>
    <n v="-14.96"/>
    <n v="757"/>
    <n v="1"/>
    <n v="1"/>
  </r>
  <r>
    <m/>
    <m/>
    <x v="1"/>
    <s v="51136541001001"/>
    <n v="-42.74"/>
    <n v="2163"/>
    <n v="1"/>
    <n v="1"/>
  </r>
  <r>
    <m/>
    <m/>
    <x v="1"/>
    <s v="51139481001001"/>
    <n v="-44.95"/>
    <n v="2275"/>
    <n v="1"/>
    <n v="1"/>
  </r>
  <r>
    <m/>
    <m/>
    <x v="1"/>
    <s v="51159921001001"/>
    <n v="-19.7"/>
    <n v="997"/>
    <n v="1"/>
    <n v="1"/>
  </r>
  <r>
    <m/>
    <m/>
    <x v="1"/>
    <s v="51165941001001"/>
    <n v="-39.07"/>
    <n v="1977"/>
    <n v="1"/>
    <n v="1"/>
  </r>
  <r>
    <m/>
    <m/>
    <x v="1"/>
    <s v="51168881002007"/>
    <n v="-2.5299999999999998"/>
    <n v="128"/>
    <n v="1"/>
    <n v="1"/>
  </r>
  <r>
    <m/>
    <m/>
    <x v="1"/>
    <s v="51175041001001"/>
    <n v="-4.76"/>
    <n v="241"/>
    <n v="1"/>
    <n v="1"/>
  </r>
  <r>
    <m/>
    <m/>
    <x v="1"/>
    <s v="51176161001001"/>
    <n v="-30.07"/>
    <n v="1522"/>
    <n v="1"/>
    <n v="1"/>
  </r>
  <r>
    <m/>
    <m/>
    <x v="1"/>
    <s v="51193241002001"/>
    <n v="-40.590000000000003"/>
    <n v="2054"/>
    <n v="1"/>
    <n v="1"/>
  </r>
  <r>
    <m/>
    <m/>
    <x v="1"/>
    <s v="51225301005001"/>
    <n v="-94.65"/>
    <n v="4790"/>
    <n v="1"/>
    <n v="1"/>
  </r>
  <r>
    <m/>
    <m/>
    <x v="1"/>
    <s v="51229571001002"/>
    <n v="-23.57"/>
    <n v="1193"/>
    <n v="1"/>
    <n v="1"/>
  </r>
  <r>
    <m/>
    <m/>
    <x v="1"/>
    <s v="51333171001001"/>
    <n v="-49.64"/>
    <n v="2512"/>
    <n v="1"/>
    <n v="1"/>
  </r>
  <r>
    <m/>
    <m/>
    <x v="1"/>
    <s v="51335971001001"/>
    <n v="-38.450000000000003"/>
    <n v="1946"/>
    <n v="1"/>
    <n v="1"/>
  </r>
  <r>
    <m/>
    <m/>
    <x v="1"/>
    <s v="51349481002001"/>
    <n v="-30.55"/>
    <n v="1546"/>
    <n v="1"/>
    <n v="1"/>
  </r>
  <r>
    <m/>
    <m/>
    <x v="1"/>
    <s v="51351441001005"/>
    <n v="-25.81"/>
    <n v="1306"/>
    <n v="1"/>
    <n v="1"/>
  </r>
  <r>
    <m/>
    <m/>
    <x v="1"/>
    <s v="51386861002001"/>
    <n v="-28.81"/>
    <n v="1458"/>
    <n v="1"/>
    <n v="1"/>
  </r>
  <r>
    <m/>
    <m/>
    <x v="1"/>
    <s v="51441601002001"/>
    <n v="-54.2"/>
    <n v="2743"/>
    <n v="1"/>
    <n v="1"/>
  </r>
  <r>
    <m/>
    <m/>
    <x v="1"/>
    <s v="51461761001001"/>
    <n v="-18.53"/>
    <n v="938"/>
    <n v="1"/>
    <n v="1"/>
  </r>
  <r>
    <m/>
    <m/>
    <x v="1"/>
    <s v="51462741002002"/>
    <n v="-38.61"/>
    <n v="1954"/>
    <n v="1"/>
    <n v="1"/>
  </r>
  <r>
    <m/>
    <m/>
    <x v="1"/>
    <s v="51505861001001"/>
    <n v="-7.39"/>
    <n v="374"/>
    <n v="1"/>
    <n v="1"/>
  </r>
  <r>
    <m/>
    <m/>
    <x v="1"/>
    <s v="51514261001001"/>
    <n v="-5.57"/>
    <n v="282"/>
    <n v="1"/>
    <n v="1"/>
  </r>
  <r>
    <m/>
    <m/>
    <x v="1"/>
    <s v="51529534001001"/>
    <n v="-32.25"/>
    <n v="1632"/>
    <n v="1"/>
    <n v="1"/>
  </r>
  <r>
    <m/>
    <m/>
    <x v="1"/>
    <s v="51531201001002"/>
    <n v="-46.83"/>
    <n v="2370"/>
    <n v="1"/>
    <n v="1"/>
  </r>
  <r>
    <m/>
    <m/>
    <x v="1"/>
    <s v="51533581001002"/>
    <n v="-43.49"/>
    <n v="2201"/>
    <n v="1"/>
    <n v="1"/>
  </r>
  <r>
    <m/>
    <m/>
    <x v="1"/>
    <s v="51538831001002"/>
    <n v="-59.6"/>
    <n v="3016"/>
    <n v="1"/>
    <n v="1"/>
  </r>
  <r>
    <m/>
    <m/>
    <x v="1"/>
    <s v="51578031001001"/>
    <n v="-38.18"/>
    <n v="1932"/>
    <n v="1"/>
    <n v="1"/>
  </r>
  <r>
    <m/>
    <m/>
    <x v="1"/>
    <s v="51583981001001"/>
    <n v="-28.99"/>
    <n v="1467"/>
    <n v="1"/>
    <n v="1"/>
  </r>
  <r>
    <m/>
    <m/>
    <x v="1"/>
    <s v="51593501001001"/>
    <n v="-37.049999999999997"/>
    <n v="1875"/>
    <n v="1"/>
    <n v="1"/>
  </r>
  <r>
    <m/>
    <m/>
    <x v="1"/>
    <s v="51596441002007"/>
    <n v="-16.420000000000002"/>
    <n v="831"/>
    <n v="1"/>
    <n v="1"/>
  </r>
  <r>
    <m/>
    <m/>
    <x v="1"/>
    <s v="51603091001001"/>
    <n v="-55.17"/>
    <n v="2792"/>
    <n v="1"/>
    <n v="1"/>
  </r>
  <r>
    <m/>
    <m/>
    <x v="1"/>
    <s v="51603721001003"/>
    <n v="-63.11"/>
    <n v="3194"/>
    <n v="1"/>
    <n v="1"/>
  </r>
  <r>
    <m/>
    <m/>
    <x v="1"/>
    <s v="51607711002002"/>
    <n v="-27.88"/>
    <n v="1411"/>
    <n v="1"/>
    <n v="1"/>
  </r>
  <r>
    <m/>
    <m/>
    <x v="1"/>
    <s v="51610931001001"/>
    <n v="-37.76"/>
    <n v="1911"/>
    <n v="1"/>
    <n v="1"/>
  </r>
  <r>
    <m/>
    <m/>
    <x v="1"/>
    <s v="51615621001002"/>
    <n v="-42.07"/>
    <n v="2129"/>
    <n v="1"/>
    <n v="1"/>
  </r>
  <r>
    <m/>
    <m/>
    <x v="1"/>
    <s v="51629518001004"/>
    <n v="-16.82"/>
    <n v="851"/>
    <n v="1"/>
    <n v="1"/>
  </r>
  <r>
    <m/>
    <m/>
    <x v="1"/>
    <s v="51943401001002"/>
    <n v="-37.96"/>
    <n v="1921"/>
    <n v="1"/>
    <n v="1"/>
  </r>
  <r>
    <m/>
    <m/>
    <x v="1"/>
    <s v="52068305001010"/>
    <n v="-14.58"/>
    <n v="738"/>
    <n v="1"/>
    <n v="1"/>
  </r>
  <r>
    <m/>
    <m/>
    <x v="1"/>
    <s v="52743980001001"/>
    <n v="-38.18"/>
    <n v="1932"/>
    <n v="1"/>
    <n v="1"/>
  </r>
  <r>
    <m/>
    <m/>
    <x v="1"/>
    <s v="52773305001001"/>
    <n v="-18.95"/>
    <n v="959"/>
    <n v="1"/>
    <n v="1"/>
  </r>
  <r>
    <m/>
    <m/>
    <x v="1"/>
    <s v="52987911001001"/>
    <n v="-26.18"/>
    <n v="1325"/>
    <n v="1"/>
    <n v="1"/>
  </r>
  <r>
    <m/>
    <m/>
    <x v="1"/>
    <s v="53040645001004"/>
    <n v="-48.97"/>
    <n v="2478"/>
    <n v="1"/>
    <n v="1"/>
  </r>
  <r>
    <m/>
    <m/>
    <x v="1"/>
    <s v="53233663001001"/>
    <n v="-28.22"/>
    <n v="1428"/>
    <n v="1"/>
    <n v="1"/>
  </r>
  <r>
    <m/>
    <m/>
    <x v="1"/>
    <s v="53444975001003"/>
    <n v="-75.209999999999994"/>
    <n v="3806"/>
    <n v="1"/>
    <n v="1"/>
  </r>
  <r>
    <m/>
    <m/>
    <x v="1"/>
    <s v="53854476001004"/>
    <n v="-56.1"/>
    <n v="2839"/>
    <n v="1"/>
    <n v="1"/>
  </r>
  <r>
    <m/>
    <m/>
    <x v="1"/>
    <s v="53882517001001"/>
    <n v="-27.74"/>
    <n v="1404"/>
    <n v="1"/>
    <n v="1"/>
  </r>
  <r>
    <m/>
    <m/>
    <x v="1"/>
    <s v="53931640001001"/>
    <n v="-37.520000000000003"/>
    <n v="1899"/>
    <n v="1"/>
    <n v="1"/>
  </r>
  <r>
    <m/>
    <m/>
    <x v="1"/>
    <s v="54088357001001"/>
    <n v="-32.409999999999997"/>
    <n v="1640"/>
    <n v="1"/>
    <n v="1"/>
  </r>
  <r>
    <m/>
    <m/>
    <x v="1"/>
    <s v="54362749001005"/>
    <n v="-31.77"/>
    <n v="1608"/>
    <n v="1"/>
    <n v="1"/>
  </r>
  <r>
    <m/>
    <m/>
    <x v="1"/>
    <s v="54582419004001"/>
    <n v="-6.82"/>
    <n v="345"/>
    <n v="1"/>
    <n v="1"/>
  </r>
  <r>
    <m/>
    <m/>
    <x v="1"/>
    <s v="54951169001001"/>
    <n v="-30.75"/>
    <n v="1556"/>
    <n v="1"/>
    <n v="1"/>
  </r>
  <r>
    <m/>
    <m/>
    <x v="1"/>
    <s v="55096000001001"/>
    <n v="-17.29"/>
    <n v="875"/>
    <n v="1"/>
    <n v="1"/>
  </r>
  <r>
    <m/>
    <m/>
    <x v="1"/>
    <s v="55208319002001"/>
    <n v="-57.92"/>
    <n v="2931"/>
    <n v="1"/>
    <n v="1"/>
  </r>
  <r>
    <m/>
    <m/>
    <x v="1"/>
    <s v="55486699001003"/>
    <n v="-33.79"/>
    <n v="1710"/>
    <n v="1"/>
    <n v="1"/>
  </r>
  <r>
    <m/>
    <m/>
    <x v="1"/>
    <s v="55654237001001"/>
    <n v="-26.44"/>
    <n v="1338"/>
    <n v="1"/>
    <n v="1"/>
  </r>
  <r>
    <m/>
    <m/>
    <x v="1"/>
    <s v="55743493002001"/>
    <n v="-43.14"/>
    <n v="2183"/>
    <n v="1"/>
    <n v="1"/>
  </r>
  <r>
    <m/>
    <m/>
    <x v="1"/>
    <s v="55782975001001"/>
    <n v="-31.38"/>
    <n v="1588"/>
    <n v="1"/>
    <n v="1"/>
  </r>
  <r>
    <m/>
    <m/>
    <x v="1"/>
    <s v="55905100001001"/>
    <n v="-31.32"/>
    <n v="1585"/>
    <n v="1"/>
    <n v="1"/>
  </r>
  <r>
    <m/>
    <m/>
    <x v="1"/>
    <s v="56116311001003"/>
    <n v="-32.58"/>
    <n v="1649"/>
    <n v="1"/>
    <n v="1"/>
  </r>
  <r>
    <m/>
    <m/>
    <x v="1"/>
    <s v="56116311001005"/>
    <n v="-8.77"/>
    <n v="444"/>
    <n v="1"/>
    <n v="1"/>
  </r>
  <r>
    <m/>
    <m/>
    <x v="1"/>
    <s v="56213971001001"/>
    <n v="-34.96"/>
    <n v="1769"/>
    <n v="1"/>
    <n v="1"/>
  </r>
  <r>
    <m/>
    <m/>
    <x v="1"/>
    <s v="56962580001003"/>
    <n v="-16.66"/>
    <n v="843"/>
    <n v="1"/>
    <n v="1"/>
  </r>
  <r>
    <m/>
    <m/>
    <x v="1"/>
    <s v="57165863001001"/>
    <n v="-50.9"/>
    <n v="2576"/>
    <n v="1"/>
    <n v="1"/>
  </r>
  <r>
    <m/>
    <m/>
    <x v="1"/>
    <s v="57690835002001"/>
    <n v="-28.06"/>
    <n v="1420"/>
    <n v="1"/>
    <n v="1"/>
  </r>
  <r>
    <m/>
    <m/>
    <x v="1"/>
    <s v="57747087001003"/>
    <n v="-37.68"/>
    <n v="1907"/>
    <n v="1"/>
    <n v="1"/>
  </r>
  <r>
    <m/>
    <m/>
    <x v="1"/>
    <s v="57834181001001"/>
    <n v="-30.49"/>
    <n v="1543"/>
    <n v="1"/>
    <n v="1"/>
  </r>
  <r>
    <m/>
    <m/>
    <x v="1"/>
    <s v="58010908001002"/>
    <n v="-50.57"/>
    <n v="2559"/>
    <n v="1"/>
    <n v="1"/>
  </r>
  <r>
    <m/>
    <m/>
    <x v="1"/>
    <s v="58959510002004"/>
    <n v="-19.350000000000001"/>
    <n v="979"/>
    <n v="1"/>
    <n v="1"/>
  </r>
  <r>
    <m/>
    <m/>
    <x v="1"/>
    <s v="59187160001001"/>
    <n v="-43.93"/>
    <n v="2223"/>
    <n v="1"/>
    <n v="1"/>
  </r>
  <r>
    <m/>
    <m/>
    <x v="1"/>
    <s v="59268197006001"/>
    <n v="-75.98"/>
    <n v="3845"/>
    <n v="1"/>
    <n v="1"/>
  </r>
  <r>
    <m/>
    <m/>
    <x v="1"/>
    <s v="59524591001003"/>
    <n v="-2.4900000000000002"/>
    <n v="126"/>
    <n v="1"/>
    <n v="1"/>
  </r>
  <r>
    <m/>
    <m/>
    <x v="1"/>
    <s v="59549396001001"/>
    <n v="-20.85"/>
    <n v="1055"/>
    <n v="1"/>
    <n v="1"/>
  </r>
  <r>
    <m/>
    <m/>
    <x v="1"/>
    <s v="59919501001005"/>
    <n v="-27.27"/>
    <n v="1380"/>
    <n v="1"/>
    <n v="1"/>
  </r>
  <r>
    <m/>
    <m/>
    <x v="1"/>
    <s v="60270707001007"/>
    <n v="-30.25"/>
    <n v="1531"/>
    <n v="1"/>
    <n v="1"/>
  </r>
  <r>
    <m/>
    <m/>
    <x v="1"/>
    <s v="60682907002001"/>
    <n v="-36.67"/>
    <n v="1856"/>
    <n v="1"/>
    <n v="1"/>
  </r>
  <r>
    <m/>
    <m/>
    <x v="1"/>
    <s v="60807489001003"/>
    <n v="-40.98"/>
    <n v="2074"/>
    <n v="1"/>
    <n v="1"/>
  </r>
  <r>
    <m/>
    <m/>
    <x v="1"/>
    <s v="61176690001001"/>
    <n v="-18.55"/>
    <n v="939"/>
    <n v="1"/>
    <n v="1"/>
  </r>
  <r>
    <m/>
    <m/>
    <x v="1"/>
    <s v="61998512001001"/>
    <n v="-7.35"/>
    <n v="372"/>
    <n v="1"/>
    <n v="1"/>
  </r>
  <r>
    <m/>
    <m/>
    <x v="1"/>
    <s v="62089132001003"/>
    <n v="-14.44"/>
    <n v="731"/>
    <n v="1"/>
    <n v="1"/>
  </r>
  <r>
    <m/>
    <m/>
    <x v="1"/>
    <s v="62125470001002"/>
    <n v="-31.87"/>
    <n v="1613"/>
    <n v="1"/>
    <n v="1"/>
  </r>
  <r>
    <m/>
    <m/>
    <x v="1"/>
    <s v="62139312001006"/>
    <n v="-6.64"/>
    <n v="336"/>
    <n v="1"/>
    <n v="1"/>
  </r>
  <r>
    <m/>
    <m/>
    <x v="1"/>
    <s v="62235479001001"/>
    <n v="-11.01"/>
    <n v="557"/>
    <n v="1"/>
    <n v="1"/>
  </r>
  <r>
    <m/>
    <m/>
    <x v="1"/>
    <s v="62798684001003"/>
    <n v="-19.21"/>
    <n v="972"/>
    <n v="1"/>
    <n v="1"/>
  </r>
  <r>
    <m/>
    <m/>
    <x v="1"/>
    <s v="62826325002002"/>
    <n v="-25.63"/>
    <n v="1297"/>
    <n v="1"/>
    <n v="1"/>
  </r>
  <r>
    <m/>
    <m/>
    <x v="1"/>
    <s v="62852130001002"/>
    <n v="-3.06"/>
    <n v="155"/>
    <n v="1"/>
    <n v="1"/>
  </r>
  <r>
    <m/>
    <m/>
    <x v="1"/>
    <s v="62941252001003"/>
    <n v="-63.43"/>
    <n v="3210"/>
    <n v="1"/>
    <n v="1"/>
  </r>
  <r>
    <m/>
    <m/>
    <x v="1"/>
    <s v="63069576002007"/>
    <n v="-30.87"/>
    <n v="1562"/>
    <n v="1"/>
    <n v="1"/>
  </r>
  <r>
    <m/>
    <m/>
    <x v="1"/>
    <s v="63101970001001"/>
    <n v="-11.26"/>
    <n v="570"/>
    <n v="1"/>
    <n v="1"/>
  </r>
  <r>
    <m/>
    <m/>
    <x v="1"/>
    <s v="63189646005005"/>
    <n v="-24.94"/>
    <n v="1262"/>
    <n v="1"/>
    <n v="1"/>
  </r>
  <r>
    <m/>
    <m/>
    <x v="1"/>
    <s v="63462936001004"/>
    <n v="-34.200000000000003"/>
    <n v="1731"/>
    <n v="1"/>
    <n v="1"/>
  </r>
  <r>
    <m/>
    <m/>
    <x v="1"/>
    <s v="63473427001003"/>
    <n v="-14.84"/>
    <n v="751"/>
    <n v="1"/>
    <n v="1"/>
  </r>
  <r>
    <m/>
    <m/>
    <x v="1"/>
    <s v="63681093001001"/>
    <n v="-61.43"/>
    <n v="3109"/>
    <n v="1"/>
    <n v="1"/>
  </r>
  <r>
    <m/>
    <m/>
    <x v="1"/>
    <s v="63847291001002"/>
    <n v="-32.31"/>
    <n v="1635"/>
    <n v="1"/>
    <n v="1"/>
  </r>
  <r>
    <m/>
    <m/>
    <x v="1"/>
    <s v="64113638001001"/>
    <n v="-44.87"/>
    <n v="2271"/>
    <n v="1"/>
    <n v="1"/>
  </r>
  <r>
    <m/>
    <m/>
    <x v="1"/>
    <s v="64618850001005"/>
    <n v="-47.4"/>
    <n v="2399"/>
    <n v="1"/>
    <n v="1"/>
  </r>
  <r>
    <m/>
    <m/>
    <x v="1"/>
    <s v="64954947001003"/>
    <n v="-27.49"/>
    <n v="1391"/>
    <n v="1"/>
    <n v="1"/>
  </r>
  <r>
    <m/>
    <m/>
    <x v="1"/>
    <s v="64975766001003"/>
    <n v="-5.73"/>
    <n v="290"/>
    <n v="1"/>
    <n v="1"/>
  </r>
  <r>
    <m/>
    <m/>
    <x v="1"/>
    <s v="65368514001004"/>
    <n v="-33.47"/>
    <n v="1694"/>
    <n v="1"/>
    <n v="1"/>
  </r>
  <r>
    <m/>
    <m/>
    <x v="1"/>
    <s v="65497555001001"/>
    <n v="-28.45"/>
    <n v="1440"/>
    <n v="1"/>
    <n v="1"/>
  </r>
  <r>
    <m/>
    <m/>
    <x v="1"/>
    <s v="65509206001003"/>
    <n v="-37.86"/>
    <n v="1916"/>
    <n v="1"/>
    <n v="1"/>
  </r>
  <r>
    <m/>
    <m/>
    <x v="1"/>
    <s v="66083905003003"/>
    <n v="-19.5"/>
    <n v="987"/>
    <n v="1"/>
    <n v="1"/>
  </r>
  <r>
    <m/>
    <m/>
    <x v="1"/>
    <s v="66308224001001"/>
    <n v="-22.43"/>
    <n v="1135"/>
    <n v="1"/>
    <n v="1"/>
  </r>
  <r>
    <m/>
    <m/>
    <x v="1"/>
    <s v="66997780001001"/>
    <n v="-48.85"/>
    <n v="2472"/>
    <n v="1"/>
    <n v="1"/>
  </r>
  <r>
    <m/>
    <m/>
    <x v="1"/>
    <s v="67059049001002"/>
    <n v="-11.5"/>
    <n v="582"/>
    <n v="1"/>
    <n v="1"/>
  </r>
  <r>
    <m/>
    <m/>
    <x v="1"/>
    <s v="67090070001001"/>
    <n v="-20.61"/>
    <n v="1043"/>
    <n v="1"/>
    <n v="1"/>
  </r>
  <r>
    <m/>
    <m/>
    <x v="1"/>
    <s v="67118226001001"/>
    <n v="-10.31"/>
    <n v="522"/>
    <n v="1"/>
    <n v="1"/>
  </r>
  <r>
    <m/>
    <m/>
    <x v="1"/>
    <s v="67401944001001"/>
    <n v="-61.77"/>
    <n v="3126"/>
    <n v="1"/>
    <n v="1"/>
  </r>
  <r>
    <m/>
    <m/>
    <x v="1"/>
    <s v="67456537001003"/>
    <n v="-22.61"/>
    <n v="1144"/>
    <n v="1"/>
    <n v="1"/>
  </r>
  <r>
    <m/>
    <m/>
    <x v="1"/>
    <s v="67565406001001"/>
    <n v="-35.92"/>
    <n v="1818"/>
    <n v="1"/>
    <n v="1"/>
  </r>
  <r>
    <m/>
    <m/>
    <x v="1"/>
    <s v="67575902001003"/>
    <n v="-6.28"/>
    <n v="318"/>
    <n v="1"/>
    <n v="1"/>
  </r>
  <r>
    <m/>
    <m/>
    <x v="1"/>
    <s v="67580955001002"/>
    <n v="-32.17"/>
    <n v="1628"/>
    <n v="1"/>
    <n v="1"/>
  </r>
  <r>
    <m/>
    <m/>
    <x v="1"/>
    <s v="67587226001001"/>
    <n v="-30.17"/>
    <n v="1527"/>
    <n v="1"/>
    <n v="1"/>
  </r>
  <r>
    <m/>
    <m/>
    <x v="1"/>
    <s v="68333351001002"/>
    <n v="-32.25"/>
    <n v="1632"/>
    <n v="1"/>
    <n v="1"/>
  </r>
  <r>
    <m/>
    <m/>
    <x v="1"/>
    <s v="68461671002003"/>
    <n v="-46.26"/>
    <n v="2341"/>
    <n v="1"/>
    <n v="1"/>
  </r>
  <r>
    <m/>
    <m/>
    <x v="1"/>
    <s v="68471539001001"/>
    <n v="-2.79"/>
    <n v="141"/>
    <n v="1"/>
    <n v="1"/>
  </r>
  <r>
    <m/>
    <m/>
    <x v="1"/>
    <s v="68565772001001"/>
    <n v="-9.48"/>
    <n v="480"/>
    <n v="1"/>
    <n v="1"/>
  </r>
  <r>
    <m/>
    <m/>
    <x v="1"/>
    <s v="68624650001002"/>
    <n v="-29.3"/>
    <n v="1483"/>
    <n v="1"/>
    <n v="1"/>
  </r>
  <r>
    <m/>
    <m/>
    <x v="1"/>
    <s v="68968675001001"/>
    <n v="-13.38"/>
    <n v="677"/>
    <n v="1"/>
    <n v="1"/>
  </r>
  <r>
    <m/>
    <m/>
    <x v="1"/>
    <s v="69085256001001"/>
    <n v="-26.38"/>
    <n v="1335"/>
    <n v="1"/>
    <n v="1"/>
  </r>
  <r>
    <m/>
    <m/>
    <x v="1"/>
    <s v="69170739001001"/>
    <n v="-11.54"/>
    <n v="584"/>
    <n v="1"/>
    <n v="1"/>
  </r>
  <r>
    <m/>
    <m/>
    <x v="1"/>
    <s v="69567080001004"/>
    <n v="-9.48"/>
    <n v="480"/>
    <n v="1"/>
    <n v="1"/>
  </r>
  <r>
    <m/>
    <m/>
    <x v="1"/>
    <s v="69589294001001"/>
    <n v="-20.329999999999998"/>
    <n v="1029"/>
    <n v="1"/>
    <n v="1"/>
  </r>
  <r>
    <m/>
    <m/>
    <x v="1"/>
    <s v="69692573001005"/>
    <n v="-41.02"/>
    <n v="2076"/>
    <n v="1"/>
    <n v="1"/>
  </r>
  <r>
    <m/>
    <m/>
    <x v="1"/>
    <s v="69853838001007"/>
    <n v="-25.25"/>
    <n v="1278"/>
    <n v="1"/>
    <n v="1"/>
  </r>
  <r>
    <m/>
    <m/>
    <x v="1"/>
    <s v="70262426002001"/>
    <n v="-15.83"/>
    <n v="801"/>
    <n v="1"/>
    <n v="1"/>
  </r>
  <r>
    <m/>
    <m/>
    <x v="1"/>
    <s v="70262974001001"/>
    <n v="-17.29"/>
    <n v="875"/>
    <n v="1"/>
    <n v="1"/>
  </r>
  <r>
    <m/>
    <m/>
    <x v="1"/>
    <s v="70498831001001"/>
    <n v="-35.57"/>
    <n v="1800"/>
    <n v="1"/>
    <n v="1"/>
  </r>
  <r>
    <m/>
    <m/>
    <x v="1"/>
    <s v="71069064001004"/>
    <n v="-38.99"/>
    <n v="1973"/>
    <n v="1"/>
    <n v="1"/>
  </r>
  <r>
    <m/>
    <m/>
    <x v="1"/>
    <s v="71127815001002"/>
    <n v="-8.65"/>
    <n v="438"/>
    <n v="1"/>
    <n v="1"/>
  </r>
  <r>
    <m/>
    <m/>
    <x v="1"/>
    <s v="71181295001001"/>
    <n v="-14.68"/>
    <n v="743"/>
    <n v="1"/>
    <n v="1"/>
  </r>
  <r>
    <m/>
    <m/>
    <x v="1"/>
    <s v="71323181002010"/>
    <n v="-25.06"/>
    <n v="1268"/>
    <n v="1"/>
    <n v="1"/>
  </r>
  <r>
    <m/>
    <m/>
    <x v="1"/>
    <s v="71339719006001"/>
    <n v="-26.77"/>
    <n v="1355"/>
    <n v="1"/>
    <n v="1"/>
  </r>
  <r>
    <m/>
    <m/>
    <x v="1"/>
    <s v="71361970001009"/>
    <n v="-5.41"/>
    <n v="274"/>
    <n v="1"/>
    <n v="1"/>
  </r>
  <r>
    <m/>
    <m/>
    <x v="1"/>
    <s v="71508543001001"/>
    <n v="-7.71"/>
    <n v="390"/>
    <n v="1"/>
    <n v="1"/>
  </r>
  <r>
    <m/>
    <m/>
    <x v="1"/>
    <s v="71726966001001"/>
    <n v="-93.98"/>
    <n v="4756"/>
    <n v="1"/>
    <n v="1"/>
  </r>
  <r>
    <m/>
    <m/>
    <x v="1"/>
    <s v="71815404001002"/>
    <n v="-10.61"/>
    <n v="537"/>
    <n v="1"/>
    <n v="1"/>
  </r>
  <r>
    <m/>
    <m/>
    <x v="1"/>
    <s v="71835065001001"/>
    <n v="-0.87"/>
    <n v="44"/>
    <n v="1"/>
    <n v="1"/>
  </r>
  <r>
    <m/>
    <m/>
    <x v="1"/>
    <s v="72281719002001"/>
    <n v="-16.48"/>
    <n v="834"/>
    <n v="1"/>
    <n v="1"/>
  </r>
  <r>
    <m/>
    <m/>
    <x v="1"/>
    <s v="72327193001003"/>
    <n v="-29.66"/>
    <n v="1501"/>
    <n v="1"/>
    <n v="1"/>
  </r>
  <r>
    <m/>
    <m/>
    <x v="1"/>
    <s v="72998399001006"/>
    <n v="-21.74"/>
    <n v="1100"/>
    <n v="1"/>
    <n v="1"/>
  </r>
  <r>
    <m/>
    <m/>
    <x v="1"/>
    <s v="73001153001001"/>
    <n v="-7.86"/>
    <n v="398"/>
    <n v="1"/>
    <n v="1"/>
  </r>
  <r>
    <m/>
    <m/>
    <x v="1"/>
    <s v="73220801001001"/>
    <n v="-17.670000000000002"/>
    <n v="894"/>
    <n v="1"/>
    <n v="1"/>
  </r>
  <r>
    <m/>
    <m/>
    <x v="1"/>
    <s v="73558422001001"/>
    <n v="-12.94"/>
    <n v="655"/>
    <n v="1"/>
    <n v="1"/>
  </r>
  <r>
    <m/>
    <m/>
    <x v="1"/>
    <s v="73642053002003"/>
    <n v="-21.18"/>
    <n v="1072"/>
    <n v="1"/>
    <n v="1"/>
  </r>
  <r>
    <m/>
    <m/>
    <x v="1"/>
    <s v="73887552001001"/>
    <n v="-17.920000000000002"/>
    <n v="907"/>
    <n v="1"/>
    <n v="1"/>
  </r>
  <r>
    <m/>
    <m/>
    <x v="1"/>
    <s v="73949590003001"/>
    <n v="-24.07"/>
    <n v="1218"/>
    <n v="1"/>
    <n v="1"/>
  </r>
  <r>
    <m/>
    <m/>
    <x v="1"/>
    <s v="74037047001002"/>
    <n v="-13.79"/>
    <n v="698"/>
    <n v="1"/>
    <n v="1"/>
  </r>
  <r>
    <m/>
    <m/>
    <x v="1"/>
    <s v="74101362001001"/>
    <n v="-39.700000000000003"/>
    <n v="2009"/>
    <n v="1"/>
    <n v="1"/>
  </r>
  <r>
    <m/>
    <m/>
    <x v="1"/>
    <s v="75178826001001"/>
    <n v="-6.72"/>
    <n v="340"/>
    <n v="1"/>
    <n v="1"/>
  </r>
  <r>
    <m/>
    <m/>
    <x v="1"/>
    <s v="75492701001001"/>
    <n v="-31.85"/>
    <n v="1612"/>
    <n v="1"/>
    <n v="1"/>
  </r>
  <r>
    <m/>
    <m/>
    <x v="1"/>
    <s v="75558866002001"/>
    <n v="-39.26"/>
    <n v="1987"/>
    <n v="1"/>
    <n v="1"/>
  </r>
  <r>
    <m/>
    <m/>
    <x v="1"/>
    <s v="75633930001001"/>
    <n v="-3"/>
    <n v="152"/>
    <n v="1"/>
    <n v="1"/>
  </r>
  <r>
    <m/>
    <m/>
    <x v="1"/>
    <s v="75730204001001"/>
    <n v="-4.51"/>
    <n v="228"/>
    <n v="1"/>
    <n v="1"/>
  </r>
  <r>
    <m/>
    <m/>
    <x v="1"/>
    <s v="75818016001003"/>
    <n v="-33.35"/>
    <n v="1688"/>
    <n v="1"/>
    <n v="1"/>
  </r>
  <r>
    <m/>
    <m/>
    <x v="1"/>
    <s v="76017664001001"/>
    <n v="-17.98"/>
    <n v="910"/>
    <n v="1"/>
    <n v="1"/>
  </r>
  <r>
    <m/>
    <m/>
    <x v="1"/>
    <s v="76068750001001"/>
    <n v="-6.48"/>
    <n v="328"/>
    <n v="1"/>
    <n v="1"/>
  </r>
  <r>
    <m/>
    <m/>
    <x v="1"/>
    <s v="76297115001001"/>
    <n v="-29.68"/>
    <n v="1502"/>
    <n v="1"/>
    <n v="1"/>
  </r>
  <r>
    <m/>
    <m/>
    <x v="1"/>
    <s v="76583620001001"/>
    <n v="-2.69"/>
    <n v="136"/>
    <n v="1"/>
    <n v="1"/>
  </r>
  <r>
    <m/>
    <m/>
    <x v="1"/>
    <s v="76590700001002"/>
    <n v="-8.1999999999999993"/>
    <n v="415"/>
    <n v="1"/>
    <n v="1"/>
  </r>
  <r>
    <m/>
    <m/>
    <x v="1"/>
    <s v="76615869001006"/>
    <n v="-37.619999999999997"/>
    <n v="1904"/>
    <n v="1"/>
    <n v="1"/>
  </r>
  <r>
    <m/>
    <m/>
    <x v="1"/>
    <s v="76670454001001"/>
    <n v="-54.2"/>
    <n v="2743"/>
    <n v="1"/>
    <n v="1"/>
  </r>
  <r>
    <m/>
    <m/>
    <x v="1"/>
    <s v="77152442001008"/>
    <n v="-34.96"/>
    <n v="1769"/>
    <n v="1"/>
    <n v="1"/>
  </r>
  <r>
    <m/>
    <m/>
    <x v="1"/>
    <s v="77153785002001"/>
    <n v="-47.38"/>
    <n v="2398"/>
    <n v="1"/>
    <n v="1"/>
  </r>
  <r>
    <m/>
    <m/>
    <x v="1"/>
    <s v="77227323001001"/>
    <n v="-36.79"/>
    <n v="1862"/>
    <n v="1"/>
    <n v="1"/>
  </r>
  <r>
    <m/>
    <m/>
    <x v="1"/>
    <s v="77587631001002"/>
    <n v="-39.159999999999997"/>
    <n v="1982"/>
    <n v="1"/>
    <n v="1"/>
  </r>
  <r>
    <m/>
    <m/>
    <x v="1"/>
    <s v="77740138001001"/>
    <n v="-4.9800000000000004"/>
    <n v="252"/>
    <n v="1"/>
    <n v="1"/>
  </r>
  <r>
    <m/>
    <m/>
    <x v="1"/>
    <s v="77810743001005"/>
    <n v="-28.87"/>
    <n v="1461"/>
    <n v="1"/>
    <n v="1"/>
  </r>
  <r>
    <m/>
    <m/>
    <x v="1"/>
    <s v="77926272001001"/>
    <n v="-51.38"/>
    <n v="2600"/>
    <n v="1"/>
    <n v="1"/>
  </r>
  <r>
    <m/>
    <m/>
    <x v="1"/>
    <s v="78102550001004"/>
    <n v="-17.13"/>
    <n v="867"/>
    <n v="1"/>
    <n v="1"/>
  </r>
  <r>
    <m/>
    <m/>
    <x v="1"/>
    <s v="78163683002001"/>
    <n v="-7.92"/>
    <n v="401"/>
    <n v="1"/>
    <n v="1"/>
  </r>
  <r>
    <m/>
    <m/>
    <x v="1"/>
    <s v="78241325001001"/>
    <n v="-76.95"/>
    <n v="3894"/>
    <n v="1"/>
    <n v="1"/>
  </r>
  <r>
    <m/>
    <m/>
    <x v="1"/>
    <s v="78306458001001"/>
    <n v="-15.65"/>
    <n v="792"/>
    <n v="1"/>
    <n v="1"/>
  </r>
  <r>
    <m/>
    <m/>
    <x v="1"/>
    <s v="78406843001002"/>
    <n v="-30.43"/>
    <n v="1540"/>
    <n v="1"/>
    <n v="1"/>
  </r>
  <r>
    <m/>
    <m/>
    <x v="1"/>
    <s v="79794330001001"/>
    <n v="-17.43"/>
    <n v="882"/>
    <n v="1"/>
    <n v="1"/>
  </r>
  <r>
    <m/>
    <m/>
    <x v="1"/>
    <s v="80120731001005"/>
    <n v="-38.81"/>
    <n v="1964"/>
    <n v="1"/>
    <n v="1"/>
  </r>
  <r>
    <m/>
    <m/>
    <x v="1"/>
    <s v="80135267005001"/>
    <n v="-43.31"/>
    <n v="2192"/>
    <n v="1"/>
    <n v="1"/>
  </r>
  <r>
    <m/>
    <m/>
    <x v="1"/>
    <s v="80618652002003"/>
    <n v="-8.99"/>
    <n v="455"/>
    <n v="1"/>
    <n v="1"/>
  </r>
  <r>
    <m/>
    <m/>
    <x v="1"/>
    <s v="80867382002003"/>
    <n v="-33.22"/>
    <n v="1681"/>
    <n v="1"/>
    <n v="1"/>
  </r>
  <r>
    <m/>
    <m/>
    <x v="1"/>
    <s v="81331550002001"/>
    <n v="-4.68"/>
    <n v="237"/>
    <n v="1"/>
    <n v="1"/>
  </r>
  <r>
    <m/>
    <m/>
    <x v="1"/>
    <s v="81416667001004"/>
    <n v="-31.99"/>
    <n v="1619"/>
    <n v="1"/>
    <n v="1"/>
  </r>
  <r>
    <m/>
    <m/>
    <x v="1"/>
    <s v="81635154007001"/>
    <n v="-155.41"/>
    <n v="7865"/>
    <n v="1"/>
    <n v="1"/>
  </r>
  <r>
    <m/>
    <m/>
    <x v="1"/>
    <s v="81873872001008"/>
    <n v="-1.72"/>
    <n v="87"/>
    <n v="1"/>
    <n v="1"/>
  </r>
  <r>
    <m/>
    <m/>
    <x v="1"/>
    <s v="81993307001003"/>
    <n v="-19.010000000000002"/>
    <n v="962"/>
    <n v="1"/>
    <n v="1"/>
  </r>
  <r>
    <m/>
    <m/>
    <x v="1"/>
    <s v="82088762001001"/>
    <n v="-35.47"/>
    <n v="1795"/>
    <n v="1"/>
    <n v="1"/>
  </r>
  <r>
    <m/>
    <m/>
    <x v="1"/>
    <s v="82090212005001"/>
    <n v="-41.95"/>
    <n v="2123"/>
    <n v="1"/>
    <n v="1"/>
  </r>
  <r>
    <m/>
    <m/>
    <x v="1"/>
    <s v="82211799001001"/>
    <n v="-45.61"/>
    <n v="2308"/>
    <n v="1"/>
    <n v="1"/>
  </r>
  <r>
    <m/>
    <m/>
    <x v="1"/>
    <s v="82225464001008"/>
    <n v="-34.6"/>
    <n v="1751"/>
    <n v="1"/>
    <n v="1"/>
  </r>
  <r>
    <m/>
    <m/>
    <x v="1"/>
    <s v="82371195001001"/>
    <n v="-2.25"/>
    <n v="114"/>
    <n v="1"/>
    <n v="1"/>
  </r>
  <r>
    <m/>
    <m/>
    <x v="1"/>
    <s v="82480022001002"/>
    <n v="-25.71"/>
    <n v="1301"/>
    <n v="1"/>
    <n v="1"/>
  </r>
  <r>
    <m/>
    <m/>
    <x v="1"/>
    <s v="82804369003001"/>
    <n v="-10.97"/>
    <n v="555"/>
    <n v="1"/>
    <n v="1"/>
  </r>
  <r>
    <m/>
    <m/>
    <x v="1"/>
    <s v="83107789001001"/>
    <n v="-44.44"/>
    <n v="2249"/>
    <n v="1"/>
    <n v="1"/>
  </r>
  <r>
    <m/>
    <m/>
    <x v="1"/>
    <s v="83298969001003"/>
    <n v="-4.49"/>
    <n v="227"/>
    <n v="1"/>
    <n v="1"/>
  </r>
  <r>
    <m/>
    <m/>
    <x v="1"/>
    <s v="83365022001002"/>
    <n v="-29.46"/>
    <n v="1491"/>
    <n v="1"/>
    <n v="1"/>
  </r>
  <r>
    <m/>
    <m/>
    <x v="1"/>
    <s v="83624396002001"/>
    <n v="-36.97"/>
    <n v="1871"/>
    <n v="1"/>
    <n v="1"/>
  </r>
  <r>
    <m/>
    <m/>
    <x v="1"/>
    <s v="83649578001001"/>
    <n v="-30.67"/>
    <n v="1552"/>
    <n v="1"/>
    <n v="1"/>
  </r>
  <r>
    <m/>
    <m/>
    <x v="1"/>
    <s v="83700495001001"/>
    <n v="-24.58"/>
    <n v="1244"/>
    <n v="1"/>
    <n v="1"/>
  </r>
  <r>
    <m/>
    <m/>
    <x v="1"/>
    <s v="83942165001005"/>
    <n v="-43.99"/>
    <n v="2226"/>
    <n v="1"/>
    <n v="1"/>
  </r>
  <r>
    <m/>
    <m/>
    <x v="1"/>
    <s v="84001278001001"/>
    <n v="-5.57"/>
    <n v="282"/>
    <n v="1"/>
    <n v="1"/>
  </r>
  <r>
    <m/>
    <m/>
    <x v="1"/>
    <s v="84345456001001"/>
    <n v="-15.83"/>
    <n v="801"/>
    <n v="1"/>
    <n v="1"/>
  </r>
  <r>
    <m/>
    <m/>
    <x v="1"/>
    <s v="84644192001003"/>
    <n v="-1.17"/>
    <n v="59"/>
    <n v="1"/>
    <n v="1"/>
  </r>
  <r>
    <m/>
    <m/>
    <x v="1"/>
    <s v="84649205001001"/>
    <n v="-26.12"/>
    <n v="1322"/>
    <n v="1"/>
    <n v="1"/>
  </r>
  <r>
    <m/>
    <m/>
    <x v="1"/>
    <s v="84934447001001"/>
    <n v="-30.61"/>
    <n v="1549"/>
    <n v="1"/>
    <n v="1"/>
  </r>
  <r>
    <m/>
    <m/>
    <x v="1"/>
    <s v="85042047001001"/>
    <n v="-21.2"/>
    <n v="1073"/>
    <n v="1"/>
    <n v="1"/>
  </r>
  <r>
    <m/>
    <m/>
    <x v="1"/>
    <s v="85155127001002"/>
    <n v="-51.06"/>
    <n v="2584"/>
    <n v="1"/>
    <n v="1"/>
  </r>
  <r>
    <m/>
    <m/>
    <x v="1"/>
    <s v="85338592002003"/>
    <n v="-35.409999999999997"/>
    <n v="1792"/>
    <n v="1"/>
    <n v="1"/>
  </r>
  <r>
    <m/>
    <m/>
    <x v="1"/>
    <s v="85419820001002"/>
    <n v="-50.45"/>
    <n v="2553"/>
    <n v="1"/>
    <n v="1"/>
  </r>
  <r>
    <m/>
    <m/>
    <x v="1"/>
    <s v="85785045001005"/>
    <n v="-86.94"/>
    <n v="4400"/>
    <n v="1"/>
    <n v="1"/>
  </r>
  <r>
    <m/>
    <m/>
    <x v="1"/>
    <s v="86518069001001"/>
    <n v="-14.09"/>
    <n v="713"/>
    <n v="1"/>
    <n v="1"/>
  </r>
  <r>
    <m/>
    <m/>
    <x v="1"/>
    <s v="86574879001008"/>
    <n v="-43.57"/>
    <n v="2205"/>
    <n v="1"/>
    <n v="1"/>
  </r>
  <r>
    <m/>
    <m/>
    <x v="1"/>
    <s v="86620072001003"/>
    <n v="-21.91"/>
    <n v="1109"/>
    <n v="1"/>
    <n v="1"/>
  </r>
  <r>
    <m/>
    <m/>
    <x v="1"/>
    <s v="86973909002001"/>
    <n v="-30.63"/>
    <n v="1550"/>
    <n v="1"/>
    <n v="1"/>
  </r>
  <r>
    <m/>
    <m/>
    <x v="1"/>
    <s v="87271363001002"/>
    <n v="-9.07"/>
    <n v="459"/>
    <n v="1"/>
    <n v="1"/>
  </r>
  <r>
    <m/>
    <m/>
    <x v="1"/>
    <s v="87380869001001"/>
    <n v="-40.630000000000003"/>
    <n v="2056"/>
    <n v="1"/>
    <n v="1"/>
  </r>
  <r>
    <m/>
    <m/>
    <x v="1"/>
    <s v="87425140001001"/>
    <n v="-34.26"/>
    <n v="1734"/>
    <n v="1"/>
    <n v="1"/>
  </r>
  <r>
    <m/>
    <m/>
    <x v="1"/>
    <s v="87452134001003"/>
    <n v="-40.11"/>
    <n v="2030"/>
    <n v="1"/>
    <n v="1"/>
  </r>
  <r>
    <m/>
    <m/>
    <x v="1"/>
    <s v="88075199001001"/>
    <n v="-25.83"/>
    <n v="1307"/>
    <n v="1"/>
    <n v="1"/>
  </r>
  <r>
    <m/>
    <m/>
    <x v="1"/>
    <s v="88142806002001"/>
    <n v="-51.51"/>
    <n v="2607"/>
    <n v="1"/>
    <n v="1"/>
  </r>
  <r>
    <m/>
    <m/>
    <x v="1"/>
    <s v="88233884001001"/>
    <n v="-8.1"/>
    <n v="410"/>
    <n v="1"/>
    <n v="1"/>
  </r>
  <r>
    <m/>
    <m/>
    <x v="1"/>
    <s v="88770508001006"/>
    <n v="-17.149999999999999"/>
    <n v="868"/>
    <n v="1"/>
    <n v="1"/>
  </r>
  <r>
    <m/>
    <m/>
    <x v="1"/>
    <s v="88777401001007"/>
    <n v="-44.1"/>
    <n v="2232"/>
    <n v="1"/>
    <n v="1"/>
  </r>
  <r>
    <m/>
    <m/>
    <x v="1"/>
    <s v="88795471002001"/>
    <n v="-27.43"/>
    <n v="1388"/>
    <n v="1"/>
    <n v="1"/>
  </r>
  <r>
    <m/>
    <m/>
    <x v="1"/>
    <s v="88847370001001"/>
    <n v="-11.64"/>
    <n v="589"/>
    <n v="1"/>
    <n v="1"/>
  </r>
  <r>
    <m/>
    <m/>
    <x v="1"/>
    <s v="89352575003005"/>
    <n v="-23.18"/>
    <n v="1173"/>
    <n v="1"/>
    <n v="1"/>
  </r>
  <r>
    <m/>
    <m/>
    <x v="1"/>
    <s v="89870121001001"/>
    <n v="-23.16"/>
    <n v="1172"/>
    <n v="1"/>
    <n v="1"/>
  </r>
  <r>
    <m/>
    <m/>
    <x v="1"/>
    <s v="89987541001001"/>
    <n v="-22.07"/>
    <n v="1117"/>
    <n v="1"/>
    <n v="1"/>
  </r>
  <r>
    <m/>
    <m/>
    <x v="1"/>
    <s v="90285764001001"/>
    <n v="-10.37"/>
    <n v="525"/>
    <n v="1"/>
    <n v="1"/>
  </r>
  <r>
    <m/>
    <m/>
    <x v="1"/>
    <s v="90314519001006"/>
    <n v="-46.02"/>
    <n v="2329"/>
    <n v="1"/>
    <n v="1"/>
  </r>
  <r>
    <m/>
    <m/>
    <x v="1"/>
    <s v="90474886001001"/>
    <n v="-9.58"/>
    <n v="485"/>
    <n v="1"/>
    <n v="1"/>
  </r>
  <r>
    <m/>
    <m/>
    <x v="1"/>
    <s v="90527747001001"/>
    <n v="-35.39"/>
    <n v="1791"/>
    <n v="1"/>
    <n v="1"/>
  </r>
  <r>
    <m/>
    <m/>
    <x v="1"/>
    <s v="91095063001001"/>
    <n v="-4.03"/>
    <n v="204"/>
    <n v="1"/>
    <n v="1"/>
  </r>
  <r>
    <m/>
    <m/>
    <x v="1"/>
    <s v="91666691002003"/>
    <n v="-85.58"/>
    <n v="4331"/>
    <n v="1"/>
    <n v="1"/>
  </r>
  <r>
    <m/>
    <m/>
    <x v="1"/>
    <s v="92326056001001"/>
    <n v="-10.67"/>
    <n v="540"/>
    <n v="1"/>
    <n v="1"/>
  </r>
  <r>
    <m/>
    <m/>
    <x v="1"/>
    <s v="92476559001004"/>
    <n v="-37.369999999999997"/>
    <n v="1891"/>
    <n v="1"/>
    <n v="1"/>
  </r>
  <r>
    <m/>
    <m/>
    <x v="1"/>
    <s v="92573504001002"/>
    <n v="-33.75"/>
    <n v="1708"/>
    <n v="1"/>
    <n v="1"/>
  </r>
  <r>
    <m/>
    <m/>
    <x v="1"/>
    <s v="92602233001001"/>
    <n v="-44.3"/>
    <n v="2242"/>
    <n v="1"/>
    <n v="1"/>
  </r>
  <r>
    <m/>
    <m/>
    <x v="1"/>
    <s v="92602736003007"/>
    <n v="-13.4"/>
    <n v="678"/>
    <n v="1"/>
    <n v="1"/>
  </r>
  <r>
    <m/>
    <m/>
    <x v="1"/>
    <s v="93723374003001"/>
    <n v="-58.23"/>
    <n v="2947"/>
    <n v="1"/>
    <n v="1"/>
  </r>
  <r>
    <m/>
    <m/>
    <x v="1"/>
    <s v="93767754001003"/>
    <n v="-45.45"/>
    <n v="2300"/>
    <n v="1"/>
    <n v="1"/>
  </r>
  <r>
    <m/>
    <m/>
    <x v="1"/>
    <s v="94464191001001"/>
    <n v="-20.77"/>
    <n v="1051"/>
    <n v="1"/>
    <n v="1"/>
  </r>
  <r>
    <m/>
    <m/>
    <x v="1"/>
    <s v="94498857001001"/>
    <n v="-36.869999999999997"/>
    <n v="1866"/>
    <n v="1"/>
    <n v="1"/>
  </r>
  <r>
    <m/>
    <m/>
    <x v="1"/>
    <s v="95178657001001"/>
    <n v="-10.41"/>
    <n v="527"/>
    <n v="1"/>
    <n v="1"/>
  </r>
  <r>
    <m/>
    <m/>
    <x v="1"/>
    <s v="95229231001002"/>
    <n v="-38.28"/>
    <n v="1937"/>
    <n v="1"/>
    <n v="1"/>
  </r>
  <r>
    <m/>
    <m/>
    <x v="1"/>
    <s v="95347210001001"/>
    <n v="-29.24"/>
    <n v="1480"/>
    <n v="1"/>
    <n v="1"/>
  </r>
  <r>
    <m/>
    <m/>
    <x v="1"/>
    <s v="95431402002004"/>
    <n v="-5"/>
    <n v="253"/>
    <n v="1"/>
    <n v="1"/>
  </r>
  <r>
    <m/>
    <m/>
    <x v="1"/>
    <s v="95466908001001"/>
    <n v="-20.93"/>
    <n v="1059"/>
    <n v="1"/>
    <n v="1"/>
  </r>
  <r>
    <m/>
    <m/>
    <x v="1"/>
    <s v="95690332001005"/>
    <n v="-7.9"/>
    <n v="400"/>
    <n v="1"/>
    <n v="1"/>
  </r>
  <r>
    <m/>
    <m/>
    <x v="1"/>
    <s v="95803514001003"/>
    <n v="-10.45"/>
    <n v="529"/>
    <n v="1"/>
    <n v="1"/>
  </r>
  <r>
    <m/>
    <m/>
    <x v="1"/>
    <s v="95820648002006"/>
    <n v="-8.16"/>
    <n v="413"/>
    <n v="1"/>
    <n v="1"/>
  </r>
  <r>
    <m/>
    <m/>
    <x v="1"/>
    <s v="96052911001001"/>
    <n v="-23.61"/>
    <n v="1195"/>
    <n v="1"/>
    <n v="1"/>
  </r>
  <r>
    <m/>
    <m/>
    <x v="1"/>
    <s v="96080545001006"/>
    <n v="-20.39"/>
    <n v="1032"/>
    <n v="1"/>
    <n v="1"/>
  </r>
  <r>
    <m/>
    <m/>
    <x v="1"/>
    <s v="96186430001005"/>
    <n v="-14.05"/>
    <n v="711"/>
    <n v="1"/>
    <n v="1"/>
  </r>
  <r>
    <m/>
    <m/>
    <x v="1"/>
    <s v="96226382001001"/>
    <n v="-12.45"/>
    <n v="630"/>
    <n v="1"/>
    <n v="1"/>
  </r>
  <r>
    <m/>
    <m/>
    <x v="1"/>
    <s v="96258552001004"/>
    <n v="-12.01"/>
    <n v="608"/>
    <n v="1"/>
    <n v="1"/>
  </r>
  <r>
    <m/>
    <m/>
    <x v="1"/>
    <s v="96369039001001"/>
    <n v="-55.43"/>
    <n v="2805"/>
    <n v="1"/>
    <n v="1"/>
  </r>
  <r>
    <m/>
    <m/>
    <x v="1"/>
    <s v="96472741002003"/>
    <n v="-20.25"/>
    <n v="1025"/>
    <n v="1"/>
    <n v="1"/>
  </r>
  <r>
    <m/>
    <m/>
    <x v="1"/>
    <s v="96475469001001"/>
    <n v="-13.87"/>
    <n v="702"/>
    <n v="1"/>
    <n v="1"/>
  </r>
  <r>
    <m/>
    <m/>
    <x v="1"/>
    <s v="96478184001006"/>
    <n v="-16.18"/>
    <n v="819"/>
    <n v="1"/>
    <n v="1"/>
  </r>
  <r>
    <m/>
    <m/>
    <x v="1"/>
    <s v="96534616001001"/>
    <n v="-19.21"/>
    <n v="972"/>
    <n v="1"/>
    <n v="1"/>
  </r>
  <r>
    <m/>
    <m/>
    <x v="1"/>
    <s v="96949041001001"/>
    <n v="-26.3"/>
    <n v="1331"/>
    <n v="1"/>
    <n v="1"/>
  </r>
  <r>
    <m/>
    <m/>
    <x v="1"/>
    <s v="96955037001003"/>
    <n v="-31.87"/>
    <n v="1613"/>
    <n v="1"/>
    <n v="1"/>
  </r>
  <r>
    <m/>
    <m/>
    <x v="1"/>
    <s v="97005215001001"/>
    <n v="-29.19"/>
    <n v="1477"/>
    <n v="1"/>
    <n v="1"/>
  </r>
  <r>
    <m/>
    <m/>
    <x v="1"/>
    <s v="97148101001003"/>
    <n v="-17.760000000000002"/>
    <n v="899"/>
    <n v="1"/>
    <n v="1"/>
  </r>
  <r>
    <m/>
    <m/>
    <x v="1"/>
    <s v="97515713001001"/>
    <n v="-37.92"/>
    <n v="1919"/>
    <n v="1"/>
    <n v="1"/>
  </r>
  <r>
    <m/>
    <m/>
    <x v="1"/>
    <s v="97521847001001"/>
    <n v="-21.12"/>
    <n v="1069"/>
    <n v="1"/>
    <n v="1"/>
  </r>
  <r>
    <m/>
    <m/>
    <x v="1"/>
    <s v="97905025001001"/>
    <n v="-15.65"/>
    <n v="792"/>
    <n v="1"/>
    <n v="1"/>
  </r>
  <r>
    <m/>
    <m/>
    <x v="1"/>
    <s v="97919016001004"/>
    <n v="-43.89"/>
    <n v="2221"/>
    <n v="1"/>
    <n v="1"/>
  </r>
  <r>
    <m/>
    <m/>
    <x v="1"/>
    <s v="98150139003001"/>
    <n v="-24.44"/>
    <n v="1237"/>
    <n v="1"/>
    <n v="1"/>
  </r>
  <r>
    <m/>
    <m/>
    <x v="1"/>
    <s v="98323580001002"/>
    <n v="-19.23"/>
    <n v="973"/>
    <n v="1"/>
    <n v="1"/>
  </r>
  <r>
    <m/>
    <m/>
    <x v="1"/>
    <s v="98361540001003"/>
    <n v="-12.78"/>
    <n v="647"/>
    <n v="1"/>
    <n v="1"/>
  </r>
  <r>
    <m/>
    <m/>
    <x v="1"/>
    <s v="98374511001001"/>
    <n v="-25"/>
    <n v="1265"/>
    <n v="1"/>
    <n v="1"/>
  </r>
  <r>
    <m/>
    <m/>
    <x v="1"/>
    <s v="98420960001001"/>
    <n v="-7.67"/>
    <n v="388"/>
    <n v="1"/>
    <n v="1"/>
  </r>
  <r>
    <m/>
    <m/>
    <x v="1"/>
    <s v="98472116001003"/>
    <n v="-22.43"/>
    <n v="1135"/>
    <n v="1"/>
    <n v="1"/>
  </r>
  <r>
    <m/>
    <m/>
    <x v="1"/>
    <s v="98628679001001"/>
    <n v="-3.56"/>
    <n v="180"/>
    <n v="1"/>
    <n v="1"/>
  </r>
  <r>
    <m/>
    <m/>
    <x v="1"/>
    <s v="98994107001001"/>
    <n v="-1.66"/>
    <n v="84"/>
    <n v="1"/>
    <n v="1"/>
  </r>
  <r>
    <m/>
    <m/>
    <x v="1"/>
    <s v="99409195002001"/>
    <n v="-20.23"/>
    <n v="1024"/>
    <n v="1"/>
    <n v="1"/>
  </r>
  <r>
    <m/>
    <m/>
    <x v="1"/>
    <s v="99420655002001"/>
    <n v="-72.16"/>
    <n v="3652"/>
    <n v="1"/>
    <n v="1"/>
  </r>
  <r>
    <m/>
    <m/>
    <x v="1"/>
    <s v="99435304001001"/>
    <n v="-20.91"/>
    <n v="1058"/>
    <n v="1"/>
    <n v="1"/>
  </r>
  <r>
    <m/>
    <m/>
    <x v="1"/>
    <s v="99547055001003"/>
    <n v="-25"/>
    <n v="1265"/>
    <n v="1"/>
    <n v="1"/>
  </r>
  <r>
    <m/>
    <m/>
    <x v="1"/>
    <s v="99609771001001"/>
    <n v="-31.4"/>
    <n v="1589"/>
    <n v="1"/>
    <n v="1"/>
  </r>
  <r>
    <m/>
    <m/>
    <x v="1"/>
    <s v="99752520001007"/>
    <n v="-64.099999999999994"/>
    <n v="3244"/>
    <n v="1"/>
    <n v="1"/>
  </r>
  <r>
    <m/>
    <m/>
    <x v="1"/>
    <s v="99831171001001"/>
    <n v="-98.68"/>
    <n v="4994"/>
    <n v="1"/>
    <n v="1"/>
  </r>
  <r>
    <m/>
    <m/>
    <x v="1"/>
    <s v="99960737001001"/>
    <n v="-22.82"/>
    <n v="1155"/>
    <n v="1"/>
    <n v="1"/>
  </r>
  <r>
    <m/>
    <m/>
    <x v="2"/>
    <m/>
    <n v="-24284.119999999981"/>
    <n v="1228953"/>
    <n v="822"/>
    <n v="822"/>
  </r>
  <r>
    <m/>
    <m/>
    <x v="3"/>
    <s v="00129382001001"/>
    <n v="-3.26"/>
    <n v="103"/>
    <n v="1"/>
    <n v="1"/>
  </r>
  <r>
    <m/>
    <m/>
    <x v="1"/>
    <s v="00416718001001"/>
    <n v="-79.680000000000007"/>
    <n v="2520"/>
    <n v="1"/>
    <n v="1"/>
  </r>
  <r>
    <m/>
    <m/>
    <x v="1"/>
    <s v="00505142001001"/>
    <n v="-36.58"/>
    <n v="1157"/>
    <n v="1"/>
    <n v="1"/>
  </r>
  <r>
    <m/>
    <m/>
    <x v="1"/>
    <s v="00520023001001"/>
    <n v="-73.709999999999994"/>
    <n v="2331"/>
    <n v="1"/>
    <n v="1"/>
  </r>
  <r>
    <m/>
    <m/>
    <x v="1"/>
    <s v="00620929001002"/>
    <n v="-45.47"/>
    <n v="1438"/>
    <n v="1"/>
    <n v="1"/>
  </r>
  <r>
    <m/>
    <m/>
    <x v="1"/>
    <s v="00730907001001"/>
    <n v="-14.51"/>
    <n v="459"/>
    <n v="1"/>
    <n v="1"/>
  </r>
  <r>
    <m/>
    <m/>
    <x v="1"/>
    <s v="00778369001005"/>
    <n v="-33.64"/>
    <n v="1064"/>
    <n v="1"/>
    <n v="1"/>
  </r>
  <r>
    <m/>
    <m/>
    <x v="1"/>
    <s v="00838430001003"/>
    <n v="-54.96"/>
    <n v="1738"/>
    <n v="1"/>
    <n v="1"/>
  </r>
  <r>
    <m/>
    <m/>
    <x v="1"/>
    <s v="00876650001003"/>
    <n v="-54.64"/>
    <n v="1728"/>
    <n v="1"/>
    <n v="1"/>
  </r>
  <r>
    <m/>
    <m/>
    <x v="1"/>
    <s v="00906029001008"/>
    <n v="-31.49"/>
    <n v="996"/>
    <n v="1"/>
    <n v="1"/>
  </r>
  <r>
    <m/>
    <m/>
    <x v="1"/>
    <s v="00927680001009"/>
    <n v="-28.14"/>
    <n v="890"/>
    <n v="1"/>
    <n v="1"/>
  </r>
  <r>
    <m/>
    <m/>
    <x v="1"/>
    <s v="00973908002001"/>
    <n v="-87.68"/>
    <n v="2773"/>
    <n v="1"/>
    <n v="1"/>
  </r>
  <r>
    <m/>
    <m/>
    <x v="1"/>
    <s v="01105022001001"/>
    <n v="-50.66"/>
    <n v="1602"/>
    <n v="2"/>
    <n v="1"/>
  </r>
  <r>
    <m/>
    <m/>
    <x v="1"/>
    <s v="01147160001001"/>
    <n v="-87.27"/>
    <n v="2760"/>
    <n v="1"/>
    <n v="1"/>
  </r>
  <r>
    <m/>
    <m/>
    <x v="1"/>
    <s v="01763049004003"/>
    <n v="-4.93"/>
    <n v="156"/>
    <n v="1"/>
    <n v="1"/>
  </r>
  <r>
    <m/>
    <m/>
    <x v="1"/>
    <s v="01775038001002"/>
    <n v="-45"/>
    <n v="1423"/>
    <n v="1"/>
    <n v="1"/>
  </r>
  <r>
    <m/>
    <m/>
    <x v="1"/>
    <s v="01911223001001"/>
    <n v="-40.92"/>
    <n v="1294"/>
    <n v="1"/>
    <n v="1"/>
  </r>
  <r>
    <m/>
    <m/>
    <x v="1"/>
    <s v="02155866001004"/>
    <n v="-78.260000000000005"/>
    <n v="2475"/>
    <n v="1"/>
    <n v="1"/>
  </r>
  <r>
    <m/>
    <m/>
    <x v="1"/>
    <s v="02249862002005"/>
    <n v="-5.53"/>
    <n v="175"/>
    <n v="1"/>
    <n v="1"/>
  </r>
  <r>
    <m/>
    <m/>
    <x v="1"/>
    <s v="02474190002001"/>
    <n v="-30.39"/>
    <n v="961"/>
    <n v="1"/>
    <n v="1"/>
  </r>
  <r>
    <m/>
    <m/>
    <x v="1"/>
    <s v="02489977001002"/>
    <n v="-27.95"/>
    <n v="884"/>
    <n v="1"/>
    <n v="1"/>
  </r>
  <r>
    <m/>
    <m/>
    <x v="1"/>
    <s v="02625530001001"/>
    <n v="-22.48"/>
    <n v="711"/>
    <n v="1"/>
    <n v="1"/>
  </r>
  <r>
    <m/>
    <m/>
    <x v="1"/>
    <s v="02761318001001"/>
    <n v="-71.650000000000006"/>
    <n v="2266"/>
    <n v="1"/>
    <n v="1"/>
  </r>
  <r>
    <m/>
    <m/>
    <x v="1"/>
    <s v="02861062001008"/>
    <n v="-19.16"/>
    <n v="606"/>
    <n v="1"/>
    <n v="1"/>
  </r>
  <r>
    <m/>
    <m/>
    <x v="1"/>
    <s v="02964882001001"/>
    <n v="-10.75"/>
    <n v="340"/>
    <n v="1"/>
    <n v="1"/>
  </r>
  <r>
    <m/>
    <m/>
    <x v="1"/>
    <s v="02975140001002"/>
    <n v="-14.23"/>
    <n v="450"/>
    <n v="1"/>
    <n v="1"/>
  </r>
  <r>
    <m/>
    <m/>
    <x v="1"/>
    <s v="03088248001005"/>
    <n v="-61.91"/>
    <n v="1958"/>
    <n v="1"/>
    <n v="1"/>
  </r>
  <r>
    <m/>
    <m/>
    <x v="1"/>
    <s v="03304096001001"/>
    <n v="-50.28"/>
    <n v="1590"/>
    <n v="1"/>
    <n v="1"/>
  </r>
  <r>
    <m/>
    <m/>
    <x v="1"/>
    <s v="03379746001001"/>
    <n v="-44.17"/>
    <n v="1397"/>
    <n v="1"/>
    <n v="1"/>
  </r>
  <r>
    <m/>
    <m/>
    <x v="1"/>
    <s v="03527986001006"/>
    <n v="-15.11"/>
    <n v="478"/>
    <n v="1"/>
    <n v="1"/>
  </r>
  <r>
    <m/>
    <m/>
    <x v="1"/>
    <s v="03800540001008"/>
    <n v="-16.41"/>
    <n v="519"/>
    <n v="1"/>
    <n v="1"/>
  </r>
  <r>
    <m/>
    <m/>
    <x v="1"/>
    <s v="03953360002003"/>
    <n v="-22.8"/>
    <n v="721"/>
    <n v="1"/>
    <n v="1"/>
  </r>
  <r>
    <m/>
    <m/>
    <x v="1"/>
    <s v="04036291001005"/>
    <n v="-34.880000000000003"/>
    <n v="1103"/>
    <n v="1"/>
    <n v="1"/>
  </r>
  <r>
    <m/>
    <m/>
    <x v="1"/>
    <s v="04235477001011"/>
    <n v="-49.55"/>
    <n v="1567"/>
    <n v="1"/>
    <n v="1"/>
  </r>
  <r>
    <m/>
    <m/>
    <x v="1"/>
    <s v="04587647002001"/>
    <n v="-60.77"/>
    <n v="1922"/>
    <n v="1"/>
    <n v="1"/>
  </r>
  <r>
    <m/>
    <m/>
    <x v="1"/>
    <s v="04668888001001"/>
    <n v="-47.46"/>
    <n v="1501"/>
    <n v="1"/>
    <n v="1"/>
  </r>
  <r>
    <m/>
    <m/>
    <x v="1"/>
    <s v="04763856001007"/>
    <n v="-96.95"/>
    <n v="3066"/>
    <n v="1"/>
    <n v="1"/>
  </r>
  <r>
    <m/>
    <m/>
    <x v="1"/>
    <s v="04767750001002"/>
    <n v="-40.92"/>
    <n v="1294"/>
    <n v="1"/>
    <n v="1"/>
  </r>
  <r>
    <m/>
    <m/>
    <x v="1"/>
    <s v="04813613001001"/>
    <n v="-78.67"/>
    <n v="2488"/>
    <n v="1"/>
    <n v="1"/>
  </r>
  <r>
    <m/>
    <m/>
    <x v="1"/>
    <s v="05077769001001"/>
    <n v="-30.8"/>
    <n v="974"/>
    <n v="1"/>
    <n v="1"/>
  </r>
  <r>
    <m/>
    <m/>
    <x v="1"/>
    <s v="05125129001001"/>
    <n v="-5.31"/>
    <n v="168"/>
    <n v="1"/>
    <n v="1"/>
  </r>
  <r>
    <m/>
    <m/>
    <x v="1"/>
    <s v="05169515001001"/>
    <n v="-20.46"/>
    <n v="647"/>
    <n v="1"/>
    <n v="1"/>
  </r>
  <r>
    <m/>
    <m/>
    <x v="1"/>
    <s v="05197516003003"/>
    <n v="-127.33"/>
    <n v="4027"/>
    <n v="1"/>
    <n v="1"/>
  </r>
  <r>
    <m/>
    <m/>
    <x v="1"/>
    <s v="05767750001001"/>
    <n v="-74.62"/>
    <n v="2360"/>
    <n v="1"/>
    <n v="1"/>
  </r>
  <r>
    <m/>
    <m/>
    <x v="1"/>
    <s v="05776636001001"/>
    <n v="-59.16"/>
    <n v="1871"/>
    <n v="1"/>
    <n v="1"/>
  </r>
  <r>
    <m/>
    <m/>
    <x v="1"/>
    <s v="05860137001003"/>
    <n v="-17.96"/>
    <n v="568"/>
    <n v="1"/>
    <n v="1"/>
  </r>
  <r>
    <m/>
    <m/>
    <x v="1"/>
    <s v="05896396001005"/>
    <n v="-10.24"/>
    <n v="324"/>
    <n v="1"/>
    <n v="1"/>
  </r>
  <r>
    <m/>
    <m/>
    <x v="1"/>
    <s v="05896822001001"/>
    <n v="-142.07"/>
    <n v="4493"/>
    <n v="1"/>
    <n v="1"/>
  </r>
  <r>
    <m/>
    <m/>
    <x v="1"/>
    <s v="06200267001003"/>
    <n v="-42.21"/>
    <n v="1335"/>
    <n v="1"/>
    <n v="1"/>
  </r>
  <r>
    <m/>
    <m/>
    <x v="1"/>
    <s v="06257315001002"/>
    <n v="-7.37"/>
    <n v="233"/>
    <n v="1"/>
    <n v="1"/>
  </r>
  <r>
    <m/>
    <m/>
    <x v="1"/>
    <s v="06650635001001"/>
    <n v="-53.72"/>
    <n v="1699"/>
    <n v="1"/>
    <n v="1"/>
  </r>
  <r>
    <m/>
    <m/>
    <x v="1"/>
    <s v="06803689001001"/>
    <n v="-11.73"/>
    <n v="371"/>
    <n v="1"/>
    <n v="1"/>
  </r>
  <r>
    <m/>
    <m/>
    <x v="1"/>
    <s v="06815394001001"/>
    <n v="-23.75"/>
    <n v="751"/>
    <n v="1"/>
    <n v="1"/>
  </r>
  <r>
    <m/>
    <m/>
    <x v="1"/>
    <s v="07254550001001"/>
    <n v="-41.52"/>
    <n v="1313"/>
    <n v="1"/>
    <n v="1"/>
  </r>
  <r>
    <m/>
    <m/>
    <x v="1"/>
    <s v="07497509001002"/>
    <n v="-11.07"/>
    <n v="350"/>
    <n v="1"/>
    <n v="1"/>
  </r>
  <r>
    <m/>
    <m/>
    <x v="1"/>
    <s v="07580264003001"/>
    <n v="-125.69"/>
    <n v="3975"/>
    <n v="1"/>
    <n v="1"/>
  </r>
  <r>
    <m/>
    <m/>
    <x v="1"/>
    <s v="08005911001002"/>
    <n v="-71.900000000000006"/>
    <n v="2274"/>
    <n v="1"/>
    <n v="1"/>
  </r>
  <r>
    <m/>
    <m/>
    <x v="1"/>
    <s v="08116506001004"/>
    <n v="-39.46"/>
    <n v="1248"/>
    <n v="1"/>
    <n v="1"/>
  </r>
  <r>
    <m/>
    <m/>
    <x v="1"/>
    <s v="08352681002008"/>
    <n v="-31.08"/>
    <n v="983"/>
    <n v="1"/>
    <n v="1"/>
  </r>
  <r>
    <m/>
    <m/>
    <x v="1"/>
    <s v="08567574001005"/>
    <n v="-28.3"/>
    <n v="895"/>
    <n v="1"/>
    <n v="1"/>
  </r>
  <r>
    <m/>
    <m/>
    <x v="1"/>
    <s v="08571261001010"/>
    <n v="-279.33000000000004"/>
    <n v="10202"/>
    <n v="8"/>
    <n v="1"/>
  </r>
  <r>
    <m/>
    <m/>
    <x v="1"/>
    <s v="08606353001002"/>
    <n v="-72.09"/>
    <n v="2280"/>
    <n v="1"/>
    <n v="1"/>
  </r>
  <r>
    <m/>
    <m/>
    <x v="1"/>
    <s v="08685884001001"/>
    <n v="-5.66"/>
    <n v="179"/>
    <n v="1"/>
    <n v="1"/>
  </r>
  <r>
    <m/>
    <m/>
    <x v="1"/>
    <s v="08747776001001"/>
    <n v="-25.33"/>
    <n v="801"/>
    <n v="1"/>
    <n v="1"/>
  </r>
  <r>
    <m/>
    <m/>
    <x v="1"/>
    <s v="09792707001004"/>
    <n v="-35.54"/>
    <n v="1124"/>
    <n v="1"/>
    <n v="1"/>
  </r>
  <r>
    <m/>
    <m/>
    <x v="1"/>
    <s v="09917655001001"/>
    <n v="-93.41"/>
    <n v="2954"/>
    <n v="1"/>
    <n v="1"/>
  </r>
  <r>
    <m/>
    <m/>
    <x v="1"/>
    <s v="09918328001002"/>
    <n v="-4.46"/>
    <n v="141"/>
    <n v="1"/>
    <n v="1"/>
  </r>
  <r>
    <m/>
    <m/>
    <x v="1"/>
    <s v="10344859001004"/>
    <n v="-6.07"/>
    <n v="192"/>
    <n v="1"/>
    <n v="1"/>
  </r>
  <r>
    <m/>
    <m/>
    <x v="1"/>
    <s v="10563066001001"/>
    <n v="-21.47"/>
    <n v="679"/>
    <n v="1"/>
    <n v="1"/>
  </r>
  <r>
    <m/>
    <m/>
    <x v="1"/>
    <s v="10567153001001"/>
    <n v="-32.25"/>
    <n v="1020"/>
    <n v="1"/>
    <n v="1"/>
  </r>
  <r>
    <m/>
    <m/>
    <x v="1"/>
    <s v="11266870001001"/>
    <n v="-12.3"/>
    <n v="389"/>
    <n v="1"/>
    <n v="1"/>
  </r>
  <r>
    <m/>
    <m/>
    <x v="1"/>
    <s v="11380184001001"/>
    <n v="-2.5299999999999998"/>
    <n v="80"/>
    <n v="1"/>
    <n v="1"/>
  </r>
  <r>
    <m/>
    <m/>
    <x v="1"/>
    <s v="11457839001001"/>
    <n v="-3.13"/>
    <n v="99"/>
    <n v="1"/>
    <n v="1"/>
  </r>
  <r>
    <m/>
    <m/>
    <x v="1"/>
    <s v="11649874003001"/>
    <n v="-18.399999999999999"/>
    <n v="582"/>
    <n v="1"/>
    <n v="1"/>
  </r>
  <r>
    <m/>
    <m/>
    <x v="1"/>
    <s v="11724251004003"/>
    <n v="-9.77"/>
    <n v="309"/>
    <n v="1"/>
    <n v="1"/>
  </r>
  <r>
    <m/>
    <m/>
    <x v="1"/>
    <s v="11905162001002"/>
    <n v="-3.04"/>
    <n v="96"/>
    <n v="1"/>
    <n v="1"/>
  </r>
  <r>
    <m/>
    <m/>
    <x v="1"/>
    <s v="11913025001002"/>
    <n v="-74.94"/>
    <n v="2370"/>
    <n v="1"/>
    <n v="1"/>
  </r>
  <r>
    <m/>
    <m/>
    <x v="1"/>
    <s v="11917791001004"/>
    <n v="-35.450000000000003"/>
    <n v="1121"/>
    <n v="1"/>
    <n v="1"/>
  </r>
  <r>
    <m/>
    <m/>
    <x v="1"/>
    <s v="11918881001001"/>
    <n v="-17.14"/>
    <n v="542"/>
    <n v="1"/>
    <n v="1"/>
  </r>
  <r>
    <m/>
    <m/>
    <x v="1"/>
    <s v="11927411001002"/>
    <n v="-18.399999999999999"/>
    <n v="582"/>
    <n v="1"/>
    <n v="1"/>
  </r>
  <r>
    <m/>
    <m/>
    <x v="1"/>
    <s v="11968828001003"/>
    <n v="-36.74"/>
    <n v="1162"/>
    <n v="1"/>
    <n v="1"/>
  </r>
  <r>
    <m/>
    <m/>
    <x v="1"/>
    <s v="12190744001001"/>
    <n v="-17.2"/>
    <n v="544"/>
    <n v="1"/>
    <n v="1"/>
  </r>
  <r>
    <m/>
    <m/>
    <x v="1"/>
    <s v="12237513001003"/>
    <n v="-54.17"/>
    <n v="1713"/>
    <n v="1"/>
    <n v="1"/>
  </r>
  <r>
    <m/>
    <m/>
    <x v="1"/>
    <s v="12304429001001"/>
    <n v="-75.73"/>
    <n v="2395"/>
    <n v="1"/>
    <n v="1"/>
  </r>
  <r>
    <m/>
    <m/>
    <x v="1"/>
    <s v="12325069001003"/>
    <n v="-34.78"/>
    <n v="1100"/>
    <n v="1"/>
    <n v="1"/>
  </r>
  <r>
    <m/>
    <m/>
    <x v="1"/>
    <s v="12836175001001"/>
    <n v="-79.180000000000007"/>
    <n v="2504"/>
    <n v="1"/>
    <n v="1"/>
  </r>
  <r>
    <m/>
    <m/>
    <x v="1"/>
    <s v="12968693001002"/>
    <n v="-33.01"/>
    <n v="1044"/>
    <n v="1"/>
    <n v="1"/>
  </r>
  <r>
    <m/>
    <m/>
    <x v="1"/>
    <s v="13033808001005"/>
    <n v="-16.89"/>
    <n v="534"/>
    <n v="1"/>
    <n v="1"/>
  </r>
  <r>
    <m/>
    <m/>
    <x v="1"/>
    <s v="13064786005003"/>
    <n v="-31.84"/>
    <n v="1007"/>
    <n v="1"/>
    <n v="1"/>
  </r>
  <r>
    <m/>
    <m/>
    <x v="1"/>
    <s v="13074980001004"/>
    <n v="-13.53"/>
    <n v="428"/>
    <n v="1"/>
    <n v="1"/>
  </r>
  <r>
    <m/>
    <m/>
    <x v="1"/>
    <s v="13235148001006"/>
    <n v="-87.68"/>
    <n v="2773"/>
    <n v="1"/>
    <n v="1"/>
  </r>
  <r>
    <m/>
    <m/>
    <x v="1"/>
    <s v="13302962002001"/>
    <n v="-75.260000000000005"/>
    <n v="2380"/>
    <n v="1"/>
    <n v="1"/>
  </r>
  <r>
    <m/>
    <m/>
    <x v="1"/>
    <s v="13341729001002"/>
    <n v="-42.75"/>
    <n v="1352"/>
    <n v="1"/>
    <n v="1"/>
  </r>
  <r>
    <m/>
    <m/>
    <x v="1"/>
    <s v="13378355002003"/>
    <n v="-38.229999999999997"/>
    <n v="1209"/>
    <n v="1"/>
    <n v="1"/>
  </r>
  <r>
    <m/>
    <m/>
    <x v="1"/>
    <s v="13653453001001"/>
    <n v="-54.29"/>
    <n v="1717"/>
    <n v="1"/>
    <n v="1"/>
  </r>
  <r>
    <m/>
    <m/>
    <x v="1"/>
    <s v="13820741001003"/>
    <n v="-27.7"/>
    <n v="876"/>
    <n v="2"/>
    <n v="1"/>
  </r>
  <r>
    <m/>
    <m/>
    <x v="1"/>
    <s v="13942590001005"/>
    <n v="-27.07"/>
    <n v="856"/>
    <n v="1"/>
    <n v="1"/>
  </r>
  <r>
    <m/>
    <m/>
    <x v="1"/>
    <s v="13955388002002"/>
    <n v="-61.98"/>
    <n v="1960"/>
    <n v="1"/>
    <n v="1"/>
  </r>
  <r>
    <m/>
    <m/>
    <x v="1"/>
    <s v="14001456001003"/>
    <n v="-76.739999999999995"/>
    <n v="2427"/>
    <n v="1"/>
    <n v="1"/>
  </r>
  <r>
    <m/>
    <m/>
    <x v="1"/>
    <s v="14161302001006"/>
    <n v="-55.78"/>
    <n v="1764"/>
    <n v="1"/>
    <n v="1"/>
  </r>
  <r>
    <m/>
    <m/>
    <x v="1"/>
    <s v="14223962001009"/>
    <n v="-44.02"/>
    <n v="1392"/>
    <n v="1"/>
    <n v="1"/>
  </r>
  <r>
    <m/>
    <m/>
    <x v="1"/>
    <s v="14250991001001"/>
    <n v="-57.77"/>
    <n v="1827"/>
    <n v="1"/>
    <n v="1"/>
  </r>
  <r>
    <m/>
    <m/>
    <x v="1"/>
    <s v="14533471002003"/>
    <n v="-22.13"/>
    <n v="700"/>
    <n v="1"/>
    <n v="1"/>
  </r>
  <r>
    <m/>
    <m/>
    <x v="1"/>
    <s v="14880751002003"/>
    <n v="-58.88"/>
    <n v="1862"/>
    <n v="1"/>
    <n v="1"/>
  </r>
  <r>
    <m/>
    <m/>
    <x v="1"/>
    <s v="14884998001013"/>
    <n v="-28.87"/>
    <n v="913"/>
    <n v="1"/>
    <n v="1"/>
  </r>
  <r>
    <m/>
    <m/>
    <x v="1"/>
    <s v="14969179001001"/>
    <n v="-1.04"/>
    <n v="33"/>
    <n v="1"/>
    <n v="1"/>
  </r>
  <r>
    <m/>
    <m/>
    <x v="1"/>
    <s v="14986800001003"/>
    <n v="-12.33"/>
    <n v="390"/>
    <n v="1"/>
    <n v="1"/>
  </r>
  <r>
    <m/>
    <m/>
    <x v="1"/>
    <s v="15113741003003"/>
    <n v="-25.99"/>
    <n v="822"/>
    <n v="1"/>
    <n v="1"/>
  </r>
  <r>
    <m/>
    <m/>
    <x v="1"/>
    <s v="15120810001001"/>
    <n v="-15.56"/>
    <n v="492"/>
    <n v="1"/>
    <n v="1"/>
  </r>
  <r>
    <m/>
    <m/>
    <x v="1"/>
    <s v="15210168001005"/>
    <n v="-73.900000000000006"/>
    <n v="2337"/>
    <n v="1"/>
    <n v="1"/>
  </r>
  <r>
    <m/>
    <m/>
    <x v="1"/>
    <s v="15330418003001"/>
    <n v="-40.090000000000003"/>
    <n v="1268"/>
    <n v="1"/>
    <n v="1"/>
  </r>
  <r>
    <m/>
    <m/>
    <x v="1"/>
    <s v="15433507001001"/>
    <n v="-14.1"/>
    <n v="446"/>
    <n v="1"/>
    <n v="1"/>
  </r>
  <r>
    <m/>
    <m/>
    <x v="1"/>
    <s v="15503453001003"/>
    <n v="-155.57"/>
    <n v="4920"/>
    <n v="1"/>
    <n v="1"/>
  </r>
  <r>
    <m/>
    <m/>
    <x v="1"/>
    <s v="15572981001001"/>
    <n v="-26.94"/>
    <n v="852"/>
    <n v="1"/>
    <n v="1"/>
  </r>
  <r>
    <m/>
    <m/>
    <x v="1"/>
    <s v="15769056001001"/>
    <n v="-44.62"/>
    <n v="1411"/>
    <n v="1"/>
    <n v="1"/>
  </r>
  <r>
    <m/>
    <m/>
    <x v="1"/>
    <s v="16066827001002"/>
    <n v="-37.69"/>
    <n v="1192"/>
    <n v="1"/>
    <n v="1"/>
  </r>
  <r>
    <m/>
    <m/>
    <x v="1"/>
    <s v="16483184001001"/>
    <n v="-8.16"/>
    <n v="258"/>
    <n v="1"/>
    <n v="1"/>
  </r>
  <r>
    <m/>
    <m/>
    <x v="1"/>
    <s v="16709268001002"/>
    <n v="-35.6"/>
    <n v="1126"/>
    <n v="1"/>
    <n v="1"/>
  </r>
  <r>
    <m/>
    <m/>
    <x v="1"/>
    <s v="16766325001001"/>
    <n v="-34.659999999999997"/>
    <n v="1096"/>
    <n v="1"/>
    <n v="1"/>
  </r>
  <r>
    <m/>
    <m/>
    <x v="1"/>
    <s v="17064549001001"/>
    <n v="-84.17"/>
    <n v="2662"/>
    <n v="1"/>
    <n v="1"/>
  </r>
  <r>
    <m/>
    <m/>
    <x v="1"/>
    <s v="17145119002004"/>
    <n v="-20.65"/>
    <n v="653"/>
    <n v="1"/>
    <n v="1"/>
  </r>
  <r>
    <m/>
    <m/>
    <x v="1"/>
    <s v="17226786001001"/>
    <n v="-33.549999999999997"/>
    <n v="1061"/>
    <n v="1"/>
    <n v="1"/>
  </r>
  <r>
    <m/>
    <m/>
    <x v="1"/>
    <s v="17441909001004"/>
    <n v="-22.96"/>
    <n v="726"/>
    <n v="1"/>
    <n v="1"/>
  </r>
  <r>
    <m/>
    <m/>
    <x v="1"/>
    <s v="17540542001001"/>
    <n v="-115.03"/>
    <n v="3638"/>
    <n v="1"/>
    <n v="1"/>
  </r>
  <r>
    <m/>
    <m/>
    <x v="1"/>
    <s v="17617860003002"/>
    <n v="-41.49"/>
    <n v="1312"/>
    <n v="1"/>
    <n v="1"/>
  </r>
  <r>
    <m/>
    <m/>
    <x v="1"/>
    <s v="17719524002004"/>
    <n v="-38.64"/>
    <n v="1222"/>
    <n v="1"/>
    <n v="1"/>
  </r>
  <r>
    <m/>
    <m/>
    <x v="1"/>
    <s v="17724609001006"/>
    <n v="-75.13"/>
    <n v="2376"/>
    <n v="1"/>
    <n v="1"/>
  </r>
  <r>
    <m/>
    <m/>
    <x v="1"/>
    <s v="17785645002001"/>
    <n v="-60.14"/>
    <n v="1902"/>
    <n v="1"/>
    <n v="1"/>
  </r>
  <r>
    <m/>
    <m/>
    <x v="1"/>
    <s v="17834267001002"/>
    <n v="-43.73"/>
    <n v="1383"/>
    <n v="1"/>
    <n v="1"/>
  </r>
  <r>
    <m/>
    <m/>
    <x v="1"/>
    <s v="18002664001003"/>
    <n v="-17.55"/>
    <n v="555"/>
    <n v="1"/>
    <n v="1"/>
  </r>
  <r>
    <m/>
    <m/>
    <x v="1"/>
    <s v="18029261002004"/>
    <n v="-43"/>
    <n v="1360"/>
    <n v="1"/>
    <n v="1"/>
  </r>
  <r>
    <m/>
    <m/>
    <x v="1"/>
    <s v="18342361001001"/>
    <n v="-5.47"/>
    <n v="173"/>
    <n v="1"/>
    <n v="1"/>
  </r>
  <r>
    <m/>
    <m/>
    <x v="1"/>
    <s v="18375782001004"/>
    <n v="-11.83"/>
    <n v="374"/>
    <n v="1"/>
    <n v="1"/>
  </r>
  <r>
    <m/>
    <m/>
    <x v="1"/>
    <s v="18558909001002"/>
    <n v="-128.22"/>
    <n v="4055"/>
    <n v="1"/>
    <n v="1"/>
  </r>
  <r>
    <m/>
    <m/>
    <x v="1"/>
    <s v="18733572001003"/>
    <n v="-76.930000000000007"/>
    <n v="2433"/>
    <n v="1"/>
    <n v="1"/>
  </r>
  <r>
    <m/>
    <m/>
    <x v="1"/>
    <s v="18802755001005"/>
    <n v="-29.47"/>
    <n v="932"/>
    <n v="1"/>
    <n v="1"/>
  </r>
  <r>
    <m/>
    <m/>
    <x v="1"/>
    <s v="19009803001003"/>
    <n v="-9.8000000000000007"/>
    <n v="310"/>
    <n v="1"/>
    <n v="1"/>
  </r>
  <r>
    <m/>
    <m/>
    <x v="1"/>
    <s v="19092898002001"/>
    <n v="-20.239999999999998"/>
    <n v="640"/>
    <n v="1"/>
    <n v="1"/>
  </r>
  <r>
    <m/>
    <m/>
    <x v="1"/>
    <s v="19345185001001"/>
    <n v="-25.96"/>
    <n v="821"/>
    <n v="1"/>
    <n v="1"/>
  </r>
  <r>
    <m/>
    <m/>
    <x v="1"/>
    <s v="19726742004001"/>
    <n v="-0.28000000000000003"/>
    <n v="9"/>
    <n v="1"/>
    <n v="1"/>
  </r>
  <r>
    <m/>
    <m/>
    <x v="1"/>
    <s v="20135004001001"/>
    <n v="-12.58"/>
    <n v="398"/>
    <n v="1"/>
    <n v="1"/>
  </r>
  <r>
    <m/>
    <m/>
    <x v="1"/>
    <s v="20283219003003"/>
    <n v="-64.73"/>
    <n v="2047"/>
    <n v="1"/>
    <n v="1"/>
  </r>
  <r>
    <m/>
    <m/>
    <x v="1"/>
    <s v="20350496001001"/>
    <n v="-44.58"/>
    <n v="1410"/>
    <n v="1"/>
    <n v="1"/>
  </r>
  <r>
    <m/>
    <m/>
    <x v="1"/>
    <s v="20480851001001"/>
    <n v="-36.58"/>
    <n v="1157"/>
    <n v="1"/>
    <n v="1"/>
  </r>
  <r>
    <m/>
    <m/>
    <x v="1"/>
    <s v="20683934001002"/>
    <n v="-78.959999999999994"/>
    <n v="2497"/>
    <n v="1"/>
    <n v="1"/>
  </r>
  <r>
    <m/>
    <m/>
    <x v="1"/>
    <s v="20704837002001"/>
    <n v="-45.34"/>
    <n v="1434"/>
    <n v="1"/>
    <n v="1"/>
  </r>
  <r>
    <m/>
    <m/>
    <x v="1"/>
    <s v="21219326001001"/>
    <n v="-91.16"/>
    <n v="2883"/>
    <n v="1"/>
    <n v="1"/>
  </r>
  <r>
    <m/>
    <m/>
    <x v="1"/>
    <s v="21429755001006"/>
    <n v="-11.32"/>
    <n v="358"/>
    <n v="1"/>
    <n v="1"/>
  </r>
  <r>
    <m/>
    <m/>
    <x v="1"/>
    <s v="21645618001001"/>
    <n v="-80.819999999999993"/>
    <n v="2556"/>
    <n v="1"/>
    <n v="1"/>
  </r>
  <r>
    <m/>
    <m/>
    <x v="1"/>
    <s v="21809926001003"/>
    <n v="-67.89"/>
    <n v="2147"/>
    <n v="1"/>
    <n v="1"/>
  </r>
  <r>
    <m/>
    <m/>
    <x v="1"/>
    <s v="21846793001003"/>
    <n v="-12.58"/>
    <n v="398"/>
    <n v="1"/>
    <n v="1"/>
  </r>
  <r>
    <m/>
    <m/>
    <x v="1"/>
    <s v="21943625001001"/>
    <n v="-24.57"/>
    <n v="777"/>
    <n v="1"/>
    <n v="1"/>
  </r>
  <r>
    <m/>
    <m/>
    <x v="1"/>
    <s v="22038466001001"/>
    <n v="-25.23"/>
    <n v="798"/>
    <n v="1"/>
    <n v="1"/>
  </r>
  <r>
    <m/>
    <m/>
    <x v="1"/>
    <s v="22038843001001"/>
    <n v="-45.56"/>
    <n v="1441"/>
    <n v="1"/>
    <n v="1"/>
  </r>
  <r>
    <m/>
    <m/>
    <x v="1"/>
    <s v="22106063002001"/>
    <n v="-37.5"/>
    <n v="1186"/>
    <n v="1"/>
    <n v="1"/>
  </r>
  <r>
    <m/>
    <m/>
    <x v="1"/>
    <s v="22358815001001"/>
    <n v="-16.190000000000001"/>
    <n v="512"/>
    <n v="1"/>
    <n v="1"/>
  </r>
  <r>
    <m/>
    <m/>
    <x v="1"/>
    <s v="22380133001001"/>
    <n v="-62.07"/>
    <n v="1963"/>
    <n v="1"/>
    <n v="1"/>
  </r>
  <r>
    <m/>
    <m/>
    <x v="1"/>
    <s v="22479204001001"/>
    <n v="-17.23"/>
    <n v="545"/>
    <n v="1"/>
    <n v="1"/>
  </r>
  <r>
    <m/>
    <m/>
    <x v="1"/>
    <s v="22617306001001"/>
    <n v="-36.299999999999997"/>
    <n v="1148"/>
    <n v="1"/>
    <n v="1"/>
  </r>
  <r>
    <m/>
    <m/>
    <x v="1"/>
    <s v="22784555001001"/>
    <n v="-29.44"/>
    <n v="931"/>
    <n v="1"/>
    <n v="1"/>
  </r>
  <r>
    <m/>
    <m/>
    <x v="1"/>
    <s v="22793293001002"/>
    <n v="-16.22"/>
    <n v="513"/>
    <n v="1"/>
    <n v="1"/>
  </r>
  <r>
    <m/>
    <m/>
    <x v="1"/>
    <s v="23023579001001"/>
    <n v="-20.21"/>
    <n v="639"/>
    <n v="1"/>
    <n v="1"/>
  </r>
  <r>
    <m/>
    <m/>
    <x v="1"/>
    <s v="23144950001001"/>
    <n v="-35"/>
    <n v="1107"/>
    <n v="1"/>
    <n v="1"/>
  </r>
  <r>
    <m/>
    <m/>
    <x v="1"/>
    <s v="23176970001001"/>
    <n v="-78.319999999999993"/>
    <n v="2477"/>
    <n v="1"/>
    <n v="1"/>
  </r>
  <r>
    <m/>
    <m/>
    <x v="1"/>
    <s v="23191485002001"/>
    <n v="-59.32"/>
    <n v="1876"/>
    <n v="1"/>
    <n v="1"/>
  </r>
  <r>
    <m/>
    <m/>
    <x v="1"/>
    <s v="23403071001003"/>
    <n v="-18.02"/>
    <n v="570"/>
    <n v="1"/>
    <n v="1"/>
  </r>
  <r>
    <m/>
    <m/>
    <x v="1"/>
    <s v="23460450001003"/>
    <n v="-8.06"/>
    <n v="255"/>
    <n v="1"/>
    <n v="1"/>
  </r>
  <r>
    <m/>
    <m/>
    <x v="1"/>
    <s v="23460849001001"/>
    <n v="-26.81"/>
    <n v="848"/>
    <n v="1"/>
    <n v="1"/>
  </r>
  <r>
    <m/>
    <m/>
    <x v="1"/>
    <s v="23468135001004"/>
    <n v="-7.87"/>
    <n v="249"/>
    <n v="1"/>
    <n v="1"/>
  </r>
  <r>
    <m/>
    <m/>
    <x v="1"/>
    <s v="23535049001001"/>
    <n v="-32"/>
    <n v="1012"/>
    <n v="1"/>
    <n v="1"/>
  </r>
  <r>
    <m/>
    <m/>
    <x v="1"/>
    <s v="23567089001003"/>
    <n v="-26.24"/>
    <n v="830"/>
    <n v="1"/>
    <n v="1"/>
  </r>
  <r>
    <m/>
    <m/>
    <x v="1"/>
    <s v="23863133001011"/>
    <n v="-41.71"/>
    <n v="1319"/>
    <n v="1"/>
    <n v="1"/>
  </r>
  <r>
    <m/>
    <m/>
    <x v="1"/>
    <s v="24037929001002"/>
    <n v="-61.69"/>
    <n v="1951"/>
    <n v="1"/>
    <n v="1"/>
  </r>
  <r>
    <m/>
    <m/>
    <x v="1"/>
    <s v="24288214001003"/>
    <n v="-5.98"/>
    <n v="189"/>
    <n v="1"/>
    <n v="1"/>
  </r>
  <r>
    <m/>
    <m/>
    <x v="1"/>
    <s v="24328203001004"/>
    <n v="-28.27"/>
    <n v="894"/>
    <n v="1"/>
    <n v="1"/>
  </r>
  <r>
    <m/>
    <m/>
    <x v="1"/>
    <s v="24488041001001"/>
    <n v="-37.15"/>
    <n v="1175"/>
    <n v="1"/>
    <n v="1"/>
  </r>
  <r>
    <m/>
    <m/>
    <x v="1"/>
    <s v="24516542001001"/>
    <n v="-17.3"/>
    <n v="547"/>
    <n v="1"/>
    <n v="1"/>
  </r>
  <r>
    <m/>
    <m/>
    <x v="1"/>
    <s v="24516542001005"/>
    <n v="-26.59"/>
    <n v="841"/>
    <n v="1"/>
    <n v="1"/>
  </r>
  <r>
    <m/>
    <m/>
    <x v="1"/>
    <s v="24992881001001"/>
    <n v="-69.31"/>
    <n v="2192"/>
    <n v="1"/>
    <n v="1"/>
  </r>
  <r>
    <m/>
    <m/>
    <x v="1"/>
    <s v="25126731001002"/>
    <n v="-30.99"/>
    <n v="980"/>
    <n v="1"/>
    <n v="1"/>
  </r>
  <r>
    <m/>
    <m/>
    <x v="1"/>
    <s v="25133485004001"/>
    <n v="-40.54"/>
    <n v="1282"/>
    <n v="1"/>
    <n v="1"/>
  </r>
  <r>
    <m/>
    <m/>
    <x v="1"/>
    <s v="25184196001003"/>
    <n v="-24.6"/>
    <n v="778"/>
    <n v="1"/>
    <n v="1"/>
  </r>
  <r>
    <m/>
    <m/>
    <x v="1"/>
    <s v="25306802001003"/>
    <n v="-64.599999999999994"/>
    <n v="2043"/>
    <n v="1"/>
    <n v="1"/>
  </r>
  <r>
    <m/>
    <m/>
    <x v="1"/>
    <s v="25549425001001"/>
    <n v="-98.12"/>
    <n v="3103"/>
    <n v="1"/>
    <n v="1"/>
  </r>
  <r>
    <m/>
    <m/>
    <x v="1"/>
    <s v="25577769001001"/>
    <n v="-20.3"/>
    <n v="642"/>
    <n v="1"/>
    <n v="1"/>
  </r>
  <r>
    <m/>
    <m/>
    <x v="1"/>
    <s v="25747866004001"/>
    <n v="-4.96"/>
    <n v="157"/>
    <n v="1"/>
    <n v="1"/>
  </r>
  <r>
    <m/>
    <m/>
    <x v="1"/>
    <s v="25915661001001"/>
    <n v="-56.13"/>
    <n v="1775"/>
    <n v="1"/>
    <n v="1"/>
  </r>
  <r>
    <m/>
    <m/>
    <x v="1"/>
    <s v="26054021001002"/>
    <n v="-37.85"/>
    <n v="1197"/>
    <n v="1"/>
    <n v="1"/>
  </r>
  <r>
    <m/>
    <m/>
    <x v="1"/>
    <s v="26149591001001"/>
    <n v="-20.81"/>
    <n v="658"/>
    <n v="1"/>
    <n v="1"/>
  </r>
  <r>
    <m/>
    <m/>
    <x v="1"/>
    <s v="26264318007001"/>
    <n v="-56.06"/>
    <n v="1773"/>
    <n v="1"/>
    <n v="1"/>
  </r>
  <r>
    <m/>
    <m/>
    <x v="1"/>
    <s v="26369110002001"/>
    <n v="-73.709999999999994"/>
    <n v="2331"/>
    <n v="1"/>
    <n v="1"/>
  </r>
  <r>
    <m/>
    <m/>
    <x v="1"/>
    <s v="26471005001004"/>
    <n v="-14.17"/>
    <n v="448"/>
    <n v="1"/>
    <n v="1"/>
  </r>
  <r>
    <m/>
    <m/>
    <x v="1"/>
    <s v="26564429001001"/>
    <n v="-7.43"/>
    <n v="235"/>
    <n v="1"/>
    <n v="1"/>
  </r>
  <r>
    <m/>
    <m/>
    <x v="1"/>
    <s v="26703311001003"/>
    <n v="-12.93"/>
    <n v="409"/>
    <n v="1"/>
    <n v="1"/>
  </r>
  <r>
    <m/>
    <m/>
    <x v="1"/>
    <s v="26826704001001"/>
    <n v="-98.88"/>
    <n v="3127"/>
    <n v="1"/>
    <n v="1"/>
  </r>
  <r>
    <m/>
    <m/>
    <x v="1"/>
    <s v="26861749001001"/>
    <n v="-11.51"/>
    <n v="364"/>
    <n v="1"/>
    <n v="1"/>
  </r>
  <r>
    <m/>
    <m/>
    <x v="1"/>
    <s v="26869084007001"/>
    <n v="-41.83"/>
    <n v="1323"/>
    <n v="1"/>
    <n v="1"/>
  </r>
  <r>
    <m/>
    <m/>
    <x v="1"/>
    <s v="26894132001003"/>
    <n v="-175.87"/>
    <n v="5562"/>
    <n v="1"/>
    <n v="1"/>
  </r>
  <r>
    <m/>
    <m/>
    <x v="1"/>
    <s v="27035079002007"/>
    <n v="-15.9"/>
    <n v="503"/>
    <n v="1"/>
    <n v="1"/>
  </r>
  <r>
    <m/>
    <m/>
    <x v="1"/>
    <s v="27040721002001"/>
    <n v="-7.4"/>
    <n v="234"/>
    <n v="1"/>
    <n v="1"/>
  </r>
  <r>
    <m/>
    <m/>
    <x v="1"/>
    <s v="27057981001001"/>
    <n v="-26.4"/>
    <n v="835"/>
    <n v="1"/>
    <n v="1"/>
  </r>
  <r>
    <m/>
    <m/>
    <x v="1"/>
    <s v="27126363001003"/>
    <n v="-60.68"/>
    <n v="1919"/>
    <n v="1"/>
    <n v="1"/>
  </r>
  <r>
    <m/>
    <m/>
    <x v="1"/>
    <s v="27356342001008"/>
    <n v="-30.32"/>
    <n v="959"/>
    <n v="1"/>
    <n v="1"/>
  </r>
  <r>
    <m/>
    <m/>
    <x v="1"/>
    <s v="27386880001001"/>
    <n v="-39.75"/>
    <n v="1257"/>
    <n v="1"/>
    <n v="1"/>
  </r>
  <r>
    <m/>
    <m/>
    <x v="1"/>
    <s v="27457180001003"/>
    <n v="-101.53"/>
    <n v="3211"/>
    <n v="1"/>
    <n v="1"/>
  </r>
  <r>
    <m/>
    <m/>
    <x v="1"/>
    <s v="27757021006001"/>
    <n v="-90.34"/>
    <n v="2857"/>
    <n v="1"/>
    <n v="1"/>
  </r>
  <r>
    <m/>
    <m/>
    <x v="1"/>
    <s v="27853234002005"/>
    <n v="-59.45"/>
    <n v="1880"/>
    <n v="1"/>
    <n v="1"/>
  </r>
  <r>
    <m/>
    <m/>
    <x v="1"/>
    <s v="27899952001001"/>
    <n v="-33.36"/>
    <n v="1055"/>
    <n v="1"/>
    <n v="1"/>
  </r>
  <r>
    <m/>
    <m/>
    <x v="1"/>
    <s v="27949688001001"/>
    <n v="-32.22"/>
    <n v="1019"/>
    <n v="1"/>
    <n v="1"/>
  </r>
  <r>
    <m/>
    <m/>
    <x v="1"/>
    <s v="27961860001002"/>
    <n v="-45.75"/>
    <n v="1447"/>
    <n v="1"/>
    <n v="1"/>
  </r>
  <r>
    <m/>
    <m/>
    <x v="1"/>
    <s v="27980753001002"/>
    <n v="-46.07"/>
    <n v="1457"/>
    <n v="1"/>
    <n v="1"/>
  </r>
  <r>
    <m/>
    <m/>
    <x v="1"/>
    <s v="28034215002001"/>
    <n v="-46.01"/>
    <n v="1455"/>
    <n v="1"/>
    <n v="1"/>
  </r>
  <r>
    <m/>
    <m/>
    <x v="1"/>
    <s v="28152909003008"/>
    <n v="-46.61"/>
    <n v="1474"/>
    <n v="1"/>
    <n v="1"/>
  </r>
  <r>
    <m/>
    <m/>
    <x v="1"/>
    <s v="28227700001002"/>
    <n v="-47.24"/>
    <n v="1494"/>
    <n v="1"/>
    <n v="1"/>
  </r>
  <r>
    <m/>
    <m/>
    <x v="1"/>
    <s v="28430533001001"/>
    <n v="-35.1"/>
    <n v="1110"/>
    <n v="1"/>
    <n v="1"/>
  </r>
  <r>
    <m/>
    <m/>
    <x v="1"/>
    <s v="28452386002001"/>
    <n v="-42.34"/>
    <n v="1339"/>
    <n v="1"/>
    <n v="1"/>
  </r>
  <r>
    <m/>
    <m/>
    <x v="1"/>
    <s v="28704245001001"/>
    <n v="-62.2"/>
    <n v="1967"/>
    <n v="1"/>
    <n v="1"/>
  </r>
  <r>
    <m/>
    <m/>
    <x v="1"/>
    <s v="28767495001002"/>
    <n v="-37.28"/>
    <n v="1179"/>
    <n v="1"/>
    <n v="1"/>
  </r>
  <r>
    <m/>
    <m/>
    <x v="1"/>
    <s v="28950576001002"/>
    <n v="-23.78"/>
    <n v="752"/>
    <n v="1"/>
    <n v="1"/>
  </r>
  <r>
    <m/>
    <m/>
    <x v="1"/>
    <s v="28959951001001"/>
    <n v="-83.57"/>
    <n v="2643"/>
    <n v="1"/>
    <n v="1"/>
  </r>
  <r>
    <m/>
    <m/>
    <x v="1"/>
    <s v="29018049002001"/>
    <n v="-84.74"/>
    <n v="2680"/>
    <n v="1"/>
    <n v="1"/>
  </r>
  <r>
    <m/>
    <m/>
    <x v="1"/>
    <s v="29144133001001"/>
    <n v="-13.09"/>
    <n v="414"/>
    <n v="1"/>
    <n v="1"/>
  </r>
  <r>
    <m/>
    <m/>
    <x v="1"/>
    <s v="29219744003001"/>
    <n v="-29.28"/>
    <n v="926"/>
    <n v="1"/>
    <n v="1"/>
  </r>
  <r>
    <m/>
    <m/>
    <x v="1"/>
    <s v="29338916001003"/>
    <n v="-18.5"/>
    <n v="585"/>
    <n v="1"/>
    <n v="1"/>
  </r>
  <r>
    <m/>
    <m/>
    <x v="1"/>
    <s v="29374050001001"/>
    <n v="-24.41"/>
    <n v="772"/>
    <n v="1"/>
    <n v="1"/>
  </r>
  <r>
    <m/>
    <m/>
    <x v="1"/>
    <s v="29403974001002"/>
    <n v="-44.24"/>
    <n v="1399"/>
    <n v="1"/>
    <n v="1"/>
  </r>
  <r>
    <m/>
    <m/>
    <x v="1"/>
    <s v="29448259001002"/>
    <n v="-30.2"/>
    <n v="955"/>
    <n v="1"/>
    <n v="1"/>
  </r>
  <r>
    <m/>
    <m/>
    <x v="1"/>
    <s v="30127101002001"/>
    <n v="-16.54"/>
    <n v="523"/>
    <n v="1"/>
    <n v="1"/>
  </r>
  <r>
    <m/>
    <m/>
    <x v="1"/>
    <s v="30178239001001"/>
    <n v="-38.04"/>
    <n v="1203"/>
    <n v="1"/>
    <n v="1"/>
  </r>
  <r>
    <m/>
    <m/>
    <x v="1"/>
    <s v="30249803005001"/>
    <n v="-83.54"/>
    <n v="2642"/>
    <n v="1"/>
    <n v="1"/>
  </r>
  <r>
    <m/>
    <m/>
    <x v="1"/>
    <s v="30276690001001"/>
    <n v="-44.58"/>
    <n v="1410"/>
    <n v="1"/>
    <n v="1"/>
  </r>
  <r>
    <m/>
    <m/>
    <x v="1"/>
    <s v="30816545001001"/>
    <n v="-104.82"/>
    <n v="3315"/>
    <n v="1"/>
    <n v="1"/>
  </r>
  <r>
    <m/>
    <m/>
    <x v="1"/>
    <s v="30947723001004"/>
    <n v="-67.22"/>
    <n v="2126"/>
    <n v="1"/>
    <n v="1"/>
  </r>
  <r>
    <m/>
    <m/>
    <x v="1"/>
    <s v="31180821001001"/>
    <n v="-59.45"/>
    <n v="1880"/>
    <n v="1"/>
    <n v="1"/>
  </r>
  <r>
    <m/>
    <m/>
    <x v="1"/>
    <s v="31266211001004"/>
    <n v="-46.58"/>
    <n v="1473"/>
    <n v="1"/>
    <n v="1"/>
  </r>
  <r>
    <m/>
    <m/>
    <x v="1"/>
    <s v="31555689001001"/>
    <n v="-22.96"/>
    <n v="726"/>
    <n v="1"/>
    <n v="1"/>
  </r>
  <r>
    <m/>
    <m/>
    <x v="1"/>
    <s v="31702243001003"/>
    <n v="-19.89"/>
    <n v="629"/>
    <n v="1"/>
    <n v="1"/>
  </r>
  <r>
    <m/>
    <m/>
    <x v="1"/>
    <s v="32083453006001"/>
    <n v="-64.44"/>
    <n v="2038"/>
    <n v="1"/>
    <n v="1"/>
  </r>
  <r>
    <m/>
    <m/>
    <x v="1"/>
    <s v="32160303001001"/>
    <n v="-33.450000000000003"/>
    <n v="1058"/>
    <n v="1"/>
    <n v="1"/>
  </r>
  <r>
    <m/>
    <m/>
    <x v="1"/>
    <s v="32160594001003"/>
    <n v="-63.33"/>
    <n v="2003"/>
    <n v="1"/>
    <n v="1"/>
  </r>
  <r>
    <m/>
    <m/>
    <x v="1"/>
    <s v="32202242001001"/>
    <n v="-11.51"/>
    <n v="364"/>
    <n v="1"/>
    <n v="1"/>
  </r>
  <r>
    <m/>
    <m/>
    <x v="1"/>
    <s v="32321669001001"/>
    <n v="-54.8"/>
    <n v="1733"/>
    <n v="1"/>
    <n v="1"/>
  </r>
  <r>
    <m/>
    <m/>
    <x v="1"/>
    <s v="32579187001001"/>
    <n v="-34.880000000000003"/>
    <n v="1103"/>
    <n v="1"/>
    <n v="1"/>
  </r>
  <r>
    <m/>
    <m/>
    <x v="1"/>
    <s v="32759956001001"/>
    <n v="-40.090000000000003"/>
    <n v="1268"/>
    <n v="1"/>
    <n v="1"/>
  </r>
  <r>
    <m/>
    <m/>
    <x v="1"/>
    <s v="32822815001001"/>
    <n v="-63.18"/>
    <n v="1998"/>
    <n v="1"/>
    <n v="1"/>
  </r>
  <r>
    <m/>
    <m/>
    <x v="1"/>
    <s v="32893706001001"/>
    <n v="-2.34"/>
    <n v="74"/>
    <n v="1"/>
    <n v="1"/>
  </r>
  <r>
    <m/>
    <m/>
    <x v="1"/>
    <s v="32974621002003"/>
    <n v="-36.549999999999997"/>
    <n v="1156"/>
    <n v="1"/>
    <n v="1"/>
  </r>
  <r>
    <m/>
    <m/>
    <x v="1"/>
    <s v="32981616001003"/>
    <n v="-52.46"/>
    <n v="1659"/>
    <n v="1"/>
    <n v="1"/>
  </r>
  <r>
    <m/>
    <m/>
    <x v="1"/>
    <s v="33238044001001"/>
    <n v="-20.93"/>
    <n v="662"/>
    <n v="1"/>
    <n v="1"/>
  </r>
  <r>
    <m/>
    <m/>
    <x v="1"/>
    <s v="33406654004008"/>
    <n v="-49.39"/>
    <n v="1562"/>
    <n v="1"/>
    <n v="1"/>
  </r>
  <r>
    <m/>
    <m/>
    <x v="1"/>
    <s v="33550060001001"/>
    <n v="-36.619999999999997"/>
    <n v="1158"/>
    <n v="1"/>
    <n v="1"/>
  </r>
  <r>
    <m/>
    <m/>
    <x v="1"/>
    <s v="33579124001002"/>
    <n v="-39.340000000000003"/>
    <n v="1244"/>
    <n v="1"/>
    <n v="1"/>
  </r>
  <r>
    <m/>
    <m/>
    <x v="1"/>
    <s v="33599323001007"/>
    <n v="-44.11"/>
    <n v="1395"/>
    <n v="1"/>
    <n v="1"/>
  </r>
  <r>
    <m/>
    <m/>
    <x v="1"/>
    <s v="33687453001001"/>
    <n v="-73.42"/>
    <n v="2322"/>
    <n v="1"/>
    <n v="1"/>
  </r>
  <r>
    <m/>
    <m/>
    <x v="1"/>
    <s v="33816521003003"/>
    <n v="-32.700000000000003"/>
    <n v="1034"/>
    <n v="1"/>
    <n v="1"/>
  </r>
  <r>
    <m/>
    <m/>
    <x v="1"/>
    <s v="33829956002003"/>
    <n v="-45.85"/>
    <n v="1450"/>
    <n v="1"/>
    <n v="1"/>
  </r>
  <r>
    <m/>
    <m/>
    <x v="1"/>
    <s v="34066684001005"/>
    <n v="-18.97"/>
    <n v="600"/>
    <n v="1"/>
    <n v="1"/>
  </r>
  <r>
    <m/>
    <m/>
    <x v="1"/>
    <s v="34142772001003"/>
    <n v="-27.35"/>
    <n v="865"/>
    <n v="1"/>
    <n v="1"/>
  </r>
  <r>
    <m/>
    <m/>
    <x v="1"/>
    <s v="34329415001002"/>
    <n v="-11.13"/>
    <n v="352"/>
    <n v="1"/>
    <n v="1"/>
  </r>
  <r>
    <m/>
    <m/>
    <x v="1"/>
    <s v="34671364002001"/>
    <n v="-29.47"/>
    <n v="932"/>
    <n v="1"/>
    <n v="1"/>
  </r>
  <r>
    <m/>
    <m/>
    <x v="1"/>
    <s v="34795801001004"/>
    <n v="-3.92"/>
    <n v="124"/>
    <n v="1"/>
    <n v="1"/>
  </r>
  <r>
    <m/>
    <m/>
    <x v="1"/>
    <s v="34861184002001"/>
    <n v="-101.37"/>
    <n v="3206"/>
    <n v="1"/>
    <n v="1"/>
  </r>
  <r>
    <m/>
    <m/>
    <x v="1"/>
    <s v="34874155001002"/>
    <n v="-18.149999999999999"/>
    <n v="574"/>
    <n v="1"/>
    <n v="1"/>
  </r>
  <r>
    <m/>
    <m/>
    <x v="1"/>
    <s v="35145439002003"/>
    <n v="-44.49"/>
    <n v="1407"/>
    <n v="1"/>
    <n v="1"/>
  </r>
  <r>
    <m/>
    <m/>
    <x v="1"/>
    <s v="35571209001001"/>
    <n v="-50.12"/>
    <n v="1585"/>
    <n v="1"/>
    <n v="1"/>
  </r>
  <r>
    <m/>
    <m/>
    <x v="1"/>
    <s v="35755859001007"/>
    <n v="-1.58"/>
    <n v="50"/>
    <n v="1"/>
    <n v="1"/>
  </r>
  <r>
    <m/>
    <m/>
    <x v="1"/>
    <s v="35861191001002"/>
    <n v="-25.68"/>
    <n v="812"/>
    <n v="1"/>
    <n v="1"/>
  </r>
  <r>
    <m/>
    <m/>
    <x v="1"/>
    <s v="35934041001007"/>
    <n v="-16.350000000000001"/>
    <n v="517"/>
    <n v="1"/>
    <n v="1"/>
  </r>
  <r>
    <m/>
    <m/>
    <x v="1"/>
    <s v="35958850001005"/>
    <n v="-16.32"/>
    <n v="516"/>
    <n v="1"/>
    <n v="1"/>
  </r>
  <r>
    <m/>
    <m/>
    <x v="1"/>
    <s v="36008083001001"/>
    <n v="-37.31"/>
    <n v="1180"/>
    <n v="1"/>
    <n v="1"/>
  </r>
  <r>
    <m/>
    <m/>
    <x v="1"/>
    <s v="36061364001001"/>
    <n v="-108.27"/>
    <n v="3424"/>
    <n v="1"/>
    <n v="1"/>
  </r>
  <r>
    <m/>
    <m/>
    <x v="1"/>
    <s v="36178447001001"/>
    <n v="-40.76"/>
    <n v="1289"/>
    <n v="1"/>
    <n v="1"/>
  </r>
  <r>
    <m/>
    <m/>
    <x v="1"/>
    <s v="36181263001002"/>
    <n v="-64.849999999999994"/>
    <n v="2051"/>
    <n v="1"/>
    <n v="1"/>
  </r>
  <r>
    <m/>
    <m/>
    <x v="1"/>
    <s v="36405485001001"/>
    <n v="-36.520000000000003"/>
    <n v="1155"/>
    <n v="1"/>
    <n v="1"/>
  </r>
  <r>
    <m/>
    <m/>
    <x v="1"/>
    <s v="36557126001001"/>
    <n v="-12.68"/>
    <n v="401"/>
    <n v="1"/>
    <n v="1"/>
  </r>
  <r>
    <m/>
    <m/>
    <x v="1"/>
    <s v="36603976001003"/>
    <n v="-58.78"/>
    <n v="1859"/>
    <n v="1"/>
    <n v="1"/>
  </r>
  <r>
    <m/>
    <m/>
    <x v="1"/>
    <s v="36713764001003"/>
    <n v="-77.790000000000006"/>
    <n v="2460"/>
    <n v="1"/>
    <n v="1"/>
  </r>
  <r>
    <m/>
    <m/>
    <x v="1"/>
    <s v="36889550001002"/>
    <n v="-47.02"/>
    <n v="1487"/>
    <n v="1"/>
    <n v="1"/>
  </r>
  <r>
    <m/>
    <m/>
    <x v="1"/>
    <s v="37389778001008"/>
    <n v="-14.51"/>
    <n v="459"/>
    <n v="1"/>
    <n v="1"/>
  </r>
  <r>
    <m/>
    <m/>
    <x v="1"/>
    <s v="37518547001003"/>
    <n v="-71.150000000000006"/>
    <n v="2250"/>
    <n v="1"/>
    <n v="1"/>
  </r>
  <r>
    <m/>
    <m/>
    <x v="1"/>
    <s v="37546855001001"/>
    <n v="-38.770000000000003"/>
    <n v="1226"/>
    <n v="1"/>
    <n v="1"/>
  </r>
  <r>
    <m/>
    <m/>
    <x v="1"/>
    <s v="37562851001001"/>
    <n v="-44.05"/>
    <n v="1393"/>
    <n v="1"/>
    <n v="1"/>
  </r>
  <r>
    <m/>
    <m/>
    <x v="1"/>
    <s v="37597820001001"/>
    <n v="-59.6"/>
    <n v="1885"/>
    <n v="1"/>
    <n v="1"/>
  </r>
  <r>
    <m/>
    <m/>
    <x v="1"/>
    <s v="37612199001007"/>
    <n v="-8.09"/>
    <n v="256"/>
    <n v="1"/>
    <n v="1"/>
  </r>
  <r>
    <m/>
    <m/>
    <x v="1"/>
    <s v="38003358004003"/>
    <n v="-41.33"/>
    <n v="1307"/>
    <n v="1"/>
    <n v="1"/>
  </r>
  <r>
    <m/>
    <m/>
    <x v="1"/>
    <s v="38052228001001"/>
    <n v="-122.24"/>
    <n v="3866"/>
    <n v="1"/>
    <n v="1"/>
  </r>
  <r>
    <m/>
    <m/>
    <x v="1"/>
    <s v="38245625004006"/>
    <n v="-49.71"/>
    <n v="1572"/>
    <n v="1"/>
    <n v="1"/>
  </r>
  <r>
    <m/>
    <m/>
    <x v="1"/>
    <s v="38301543001001"/>
    <n v="-57.01"/>
    <n v="1803"/>
    <n v="1"/>
    <n v="1"/>
  </r>
  <r>
    <m/>
    <m/>
    <x v="1"/>
    <s v="38911036001003"/>
    <n v="-31.62"/>
    <n v="1000"/>
    <n v="1"/>
    <n v="1"/>
  </r>
  <r>
    <m/>
    <m/>
    <x v="1"/>
    <s v="39250671001002"/>
    <n v="-68.739999999999995"/>
    <n v="2174"/>
    <n v="1"/>
    <n v="1"/>
  </r>
  <r>
    <m/>
    <m/>
    <x v="1"/>
    <s v="39314816001003"/>
    <n v="-69.56"/>
    <n v="2200"/>
    <n v="2"/>
    <n v="1"/>
  </r>
  <r>
    <m/>
    <m/>
    <x v="1"/>
    <s v="39322194001002"/>
    <n v="-48.88"/>
    <n v="1546"/>
    <n v="1"/>
    <n v="1"/>
  </r>
  <r>
    <m/>
    <m/>
    <x v="1"/>
    <s v="39404404001003"/>
    <n v="-63.75"/>
    <n v="2016"/>
    <n v="1"/>
    <n v="1"/>
  </r>
  <r>
    <m/>
    <m/>
    <x v="1"/>
    <s v="39515066004001"/>
    <n v="-7.21"/>
    <n v="228"/>
    <n v="1"/>
    <n v="1"/>
  </r>
  <r>
    <m/>
    <m/>
    <x v="1"/>
    <s v="39597196001001"/>
    <n v="-57.9"/>
    <n v="1831"/>
    <n v="1"/>
    <n v="1"/>
  </r>
  <r>
    <m/>
    <m/>
    <x v="1"/>
    <s v="40054017001004"/>
    <n v="-54.2"/>
    <n v="1714"/>
    <n v="1"/>
    <n v="1"/>
  </r>
  <r>
    <m/>
    <m/>
    <x v="1"/>
    <s v="40288069002001"/>
    <n v="-107.35"/>
    <n v="3395"/>
    <n v="1"/>
    <n v="1"/>
  </r>
  <r>
    <m/>
    <m/>
    <x v="1"/>
    <s v="40302520001002"/>
    <n v="-16.89"/>
    <n v="534"/>
    <n v="1"/>
    <n v="1"/>
  </r>
  <r>
    <m/>
    <m/>
    <x v="1"/>
    <s v="40601469001003"/>
    <n v="-141.47"/>
    <n v="4474"/>
    <n v="2"/>
    <n v="1"/>
  </r>
  <r>
    <m/>
    <m/>
    <x v="1"/>
    <s v="40647134001006"/>
    <n v="-45.06"/>
    <n v="1425"/>
    <n v="1"/>
    <n v="1"/>
  </r>
  <r>
    <m/>
    <m/>
    <x v="1"/>
    <s v="40694900001003"/>
    <n v="-11.89"/>
    <n v="376"/>
    <n v="1"/>
    <n v="1"/>
  </r>
  <r>
    <m/>
    <m/>
    <x v="1"/>
    <s v="40832381001001"/>
    <n v="-32.409999999999997"/>
    <n v="1025"/>
    <n v="1"/>
    <n v="1"/>
  </r>
  <r>
    <m/>
    <m/>
    <x v="1"/>
    <s v="40913214001003"/>
    <n v="-4.0199999999999996"/>
    <n v="127"/>
    <n v="1"/>
    <n v="1"/>
  </r>
  <r>
    <m/>
    <m/>
    <x v="1"/>
    <s v="40940003001003"/>
    <n v="-73.260000000000005"/>
    <n v="2317"/>
    <n v="1"/>
    <n v="1"/>
  </r>
  <r>
    <m/>
    <m/>
    <x v="1"/>
    <s v="41068244002001"/>
    <n v="-70.8"/>
    <n v="2239"/>
    <n v="1"/>
    <n v="1"/>
  </r>
  <r>
    <m/>
    <m/>
    <x v="1"/>
    <s v="41179210003001"/>
    <n v="-34.53"/>
    <n v="1092"/>
    <n v="1"/>
    <n v="1"/>
  </r>
  <r>
    <m/>
    <m/>
    <x v="1"/>
    <s v="41202707001001"/>
    <n v="-21.75"/>
    <n v="688"/>
    <n v="1"/>
    <n v="1"/>
  </r>
  <r>
    <m/>
    <m/>
    <x v="1"/>
    <s v="41212065001001"/>
    <n v="-69.22"/>
    <n v="2189"/>
    <n v="1"/>
    <n v="1"/>
  </r>
  <r>
    <m/>
    <m/>
    <x v="1"/>
    <s v="41335063001001"/>
    <n v="-125.31"/>
    <n v="3963"/>
    <n v="1"/>
    <n v="1"/>
  </r>
  <r>
    <m/>
    <m/>
    <x v="1"/>
    <s v="41401860001002"/>
    <n v="-37.880000000000003"/>
    <n v="1198"/>
    <n v="1"/>
    <n v="1"/>
  </r>
  <r>
    <m/>
    <m/>
    <x v="1"/>
    <s v="41547810001001"/>
    <n v="-36.14"/>
    <n v="1143"/>
    <n v="1"/>
    <n v="1"/>
  </r>
  <r>
    <m/>
    <m/>
    <x v="1"/>
    <s v="42073484003001"/>
    <n v="-58.94"/>
    <n v="1864"/>
    <n v="1"/>
    <n v="1"/>
  </r>
  <r>
    <m/>
    <m/>
    <x v="1"/>
    <s v="42122067001003"/>
    <n v="-77.53"/>
    <n v="2452"/>
    <n v="1"/>
    <n v="1"/>
  </r>
  <r>
    <m/>
    <m/>
    <x v="1"/>
    <s v="42453517001001"/>
    <n v="-43.35"/>
    <n v="1371"/>
    <n v="1"/>
    <n v="1"/>
  </r>
  <r>
    <m/>
    <m/>
    <x v="1"/>
    <s v="42468571002003"/>
    <n v="-38.04"/>
    <n v="1203"/>
    <n v="1"/>
    <n v="1"/>
  </r>
  <r>
    <m/>
    <m/>
    <x v="1"/>
    <s v="42502321001005"/>
    <n v="-11.51"/>
    <n v="364"/>
    <n v="1"/>
    <n v="1"/>
  </r>
  <r>
    <m/>
    <m/>
    <x v="1"/>
    <s v="42503511001002"/>
    <n v="-36.200000000000003"/>
    <n v="1145"/>
    <n v="1"/>
    <n v="1"/>
  </r>
  <r>
    <m/>
    <m/>
    <x v="1"/>
    <s v="42503651001002"/>
    <n v="-29.75"/>
    <n v="941"/>
    <n v="1"/>
    <n v="1"/>
  </r>
  <r>
    <m/>
    <m/>
    <x v="1"/>
    <s v="42503721001001"/>
    <n v="-20.81"/>
    <n v="658"/>
    <n v="1"/>
    <n v="1"/>
  </r>
  <r>
    <m/>
    <m/>
    <x v="1"/>
    <s v="42514151001004"/>
    <n v="-4.62"/>
    <n v="146"/>
    <n v="1"/>
    <n v="1"/>
  </r>
  <r>
    <m/>
    <m/>
    <x v="1"/>
    <s v="42514221001001"/>
    <n v="-3.35"/>
    <n v="106"/>
    <n v="1"/>
    <n v="1"/>
  </r>
  <r>
    <m/>
    <m/>
    <x v="1"/>
    <s v="42523746002001"/>
    <n v="-65.58"/>
    <n v="2074"/>
    <n v="1"/>
    <n v="1"/>
  </r>
  <r>
    <m/>
    <m/>
    <x v="1"/>
    <s v="42523951001001"/>
    <n v="-15.9"/>
    <n v="503"/>
    <n v="1"/>
    <n v="1"/>
  </r>
  <r>
    <m/>
    <m/>
    <x v="1"/>
    <s v="42524441001002"/>
    <n v="-66.180000000000007"/>
    <n v="2093"/>
    <n v="1"/>
    <n v="1"/>
  </r>
  <r>
    <m/>
    <m/>
    <x v="1"/>
    <s v="42539421001001"/>
    <n v="-25.55"/>
    <n v="808"/>
    <n v="1"/>
    <n v="1"/>
  </r>
  <r>
    <m/>
    <m/>
    <x v="1"/>
    <s v="42543901001001"/>
    <n v="-54.51"/>
    <n v="1724"/>
    <n v="1"/>
    <n v="1"/>
  </r>
  <r>
    <m/>
    <m/>
    <x v="1"/>
    <s v="42559441005001"/>
    <n v="-61.56"/>
    <n v="1947"/>
    <n v="1"/>
    <n v="1"/>
  </r>
  <r>
    <m/>
    <m/>
    <x v="1"/>
    <s v="42569591004003"/>
    <n v="-10.69"/>
    <n v="338"/>
    <n v="1"/>
    <n v="1"/>
  </r>
  <r>
    <m/>
    <m/>
    <x v="1"/>
    <s v="42580441001002"/>
    <n v="-45.03"/>
    <n v="1424"/>
    <n v="1"/>
    <n v="1"/>
  </r>
  <r>
    <m/>
    <m/>
    <x v="1"/>
    <s v="42585551001002"/>
    <n v="-24.54"/>
    <n v="776"/>
    <n v="1"/>
    <n v="1"/>
  </r>
  <r>
    <m/>
    <m/>
    <x v="1"/>
    <s v="42591011001001"/>
    <n v="-41.26"/>
    <n v="1305"/>
    <n v="1"/>
    <n v="1"/>
  </r>
  <r>
    <m/>
    <m/>
    <x v="1"/>
    <s v="42599481001004"/>
    <n v="-7.68"/>
    <n v="243"/>
    <n v="1"/>
    <n v="1"/>
  </r>
  <r>
    <m/>
    <m/>
    <x v="1"/>
    <s v="42632941001002"/>
    <n v="-24.98"/>
    <n v="790"/>
    <n v="1"/>
    <n v="1"/>
  </r>
  <r>
    <m/>
    <m/>
    <x v="1"/>
    <s v="42637141001007"/>
    <n v="-37.75"/>
    <n v="1194"/>
    <n v="1"/>
    <n v="1"/>
  </r>
  <r>
    <m/>
    <m/>
    <x v="1"/>
    <s v="42640641001001"/>
    <n v="-56.63"/>
    <n v="1791"/>
    <n v="1"/>
    <n v="1"/>
  </r>
  <r>
    <m/>
    <m/>
    <x v="1"/>
    <s v="42653101001002"/>
    <n v="-15.72"/>
    <n v="497"/>
    <n v="1"/>
    <n v="1"/>
  </r>
  <r>
    <m/>
    <m/>
    <x v="1"/>
    <s v="42653661001001"/>
    <n v="-21.19"/>
    <n v="670"/>
    <n v="1"/>
    <n v="1"/>
  </r>
  <r>
    <m/>
    <m/>
    <x v="1"/>
    <s v="42658141001005"/>
    <n v="-27.86"/>
    <n v="881"/>
    <n v="1"/>
    <n v="1"/>
  </r>
  <r>
    <m/>
    <m/>
    <x v="1"/>
    <s v="42671651001003"/>
    <n v="-19.670000000000002"/>
    <n v="622"/>
    <n v="1"/>
    <n v="1"/>
  </r>
  <r>
    <m/>
    <m/>
    <x v="1"/>
    <s v="42677111001001"/>
    <n v="-13.15"/>
    <n v="416"/>
    <n v="1"/>
    <n v="1"/>
  </r>
  <r>
    <m/>
    <m/>
    <x v="1"/>
    <s v="42740811001004"/>
    <n v="-36.049999999999997"/>
    <n v="1140"/>
    <n v="1"/>
    <n v="1"/>
  </r>
  <r>
    <m/>
    <m/>
    <x v="1"/>
    <s v="42811861001001"/>
    <n v="-72.22"/>
    <n v="2284"/>
    <n v="1"/>
    <n v="1"/>
  </r>
  <r>
    <m/>
    <m/>
    <x v="1"/>
    <s v="42837831001001"/>
    <n v="-6.64"/>
    <n v="210"/>
    <n v="1"/>
    <n v="1"/>
  </r>
  <r>
    <m/>
    <m/>
    <x v="1"/>
    <s v="42858901001003"/>
    <n v="-6.67"/>
    <n v="211"/>
    <n v="1"/>
    <n v="1"/>
  </r>
  <r>
    <m/>
    <m/>
    <x v="1"/>
    <s v="42888441001001"/>
    <n v="-3.83"/>
    <n v="121"/>
    <n v="1"/>
    <n v="1"/>
  </r>
  <r>
    <m/>
    <m/>
    <x v="1"/>
    <s v="42896771001009"/>
    <n v="-72.06"/>
    <n v="2279"/>
    <n v="1"/>
    <n v="1"/>
  </r>
  <r>
    <m/>
    <m/>
    <x v="1"/>
    <s v="43016751001009"/>
    <n v="-22.67"/>
    <n v="717"/>
    <n v="1"/>
    <n v="1"/>
  </r>
  <r>
    <m/>
    <m/>
    <x v="1"/>
    <s v="43023751003001"/>
    <n v="-46.01"/>
    <n v="1455"/>
    <n v="1"/>
    <n v="1"/>
  </r>
  <r>
    <m/>
    <m/>
    <x v="1"/>
    <s v="43029771001001"/>
    <n v="-20.02"/>
    <n v="633"/>
    <n v="1"/>
    <n v="1"/>
  </r>
  <r>
    <m/>
    <m/>
    <x v="1"/>
    <s v="43037331002001"/>
    <n v="-43.79"/>
    <n v="1385"/>
    <n v="1"/>
    <n v="1"/>
  </r>
  <r>
    <m/>
    <m/>
    <x v="1"/>
    <s v="43067921001001"/>
    <n v="-42.5"/>
    <n v="1344"/>
    <n v="1"/>
    <n v="1"/>
  </r>
  <r>
    <m/>
    <m/>
    <x v="1"/>
    <s v="43081641001002"/>
    <n v="-15.78"/>
    <n v="499"/>
    <n v="1"/>
    <n v="1"/>
  </r>
  <r>
    <m/>
    <m/>
    <x v="1"/>
    <s v="43103551001002"/>
    <n v="-15.81"/>
    <n v="500"/>
    <n v="1"/>
    <n v="1"/>
  </r>
  <r>
    <m/>
    <m/>
    <x v="1"/>
    <s v="43113424001001"/>
    <n v="-70.39"/>
    <n v="2226"/>
    <n v="1"/>
    <n v="1"/>
  </r>
  <r>
    <m/>
    <m/>
    <x v="1"/>
    <s v="43201271002001"/>
    <n v="-32.19"/>
    <n v="1018"/>
    <n v="1"/>
    <n v="1"/>
  </r>
  <r>
    <m/>
    <m/>
    <x v="1"/>
    <s v="43210791001004"/>
    <n v="-4.9000000000000004"/>
    <n v="155"/>
    <n v="1"/>
    <n v="1"/>
  </r>
  <r>
    <m/>
    <m/>
    <x v="1"/>
    <s v="43225001001001"/>
    <n v="-46.07"/>
    <n v="1457"/>
    <n v="1"/>
    <n v="1"/>
  </r>
  <r>
    <m/>
    <m/>
    <x v="1"/>
    <s v="43243411001002"/>
    <n v="-44.87"/>
    <n v="1419"/>
    <n v="1"/>
    <n v="1"/>
  </r>
  <r>
    <m/>
    <m/>
    <x v="1"/>
    <s v="43262451002003"/>
    <n v="-39.619999999999997"/>
    <n v="1253"/>
    <n v="1"/>
    <n v="1"/>
  </r>
  <r>
    <m/>
    <m/>
    <x v="1"/>
    <s v="43282051003001"/>
    <n v="-13.98"/>
    <n v="442"/>
    <n v="1"/>
    <n v="1"/>
  </r>
  <r>
    <m/>
    <m/>
    <x v="1"/>
    <s v="43285971001002"/>
    <n v="-28.71"/>
    <n v="908"/>
    <n v="1"/>
    <n v="1"/>
  </r>
  <r>
    <m/>
    <m/>
    <x v="1"/>
    <s v="43301912001003"/>
    <n v="-3"/>
    <n v="95"/>
    <n v="1"/>
    <n v="1"/>
  </r>
  <r>
    <m/>
    <m/>
    <x v="1"/>
    <s v="43311661005001"/>
    <n v="-0.06"/>
    <n v="2"/>
    <n v="1"/>
    <n v="1"/>
  </r>
  <r>
    <m/>
    <m/>
    <x v="1"/>
    <s v="43324121001006"/>
    <n v="-37.79"/>
    <n v="1195"/>
    <n v="1"/>
    <n v="1"/>
  </r>
  <r>
    <m/>
    <m/>
    <x v="1"/>
    <s v="43325521001002"/>
    <n v="-24.73"/>
    <n v="782"/>
    <n v="1"/>
    <n v="1"/>
  </r>
  <r>
    <m/>
    <m/>
    <x v="1"/>
    <s v="43330105002001"/>
    <n v="-145.16999999999999"/>
    <n v="4591"/>
    <n v="1"/>
    <n v="1"/>
  </r>
  <r>
    <m/>
    <m/>
    <x v="1"/>
    <s v="43347711001001"/>
    <n v="-57.14"/>
    <n v="1807"/>
    <n v="1"/>
    <n v="1"/>
  </r>
  <r>
    <m/>
    <m/>
    <x v="1"/>
    <s v="43386911002002"/>
    <n v="-59.16"/>
    <n v="1871"/>
    <n v="1"/>
    <n v="1"/>
  </r>
  <r>
    <m/>
    <m/>
    <x v="1"/>
    <s v="43452641001001"/>
    <n v="-4.33"/>
    <n v="137"/>
    <n v="1"/>
    <n v="1"/>
  </r>
  <r>
    <m/>
    <m/>
    <x v="1"/>
    <s v="43678461001003"/>
    <n v="-12.4"/>
    <n v="392"/>
    <n v="1"/>
    <n v="1"/>
  </r>
  <r>
    <m/>
    <m/>
    <x v="1"/>
    <s v="43681541002006"/>
    <n v="-7.27"/>
    <n v="230"/>
    <n v="1"/>
    <n v="1"/>
  </r>
  <r>
    <m/>
    <m/>
    <x v="1"/>
    <s v="43685671001004"/>
    <n v="-4.8099999999999996"/>
    <n v="152"/>
    <n v="1"/>
    <n v="1"/>
  </r>
  <r>
    <m/>
    <m/>
    <x v="1"/>
    <s v="43686651002002"/>
    <n v="-52.27"/>
    <n v="1653"/>
    <n v="1"/>
    <n v="1"/>
  </r>
  <r>
    <m/>
    <m/>
    <x v="1"/>
    <s v="43688479001001"/>
    <n v="-30.2"/>
    <n v="955"/>
    <n v="1"/>
    <n v="1"/>
  </r>
  <r>
    <m/>
    <m/>
    <x v="1"/>
    <s v="43721161001001"/>
    <n v="-41.77"/>
    <n v="1321"/>
    <n v="1"/>
    <n v="1"/>
  </r>
  <r>
    <m/>
    <m/>
    <x v="1"/>
    <s v="43736211001004"/>
    <n v="-32.659999999999997"/>
    <n v="1033"/>
    <n v="1"/>
    <n v="1"/>
  </r>
  <r>
    <m/>
    <m/>
    <x v="1"/>
    <s v="43761831008001"/>
    <n v="-127.27"/>
    <n v="4025"/>
    <n v="1"/>
    <n v="1"/>
  </r>
  <r>
    <m/>
    <m/>
    <x v="1"/>
    <s v="43769391008003"/>
    <n v="-13.09"/>
    <n v="414"/>
    <n v="1"/>
    <n v="1"/>
  </r>
  <r>
    <m/>
    <m/>
    <x v="1"/>
    <s v="43801381001001"/>
    <n v="-71.459999999999994"/>
    <n v="2260"/>
    <n v="1"/>
    <n v="1"/>
  </r>
  <r>
    <m/>
    <m/>
    <x v="1"/>
    <s v="43829235001002"/>
    <n v="-47.59"/>
    <n v="1505"/>
    <n v="1"/>
    <n v="1"/>
  </r>
  <r>
    <m/>
    <m/>
    <x v="1"/>
    <s v="44017401001003"/>
    <n v="-39.43"/>
    <n v="1247"/>
    <n v="1"/>
    <n v="1"/>
  </r>
  <r>
    <m/>
    <m/>
    <x v="1"/>
    <s v="44035671002001"/>
    <n v="-24.95"/>
    <n v="789"/>
    <n v="1"/>
    <n v="1"/>
  </r>
  <r>
    <m/>
    <m/>
    <x v="1"/>
    <s v="44070041001001"/>
    <n v="-115.63"/>
    <n v="3657"/>
    <n v="1"/>
    <n v="1"/>
  </r>
  <r>
    <m/>
    <m/>
    <x v="1"/>
    <s v="44090394001001"/>
    <n v="-10.81"/>
    <n v="342"/>
    <n v="1"/>
    <n v="1"/>
  </r>
  <r>
    <m/>
    <m/>
    <x v="1"/>
    <s v="44095871001001"/>
    <n v="-140.19999999999999"/>
    <n v="4434"/>
    <n v="1"/>
    <n v="1"/>
  </r>
  <r>
    <m/>
    <m/>
    <x v="1"/>
    <s v="44172520001001"/>
    <n v="-76.55"/>
    <n v="2421"/>
    <n v="1"/>
    <n v="1"/>
  </r>
  <r>
    <m/>
    <m/>
    <x v="1"/>
    <s v="44198701001002"/>
    <n v="-79.400000000000006"/>
    <n v="2511"/>
    <n v="1"/>
    <n v="1"/>
  </r>
  <r>
    <m/>
    <m/>
    <x v="1"/>
    <s v="44200871001010"/>
    <n v="-25.9"/>
    <n v="819"/>
    <n v="1"/>
    <n v="1"/>
  </r>
  <r>
    <m/>
    <m/>
    <x v="1"/>
    <s v="44217531004001"/>
    <n v="-85.15"/>
    <n v="2693"/>
    <n v="1"/>
    <n v="1"/>
  </r>
  <r>
    <m/>
    <m/>
    <x v="1"/>
    <s v="44235381001002"/>
    <n v="-59.1"/>
    <n v="1869"/>
    <n v="1"/>
    <n v="1"/>
  </r>
  <r>
    <m/>
    <m/>
    <x v="1"/>
    <s v="44237551001002"/>
    <n v="-54.51"/>
    <n v="1724"/>
    <n v="1"/>
    <n v="1"/>
  </r>
  <r>
    <m/>
    <m/>
    <x v="1"/>
    <s v="44271641001001"/>
    <n v="-8.98"/>
    <n v="284"/>
    <n v="1"/>
    <n v="1"/>
  </r>
  <r>
    <m/>
    <m/>
    <x v="1"/>
    <s v="44286551002002"/>
    <n v="-60.08"/>
    <n v="1900"/>
    <n v="1"/>
    <n v="1"/>
  </r>
  <r>
    <m/>
    <m/>
    <x v="1"/>
    <s v="44296841001008"/>
    <n v="-22.55"/>
    <n v="713"/>
    <n v="1"/>
    <n v="1"/>
  </r>
  <r>
    <m/>
    <m/>
    <x v="1"/>
    <s v="44319801001012"/>
    <n v="-20.079999999999998"/>
    <n v="635"/>
    <n v="1"/>
    <n v="1"/>
  </r>
  <r>
    <m/>
    <m/>
    <x v="1"/>
    <s v="44340381001001"/>
    <n v="-80.31"/>
    <n v="2540"/>
    <n v="1"/>
    <n v="1"/>
  </r>
  <r>
    <m/>
    <m/>
    <x v="1"/>
    <s v="44373071001002"/>
    <n v="-18.09"/>
    <n v="572"/>
    <n v="1"/>
    <n v="1"/>
  </r>
  <r>
    <m/>
    <m/>
    <x v="1"/>
    <s v="44378741001003"/>
    <n v="-78.2"/>
    <n v="2473"/>
    <n v="1"/>
    <n v="1"/>
  </r>
  <r>
    <m/>
    <m/>
    <x v="1"/>
    <s v="44390781002001"/>
    <n v="-22.23"/>
    <n v="703"/>
    <n v="1"/>
    <n v="1"/>
  </r>
  <r>
    <m/>
    <m/>
    <x v="1"/>
    <s v="44406461002001"/>
    <n v="-58.94"/>
    <n v="1864"/>
    <n v="1"/>
    <n v="1"/>
  </r>
  <r>
    <m/>
    <m/>
    <x v="1"/>
    <s v="44422491002001"/>
    <n v="-19.79"/>
    <n v="626"/>
    <n v="1"/>
    <n v="1"/>
  </r>
  <r>
    <m/>
    <m/>
    <x v="1"/>
    <s v="44424451001001"/>
    <n v="-4.24"/>
    <n v="134"/>
    <n v="1"/>
    <n v="1"/>
  </r>
  <r>
    <m/>
    <m/>
    <x v="1"/>
    <s v="44424535001002"/>
    <n v="-58.56"/>
    <n v="1852"/>
    <n v="1"/>
    <n v="1"/>
  </r>
  <r>
    <m/>
    <m/>
    <x v="1"/>
    <s v="44433901001002"/>
    <n v="-82.56"/>
    <n v="2611"/>
    <n v="1"/>
    <n v="1"/>
  </r>
  <r>
    <m/>
    <m/>
    <x v="1"/>
    <s v="44442320001001"/>
    <n v="-15.94"/>
    <n v="504"/>
    <n v="1"/>
    <n v="1"/>
  </r>
  <r>
    <m/>
    <m/>
    <x v="1"/>
    <s v="44447481001001"/>
    <n v="-20.65"/>
    <n v="653"/>
    <n v="1"/>
    <n v="1"/>
  </r>
  <r>
    <m/>
    <m/>
    <x v="1"/>
    <s v="44449581001001"/>
    <n v="-77.66"/>
    <n v="2456"/>
    <n v="1"/>
    <n v="1"/>
  </r>
  <r>
    <m/>
    <m/>
    <x v="1"/>
    <s v="44470529001002"/>
    <n v="-58.75"/>
    <n v="1858"/>
    <n v="1"/>
    <n v="1"/>
  </r>
  <r>
    <m/>
    <m/>
    <x v="1"/>
    <s v="44484511001002"/>
    <n v="-34.53"/>
    <n v="1092"/>
    <n v="1"/>
    <n v="1"/>
  </r>
  <r>
    <m/>
    <m/>
    <x v="1"/>
    <s v="44494451001004"/>
    <n v="-68.959999999999994"/>
    <n v="2181"/>
    <n v="1"/>
    <n v="1"/>
  </r>
  <r>
    <m/>
    <m/>
    <x v="1"/>
    <s v="44502641001003"/>
    <n v="-97.9"/>
    <n v="3096"/>
    <n v="1"/>
    <n v="1"/>
  </r>
  <r>
    <m/>
    <m/>
    <x v="1"/>
    <s v="44508871003001"/>
    <n v="-36.49"/>
    <n v="1154"/>
    <n v="1"/>
    <n v="1"/>
  </r>
  <r>
    <m/>
    <m/>
    <x v="1"/>
    <s v="44510901001001"/>
    <n v="-71.33"/>
    <n v="2256"/>
    <n v="1"/>
    <n v="1"/>
  </r>
  <r>
    <m/>
    <m/>
    <x v="1"/>
    <s v="44522731001001"/>
    <n v="-11.76"/>
    <n v="372"/>
    <n v="1"/>
    <n v="1"/>
  </r>
  <r>
    <m/>
    <m/>
    <x v="1"/>
    <s v="44524131001001"/>
    <n v="-0.54"/>
    <n v="17"/>
    <n v="1"/>
    <n v="1"/>
  </r>
  <r>
    <m/>
    <m/>
    <x v="1"/>
    <s v="44528121001001"/>
    <n v="-38.229999999999997"/>
    <n v="1209"/>
    <n v="1"/>
    <n v="1"/>
  </r>
  <r>
    <m/>
    <m/>
    <x v="1"/>
    <s v="44536101001001"/>
    <n v="-59.95"/>
    <n v="1896"/>
    <n v="1"/>
    <n v="1"/>
  </r>
  <r>
    <m/>
    <m/>
    <x v="1"/>
    <s v="44545061002001"/>
    <n v="-40.880000000000003"/>
    <n v="1293"/>
    <n v="1"/>
    <n v="1"/>
  </r>
  <r>
    <m/>
    <m/>
    <x v="1"/>
    <s v="44562981001002"/>
    <n v="-48.19"/>
    <n v="1524"/>
    <n v="1"/>
    <n v="1"/>
  </r>
  <r>
    <m/>
    <m/>
    <x v="1"/>
    <s v="44572361001002"/>
    <n v="-67.73"/>
    <n v="2142"/>
    <n v="1"/>
    <n v="1"/>
  </r>
  <r>
    <m/>
    <m/>
    <x v="1"/>
    <s v="44603651002001"/>
    <n v="-70.16"/>
    <n v="2219"/>
    <n v="1"/>
    <n v="1"/>
  </r>
  <r>
    <m/>
    <m/>
    <x v="1"/>
    <s v="44608551005001"/>
    <n v="-53.91"/>
    <n v="1705"/>
    <n v="1"/>
    <n v="1"/>
  </r>
  <r>
    <m/>
    <m/>
    <x v="1"/>
    <s v="44617161001001"/>
    <n v="-48"/>
    <n v="1518"/>
    <n v="1"/>
    <n v="1"/>
  </r>
  <r>
    <m/>
    <m/>
    <x v="1"/>
    <s v="44617721001003"/>
    <n v="-35.159999999999997"/>
    <n v="1112"/>
    <n v="1"/>
    <n v="1"/>
  </r>
  <r>
    <m/>
    <m/>
    <x v="1"/>
    <s v="44627031001005"/>
    <n v="-147"/>
    <n v="4649"/>
    <n v="1"/>
    <n v="1"/>
  </r>
  <r>
    <m/>
    <m/>
    <x v="1"/>
    <s v="44628151002001"/>
    <n v="-30.92"/>
    <n v="978"/>
    <n v="1"/>
    <n v="1"/>
  </r>
  <r>
    <m/>
    <m/>
    <x v="1"/>
    <s v="44654191001001"/>
    <n v="-28.55"/>
    <n v="903"/>
    <n v="1"/>
    <n v="1"/>
  </r>
  <r>
    <m/>
    <m/>
    <x v="1"/>
    <s v="44688771001005"/>
    <n v="-100.52"/>
    <n v="3179"/>
    <n v="1"/>
    <n v="1"/>
  </r>
  <r>
    <m/>
    <m/>
    <x v="1"/>
    <s v="44698571001002"/>
    <n v="-26.75"/>
    <n v="846"/>
    <n v="1"/>
    <n v="1"/>
  </r>
  <r>
    <m/>
    <m/>
    <x v="1"/>
    <s v="44702792001002"/>
    <n v="-3.79"/>
    <n v="120"/>
    <n v="1"/>
    <n v="1"/>
  </r>
  <r>
    <m/>
    <m/>
    <x v="1"/>
    <s v="44734901002001"/>
    <n v="-44.96"/>
    <n v="1422"/>
    <n v="1"/>
    <n v="1"/>
  </r>
  <r>
    <m/>
    <m/>
    <x v="1"/>
    <s v="44770041002001"/>
    <n v="-57.83"/>
    <n v="1829"/>
    <n v="1"/>
    <n v="1"/>
  </r>
  <r>
    <m/>
    <m/>
    <x v="1"/>
    <s v="44774521001002"/>
    <n v="-55.18"/>
    <n v="1745"/>
    <n v="1"/>
    <n v="1"/>
  </r>
  <r>
    <m/>
    <m/>
    <x v="1"/>
    <s v="44789781001001"/>
    <n v="-111.14"/>
    <n v="3515"/>
    <n v="1"/>
    <n v="1"/>
  </r>
  <r>
    <m/>
    <m/>
    <x v="1"/>
    <s v="44804971001001"/>
    <n v="-19.32"/>
    <n v="611"/>
    <n v="1"/>
    <n v="1"/>
  </r>
  <r>
    <m/>
    <m/>
    <x v="1"/>
    <s v="44828911003009"/>
    <n v="-13.31"/>
    <n v="421"/>
    <n v="1"/>
    <n v="1"/>
  </r>
  <r>
    <m/>
    <m/>
    <x v="1"/>
    <s v="44839691002002"/>
    <n v="-11.41"/>
    <n v="361"/>
    <n v="1"/>
    <n v="1"/>
  </r>
  <r>
    <m/>
    <m/>
    <x v="1"/>
    <s v="44843401002001"/>
    <n v="-37.909999999999997"/>
    <n v="1199"/>
    <n v="1"/>
    <n v="1"/>
  </r>
  <r>
    <m/>
    <m/>
    <x v="1"/>
    <s v="44859151002001"/>
    <n v="-75.599999999999994"/>
    <n v="2391"/>
    <n v="1"/>
    <n v="1"/>
  </r>
  <r>
    <m/>
    <m/>
    <x v="1"/>
    <s v="44875461001001"/>
    <n v="-37.03"/>
    <n v="1171"/>
    <n v="1"/>
    <n v="1"/>
  </r>
  <r>
    <m/>
    <m/>
    <x v="1"/>
    <s v="44881201001001"/>
    <n v="-52.01"/>
    <n v="1645"/>
    <n v="1"/>
    <n v="1"/>
  </r>
  <r>
    <m/>
    <m/>
    <x v="1"/>
    <s v="44881621001001"/>
    <n v="-74.400000000000006"/>
    <n v="2353"/>
    <n v="1"/>
    <n v="1"/>
  </r>
  <r>
    <m/>
    <m/>
    <x v="1"/>
    <s v="44883581001001"/>
    <n v="-69.66"/>
    <n v="2203"/>
    <n v="1"/>
    <n v="1"/>
  </r>
  <r>
    <m/>
    <m/>
    <x v="1"/>
    <s v="44896251001001"/>
    <n v="-56.35"/>
    <n v="1782"/>
    <n v="1"/>
    <n v="1"/>
  </r>
  <r>
    <m/>
    <m/>
    <x v="1"/>
    <s v="44898351001001"/>
    <n v="-100.08"/>
    <n v="3165"/>
    <n v="1"/>
    <n v="1"/>
  </r>
  <r>
    <m/>
    <m/>
    <x v="1"/>
    <s v="44901221001004"/>
    <n v="-89.58"/>
    <n v="2833"/>
    <n v="1"/>
    <n v="1"/>
  </r>
  <r>
    <m/>
    <m/>
    <x v="1"/>
    <s v="44906681002005"/>
    <n v="-36.71"/>
    <n v="1161"/>
    <n v="1"/>
    <n v="1"/>
  </r>
  <r>
    <m/>
    <m/>
    <x v="1"/>
    <s v="44951971004001"/>
    <n v="-55.84"/>
    <n v="1766"/>
    <n v="1"/>
    <n v="1"/>
  </r>
  <r>
    <m/>
    <m/>
    <x v="1"/>
    <s v="44959251002002"/>
    <n v="-64.13"/>
    <n v="2028"/>
    <n v="1"/>
    <n v="1"/>
  </r>
  <r>
    <m/>
    <m/>
    <x v="1"/>
    <s v="44976331003004"/>
    <n v="-12.96"/>
    <n v="410"/>
    <n v="1"/>
    <n v="1"/>
  </r>
  <r>
    <m/>
    <m/>
    <x v="1"/>
    <s v="44983051001001"/>
    <n v="-51.92"/>
    <n v="1642"/>
    <n v="1"/>
    <n v="1"/>
  </r>
  <r>
    <m/>
    <m/>
    <x v="1"/>
    <s v="44995807001001"/>
    <n v="-7.68"/>
    <n v="243"/>
    <n v="1"/>
    <n v="1"/>
  </r>
  <r>
    <m/>
    <m/>
    <x v="1"/>
    <s v="45023091001001"/>
    <n v="-16.73"/>
    <n v="529"/>
    <n v="1"/>
    <n v="1"/>
  </r>
  <r>
    <m/>
    <m/>
    <x v="1"/>
    <s v="45028551001002"/>
    <n v="-55.94"/>
    <n v="1769"/>
    <n v="1"/>
    <n v="1"/>
  </r>
  <r>
    <m/>
    <m/>
    <x v="1"/>
    <s v="45041431001002"/>
    <n v="-65.069999999999993"/>
    <n v="2058"/>
    <n v="1"/>
    <n v="1"/>
  </r>
  <r>
    <m/>
    <m/>
    <x v="1"/>
    <s v="45042831005001"/>
    <n v="-102.64"/>
    <n v="3246"/>
    <n v="1"/>
    <n v="1"/>
  </r>
  <r>
    <m/>
    <m/>
    <x v="1"/>
    <s v="45045001001003"/>
    <n v="-0.92"/>
    <n v="29"/>
    <n v="1"/>
    <n v="1"/>
  </r>
  <r>
    <m/>
    <m/>
    <x v="1"/>
    <s v="45046471001001"/>
    <n v="-2.12"/>
    <n v="67"/>
    <n v="1"/>
    <n v="1"/>
  </r>
  <r>
    <m/>
    <m/>
    <x v="1"/>
    <s v="45047171001001"/>
    <n v="-0.66"/>
    <n v="21"/>
    <n v="1"/>
    <n v="1"/>
  </r>
  <r>
    <m/>
    <m/>
    <x v="1"/>
    <s v="45047591003001"/>
    <n v="-39.08"/>
    <n v="1236"/>
    <n v="1"/>
    <n v="1"/>
  </r>
  <r>
    <m/>
    <m/>
    <x v="1"/>
    <s v="45048221001001"/>
    <n v="-33.299999999999997"/>
    <n v="1053"/>
    <n v="1"/>
    <n v="1"/>
  </r>
  <r>
    <m/>
    <m/>
    <x v="1"/>
    <s v="45055431001001"/>
    <n v="-59.67"/>
    <n v="1887"/>
    <n v="1"/>
    <n v="1"/>
  </r>
  <r>
    <m/>
    <m/>
    <x v="1"/>
    <s v="45057251001005"/>
    <n v="-142.22999999999999"/>
    <n v="4498"/>
    <n v="1"/>
    <n v="1"/>
  </r>
  <r>
    <m/>
    <m/>
    <x v="1"/>
    <s v="45061381001003"/>
    <n v="-64.16"/>
    <n v="2029"/>
    <n v="1"/>
    <n v="1"/>
  </r>
  <r>
    <m/>
    <m/>
    <x v="1"/>
    <s v="45064531001001"/>
    <n v="-33.799999999999997"/>
    <n v="1069"/>
    <n v="1"/>
    <n v="1"/>
  </r>
  <r>
    <m/>
    <m/>
    <x v="1"/>
    <s v="45064881001001"/>
    <n v="-122.24"/>
    <n v="3866"/>
    <n v="1"/>
    <n v="1"/>
  </r>
  <r>
    <m/>
    <m/>
    <x v="1"/>
    <s v="45068661003001"/>
    <n v="-54.23"/>
    <n v="1715"/>
    <n v="1"/>
    <n v="1"/>
  </r>
  <r>
    <m/>
    <m/>
    <x v="1"/>
    <s v="45073281001004"/>
    <n v="-59.98"/>
    <n v="1897"/>
    <n v="1"/>
    <n v="1"/>
  </r>
  <r>
    <m/>
    <m/>
    <x v="1"/>
    <s v="45077271001001"/>
    <n v="-6.01"/>
    <n v="190"/>
    <n v="1"/>
    <n v="1"/>
  </r>
  <r>
    <m/>
    <m/>
    <x v="1"/>
    <s v="45099461003003"/>
    <n v="-51.29"/>
    <n v="1622"/>
    <n v="1"/>
    <n v="1"/>
  </r>
  <r>
    <m/>
    <m/>
    <x v="1"/>
    <s v="45110171002003"/>
    <n v="-56.73"/>
    <n v="1794"/>
    <n v="1"/>
    <n v="1"/>
  </r>
  <r>
    <m/>
    <m/>
    <x v="1"/>
    <s v="45124731002005"/>
    <n v="-57.01"/>
    <n v="1803"/>
    <n v="1"/>
    <n v="1"/>
  </r>
  <r>
    <m/>
    <m/>
    <x v="1"/>
    <s v="45127601001001"/>
    <n v="-41.99"/>
    <n v="1328"/>
    <n v="1"/>
    <n v="1"/>
  </r>
  <r>
    <m/>
    <m/>
    <x v="1"/>
    <s v="45128441001005"/>
    <n v="-48.09"/>
    <n v="1521"/>
    <n v="1"/>
    <n v="1"/>
  </r>
  <r>
    <m/>
    <m/>
    <x v="1"/>
    <s v="45128931001001"/>
    <n v="-30.1"/>
    <n v="952"/>
    <n v="1"/>
    <n v="1"/>
  </r>
  <r>
    <m/>
    <m/>
    <x v="1"/>
    <s v="45135453001001"/>
    <n v="-11.73"/>
    <n v="371"/>
    <n v="1"/>
    <n v="1"/>
  </r>
  <r>
    <m/>
    <m/>
    <x v="1"/>
    <s v="45143631001001"/>
    <n v="-12.65"/>
    <n v="400"/>
    <n v="1"/>
    <n v="1"/>
  </r>
  <r>
    <m/>
    <m/>
    <x v="1"/>
    <s v="45160921001001"/>
    <n v="-41.96"/>
    <n v="1327"/>
    <n v="1"/>
    <n v="1"/>
  </r>
  <r>
    <m/>
    <m/>
    <x v="1"/>
    <s v="45162811004003"/>
    <n v="-46.07"/>
    <n v="1457"/>
    <n v="1"/>
    <n v="1"/>
  </r>
  <r>
    <m/>
    <m/>
    <x v="1"/>
    <s v="45168131001003"/>
    <n v="-33.49"/>
    <n v="1059"/>
    <n v="1"/>
    <n v="1"/>
  </r>
  <r>
    <m/>
    <m/>
    <x v="1"/>
    <s v="45171701001001"/>
    <n v="-46.51"/>
    <n v="1471"/>
    <n v="1"/>
    <n v="1"/>
  </r>
  <r>
    <m/>
    <m/>
    <x v="1"/>
    <s v="45177021001002"/>
    <n v="-22.45"/>
    <n v="710"/>
    <n v="1"/>
    <n v="1"/>
  </r>
  <r>
    <m/>
    <m/>
    <x v="1"/>
    <s v="45187451001001"/>
    <n v="-16.95"/>
    <n v="536"/>
    <n v="1"/>
    <n v="1"/>
  </r>
  <r>
    <m/>
    <m/>
    <x v="1"/>
    <s v="45188221002002"/>
    <n v="-50.94"/>
    <n v="1611"/>
    <n v="1"/>
    <n v="1"/>
  </r>
  <r>
    <m/>
    <m/>
    <x v="1"/>
    <s v="45191721001004"/>
    <n v="-28.43"/>
    <n v="899"/>
    <n v="1"/>
    <n v="1"/>
  </r>
  <r>
    <m/>
    <m/>
    <x v="1"/>
    <s v="45192001001001"/>
    <n v="-48.92"/>
    <n v="1547"/>
    <n v="1"/>
    <n v="1"/>
  </r>
  <r>
    <m/>
    <m/>
    <x v="1"/>
    <s v="45195991002001"/>
    <n v="-84.14"/>
    <n v="2661"/>
    <n v="1"/>
    <n v="1"/>
  </r>
  <r>
    <m/>
    <m/>
    <x v="1"/>
    <s v="45197951006001"/>
    <n v="-17.170000000000002"/>
    <n v="543"/>
    <n v="1"/>
    <n v="1"/>
  </r>
  <r>
    <m/>
    <m/>
    <x v="1"/>
    <s v="45206841001001"/>
    <n v="-54.07"/>
    <n v="1710"/>
    <n v="1"/>
    <n v="1"/>
  </r>
  <r>
    <m/>
    <m/>
    <x v="1"/>
    <s v="45222165001003"/>
    <n v="-6.29"/>
    <n v="199"/>
    <n v="1"/>
    <n v="1"/>
  </r>
  <r>
    <m/>
    <m/>
    <x v="1"/>
    <s v="45233441001001"/>
    <n v="-59.07"/>
    <n v="1868"/>
    <n v="1"/>
    <n v="1"/>
  </r>
  <r>
    <m/>
    <m/>
    <x v="1"/>
    <s v="45259201001001"/>
    <n v="-53.44"/>
    <n v="1690"/>
    <n v="1"/>
    <n v="1"/>
  </r>
  <r>
    <m/>
    <m/>
    <x v="1"/>
    <s v="45324791001001"/>
    <n v="-112.66"/>
    <n v="3563"/>
    <n v="1"/>
    <n v="1"/>
  </r>
  <r>
    <m/>
    <m/>
    <x v="1"/>
    <s v="45327451001001"/>
    <n v="-42.02"/>
    <n v="1329"/>
    <n v="1"/>
    <n v="1"/>
  </r>
  <r>
    <m/>
    <m/>
    <x v="1"/>
    <s v="45329411001001"/>
    <n v="-4.8099999999999996"/>
    <n v="152"/>
    <n v="1"/>
    <n v="1"/>
  </r>
  <r>
    <m/>
    <m/>
    <x v="1"/>
    <s v="45350901001001"/>
    <n v="-2.66"/>
    <n v="84"/>
    <n v="1"/>
    <n v="1"/>
  </r>
  <r>
    <m/>
    <m/>
    <x v="1"/>
    <s v="45372181002001"/>
    <n v="-64.569999999999993"/>
    <n v="2042"/>
    <n v="1"/>
    <n v="1"/>
  </r>
  <r>
    <m/>
    <m/>
    <x v="1"/>
    <s v="45382261001001"/>
    <n v="-68.77"/>
    <n v="2175"/>
    <n v="1"/>
    <n v="1"/>
  </r>
  <r>
    <m/>
    <m/>
    <x v="1"/>
    <s v="45395421001001"/>
    <n v="-24.76"/>
    <n v="783"/>
    <n v="1"/>
    <n v="1"/>
  </r>
  <r>
    <m/>
    <m/>
    <x v="1"/>
    <s v="45418801001001"/>
    <n v="-13.41"/>
    <n v="424"/>
    <n v="1"/>
    <n v="1"/>
  </r>
  <r>
    <m/>
    <m/>
    <x v="1"/>
    <s v="45435041001004"/>
    <n v="-134.83000000000001"/>
    <n v="4264"/>
    <n v="1"/>
    <n v="1"/>
  </r>
  <r>
    <m/>
    <m/>
    <x v="1"/>
    <s v="45446941001001"/>
    <n v="-86.8"/>
    <n v="2745"/>
    <n v="1"/>
    <n v="1"/>
  </r>
  <r>
    <m/>
    <m/>
    <x v="1"/>
    <s v="45451701001002"/>
    <n v="-117.41"/>
    <n v="3713"/>
    <n v="1"/>
    <n v="1"/>
  </r>
  <r>
    <m/>
    <m/>
    <x v="1"/>
    <s v="45466051001001"/>
    <n v="-39.020000000000003"/>
    <n v="1234"/>
    <n v="1"/>
    <n v="1"/>
  </r>
  <r>
    <m/>
    <m/>
    <x v="1"/>
    <s v="45473261001002"/>
    <n v="-30.83"/>
    <n v="975"/>
    <n v="1"/>
    <n v="1"/>
  </r>
  <r>
    <m/>
    <m/>
    <x v="1"/>
    <s v="45485021002002"/>
    <n v="-57.52"/>
    <n v="1819"/>
    <n v="1"/>
    <n v="1"/>
  </r>
  <r>
    <m/>
    <m/>
    <x v="1"/>
    <s v="45497761001001"/>
    <n v="-26.75"/>
    <n v="846"/>
    <n v="1"/>
    <n v="1"/>
  </r>
  <r>
    <m/>
    <m/>
    <x v="1"/>
    <s v="45503921006001"/>
    <n v="-42.02"/>
    <n v="1329"/>
    <n v="1"/>
    <n v="1"/>
  </r>
  <r>
    <m/>
    <m/>
    <x v="1"/>
    <s v="45512671001001"/>
    <n v="-85.6"/>
    <n v="2707"/>
    <n v="1"/>
    <n v="1"/>
  </r>
  <r>
    <m/>
    <m/>
    <x v="1"/>
    <s v="45513791001001"/>
    <n v="-47.11"/>
    <n v="1490"/>
    <n v="1"/>
    <n v="1"/>
  </r>
  <r>
    <m/>
    <m/>
    <x v="1"/>
    <s v="45516579001001"/>
    <n v="-80.38"/>
    <n v="2542"/>
    <n v="1"/>
    <n v="1"/>
  </r>
  <r>
    <m/>
    <m/>
    <x v="1"/>
    <s v="45518691001001"/>
    <n v="-43.92"/>
    <n v="1389"/>
    <n v="1"/>
    <n v="1"/>
  </r>
  <r>
    <m/>
    <m/>
    <x v="1"/>
    <s v="45528421001002"/>
    <n v="-51.19"/>
    <n v="1619"/>
    <n v="1"/>
    <n v="1"/>
  </r>
  <r>
    <m/>
    <m/>
    <x v="1"/>
    <s v="45532411001003"/>
    <n v="-14.77"/>
    <n v="467"/>
    <n v="1"/>
    <n v="1"/>
  </r>
  <r>
    <m/>
    <m/>
    <x v="1"/>
    <s v="45554531001005"/>
    <n v="-51.45"/>
    <n v="1627"/>
    <n v="1"/>
    <n v="1"/>
  </r>
  <r>
    <m/>
    <m/>
    <x v="1"/>
    <s v="45609201003001"/>
    <n v="-16.760000000000002"/>
    <n v="530"/>
    <n v="1"/>
    <n v="1"/>
  </r>
  <r>
    <m/>
    <m/>
    <x v="1"/>
    <s v="45629221001003"/>
    <n v="-72.349999999999994"/>
    <n v="2288"/>
    <n v="1"/>
    <n v="1"/>
  </r>
  <r>
    <m/>
    <m/>
    <x v="1"/>
    <s v="45644831001001"/>
    <n v="-43.19"/>
    <n v="1366"/>
    <n v="1"/>
    <n v="1"/>
  </r>
  <r>
    <m/>
    <m/>
    <x v="1"/>
    <s v="45645881001002"/>
    <n v="-124.49"/>
    <n v="3937"/>
    <n v="1"/>
    <n v="1"/>
  </r>
  <r>
    <m/>
    <m/>
    <x v="1"/>
    <s v="45665201001006"/>
    <n v="-24.09"/>
    <n v="762"/>
    <n v="1"/>
    <n v="1"/>
  </r>
  <r>
    <m/>
    <m/>
    <x v="1"/>
    <s v="45725261001001"/>
    <n v="-103.37"/>
    <n v="3269"/>
    <n v="1"/>
    <n v="1"/>
  </r>
  <r>
    <m/>
    <m/>
    <x v="1"/>
    <s v="45742621001001"/>
    <n v="-75.38"/>
    <n v="2384"/>
    <n v="1"/>
    <n v="1"/>
  </r>
  <r>
    <m/>
    <m/>
    <x v="1"/>
    <s v="45751371001001"/>
    <n v="-30.26"/>
    <n v="957"/>
    <n v="1"/>
    <n v="1"/>
  </r>
  <r>
    <m/>
    <m/>
    <x v="1"/>
    <s v="45755851001001"/>
    <n v="-58.59"/>
    <n v="1853"/>
    <n v="1"/>
    <n v="1"/>
  </r>
  <r>
    <m/>
    <m/>
    <x v="1"/>
    <s v="45768031001001"/>
    <n v="-42.94"/>
    <n v="1358"/>
    <n v="1"/>
    <n v="1"/>
  </r>
  <r>
    <m/>
    <m/>
    <x v="1"/>
    <s v="45785601001001"/>
    <n v="-28.65"/>
    <n v="906"/>
    <n v="1"/>
    <n v="1"/>
  </r>
  <r>
    <m/>
    <m/>
    <x v="1"/>
    <s v="45787701001001"/>
    <n v="-31.46"/>
    <n v="995"/>
    <n v="1"/>
    <n v="1"/>
  </r>
  <r>
    <m/>
    <m/>
    <x v="1"/>
    <s v="45846991001001"/>
    <n v="-36.68"/>
    <n v="1160"/>
    <n v="1"/>
    <n v="1"/>
  </r>
  <r>
    <m/>
    <m/>
    <x v="1"/>
    <s v="45851261001001"/>
    <n v="-51.41"/>
    <n v="1626"/>
    <n v="1"/>
    <n v="1"/>
  </r>
  <r>
    <m/>
    <m/>
    <x v="1"/>
    <s v="45884231001001"/>
    <n v="-76.459999999999994"/>
    <n v="2418"/>
    <n v="1"/>
    <n v="1"/>
  </r>
  <r>
    <m/>
    <m/>
    <x v="1"/>
    <s v="45896761002001"/>
    <n v="-30.67"/>
    <n v="970"/>
    <n v="1"/>
    <n v="1"/>
  </r>
  <r>
    <m/>
    <m/>
    <x v="1"/>
    <s v="45918951003002"/>
    <n v="-29.72"/>
    <n v="940"/>
    <n v="1"/>
    <n v="1"/>
  </r>
  <r>
    <m/>
    <m/>
    <x v="1"/>
    <s v="45930081004001"/>
    <n v="-21.6"/>
    <n v="683"/>
    <n v="1"/>
    <n v="1"/>
  </r>
  <r>
    <m/>
    <m/>
    <x v="1"/>
    <s v="45934561001007"/>
    <n v="-36.549999999999997"/>
    <n v="1156"/>
    <n v="1"/>
    <n v="1"/>
  </r>
  <r>
    <m/>
    <m/>
    <x v="1"/>
    <s v="45939881001006"/>
    <n v="-31.18"/>
    <n v="986"/>
    <n v="1"/>
    <n v="1"/>
  </r>
  <r>
    <m/>
    <m/>
    <x v="1"/>
    <s v="46014571002003"/>
    <n v="-53.75"/>
    <n v="1700"/>
    <n v="1"/>
    <n v="1"/>
  </r>
  <r>
    <m/>
    <m/>
    <x v="1"/>
    <s v="46042851003005"/>
    <n v="-46.61"/>
    <n v="1474"/>
    <n v="1"/>
    <n v="1"/>
  </r>
  <r>
    <m/>
    <m/>
    <x v="1"/>
    <s v="46098781002001"/>
    <n v="-53.12"/>
    <n v="1680"/>
    <n v="1"/>
    <n v="1"/>
  </r>
  <r>
    <m/>
    <m/>
    <x v="1"/>
    <s v="46115161001001"/>
    <n v="-26.97"/>
    <n v="853"/>
    <n v="1"/>
    <n v="1"/>
  </r>
  <r>
    <m/>
    <m/>
    <x v="1"/>
    <s v="46120971001001"/>
    <n v="-3.54"/>
    <n v="112"/>
    <n v="1"/>
    <n v="1"/>
  </r>
  <r>
    <m/>
    <m/>
    <x v="1"/>
    <s v="46135041001002"/>
    <n v="-75.069999999999993"/>
    <n v="2374"/>
    <n v="1"/>
    <n v="1"/>
  </r>
  <r>
    <m/>
    <m/>
    <x v="1"/>
    <s v="46146381001003"/>
    <n v="-64.28"/>
    <n v="2033"/>
    <n v="1"/>
    <n v="1"/>
  </r>
  <r>
    <m/>
    <m/>
    <x v="1"/>
    <s v="46149601001005"/>
    <n v="-61.18"/>
    <n v="1935"/>
    <n v="1"/>
    <n v="1"/>
  </r>
  <r>
    <m/>
    <m/>
    <x v="1"/>
    <s v="46155016001001"/>
    <n v="-27.83"/>
    <n v="880"/>
    <n v="1"/>
    <n v="1"/>
  </r>
  <r>
    <m/>
    <m/>
    <x v="1"/>
    <s v="46164021008001"/>
    <n v="-27.29"/>
    <n v="863"/>
    <n v="1"/>
    <n v="1"/>
  </r>
  <r>
    <m/>
    <m/>
    <x v="1"/>
    <s v="46178853001001"/>
    <n v="-0.82"/>
    <n v="26"/>
    <n v="1"/>
    <n v="1"/>
  </r>
  <r>
    <m/>
    <m/>
    <x v="1"/>
    <s v="46205811013001"/>
    <n v="-178.43"/>
    <n v="5643"/>
    <n v="1"/>
    <n v="1"/>
  </r>
  <r>
    <m/>
    <m/>
    <x v="1"/>
    <s v="46246971001001"/>
    <n v="-176.79"/>
    <n v="5591"/>
    <n v="1"/>
    <n v="1"/>
  </r>
  <r>
    <m/>
    <m/>
    <x v="1"/>
    <s v="46253481001006"/>
    <n v="-8.2200000000000006"/>
    <n v="260"/>
    <n v="1"/>
    <n v="1"/>
  </r>
  <r>
    <m/>
    <m/>
    <x v="1"/>
    <s v="46289951001001"/>
    <n v="-62.32"/>
    <n v="1971"/>
    <n v="1"/>
    <n v="1"/>
  </r>
  <r>
    <m/>
    <m/>
    <x v="1"/>
    <s v="46322361003003"/>
    <n v="-85.25"/>
    <n v="2696"/>
    <n v="1"/>
    <n v="1"/>
  </r>
  <r>
    <m/>
    <m/>
    <x v="1"/>
    <s v="46336781001001"/>
    <n v="-41.26"/>
    <n v="1305"/>
    <n v="1"/>
    <n v="1"/>
  </r>
  <r>
    <m/>
    <m/>
    <x v="1"/>
    <s v="46337411001001"/>
    <n v="-0.47"/>
    <n v="15"/>
    <n v="1"/>
    <n v="1"/>
  </r>
  <r>
    <m/>
    <m/>
    <x v="1"/>
    <s v="46341891001007"/>
    <n v="-49.61"/>
    <n v="1569"/>
    <n v="1"/>
    <n v="1"/>
  </r>
  <r>
    <m/>
    <m/>
    <x v="1"/>
    <s v="46350221006001"/>
    <n v="-9.7100000000000009"/>
    <n v="307"/>
    <n v="1"/>
    <n v="1"/>
  </r>
  <r>
    <m/>
    <m/>
    <x v="1"/>
    <s v="46367511001007"/>
    <n v="-5.0599999999999996"/>
    <n v="160"/>
    <n v="1"/>
    <n v="1"/>
  </r>
  <r>
    <m/>
    <m/>
    <x v="1"/>
    <s v="46370031001001"/>
    <n v="-46.86"/>
    <n v="1482"/>
    <n v="1"/>
    <n v="1"/>
  </r>
  <r>
    <m/>
    <m/>
    <x v="1"/>
    <s v="46419871005006"/>
    <n v="-17.55"/>
    <n v="555"/>
    <n v="1"/>
    <n v="1"/>
  </r>
  <r>
    <m/>
    <m/>
    <x v="1"/>
    <s v="46461591002001"/>
    <n v="-36.270000000000003"/>
    <n v="1147"/>
    <n v="1"/>
    <n v="1"/>
  </r>
  <r>
    <m/>
    <m/>
    <x v="1"/>
    <s v="46474191001003"/>
    <n v="-1.87"/>
    <n v="59"/>
    <n v="1"/>
    <n v="1"/>
  </r>
  <r>
    <m/>
    <m/>
    <x v="1"/>
    <s v="46475241001003"/>
    <n v="-53.15"/>
    <n v="1681"/>
    <n v="1"/>
    <n v="1"/>
  </r>
  <r>
    <m/>
    <m/>
    <x v="1"/>
    <s v="46482661001005"/>
    <n v="-101.63"/>
    <n v="3214"/>
    <n v="1"/>
    <n v="1"/>
  </r>
  <r>
    <m/>
    <m/>
    <x v="1"/>
    <s v="46504501001001"/>
    <n v="-38.26"/>
    <n v="1210"/>
    <n v="1"/>
    <n v="1"/>
  </r>
  <r>
    <m/>
    <m/>
    <x v="1"/>
    <s v="46578701001001"/>
    <n v="-29.82"/>
    <n v="943"/>
    <n v="1"/>
    <n v="1"/>
  </r>
  <r>
    <m/>
    <m/>
    <x v="1"/>
    <s v="46581641003003"/>
    <n v="-34.369999999999997"/>
    <n v="1087"/>
    <n v="1"/>
    <n v="1"/>
  </r>
  <r>
    <m/>
    <m/>
    <x v="1"/>
    <s v="46596411002002"/>
    <n v="-0.76"/>
    <n v="24"/>
    <n v="1"/>
    <n v="1"/>
  </r>
  <r>
    <m/>
    <m/>
    <x v="1"/>
    <s v="46605651001001"/>
    <n v="-39.08"/>
    <n v="1236"/>
    <n v="1"/>
    <n v="1"/>
  </r>
  <r>
    <m/>
    <m/>
    <x v="1"/>
    <s v="46684121001001"/>
    <n v="-56.09"/>
    <n v="1774"/>
    <n v="1"/>
    <n v="1"/>
  </r>
  <r>
    <m/>
    <m/>
    <x v="1"/>
    <s v="46763571002001"/>
    <n v="-12.9"/>
    <n v="408"/>
    <n v="1"/>
    <n v="1"/>
  </r>
  <r>
    <m/>
    <m/>
    <x v="1"/>
    <s v="46768751006006"/>
    <n v="-53.18"/>
    <n v="1682"/>
    <n v="1"/>
    <n v="1"/>
  </r>
  <r>
    <m/>
    <m/>
    <x v="1"/>
    <s v="46786380002003"/>
    <n v="-76.52"/>
    <n v="2420"/>
    <n v="1"/>
    <n v="1"/>
  </r>
  <r>
    <m/>
    <m/>
    <x v="1"/>
    <s v="46829091001001"/>
    <n v="-27.73"/>
    <n v="877"/>
    <n v="1"/>
    <n v="1"/>
  </r>
  <r>
    <m/>
    <m/>
    <x v="1"/>
    <s v="46831051002001"/>
    <n v="-39.65"/>
    <n v="1254"/>
    <n v="1"/>
    <n v="1"/>
  </r>
  <r>
    <m/>
    <m/>
    <x v="1"/>
    <s v="46834201001001"/>
    <n v="-70.64"/>
    <n v="2234"/>
    <n v="1"/>
    <n v="1"/>
  </r>
  <r>
    <m/>
    <m/>
    <x v="1"/>
    <s v="46844491002002"/>
    <n v="-103.59"/>
    <n v="3276"/>
    <n v="1"/>
    <n v="1"/>
  </r>
  <r>
    <m/>
    <m/>
    <x v="1"/>
    <s v="46847221001002"/>
    <n v="-15.02"/>
    <n v="475"/>
    <n v="1"/>
    <n v="1"/>
  </r>
  <r>
    <m/>
    <m/>
    <x v="1"/>
    <s v="46848691001001"/>
    <n v="-75.099999999999994"/>
    <n v="2375"/>
    <n v="1"/>
    <n v="1"/>
  </r>
  <r>
    <m/>
    <m/>
    <x v="1"/>
    <s v="46866681001004"/>
    <n v="-124.39"/>
    <n v="3934"/>
    <n v="1"/>
    <n v="1"/>
  </r>
  <r>
    <m/>
    <m/>
    <x v="1"/>
    <s v="46948371001001"/>
    <n v="-26.21"/>
    <n v="829"/>
    <n v="1"/>
    <n v="1"/>
  </r>
  <r>
    <m/>
    <m/>
    <x v="1"/>
    <s v="46950121002001"/>
    <n v="-25.49"/>
    <n v="806"/>
    <n v="1"/>
    <n v="1"/>
  </r>
  <r>
    <m/>
    <m/>
    <x v="1"/>
    <s v="46950191001002"/>
    <n v="-2.85"/>
    <n v="90"/>
    <n v="1"/>
    <n v="1"/>
  </r>
  <r>
    <m/>
    <m/>
    <x v="1"/>
    <s v="46962301001002"/>
    <n v="-14.89"/>
    <n v="471"/>
    <n v="1"/>
    <n v="1"/>
  </r>
  <r>
    <m/>
    <m/>
    <x v="1"/>
    <s v="46966151001003"/>
    <n v="-38.99"/>
    <n v="1233"/>
    <n v="1"/>
    <n v="1"/>
  </r>
  <r>
    <m/>
    <m/>
    <x v="1"/>
    <s v="47113431001001"/>
    <n v="-4.6500000000000004"/>
    <n v="147"/>
    <n v="1"/>
    <n v="1"/>
  </r>
  <r>
    <m/>
    <m/>
    <x v="1"/>
    <s v="47140101001006"/>
    <n v="-50.37"/>
    <n v="1593"/>
    <n v="1"/>
    <n v="1"/>
  </r>
  <r>
    <m/>
    <m/>
    <x v="1"/>
    <s v="47142481001004"/>
    <n v="-44.33"/>
    <n v="1402"/>
    <n v="1"/>
    <n v="1"/>
  </r>
  <r>
    <m/>
    <m/>
    <x v="1"/>
    <s v="47161241001003"/>
    <n v="-43.26"/>
    <n v="1368"/>
    <n v="1"/>
    <n v="1"/>
  </r>
  <r>
    <m/>
    <m/>
    <x v="1"/>
    <s v="47179931001006"/>
    <n v="-65.83"/>
    <n v="2082"/>
    <n v="1"/>
    <n v="1"/>
  </r>
  <r>
    <m/>
    <m/>
    <x v="1"/>
    <s v="47192251001001"/>
    <n v="-6.86"/>
    <n v="217"/>
    <n v="1"/>
    <n v="1"/>
  </r>
  <r>
    <m/>
    <m/>
    <x v="1"/>
    <s v="47194351001001"/>
    <n v="-27.79"/>
    <n v="879"/>
    <n v="1"/>
    <n v="1"/>
  </r>
  <r>
    <m/>
    <m/>
    <x v="1"/>
    <s v="47230121003006"/>
    <n v="-14.83"/>
    <n v="469"/>
    <n v="1"/>
    <n v="1"/>
  </r>
  <r>
    <m/>
    <m/>
    <x v="1"/>
    <s v="47231801001002"/>
    <n v="-41.77"/>
    <n v="1321"/>
    <n v="1"/>
    <n v="1"/>
  </r>
  <r>
    <m/>
    <m/>
    <x v="1"/>
    <s v="47233131004002"/>
    <n v="-95.18"/>
    <n v="3010"/>
    <n v="1"/>
    <n v="1"/>
  </r>
  <r>
    <m/>
    <m/>
    <x v="1"/>
    <s v="47309291001002"/>
    <n v="-12.84"/>
    <n v="406"/>
    <n v="1"/>
    <n v="1"/>
  </r>
  <r>
    <m/>
    <m/>
    <x v="1"/>
    <s v="47321401002002"/>
    <n v="-58.5"/>
    <n v="1850"/>
    <n v="1"/>
    <n v="1"/>
  </r>
  <r>
    <m/>
    <m/>
    <x v="1"/>
    <s v="47327631001001"/>
    <n v="-35.979999999999997"/>
    <n v="1138"/>
    <n v="1"/>
    <n v="1"/>
  </r>
  <r>
    <m/>
    <m/>
    <x v="1"/>
    <s v="47354441001003"/>
    <n v="-67.16"/>
    <n v="2124"/>
    <n v="1"/>
    <n v="1"/>
  </r>
  <r>
    <m/>
    <m/>
    <x v="1"/>
    <s v="47354861004001"/>
    <n v="-13.56"/>
    <n v="429"/>
    <n v="1"/>
    <n v="1"/>
  </r>
  <r>
    <m/>
    <m/>
    <x v="1"/>
    <s v="47356829001002"/>
    <n v="-13.82"/>
    <n v="437"/>
    <n v="1"/>
    <n v="1"/>
  </r>
  <r>
    <m/>
    <m/>
    <x v="1"/>
    <s v="47382371002004"/>
    <n v="-12.55"/>
    <n v="397"/>
    <n v="1"/>
    <n v="1"/>
  </r>
  <r>
    <m/>
    <m/>
    <x v="1"/>
    <s v="47382721001001"/>
    <n v="-75.099999999999994"/>
    <n v="2375"/>
    <n v="1"/>
    <n v="1"/>
  </r>
  <r>
    <m/>
    <m/>
    <x v="1"/>
    <s v="47385661002002"/>
    <n v="-60.05"/>
    <n v="1899"/>
    <n v="1"/>
    <n v="1"/>
  </r>
  <r>
    <m/>
    <m/>
    <x v="1"/>
    <s v="47414851004001"/>
    <n v="-63.05"/>
    <n v="1994"/>
    <n v="1"/>
    <n v="1"/>
  </r>
  <r>
    <m/>
    <m/>
    <x v="1"/>
    <s v="47443621005003"/>
    <n v="-13.79"/>
    <n v="436"/>
    <n v="1"/>
    <n v="1"/>
  </r>
  <r>
    <m/>
    <m/>
    <x v="1"/>
    <s v="47467482001001"/>
    <n v="-1.36"/>
    <n v="43"/>
    <n v="1"/>
    <n v="1"/>
  </r>
  <r>
    <m/>
    <m/>
    <x v="1"/>
    <s v="47484221001003"/>
    <n v="-14.04"/>
    <n v="444"/>
    <n v="1"/>
    <n v="1"/>
  </r>
  <r>
    <m/>
    <m/>
    <x v="1"/>
    <s v="47501091001002"/>
    <n v="-54.64"/>
    <n v="1728"/>
    <n v="1"/>
    <n v="1"/>
  </r>
  <r>
    <m/>
    <m/>
    <x v="1"/>
    <s v="47550931002002"/>
    <n v="-28.39"/>
    <n v="898"/>
    <n v="1"/>
    <n v="1"/>
  </r>
  <r>
    <m/>
    <m/>
    <x v="1"/>
    <s v="47552611001001"/>
    <n v="-93.69"/>
    <n v="2963"/>
    <n v="1"/>
    <n v="1"/>
  </r>
  <r>
    <m/>
    <m/>
    <x v="1"/>
    <s v="47600631003001"/>
    <n v="-78.61"/>
    <n v="2486"/>
    <n v="1"/>
    <n v="1"/>
  </r>
  <r>
    <m/>
    <m/>
    <x v="1"/>
    <s v="47605461003004"/>
    <n v="-26.69"/>
    <n v="844"/>
    <n v="1"/>
    <n v="1"/>
  </r>
  <r>
    <m/>
    <m/>
    <x v="1"/>
    <s v="47670141001007"/>
    <n v="-22.83"/>
    <n v="722"/>
    <n v="1"/>
    <n v="1"/>
  </r>
  <r>
    <m/>
    <m/>
    <x v="1"/>
    <s v="47760721004001"/>
    <n v="-41.07"/>
    <n v="1299"/>
    <n v="1"/>
    <n v="1"/>
  </r>
  <r>
    <m/>
    <m/>
    <x v="1"/>
    <s v="47772743001002"/>
    <n v="-19.41"/>
    <n v="614"/>
    <n v="1"/>
    <n v="1"/>
  </r>
  <r>
    <m/>
    <m/>
    <x v="1"/>
    <s v="47821341001001"/>
    <n v="-60.43"/>
    <n v="1911"/>
    <n v="1"/>
    <n v="1"/>
  </r>
  <r>
    <m/>
    <m/>
    <x v="1"/>
    <s v="47826619001001"/>
    <n v="-63.9"/>
    <n v="2021"/>
    <n v="1"/>
    <n v="1"/>
  </r>
  <r>
    <m/>
    <m/>
    <x v="1"/>
    <s v="47854171001002"/>
    <n v="-86.54"/>
    <n v="2737"/>
    <n v="1"/>
    <n v="1"/>
  </r>
  <r>
    <m/>
    <m/>
    <x v="1"/>
    <s v="47872982001001"/>
    <n v="-47.18"/>
    <n v="1492"/>
    <n v="1"/>
    <n v="1"/>
  </r>
  <r>
    <m/>
    <m/>
    <x v="1"/>
    <s v="47881813001003"/>
    <n v="-24.13"/>
    <n v="763"/>
    <n v="1"/>
    <n v="1"/>
  </r>
  <r>
    <m/>
    <m/>
    <x v="1"/>
    <s v="47909401001001"/>
    <n v="-14.73"/>
    <n v="466"/>
    <n v="1"/>
    <n v="1"/>
  </r>
  <r>
    <m/>
    <m/>
    <x v="1"/>
    <s v="47943981001003"/>
    <n v="-52.74"/>
    <n v="1668"/>
    <n v="1"/>
    <n v="1"/>
  </r>
  <r>
    <m/>
    <m/>
    <x v="1"/>
    <s v="47945381004001"/>
    <n v="-72.92"/>
    <n v="2306"/>
    <n v="1"/>
    <n v="1"/>
  </r>
  <r>
    <m/>
    <m/>
    <x v="1"/>
    <s v="47971841001005"/>
    <n v="-70.39"/>
    <n v="2226"/>
    <n v="1"/>
    <n v="1"/>
  </r>
  <r>
    <m/>
    <m/>
    <x v="1"/>
    <s v="47972121001005"/>
    <n v="-27.79"/>
    <n v="879"/>
    <n v="1"/>
    <n v="1"/>
  </r>
  <r>
    <m/>
    <m/>
    <x v="1"/>
    <s v="48036521001001"/>
    <n v="-57.71"/>
    <n v="1825"/>
    <n v="1"/>
    <n v="1"/>
  </r>
  <r>
    <m/>
    <m/>
    <x v="1"/>
    <s v="48037431004001"/>
    <n v="-153.38999999999999"/>
    <n v="4851"/>
    <n v="1"/>
    <n v="1"/>
  </r>
  <r>
    <m/>
    <m/>
    <x v="1"/>
    <s v="48037781001001"/>
    <n v="-51.35"/>
    <n v="1624"/>
    <n v="1"/>
    <n v="1"/>
  </r>
  <r>
    <m/>
    <m/>
    <x v="1"/>
    <s v="48109251001002"/>
    <n v="-24.66"/>
    <n v="780"/>
    <n v="1"/>
    <n v="1"/>
  </r>
  <r>
    <m/>
    <m/>
    <x v="1"/>
    <s v="48115551001002"/>
    <n v="-3.95"/>
    <n v="125"/>
    <n v="1"/>
    <n v="1"/>
  </r>
  <r>
    <m/>
    <m/>
    <x v="1"/>
    <s v="48115691001003"/>
    <n v="-28.39"/>
    <n v="898"/>
    <n v="1"/>
    <n v="1"/>
  </r>
  <r>
    <m/>
    <m/>
    <x v="1"/>
    <s v="48168055001001"/>
    <n v="-100.61"/>
    <n v="3182"/>
    <n v="1"/>
    <n v="1"/>
  </r>
  <r>
    <m/>
    <m/>
    <x v="1"/>
    <s v="48182681001001"/>
    <n v="-53.34"/>
    <n v="1687"/>
    <n v="1"/>
    <n v="1"/>
  </r>
  <r>
    <m/>
    <m/>
    <x v="1"/>
    <s v="48194791003001"/>
    <n v="-52.14"/>
    <n v="1649"/>
    <n v="1"/>
    <n v="1"/>
  </r>
  <r>
    <m/>
    <m/>
    <x v="1"/>
    <s v="48214181001001"/>
    <n v="-70.349999999999994"/>
    <n v="2225"/>
    <n v="1"/>
    <n v="1"/>
  </r>
  <r>
    <m/>
    <m/>
    <x v="1"/>
    <s v="48215861001001"/>
    <n v="-69.44"/>
    <n v="2196"/>
    <n v="2"/>
    <n v="1"/>
  </r>
  <r>
    <m/>
    <m/>
    <x v="1"/>
    <s v="48278021001002"/>
    <n v="-25.68"/>
    <n v="812"/>
    <n v="1"/>
    <n v="1"/>
  </r>
  <r>
    <m/>
    <m/>
    <x v="1"/>
    <s v="48312741006001"/>
    <n v="-62.01"/>
    <n v="1961"/>
    <n v="1"/>
    <n v="1"/>
  </r>
  <r>
    <m/>
    <m/>
    <x v="1"/>
    <s v="48518541001001"/>
    <n v="-55.62"/>
    <n v="1759"/>
    <n v="1"/>
    <n v="1"/>
  </r>
  <r>
    <m/>
    <m/>
    <x v="1"/>
    <s v="48524754001001"/>
    <n v="-57.77"/>
    <n v="1827"/>
    <n v="1"/>
    <n v="1"/>
  </r>
  <r>
    <m/>
    <m/>
    <x v="1"/>
    <s v="48551861002001"/>
    <n v="-24.38"/>
    <n v="771"/>
    <n v="1"/>
    <n v="1"/>
  </r>
  <r>
    <m/>
    <m/>
    <x v="1"/>
    <s v="48552561001004"/>
    <n v="-6.67"/>
    <n v="211"/>
    <n v="1"/>
    <n v="1"/>
  </r>
  <r>
    <m/>
    <m/>
    <x v="1"/>
    <s v="48629818001001"/>
    <n v="-46.29"/>
    <n v="1464"/>
    <n v="1"/>
    <n v="1"/>
  </r>
  <r>
    <m/>
    <m/>
    <x v="1"/>
    <s v="48660341001001"/>
    <n v="-20.27"/>
    <n v="641"/>
    <n v="1"/>
    <n v="1"/>
  </r>
  <r>
    <m/>
    <m/>
    <x v="1"/>
    <s v="48721331001001"/>
    <n v="-0.92"/>
    <n v="29"/>
    <n v="1"/>
    <n v="1"/>
  </r>
  <r>
    <m/>
    <m/>
    <x v="1"/>
    <s v="48752136001002"/>
    <n v="-14.92"/>
    <n v="472"/>
    <n v="1"/>
    <n v="1"/>
  </r>
  <r>
    <m/>
    <m/>
    <x v="1"/>
    <s v="48754161004001"/>
    <n v="-70.73"/>
    <n v="2237"/>
    <n v="1"/>
    <n v="1"/>
  </r>
  <r>
    <m/>
    <m/>
    <x v="1"/>
    <s v="48762278001001"/>
    <n v="-55.08"/>
    <n v="1742"/>
    <n v="1"/>
    <n v="1"/>
  </r>
  <r>
    <m/>
    <m/>
    <x v="1"/>
    <s v="48765518001002"/>
    <n v="-64.22"/>
    <n v="2031"/>
    <n v="1"/>
    <n v="1"/>
  </r>
  <r>
    <m/>
    <m/>
    <x v="1"/>
    <s v="48813381002001"/>
    <n v="-85.06"/>
    <n v="2690"/>
    <n v="1"/>
    <n v="1"/>
  </r>
  <r>
    <m/>
    <m/>
    <x v="1"/>
    <s v="48834171001003"/>
    <n v="-52.14"/>
    <n v="1649"/>
    <n v="1"/>
    <n v="1"/>
  </r>
  <r>
    <m/>
    <m/>
    <x v="1"/>
    <s v="48845721001001"/>
    <n v="-37.56"/>
    <n v="1188"/>
    <n v="1"/>
    <n v="1"/>
  </r>
  <r>
    <m/>
    <m/>
    <x v="1"/>
    <s v="48944491003004"/>
    <n v="-66.81"/>
    <n v="2113"/>
    <n v="1"/>
    <n v="1"/>
  </r>
  <r>
    <m/>
    <m/>
    <x v="1"/>
    <s v="48972001002006"/>
    <n v="-24.09"/>
    <n v="762"/>
    <n v="1"/>
    <n v="1"/>
  </r>
  <r>
    <m/>
    <m/>
    <x v="1"/>
    <s v="49008751002001"/>
    <n v="-0.47"/>
    <n v="15"/>
    <n v="1"/>
    <n v="1"/>
  </r>
  <r>
    <m/>
    <m/>
    <x v="1"/>
    <s v="49050157001001"/>
    <n v="-35.89"/>
    <n v="1135"/>
    <n v="1"/>
    <n v="1"/>
  </r>
  <r>
    <m/>
    <m/>
    <x v="1"/>
    <s v="49076114001012"/>
    <n v="-54.1"/>
    <n v="1711"/>
    <n v="1"/>
    <n v="1"/>
  </r>
  <r>
    <m/>
    <m/>
    <x v="1"/>
    <s v="49128591001002"/>
    <n v="-26.56"/>
    <n v="840"/>
    <n v="1"/>
    <n v="1"/>
  </r>
  <r>
    <m/>
    <m/>
    <x v="1"/>
    <s v="49187126001001"/>
    <n v="-93.6"/>
    <n v="2960"/>
    <n v="1"/>
    <n v="1"/>
  </r>
  <r>
    <m/>
    <m/>
    <x v="1"/>
    <s v="49214775001001"/>
    <n v="-21.94"/>
    <n v="694"/>
    <n v="1"/>
    <n v="1"/>
  </r>
  <r>
    <m/>
    <m/>
    <x v="1"/>
    <s v="49267961004003"/>
    <n v="-35.409999999999997"/>
    <n v="1120"/>
    <n v="1"/>
    <n v="1"/>
  </r>
  <r>
    <m/>
    <m/>
    <x v="1"/>
    <s v="49295541002001"/>
    <n v="-73.52"/>
    <n v="2325"/>
    <n v="1"/>
    <n v="1"/>
  </r>
  <r>
    <m/>
    <m/>
    <x v="1"/>
    <s v="49298970001001"/>
    <n v="-17.39"/>
    <n v="550"/>
    <n v="1"/>
    <n v="1"/>
  </r>
  <r>
    <m/>
    <m/>
    <x v="1"/>
    <s v="49315865001001"/>
    <n v="-35.86"/>
    <n v="1134"/>
    <n v="1"/>
    <n v="1"/>
  </r>
  <r>
    <m/>
    <m/>
    <x v="1"/>
    <s v="49326370001005"/>
    <n v="-95.43"/>
    <n v="3018"/>
    <n v="1"/>
    <n v="1"/>
  </r>
  <r>
    <m/>
    <m/>
    <x v="1"/>
    <s v="49371491001002"/>
    <n v="-72.03"/>
    <n v="2278"/>
    <n v="1"/>
    <n v="1"/>
  </r>
  <r>
    <m/>
    <m/>
    <x v="1"/>
    <s v="49418111002001"/>
    <n v="-27.22"/>
    <n v="861"/>
    <n v="1"/>
    <n v="1"/>
  </r>
  <r>
    <m/>
    <m/>
    <x v="1"/>
    <s v="49495461002007"/>
    <n v="-22.17"/>
    <n v="701"/>
    <n v="1"/>
    <n v="1"/>
  </r>
  <r>
    <m/>
    <m/>
    <x v="1"/>
    <s v="49495741001001"/>
    <n v="-55.46"/>
    <n v="1754"/>
    <n v="1"/>
    <n v="1"/>
  </r>
  <r>
    <m/>
    <m/>
    <x v="1"/>
    <s v="49538441006001"/>
    <n v="-54.01"/>
    <n v="1708"/>
    <n v="1"/>
    <n v="1"/>
  </r>
  <r>
    <m/>
    <m/>
    <x v="1"/>
    <s v="49549801001003"/>
    <n v="-77.150000000000006"/>
    <n v="2440"/>
    <n v="1"/>
    <n v="1"/>
  </r>
  <r>
    <m/>
    <m/>
    <x v="1"/>
    <s v="49557341001001"/>
    <n v="-62.13"/>
    <n v="1965"/>
    <n v="1"/>
    <n v="1"/>
  </r>
  <r>
    <m/>
    <m/>
    <x v="1"/>
    <s v="49563081001001"/>
    <n v="-72.92"/>
    <n v="2306"/>
    <n v="1"/>
    <n v="1"/>
  </r>
  <r>
    <m/>
    <m/>
    <x v="1"/>
    <s v="49566231001001"/>
    <n v="-49.58"/>
    <n v="1568"/>
    <n v="1"/>
    <n v="1"/>
  </r>
  <r>
    <m/>
    <m/>
    <x v="1"/>
    <s v="49570081001001"/>
    <n v="-64.540000000000006"/>
    <n v="2041"/>
    <n v="1"/>
    <n v="1"/>
  </r>
  <r>
    <m/>
    <m/>
    <x v="1"/>
    <s v="49570221001004"/>
    <n v="-38.01"/>
    <n v="1202"/>
    <n v="1"/>
    <n v="1"/>
  </r>
  <r>
    <m/>
    <m/>
    <x v="1"/>
    <s v="49602561001001"/>
    <n v="-68.84"/>
    <n v="2177"/>
    <n v="1"/>
    <n v="1"/>
  </r>
  <r>
    <m/>
    <m/>
    <x v="1"/>
    <s v="49605011001003"/>
    <n v="-80.28"/>
    <n v="2539"/>
    <n v="1"/>
    <n v="1"/>
  </r>
  <r>
    <m/>
    <m/>
    <x v="1"/>
    <s v="49613481002001"/>
    <n v="-82.15"/>
    <n v="2598"/>
    <n v="1"/>
    <n v="1"/>
  </r>
  <r>
    <m/>
    <m/>
    <x v="1"/>
    <s v="49702654001002"/>
    <n v="-13"/>
    <n v="411"/>
    <n v="1"/>
    <n v="1"/>
  </r>
  <r>
    <m/>
    <m/>
    <x v="1"/>
    <s v="49717151001001"/>
    <n v="-87.81"/>
    <n v="2777"/>
    <n v="1"/>
    <n v="1"/>
  </r>
  <r>
    <m/>
    <m/>
    <x v="1"/>
    <s v="49735399001001"/>
    <n v="-27.07"/>
    <n v="856"/>
    <n v="1"/>
    <n v="1"/>
  </r>
  <r>
    <m/>
    <m/>
    <x v="1"/>
    <s v="49762441001002"/>
    <n v="-17.71"/>
    <n v="560"/>
    <n v="1"/>
    <n v="1"/>
  </r>
  <r>
    <m/>
    <m/>
    <x v="1"/>
    <s v="49862149001004"/>
    <n v="-28.43"/>
    <n v="899"/>
    <n v="1"/>
    <n v="1"/>
  </r>
  <r>
    <m/>
    <m/>
    <x v="1"/>
    <s v="49866391001002"/>
    <n v="-38.479999999999997"/>
    <n v="1217"/>
    <n v="1"/>
    <n v="1"/>
  </r>
  <r>
    <m/>
    <m/>
    <x v="1"/>
    <s v="49876031001002"/>
    <n v="-116.58"/>
    <n v="3687"/>
    <n v="1"/>
    <n v="1"/>
  </r>
  <r>
    <m/>
    <m/>
    <x v="1"/>
    <s v="49896911001001"/>
    <n v="-0.85"/>
    <n v="27"/>
    <n v="1"/>
    <n v="1"/>
  </r>
  <r>
    <m/>
    <m/>
    <x v="1"/>
    <s v="49930301001001"/>
    <n v="-70.260000000000005"/>
    <n v="2222"/>
    <n v="1"/>
    <n v="1"/>
  </r>
  <r>
    <m/>
    <m/>
    <x v="1"/>
    <s v="49949341001003"/>
    <n v="-11.51"/>
    <n v="364"/>
    <n v="1"/>
    <n v="1"/>
  </r>
  <r>
    <m/>
    <m/>
    <x v="1"/>
    <s v="49949551002003"/>
    <n v="-8.19"/>
    <n v="259"/>
    <n v="1"/>
    <n v="1"/>
  </r>
  <r>
    <m/>
    <m/>
    <x v="1"/>
    <s v="49950321001002"/>
    <n v="-10.53"/>
    <n v="333"/>
    <n v="1"/>
    <n v="1"/>
  </r>
  <r>
    <m/>
    <m/>
    <x v="1"/>
    <s v="49950881001002"/>
    <n v="-19.07"/>
    <n v="603"/>
    <n v="1"/>
    <n v="1"/>
  </r>
  <r>
    <m/>
    <m/>
    <x v="1"/>
    <s v="49951931001004"/>
    <n v="-54.89"/>
    <n v="1736"/>
    <n v="1"/>
    <n v="1"/>
  </r>
  <r>
    <m/>
    <m/>
    <x v="1"/>
    <s v="49965791001003"/>
    <n v="-46.92"/>
    <n v="1484"/>
    <n v="1"/>
    <n v="1"/>
  </r>
  <r>
    <m/>
    <m/>
    <x v="1"/>
    <s v="50032081001001"/>
    <n v="-74.400000000000006"/>
    <n v="2353"/>
    <n v="1"/>
    <n v="1"/>
  </r>
  <r>
    <m/>
    <m/>
    <x v="1"/>
    <s v="50043981001003"/>
    <n v="-50.59"/>
    <n v="1600"/>
    <n v="1"/>
    <n v="1"/>
  </r>
  <r>
    <m/>
    <m/>
    <x v="1"/>
    <s v="50095781001001"/>
    <n v="-38.51"/>
    <n v="1218"/>
    <n v="1"/>
    <n v="1"/>
  </r>
  <r>
    <m/>
    <m/>
    <x v="1"/>
    <s v="50180411011001"/>
    <n v="-39.590000000000003"/>
    <n v="1252"/>
    <n v="1"/>
    <n v="1"/>
  </r>
  <r>
    <m/>
    <m/>
    <x v="1"/>
    <s v="50181601002005"/>
    <n v="-55.59"/>
    <n v="1758"/>
    <n v="1"/>
    <n v="1"/>
  </r>
  <r>
    <m/>
    <m/>
    <x v="1"/>
    <s v="50198191001001"/>
    <n v="-68.52"/>
    <n v="2167"/>
    <n v="1"/>
    <n v="1"/>
  </r>
  <r>
    <m/>
    <m/>
    <x v="1"/>
    <s v="50202412001005"/>
    <n v="-20.14"/>
    <n v="637"/>
    <n v="1"/>
    <n v="1"/>
  </r>
  <r>
    <m/>
    <m/>
    <x v="1"/>
    <s v="50249641001001"/>
    <n v="-77.150000000000006"/>
    <n v="2440"/>
    <n v="1"/>
    <n v="1"/>
  </r>
  <r>
    <m/>
    <m/>
    <x v="1"/>
    <s v="50288836001003"/>
    <n v="-49.8"/>
    <n v="1575"/>
    <n v="1"/>
    <n v="1"/>
  </r>
  <r>
    <m/>
    <m/>
    <x v="1"/>
    <s v="50374585001001"/>
    <n v="-37.31"/>
    <n v="1180"/>
    <n v="1"/>
    <n v="1"/>
  </r>
  <r>
    <m/>
    <m/>
    <x v="1"/>
    <s v="50425271002004"/>
    <n v="-32.28"/>
    <n v="1021"/>
    <n v="1"/>
    <n v="1"/>
  </r>
  <r>
    <m/>
    <m/>
    <x v="1"/>
    <s v="50427931002003"/>
    <n v="-20.81"/>
    <n v="658"/>
    <n v="1"/>
    <n v="1"/>
  </r>
  <r>
    <m/>
    <m/>
    <x v="1"/>
    <s v="50578966001001"/>
    <n v="-46.92"/>
    <n v="1484"/>
    <n v="1"/>
    <n v="1"/>
  </r>
  <r>
    <m/>
    <m/>
    <x v="1"/>
    <s v="50689606001003"/>
    <n v="-12.3"/>
    <n v="389"/>
    <n v="1"/>
    <n v="1"/>
  </r>
  <r>
    <m/>
    <m/>
    <x v="1"/>
    <s v="50695261001002"/>
    <n v="-8.06"/>
    <n v="255"/>
    <n v="1"/>
    <n v="1"/>
  </r>
  <r>
    <m/>
    <m/>
    <x v="1"/>
    <s v="50737681001001"/>
    <n v="-65.77"/>
    <n v="2080"/>
    <n v="1"/>
    <n v="1"/>
  </r>
  <r>
    <m/>
    <m/>
    <x v="1"/>
    <s v="50739464001001"/>
    <n v="-46.64"/>
    <n v="1475"/>
    <n v="1"/>
    <n v="1"/>
  </r>
  <r>
    <m/>
    <m/>
    <x v="1"/>
    <s v="50739851009002"/>
    <n v="-32.659999999999997"/>
    <n v="1033"/>
    <n v="1"/>
    <n v="1"/>
  </r>
  <r>
    <m/>
    <m/>
    <x v="1"/>
    <s v="50740761001001"/>
    <n v="-130.46"/>
    <n v="4126"/>
    <n v="1"/>
    <n v="1"/>
  </r>
  <r>
    <m/>
    <m/>
    <x v="1"/>
    <s v="50779261003001"/>
    <n v="-12.08"/>
    <n v="382"/>
    <n v="1"/>
    <n v="1"/>
  </r>
  <r>
    <m/>
    <m/>
    <x v="1"/>
    <s v="50782131001001"/>
    <n v="-14.55"/>
    <n v="460"/>
    <n v="1"/>
    <n v="1"/>
  </r>
  <r>
    <m/>
    <m/>
    <x v="1"/>
    <s v="50800541001001"/>
    <n v="-14.51"/>
    <n v="459"/>
    <n v="1"/>
    <n v="1"/>
  </r>
  <r>
    <m/>
    <m/>
    <x v="1"/>
    <s v="50808591001001"/>
    <n v="-81.23"/>
    <n v="2569"/>
    <n v="1"/>
    <n v="1"/>
  </r>
  <r>
    <m/>
    <m/>
    <x v="1"/>
    <s v="50809571001001"/>
    <n v="-31.21"/>
    <n v="987"/>
    <n v="1"/>
    <n v="1"/>
  </r>
  <r>
    <m/>
    <m/>
    <x v="1"/>
    <s v="50823431001001"/>
    <n v="-63.59"/>
    <n v="2011"/>
    <n v="1"/>
    <n v="1"/>
  </r>
  <r>
    <m/>
    <m/>
    <x v="1"/>
    <s v="50841001001001"/>
    <n v="-5.15"/>
    <n v="163"/>
    <n v="1"/>
    <n v="1"/>
  </r>
  <r>
    <m/>
    <m/>
    <x v="1"/>
    <s v="50849401001002"/>
    <n v="-56.6"/>
    <n v="1790"/>
    <n v="1"/>
    <n v="1"/>
  </r>
  <r>
    <m/>
    <m/>
    <x v="1"/>
    <s v="50858361001001"/>
    <n v="-71.81"/>
    <n v="2271"/>
    <n v="1"/>
    <n v="1"/>
  </r>
  <r>
    <m/>
    <m/>
    <x v="1"/>
    <s v="50863261005003"/>
    <n v="-4.46"/>
    <n v="141"/>
    <n v="1"/>
    <n v="1"/>
  </r>
  <r>
    <m/>
    <m/>
    <x v="1"/>
    <s v="50870401001001"/>
    <n v="-15.75"/>
    <n v="498"/>
    <n v="1"/>
    <n v="1"/>
  </r>
  <r>
    <m/>
    <m/>
    <x v="1"/>
    <s v="50873620001001"/>
    <n v="-103.68"/>
    <n v="3279"/>
    <n v="1"/>
    <n v="1"/>
  </r>
  <r>
    <m/>
    <m/>
    <x v="1"/>
    <s v="50898883001001"/>
    <n v="-5.75"/>
    <n v="182"/>
    <n v="1"/>
    <n v="1"/>
  </r>
  <r>
    <m/>
    <m/>
    <x v="1"/>
    <s v="50899731001002"/>
    <n v="-13.6"/>
    <n v="430"/>
    <n v="1"/>
    <n v="1"/>
  </r>
  <r>
    <m/>
    <m/>
    <x v="1"/>
    <s v="50917791001001"/>
    <n v="-43.95"/>
    <n v="1390"/>
    <n v="1"/>
    <n v="1"/>
  </r>
  <r>
    <m/>
    <m/>
    <x v="1"/>
    <s v="50940891001005"/>
    <n v="-18.47"/>
    <n v="584"/>
    <n v="1"/>
    <n v="1"/>
  </r>
  <r>
    <m/>
    <m/>
    <x v="1"/>
    <s v="50972811001001"/>
    <n v="-7.87"/>
    <n v="249"/>
    <n v="1"/>
    <n v="1"/>
  </r>
  <r>
    <m/>
    <m/>
    <x v="1"/>
    <s v="50983591002001"/>
    <n v="-8.6999999999999993"/>
    <n v="275"/>
    <n v="1"/>
    <n v="1"/>
  </r>
  <r>
    <m/>
    <m/>
    <x v="1"/>
    <s v="50997031001001"/>
    <n v="-0.47"/>
    <n v="15"/>
    <n v="1"/>
    <n v="1"/>
  </r>
  <r>
    <m/>
    <m/>
    <x v="1"/>
    <s v="51005151001001"/>
    <n v="-5.5"/>
    <n v="174"/>
    <n v="1"/>
    <n v="1"/>
  </r>
  <r>
    <m/>
    <m/>
    <x v="1"/>
    <s v="51006481001002"/>
    <n v="-10.15"/>
    <n v="321"/>
    <n v="1"/>
    <n v="1"/>
  </r>
  <r>
    <m/>
    <m/>
    <x v="1"/>
    <s v="51010891001001"/>
    <n v="-34.619999999999997"/>
    <n v="1095"/>
    <n v="1"/>
    <n v="1"/>
  </r>
  <r>
    <m/>
    <m/>
    <x v="1"/>
    <s v="51027411002001"/>
    <n v="-39.97"/>
    <n v="1264"/>
    <n v="1"/>
    <n v="1"/>
  </r>
  <r>
    <m/>
    <m/>
    <x v="1"/>
    <s v="51044080001001"/>
    <n v="-46.48"/>
    <n v="1470"/>
    <n v="1"/>
    <n v="1"/>
  </r>
  <r>
    <m/>
    <m/>
    <x v="1"/>
    <s v="51046801003005"/>
    <n v="-16.32"/>
    <n v="516"/>
    <n v="1"/>
    <n v="1"/>
  </r>
  <r>
    <m/>
    <m/>
    <x v="1"/>
    <s v="51053871001001"/>
    <n v="-27.32"/>
    <n v="864"/>
    <n v="1"/>
    <n v="1"/>
  </r>
  <r>
    <m/>
    <m/>
    <x v="1"/>
    <s v="51057441001003"/>
    <n v="-84.36"/>
    <n v="2668"/>
    <n v="1"/>
    <n v="1"/>
  </r>
  <r>
    <m/>
    <m/>
    <x v="1"/>
    <s v="51073821001002"/>
    <n v="-61.82"/>
    <n v="1955"/>
    <n v="1"/>
    <n v="1"/>
  </r>
  <r>
    <m/>
    <m/>
    <x v="1"/>
    <s v="51084811002002"/>
    <n v="-60.84"/>
    <n v="1924"/>
    <n v="1"/>
    <n v="1"/>
  </r>
  <r>
    <m/>
    <m/>
    <x v="1"/>
    <s v="51093652001008"/>
    <n v="-102.58"/>
    <n v="3244"/>
    <n v="1"/>
    <n v="1"/>
  </r>
  <r>
    <m/>
    <m/>
    <x v="1"/>
    <s v="51095876001003"/>
    <n v="-25.71"/>
    <n v="813"/>
    <n v="1"/>
    <n v="1"/>
  </r>
  <r>
    <m/>
    <m/>
    <x v="1"/>
    <s v="51098181001001"/>
    <n v="-7.11"/>
    <n v="225"/>
    <n v="1"/>
    <n v="1"/>
  </r>
  <r>
    <m/>
    <m/>
    <x v="1"/>
    <s v="51100771003002"/>
    <n v="-95.05"/>
    <n v="3006"/>
    <n v="1"/>
    <n v="1"/>
  </r>
  <r>
    <m/>
    <m/>
    <x v="1"/>
    <s v="51112881010001"/>
    <n v="-95.11"/>
    <n v="3008"/>
    <n v="1"/>
    <n v="1"/>
  </r>
  <r>
    <m/>
    <m/>
    <x v="1"/>
    <s v="51114491001004"/>
    <n v="-5.82"/>
    <n v="184"/>
    <n v="1"/>
    <n v="1"/>
  </r>
  <r>
    <m/>
    <m/>
    <x v="1"/>
    <s v="51133041002001"/>
    <n v="-61.66"/>
    <n v="1950"/>
    <n v="1"/>
    <n v="1"/>
  </r>
  <r>
    <m/>
    <m/>
    <x v="1"/>
    <s v="51138571001004"/>
    <n v="-56.63"/>
    <n v="1791"/>
    <n v="1"/>
    <n v="1"/>
  </r>
  <r>
    <m/>
    <m/>
    <x v="1"/>
    <s v="51151311001002"/>
    <n v="-57.61"/>
    <n v="1822"/>
    <n v="1"/>
    <n v="1"/>
  </r>
  <r>
    <m/>
    <m/>
    <x v="1"/>
    <s v="51155161001001"/>
    <n v="-24.13"/>
    <n v="763"/>
    <n v="1"/>
    <n v="1"/>
  </r>
  <r>
    <m/>
    <m/>
    <x v="1"/>
    <s v="51155231001001"/>
    <n v="-52.05"/>
    <n v="1646"/>
    <n v="1"/>
    <n v="1"/>
  </r>
  <r>
    <m/>
    <m/>
    <x v="1"/>
    <s v="51158731001003"/>
    <n v="-20.170000000000002"/>
    <n v="638"/>
    <n v="1"/>
    <n v="1"/>
  </r>
  <r>
    <m/>
    <m/>
    <x v="1"/>
    <s v="51159431001001"/>
    <n v="-105.14"/>
    <n v="3325"/>
    <n v="1"/>
    <n v="1"/>
  </r>
  <r>
    <m/>
    <m/>
    <x v="1"/>
    <s v="51159641001002"/>
    <n v="-32.19"/>
    <n v="1018"/>
    <n v="1"/>
    <n v="1"/>
  </r>
  <r>
    <m/>
    <m/>
    <x v="1"/>
    <s v="51164261005001"/>
    <n v="-100.77"/>
    <n v="3187"/>
    <n v="1"/>
    <n v="1"/>
  </r>
  <r>
    <m/>
    <m/>
    <x v="1"/>
    <s v="51165871003001"/>
    <n v="-68.489999999999995"/>
    <n v="2166"/>
    <n v="1"/>
    <n v="1"/>
  </r>
  <r>
    <m/>
    <m/>
    <x v="1"/>
    <s v="51169231001001"/>
    <n v="-38.729999999999997"/>
    <n v="1225"/>
    <n v="1"/>
    <n v="1"/>
  </r>
  <r>
    <m/>
    <m/>
    <x v="1"/>
    <s v="51175111003001"/>
    <n v="-44.11"/>
    <n v="1395"/>
    <n v="1"/>
    <n v="1"/>
  </r>
  <r>
    <m/>
    <m/>
    <x v="1"/>
    <s v="51176651001001"/>
    <n v="-16.82"/>
    <n v="532"/>
    <n v="1"/>
    <n v="1"/>
  </r>
  <r>
    <m/>
    <m/>
    <x v="1"/>
    <s v="51193801002003"/>
    <n v="-86.48"/>
    <n v="2735"/>
    <n v="1"/>
    <n v="1"/>
  </r>
  <r>
    <m/>
    <m/>
    <x v="1"/>
    <s v="51198001001002"/>
    <n v="-10.56"/>
    <n v="334"/>
    <n v="1"/>
    <n v="1"/>
  </r>
  <r>
    <m/>
    <m/>
    <x v="1"/>
    <s v="51198211001002"/>
    <n v="-49.45"/>
    <n v="1564"/>
    <n v="1"/>
    <n v="1"/>
  </r>
  <r>
    <m/>
    <m/>
    <x v="1"/>
    <s v="51204931003005"/>
    <n v="-47.08"/>
    <n v="1489"/>
    <n v="1"/>
    <n v="1"/>
  </r>
  <r>
    <m/>
    <m/>
    <x v="1"/>
    <s v="51206821003010"/>
    <n v="-71.430000000000007"/>
    <n v="2259"/>
    <n v="1"/>
    <n v="1"/>
  </r>
  <r>
    <m/>
    <m/>
    <x v="1"/>
    <s v="51208991001001"/>
    <n v="-35.83"/>
    <n v="1133"/>
    <n v="1"/>
    <n v="1"/>
  </r>
  <r>
    <m/>
    <m/>
    <x v="1"/>
    <s v="51210671002001"/>
    <n v="-108.68"/>
    <n v="3437"/>
    <n v="1"/>
    <n v="1"/>
  </r>
  <r>
    <m/>
    <m/>
    <x v="1"/>
    <s v="51211861001003"/>
    <n v="-7.27"/>
    <n v="230"/>
    <n v="1"/>
    <n v="1"/>
  </r>
  <r>
    <m/>
    <m/>
    <x v="1"/>
    <s v="51222851001001"/>
    <n v="-30.92"/>
    <n v="978"/>
    <n v="1"/>
    <n v="1"/>
  </r>
  <r>
    <m/>
    <m/>
    <x v="1"/>
    <s v="51225161002001"/>
    <n v="-54.1"/>
    <n v="1711"/>
    <n v="1"/>
    <n v="1"/>
  </r>
  <r>
    <m/>
    <m/>
    <x v="1"/>
    <s v="51225441001001"/>
    <n v="-84.68"/>
    <n v="2678"/>
    <n v="1"/>
    <n v="1"/>
  </r>
  <r>
    <m/>
    <m/>
    <x v="1"/>
    <s v="51227051001001"/>
    <n v="-26.56"/>
    <n v="840"/>
    <n v="1"/>
    <n v="1"/>
  </r>
  <r>
    <m/>
    <m/>
    <x v="1"/>
    <s v="51231111001004"/>
    <n v="-76.239999999999995"/>
    <n v="2411"/>
    <n v="1"/>
    <n v="1"/>
  </r>
  <r>
    <m/>
    <m/>
    <x v="1"/>
    <s v="51293341001001"/>
    <n v="-59.57"/>
    <n v="1884"/>
    <n v="1"/>
    <n v="1"/>
  </r>
  <r>
    <m/>
    <m/>
    <x v="1"/>
    <s v="51309651001001"/>
    <n v="-51.51"/>
    <n v="1629"/>
    <n v="1"/>
    <n v="1"/>
  </r>
  <r>
    <m/>
    <m/>
    <x v="1"/>
    <s v="51309721001001"/>
    <n v="-128.76"/>
    <n v="4072"/>
    <n v="1"/>
    <n v="1"/>
  </r>
  <r>
    <m/>
    <m/>
    <x v="1"/>
    <s v="51316301003004"/>
    <n v="-3.1"/>
    <n v="98"/>
    <n v="1"/>
    <n v="1"/>
  </r>
  <r>
    <m/>
    <m/>
    <x v="1"/>
    <s v="51323511001002"/>
    <n v="-37.47"/>
    <n v="1185"/>
    <n v="1"/>
    <n v="1"/>
  </r>
  <r>
    <m/>
    <m/>
    <x v="1"/>
    <s v="51324911001001"/>
    <n v="-37.47"/>
    <n v="1185"/>
    <n v="1"/>
    <n v="1"/>
  </r>
  <r>
    <m/>
    <m/>
    <x v="1"/>
    <s v="51344791001003"/>
    <n v="-67.510000000000005"/>
    <n v="2135"/>
    <n v="1"/>
    <n v="1"/>
  </r>
  <r>
    <m/>
    <m/>
    <x v="1"/>
    <s v="51344861001001"/>
    <n v="-78.069999999999993"/>
    <n v="2469"/>
    <n v="1"/>
    <n v="1"/>
  </r>
  <r>
    <m/>
    <m/>
    <x v="1"/>
    <s v="51370831001001"/>
    <n v="-158.94999999999999"/>
    <n v="5027"/>
    <n v="1"/>
    <n v="1"/>
  </r>
  <r>
    <m/>
    <m/>
    <x v="1"/>
    <s v="51405131001001"/>
    <n v="-48.35"/>
    <n v="1529"/>
    <n v="1"/>
    <n v="1"/>
  </r>
  <r>
    <m/>
    <m/>
    <x v="1"/>
    <s v="51405271001001"/>
    <n v="-45.88"/>
    <n v="1451"/>
    <n v="1"/>
    <n v="1"/>
  </r>
  <r>
    <m/>
    <m/>
    <x v="1"/>
    <s v="51416681001001"/>
    <n v="-60.77"/>
    <n v="1922"/>
    <n v="1"/>
    <n v="1"/>
  </r>
  <r>
    <m/>
    <m/>
    <x v="1"/>
    <s v="51456371002001"/>
    <n v="-1.1100000000000001"/>
    <n v="35"/>
    <n v="1"/>
    <n v="1"/>
  </r>
  <r>
    <m/>
    <m/>
    <x v="1"/>
    <s v="51513351001001"/>
    <n v="-38.799999999999997"/>
    <n v="1227"/>
    <n v="1"/>
    <n v="1"/>
  </r>
  <r>
    <m/>
    <m/>
    <x v="1"/>
    <s v="51514331001001"/>
    <n v="-28.05"/>
    <n v="887"/>
    <n v="1"/>
    <n v="1"/>
  </r>
  <r>
    <m/>
    <m/>
    <x v="1"/>
    <s v="51518391001001"/>
    <n v="-136.03"/>
    <n v="4302"/>
    <n v="1"/>
    <n v="1"/>
  </r>
  <r>
    <m/>
    <m/>
    <x v="1"/>
    <s v="51519511001001"/>
    <n v="-0.19"/>
    <n v="6"/>
    <n v="1"/>
    <n v="1"/>
  </r>
  <r>
    <m/>
    <m/>
    <x v="1"/>
    <s v="51525601001002"/>
    <n v="-24.51"/>
    <n v="775"/>
    <n v="1"/>
    <n v="1"/>
  </r>
  <r>
    <m/>
    <m/>
    <x v="1"/>
    <s v="51526511001002"/>
    <n v="-1.49"/>
    <n v="47"/>
    <n v="1"/>
    <n v="1"/>
  </r>
  <r>
    <m/>
    <m/>
    <x v="1"/>
    <s v="51528681001002"/>
    <n v="-21.69"/>
    <n v="686"/>
    <n v="1"/>
    <n v="1"/>
  </r>
  <r>
    <m/>
    <m/>
    <x v="1"/>
    <s v="51532811002001"/>
    <n v="-87.87"/>
    <n v="2779"/>
    <n v="1"/>
    <n v="1"/>
  </r>
  <r>
    <m/>
    <m/>
    <x v="1"/>
    <s v="51536031001001"/>
    <n v="-23.87"/>
    <n v="755"/>
    <n v="1"/>
    <n v="1"/>
  </r>
  <r>
    <m/>
    <m/>
    <x v="1"/>
    <s v="51542891001003"/>
    <n v="-51.16"/>
    <n v="1618"/>
    <n v="1"/>
    <n v="1"/>
  </r>
  <r>
    <m/>
    <m/>
    <x v="1"/>
    <s v="51549471001001"/>
    <n v="-28.58"/>
    <n v="904"/>
    <n v="1"/>
    <n v="1"/>
  </r>
  <r>
    <m/>
    <m/>
    <x v="1"/>
    <s v="51555701001005"/>
    <n v="-71.150000000000006"/>
    <n v="2250"/>
    <n v="1"/>
    <n v="1"/>
  </r>
  <r>
    <m/>
    <m/>
    <x v="1"/>
    <s v="51560951001001"/>
    <n v="-70.61"/>
    <n v="2233"/>
    <n v="1"/>
    <n v="1"/>
  </r>
  <r>
    <m/>
    <m/>
    <x v="1"/>
    <s v="51579291002005"/>
    <n v="-128"/>
    <n v="4048"/>
    <n v="1"/>
    <n v="1"/>
  </r>
  <r>
    <m/>
    <m/>
    <x v="1"/>
    <s v="51591471001001"/>
    <n v="-45.12"/>
    <n v="1427"/>
    <n v="1"/>
    <n v="1"/>
  </r>
  <r>
    <m/>
    <m/>
    <x v="1"/>
    <s v="51593291002001"/>
    <n v="-71.84"/>
    <n v="2272"/>
    <n v="1"/>
    <n v="1"/>
  </r>
  <r>
    <m/>
    <m/>
    <x v="1"/>
    <s v="51595741001001"/>
    <n v="-12.11"/>
    <n v="383"/>
    <n v="1"/>
    <n v="1"/>
  </r>
  <r>
    <m/>
    <m/>
    <x v="1"/>
    <s v="51597701001005"/>
    <n v="-24.03"/>
    <n v="760"/>
    <n v="1"/>
    <n v="1"/>
  </r>
  <r>
    <m/>
    <m/>
    <x v="1"/>
    <s v="51603441001001"/>
    <n v="-74.12"/>
    <n v="2344"/>
    <n v="1"/>
    <n v="1"/>
  </r>
  <r>
    <m/>
    <m/>
    <x v="1"/>
    <s v="51604071001005"/>
    <n v="-11.35"/>
    <n v="359"/>
    <n v="1"/>
    <n v="1"/>
  </r>
  <r>
    <m/>
    <m/>
    <x v="1"/>
    <s v="51606381005004"/>
    <n v="-67.89"/>
    <n v="2147"/>
    <n v="1"/>
    <n v="1"/>
  </r>
  <r>
    <m/>
    <m/>
    <x v="1"/>
    <s v="51613101001001"/>
    <n v="-108.77"/>
    <n v="3440"/>
    <n v="1"/>
    <n v="1"/>
  </r>
  <r>
    <m/>
    <m/>
    <x v="1"/>
    <s v="51615411001001"/>
    <n v="-53.25"/>
    <n v="1684"/>
    <n v="1"/>
    <n v="1"/>
  </r>
  <r>
    <m/>
    <m/>
    <x v="1"/>
    <s v="51618981001001"/>
    <n v="-67.599999999999994"/>
    <n v="2138"/>
    <n v="1"/>
    <n v="1"/>
  </r>
  <r>
    <m/>
    <m/>
    <x v="1"/>
    <s v="51625841001001"/>
    <n v="-48.69"/>
    <n v="1540"/>
    <n v="1"/>
    <n v="1"/>
  </r>
  <r>
    <m/>
    <m/>
    <x v="1"/>
    <s v="51625911001001"/>
    <n v="-28.08"/>
    <n v="888"/>
    <n v="1"/>
    <n v="1"/>
  </r>
  <r>
    <m/>
    <m/>
    <x v="1"/>
    <s v="51627031001001"/>
    <n v="-32"/>
    <n v="1012"/>
    <n v="1"/>
    <n v="1"/>
  </r>
  <r>
    <m/>
    <m/>
    <x v="1"/>
    <s v="51628011003001"/>
    <n v="-38.32"/>
    <n v="1212"/>
    <n v="1"/>
    <n v="1"/>
  </r>
  <r>
    <m/>
    <m/>
    <x v="1"/>
    <s v="51709201001002"/>
    <n v="-64.95"/>
    <n v="2054"/>
    <n v="1"/>
    <n v="1"/>
  </r>
  <r>
    <m/>
    <m/>
    <x v="1"/>
    <s v="52383903001008"/>
    <n v="-39.9"/>
    <n v="1262"/>
    <n v="1"/>
    <n v="1"/>
  </r>
  <r>
    <m/>
    <m/>
    <x v="1"/>
    <s v="52411414001001"/>
    <n v="-78.7"/>
    <n v="2489"/>
    <n v="1"/>
    <n v="1"/>
  </r>
  <r>
    <m/>
    <m/>
    <x v="1"/>
    <s v="52659071001002"/>
    <n v="-90.18"/>
    <n v="2852"/>
    <n v="1"/>
    <n v="1"/>
  </r>
  <r>
    <m/>
    <m/>
    <x v="1"/>
    <s v="52724555001001"/>
    <n v="-71.400000000000006"/>
    <n v="2258"/>
    <n v="1"/>
    <n v="1"/>
  </r>
  <r>
    <m/>
    <m/>
    <x v="1"/>
    <s v="53001899001007"/>
    <n v="-96.73"/>
    <n v="3059"/>
    <n v="1"/>
    <n v="1"/>
  </r>
  <r>
    <m/>
    <m/>
    <x v="1"/>
    <s v="53096079004003"/>
    <n v="-40.409999999999997"/>
    <n v="1278"/>
    <n v="1"/>
    <n v="1"/>
  </r>
  <r>
    <m/>
    <m/>
    <x v="1"/>
    <s v="53097867001003"/>
    <n v="-63.08"/>
    <n v="1995"/>
    <n v="1"/>
    <n v="1"/>
  </r>
  <r>
    <m/>
    <m/>
    <x v="1"/>
    <s v="53296048001001"/>
    <n v="-26.85"/>
    <n v="849"/>
    <n v="1"/>
    <n v="1"/>
  </r>
  <r>
    <m/>
    <m/>
    <x v="1"/>
    <s v="53355064001008"/>
    <n v="-34.69"/>
    <n v="1097"/>
    <n v="1"/>
    <n v="1"/>
  </r>
  <r>
    <m/>
    <m/>
    <x v="1"/>
    <s v="53358702001003"/>
    <n v="-5.66"/>
    <n v="179"/>
    <n v="1"/>
    <n v="1"/>
  </r>
  <r>
    <m/>
    <m/>
    <x v="1"/>
    <s v="53369288001006"/>
    <n v="-24.51"/>
    <n v="775"/>
    <n v="1"/>
    <n v="1"/>
  </r>
  <r>
    <m/>
    <m/>
    <x v="1"/>
    <s v="53400662001001"/>
    <n v="-62.39"/>
    <n v="1973"/>
    <n v="1"/>
    <n v="1"/>
  </r>
  <r>
    <m/>
    <m/>
    <x v="1"/>
    <s v="53425442001001"/>
    <n v="-57.49"/>
    <n v="1818"/>
    <n v="1"/>
    <n v="1"/>
  </r>
  <r>
    <m/>
    <m/>
    <x v="1"/>
    <s v="53697250001001"/>
    <n v="-63.97"/>
    <n v="2023"/>
    <n v="1"/>
    <n v="1"/>
  </r>
  <r>
    <m/>
    <m/>
    <x v="1"/>
    <s v="53848555001002"/>
    <n v="-66.72"/>
    <n v="2110"/>
    <n v="1"/>
    <n v="1"/>
  </r>
  <r>
    <m/>
    <m/>
    <x v="1"/>
    <s v="53915118004001"/>
    <n v="-85.94"/>
    <n v="2718"/>
    <n v="1"/>
    <n v="1"/>
  </r>
  <r>
    <m/>
    <m/>
    <x v="1"/>
    <s v="53970846001001"/>
    <n v="-43.35"/>
    <n v="1371"/>
    <n v="1"/>
    <n v="1"/>
  </r>
  <r>
    <m/>
    <m/>
    <x v="1"/>
    <s v="54028064001002"/>
    <n v="-72.98"/>
    <n v="2308"/>
    <n v="1"/>
    <n v="1"/>
  </r>
  <r>
    <m/>
    <m/>
    <x v="1"/>
    <s v="54147532001001"/>
    <n v="-45.88"/>
    <n v="1451"/>
    <n v="1"/>
    <n v="1"/>
  </r>
  <r>
    <m/>
    <m/>
    <x v="1"/>
    <s v="54213868001001"/>
    <n v="-117.88"/>
    <n v="3728"/>
    <n v="1"/>
    <n v="1"/>
  </r>
  <r>
    <m/>
    <m/>
    <x v="1"/>
    <s v="54604589002003"/>
    <n v="-11.98"/>
    <n v="379"/>
    <n v="1"/>
    <n v="1"/>
  </r>
  <r>
    <m/>
    <m/>
    <x v="1"/>
    <s v="54934096001001"/>
    <n v="-63.87"/>
    <n v="2020"/>
    <n v="1"/>
    <n v="1"/>
  </r>
  <r>
    <m/>
    <m/>
    <x v="1"/>
    <s v="55036747001002"/>
    <n v="-72.69"/>
    <n v="2299"/>
    <n v="1"/>
    <n v="1"/>
  </r>
  <r>
    <m/>
    <m/>
    <x v="1"/>
    <s v="55116401001003"/>
    <n v="-54.77"/>
    <n v="1732"/>
    <n v="1"/>
    <n v="1"/>
  </r>
  <r>
    <m/>
    <m/>
    <x v="1"/>
    <s v="55174948002001"/>
    <n v="-18.62"/>
    <n v="589"/>
    <n v="1"/>
    <n v="1"/>
  </r>
  <r>
    <m/>
    <m/>
    <x v="1"/>
    <s v="55611530002001"/>
    <n v="-83.6"/>
    <n v="2644"/>
    <n v="1"/>
    <n v="1"/>
  </r>
  <r>
    <m/>
    <m/>
    <x v="1"/>
    <s v="55719958002003"/>
    <n v="-135.65"/>
    <n v="4290"/>
    <n v="1"/>
    <n v="1"/>
  </r>
  <r>
    <m/>
    <m/>
    <x v="1"/>
    <s v="55904293003001"/>
    <n v="-68.87"/>
    <n v="2178"/>
    <n v="1"/>
    <n v="1"/>
  </r>
  <r>
    <m/>
    <m/>
    <x v="1"/>
    <s v="56072830001004"/>
    <n v="-38.229999999999997"/>
    <n v="1209"/>
    <n v="1"/>
    <n v="1"/>
  </r>
  <r>
    <m/>
    <m/>
    <x v="1"/>
    <s v="56095941001001"/>
    <n v="-58.72"/>
    <n v="1857"/>
    <n v="1"/>
    <n v="1"/>
  </r>
  <r>
    <m/>
    <m/>
    <x v="1"/>
    <s v="56315778001004"/>
    <n v="-85.53"/>
    <n v="2705"/>
    <n v="1"/>
    <n v="1"/>
  </r>
  <r>
    <m/>
    <m/>
    <x v="1"/>
    <s v="56469291001004"/>
    <n v="-60.49"/>
    <n v="1913"/>
    <n v="1"/>
    <n v="1"/>
  </r>
  <r>
    <m/>
    <m/>
    <x v="1"/>
    <s v="56619118001003"/>
    <n v="-81.42"/>
    <n v="2575"/>
    <n v="1"/>
    <n v="1"/>
  </r>
  <r>
    <m/>
    <m/>
    <x v="1"/>
    <s v="56745375001001"/>
    <n v="-13.09"/>
    <n v="414"/>
    <n v="1"/>
    <n v="1"/>
  </r>
  <r>
    <m/>
    <m/>
    <x v="1"/>
    <s v="56940246001005"/>
    <n v="-43.54"/>
    <n v="1377"/>
    <n v="1"/>
    <n v="1"/>
  </r>
  <r>
    <m/>
    <m/>
    <x v="1"/>
    <s v="57023876001009"/>
    <n v="-39.81"/>
    <n v="1259"/>
    <n v="1"/>
    <n v="1"/>
  </r>
  <r>
    <m/>
    <m/>
    <x v="1"/>
    <s v="57038793001001"/>
    <n v="-131.44"/>
    <n v="4157"/>
    <n v="1"/>
    <n v="1"/>
  </r>
  <r>
    <m/>
    <m/>
    <x v="1"/>
    <s v="57157582001007"/>
    <n v="-35.07"/>
    <n v="1109"/>
    <n v="1"/>
    <n v="1"/>
  </r>
  <r>
    <m/>
    <m/>
    <x v="1"/>
    <s v="57200363002001"/>
    <n v="-66.209999999999994"/>
    <n v="2094"/>
    <n v="1"/>
    <n v="1"/>
  </r>
  <r>
    <m/>
    <m/>
    <x v="1"/>
    <s v="57453412001005"/>
    <n v="-58.47"/>
    <n v="1849"/>
    <n v="1"/>
    <n v="1"/>
  </r>
  <r>
    <m/>
    <m/>
    <x v="1"/>
    <s v="57564327001001"/>
    <n v="-16"/>
    <n v="506"/>
    <n v="1"/>
    <n v="1"/>
  </r>
  <r>
    <m/>
    <m/>
    <x v="1"/>
    <s v="57629831001001"/>
    <n v="-72.790000000000006"/>
    <n v="2302"/>
    <n v="1"/>
    <n v="1"/>
  </r>
  <r>
    <m/>
    <m/>
    <x v="1"/>
    <s v="57674970002001"/>
    <n v="-85.03"/>
    <n v="2689"/>
    <n v="1"/>
    <n v="1"/>
  </r>
  <r>
    <m/>
    <m/>
    <x v="1"/>
    <s v="57785781001002"/>
    <n v="-67.22"/>
    <n v="2126"/>
    <n v="1"/>
    <n v="1"/>
  </r>
  <r>
    <m/>
    <m/>
    <x v="1"/>
    <s v="58035525001001"/>
    <n v="-24.51"/>
    <n v="775"/>
    <n v="1"/>
    <n v="1"/>
  </r>
  <r>
    <m/>
    <m/>
    <x v="1"/>
    <s v="58144822001002"/>
    <n v="-50.69"/>
    <n v="1603"/>
    <n v="1"/>
    <n v="1"/>
  </r>
  <r>
    <m/>
    <m/>
    <x v="1"/>
    <s v="58340544001005"/>
    <n v="-51.19"/>
    <n v="1619"/>
    <n v="1"/>
    <n v="1"/>
  </r>
  <r>
    <m/>
    <m/>
    <x v="1"/>
    <s v="58478126001001"/>
    <n v="-95.43"/>
    <n v="3018"/>
    <n v="1"/>
    <n v="1"/>
  </r>
  <r>
    <m/>
    <m/>
    <x v="1"/>
    <s v="58584299001003"/>
    <n v="-31.02"/>
    <n v="981"/>
    <n v="1"/>
    <n v="1"/>
  </r>
  <r>
    <m/>
    <m/>
    <x v="1"/>
    <s v="58619499001001"/>
    <n v="-96.41"/>
    <n v="3049"/>
    <n v="1"/>
    <n v="1"/>
  </r>
  <r>
    <m/>
    <m/>
    <x v="1"/>
    <s v="58719680001001"/>
    <n v="-42.05"/>
    <n v="1330"/>
    <n v="1"/>
    <n v="1"/>
  </r>
  <r>
    <m/>
    <m/>
    <x v="1"/>
    <s v="58909021001003"/>
    <n v="-8.19"/>
    <n v="259"/>
    <n v="1"/>
    <n v="1"/>
  </r>
  <r>
    <m/>
    <m/>
    <x v="1"/>
    <s v="58912198001001"/>
    <n v="-12.05"/>
    <n v="381"/>
    <n v="1"/>
    <n v="1"/>
  </r>
  <r>
    <m/>
    <m/>
    <x v="1"/>
    <s v="58941299001001"/>
    <n v="-8.3800000000000008"/>
    <n v="265"/>
    <n v="1"/>
    <n v="1"/>
  </r>
  <r>
    <m/>
    <m/>
    <x v="1"/>
    <s v="58961407001001"/>
    <n v="-1.58"/>
    <n v="50"/>
    <n v="1"/>
    <n v="1"/>
  </r>
  <r>
    <m/>
    <m/>
    <x v="1"/>
    <s v="59053011001001"/>
    <n v="-71.239999999999995"/>
    <n v="2253"/>
    <n v="1"/>
    <n v="1"/>
  </r>
  <r>
    <m/>
    <m/>
    <x v="1"/>
    <s v="59085749001001"/>
    <n v="-64.98"/>
    <n v="2055"/>
    <n v="1"/>
    <n v="1"/>
  </r>
  <r>
    <m/>
    <m/>
    <x v="1"/>
    <s v="59739422001001"/>
    <n v="-53.44"/>
    <n v="1690"/>
    <n v="1"/>
    <n v="1"/>
  </r>
  <r>
    <m/>
    <m/>
    <x v="1"/>
    <s v="59766552006003"/>
    <n v="-4.71"/>
    <n v="149"/>
    <n v="1"/>
    <n v="1"/>
  </r>
  <r>
    <m/>
    <m/>
    <x v="1"/>
    <s v="59904249001001"/>
    <n v="-70.77"/>
    <n v="2238"/>
    <n v="1"/>
    <n v="1"/>
  </r>
  <r>
    <m/>
    <m/>
    <x v="1"/>
    <s v="60000842001003"/>
    <n v="-63.37"/>
    <n v="2004"/>
    <n v="1"/>
    <n v="1"/>
  </r>
  <r>
    <m/>
    <m/>
    <x v="1"/>
    <s v="60111846001007"/>
    <n v="-55.43"/>
    <n v="1753"/>
    <n v="1"/>
    <n v="1"/>
  </r>
  <r>
    <m/>
    <m/>
    <x v="1"/>
    <s v="60292201001004"/>
    <n v="-85.25"/>
    <n v="2696"/>
    <n v="1"/>
    <n v="1"/>
  </r>
  <r>
    <m/>
    <m/>
    <x v="1"/>
    <s v="60362120001002"/>
    <n v="-46.64"/>
    <n v="1475"/>
    <n v="1"/>
    <n v="1"/>
  </r>
  <r>
    <m/>
    <m/>
    <x v="1"/>
    <s v="60524809001001"/>
    <n v="-96.79"/>
    <n v="3061"/>
    <n v="1"/>
    <n v="1"/>
  </r>
  <r>
    <m/>
    <m/>
    <x v="1"/>
    <s v="60536331001001"/>
    <n v="-65.86"/>
    <n v="2083"/>
    <n v="1"/>
    <n v="1"/>
  </r>
  <r>
    <m/>
    <m/>
    <x v="1"/>
    <s v="60756030001002"/>
    <n v="-70.23"/>
    <n v="2221"/>
    <n v="1"/>
    <n v="1"/>
  </r>
  <r>
    <m/>
    <m/>
    <x v="1"/>
    <s v="60784386002004"/>
    <n v="-62.35"/>
    <n v="1972"/>
    <n v="1"/>
    <n v="1"/>
  </r>
  <r>
    <m/>
    <m/>
    <x v="1"/>
    <s v="60842999001005"/>
    <n v="-45.66"/>
    <n v="1444"/>
    <n v="1"/>
    <n v="1"/>
  </r>
  <r>
    <m/>
    <m/>
    <x v="1"/>
    <s v="60891092001002"/>
    <n v="-53.37"/>
    <n v="1688"/>
    <n v="1"/>
    <n v="1"/>
  </r>
  <r>
    <m/>
    <m/>
    <x v="1"/>
    <s v="61204050001007"/>
    <n v="-45.41"/>
    <n v="1436"/>
    <n v="1"/>
    <n v="1"/>
  </r>
  <r>
    <m/>
    <m/>
    <x v="1"/>
    <s v="61241854001001"/>
    <n v="-31.81"/>
    <n v="1006"/>
    <n v="1"/>
    <n v="1"/>
  </r>
  <r>
    <m/>
    <m/>
    <x v="1"/>
    <s v="61308081001001"/>
    <n v="-64.44"/>
    <n v="2038"/>
    <n v="1"/>
    <n v="1"/>
  </r>
  <r>
    <m/>
    <m/>
    <x v="1"/>
    <s v="61432189003001"/>
    <n v="-21.94"/>
    <n v="694"/>
    <n v="1"/>
    <n v="1"/>
  </r>
  <r>
    <m/>
    <m/>
    <x v="1"/>
    <s v="61514360001001"/>
    <n v="-23.15"/>
    <n v="732"/>
    <n v="1"/>
    <n v="1"/>
  </r>
  <r>
    <m/>
    <m/>
    <x v="1"/>
    <s v="61683151001005"/>
    <n v="-25.39"/>
    <n v="803"/>
    <n v="1"/>
    <n v="1"/>
  </r>
  <r>
    <m/>
    <m/>
    <x v="1"/>
    <s v="61690664001003"/>
    <n v="-14.07"/>
    <n v="445"/>
    <n v="1"/>
    <n v="1"/>
  </r>
  <r>
    <m/>
    <m/>
    <x v="1"/>
    <s v="62003086001001"/>
    <n v="-47.9"/>
    <n v="1515"/>
    <n v="1"/>
    <n v="1"/>
  </r>
  <r>
    <m/>
    <m/>
    <x v="1"/>
    <s v="62350475002004"/>
    <n v="-25.68"/>
    <n v="812"/>
    <n v="1"/>
    <n v="1"/>
  </r>
  <r>
    <m/>
    <m/>
    <x v="1"/>
    <s v="62406515001008"/>
    <n v="-63.24"/>
    <n v="2000"/>
    <n v="1"/>
    <n v="1"/>
  </r>
  <r>
    <m/>
    <m/>
    <x v="1"/>
    <s v="62483712001004"/>
    <n v="-49.01"/>
    <n v="1550"/>
    <n v="1"/>
    <n v="1"/>
  </r>
  <r>
    <m/>
    <m/>
    <x v="1"/>
    <s v="62495514001001"/>
    <n v="-49.45"/>
    <n v="1564"/>
    <n v="1"/>
    <n v="1"/>
  </r>
  <r>
    <m/>
    <m/>
    <x v="1"/>
    <s v="62696292002001"/>
    <n v="-139.38"/>
    <n v="4408"/>
    <n v="1"/>
    <n v="1"/>
  </r>
  <r>
    <m/>
    <m/>
    <x v="1"/>
    <s v="62844982001007"/>
    <n v="-76.39"/>
    <n v="2416"/>
    <n v="1"/>
    <n v="1"/>
  </r>
  <r>
    <m/>
    <m/>
    <x v="1"/>
    <s v="62873190001003"/>
    <n v="-37.94"/>
    <n v="1200"/>
    <n v="1"/>
    <n v="1"/>
  </r>
  <r>
    <m/>
    <m/>
    <x v="1"/>
    <s v="62914468001003"/>
    <n v="-72.760000000000005"/>
    <n v="2301"/>
    <n v="1"/>
    <n v="1"/>
  </r>
  <r>
    <m/>
    <m/>
    <x v="1"/>
    <s v="63421413002003"/>
    <n v="-4.1100000000000003"/>
    <n v="130"/>
    <n v="1"/>
    <n v="1"/>
  </r>
  <r>
    <m/>
    <m/>
    <x v="1"/>
    <s v="63875460001002"/>
    <n v="-39.97"/>
    <n v="1264"/>
    <n v="1"/>
    <n v="1"/>
  </r>
  <r>
    <m/>
    <m/>
    <x v="1"/>
    <s v="63898256001003"/>
    <n v="-42.02"/>
    <n v="1329"/>
    <n v="1"/>
    <n v="1"/>
  </r>
  <r>
    <m/>
    <m/>
    <x v="1"/>
    <s v="64166284001002"/>
    <n v="-62.2"/>
    <n v="1967"/>
    <n v="1"/>
    <n v="1"/>
  </r>
  <r>
    <m/>
    <m/>
    <x v="1"/>
    <s v="64399841001001"/>
    <n v="-71.81"/>
    <n v="2271"/>
    <n v="1"/>
    <n v="1"/>
  </r>
  <r>
    <m/>
    <m/>
    <x v="1"/>
    <s v="64490968001005"/>
    <n v="-67.41"/>
    <n v="2132"/>
    <n v="1"/>
    <n v="1"/>
  </r>
  <r>
    <m/>
    <m/>
    <x v="1"/>
    <s v="64802495002001"/>
    <n v="-69.790000000000006"/>
    <n v="2207"/>
    <n v="1"/>
    <n v="1"/>
  </r>
  <r>
    <m/>
    <m/>
    <x v="1"/>
    <s v="64825767001002"/>
    <n v="-58.37"/>
    <n v="1846"/>
    <n v="1"/>
    <n v="1"/>
  </r>
  <r>
    <m/>
    <m/>
    <x v="1"/>
    <s v="64826160001001"/>
    <n v="-56.47"/>
    <n v="1786"/>
    <n v="1"/>
    <n v="1"/>
  </r>
  <r>
    <m/>
    <m/>
    <x v="1"/>
    <s v="64995258001006"/>
    <n v="-31.02"/>
    <n v="981"/>
    <n v="1"/>
    <n v="1"/>
  </r>
  <r>
    <m/>
    <m/>
    <x v="1"/>
    <s v="65005121001001"/>
    <n v="-76.58"/>
    <n v="2422"/>
    <n v="1"/>
    <n v="1"/>
  </r>
  <r>
    <m/>
    <m/>
    <x v="1"/>
    <s v="65039500002001"/>
    <n v="-19.920000000000002"/>
    <n v="630"/>
    <n v="1"/>
    <n v="1"/>
  </r>
  <r>
    <m/>
    <m/>
    <x v="1"/>
    <s v="65041396001006"/>
    <n v="-4.5199999999999996"/>
    <n v="143"/>
    <n v="1"/>
    <n v="1"/>
  </r>
  <r>
    <m/>
    <m/>
    <x v="1"/>
    <s v="65474469002008"/>
    <n v="-35.700000000000003"/>
    <n v="1129"/>
    <n v="1"/>
    <n v="1"/>
  </r>
  <r>
    <m/>
    <m/>
    <x v="1"/>
    <s v="65693388001001"/>
    <n v="-11.48"/>
    <n v="363"/>
    <n v="1"/>
    <n v="1"/>
  </r>
  <r>
    <m/>
    <m/>
    <x v="1"/>
    <s v="65715070001003"/>
    <n v="-43.13"/>
    <n v="1364"/>
    <n v="1"/>
    <n v="1"/>
  </r>
  <r>
    <m/>
    <m/>
    <x v="1"/>
    <s v="65721814002001"/>
    <n v="-23.18"/>
    <n v="733"/>
    <n v="1"/>
    <n v="1"/>
  </r>
  <r>
    <m/>
    <m/>
    <x v="1"/>
    <s v="65788356001004"/>
    <n v="-17.39"/>
    <n v="550"/>
    <n v="1"/>
    <n v="1"/>
  </r>
  <r>
    <m/>
    <m/>
    <x v="1"/>
    <s v="65840761001001"/>
    <n v="-23.81"/>
    <n v="753"/>
    <n v="1"/>
    <n v="1"/>
  </r>
  <r>
    <m/>
    <m/>
    <x v="1"/>
    <s v="65950461002001"/>
    <n v="-3.32"/>
    <n v="105"/>
    <n v="1"/>
    <n v="1"/>
  </r>
  <r>
    <m/>
    <m/>
    <x v="1"/>
    <s v="65958777001001"/>
    <n v="-62.45"/>
    <n v="1975"/>
    <n v="1"/>
    <n v="1"/>
  </r>
  <r>
    <m/>
    <m/>
    <x v="1"/>
    <s v="66035608002005"/>
    <n v="-50.88"/>
    <n v="1609"/>
    <n v="1"/>
    <n v="1"/>
  </r>
  <r>
    <m/>
    <m/>
    <x v="1"/>
    <s v="66054732001002"/>
    <n v="-44.87"/>
    <n v="1419"/>
    <n v="1"/>
    <n v="1"/>
  </r>
  <r>
    <m/>
    <m/>
    <x v="1"/>
    <s v="66058349001002"/>
    <n v="-3.45"/>
    <n v="109"/>
    <n v="1"/>
    <n v="1"/>
  </r>
  <r>
    <m/>
    <m/>
    <x v="1"/>
    <s v="66122783001004"/>
    <n v="-8.4700000000000006"/>
    <n v="268"/>
    <n v="1"/>
    <n v="1"/>
  </r>
  <r>
    <m/>
    <m/>
    <x v="1"/>
    <s v="66293697001004"/>
    <n v="-78.83"/>
    <n v="2493"/>
    <n v="1"/>
    <n v="1"/>
  </r>
  <r>
    <m/>
    <m/>
    <x v="1"/>
    <s v="66312415001001"/>
    <n v="-27.32"/>
    <n v="864"/>
    <n v="1"/>
    <n v="1"/>
  </r>
  <r>
    <m/>
    <m/>
    <x v="1"/>
    <s v="66355473001004"/>
    <n v="-61.37"/>
    <n v="1941"/>
    <n v="1"/>
    <n v="1"/>
  </r>
  <r>
    <m/>
    <m/>
    <x v="1"/>
    <s v="66682187001001"/>
    <n v="-63.75"/>
    <n v="2016"/>
    <n v="1"/>
    <n v="1"/>
  </r>
  <r>
    <m/>
    <m/>
    <x v="1"/>
    <s v="66961339001001"/>
    <n v="-8.6999999999999993"/>
    <n v="275"/>
    <n v="1"/>
    <n v="1"/>
  </r>
  <r>
    <m/>
    <m/>
    <x v="1"/>
    <s v="67052660001005"/>
    <n v="-49.55"/>
    <n v="1567"/>
    <n v="1"/>
    <n v="1"/>
  </r>
  <r>
    <m/>
    <m/>
    <x v="1"/>
    <s v="67248743001001"/>
    <n v="-7.72"/>
    <n v="244"/>
    <n v="1"/>
    <n v="1"/>
  </r>
  <r>
    <m/>
    <m/>
    <x v="1"/>
    <s v="67271689001005"/>
    <n v="-65.23"/>
    <n v="2063"/>
    <n v="1"/>
    <n v="1"/>
  </r>
  <r>
    <m/>
    <m/>
    <x v="1"/>
    <s v="67306787001001"/>
    <n v="-78.2"/>
    <n v="2473"/>
    <n v="1"/>
    <n v="1"/>
  </r>
  <r>
    <m/>
    <m/>
    <x v="1"/>
    <s v="67805859001003"/>
    <n v="-81.58"/>
    <n v="2580"/>
    <n v="1"/>
    <n v="1"/>
  </r>
  <r>
    <m/>
    <m/>
    <x v="1"/>
    <s v="67923885001001"/>
    <n v="-38.39"/>
    <n v="1214"/>
    <n v="1"/>
    <n v="1"/>
  </r>
  <r>
    <m/>
    <m/>
    <x v="1"/>
    <s v="68082611001001"/>
    <n v="-54.26"/>
    <n v="1716"/>
    <n v="1"/>
    <n v="1"/>
  </r>
  <r>
    <m/>
    <m/>
    <x v="1"/>
    <s v="68114504001003"/>
    <n v="-6.26"/>
    <n v="198"/>
    <n v="1"/>
    <n v="1"/>
  </r>
  <r>
    <m/>
    <m/>
    <x v="1"/>
    <s v="68173550001001"/>
    <n v="-98.56"/>
    <n v="3117"/>
    <n v="2"/>
    <n v="1"/>
  </r>
  <r>
    <m/>
    <m/>
    <x v="1"/>
    <s v="68326356001009"/>
    <n v="-21.5"/>
    <n v="680"/>
    <n v="1"/>
    <n v="1"/>
  </r>
  <r>
    <m/>
    <m/>
    <x v="1"/>
    <s v="68453365001002"/>
    <n v="-56.54"/>
    <n v="1788"/>
    <n v="1"/>
    <n v="1"/>
  </r>
  <r>
    <m/>
    <m/>
    <x v="1"/>
    <s v="68562129001001"/>
    <n v="-56.76"/>
    <n v="1795"/>
    <n v="1"/>
    <n v="1"/>
  </r>
  <r>
    <m/>
    <m/>
    <x v="1"/>
    <s v="68711288001003"/>
    <n v="-108.74"/>
    <n v="3439"/>
    <n v="1"/>
    <n v="1"/>
  </r>
  <r>
    <m/>
    <m/>
    <x v="1"/>
    <s v="68836312001001"/>
    <n v="-25.36"/>
    <n v="802"/>
    <n v="1"/>
    <n v="1"/>
  </r>
  <r>
    <m/>
    <m/>
    <x v="1"/>
    <s v="68837584001003"/>
    <n v="-7.21"/>
    <n v="228"/>
    <n v="1"/>
    <n v="1"/>
  </r>
  <r>
    <m/>
    <m/>
    <x v="1"/>
    <s v="68842639001001"/>
    <n v="-108.9"/>
    <n v="3444"/>
    <n v="1"/>
    <n v="1"/>
  </r>
  <r>
    <m/>
    <m/>
    <x v="1"/>
    <s v="68900747001003"/>
    <n v="-49.39"/>
    <n v="1562"/>
    <n v="1"/>
    <n v="1"/>
  </r>
  <r>
    <m/>
    <m/>
    <x v="1"/>
    <s v="68970693003001"/>
    <n v="-46.23"/>
    <n v="1462"/>
    <n v="1"/>
    <n v="1"/>
  </r>
  <r>
    <m/>
    <m/>
    <x v="1"/>
    <s v="69000077001002"/>
    <n v="-99.63"/>
    <n v="3151"/>
    <n v="1"/>
    <n v="1"/>
  </r>
  <r>
    <m/>
    <m/>
    <x v="1"/>
    <s v="69182870001007"/>
    <n v="-86.96"/>
    <n v="2750"/>
    <n v="1"/>
    <n v="1"/>
  </r>
  <r>
    <m/>
    <m/>
    <x v="1"/>
    <s v="69208025001001"/>
    <n v="-45.34"/>
    <n v="1434"/>
    <n v="1"/>
    <n v="1"/>
  </r>
  <r>
    <m/>
    <m/>
    <x v="1"/>
    <s v="69274934001001"/>
    <n v="-50.72"/>
    <n v="1604"/>
    <n v="1"/>
    <n v="1"/>
  </r>
  <r>
    <m/>
    <m/>
    <x v="1"/>
    <s v="69445924001001"/>
    <n v="-49.42"/>
    <n v="1563"/>
    <n v="1"/>
    <n v="1"/>
  </r>
  <r>
    <m/>
    <m/>
    <x v="1"/>
    <s v="69542400001002"/>
    <n v="-77.06"/>
    <n v="2437"/>
    <n v="1"/>
    <n v="1"/>
  </r>
  <r>
    <m/>
    <m/>
    <x v="1"/>
    <s v="69778160001001"/>
    <n v="-76.959999999999994"/>
    <n v="2434"/>
    <n v="1"/>
    <n v="1"/>
  </r>
  <r>
    <m/>
    <m/>
    <x v="1"/>
    <s v="69851222003003"/>
    <n v="-59.95"/>
    <n v="1896"/>
    <n v="1"/>
    <n v="1"/>
  </r>
  <r>
    <m/>
    <m/>
    <x v="1"/>
    <s v="69906946003001"/>
    <n v="-20.329999999999998"/>
    <n v="643"/>
    <n v="1"/>
    <n v="1"/>
  </r>
  <r>
    <m/>
    <m/>
    <x v="1"/>
    <s v="70041367001007"/>
    <n v="-1.77"/>
    <n v="56"/>
    <n v="1"/>
    <n v="1"/>
  </r>
  <r>
    <m/>
    <m/>
    <x v="1"/>
    <s v="70272425001001"/>
    <n v="-61.09"/>
    <n v="1932"/>
    <n v="1"/>
    <n v="1"/>
  </r>
  <r>
    <m/>
    <m/>
    <x v="1"/>
    <s v="70350989002001"/>
    <n v="-7.84"/>
    <n v="248"/>
    <n v="1"/>
    <n v="1"/>
  </r>
  <r>
    <m/>
    <m/>
    <x v="1"/>
    <s v="70468885005005"/>
    <n v="-21.69"/>
    <n v="686"/>
    <n v="1"/>
    <n v="1"/>
  </r>
  <r>
    <m/>
    <m/>
    <x v="1"/>
    <s v="70566844001001"/>
    <n v="-47.11"/>
    <n v="1490"/>
    <n v="1"/>
    <n v="1"/>
  </r>
  <r>
    <m/>
    <m/>
    <x v="1"/>
    <s v="70587997002003"/>
    <n v="-44.49"/>
    <n v="1407"/>
    <n v="1"/>
    <n v="1"/>
  </r>
  <r>
    <m/>
    <m/>
    <x v="1"/>
    <s v="70944177001002"/>
    <n v="-19.95"/>
    <n v="631"/>
    <n v="1"/>
    <n v="1"/>
  </r>
  <r>
    <m/>
    <m/>
    <x v="1"/>
    <s v="71138151001006"/>
    <n v="-8.0299999999999994"/>
    <n v="254"/>
    <n v="1"/>
    <n v="1"/>
  </r>
  <r>
    <m/>
    <m/>
    <x v="1"/>
    <s v="71197984001001"/>
    <n v="-35.159999999999997"/>
    <n v="1112"/>
    <n v="1"/>
    <n v="1"/>
  </r>
  <r>
    <m/>
    <m/>
    <x v="1"/>
    <s v="71278625001004"/>
    <n v="-90.5"/>
    <n v="2862"/>
    <n v="1"/>
    <n v="1"/>
  </r>
  <r>
    <m/>
    <m/>
    <x v="1"/>
    <s v="71291713001001"/>
    <n v="-13.41"/>
    <n v="424"/>
    <n v="1"/>
    <n v="1"/>
  </r>
  <r>
    <m/>
    <m/>
    <x v="1"/>
    <s v="71634438001003"/>
    <n v="-20.36"/>
    <n v="644"/>
    <n v="1"/>
    <n v="1"/>
  </r>
  <r>
    <m/>
    <m/>
    <x v="1"/>
    <s v="71771535001003"/>
    <n v="-11.83"/>
    <n v="374"/>
    <n v="1"/>
    <n v="1"/>
  </r>
  <r>
    <m/>
    <m/>
    <x v="1"/>
    <s v="71822800001001"/>
    <n v="-124.71"/>
    <n v="3944"/>
    <n v="1"/>
    <n v="1"/>
  </r>
  <r>
    <m/>
    <m/>
    <x v="1"/>
    <s v="71983541001003"/>
    <n v="-45.37"/>
    <n v="1435"/>
    <n v="1"/>
    <n v="1"/>
  </r>
  <r>
    <m/>
    <m/>
    <x v="1"/>
    <s v="72021826001002"/>
    <n v="-160.22"/>
    <n v="5067"/>
    <n v="1"/>
    <n v="1"/>
  </r>
  <r>
    <m/>
    <m/>
    <x v="1"/>
    <s v="72706041002001"/>
    <n v="-58.18"/>
    <n v="1840"/>
    <n v="1"/>
    <n v="1"/>
  </r>
  <r>
    <m/>
    <m/>
    <x v="1"/>
    <s v="72816069001004"/>
    <n v="-28.14"/>
    <n v="890"/>
    <n v="1"/>
    <n v="1"/>
  </r>
  <r>
    <m/>
    <m/>
    <x v="1"/>
    <s v="72947721001001"/>
    <n v="-3.1"/>
    <n v="98"/>
    <n v="1"/>
    <n v="1"/>
  </r>
  <r>
    <m/>
    <m/>
    <x v="1"/>
    <s v="73203415001002"/>
    <n v="-32.159999999999997"/>
    <n v="1017"/>
    <n v="1"/>
    <n v="1"/>
  </r>
  <r>
    <m/>
    <m/>
    <x v="1"/>
    <s v="73497461001001"/>
    <n v="-73.739999999999995"/>
    <n v="2332"/>
    <n v="1"/>
    <n v="1"/>
  </r>
  <r>
    <m/>
    <m/>
    <x v="1"/>
    <s v="73519230001001"/>
    <n v="-72"/>
    <n v="2277"/>
    <n v="1"/>
    <n v="1"/>
  </r>
  <r>
    <m/>
    <m/>
    <x v="1"/>
    <s v="73571653001001"/>
    <n v="-11.64"/>
    <n v="368"/>
    <n v="1"/>
    <n v="1"/>
  </r>
  <r>
    <m/>
    <m/>
    <x v="1"/>
    <s v="73783764001001"/>
    <n v="-10.02"/>
    <n v="317"/>
    <n v="1"/>
    <n v="1"/>
  </r>
  <r>
    <m/>
    <m/>
    <x v="1"/>
    <s v="73932323001001"/>
    <n v="-37.119999999999997"/>
    <n v="1174"/>
    <n v="1"/>
    <n v="1"/>
  </r>
  <r>
    <m/>
    <m/>
    <x v="1"/>
    <s v="74076340001005"/>
    <n v="-33.42"/>
    <n v="1057"/>
    <n v="1"/>
    <n v="1"/>
  </r>
  <r>
    <m/>
    <m/>
    <x v="1"/>
    <s v="74187446001006"/>
    <n v="-84.05"/>
    <n v="2658"/>
    <n v="1"/>
    <n v="1"/>
  </r>
  <r>
    <m/>
    <m/>
    <x v="1"/>
    <s v="74229049001001"/>
    <n v="-56.32"/>
    <n v="1781"/>
    <n v="1"/>
    <n v="1"/>
  </r>
  <r>
    <m/>
    <m/>
    <x v="1"/>
    <s v="74349005002009"/>
    <n v="-11.89"/>
    <n v="376"/>
    <n v="1"/>
    <n v="1"/>
  </r>
  <r>
    <m/>
    <m/>
    <x v="1"/>
    <s v="74351356002001"/>
    <n v="-96.76"/>
    <n v="3060"/>
    <n v="1"/>
    <n v="1"/>
  </r>
  <r>
    <m/>
    <m/>
    <x v="1"/>
    <s v="74361620004003"/>
    <n v="-110.67"/>
    <n v="3500"/>
    <n v="1"/>
    <n v="1"/>
  </r>
  <r>
    <m/>
    <m/>
    <x v="1"/>
    <s v="74369035001005"/>
    <n v="-48"/>
    <n v="1518"/>
    <n v="1"/>
    <n v="1"/>
  </r>
  <r>
    <m/>
    <m/>
    <x v="1"/>
    <s v="74792156002002"/>
    <n v="-30.51"/>
    <n v="965"/>
    <n v="1"/>
    <n v="1"/>
  </r>
  <r>
    <m/>
    <m/>
    <x v="1"/>
    <s v="75448417001001"/>
    <n v="-25.07"/>
    <n v="793"/>
    <n v="1"/>
    <n v="1"/>
  </r>
  <r>
    <m/>
    <m/>
    <x v="1"/>
    <s v="75795051001003"/>
    <n v="-2.2799999999999998"/>
    <n v="72"/>
    <n v="1"/>
    <n v="1"/>
  </r>
  <r>
    <m/>
    <m/>
    <x v="1"/>
    <s v="75990063001006"/>
    <n v="-2.5299999999999998"/>
    <n v="80"/>
    <n v="1"/>
    <n v="1"/>
  </r>
  <r>
    <m/>
    <m/>
    <x v="1"/>
    <s v="76201540001001"/>
    <n v="-59.95"/>
    <n v="1896"/>
    <n v="1"/>
    <n v="1"/>
  </r>
  <r>
    <m/>
    <m/>
    <x v="1"/>
    <s v="76293471001003"/>
    <n v="-19.86"/>
    <n v="628"/>
    <n v="1"/>
    <n v="1"/>
  </r>
  <r>
    <m/>
    <m/>
    <x v="1"/>
    <s v="76309694001001"/>
    <n v="-9.5500000000000007"/>
    <n v="302"/>
    <n v="1"/>
    <n v="1"/>
  </r>
  <r>
    <m/>
    <m/>
    <x v="1"/>
    <s v="76557994001004"/>
    <n v="-1.64"/>
    <n v="52"/>
    <n v="1"/>
    <n v="1"/>
  </r>
  <r>
    <m/>
    <m/>
    <x v="1"/>
    <s v="76595548001001"/>
    <n v="-78.7"/>
    <n v="2489"/>
    <n v="1"/>
    <n v="1"/>
  </r>
  <r>
    <m/>
    <m/>
    <x v="1"/>
    <s v="76680484001004"/>
    <n v="-62.77"/>
    <n v="1985"/>
    <n v="1"/>
    <n v="1"/>
  </r>
  <r>
    <m/>
    <m/>
    <x v="1"/>
    <s v="76713060001001"/>
    <n v="-121.52"/>
    <n v="3843"/>
    <n v="1"/>
    <n v="1"/>
  </r>
  <r>
    <m/>
    <m/>
    <x v="1"/>
    <s v="76834821003003"/>
    <n v="-13.03"/>
    <n v="412"/>
    <n v="1"/>
    <n v="1"/>
  </r>
  <r>
    <m/>
    <m/>
    <x v="1"/>
    <s v="77104713001006"/>
    <n v="-53.94"/>
    <n v="1706"/>
    <n v="1"/>
    <n v="1"/>
  </r>
  <r>
    <m/>
    <m/>
    <x v="1"/>
    <s v="77431809001003"/>
    <n v="-44.62"/>
    <n v="1411"/>
    <n v="1"/>
    <n v="1"/>
  </r>
  <r>
    <m/>
    <m/>
    <x v="1"/>
    <s v="77469310001005"/>
    <n v="-40.19"/>
    <n v="1271"/>
    <n v="1"/>
    <n v="1"/>
  </r>
  <r>
    <m/>
    <m/>
    <x v="1"/>
    <s v="77575291004001"/>
    <n v="-85.82"/>
    <n v="2714"/>
    <n v="1"/>
    <n v="1"/>
  </r>
  <r>
    <m/>
    <m/>
    <x v="1"/>
    <s v="77660994001001"/>
    <n v="-33.229999999999997"/>
    <n v="1051"/>
    <n v="1"/>
    <n v="1"/>
  </r>
  <r>
    <m/>
    <m/>
    <x v="1"/>
    <s v="77813221001001"/>
    <n v="-7.02"/>
    <n v="222"/>
    <n v="1"/>
    <n v="1"/>
  </r>
  <r>
    <m/>
    <m/>
    <x v="1"/>
    <s v="77922884001002"/>
    <n v="-41.83"/>
    <n v="1323"/>
    <n v="1"/>
    <n v="1"/>
  </r>
  <r>
    <m/>
    <m/>
    <x v="1"/>
    <s v="77931356002006"/>
    <n v="-58.78"/>
    <n v="1859"/>
    <n v="1"/>
    <n v="1"/>
  </r>
  <r>
    <m/>
    <m/>
    <x v="1"/>
    <s v="77981276001001"/>
    <n v="-31.37"/>
    <n v="992"/>
    <n v="1"/>
    <n v="1"/>
  </r>
  <r>
    <m/>
    <m/>
    <x v="1"/>
    <s v="78058251001001"/>
    <n v="-130.27000000000001"/>
    <n v="4120"/>
    <n v="1"/>
    <n v="1"/>
  </r>
  <r>
    <m/>
    <m/>
    <x v="1"/>
    <s v="78258113001003"/>
    <n v="-30.45"/>
    <n v="963"/>
    <n v="1"/>
    <n v="1"/>
  </r>
  <r>
    <m/>
    <m/>
    <x v="1"/>
    <s v="78534949001001"/>
    <n v="-6.67"/>
    <n v="211"/>
    <n v="1"/>
    <n v="1"/>
  </r>
  <r>
    <m/>
    <m/>
    <x v="1"/>
    <s v="78621225002001"/>
    <n v="-53.66"/>
    <n v="1697"/>
    <n v="1"/>
    <n v="1"/>
  </r>
  <r>
    <m/>
    <m/>
    <x v="1"/>
    <s v="78764555001002"/>
    <n v="-45.72"/>
    <n v="1446"/>
    <n v="1"/>
    <n v="1"/>
  </r>
  <r>
    <m/>
    <m/>
    <x v="1"/>
    <s v="79557576001005"/>
    <n v="-26.88"/>
    <n v="850"/>
    <n v="1"/>
    <n v="1"/>
  </r>
  <r>
    <m/>
    <m/>
    <x v="1"/>
    <s v="79713989002001"/>
    <n v="-53.34"/>
    <n v="1687"/>
    <n v="1"/>
    <n v="1"/>
  </r>
  <r>
    <m/>
    <m/>
    <x v="1"/>
    <s v="79889145002003"/>
    <n v="-38.130000000000003"/>
    <n v="1206"/>
    <n v="1"/>
    <n v="1"/>
  </r>
  <r>
    <m/>
    <m/>
    <x v="1"/>
    <s v="80230379001001"/>
    <n v="-0.51"/>
    <n v="16"/>
    <n v="1"/>
    <n v="1"/>
  </r>
  <r>
    <m/>
    <m/>
    <x v="1"/>
    <s v="80725718001001"/>
    <n v="-15.65"/>
    <n v="495"/>
    <n v="1"/>
    <n v="1"/>
  </r>
  <r>
    <m/>
    <m/>
    <x v="1"/>
    <s v="80768782001005"/>
    <n v="-52.46"/>
    <n v="1659"/>
    <n v="1"/>
    <n v="1"/>
  </r>
  <r>
    <m/>
    <m/>
    <x v="1"/>
    <s v="80965084001001"/>
    <n v="-71.239999999999995"/>
    <n v="2253"/>
    <n v="1"/>
    <n v="1"/>
  </r>
  <r>
    <m/>
    <m/>
    <x v="1"/>
    <s v="81097028001001"/>
    <n v="-30.32"/>
    <n v="959"/>
    <n v="1"/>
    <n v="1"/>
  </r>
  <r>
    <m/>
    <m/>
    <x v="1"/>
    <s v="81099232001001"/>
    <n v="-13.44"/>
    <n v="425"/>
    <n v="1"/>
    <n v="1"/>
  </r>
  <r>
    <m/>
    <m/>
    <x v="1"/>
    <s v="81117422001006"/>
    <n v="-63.65"/>
    <n v="2013"/>
    <n v="1"/>
    <n v="1"/>
  </r>
  <r>
    <m/>
    <m/>
    <x v="1"/>
    <s v="81284913001001"/>
    <n v="-20.74"/>
    <n v="656"/>
    <n v="1"/>
    <n v="1"/>
  </r>
  <r>
    <m/>
    <m/>
    <x v="1"/>
    <s v="81404769001001"/>
    <n v="-1.04"/>
    <n v="33"/>
    <n v="1"/>
    <n v="1"/>
  </r>
  <r>
    <m/>
    <m/>
    <x v="1"/>
    <s v="81678039001001"/>
    <n v="-131.54"/>
    <n v="4160"/>
    <n v="1"/>
    <n v="1"/>
  </r>
  <r>
    <m/>
    <m/>
    <x v="1"/>
    <s v="81905257001001"/>
    <n v="-57.36"/>
    <n v="1814"/>
    <n v="1"/>
    <n v="1"/>
  </r>
  <r>
    <m/>
    <m/>
    <x v="1"/>
    <s v="82161245001007"/>
    <n v="-11.23"/>
    <n v="355"/>
    <n v="1"/>
    <n v="1"/>
  </r>
  <r>
    <m/>
    <m/>
    <x v="1"/>
    <s v="82377267004001"/>
    <n v="-91.16"/>
    <n v="2883"/>
    <n v="1"/>
    <n v="1"/>
  </r>
  <r>
    <m/>
    <m/>
    <x v="1"/>
    <s v="82389671001001"/>
    <n v="-66.94"/>
    <n v="2117"/>
    <n v="1"/>
    <n v="1"/>
  </r>
  <r>
    <m/>
    <m/>
    <x v="1"/>
    <s v="82440956001001"/>
    <n v="-67.03"/>
    <n v="2120"/>
    <n v="1"/>
    <n v="1"/>
  </r>
  <r>
    <m/>
    <m/>
    <x v="1"/>
    <s v="82697231001002"/>
    <n v="-24.92"/>
    <n v="788"/>
    <n v="1"/>
    <n v="1"/>
  </r>
  <r>
    <m/>
    <m/>
    <x v="1"/>
    <s v="82960555001001"/>
    <n v="-95.81"/>
    <n v="3030"/>
    <n v="1"/>
    <n v="1"/>
  </r>
  <r>
    <m/>
    <m/>
    <x v="1"/>
    <s v="83010955001001"/>
    <n v="-15.94"/>
    <n v="504"/>
    <n v="1"/>
    <n v="1"/>
  </r>
  <r>
    <m/>
    <m/>
    <x v="1"/>
    <s v="83058315001004"/>
    <n v="-45.03"/>
    <n v="1424"/>
    <n v="1"/>
    <n v="1"/>
  </r>
  <r>
    <m/>
    <m/>
    <x v="1"/>
    <s v="83084544001001"/>
    <n v="-48.95"/>
    <n v="1548"/>
    <n v="1"/>
    <n v="1"/>
  </r>
  <r>
    <m/>
    <m/>
    <x v="1"/>
    <s v="83187563001001"/>
    <n v="-23.34"/>
    <n v="738"/>
    <n v="1"/>
    <n v="1"/>
  </r>
  <r>
    <m/>
    <m/>
    <x v="1"/>
    <s v="83337256001001"/>
    <n v="-15.3"/>
    <n v="484"/>
    <n v="1"/>
    <n v="1"/>
  </r>
  <r>
    <m/>
    <m/>
    <x v="1"/>
    <s v="83430858001001"/>
    <n v="-62.67"/>
    <n v="1982"/>
    <n v="1"/>
    <n v="1"/>
  </r>
  <r>
    <m/>
    <m/>
    <x v="1"/>
    <s v="83637951001001"/>
    <n v="-0.79"/>
    <n v="25"/>
    <n v="1"/>
    <n v="1"/>
  </r>
  <r>
    <m/>
    <m/>
    <x v="1"/>
    <s v="83648881001001"/>
    <n v="-82.5"/>
    <n v="2609"/>
    <n v="1"/>
    <n v="1"/>
  </r>
  <r>
    <m/>
    <m/>
    <x v="1"/>
    <s v="83710025001001"/>
    <n v="-39.9"/>
    <n v="1262"/>
    <n v="1"/>
    <n v="1"/>
  </r>
  <r>
    <m/>
    <m/>
    <x v="1"/>
    <s v="83800275001002"/>
    <n v="-11.23"/>
    <n v="355"/>
    <n v="1"/>
    <n v="1"/>
  </r>
  <r>
    <m/>
    <m/>
    <x v="1"/>
    <s v="83981932001002"/>
    <n v="-1.96"/>
    <n v="62"/>
    <n v="1"/>
    <n v="1"/>
  </r>
  <r>
    <m/>
    <m/>
    <x v="1"/>
    <s v="84096990001001"/>
    <n v="-45.03"/>
    <n v="1424"/>
    <n v="1"/>
    <n v="1"/>
  </r>
  <r>
    <m/>
    <m/>
    <x v="1"/>
    <s v="84539713001002"/>
    <n v="-6.51"/>
    <n v="206"/>
    <n v="1"/>
    <n v="1"/>
  </r>
  <r>
    <m/>
    <m/>
    <x v="1"/>
    <s v="84562358001001"/>
    <n v="-17.71"/>
    <n v="560"/>
    <n v="1"/>
    <n v="1"/>
  </r>
  <r>
    <m/>
    <m/>
    <x v="1"/>
    <s v="85306232001001"/>
    <n v="-83.63"/>
    <n v="2645"/>
    <n v="1"/>
    <n v="1"/>
  </r>
  <r>
    <m/>
    <m/>
    <x v="1"/>
    <s v="85384490001002"/>
    <n v="-20.55"/>
    <n v="650"/>
    <n v="1"/>
    <n v="1"/>
  </r>
  <r>
    <m/>
    <m/>
    <x v="1"/>
    <s v="85581047001001"/>
    <n v="-104.79"/>
    <n v="3314"/>
    <n v="1"/>
    <n v="1"/>
  </r>
  <r>
    <m/>
    <m/>
    <x v="1"/>
    <s v="85590751001003"/>
    <n v="-52.96"/>
    <n v="1675"/>
    <n v="1"/>
    <n v="1"/>
  </r>
  <r>
    <m/>
    <m/>
    <x v="1"/>
    <s v="85691100003005"/>
    <n v="-58.12"/>
    <n v="1838"/>
    <n v="1"/>
    <n v="1"/>
  </r>
  <r>
    <m/>
    <m/>
    <x v="1"/>
    <s v="85758200001003"/>
    <n v="-28.93"/>
    <n v="915"/>
    <n v="1"/>
    <n v="1"/>
  </r>
  <r>
    <m/>
    <m/>
    <x v="1"/>
    <s v="85784433001003"/>
    <n v="-40.76"/>
    <n v="1289"/>
    <n v="1"/>
    <n v="1"/>
  </r>
  <r>
    <m/>
    <m/>
    <x v="1"/>
    <s v="85877100003001"/>
    <n v="-11.57"/>
    <n v="366"/>
    <n v="1"/>
    <n v="1"/>
  </r>
  <r>
    <m/>
    <m/>
    <x v="1"/>
    <s v="85887194001001"/>
    <n v="-27.79"/>
    <n v="879"/>
    <n v="1"/>
    <n v="1"/>
  </r>
  <r>
    <m/>
    <m/>
    <x v="1"/>
    <s v="85995109001001"/>
    <n v="-61.63"/>
    <n v="1949"/>
    <n v="1"/>
    <n v="1"/>
  </r>
  <r>
    <m/>
    <m/>
    <x v="1"/>
    <s v="86090490001001"/>
    <n v="-64.88"/>
    <n v="2052"/>
    <n v="1"/>
    <n v="1"/>
  </r>
  <r>
    <m/>
    <m/>
    <x v="1"/>
    <s v="86168663001003"/>
    <n v="-14.77"/>
    <n v="467"/>
    <n v="1"/>
    <n v="1"/>
  </r>
  <r>
    <m/>
    <m/>
    <x v="1"/>
    <s v="86306065001001"/>
    <n v="-24.85"/>
    <n v="786"/>
    <n v="1"/>
    <n v="1"/>
  </r>
  <r>
    <m/>
    <m/>
    <x v="1"/>
    <s v="86307010001002"/>
    <n v="-51.64"/>
    <n v="1633"/>
    <n v="1"/>
    <n v="1"/>
  </r>
  <r>
    <m/>
    <m/>
    <x v="1"/>
    <s v="86374866001001"/>
    <n v="-17.77"/>
    <n v="562"/>
    <n v="1"/>
    <n v="1"/>
  </r>
  <r>
    <m/>
    <m/>
    <x v="1"/>
    <s v="86420880001004"/>
    <n v="-133.34"/>
    <n v="4217"/>
    <n v="1"/>
    <n v="1"/>
  </r>
  <r>
    <m/>
    <m/>
    <x v="1"/>
    <s v="86674199001002"/>
    <n v="-53.41"/>
    <n v="1689"/>
    <n v="1"/>
    <n v="1"/>
  </r>
  <r>
    <m/>
    <m/>
    <x v="1"/>
    <s v="86693437001005"/>
    <n v="-97.29"/>
    <n v="3077"/>
    <n v="1"/>
    <n v="1"/>
  </r>
  <r>
    <m/>
    <m/>
    <x v="1"/>
    <s v="86860532001001"/>
    <n v="-13.09"/>
    <n v="414"/>
    <n v="1"/>
    <n v="1"/>
  </r>
  <r>
    <m/>
    <m/>
    <x v="1"/>
    <s v="86871104001008"/>
    <n v="-10.72"/>
    <n v="339"/>
    <n v="1"/>
    <n v="1"/>
  </r>
  <r>
    <m/>
    <m/>
    <x v="1"/>
    <s v="86965244003001"/>
    <n v="-37.25"/>
    <n v="1178"/>
    <n v="1"/>
    <n v="1"/>
  </r>
  <r>
    <m/>
    <m/>
    <x v="1"/>
    <s v="86993697001006"/>
    <n v="-45.56"/>
    <n v="1441"/>
    <n v="1"/>
    <n v="1"/>
  </r>
  <r>
    <m/>
    <m/>
    <x v="1"/>
    <s v="87237391001001"/>
    <n v="-61.85"/>
    <n v="1956"/>
    <n v="1"/>
    <n v="1"/>
  </r>
  <r>
    <m/>
    <m/>
    <x v="1"/>
    <s v="87432684001003"/>
    <n v="-26.91"/>
    <n v="851"/>
    <n v="1"/>
    <n v="1"/>
  </r>
  <r>
    <m/>
    <m/>
    <x v="1"/>
    <s v="87486491001002"/>
    <n v="-13.56"/>
    <n v="429"/>
    <n v="1"/>
    <n v="1"/>
  </r>
  <r>
    <m/>
    <m/>
    <x v="1"/>
    <s v="87795931001003"/>
    <n v="-55.46"/>
    <n v="1754"/>
    <n v="1"/>
    <n v="1"/>
  </r>
  <r>
    <m/>
    <m/>
    <x v="1"/>
    <s v="87885809001004"/>
    <n v="-103.3"/>
    <n v="3267"/>
    <n v="1"/>
    <n v="1"/>
  </r>
  <r>
    <m/>
    <m/>
    <x v="1"/>
    <s v="87919824001001"/>
    <n v="-118.35"/>
    <n v="3743"/>
    <n v="1"/>
    <n v="1"/>
  </r>
  <r>
    <m/>
    <m/>
    <x v="1"/>
    <s v="88018571001001"/>
    <n v="-88.19"/>
    <n v="2789"/>
    <n v="1"/>
    <n v="1"/>
  </r>
  <r>
    <m/>
    <m/>
    <x v="1"/>
    <s v="88182721001002"/>
    <n v="-12.55"/>
    <n v="397"/>
    <n v="1"/>
    <n v="1"/>
  </r>
  <r>
    <m/>
    <m/>
    <x v="1"/>
    <s v="88225503002006"/>
    <n v="-76.52"/>
    <n v="2420"/>
    <n v="1"/>
    <n v="1"/>
  </r>
  <r>
    <m/>
    <m/>
    <x v="1"/>
    <s v="88342076001001"/>
    <n v="-21.06"/>
    <n v="666"/>
    <n v="1"/>
    <n v="1"/>
  </r>
  <r>
    <m/>
    <m/>
    <x v="1"/>
    <s v="88450306001003"/>
    <n v="-19.57"/>
    <n v="619"/>
    <n v="1"/>
    <n v="1"/>
  </r>
  <r>
    <m/>
    <m/>
    <x v="1"/>
    <s v="88600796001001"/>
    <n v="-23.34"/>
    <n v="738"/>
    <n v="1"/>
    <n v="1"/>
  </r>
  <r>
    <m/>
    <m/>
    <x v="1"/>
    <s v="89432732001001"/>
    <n v="-42.47"/>
    <n v="1343"/>
    <n v="1"/>
    <n v="1"/>
  </r>
  <r>
    <m/>
    <m/>
    <x v="1"/>
    <s v="89558586004001"/>
    <n v="-91.6"/>
    <n v="2897"/>
    <n v="1"/>
    <n v="1"/>
  </r>
  <r>
    <m/>
    <m/>
    <x v="1"/>
    <s v="89581153002001"/>
    <n v="-20.58"/>
    <n v="651"/>
    <n v="1"/>
    <n v="1"/>
  </r>
  <r>
    <m/>
    <m/>
    <x v="1"/>
    <s v="89768877001001"/>
    <n v="-47.11"/>
    <n v="1490"/>
    <n v="1"/>
    <n v="1"/>
  </r>
  <r>
    <m/>
    <m/>
    <x v="1"/>
    <s v="90572353002007"/>
    <n v="-40.03"/>
    <n v="1266"/>
    <n v="1"/>
    <n v="1"/>
  </r>
  <r>
    <m/>
    <m/>
    <x v="1"/>
    <s v="90803817001003"/>
    <n v="-120.12"/>
    <n v="3799"/>
    <n v="1"/>
    <n v="1"/>
  </r>
  <r>
    <m/>
    <m/>
    <x v="1"/>
    <s v="90940438001001"/>
    <n v="-105.01"/>
    <n v="3321"/>
    <n v="1"/>
    <n v="1"/>
  </r>
  <r>
    <m/>
    <m/>
    <x v="1"/>
    <s v="91081109001003"/>
    <n v="-21.63"/>
    <n v="684"/>
    <n v="1"/>
    <n v="1"/>
  </r>
  <r>
    <m/>
    <m/>
    <x v="1"/>
    <s v="91086693001001"/>
    <n v="-6.42"/>
    <n v="203"/>
    <n v="1"/>
    <n v="1"/>
  </r>
  <r>
    <m/>
    <m/>
    <x v="1"/>
    <s v="91108865001003"/>
    <n v="-20.05"/>
    <n v="634"/>
    <n v="1"/>
    <n v="1"/>
  </r>
  <r>
    <m/>
    <m/>
    <x v="1"/>
    <s v="91142812001003"/>
    <n v="-12.27"/>
    <n v="388"/>
    <n v="1"/>
    <n v="1"/>
  </r>
  <r>
    <m/>
    <m/>
    <x v="1"/>
    <s v="91510446001001"/>
    <n v="-55.78"/>
    <n v="1764"/>
    <n v="1"/>
    <n v="1"/>
  </r>
  <r>
    <m/>
    <m/>
    <x v="1"/>
    <s v="91686493001001"/>
    <n v="-42.21"/>
    <n v="1335"/>
    <n v="1"/>
    <n v="1"/>
  </r>
  <r>
    <m/>
    <m/>
    <x v="1"/>
    <s v="91789984001002"/>
    <n v="-5.19"/>
    <n v="164"/>
    <n v="1"/>
    <n v="1"/>
  </r>
  <r>
    <m/>
    <m/>
    <x v="1"/>
    <s v="91847480001001"/>
    <n v="-51.89"/>
    <n v="1641"/>
    <n v="1"/>
    <n v="1"/>
  </r>
  <r>
    <m/>
    <m/>
    <x v="1"/>
    <s v="91907331002001"/>
    <n v="-2.37"/>
    <n v="75"/>
    <n v="1"/>
    <n v="1"/>
  </r>
  <r>
    <m/>
    <m/>
    <x v="1"/>
    <s v="91911316001004"/>
    <n v="-48.06"/>
    <n v="1520"/>
    <n v="1"/>
    <n v="1"/>
  </r>
  <r>
    <m/>
    <m/>
    <x v="1"/>
    <s v="92305167001006"/>
    <n v="-5.15"/>
    <n v="163"/>
    <n v="1"/>
    <n v="1"/>
  </r>
  <r>
    <m/>
    <m/>
    <x v="1"/>
    <s v="92338460003002"/>
    <n v="-9.93"/>
    <n v="314"/>
    <n v="1"/>
    <n v="1"/>
  </r>
  <r>
    <m/>
    <m/>
    <x v="1"/>
    <s v="92454053001001"/>
    <n v="-1.3"/>
    <n v="41"/>
    <n v="1"/>
    <n v="1"/>
  </r>
  <r>
    <m/>
    <m/>
    <x v="1"/>
    <s v="92523561001001"/>
    <n v="-48.66"/>
    <n v="1539"/>
    <n v="1"/>
    <n v="1"/>
  </r>
  <r>
    <m/>
    <m/>
    <x v="1"/>
    <s v="92595774001001"/>
    <n v="-104.95"/>
    <n v="3319"/>
    <n v="1"/>
    <n v="1"/>
  </r>
  <r>
    <m/>
    <m/>
    <x v="1"/>
    <s v="92806696002005"/>
    <n v="-63.370000000000005"/>
    <n v="2004"/>
    <n v="2"/>
    <n v="1"/>
  </r>
  <r>
    <m/>
    <m/>
    <x v="1"/>
    <s v="93295699001010"/>
    <n v="-72.38"/>
    <n v="2289"/>
    <n v="1"/>
    <n v="1"/>
  </r>
  <r>
    <m/>
    <m/>
    <x v="1"/>
    <s v="93309752001001"/>
    <n v="-47.43"/>
    <n v="1500"/>
    <n v="1"/>
    <n v="1"/>
  </r>
  <r>
    <m/>
    <m/>
    <x v="1"/>
    <s v="93316698001001"/>
    <n v="-35.67"/>
    <n v="1128"/>
    <n v="1"/>
    <n v="1"/>
  </r>
  <r>
    <m/>
    <m/>
    <x v="1"/>
    <s v="93362702006001"/>
    <n v="-88.57"/>
    <n v="2801"/>
    <n v="1"/>
    <n v="1"/>
  </r>
  <r>
    <m/>
    <m/>
    <x v="1"/>
    <s v="93368277001002"/>
    <n v="-41.04"/>
    <n v="1298"/>
    <n v="1"/>
    <n v="1"/>
  </r>
  <r>
    <m/>
    <m/>
    <x v="1"/>
    <s v="93416826004001"/>
    <n v="-61.94"/>
    <n v="1959"/>
    <n v="1"/>
    <n v="1"/>
  </r>
  <r>
    <m/>
    <m/>
    <x v="1"/>
    <s v="93549993001001"/>
    <n v="-105.67"/>
    <n v="3342"/>
    <n v="1"/>
    <n v="1"/>
  </r>
  <r>
    <m/>
    <m/>
    <x v="1"/>
    <s v="93645499001013"/>
    <n v="-14.32"/>
    <n v="453"/>
    <n v="1"/>
    <n v="1"/>
  </r>
  <r>
    <m/>
    <m/>
    <x v="1"/>
    <s v="93710321001003"/>
    <n v="-18.09"/>
    <n v="572"/>
    <n v="1"/>
    <n v="1"/>
  </r>
  <r>
    <m/>
    <m/>
    <x v="1"/>
    <s v="93853061001004"/>
    <n v="-31.59"/>
    <n v="999"/>
    <n v="1"/>
    <n v="1"/>
  </r>
  <r>
    <m/>
    <m/>
    <x v="1"/>
    <s v="94287883002008"/>
    <n v="-14.42"/>
    <n v="456"/>
    <n v="1"/>
    <n v="1"/>
  </r>
  <r>
    <m/>
    <m/>
    <x v="1"/>
    <s v="94403216003001"/>
    <n v="-26.18"/>
    <n v="828"/>
    <n v="1"/>
    <n v="1"/>
  </r>
  <r>
    <m/>
    <m/>
    <x v="1"/>
    <s v="94506465001003"/>
    <n v="-43"/>
    <n v="1360"/>
    <n v="1"/>
    <n v="1"/>
  </r>
  <r>
    <m/>
    <m/>
    <x v="1"/>
    <s v="94670446001001"/>
    <n v="-38.450000000000003"/>
    <n v="1216"/>
    <n v="1"/>
    <n v="1"/>
  </r>
  <r>
    <m/>
    <m/>
    <x v="1"/>
    <s v="94726739001001"/>
    <n v="-45.06"/>
    <n v="1425"/>
    <n v="1"/>
    <n v="1"/>
  </r>
  <r>
    <m/>
    <m/>
    <x v="1"/>
    <s v="94860723001003"/>
    <n v="-38.61"/>
    <n v="1221"/>
    <n v="1"/>
    <n v="1"/>
  </r>
  <r>
    <m/>
    <m/>
    <x v="1"/>
    <s v="95080825001003"/>
    <n v="-42.24"/>
    <n v="1336"/>
    <n v="1"/>
    <n v="1"/>
  </r>
  <r>
    <m/>
    <m/>
    <x v="1"/>
    <s v="95248906001001"/>
    <n v="-45.75"/>
    <n v="1447"/>
    <n v="1"/>
    <n v="1"/>
  </r>
  <r>
    <m/>
    <m/>
    <x v="1"/>
    <s v="95339197001006"/>
    <n v="-47.75"/>
    <n v="1510"/>
    <n v="1"/>
    <n v="1"/>
  </r>
  <r>
    <m/>
    <m/>
    <x v="1"/>
    <s v="95520248002001"/>
    <n v="-0.06"/>
    <n v="2"/>
    <n v="1"/>
    <n v="1"/>
  </r>
  <r>
    <m/>
    <m/>
    <x v="1"/>
    <s v="95523867004002"/>
    <n v="-93.37"/>
    <n v="2953"/>
    <n v="1"/>
    <n v="1"/>
  </r>
  <r>
    <m/>
    <m/>
    <x v="1"/>
    <s v="95697123001001"/>
    <n v="-44.71"/>
    <n v="1414"/>
    <n v="1"/>
    <n v="1"/>
  </r>
  <r>
    <m/>
    <m/>
    <x v="1"/>
    <s v="95837796001001"/>
    <n v="-76.709999999999994"/>
    <n v="2426"/>
    <n v="1"/>
    <n v="1"/>
  </r>
  <r>
    <m/>
    <m/>
    <x v="1"/>
    <s v="96127192001001"/>
    <n v="-57.58"/>
    <n v="1821"/>
    <n v="1"/>
    <n v="1"/>
  </r>
  <r>
    <m/>
    <m/>
    <x v="1"/>
    <s v="96171891001005"/>
    <n v="-33.549999999999997"/>
    <n v="1061"/>
    <n v="1"/>
    <n v="1"/>
  </r>
  <r>
    <m/>
    <m/>
    <x v="1"/>
    <s v="96305704001001"/>
    <n v="-64.92"/>
    <n v="2053"/>
    <n v="1"/>
    <n v="1"/>
  </r>
  <r>
    <m/>
    <m/>
    <x v="1"/>
    <s v="96386777001002"/>
    <n v="-54.83"/>
    <n v="1734"/>
    <n v="1"/>
    <n v="1"/>
  </r>
  <r>
    <m/>
    <m/>
    <x v="1"/>
    <s v="96653003001001"/>
    <n v="-35.89"/>
    <n v="1135"/>
    <n v="1"/>
    <n v="1"/>
  </r>
  <r>
    <m/>
    <m/>
    <x v="1"/>
    <s v="96743423001001"/>
    <n v="-25.9"/>
    <n v="819"/>
    <n v="1"/>
    <n v="1"/>
  </r>
  <r>
    <m/>
    <m/>
    <x v="1"/>
    <s v="96746681001003"/>
    <n v="-51.73"/>
    <n v="1636"/>
    <n v="1"/>
    <n v="1"/>
  </r>
  <r>
    <m/>
    <m/>
    <x v="1"/>
    <s v="97054812001007"/>
    <n v="-59.98"/>
    <n v="1897"/>
    <n v="1"/>
    <n v="1"/>
  </r>
  <r>
    <m/>
    <m/>
    <x v="1"/>
    <s v="97273784001001"/>
    <n v="-28.49"/>
    <n v="901"/>
    <n v="1"/>
    <n v="1"/>
  </r>
  <r>
    <m/>
    <m/>
    <x v="1"/>
    <s v="97342863001003"/>
    <n v="-9.07"/>
    <n v="287"/>
    <n v="1"/>
    <n v="1"/>
  </r>
  <r>
    <m/>
    <m/>
    <x v="1"/>
    <s v="97378614002001"/>
    <n v="-65.45"/>
    <n v="2070"/>
    <n v="1"/>
    <n v="1"/>
  </r>
  <r>
    <m/>
    <m/>
    <x v="1"/>
    <s v="97389502001003"/>
    <n v="-19.48"/>
    <n v="616"/>
    <n v="1"/>
    <n v="1"/>
  </r>
  <r>
    <m/>
    <m/>
    <x v="1"/>
    <s v="97625233001001"/>
    <n v="-33.799999999999997"/>
    <n v="1069"/>
    <n v="1"/>
    <n v="1"/>
  </r>
  <r>
    <m/>
    <m/>
    <x v="1"/>
    <s v="97778274001003"/>
    <n v="-34.590000000000003"/>
    <n v="1094"/>
    <n v="1"/>
    <n v="1"/>
  </r>
  <r>
    <m/>
    <m/>
    <x v="1"/>
    <s v="97820700001001"/>
    <n v="-35.67"/>
    <n v="1128"/>
    <n v="1"/>
    <n v="1"/>
  </r>
  <r>
    <m/>
    <m/>
    <x v="1"/>
    <s v="98001734001003"/>
    <n v="-39.97"/>
    <n v="1264"/>
    <n v="1"/>
    <n v="1"/>
  </r>
  <r>
    <m/>
    <m/>
    <x v="1"/>
    <s v="98004963001002"/>
    <n v="-69.819999999999993"/>
    <n v="2208"/>
    <n v="1"/>
    <n v="1"/>
  </r>
  <r>
    <m/>
    <m/>
    <x v="1"/>
    <s v="98301629001002"/>
    <n v="-1.39"/>
    <n v="44"/>
    <n v="1"/>
    <n v="1"/>
  </r>
  <r>
    <m/>
    <m/>
    <x v="1"/>
    <s v="98396921001007"/>
    <n v="-32.47"/>
    <n v="1027"/>
    <n v="1"/>
    <n v="1"/>
  </r>
  <r>
    <m/>
    <m/>
    <x v="1"/>
    <s v="98411297002003"/>
    <n v="-47.21"/>
    <n v="1493"/>
    <n v="1"/>
    <n v="1"/>
  </r>
  <r>
    <m/>
    <m/>
    <x v="1"/>
    <s v="98478092001001"/>
    <n v="-35.6"/>
    <n v="1126"/>
    <n v="1"/>
    <n v="1"/>
  </r>
  <r>
    <m/>
    <m/>
    <x v="1"/>
    <s v="98485707001001"/>
    <n v="-46.58"/>
    <n v="1473"/>
    <n v="1"/>
    <n v="1"/>
  </r>
  <r>
    <m/>
    <m/>
    <x v="1"/>
    <s v="98987679003001"/>
    <n v="-97.01"/>
    <n v="3068"/>
    <n v="1"/>
    <n v="1"/>
  </r>
  <r>
    <m/>
    <m/>
    <x v="1"/>
    <s v="99033596001003"/>
    <n v="-39.56"/>
    <n v="1251"/>
    <n v="1"/>
    <n v="1"/>
  </r>
  <r>
    <m/>
    <m/>
    <x v="1"/>
    <s v="99162209001001"/>
    <n v="-139.72999999999999"/>
    <n v="4419"/>
    <n v="1"/>
    <n v="1"/>
  </r>
  <r>
    <m/>
    <m/>
    <x v="1"/>
    <s v="99321769001003"/>
    <n v="-67.03"/>
    <n v="2120"/>
    <n v="1"/>
    <n v="1"/>
  </r>
  <r>
    <m/>
    <m/>
    <x v="1"/>
    <s v="99576506001001"/>
    <n v="-8.35"/>
    <n v="264"/>
    <n v="1"/>
    <n v="1"/>
  </r>
  <r>
    <m/>
    <m/>
    <x v="1"/>
    <s v="99770512001001"/>
    <n v="-56"/>
    <n v="1771"/>
    <n v="1"/>
    <n v="1"/>
  </r>
  <r>
    <m/>
    <m/>
    <x v="4"/>
    <m/>
    <n v="-53027.200000000019"/>
    <n v="1678382"/>
    <n v="1172"/>
    <n v="1158"/>
  </r>
  <r>
    <m/>
    <m/>
    <x v="5"/>
    <s v="00068289001001"/>
    <n v="-53.72"/>
    <n v="1143"/>
    <n v="1"/>
    <n v="1"/>
  </r>
  <r>
    <m/>
    <m/>
    <x v="1"/>
    <s v="00088986001003"/>
    <n v="-43.85"/>
    <n v="933"/>
    <n v="1"/>
    <n v="1"/>
  </r>
  <r>
    <m/>
    <m/>
    <x v="1"/>
    <s v="00089965001003"/>
    <n v="-97.9"/>
    <n v="2083"/>
    <n v="1"/>
    <n v="1"/>
  </r>
  <r>
    <m/>
    <m/>
    <x v="1"/>
    <s v="00319594001001"/>
    <n v="-52.36"/>
    <n v="1114"/>
    <n v="1"/>
    <n v="1"/>
  </r>
  <r>
    <m/>
    <m/>
    <x v="1"/>
    <s v="00329225001005"/>
    <n v="-37.74"/>
    <n v="803"/>
    <n v="1"/>
    <n v="1"/>
  </r>
  <r>
    <m/>
    <m/>
    <x v="1"/>
    <s v="00365733004005"/>
    <n v="-14.57"/>
    <n v="310"/>
    <n v="1"/>
    <n v="1"/>
  </r>
  <r>
    <m/>
    <m/>
    <x v="1"/>
    <s v="00382666001003"/>
    <n v="-103.78"/>
    <n v="2208"/>
    <n v="1"/>
    <n v="1"/>
  </r>
  <r>
    <m/>
    <m/>
    <x v="1"/>
    <s v="00519733001001"/>
    <n v="-128.91999999999999"/>
    <n v="2743"/>
    <n v="1"/>
    <n v="1"/>
  </r>
  <r>
    <m/>
    <m/>
    <x v="1"/>
    <s v="00574926001001"/>
    <n v="-72.47"/>
    <n v="1542"/>
    <n v="1"/>
    <n v="1"/>
  </r>
  <r>
    <m/>
    <m/>
    <x v="1"/>
    <s v="00772936002001"/>
    <n v="-25.76"/>
    <n v="548"/>
    <n v="1"/>
    <n v="1"/>
  </r>
  <r>
    <m/>
    <m/>
    <x v="1"/>
    <s v="01028343001005"/>
    <n v="-86.72"/>
    <n v="1845"/>
    <n v="1"/>
    <n v="1"/>
  </r>
  <r>
    <m/>
    <m/>
    <x v="1"/>
    <s v="01092252001001"/>
    <n v="-75.48"/>
    <n v="1606"/>
    <n v="1"/>
    <n v="1"/>
  </r>
  <r>
    <m/>
    <m/>
    <x v="1"/>
    <s v="01114869001001"/>
    <n v="-97.01"/>
    <n v="2064"/>
    <n v="1"/>
    <n v="1"/>
  </r>
  <r>
    <m/>
    <m/>
    <x v="1"/>
    <s v="01199376001001"/>
    <n v="-78.63"/>
    <n v="1673"/>
    <n v="1"/>
    <n v="1"/>
  </r>
  <r>
    <m/>
    <m/>
    <x v="1"/>
    <s v="01335294001005"/>
    <n v="-42.96"/>
    <n v="914"/>
    <n v="1"/>
    <n v="1"/>
  </r>
  <r>
    <m/>
    <m/>
    <x v="1"/>
    <s v="01403700005001"/>
    <n v="-61.9"/>
    <n v="1317"/>
    <n v="1"/>
    <n v="1"/>
  </r>
  <r>
    <m/>
    <m/>
    <x v="1"/>
    <s v="01698859001001"/>
    <n v="-52.03"/>
    <n v="1107"/>
    <n v="1"/>
    <n v="1"/>
  </r>
  <r>
    <m/>
    <m/>
    <x v="1"/>
    <s v="01701580001001"/>
    <n v="-31.3"/>
    <n v="666"/>
    <n v="1"/>
    <n v="1"/>
  </r>
  <r>
    <m/>
    <m/>
    <x v="1"/>
    <s v="01727666001001"/>
    <n v="-61.43"/>
    <n v="1307"/>
    <n v="1"/>
    <n v="1"/>
  </r>
  <r>
    <m/>
    <m/>
    <x v="1"/>
    <s v="01948293001001"/>
    <n v="-29.38"/>
    <n v="625"/>
    <n v="1"/>
    <n v="1"/>
  </r>
  <r>
    <m/>
    <m/>
    <x v="1"/>
    <s v="01980596001009"/>
    <n v="-110.07"/>
    <n v="2342"/>
    <n v="1"/>
    <n v="1"/>
  </r>
  <r>
    <m/>
    <m/>
    <x v="1"/>
    <s v="02160615003007"/>
    <n v="-140.11000000000001"/>
    <n v="2981"/>
    <n v="1"/>
    <n v="1"/>
  </r>
  <r>
    <m/>
    <m/>
    <x v="1"/>
    <s v="02179705001007"/>
    <n v="-110.69"/>
    <n v="2355"/>
    <n v="1"/>
    <n v="1"/>
  </r>
  <r>
    <m/>
    <m/>
    <x v="1"/>
    <s v="02232792001001"/>
    <n v="-90.62"/>
    <n v="1928"/>
    <n v="1"/>
    <n v="1"/>
  </r>
  <r>
    <m/>
    <m/>
    <x v="1"/>
    <s v="02334127001004"/>
    <n v="-85.35"/>
    <n v="1816"/>
    <n v="1"/>
    <n v="1"/>
  </r>
  <r>
    <m/>
    <m/>
    <x v="1"/>
    <s v="02412878001003"/>
    <n v="-70.08"/>
    <n v="1491"/>
    <n v="1"/>
    <n v="1"/>
  </r>
  <r>
    <m/>
    <m/>
    <x v="1"/>
    <s v="02480369001001"/>
    <n v="-19.18"/>
    <n v="408"/>
    <n v="1"/>
    <n v="1"/>
  </r>
  <r>
    <m/>
    <m/>
    <x v="1"/>
    <s v="02496747002003"/>
    <n v="-67.069999999999993"/>
    <n v="1427"/>
    <n v="1"/>
    <n v="1"/>
  </r>
  <r>
    <m/>
    <m/>
    <x v="1"/>
    <s v="02552684009007"/>
    <n v="-136.07"/>
    <n v="2895"/>
    <n v="1"/>
    <n v="1"/>
  </r>
  <r>
    <m/>
    <m/>
    <x v="1"/>
    <s v="02670836001001"/>
    <n v="-35.909999999999997"/>
    <n v="764"/>
    <n v="1"/>
    <n v="1"/>
  </r>
  <r>
    <m/>
    <m/>
    <x v="1"/>
    <s v="02683413001001"/>
    <n v="-74.03"/>
    <n v="1575"/>
    <n v="1"/>
    <n v="1"/>
  </r>
  <r>
    <m/>
    <m/>
    <x v="1"/>
    <s v="02704694001001"/>
    <n v="-47.19"/>
    <n v="1004"/>
    <n v="1"/>
    <n v="1"/>
  </r>
  <r>
    <m/>
    <m/>
    <x v="1"/>
    <s v="02717656001001"/>
    <n v="-12.78"/>
    <n v="272"/>
    <n v="1"/>
    <n v="1"/>
  </r>
  <r>
    <m/>
    <m/>
    <x v="1"/>
    <s v="02784757005003"/>
    <n v="-154.25"/>
    <n v="3282"/>
    <n v="1"/>
    <n v="1"/>
  </r>
  <r>
    <m/>
    <m/>
    <x v="1"/>
    <s v="02855532001001"/>
    <n v="-19.690000000000001"/>
    <n v="419"/>
    <n v="1"/>
    <n v="1"/>
  </r>
  <r>
    <m/>
    <m/>
    <x v="1"/>
    <s v="02906246001001"/>
    <n v="-24.35"/>
    <n v="518"/>
    <n v="1"/>
    <n v="1"/>
  </r>
  <r>
    <m/>
    <m/>
    <x v="1"/>
    <s v="02992876001003"/>
    <n v="-127.37"/>
    <n v="2710"/>
    <n v="1"/>
    <n v="1"/>
  </r>
  <r>
    <m/>
    <m/>
    <x v="1"/>
    <s v="03018483004001"/>
    <n v="-114.49"/>
    <n v="2436"/>
    <n v="1"/>
    <n v="1"/>
  </r>
  <r>
    <m/>
    <m/>
    <x v="1"/>
    <s v="03030126001004"/>
    <n v="-11.28"/>
    <n v="240"/>
    <n v="1"/>
    <n v="1"/>
  </r>
  <r>
    <m/>
    <m/>
    <x v="1"/>
    <s v="03051677001003"/>
    <n v="-79.099999999999994"/>
    <n v="1683"/>
    <n v="1"/>
    <n v="1"/>
  </r>
  <r>
    <m/>
    <m/>
    <x v="1"/>
    <s v="03091692001001"/>
    <n v="-143.72999999999999"/>
    <n v="3058"/>
    <n v="1"/>
    <n v="1"/>
  </r>
  <r>
    <m/>
    <m/>
    <x v="1"/>
    <s v="03102076003003"/>
    <n v="-79.2"/>
    <n v="1685"/>
    <n v="1"/>
    <n v="1"/>
  </r>
  <r>
    <m/>
    <m/>
    <x v="1"/>
    <s v="03169833001001"/>
    <n v="-31.91"/>
    <n v="679"/>
    <n v="1"/>
    <n v="1"/>
  </r>
  <r>
    <m/>
    <m/>
    <x v="1"/>
    <s v="03276788001006"/>
    <n v="-87.28"/>
    <n v="1857"/>
    <n v="1"/>
    <n v="1"/>
  </r>
  <r>
    <m/>
    <m/>
    <x v="1"/>
    <s v="03303681001001"/>
    <n v="-63.69"/>
    <n v="1355"/>
    <n v="1"/>
    <n v="1"/>
  </r>
  <r>
    <m/>
    <m/>
    <x v="1"/>
    <s v="03308022002001"/>
    <n v="-67.209999999999994"/>
    <n v="1430"/>
    <n v="1"/>
    <n v="1"/>
  </r>
  <r>
    <m/>
    <m/>
    <x v="1"/>
    <s v="03330463001002"/>
    <n v="-82.53"/>
    <n v="1756"/>
    <n v="1"/>
    <n v="1"/>
  </r>
  <r>
    <m/>
    <m/>
    <x v="1"/>
    <s v="03425988001004"/>
    <n v="-49.3"/>
    <n v="1049"/>
    <n v="1"/>
    <n v="1"/>
  </r>
  <r>
    <m/>
    <m/>
    <x v="1"/>
    <s v="03466789001001"/>
    <n v="-22.84"/>
    <n v="486"/>
    <n v="1"/>
    <n v="1"/>
  </r>
  <r>
    <m/>
    <m/>
    <x v="1"/>
    <s v="03476916002003"/>
    <n v="-28.91"/>
    <n v="615"/>
    <n v="1"/>
    <n v="1"/>
  </r>
  <r>
    <m/>
    <m/>
    <x v="1"/>
    <s v="03498939002001"/>
    <n v="-69"/>
    <n v="1468"/>
    <n v="1"/>
    <n v="1"/>
  </r>
  <r>
    <m/>
    <m/>
    <x v="1"/>
    <s v="03499851001001"/>
    <n v="-127.89"/>
    <n v="2721"/>
    <n v="1"/>
    <n v="1"/>
  </r>
  <r>
    <m/>
    <m/>
    <x v="1"/>
    <s v="03554715002003"/>
    <n v="-127.46"/>
    <n v="2712"/>
    <n v="1"/>
    <n v="1"/>
  </r>
  <r>
    <m/>
    <m/>
    <x v="1"/>
    <s v="03565743002001"/>
    <n v="-8.84"/>
    <n v="188"/>
    <n v="1"/>
    <n v="1"/>
  </r>
  <r>
    <m/>
    <m/>
    <x v="1"/>
    <s v="03650699001006"/>
    <n v="-63.92"/>
    <n v="1360"/>
    <n v="1"/>
    <n v="1"/>
  </r>
  <r>
    <m/>
    <m/>
    <x v="1"/>
    <s v="03725193001001"/>
    <n v="-166.76"/>
    <n v="3548"/>
    <n v="1"/>
    <n v="1"/>
  </r>
  <r>
    <m/>
    <m/>
    <x v="1"/>
    <s v="03799095002001"/>
    <n v="-79.67"/>
    <n v="1695"/>
    <n v="1"/>
    <n v="1"/>
  </r>
  <r>
    <m/>
    <m/>
    <x v="1"/>
    <s v="03983250001004"/>
    <n v="-81.78"/>
    <n v="1740"/>
    <n v="1"/>
    <n v="1"/>
  </r>
  <r>
    <m/>
    <m/>
    <x v="1"/>
    <s v="04022663001001"/>
    <n v="-23.36"/>
    <n v="497"/>
    <n v="1"/>
    <n v="1"/>
  </r>
  <r>
    <m/>
    <m/>
    <x v="1"/>
    <s v="04065926001004"/>
    <n v="-51.37"/>
    <n v="1093"/>
    <n v="1"/>
    <n v="1"/>
  </r>
  <r>
    <m/>
    <m/>
    <x v="1"/>
    <s v="04177715001001"/>
    <n v="-29.75"/>
    <n v="633"/>
    <n v="1"/>
    <n v="1"/>
  </r>
  <r>
    <m/>
    <m/>
    <x v="1"/>
    <s v="04226765001003"/>
    <n v="-96.3"/>
    <n v="2049"/>
    <n v="1"/>
    <n v="1"/>
  </r>
  <r>
    <m/>
    <m/>
    <x v="1"/>
    <s v="04347740001005"/>
    <n v="-51.98"/>
    <n v="1106"/>
    <n v="1"/>
    <n v="1"/>
  </r>
  <r>
    <m/>
    <m/>
    <x v="1"/>
    <s v="04348003001001"/>
    <n v="-54.38"/>
    <n v="1157"/>
    <n v="1"/>
    <n v="1"/>
  </r>
  <r>
    <m/>
    <m/>
    <x v="1"/>
    <s v="04544587001001"/>
    <n v="-60.77"/>
    <n v="1293"/>
    <n v="1"/>
    <n v="1"/>
  </r>
  <r>
    <m/>
    <m/>
    <x v="1"/>
    <s v="04563700003001"/>
    <n v="-54.05"/>
    <n v="1150"/>
    <n v="1"/>
    <n v="1"/>
  </r>
  <r>
    <m/>
    <m/>
    <x v="1"/>
    <s v="04707114001002"/>
    <n v="-65.75"/>
    <n v="1399"/>
    <n v="1"/>
    <n v="1"/>
  </r>
  <r>
    <m/>
    <m/>
    <x v="1"/>
    <s v="04726736001005"/>
    <n v="-98"/>
    <n v="2085"/>
    <n v="1"/>
    <n v="1"/>
  </r>
  <r>
    <m/>
    <m/>
    <x v="1"/>
    <s v="04731425001001"/>
    <n v="-142.69"/>
    <n v="3036"/>
    <n v="1"/>
    <n v="1"/>
  </r>
  <r>
    <m/>
    <m/>
    <x v="1"/>
    <s v="04758207001001"/>
    <n v="-55.55"/>
    <n v="1182"/>
    <n v="1"/>
    <n v="1"/>
  </r>
  <r>
    <m/>
    <m/>
    <x v="1"/>
    <s v="04805152001005"/>
    <n v="-141.88999999999999"/>
    <n v="3019"/>
    <n v="1"/>
    <n v="1"/>
  </r>
  <r>
    <m/>
    <m/>
    <x v="1"/>
    <s v="04842107001001"/>
    <n v="-101.99"/>
    <n v="2170"/>
    <n v="1"/>
    <n v="1"/>
  </r>
  <r>
    <m/>
    <m/>
    <x v="1"/>
    <s v="04905240001005"/>
    <n v="-64.11"/>
    <n v="1364"/>
    <n v="1"/>
    <n v="1"/>
  </r>
  <r>
    <m/>
    <m/>
    <x v="1"/>
    <s v="05105357001001"/>
    <n v="-16.59"/>
    <n v="353"/>
    <n v="1"/>
    <n v="1"/>
  </r>
  <r>
    <m/>
    <m/>
    <x v="1"/>
    <s v="05149737001007"/>
    <n v="-47.09"/>
    <n v="1002"/>
    <n v="1"/>
    <n v="1"/>
  </r>
  <r>
    <m/>
    <m/>
    <x v="1"/>
    <s v="05178218001003"/>
    <n v="-50.85"/>
    <n v="1082"/>
    <n v="1"/>
    <n v="1"/>
  </r>
  <r>
    <m/>
    <m/>
    <x v="1"/>
    <s v="05181815001001"/>
    <n v="-33.840000000000003"/>
    <n v="720"/>
    <n v="1"/>
    <n v="1"/>
  </r>
  <r>
    <m/>
    <m/>
    <x v="1"/>
    <s v="05489508003005"/>
    <n v="-66.55"/>
    <n v="1416"/>
    <n v="1"/>
    <n v="1"/>
  </r>
  <r>
    <m/>
    <m/>
    <x v="1"/>
    <s v="05530045001001"/>
    <n v="-35.299999999999997"/>
    <n v="751"/>
    <n v="1"/>
    <n v="1"/>
  </r>
  <r>
    <m/>
    <m/>
    <x v="1"/>
    <s v="05611273003001"/>
    <n v="-115.62"/>
    <n v="2460"/>
    <n v="1"/>
    <n v="1"/>
  </r>
  <r>
    <m/>
    <m/>
    <x v="1"/>
    <s v="05623338001005"/>
    <n v="-48.5"/>
    <n v="1032"/>
    <n v="1"/>
    <n v="1"/>
  </r>
  <r>
    <m/>
    <m/>
    <x v="1"/>
    <s v="05707361001002"/>
    <n v="-78.069999999999993"/>
    <n v="1661"/>
    <n v="1"/>
    <n v="1"/>
  </r>
  <r>
    <m/>
    <m/>
    <x v="1"/>
    <s v="05729807001001"/>
    <n v="-7.57"/>
    <n v="161"/>
    <n v="1"/>
    <n v="1"/>
  </r>
  <r>
    <m/>
    <m/>
    <x v="1"/>
    <s v="05803986001001"/>
    <n v="-37.32"/>
    <n v="794"/>
    <n v="1"/>
    <n v="1"/>
  </r>
  <r>
    <m/>
    <m/>
    <x v="1"/>
    <s v="05886414001001"/>
    <n v="-15.42"/>
    <n v="328"/>
    <n v="1"/>
    <n v="1"/>
  </r>
  <r>
    <m/>
    <m/>
    <x v="1"/>
    <s v="06168174001001"/>
    <n v="-37.369999999999997"/>
    <n v="795"/>
    <n v="1"/>
    <n v="1"/>
  </r>
  <r>
    <m/>
    <m/>
    <x v="1"/>
    <s v="06359444001001"/>
    <n v="-85.26"/>
    <n v="1814"/>
    <n v="1"/>
    <n v="1"/>
  </r>
  <r>
    <m/>
    <m/>
    <x v="1"/>
    <s v="06381309001002"/>
    <n v="-108.76"/>
    <n v="2314"/>
    <n v="1"/>
    <n v="1"/>
  </r>
  <r>
    <m/>
    <m/>
    <x v="1"/>
    <s v="06506446002001"/>
    <n v="-49.68"/>
    <n v="1057"/>
    <n v="1"/>
    <n v="1"/>
  </r>
  <r>
    <m/>
    <m/>
    <x v="1"/>
    <s v="06563369001001"/>
    <n v="-126.15"/>
    <n v="2684"/>
    <n v="1"/>
    <n v="1"/>
  </r>
  <r>
    <m/>
    <m/>
    <x v="1"/>
    <s v="06600253001001"/>
    <n v="-80.7"/>
    <n v="1717"/>
    <n v="1"/>
    <n v="1"/>
  </r>
  <r>
    <m/>
    <m/>
    <x v="1"/>
    <s v="06797083002002"/>
    <n v="-71.3"/>
    <n v="1517"/>
    <n v="1"/>
    <n v="1"/>
  </r>
  <r>
    <m/>
    <m/>
    <x v="1"/>
    <s v="06921954001001"/>
    <n v="-104.9"/>
    <n v="2232"/>
    <n v="1"/>
    <n v="1"/>
  </r>
  <r>
    <m/>
    <m/>
    <x v="1"/>
    <s v="07062565002005"/>
    <n v="-1.97"/>
    <n v="42"/>
    <n v="1"/>
    <n v="1"/>
  </r>
  <r>
    <m/>
    <m/>
    <x v="1"/>
    <s v="07535080002004"/>
    <n v="-2.4900000000000002"/>
    <n v="53"/>
    <n v="1"/>
    <n v="1"/>
  </r>
  <r>
    <m/>
    <m/>
    <x v="1"/>
    <s v="07561969006001"/>
    <n v="-125.35"/>
    <n v="2667"/>
    <n v="1"/>
    <n v="1"/>
  </r>
  <r>
    <m/>
    <m/>
    <x v="1"/>
    <s v="07606661001001"/>
    <n v="-110.17"/>
    <n v="2344"/>
    <n v="1"/>
    <n v="1"/>
  </r>
  <r>
    <m/>
    <m/>
    <x v="1"/>
    <s v="07753575001004"/>
    <n v="-78.260000000000005"/>
    <n v="1665"/>
    <n v="1"/>
    <n v="1"/>
  </r>
  <r>
    <m/>
    <m/>
    <x v="1"/>
    <s v="07790450001001"/>
    <n v="-103.12"/>
    <n v="2194"/>
    <n v="1"/>
    <n v="1"/>
  </r>
  <r>
    <m/>
    <m/>
    <x v="1"/>
    <s v="07839530002003"/>
    <n v="-196.27"/>
    <n v="4176"/>
    <n v="1"/>
    <n v="1"/>
  </r>
  <r>
    <m/>
    <m/>
    <x v="1"/>
    <s v="07899713001003"/>
    <n v="-58.28"/>
    <n v="1240"/>
    <n v="1"/>
    <n v="1"/>
  </r>
  <r>
    <m/>
    <m/>
    <x v="1"/>
    <s v="07928044001004"/>
    <n v="-76.94"/>
    <n v="1637"/>
    <n v="1"/>
    <n v="1"/>
  </r>
  <r>
    <m/>
    <m/>
    <x v="1"/>
    <s v="07949521001004"/>
    <n v="-169.53"/>
    <n v="3607"/>
    <n v="1"/>
    <n v="1"/>
  </r>
  <r>
    <m/>
    <m/>
    <x v="1"/>
    <s v="07950772002001"/>
    <n v="-71.72"/>
    <n v="1526"/>
    <n v="1"/>
    <n v="1"/>
  </r>
  <r>
    <m/>
    <m/>
    <x v="1"/>
    <s v="07955066001001"/>
    <n v="-59.46"/>
    <n v="1265"/>
    <n v="1"/>
    <n v="1"/>
  </r>
  <r>
    <m/>
    <m/>
    <x v="1"/>
    <s v="08007689001001"/>
    <n v="-166.62"/>
    <n v="3545"/>
    <n v="1"/>
    <n v="1"/>
  </r>
  <r>
    <m/>
    <m/>
    <x v="1"/>
    <s v="08008932001009"/>
    <n v="-113.22"/>
    <n v="2409"/>
    <n v="1"/>
    <n v="1"/>
  </r>
  <r>
    <m/>
    <m/>
    <x v="1"/>
    <s v="08046015005001"/>
    <n v="-147.86000000000001"/>
    <n v="3146"/>
    <n v="1"/>
    <n v="1"/>
  </r>
  <r>
    <m/>
    <m/>
    <x v="1"/>
    <s v="08047179002001"/>
    <n v="-100.02"/>
    <n v="2128"/>
    <n v="1"/>
    <n v="1"/>
  </r>
  <r>
    <m/>
    <m/>
    <x v="1"/>
    <s v="08056389001001"/>
    <n v="-29.52"/>
    <n v="628"/>
    <n v="1"/>
    <n v="1"/>
  </r>
  <r>
    <m/>
    <m/>
    <x v="1"/>
    <s v="08158686001001"/>
    <n v="-39.9"/>
    <n v="849"/>
    <n v="1"/>
    <n v="1"/>
  </r>
  <r>
    <m/>
    <m/>
    <x v="1"/>
    <s v="08228077001003"/>
    <n v="-31.26"/>
    <n v="665"/>
    <n v="1"/>
    <n v="1"/>
  </r>
  <r>
    <m/>
    <m/>
    <x v="1"/>
    <s v="08293744001001"/>
    <n v="-101.43"/>
    <n v="2158"/>
    <n v="1"/>
    <n v="1"/>
  </r>
  <r>
    <m/>
    <m/>
    <x v="1"/>
    <s v="08395040001001"/>
    <n v="-42.96"/>
    <n v="914"/>
    <n v="1"/>
    <n v="1"/>
  </r>
  <r>
    <m/>
    <m/>
    <x v="1"/>
    <s v="08422119001005"/>
    <n v="-98.28"/>
    <n v="2091"/>
    <n v="1"/>
    <n v="1"/>
  </r>
  <r>
    <m/>
    <m/>
    <x v="1"/>
    <s v="08504635004005"/>
    <n v="-126.48"/>
    <n v="2691"/>
    <n v="1"/>
    <n v="1"/>
  </r>
  <r>
    <m/>
    <m/>
    <x v="1"/>
    <s v="08558972001001"/>
    <n v="-35.340000000000003"/>
    <n v="752"/>
    <n v="1"/>
    <n v="1"/>
  </r>
  <r>
    <m/>
    <m/>
    <x v="1"/>
    <s v="08580823001001"/>
    <n v="-97.1"/>
    <n v="2066"/>
    <n v="1"/>
    <n v="1"/>
  </r>
  <r>
    <m/>
    <m/>
    <x v="1"/>
    <s v="08612150001001"/>
    <n v="-81.36"/>
    <n v="1731"/>
    <n v="1"/>
    <n v="1"/>
  </r>
  <r>
    <m/>
    <m/>
    <x v="1"/>
    <s v="08694261001001"/>
    <n v="-111.58"/>
    <n v="2374"/>
    <n v="1"/>
    <n v="1"/>
  </r>
  <r>
    <m/>
    <m/>
    <x v="1"/>
    <s v="08733004003004"/>
    <n v="-96.96"/>
    <n v="2063"/>
    <n v="1"/>
    <n v="1"/>
  </r>
  <r>
    <m/>
    <m/>
    <x v="1"/>
    <s v="08901081001001"/>
    <n v="-35.25"/>
    <n v="750"/>
    <n v="1"/>
    <n v="1"/>
  </r>
  <r>
    <m/>
    <m/>
    <x v="1"/>
    <s v="08951802001002"/>
    <n v="-117.55"/>
    <n v="2501"/>
    <n v="1"/>
    <n v="1"/>
  </r>
  <r>
    <m/>
    <m/>
    <x v="1"/>
    <s v="08974102001003"/>
    <n v="-21.81"/>
    <n v="464"/>
    <n v="1"/>
    <n v="1"/>
  </r>
  <r>
    <m/>
    <m/>
    <x v="1"/>
    <s v="08988003001002"/>
    <n v="-90.9"/>
    <n v="1934"/>
    <n v="1"/>
    <n v="1"/>
  </r>
  <r>
    <m/>
    <m/>
    <x v="1"/>
    <s v="09160101003001"/>
    <n v="-169.62"/>
    <n v="3609"/>
    <n v="1"/>
    <n v="1"/>
  </r>
  <r>
    <m/>
    <m/>
    <x v="1"/>
    <s v="09185093001002"/>
    <n v="-51.18"/>
    <n v="1089"/>
    <n v="1"/>
    <n v="1"/>
  </r>
  <r>
    <m/>
    <m/>
    <x v="1"/>
    <s v="09289545005001"/>
    <n v="-76.75"/>
    <n v="1633"/>
    <n v="1"/>
    <n v="1"/>
  </r>
  <r>
    <m/>
    <m/>
    <x v="1"/>
    <s v="09315806002001"/>
    <n v="-46.2"/>
    <n v="983"/>
    <n v="1"/>
    <n v="1"/>
  </r>
  <r>
    <m/>
    <m/>
    <x v="1"/>
    <s v="09427524003001"/>
    <n v="-194.16"/>
    <n v="4131"/>
    <n v="1"/>
    <n v="1"/>
  </r>
  <r>
    <m/>
    <m/>
    <x v="1"/>
    <s v="09607312001001"/>
    <n v="-71.959999999999994"/>
    <n v="1531"/>
    <n v="2"/>
    <n v="1"/>
  </r>
  <r>
    <m/>
    <m/>
    <x v="1"/>
    <s v="09715065001001"/>
    <n v="-50.95"/>
    <n v="1084"/>
    <n v="1"/>
    <n v="1"/>
  </r>
  <r>
    <m/>
    <m/>
    <x v="1"/>
    <s v="09715929001003"/>
    <n v="-67.490000000000009"/>
    <n v="1436"/>
    <n v="2"/>
    <n v="1"/>
  </r>
  <r>
    <m/>
    <m/>
    <x v="1"/>
    <s v="09742133005001"/>
    <n v="-70.59"/>
    <n v="1502"/>
    <n v="1"/>
    <n v="1"/>
  </r>
  <r>
    <m/>
    <m/>
    <x v="1"/>
    <s v="09752135001001"/>
    <n v="-16.22"/>
    <n v="345"/>
    <n v="1"/>
    <n v="1"/>
  </r>
  <r>
    <m/>
    <m/>
    <x v="1"/>
    <s v="09792218001001"/>
    <n v="-153.6"/>
    <n v="3268"/>
    <n v="1"/>
    <n v="1"/>
  </r>
  <r>
    <m/>
    <m/>
    <x v="1"/>
    <s v="10032544001001"/>
    <n v="-75.34"/>
    <n v="1603"/>
    <n v="1"/>
    <n v="1"/>
  </r>
  <r>
    <m/>
    <m/>
    <x v="1"/>
    <s v="10059606001001"/>
    <n v="-92.45"/>
    <n v="1967"/>
    <n v="1"/>
    <n v="1"/>
  </r>
  <r>
    <m/>
    <m/>
    <x v="1"/>
    <s v="10089238001001"/>
    <n v="-55.37"/>
    <n v="1178"/>
    <n v="1"/>
    <n v="1"/>
  </r>
  <r>
    <m/>
    <m/>
    <x v="1"/>
    <s v="10095826001001"/>
    <n v="-93.2"/>
    <n v="1983"/>
    <n v="1"/>
    <n v="1"/>
  </r>
  <r>
    <m/>
    <m/>
    <x v="1"/>
    <s v="10291136001005"/>
    <n v="-127.98"/>
    <n v="2723"/>
    <n v="1"/>
    <n v="1"/>
  </r>
  <r>
    <m/>
    <m/>
    <x v="1"/>
    <s v="10317407001001"/>
    <n v="-95.93"/>
    <n v="2041"/>
    <n v="1"/>
    <n v="1"/>
  </r>
  <r>
    <m/>
    <m/>
    <x v="1"/>
    <s v="10377894001016"/>
    <n v="-104.86"/>
    <n v="2231"/>
    <n v="1"/>
    <n v="1"/>
  </r>
  <r>
    <m/>
    <m/>
    <x v="1"/>
    <s v="10447712003003"/>
    <n v="-33.14"/>
    <n v="705"/>
    <n v="1"/>
    <n v="1"/>
  </r>
  <r>
    <m/>
    <m/>
    <x v="1"/>
    <s v="10514874002005"/>
    <n v="-24.53"/>
    <n v="522"/>
    <n v="1"/>
    <n v="1"/>
  </r>
  <r>
    <m/>
    <m/>
    <x v="1"/>
    <s v="10783993001001"/>
    <n v="-45.64"/>
    <n v="971"/>
    <n v="1"/>
    <n v="1"/>
  </r>
  <r>
    <m/>
    <m/>
    <x v="1"/>
    <s v="10792246001002"/>
    <n v="-18.89"/>
    <n v="402"/>
    <n v="1"/>
    <n v="1"/>
  </r>
  <r>
    <m/>
    <m/>
    <x v="1"/>
    <s v="11044266002005"/>
    <n v="-71.680000000000007"/>
    <n v="1525"/>
    <n v="1"/>
    <n v="1"/>
  </r>
  <r>
    <m/>
    <m/>
    <x v="1"/>
    <s v="11078715001003"/>
    <n v="-96.07"/>
    <n v="2044"/>
    <n v="1"/>
    <n v="1"/>
  </r>
  <r>
    <m/>
    <m/>
    <x v="1"/>
    <s v="11190686005003"/>
    <n v="-196.04"/>
    <n v="4171"/>
    <n v="1"/>
    <n v="1"/>
  </r>
  <r>
    <m/>
    <m/>
    <x v="1"/>
    <s v="11193627001001"/>
    <n v="-49.96"/>
    <n v="1063"/>
    <n v="1"/>
    <n v="1"/>
  </r>
  <r>
    <m/>
    <m/>
    <x v="1"/>
    <s v="11325923001001"/>
    <n v="-47.99"/>
    <n v="1021"/>
    <n v="1"/>
    <n v="1"/>
  </r>
  <r>
    <m/>
    <m/>
    <x v="1"/>
    <s v="11356050001010"/>
    <n v="-25.71"/>
    <n v="547"/>
    <n v="1"/>
    <n v="1"/>
  </r>
  <r>
    <m/>
    <m/>
    <x v="1"/>
    <s v="11498623002001"/>
    <n v="-134.75"/>
    <n v="2867"/>
    <n v="1"/>
    <n v="1"/>
  </r>
  <r>
    <m/>
    <m/>
    <x v="1"/>
    <s v="11511797001002"/>
    <n v="-105.66"/>
    <n v="2248"/>
    <n v="1"/>
    <n v="1"/>
  </r>
  <r>
    <m/>
    <m/>
    <x v="1"/>
    <s v="11558237001001"/>
    <n v="-94.89"/>
    <n v="2019"/>
    <n v="1"/>
    <n v="1"/>
  </r>
  <r>
    <m/>
    <m/>
    <x v="1"/>
    <s v="11662460005001"/>
    <n v="-107.07"/>
    <n v="2278"/>
    <n v="1"/>
    <n v="1"/>
  </r>
  <r>
    <m/>
    <m/>
    <x v="1"/>
    <s v="11714515001003"/>
    <n v="-113.18"/>
    <n v="2408"/>
    <n v="1"/>
    <n v="1"/>
  </r>
  <r>
    <m/>
    <m/>
    <x v="1"/>
    <s v="12053528001002"/>
    <n v="-70.88"/>
    <n v="1508"/>
    <n v="1"/>
    <n v="1"/>
  </r>
  <r>
    <m/>
    <m/>
    <x v="1"/>
    <s v="12080794001007"/>
    <n v="-47.38"/>
    <n v="1008"/>
    <n v="1"/>
    <n v="1"/>
  </r>
  <r>
    <m/>
    <m/>
    <x v="1"/>
    <s v="12190639001002"/>
    <n v="-83.94"/>
    <n v="1786"/>
    <n v="1"/>
    <n v="1"/>
  </r>
  <r>
    <m/>
    <m/>
    <x v="1"/>
    <s v="12193027001001"/>
    <n v="-18.940000000000001"/>
    <n v="403"/>
    <n v="1"/>
    <n v="1"/>
  </r>
  <r>
    <m/>
    <m/>
    <x v="1"/>
    <s v="12199696001001"/>
    <n v="-154.44"/>
    <n v="3286"/>
    <n v="1"/>
    <n v="1"/>
  </r>
  <r>
    <m/>
    <m/>
    <x v="1"/>
    <s v="12199921003001"/>
    <n v="-14.15"/>
    <n v="301"/>
    <n v="1"/>
    <n v="1"/>
  </r>
  <r>
    <m/>
    <m/>
    <x v="1"/>
    <s v="12246503002003"/>
    <n v="-103.49"/>
    <n v="2202"/>
    <n v="1"/>
    <n v="1"/>
  </r>
  <r>
    <m/>
    <m/>
    <x v="1"/>
    <s v="12347732001004"/>
    <n v="-89.44"/>
    <n v="1903"/>
    <n v="1"/>
    <n v="1"/>
  </r>
  <r>
    <m/>
    <m/>
    <x v="1"/>
    <s v="12513090001001"/>
    <n v="-56.45"/>
    <n v="1201"/>
    <n v="1"/>
    <n v="1"/>
  </r>
  <r>
    <m/>
    <m/>
    <x v="1"/>
    <s v="12629931001002"/>
    <n v="-80.75"/>
    <n v="1718"/>
    <n v="1"/>
    <n v="1"/>
  </r>
  <r>
    <m/>
    <m/>
    <x v="1"/>
    <s v="12661722001008"/>
    <n v="-2.02"/>
    <n v="43"/>
    <n v="1"/>
    <n v="1"/>
  </r>
  <r>
    <m/>
    <m/>
    <x v="1"/>
    <s v="12750086001005"/>
    <n v="-93.91"/>
    <n v="1998"/>
    <n v="1"/>
    <n v="1"/>
  </r>
  <r>
    <m/>
    <m/>
    <x v="1"/>
    <s v="12887725001001"/>
    <n v="-80.28"/>
    <n v="1708"/>
    <n v="1"/>
    <n v="1"/>
  </r>
  <r>
    <m/>
    <m/>
    <x v="1"/>
    <s v="12890384003001"/>
    <n v="-116.8"/>
    <n v="2485"/>
    <n v="1"/>
    <n v="1"/>
  </r>
  <r>
    <m/>
    <m/>
    <x v="1"/>
    <s v="12961356001003"/>
    <n v="-42.25"/>
    <n v="899"/>
    <n v="1"/>
    <n v="1"/>
  </r>
  <r>
    <m/>
    <m/>
    <x v="1"/>
    <s v="13202860001002"/>
    <n v="-52.45"/>
    <n v="1116"/>
    <n v="1"/>
    <n v="1"/>
  </r>
  <r>
    <m/>
    <m/>
    <x v="1"/>
    <s v="13250149001002"/>
    <n v="-111.16"/>
    <n v="2365"/>
    <n v="1"/>
    <n v="1"/>
  </r>
  <r>
    <m/>
    <m/>
    <x v="1"/>
    <s v="13584754001005"/>
    <n v="-37.369999999999997"/>
    <n v="795"/>
    <n v="1"/>
    <n v="1"/>
  </r>
  <r>
    <m/>
    <m/>
    <x v="1"/>
    <s v="13597159001001"/>
    <n v="-141.19"/>
    <n v="3004"/>
    <n v="1"/>
    <n v="1"/>
  </r>
  <r>
    <m/>
    <m/>
    <x v="1"/>
    <s v="13623153001006"/>
    <n v="-119.99"/>
    <n v="2553"/>
    <n v="1"/>
    <n v="1"/>
  </r>
  <r>
    <m/>
    <m/>
    <x v="1"/>
    <s v="13657098001001"/>
    <n v="-96.35"/>
    <n v="2050"/>
    <n v="1"/>
    <n v="1"/>
  </r>
  <r>
    <m/>
    <m/>
    <x v="1"/>
    <s v="13794916004003"/>
    <n v="-112.8"/>
    <n v="2400"/>
    <n v="1"/>
    <n v="1"/>
  </r>
  <r>
    <m/>
    <m/>
    <x v="1"/>
    <s v="13812990001010"/>
    <n v="-78.73"/>
    <n v="1675"/>
    <n v="1"/>
    <n v="1"/>
  </r>
  <r>
    <m/>
    <m/>
    <x v="1"/>
    <s v="13818728001007"/>
    <n v="-42.96"/>
    <n v="914"/>
    <n v="1"/>
    <n v="1"/>
  </r>
  <r>
    <m/>
    <m/>
    <x v="1"/>
    <s v="13882655001005"/>
    <n v="-78.63"/>
    <n v="1673"/>
    <n v="1"/>
    <n v="1"/>
  </r>
  <r>
    <m/>
    <m/>
    <x v="1"/>
    <s v="13949554001001"/>
    <n v="-57.9"/>
    <n v="1232"/>
    <n v="1"/>
    <n v="1"/>
  </r>
  <r>
    <m/>
    <m/>
    <x v="1"/>
    <s v="13972735001001"/>
    <n v="-32.619999999999997"/>
    <n v="694"/>
    <n v="1"/>
    <n v="1"/>
  </r>
  <r>
    <m/>
    <m/>
    <x v="1"/>
    <s v="14105636001003"/>
    <n v="-172.49"/>
    <n v="3670"/>
    <n v="1"/>
    <n v="1"/>
  </r>
  <r>
    <m/>
    <m/>
    <x v="1"/>
    <s v="14123583001011"/>
    <n v="-16.97"/>
    <n v="361"/>
    <n v="1"/>
    <n v="1"/>
  </r>
  <r>
    <m/>
    <m/>
    <x v="1"/>
    <s v="14158880001001"/>
    <n v="-59.08"/>
    <n v="1257"/>
    <n v="1"/>
    <n v="1"/>
  </r>
  <r>
    <m/>
    <m/>
    <x v="1"/>
    <s v="14171251001006"/>
    <n v="-38.54"/>
    <n v="820"/>
    <n v="1"/>
    <n v="1"/>
  </r>
  <r>
    <m/>
    <m/>
    <x v="1"/>
    <s v="14280190001003"/>
    <n v="-47.14"/>
    <n v="1003"/>
    <n v="1"/>
    <n v="1"/>
  </r>
  <r>
    <m/>
    <m/>
    <x v="1"/>
    <s v="14339079001003"/>
    <n v="-86.15"/>
    <n v="1833"/>
    <n v="1"/>
    <n v="1"/>
  </r>
  <r>
    <m/>
    <m/>
    <x v="1"/>
    <s v="14387776001005"/>
    <n v="-47.09"/>
    <n v="1002"/>
    <n v="1"/>
    <n v="1"/>
  </r>
  <r>
    <m/>
    <m/>
    <x v="1"/>
    <s v="14417667001001"/>
    <n v="-83.05"/>
    <n v="1767"/>
    <n v="1"/>
    <n v="1"/>
  </r>
  <r>
    <m/>
    <m/>
    <x v="1"/>
    <s v="14502955001001"/>
    <n v="-132.59"/>
    <n v="2821"/>
    <n v="1"/>
    <n v="1"/>
  </r>
  <r>
    <m/>
    <m/>
    <x v="1"/>
    <s v="14631795004001"/>
    <n v="-14.899999999999999"/>
    <n v="317"/>
    <n v="2"/>
    <n v="1"/>
  </r>
  <r>
    <m/>
    <m/>
    <x v="1"/>
    <s v="14767926002001"/>
    <n v="-106.78"/>
    <n v="2272"/>
    <n v="1"/>
    <n v="1"/>
  </r>
  <r>
    <m/>
    <m/>
    <x v="1"/>
    <s v="14809005001008"/>
    <n v="-35.11"/>
    <n v="747"/>
    <n v="1"/>
    <n v="1"/>
  </r>
  <r>
    <m/>
    <m/>
    <x v="1"/>
    <s v="14876434001004"/>
    <n v="-108.66"/>
    <n v="2312"/>
    <n v="1"/>
    <n v="1"/>
  </r>
  <r>
    <m/>
    <m/>
    <x v="1"/>
    <s v="14916764001003"/>
    <n v="-19.88"/>
    <n v="423"/>
    <n v="1"/>
    <n v="1"/>
  </r>
  <r>
    <m/>
    <m/>
    <x v="1"/>
    <s v="15125902001001"/>
    <n v="-39.67"/>
    <n v="844"/>
    <n v="1"/>
    <n v="1"/>
  </r>
  <r>
    <m/>
    <m/>
    <x v="1"/>
    <s v="15257514001004"/>
    <n v="-37.74"/>
    <n v="803"/>
    <n v="1"/>
    <n v="1"/>
  </r>
  <r>
    <m/>
    <m/>
    <x v="1"/>
    <s v="15264531001003"/>
    <n v="-24.86"/>
    <n v="529"/>
    <n v="1"/>
    <n v="1"/>
  </r>
  <r>
    <m/>
    <m/>
    <x v="1"/>
    <s v="15371962001008"/>
    <n v="-12.13"/>
    <n v="258"/>
    <n v="1"/>
    <n v="1"/>
  </r>
  <r>
    <m/>
    <m/>
    <x v="1"/>
    <s v="15398887001006"/>
    <n v="-141.47"/>
    <n v="3010"/>
    <n v="1"/>
    <n v="1"/>
  </r>
  <r>
    <m/>
    <m/>
    <x v="1"/>
    <s v="15431936001001"/>
    <n v="-28.58"/>
    <n v="608"/>
    <n v="1"/>
    <n v="1"/>
  </r>
  <r>
    <m/>
    <m/>
    <x v="1"/>
    <s v="15497150001007"/>
    <n v="-36.28"/>
    <n v="772"/>
    <n v="1"/>
    <n v="1"/>
  </r>
  <r>
    <m/>
    <m/>
    <x v="1"/>
    <s v="15515287001002"/>
    <n v="-65.42"/>
    <n v="1392"/>
    <n v="1"/>
    <n v="1"/>
  </r>
  <r>
    <m/>
    <m/>
    <x v="1"/>
    <s v="15639686001001"/>
    <n v="-13.07"/>
    <n v="278"/>
    <n v="1"/>
    <n v="1"/>
  </r>
  <r>
    <m/>
    <m/>
    <x v="1"/>
    <s v="15723578001004"/>
    <n v="-144.76"/>
    <n v="3080"/>
    <n v="1"/>
    <n v="1"/>
  </r>
  <r>
    <m/>
    <m/>
    <x v="1"/>
    <s v="15745592001001"/>
    <n v="-124.64"/>
    <n v="2652"/>
    <n v="1"/>
    <n v="1"/>
  </r>
  <r>
    <m/>
    <m/>
    <x v="1"/>
    <s v="15889369001001"/>
    <n v="-112.42"/>
    <n v="2392"/>
    <n v="1"/>
    <n v="1"/>
  </r>
  <r>
    <m/>
    <m/>
    <x v="1"/>
    <s v="15925995001001"/>
    <n v="-29.19"/>
    <n v="621"/>
    <n v="1"/>
    <n v="1"/>
  </r>
  <r>
    <m/>
    <m/>
    <x v="1"/>
    <s v="16141513003001"/>
    <n v="-49.44"/>
    <n v="1052"/>
    <n v="1"/>
    <n v="1"/>
  </r>
  <r>
    <m/>
    <m/>
    <x v="1"/>
    <s v="16161055001004"/>
    <n v="-37.130000000000003"/>
    <n v="790"/>
    <n v="1"/>
    <n v="1"/>
  </r>
  <r>
    <m/>
    <m/>
    <x v="1"/>
    <s v="16175755001003"/>
    <n v="-27.07"/>
    <n v="576"/>
    <n v="1"/>
    <n v="1"/>
  </r>
  <r>
    <m/>
    <m/>
    <x v="1"/>
    <s v="16233681001003"/>
    <n v="-94.56"/>
    <n v="2012"/>
    <n v="1"/>
    <n v="1"/>
  </r>
  <r>
    <m/>
    <m/>
    <x v="1"/>
    <s v="16268790001003"/>
    <n v="-99.36"/>
    <n v="2114"/>
    <n v="1"/>
    <n v="1"/>
  </r>
  <r>
    <m/>
    <m/>
    <x v="1"/>
    <s v="16272128001001"/>
    <n v="-36.47"/>
    <n v="776"/>
    <n v="1"/>
    <n v="1"/>
  </r>
  <r>
    <m/>
    <m/>
    <x v="1"/>
    <s v="16309419001005"/>
    <n v="-18.71"/>
    <n v="398"/>
    <n v="1"/>
    <n v="1"/>
  </r>
  <r>
    <m/>
    <m/>
    <x v="1"/>
    <s v="16474562001004"/>
    <n v="-24.25"/>
    <n v="516"/>
    <n v="1"/>
    <n v="1"/>
  </r>
  <r>
    <m/>
    <m/>
    <x v="1"/>
    <s v="16506070001002"/>
    <n v="-95.08"/>
    <n v="2023"/>
    <n v="1"/>
    <n v="1"/>
  </r>
  <r>
    <m/>
    <m/>
    <x v="1"/>
    <s v="16568578002001"/>
    <n v="-15.04"/>
    <n v="320"/>
    <n v="1"/>
    <n v="1"/>
  </r>
  <r>
    <m/>
    <m/>
    <x v="1"/>
    <s v="16580528001001"/>
    <n v="-119.57"/>
    <n v="2544"/>
    <n v="1"/>
    <n v="1"/>
  </r>
  <r>
    <m/>
    <m/>
    <x v="1"/>
    <s v="16821471001003"/>
    <n v="-43.76"/>
    <n v="931"/>
    <n v="1"/>
    <n v="1"/>
  </r>
  <r>
    <m/>
    <m/>
    <x v="1"/>
    <s v="16884109001002"/>
    <n v="-26.46"/>
    <n v="563"/>
    <n v="1"/>
    <n v="1"/>
  </r>
  <r>
    <m/>
    <m/>
    <x v="1"/>
    <s v="16946064001004"/>
    <n v="-14.52"/>
    <n v="309"/>
    <n v="1"/>
    <n v="1"/>
  </r>
  <r>
    <m/>
    <m/>
    <x v="1"/>
    <s v="16958956001003"/>
    <n v="-74.64"/>
    <n v="1588"/>
    <n v="1"/>
    <n v="1"/>
  </r>
  <r>
    <m/>
    <m/>
    <x v="1"/>
    <s v="17236061001003"/>
    <n v="-58.19"/>
    <n v="1238"/>
    <n v="1"/>
    <n v="1"/>
  </r>
  <r>
    <m/>
    <m/>
    <x v="1"/>
    <s v="17277532001001"/>
    <n v="-60.11"/>
    <n v="1279"/>
    <n v="1"/>
    <n v="1"/>
  </r>
  <r>
    <m/>
    <m/>
    <x v="1"/>
    <s v="17387294001001"/>
    <n v="-110.03"/>
    <n v="2341"/>
    <n v="1"/>
    <n v="1"/>
  </r>
  <r>
    <m/>
    <m/>
    <x v="1"/>
    <s v="17606006001001"/>
    <n v="-121.5"/>
    <n v="2585"/>
    <n v="1"/>
    <n v="1"/>
  </r>
  <r>
    <m/>
    <m/>
    <x v="1"/>
    <s v="17704374001008"/>
    <n v="-18.61"/>
    <n v="396"/>
    <n v="1"/>
    <n v="1"/>
  </r>
  <r>
    <m/>
    <m/>
    <x v="1"/>
    <s v="17706944001001"/>
    <n v="-104.43"/>
    <n v="2222"/>
    <n v="1"/>
    <n v="1"/>
  </r>
  <r>
    <m/>
    <m/>
    <x v="1"/>
    <s v="17740472001001"/>
    <n v="-58.37"/>
    <n v="1242"/>
    <n v="1"/>
    <n v="1"/>
  </r>
  <r>
    <m/>
    <m/>
    <x v="1"/>
    <s v="17861861001001"/>
    <n v="-127.04"/>
    <n v="2703"/>
    <n v="1"/>
    <n v="1"/>
  </r>
  <r>
    <m/>
    <m/>
    <x v="1"/>
    <s v="17916622001001"/>
    <n v="-93.62"/>
    <n v="1992"/>
    <n v="1"/>
    <n v="1"/>
  </r>
  <r>
    <m/>
    <m/>
    <x v="1"/>
    <s v="17980153001002"/>
    <n v="-95.93"/>
    <n v="2041"/>
    <n v="1"/>
    <n v="1"/>
  </r>
  <r>
    <m/>
    <m/>
    <x v="1"/>
    <s v="18093249001001"/>
    <n v="-142.32"/>
    <n v="3028"/>
    <n v="1"/>
    <n v="1"/>
  </r>
  <r>
    <m/>
    <m/>
    <x v="1"/>
    <s v="18161436001001"/>
    <n v="-49.82"/>
    <n v="1060"/>
    <n v="1"/>
    <n v="1"/>
  </r>
  <r>
    <m/>
    <m/>
    <x v="1"/>
    <s v="18273680003003"/>
    <n v="-90.8"/>
    <n v="1932"/>
    <n v="1"/>
    <n v="1"/>
  </r>
  <r>
    <m/>
    <m/>
    <x v="1"/>
    <s v="18390546001001"/>
    <n v="-39.81"/>
    <n v="847"/>
    <n v="1"/>
    <n v="1"/>
  </r>
  <r>
    <m/>
    <m/>
    <x v="1"/>
    <s v="18631095001001"/>
    <n v="-43.33"/>
    <n v="922"/>
    <n v="1"/>
    <n v="1"/>
  </r>
  <r>
    <m/>
    <m/>
    <x v="1"/>
    <s v="18699658001004"/>
    <n v="-130.13999999999999"/>
    <n v="2769"/>
    <n v="1"/>
    <n v="1"/>
  </r>
  <r>
    <m/>
    <m/>
    <x v="1"/>
    <s v="18702333001003"/>
    <n v="-131.37"/>
    <n v="2795"/>
    <n v="1"/>
    <n v="1"/>
  </r>
  <r>
    <m/>
    <m/>
    <x v="1"/>
    <s v="18713436003001"/>
    <n v="-43.43"/>
    <n v="924"/>
    <n v="1"/>
    <n v="1"/>
  </r>
  <r>
    <m/>
    <m/>
    <x v="1"/>
    <s v="18766246001015"/>
    <n v="-82.77"/>
    <n v="1761"/>
    <n v="1"/>
    <n v="1"/>
  </r>
  <r>
    <m/>
    <m/>
    <x v="1"/>
    <s v="18882101006001"/>
    <n v="-83.94"/>
    <n v="1786"/>
    <n v="1"/>
    <n v="1"/>
  </r>
  <r>
    <m/>
    <m/>
    <x v="1"/>
    <s v="18898892001003"/>
    <n v="-56.73"/>
    <n v="1207"/>
    <n v="1"/>
    <n v="1"/>
  </r>
  <r>
    <m/>
    <m/>
    <x v="1"/>
    <s v="18955010005003"/>
    <n v="-33.369999999999997"/>
    <n v="710"/>
    <n v="1"/>
    <n v="1"/>
  </r>
  <r>
    <m/>
    <m/>
    <x v="1"/>
    <s v="19003606001001"/>
    <n v="-1.79"/>
    <n v="38"/>
    <n v="1"/>
    <n v="1"/>
  </r>
  <r>
    <m/>
    <m/>
    <x v="1"/>
    <s v="19152907001005"/>
    <n v="-33.04"/>
    <n v="703"/>
    <n v="1"/>
    <n v="1"/>
  </r>
  <r>
    <m/>
    <m/>
    <x v="1"/>
    <s v="19283696002001"/>
    <n v="-30.32"/>
    <n v="645"/>
    <n v="1"/>
    <n v="1"/>
  </r>
  <r>
    <m/>
    <m/>
    <x v="1"/>
    <s v="19287681001001"/>
    <n v="-37.18"/>
    <n v="791"/>
    <n v="1"/>
    <n v="1"/>
  </r>
  <r>
    <m/>
    <m/>
    <x v="1"/>
    <s v="19422871001001"/>
    <n v="-90.1"/>
    <n v="1917"/>
    <n v="1"/>
    <n v="1"/>
  </r>
  <r>
    <m/>
    <m/>
    <x v="1"/>
    <s v="19435050001001"/>
    <n v="-92.87"/>
    <n v="1976"/>
    <n v="1"/>
    <n v="1"/>
  </r>
  <r>
    <m/>
    <m/>
    <x v="1"/>
    <s v="19496026001002"/>
    <n v="-68.150000000000006"/>
    <n v="1450"/>
    <n v="1"/>
    <n v="1"/>
  </r>
  <r>
    <m/>
    <m/>
    <x v="1"/>
    <s v="19628621001001"/>
    <n v="-60.02"/>
    <n v="1277"/>
    <n v="1"/>
    <n v="1"/>
  </r>
  <r>
    <m/>
    <m/>
    <x v="1"/>
    <s v="19722554001001"/>
    <n v="-30.97"/>
    <n v="659"/>
    <n v="1"/>
    <n v="1"/>
  </r>
  <r>
    <m/>
    <m/>
    <x v="1"/>
    <s v="19760888001002"/>
    <n v="-6.2"/>
    <n v="132"/>
    <n v="1"/>
    <n v="1"/>
  </r>
  <r>
    <m/>
    <m/>
    <x v="1"/>
    <s v="19844787001003"/>
    <n v="-49.02"/>
    <n v="1043"/>
    <n v="1"/>
    <n v="1"/>
  </r>
  <r>
    <m/>
    <m/>
    <x v="1"/>
    <s v="19922627001001"/>
    <n v="-126.95"/>
    <n v="2701"/>
    <n v="1"/>
    <n v="1"/>
  </r>
  <r>
    <m/>
    <m/>
    <x v="1"/>
    <s v="19981285001002"/>
    <n v="-57.43"/>
    <n v="1222"/>
    <n v="1"/>
    <n v="1"/>
  </r>
  <r>
    <m/>
    <m/>
    <x v="1"/>
    <s v="19984149003003"/>
    <n v="-42.44"/>
    <n v="903"/>
    <n v="1"/>
    <n v="1"/>
  </r>
  <r>
    <m/>
    <m/>
    <x v="1"/>
    <s v="20017970001001"/>
    <n v="-28.53"/>
    <n v="607"/>
    <n v="1"/>
    <n v="1"/>
  </r>
  <r>
    <m/>
    <m/>
    <x v="1"/>
    <s v="20111439001001"/>
    <n v="-51.98"/>
    <n v="1106"/>
    <n v="1"/>
    <n v="1"/>
  </r>
  <r>
    <m/>
    <m/>
    <x v="1"/>
    <s v="20495106003001"/>
    <n v="-65.19"/>
    <n v="1387"/>
    <n v="1"/>
    <n v="1"/>
  </r>
  <r>
    <m/>
    <m/>
    <x v="1"/>
    <s v="20542360001003"/>
    <n v="-117.83"/>
    <n v="2507"/>
    <n v="1"/>
    <n v="1"/>
  </r>
  <r>
    <m/>
    <m/>
    <x v="1"/>
    <s v="20988421001001"/>
    <n v="-40.33"/>
    <n v="858"/>
    <n v="1"/>
    <n v="1"/>
  </r>
  <r>
    <m/>
    <m/>
    <x v="1"/>
    <s v="21211434001004"/>
    <n v="-100.11"/>
    <n v="2130"/>
    <n v="1"/>
    <n v="1"/>
  </r>
  <r>
    <m/>
    <m/>
    <x v="1"/>
    <s v="21227003001003"/>
    <n v="-81.87"/>
    <n v="1742"/>
    <n v="1"/>
    <n v="1"/>
  </r>
  <r>
    <m/>
    <m/>
    <x v="1"/>
    <s v="21229071001001"/>
    <n v="-123.47"/>
    <n v="2627"/>
    <n v="1"/>
    <n v="1"/>
  </r>
  <r>
    <m/>
    <m/>
    <x v="1"/>
    <s v="21279456001002"/>
    <n v="-73.41"/>
    <n v="1562"/>
    <n v="1"/>
    <n v="1"/>
  </r>
  <r>
    <m/>
    <m/>
    <x v="1"/>
    <s v="21469093001007"/>
    <n v="-26.46"/>
    <n v="563"/>
    <n v="1"/>
    <n v="1"/>
  </r>
  <r>
    <m/>
    <m/>
    <x v="1"/>
    <s v="21479614002001"/>
    <n v="-50.29"/>
    <n v="1070"/>
    <n v="1"/>
    <n v="1"/>
  </r>
  <r>
    <m/>
    <m/>
    <x v="1"/>
    <s v="21530313001003"/>
    <n v="-29.23"/>
    <n v="622"/>
    <n v="1"/>
    <n v="1"/>
  </r>
  <r>
    <m/>
    <m/>
    <x v="1"/>
    <s v="21546690001003"/>
    <n v="-75.58"/>
    <n v="1608"/>
    <n v="1"/>
    <n v="1"/>
  </r>
  <r>
    <m/>
    <m/>
    <x v="1"/>
    <s v="21555911001001"/>
    <n v="-109.89"/>
    <n v="2338"/>
    <n v="1"/>
    <n v="1"/>
  </r>
  <r>
    <m/>
    <m/>
    <x v="1"/>
    <s v="21669619001001"/>
    <n v="-32.29"/>
    <n v="687"/>
    <n v="1"/>
    <n v="1"/>
  </r>
  <r>
    <m/>
    <m/>
    <x v="1"/>
    <s v="21673120001001"/>
    <n v="-15.51"/>
    <n v="330"/>
    <n v="1"/>
    <n v="1"/>
  </r>
  <r>
    <m/>
    <m/>
    <x v="1"/>
    <s v="21686379003001"/>
    <n v="-44.84"/>
    <n v="954"/>
    <n v="1"/>
    <n v="1"/>
  </r>
  <r>
    <m/>
    <m/>
    <x v="1"/>
    <s v="21820617001003"/>
    <n v="-52.17"/>
    <n v="1110"/>
    <n v="1"/>
    <n v="1"/>
  </r>
  <r>
    <m/>
    <m/>
    <x v="1"/>
    <s v="21859275001001"/>
    <n v="-13.68"/>
    <n v="291"/>
    <n v="1"/>
    <n v="1"/>
  </r>
  <r>
    <m/>
    <m/>
    <x v="1"/>
    <s v="21883954001003"/>
    <n v="-54.66"/>
    <n v="1163"/>
    <n v="1"/>
    <n v="1"/>
  </r>
  <r>
    <m/>
    <m/>
    <x v="1"/>
    <s v="22010468001003"/>
    <n v="-83.57"/>
    <n v="1778"/>
    <n v="1"/>
    <n v="1"/>
  </r>
  <r>
    <m/>
    <m/>
    <x v="1"/>
    <s v="22022857001005"/>
    <n v="-88.83"/>
    <n v="1890"/>
    <n v="1"/>
    <n v="1"/>
  </r>
  <r>
    <m/>
    <m/>
    <x v="1"/>
    <s v="22065487003001"/>
    <n v="-79.709999999999994"/>
    <n v="1696"/>
    <n v="1"/>
    <n v="1"/>
  </r>
  <r>
    <m/>
    <m/>
    <x v="1"/>
    <s v="22102529001008"/>
    <n v="-52.88"/>
    <n v="1125"/>
    <n v="1"/>
    <n v="1"/>
  </r>
  <r>
    <m/>
    <m/>
    <x v="1"/>
    <s v="22171732002001"/>
    <n v="-34.5"/>
    <n v="734"/>
    <n v="1"/>
    <n v="1"/>
  </r>
  <r>
    <m/>
    <m/>
    <x v="1"/>
    <s v="22178371001001"/>
    <n v="-61.66"/>
    <n v="1312"/>
    <n v="1"/>
    <n v="1"/>
  </r>
  <r>
    <m/>
    <m/>
    <x v="1"/>
    <s v="22208875001001"/>
    <n v="-69.23"/>
    <n v="1473"/>
    <n v="1"/>
    <n v="1"/>
  </r>
  <r>
    <m/>
    <m/>
    <x v="1"/>
    <s v="22315284001001"/>
    <n v="-82.2"/>
    <n v="1749"/>
    <n v="1"/>
    <n v="1"/>
  </r>
  <r>
    <m/>
    <m/>
    <x v="1"/>
    <s v="22334125001001"/>
    <n v="-20.92"/>
    <n v="445"/>
    <n v="1"/>
    <n v="1"/>
  </r>
  <r>
    <m/>
    <m/>
    <x v="1"/>
    <s v="22361013001001"/>
    <n v="-126.15"/>
    <n v="2684"/>
    <n v="1"/>
    <n v="1"/>
  </r>
  <r>
    <m/>
    <m/>
    <x v="1"/>
    <s v="22386532007001"/>
    <n v="-69.37"/>
    <n v="1476"/>
    <n v="1"/>
    <n v="1"/>
  </r>
  <r>
    <m/>
    <m/>
    <x v="1"/>
    <s v="22408901001001"/>
    <n v="-31.07"/>
    <n v="661"/>
    <n v="1"/>
    <n v="1"/>
  </r>
  <r>
    <m/>
    <m/>
    <x v="1"/>
    <s v="22461172001008"/>
    <n v="-60.72"/>
    <n v="1292"/>
    <n v="1"/>
    <n v="1"/>
  </r>
  <r>
    <m/>
    <m/>
    <x v="1"/>
    <s v="22537776001001"/>
    <n v="-72.33"/>
    <n v="1539"/>
    <n v="1"/>
    <n v="1"/>
  </r>
  <r>
    <m/>
    <m/>
    <x v="1"/>
    <s v="22697285001003"/>
    <n v="-66.83"/>
    <n v="1422"/>
    <n v="1"/>
    <n v="1"/>
  </r>
  <r>
    <m/>
    <m/>
    <x v="1"/>
    <s v="22749652001001"/>
    <n v="-23.17"/>
    <n v="493"/>
    <n v="1"/>
    <n v="1"/>
  </r>
  <r>
    <m/>
    <m/>
    <x v="1"/>
    <s v="22817915001006"/>
    <n v="-32.950000000000003"/>
    <n v="701"/>
    <n v="1"/>
    <n v="1"/>
  </r>
  <r>
    <m/>
    <m/>
    <x v="1"/>
    <s v="22837225001002"/>
    <n v="-103.5"/>
    <n v="2202"/>
    <n v="2"/>
    <n v="1"/>
  </r>
  <r>
    <m/>
    <m/>
    <x v="1"/>
    <s v="22968302004001"/>
    <n v="-89.44"/>
    <n v="1903"/>
    <n v="1"/>
    <n v="1"/>
  </r>
  <r>
    <m/>
    <m/>
    <x v="1"/>
    <s v="23029958001003"/>
    <n v="-29.23"/>
    <n v="622"/>
    <n v="1"/>
    <n v="1"/>
  </r>
  <r>
    <m/>
    <m/>
    <x v="1"/>
    <s v="23045379001003"/>
    <n v="-70.83"/>
    <n v="1507"/>
    <n v="1"/>
    <n v="1"/>
  </r>
  <r>
    <m/>
    <m/>
    <x v="1"/>
    <s v="23103586001001"/>
    <n v="-10.81"/>
    <n v="230"/>
    <n v="1"/>
    <n v="1"/>
  </r>
  <r>
    <m/>
    <m/>
    <x v="1"/>
    <s v="23131202001001"/>
    <n v="-58.05"/>
    <n v="1235"/>
    <n v="1"/>
    <n v="1"/>
  </r>
  <r>
    <m/>
    <m/>
    <x v="1"/>
    <s v="23143876001001"/>
    <n v="-111.3"/>
    <n v="2368"/>
    <n v="1"/>
    <n v="1"/>
  </r>
  <r>
    <m/>
    <m/>
    <x v="1"/>
    <s v="23175753003005"/>
    <n v="-18.52"/>
    <n v="394"/>
    <n v="1"/>
    <n v="1"/>
  </r>
  <r>
    <m/>
    <m/>
    <x v="1"/>
    <s v="23361845001001"/>
    <n v="-69.56"/>
    <n v="1480"/>
    <n v="1"/>
    <n v="1"/>
  </r>
  <r>
    <m/>
    <m/>
    <x v="1"/>
    <s v="23582904002001"/>
    <n v="-44.84"/>
    <n v="954"/>
    <n v="1"/>
    <n v="1"/>
  </r>
  <r>
    <m/>
    <m/>
    <x v="1"/>
    <s v="23600074001001"/>
    <n v="-49.82"/>
    <n v="1060"/>
    <n v="1"/>
    <n v="1"/>
  </r>
  <r>
    <m/>
    <m/>
    <x v="1"/>
    <s v="23634903001001"/>
    <n v="-26.09"/>
    <n v="555"/>
    <n v="1"/>
    <n v="1"/>
  </r>
  <r>
    <m/>
    <m/>
    <x v="1"/>
    <s v="23921856001006"/>
    <n v="-9.73"/>
    <n v="207"/>
    <n v="1"/>
    <n v="1"/>
  </r>
  <r>
    <m/>
    <m/>
    <x v="1"/>
    <s v="24274679001001"/>
    <n v="-82.81"/>
    <n v="1762"/>
    <n v="1"/>
    <n v="1"/>
  </r>
  <r>
    <m/>
    <m/>
    <x v="1"/>
    <s v="24336943003005"/>
    <n v="-162.71"/>
    <n v="3462"/>
    <n v="1"/>
    <n v="1"/>
  </r>
  <r>
    <m/>
    <m/>
    <x v="1"/>
    <s v="24338902001001"/>
    <n v="-46.39"/>
    <n v="987"/>
    <n v="1"/>
    <n v="1"/>
  </r>
  <r>
    <m/>
    <m/>
    <x v="1"/>
    <s v="24352693002004"/>
    <n v="-172.91"/>
    <n v="3679"/>
    <n v="1"/>
    <n v="1"/>
  </r>
  <r>
    <m/>
    <m/>
    <x v="1"/>
    <s v="24503591001001"/>
    <n v="-88.69"/>
    <n v="1887"/>
    <n v="1"/>
    <n v="1"/>
  </r>
  <r>
    <m/>
    <m/>
    <x v="1"/>
    <s v="24558803001001"/>
    <n v="-39.340000000000003"/>
    <n v="837"/>
    <n v="1"/>
    <n v="1"/>
  </r>
  <r>
    <m/>
    <m/>
    <x v="1"/>
    <s v="24571934001005"/>
    <n v="-36.9"/>
    <n v="785"/>
    <n v="1"/>
    <n v="1"/>
  </r>
  <r>
    <m/>
    <m/>
    <x v="1"/>
    <s v="24605344003001"/>
    <n v="-29.61"/>
    <n v="630"/>
    <n v="1"/>
    <n v="1"/>
  </r>
  <r>
    <m/>
    <m/>
    <x v="1"/>
    <s v="24678131001007"/>
    <n v="-141.88999999999999"/>
    <n v="3019"/>
    <n v="1"/>
    <n v="1"/>
  </r>
  <r>
    <m/>
    <m/>
    <x v="1"/>
    <s v="24684171002001"/>
    <n v="-81.03"/>
    <n v="1724"/>
    <n v="1"/>
    <n v="1"/>
  </r>
  <r>
    <m/>
    <m/>
    <x v="1"/>
    <s v="24743896001001"/>
    <n v="-75.150000000000006"/>
    <n v="1599"/>
    <n v="1"/>
    <n v="1"/>
  </r>
  <r>
    <m/>
    <m/>
    <x v="1"/>
    <s v="24806438001006"/>
    <n v="-82.34"/>
    <n v="1752"/>
    <n v="1"/>
    <n v="1"/>
  </r>
  <r>
    <m/>
    <m/>
    <x v="1"/>
    <s v="24891420005001"/>
    <n v="-110.64"/>
    <n v="2354"/>
    <n v="1"/>
    <n v="1"/>
  </r>
  <r>
    <m/>
    <m/>
    <x v="1"/>
    <s v="24901880001001"/>
    <n v="-98.7"/>
    <n v="2100"/>
    <n v="1"/>
    <n v="1"/>
  </r>
  <r>
    <m/>
    <m/>
    <x v="1"/>
    <s v="25339323001004"/>
    <n v="-74.12"/>
    <n v="1577"/>
    <n v="1"/>
    <n v="1"/>
  </r>
  <r>
    <m/>
    <m/>
    <x v="1"/>
    <s v="25468740001003"/>
    <n v="-82.77"/>
    <n v="1761"/>
    <n v="1"/>
    <n v="1"/>
  </r>
  <r>
    <m/>
    <m/>
    <x v="1"/>
    <s v="25505456002001"/>
    <n v="-8.7899999999999991"/>
    <n v="187"/>
    <n v="1"/>
    <n v="1"/>
  </r>
  <r>
    <m/>
    <m/>
    <x v="1"/>
    <s v="25580805001001"/>
    <n v="-18.05"/>
    <n v="384"/>
    <n v="1"/>
    <n v="1"/>
  </r>
  <r>
    <m/>
    <m/>
    <x v="1"/>
    <s v="25741551007013"/>
    <n v="-166.43"/>
    <n v="3541"/>
    <n v="1"/>
    <n v="1"/>
  </r>
  <r>
    <m/>
    <m/>
    <x v="1"/>
    <s v="25769735001007"/>
    <n v="-83.8"/>
    <n v="1783"/>
    <n v="1"/>
    <n v="1"/>
  </r>
  <r>
    <m/>
    <m/>
    <x v="1"/>
    <s v="25824653001001"/>
    <n v="-65.28"/>
    <n v="1389"/>
    <n v="1"/>
    <n v="1"/>
  </r>
  <r>
    <m/>
    <m/>
    <x v="1"/>
    <s v="25829665002003"/>
    <n v="-250.04"/>
    <n v="5320"/>
    <n v="1"/>
    <n v="1"/>
  </r>
  <r>
    <m/>
    <m/>
    <x v="1"/>
    <s v="25851963001001"/>
    <n v="-96.96"/>
    <n v="2063"/>
    <n v="1"/>
    <n v="1"/>
  </r>
  <r>
    <m/>
    <m/>
    <x v="1"/>
    <s v="26133946001003"/>
    <n v="-68.81"/>
    <n v="1464"/>
    <n v="1"/>
    <n v="1"/>
  </r>
  <r>
    <m/>
    <m/>
    <x v="1"/>
    <s v="26360288004001"/>
    <n v="-50.15"/>
    <n v="1067"/>
    <n v="1"/>
    <n v="1"/>
  </r>
  <r>
    <m/>
    <m/>
    <x v="1"/>
    <s v="26449890001003"/>
    <n v="-21.2"/>
    <n v="451"/>
    <n v="1"/>
    <n v="1"/>
  </r>
  <r>
    <m/>
    <m/>
    <x v="1"/>
    <s v="26481593001002"/>
    <n v="-82.34"/>
    <n v="1752"/>
    <n v="1"/>
    <n v="1"/>
  </r>
  <r>
    <m/>
    <m/>
    <x v="1"/>
    <s v="26543152001004"/>
    <n v="-72.05"/>
    <n v="1533"/>
    <n v="1"/>
    <n v="1"/>
  </r>
  <r>
    <m/>
    <m/>
    <x v="1"/>
    <s v="26545623004003"/>
    <n v="-42.35"/>
    <n v="901"/>
    <n v="1"/>
    <n v="1"/>
  </r>
  <r>
    <m/>
    <m/>
    <x v="1"/>
    <s v="26574451002003"/>
    <n v="-223.06"/>
    <n v="4746"/>
    <n v="1"/>
    <n v="1"/>
  </r>
  <r>
    <m/>
    <m/>
    <x v="1"/>
    <s v="26711382001002"/>
    <n v="-2.82"/>
    <n v="60"/>
    <n v="1"/>
    <n v="1"/>
  </r>
  <r>
    <m/>
    <m/>
    <x v="1"/>
    <s v="26763592001011"/>
    <n v="-27.78"/>
    <n v="591"/>
    <n v="1"/>
    <n v="1"/>
  </r>
  <r>
    <m/>
    <m/>
    <x v="1"/>
    <s v="26830706001001"/>
    <n v="-34.78"/>
    <n v="740"/>
    <n v="1"/>
    <n v="1"/>
  </r>
  <r>
    <m/>
    <m/>
    <x v="1"/>
    <s v="26889786001001"/>
    <n v="-83.9"/>
    <n v="1785"/>
    <n v="1"/>
    <n v="1"/>
  </r>
  <r>
    <m/>
    <m/>
    <x v="1"/>
    <s v="27009271001001"/>
    <n v="-20.92"/>
    <n v="445"/>
    <n v="1"/>
    <n v="1"/>
  </r>
  <r>
    <m/>
    <m/>
    <x v="1"/>
    <s v="27069473001003"/>
    <n v="-38.729999999999997"/>
    <n v="824"/>
    <n v="1"/>
    <n v="1"/>
  </r>
  <r>
    <m/>
    <m/>
    <x v="1"/>
    <s v="27132055004001"/>
    <n v="-107.68"/>
    <n v="2291"/>
    <n v="1"/>
    <n v="1"/>
  </r>
  <r>
    <m/>
    <m/>
    <x v="1"/>
    <s v="27186553001002"/>
    <n v="-107.21"/>
    <n v="2281"/>
    <n v="1"/>
    <n v="1"/>
  </r>
  <r>
    <m/>
    <m/>
    <x v="1"/>
    <s v="27214758001001"/>
    <n v="-39.9"/>
    <n v="849"/>
    <n v="1"/>
    <n v="1"/>
  </r>
  <r>
    <m/>
    <m/>
    <x v="1"/>
    <s v="27335211003001"/>
    <n v="-34.729999999999997"/>
    <n v="739"/>
    <n v="1"/>
    <n v="1"/>
  </r>
  <r>
    <m/>
    <m/>
    <x v="1"/>
    <s v="27612583002003"/>
    <n v="-94.28"/>
    <n v="2006"/>
    <n v="1"/>
    <n v="1"/>
  </r>
  <r>
    <m/>
    <m/>
    <x v="1"/>
    <s v="27614236002001"/>
    <n v="-28.91"/>
    <n v="615"/>
    <n v="1"/>
    <n v="1"/>
  </r>
  <r>
    <m/>
    <m/>
    <x v="1"/>
    <s v="27629352001002"/>
    <n v="-151.81"/>
    <n v="3230"/>
    <n v="1"/>
    <n v="1"/>
  </r>
  <r>
    <m/>
    <m/>
    <x v="1"/>
    <s v="27670002001006"/>
    <n v="-99.88"/>
    <n v="2125"/>
    <n v="1"/>
    <n v="1"/>
  </r>
  <r>
    <m/>
    <m/>
    <x v="1"/>
    <s v="27691065001006"/>
    <n v="-85.78"/>
    <n v="1825"/>
    <n v="1"/>
    <n v="1"/>
  </r>
  <r>
    <m/>
    <m/>
    <x v="1"/>
    <s v="27807380001004"/>
    <n v="-3.1"/>
    <n v="66"/>
    <n v="1"/>
    <n v="1"/>
  </r>
  <r>
    <m/>
    <m/>
    <x v="1"/>
    <s v="27809870001003"/>
    <n v="-89.16"/>
    <n v="1897"/>
    <n v="1"/>
    <n v="1"/>
  </r>
  <r>
    <m/>
    <m/>
    <x v="1"/>
    <s v="27883736001001"/>
    <n v="-100.72"/>
    <n v="2143"/>
    <n v="1"/>
    <n v="1"/>
  </r>
  <r>
    <m/>
    <m/>
    <x v="1"/>
    <s v="27904723001005"/>
    <n v="-64.010000000000005"/>
    <n v="1362"/>
    <n v="1"/>
    <n v="1"/>
  </r>
  <r>
    <m/>
    <m/>
    <x v="1"/>
    <s v="27995568001003"/>
    <n v="-109.28"/>
    <n v="2325"/>
    <n v="1"/>
    <n v="1"/>
  </r>
  <r>
    <m/>
    <m/>
    <x v="1"/>
    <s v="28005439002001"/>
    <n v="-48.27"/>
    <n v="1027"/>
    <n v="1"/>
    <n v="1"/>
  </r>
  <r>
    <m/>
    <m/>
    <x v="1"/>
    <s v="28066889003005"/>
    <n v="-36"/>
    <n v="766"/>
    <n v="1"/>
    <n v="1"/>
  </r>
  <r>
    <m/>
    <m/>
    <x v="1"/>
    <s v="28320978001001"/>
    <n v="-52.55"/>
    <n v="1118"/>
    <n v="1"/>
    <n v="1"/>
  </r>
  <r>
    <m/>
    <m/>
    <x v="1"/>
    <s v="28330708001001"/>
    <n v="-155.99"/>
    <n v="3319"/>
    <n v="1"/>
    <n v="1"/>
  </r>
  <r>
    <m/>
    <m/>
    <x v="1"/>
    <s v="28404896001003"/>
    <n v="-10.15"/>
    <n v="216"/>
    <n v="1"/>
    <n v="1"/>
  </r>
  <r>
    <m/>
    <m/>
    <x v="1"/>
    <s v="28416675003005"/>
    <n v="-18.940000000000001"/>
    <n v="403"/>
    <n v="1"/>
    <n v="1"/>
  </r>
  <r>
    <m/>
    <m/>
    <x v="1"/>
    <s v="28477040001004"/>
    <n v="-25.38"/>
    <n v="540"/>
    <n v="1"/>
    <n v="1"/>
  </r>
  <r>
    <m/>
    <m/>
    <x v="1"/>
    <s v="28584427001008"/>
    <n v="-62.98"/>
    <n v="1340"/>
    <n v="1"/>
    <n v="1"/>
  </r>
  <r>
    <m/>
    <m/>
    <x v="1"/>
    <s v="28592432001002"/>
    <n v="-121.87"/>
    <n v="2593"/>
    <n v="1"/>
    <n v="1"/>
  </r>
  <r>
    <m/>
    <m/>
    <x v="1"/>
    <s v="28645126001006"/>
    <n v="-85.4"/>
    <n v="1817"/>
    <n v="1"/>
    <n v="1"/>
  </r>
  <r>
    <m/>
    <m/>
    <x v="1"/>
    <s v="28647586001001"/>
    <n v="-71.86"/>
    <n v="1529"/>
    <n v="1"/>
    <n v="1"/>
  </r>
  <r>
    <m/>
    <m/>
    <x v="1"/>
    <s v="28726471003001"/>
    <n v="-121.87"/>
    <n v="2593"/>
    <n v="1"/>
    <n v="1"/>
  </r>
  <r>
    <m/>
    <m/>
    <x v="1"/>
    <s v="28748611001010"/>
    <n v="-47"/>
    <n v="1000"/>
    <n v="1"/>
    <n v="1"/>
  </r>
  <r>
    <m/>
    <m/>
    <x v="1"/>
    <s v="28886587001003"/>
    <n v="-108.9"/>
    <n v="2317"/>
    <n v="1"/>
    <n v="1"/>
  </r>
  <r>
    <m/>
    <m/>
    <x v="1"/>
    <s v="29003410001001"/>
    <n v="-170.7"/>
    <n v="3632"/>
    <n v="1"/>
    <n v="1"/>
  </r>
  <r>
    <m/>
    <m/>
    <x v="1"/>
    <s v="29050348002001"/>
    <n v="-2.0699999999999998"/>
    <n v="44"/>
    <n v="1"/>
    <n v="1"/>
  </r>
  <r>
    <m/>
    <m/>
    <x v="1"/>
    <s v="29250485007001"/>
    <n v="-174.61"/>
    <n v="3715"/>
    <n v="1"/>
    <n v="1"/>
  </r>
  <r>
    <m/>
    <m/>
    <x v="1"/>
    <s v="29333477001001"/>
    <n v="-21.62"/>
    <n v="460"/>
    <n v="1"/>
    <n v="1"/>
  </r>
  <r>
    <m/>
    <m/>
    <x v="1"/>
    <s v="29527274001001"/>
    <n v="-64.44"/>
    <n v="1371"/>
    <n v="1"/>
    <n v="1"/>
  </r>
  <r>
    <m/>
    <m/>
    <x v="1"/>
    <s v="29810873001003"/>
    <n v="-148.76"/>
    <n v="3165"/>
    <n v="1"/>
    <n v="1"/>
  </r>
  <r>
    <m/>
    <m/>
    <x v="1"/>
    <s v="29908837001002"/>
    <n v="-62.09"/>
    <n v="1321"/>
    <n v="1"/>
    <n v="1"/>
  </r>
  <r>
    <m/>
    <m/>
    <x v="1"/>
    <s v="29952151004001"/>
    <n v="-72.989999999999995"/>
    <n v="1553"/>
    <n v="1"/>
    <n v="1"/>
  </r>
  <r>
    <m/>
    <m/>
    <x v="1"/>
    <s v="30023292002005"/>
    <n v="-102.04"/>
    <n v="2171"/>
    <n v="1"/>
    <n v="1"/>
  </r>
  <r>
    <m/>
    <m/>
    <x v="1"/>
    <s v="30133433001001"/>
    <n v="-127.79"/>
    <n v="2719"/>
    <n v="1"/>
    <n v="1"/>
  </r>
  <r>
    <m/>
    <m/>
    <x v="1"/>
    <s v="30199968001001"/>
    <n v="-44.6"/>
    <n v="949"/>
    <n v="1"/>
    <n v="1"/>
  </r>
  <r>
    <m/>
    <m/>
    <x v="1"/>
    <s v="30234293001001"/>
    <n v="-107.82"/>
    <n v="2294"/>
    <n v="1"/>
    <n v="1"/>
  </r>
  <r>
    <m/>
    <m/>
    <x v="1"/>
    <s v="30336396002007"/>
    <n v="-109.6"/>
    <n v="2332"/>
    <n v="1"/>
    <n v="1"/>
  </r>
  <r>
    <m/>
    <m/>
    <x v="1"/>
    <s v="30338555001001"/>
    <n v="-45.5"/>
    <n v="968"/>
    <n v="1"/>
    <n v="1"/>
  </r>
  <r>
    <m/>
    <m/>
    <x v="1"/>
    <s v="30340768001001"/>
    <n v="-75.39"/>
    <n v="1604"/>
    <n v="1"/>
    <n v="1"/>
  </r>
  <r>
    <m/>
    <m/>
    <x v="1"/>
    <s v="30370464002001"/>
    <n v="-81.97"/>
    <n v="1744"/>
    <n v="1"/>
    <n v="1"/>
  </r>
  <r>
    <m/>
    <m/>
    <x v="1"/>
    <s v="30522741002006"/>
    <n v="-84.69"/>
    <n v="1802"/>
    <n v="1"/>
    <n v="1"/>
  </r>
  <r>
    <m/>
    <m/>
    <x v="1"/>
    <s v="30640785003003"/>
    <n v="-58.14"/>
    <n v="1237"/>
    <n v="1"/>
    <n v="1"/>
  </r>
  <r>
    <m/>
    <m/>
    <x v="1"/>
    <s v="30684952001001"/>
    <n v="-48.83"/>
    <n v="1039"/>
    <n v="1"/>
    <n v="1"/>
  </r>
  <r>
    <m/>
    <m/>
    <x v="1"/>
    <s v="30757590002002"/>
    <n v="-167.7"/>
    <n v="3568"/>
    <n v="1"/>
    <n v="1"/>
  </r>
  <r>
    <m/>
    <m/>
    <x v="1"/>
    <s v="30965089001001"/>
    <n v="-31.02"/>
    <n v="660"/>
    <n v="1"/>
    <n v="1"/>
  </r>
  <r>
    <m/>
    <m/>
    <x v="1"/>
    <s v="30975210001001"/>
    <n v="-94.05"/>
    <n v="2001"/>
    <n v="1"/>
    <n v="1"/>
  </r>
  <r>
    <m/>
    <m/>
    <x v="1"/>
    <s v="30987488001003"/>
    <n v="-13.02"/>
    <n v="277"/>
    <n v="1"/>
    <n v="1"/>
  </r>
  <r>
    <m/>
    <m/>
    <x v="1"/>
    <s v="31065355001007"/>
    <n v="-80.650000000000006"/>
    <n v="1716"/>
    <n v="1"/>
    <n v="1"/>
  </r>
  <r>
    <m/>
    <m/>
    <x v="1"/>
    <s v="31123464001003"/>
    <n v="-75.91"/>
    <n v="1615"/>
    <n v="1"/>
    <n v="1"/>
  </r>
  <r>
    <m/>
    <m/>
    <x v="1"/>
    <s v="31180110007001"/>
    <n v="-96.68"/>
    <n v="2057"/>
    <n v="1"/>
    <n v="1"/>
  </r>
  <r>
    <m/>
    <m/>
    <x v="1"/>
    <s v="31191330001001"/>
    <n v="-29.61"/>
    <n v="630"/>
    <n v="1"/>
    <n v="1"/>
  </r>
  <r>
    <m/>
    <m/>
    <x v="1"/>
    <s v="31283347001004"/>
    <n v="-54.71"/>
    <n v="1164"/>
    <n v="1"/>
    <n v="1"/>
  </r>
  <r>
    <m/>
    <m/>
    <x v="1"/>
    <s v="31310853002001"/>
    <n v="-80.040000000000006"/>
    <n v="1703"/>
    <n v="1"/>
    <n v="1"/>
  </r>
  <r>
    <m/>
    <m/>
    <x v="1"/>
    <s v="31347134001001"/>
    <n v="-127.79"/>
    <n v="2719"/>
    <n v="1"/>
    <n v="1"/>
  </r>
  <r>
    <m/>
    <m/>
    <x v="1"/>
    <s v="31363659001003"/>
    <n v="-21.76"/>
    <n v="463"/>
    <n v="1"/>
    <n v="1"/>
  </r>
  <r>
    <m/>
    <m/>
    <x v="1"/>
    <s v="31408462001001"/>
    <n v="-35.06"/>
    <n v="746"/>
    <n v="1"/>
    <n v="1"/>
  </r>
  <r>
    <m/>
    <m/>
    <x v="1"/>
    <s v="31413647002001"/>
    <n v="-168.87"/>
    <n v="3593"/>
    <n v="1"/>
    <n v="1"/>
  </r>
  <r>
    <m/>
    <m/>
    <x v="1"/>
    <s v="31501363001001"/>
    <n v="-135.16999999999999"/>
    <n v="2876"/>
    <n v="1"/>
    <n v="1"/>
  </r>
  <r>
    <m/>
    <m/>
    <x v="1"/>
    <s v="31529203003001"/>
    <n v="-40.47"/>
    <n v="861"/>
    <n v="1"/>
    <n v="1"/>
  </r>
  <r>
    <m/>
    <m/>
    <x v="1"/>
    <s v="31533047001001"/>
    <n v="-100.39"/>
    <n v="2136"/>
    <n v="1"/>
    <n v="1"/>
  </r>
  <r>
    <m/>
    <m/>
    <x v="1"/>
    <s v="31770964001004"/>
    <n v="-150.44999999999999"/>
    <n v="3201"/>
    <n v="1"/>
    <n v="1"/>
  </r>
  <r>
    <m/>
    <m/>
    <x v="1"/>
    <s v="31849917001001"/>
    <n v="-54.85"/>
    <n v="1167"/>
    <n v="1"/>
    <n v="1"/>
  </r>
  <r>
    <m/>
    <m/>
    <x v="1"/>
    <s v="31892319001001"/>
    <n v="-60.82"/>
    <n v="1294"/>
    <n v="1"/>
    <n v="1"/>
  </r>
  <r>
    <m/>
    <m/>
    <x v="1"/>
    <s v="31987952001001"/>
    <n v="-31.58"/>
    <n v="672"/>
    <n v="1"/>
    <n v="1"/>
  </r>
  <r>
    <m/>
    <m/>
    <x v="1"/>
    <s v="31999957003003"/>
    <n v="-73.13"/>
    <n v="1556"/>
    <n v="1"/>
    <n v="1"/>
  </r>
  <r>
    <m/>
    <m/>
    <x v="1"/>
    <s v="32149793001004"/>
    <n v="-41.88"/>
    <n v="891"/>
    <n v="1"/>
    <n v="1"/>
  </r>
  <r>
    <m/>
    <m/>
    <x v="1"/>
    <s v="32293901002001"/>
    <n v="-100.77"/>
    <n v="2144"/>
    <n v="1"/>
    <n v="1"/>
  </r>
  <r>
    <m/>
    <m/>
    <x v="1"/>
    <s v="32419368001001"/>
    <n v="-57.67"/>
    <n v="1227"/>
    <n v="1"/>
    <n v="1"/>
  </r>
  <r>
    <m/>
    <m/>
    <x v="1"/>
    <s v="32756243001001"/>
    <n v="-3.67"/>
    <n v="78"/>
    <n v="1"/>
    <n v="1"/>
  </r>
  <r>
    <m/>
    <m/>
    <x v="1"/>
    <s v="32767929001001"/>
    <n v="-199.7"/>
    <n v="4249"/>
    <n v="1"/>
    <n v="1"/>
  </r>
  <r>
    <m/>
    <m/>
    <x v="1"/>
    <s v="32848896001001"/>
    <n v="-90.05"/>
    <n v="1916"/>
    <n v="1"/>
    <n v="1"/>
  </r>
  <r>
    <m/>
    <m/>
    <x v="1"/>
    <s v="32853341001004"/>
    <n v="-107.68"/>
    <n v="2291"/>
    <n v="1"/>
    <n v="1"/>
  </r>
  <r>
    <m/>
    <m/>
    <x v="1"/>
    <s v="33003317001001"/>
    <n v="-99.41"/>
    <n v="2115"/>
    <n v="1"/>
    <n v="1"/>
  </r>
  <r>
    <m/>
    <m/>
    <x v="1"/>
    <s v="33023851005001"/>
    <n v="-158.66999999999999"/>
    <n v="3376"/>
    <n v="1"/>
    <n v="1"/>
  </r>
  <r>
    <m/>
    <m/>
    <x v="1"/>
    <s v="33292898001002"/>
    <n v="-86.67"/>
    <n v="1844"/>
    <n v="1"/>
    <n v="1"/>
  </r>
  <r>
    <m/>
    <m/>
    <x v="1"/>
    <s v="33418787001002"/>
    <n v="-53.06"/>
    <n v="1129"/>
    <n v="1"/>
    <n v="1"/>
  </r>
  <r>
    <m/>
    <m/>
    <x v="1"/>
    <s v="33529526001001"/>
    <n v="-62.65"/>
    <n v="1333"/>
    <n v="1"/>
    <n v="1"/>
  </r>
  <r>
    <m/>
    <m/>
    <x v="1"/>
    <s v="33544933002001"/>
    <n v="-132.16"/>
    <n v="2812"/>
    <n v="1"/>
    <n v="1"/>
  </r>
  <r>
    <m/>
    <m/>
    <x v="1"/>
    <s v="33551931001003"/>
    <n v="-121.4"/>
    <n v="2583"/>
    <n v="1"/>
    <n v="1"/>
  </r>
  <r>
    <m/>
    <m/>
    <x v="1"/>
    <s v="33559246001001"/>
    <n v="-77.55"/>
    <n v="1650"/>
    <n v="1"/>
    <n v="1"/>
  </r>
  <r>
    <m/>
    <m/>
    <x v="1"/>
    <s v="33563818001002"/>
    <n v="-103.64"/>
    <n v="2205"/>
    <n v="1"/>
    <n v="1"/>
  </r>
  <r>
    <m/>
    <m/>
    <x v="1"/>
    <s v="33580906001001"/>
    <n v="-16.170000000000002"/>
    <n v="344"/>
    <n v="1"/>
    <n v="1"/>
  </r>
  <r>
    <m/>
    <m/>
    <x v="1"/>
    <s v="33642246001005"/>
    <n v="-32.950000000000003"/>
    <n v="701"/>
    <n v="1"/>
    <n v="1"/>
  </r>
  <r>
    <m/>
    <m/>
    <x v="1"/>
    <s v="33659104001003"/>
    <n v="-85.07"/>
    <n v="1810"/>
    <n v="1"/>
    <n v="1"/>
  </r>
  <r>
    <m/>
    <m/>
    <x v="1"/>
    <s v="33674854001001"/>
    <n v="-83.47"/>
    <n v="1776"/>
    <n v="1"/>
    <n v="1"/>
  </r>
  <r>
    <m/>
    <m/>
    <x v="1"/>
    <s v="33758373001010"/>
    <n v="-91.65"/>
    <n v="1950"/>
    <n v="1"/>
    <n v="1"/>
  </r>
  <r>
    <m/>
    <m/>
    <x v="1"/>
    <s v="33804703001003"/>
    <n v="-80.319999999999993"/>
    <n v="1709"/>
    <n v="1"/>
    <n v="1"/>
  </r>
  <r>
    <m/>
    <m/>
    <x v="1"/>
    <s v="33897699003002"/>
    <n v="-85.07"/>
    <n v="1810"/>
    <n v="1"/>
    <n v="1"/>
  </r>
  <r>
    <m/>
    <m/>
    <x v="1"/>
    <s v="34080235001002"/>
    <n v="-68.239999999999995"/>
    <n v="1452"/>
    <n v="1"/>
    <n v="1"/>
  </r>
  <r>
    <m/>
    <m/>
    <x v="1"/>
    <s v="34135500001003"/>
    <n v="-129.25"/>
    <n v="2750"/>
    <n v="1"/>
    <n v="1"/>
  </r>
  <r>
    <m/>
    <m/>
    <x v="1"/>
    <s v="34489601001003"/>
    <n v="-96.44"/>
    <n v="2052"/>
    <n v="1"/>
    <n v="1"/>
  </r>
  <r>
    <m/>
    <m/>
    <x v="1"/>
    <s v="34506194001002"/>
    <n v="-84.93"/>
    <n v="1807"/>
    <n v="1"/>
    <n v="1"/>
  </r>
  <r>
    <m/>
    <m/>
    <x v="1"/>
    <s v="34652418001005"/>
    <n v="-65.239999999999995"/>
    <n v="1388"/>
    <n v="1"/>
    <n v="1"/>
  </r>
  <r>
    <m/>
    <m/>
    <x v="1"/>
    <s v="34683105001001"/>
    <n v="-96.91"/>
    <n v="2062"/>
    <n v="1"/>
    <n v="1"/>
  </r>
  <r>
    <m/>
    <m/>
    <x v="1"/>
    <s v="34847231001001"/>
    <n v="-68.239999999999995"/>
    <n v="1452"/>
    <n v="1"/>
    <n v="1"/>
  </r>
  <r>
    <m/>
    <m/>
    <x v="1"/>
    <s v="34859648001001"/>
    <n v="-26.51"/>
    <n v="564"/>
    <n v="1"/>
    <n v="1"/>
  </r>
  <r>
    <m/>
    <m/>
    <x v="1"/>
    <s v="35012953001002"/>
    <n v="-79.05"/>
    <n v="1682"/>
    <n v="1"/>
    <n v="1"/>
  </r>
  <r>
    <m/>
    <m/>
    <x v="1"/>
    <s v="35296076001001"/>
    <n v="-18.100000000000001"/>
    <n v="385"/>
    <n v="1"/>
    <n v="1"/>
  </r>
  <r>
    <m/>
    <m/>
    <x v="1"/>
    <s v="35340232002001"/>
    <n v="-201.49"/>
    <n v="4287"/>
    <n v="1"/>
    <n v="1"/>
  </r>
  <r>
    <m/>
    <m/>
    <x v="1"/>
    <s v="35387208001001"/>
    <n v="-143.82"/>
    <n v="3060"/>
    <n v="1"/>
    <n v="1"/>
  </r>
  <r>
    <m/>
    <m/>
    <x v="1"/>
    <s v="35405190001004"/>
    <n v="-44.23"/>
    <n v="941"/>
    <n v="1"/>
    <n v="1"/>
  </r>
  <r>
    <m/>
    <m/>
    <x v="1"/>
    <s v="35761120001001"/>
    <n v="-68.53"/>
    <n v="1458"/>
    <n v="1"/>
    <n v="1"/>
  </r>
  <r>
    <m/>
    <m/>
    <x v="1"/>
    <s v="35900670002005"/>
    <n v="-28.48"/>
    <n v="606"/>
    <n v="1"/>
    <n v="1"/>
  </r>
  <r>
    <m/>
    <m/>
    <x v="1"/>
    <s v="36046479001001"/>
    <n v="-132.54"/>
    <n v="2820"/>
    <n v="1"/>
    <n v="1"/>
  </r>
  <r>
    <m/>
    <m/>
    <x v="1"/>
    <s v="36048131001001"/>
    <n v="-145.84"/>
    <n v="3103"/>
    <n v="1"/>
    <n v="1"/>
  </r>
  <r>
    <m/>
    <m/>
    <x v="1"/>
    <s v="36264381001001"/>
    <n v="-72.709999999999994"/>
    <n v="1547"/>
    <n v="1"/>
    <n v="1"/>
  </r>
  <r>
    <m/>
    <m/>
    <x v="1"/>
    <s v="36529463001001"/>
    <n v="-103.68"/>
    <n v="2206"/>
    <n v="1"/>
    <n v="1"/>
  </r>
  <r>
    <m/>
    <m/>
    <x v="1"/>
    <s v="36618779001001"/>
    <n v="-56.92"/>
    <n v="1211"/>
    <n v="1"/>
    <n v="1"/>
  </r>
  <r>
    <m/>
    <m/>
    <x v="1"/>
    <s v="36829904002001"/>
    <n v="-111.86"/>
    <n v="2380"/>
    <n v="1"/>
    <n v="1"/>
  </r>
  <r>
    <m/>
    <m/>
    <x v="1"/>
    <s v="36994507001001"/>
    <n v="-96.49"/>
    <n v="2053"/>
    <n v="1"/>
    <n v="1"/>
  </r>
  <r>
    <m/>
    <m/>
    <x v="1"/>
    <s v="37382058001001"/>
    <n v="-76.94"/>
    <n v="1637"/>
    <n v="1"/>
    <n v="1"/>
  </r>
  <r>
    <m/>
    <m/>
    <x v="1"/>
    <s v="37387403001001"/>
    <n v="-139.91999999999999"/>
    <n v="2977"/>
    <n v="1"/>
    <n v="1"/>
  </r>
  <r>
    <m/>
    <m/>
    <x v="1"/>
    <s v="37486921001001"/>
    <n v="-21.86"/>
    <n v="465"/>
    <n v="1"/>
    <n v="1"/>
  </r>
  <r>
    <m/>
    <m/>
    <x v="1"/>
    <s v="37494438002001"/>
    <n v="-60.82"/>
    <n v="1294"/>
    <n v="1"/>
    <n v="1"/>
  </r>
  <r>
    <m/>
    <m/>
    <x v="1"/>
    <s v="37649110001001"/>
    <n v="-20.3"/>
    <n v="432"/>
    <n v="1"/>
    <n v="1"/>
  </r>
  <r>
    <m/>
    <m/>
    <x v="1"/>
    <s v="37734979001001"/>
    <n v="-14.9"/>
    <n v="317"/>
    <n v="1"/>
    <n v="1"/>
  </r>
  <r>
    <m/>
    <m/>
    <x v="1"/>
    <s v="37758573001006"/>
    <n v="-2.02"/>
    <n v="43"/>
    <n v="1"/>
    <n v="1"/>
  </r>
  <r>
    <m/>
    <m/>
    <x v="1"/>
    <s v="37811888001008"/>
    <n v="-27.17"/>
    <n v="578"/>
    <n v="1"/>
    <n v="1"/>
  </r>
  <r>
    <m/>
    <m/>
    <x v="1"/>
    <s v="37848235001001"/>
    <n v="-16.54"/>
    <n v="352"/>
    <n v="1"/>
    <n v="1"/>
  </r>
  <r>
    <m/>
    <m/>
    <x v="1"/>
    <s v="38031459001001"/>
    <n v="-29.23"/>
    <n v="622"/>
    <n v="1"/>
    <n v="1"/>
  </r>
  <r>
    <m/>
    <m/>
    <x v="1"/>
    <s v="38058429001003"/>
    <n v="-45.5"/>
    <n v="968"/>
    <n v="1"/>
    <n v="1"/>
  </r>
  <r>
    <m/>
    <m/>
    <x v="1"/>
    <s v="38075496001014"/>
    <n v="-110.26"/>
    <n v="2346"/>
    <n v="1"/>
    <n v="1"/>
  </r>
  <r>
    <m/>
    <m/>
    <x v="1"/>
    <s v="38301351001001"/>
    <n v="-98.79"/>
    <n v="2102"/>
    <n v="1"/>
    <n v="1"/>
  </r>
  <r>
    <m/>
    <m/>
    <x v="1"/>
    <s v="38413246001001"/>
    <n v="-94.42"/>
    <n v="2009"/>
    <n v="1"/>
    <n v="1"/>
  </r>
  <r>
    <m/>
    <m/>
    <x v="1"/>
    <s v="38447668001004"/>
    <n v="-1.46"/>
    <n v="31"/>
    <n v="1"/>
    <n v="1"/>
  </r>
  <r>
    <m/>
    <m/>
    <x v="1"/>
    <s v="38499863001004"/>
    <n v="-137.19"/>
    <n v="2919"/>
    <n v="1"/>
    <n v="1"/>
  </r>
  <r>
    <m/>
    <m/>
    <x v="1"/>
    <s v="38527198001001"/>
    <n v="-49.07"/>
    <n v="1044"/>
    <n v="1"/>
    <n v="1"/>
  </r>
  <r>
    <m/>
    <m/>
    <x v="1"/>
    <s v="38540989001007"/>
    <n v="-31.21"/>
    <n v="664"/>
    <n v="1"/>
    <n v="1"/>
  </r>
  <r>
    <m/>
    <m/>
    <x v="1"/>
    <s v="38606746001003"/>
    <n v="-66.790000000000006"/>
    <n v="1421"/>
    <n v="1"/>
    <n v="1"/>
  </r>
  <r>
    <m/>
    <m/>
    <x v="1"/>
    <s v="38716177001005"/>
    <n v="-33.75"/>
    <n v="718"/>
    <n v="1"/>
    <n v="1"/>
  </r>
  <r>
    <m/>
    <m/>
    <x v="1"/>
    <s v="38724493001002"/>
    <n v="-44.6"/>
    <n v="949"/>
    <n v="1"/>
    <n v="1"/>
  </r>
  <r>
    <m/>
    <m/>
    <x v="1"/>
    <s v="38776351002003"/>
    <n v="-29.94"/>
    <n v="637"/>
    <n v="1"/>
    <n v="1"/>
  </r>
  <r>
    <m/>
    <m/>
    <x v="1"/>
    <s v="38891796001003"/>
    <n v="-20.82"/>
    <n v="443"/>
    <n v="1"/>
    <n v="1"/>
  </r>
  <r>
    <m/>
    <m/>
    <x v="1"/>
    <s v="38916020002003"/>
    <n v="-158.86000000000001"/>
    <n v="3380"/>
    <n v="1"/>
    <n v="1"/>
  </r>
  <r>
    <m/>
    <m/>
    <x v="1"/>
    <s v="38930470001001"/>
    <n v="-28.06"/>
    <n v="597"/>
    <n v="1"/>
    <n v="1"/>
  </r>
  <r>
    <m/>
    <m/>
    <x v="1"/>
    <s v="38964048001001"/>
    <n v="-9.9600000000000009"/>
    <n v="212"/>
    <n v="1"/>
    <n v="1"/>
  </r>
  <r>
    <m/>
    <m/>
    <x v="1"/>
    <s v="39105361003001"/>
    <n v="-41.55"/>
    <n v="884"/>
    <n v="1"/>
    <n v="1"/>
  </r>
  <r>
    <m/>
    <m/>
    <x v="1"/>
    <s v="39177585002001"/>
    <n v="-16.87"/>
    <n v="359"/>
    <n v="1"/>
    <n v="1"/>
  </r>
  <r>
    <m/>
    <m/>
    <x v="1"/>
    <s v="39206681001007"/>
    <n v="-174.28"/>
    <n v="3708"/>
    <n v="1"/>
    <n v="1"/>
  </r>
  <r>
    <m/>
    <m/>
    <x v="1"/>
    <s v="39300831002001"/>
    <n v="-85.54"/>
    <n v="1820"/>
    <n v="1"/>
    <n v="1"/>
  </r>
  <r>
    <m/>
    <m/>
    <x v="1"/>
    <s v="39419789001003"/>
    <n v="-14.95"/>
    <n v="318"/>
    <n v="1"/>
    <n v="1"/>
  </r>
  <r>
    <m/>
    <m/>
    <x v="1"/>
    <s v="39421231001001"/>
    <n v="-5.69"/>
    <n v="121"/>
    <n v="1"/>
    <n v="1"/>
  </r>
  <r>
    <m/>
    <m/>
    <x v="1"/>
    <s v="39500179007001"/>
    <n v="-64.91"/>
    <n v="1381"/>
    <n v="1"/>
    <n v="1"/>
  </r>
  <r>
    <m/>
    <m/>
    <x v="1"/>
    <s v="39509588001002"/>
    <n v="-86.1"/>
    <n v="1832"/>
    <n v="1"/>
    <n v="1"/>
  </r>
  <r>
    <m/>
    <m/>
    <x v="1"/>
    <s v="39525577001001"/>
    <n v="-64.25"/>
    <n v="1367"/>
    <n v="1"/>
    <n v="1"/>
  </r>
  <r>
    <m/>
    <m/>
    <x v="1"/>
    <s v="39545289001005"/>
    <n v="-26.93"/>
    <n v="573"/>
    <n v="1"/>
    <n v="1"/>
  </r>
  <r>
    <m/>
    <m/>
    <x v="1"/>
    <s v="39604852001009"/>
    <n v="-114.87"/>
    <n v="2444"/>
    <n v="1"/>
    <n v="1"/>
  </r>
  <r>
    <m/>
    <m/>
    <x v="1"/>
    <s v="39773816001001"/>
    <n v="-89.91"/>
    <n v="1913"/>
    <n v="1"/>
    <n v="1"/>
  </r>
  <r>
    <m/>
    <m/>
    <x v="1"/>
    <s v="39857500001003"/>
    <n v="-52.78"/>
    <n v="1123"/>
    <n v="1"/>
    <n v="1"/>
  </r>
  <r>
    <m/>
    <m/>
    <x v="1"/>
    <s v="39991003001001"/>
    <n v="-24.77"/>
    <n v="527"/>
    <n v="1"/>
    <n v="1"/>
  </r>
  <r>
    <m/>
    <m/>
    <x v="1"/>
    <s v="40009788001007"/>
    <n v="-4.2300000000000004"/>
    <n v="90"/>
    <n v="1"/>
    <n v="1"/>
  </r>
  <r>
    <m/>
    <m/>
    <x v="1"/>
    <s v="40055909001004"/>
    <n v="-47.8"/>
    <n v="1017"/>
    <n v="1"/>
    <n v="1"/>
  </r>
  <r>
    <m/>
    <m/>
    <x v="1"/>
    <s v="40077250001001"/>
    <n v="-88.83"/>
    <n v="1890"/>
    <n v="1"/>
    <n v="1"/>
  </r>
  <r>
    <m/>
    <m/>
    <x v="1"/>
    <s v="40187844001001"/>
    <n v="-11.7"/>
    <n v="249"/>
    <n v="1"/>
    <n v="1"/>
  </r>
  <r>
    <m/>
    <m/>
    <x v="1"/>
    <s v="40246067001003"/>
    <n v="-34.36"/>
    <n v="731"/>
    <n v="1"/>
    <n v="1"/>
  </r>
  <r>
    <m/>
    <m/>
    <x v="1"/>
    <s v="40366913001003"/>
    <n v="-247.69"/>
    <n v="5270"/>
    <n v="2"/>
    <n v="1"/>
  </r>
  <r>
    <m/>
    <m/>
    <x v="1"/>
    <s v="40435265016001"/>
    <n v="-87.14"/>
    <n v="1854"/>
    <n v="1"/>
    <n v="1"/>
  </r>
  <r>
    <m/>
    <m/>
    <x v="1"/>
    <s v="40514885001001"/>
    <n v="-89.16"/>
    <n v="1897"/>
    <n v="1"/>
    <n v="1"/>
  </r>
  <r>
    <m/>
    <m/>
    <x v="1"/>
    <s v="40647033004003"/>
    <n v="-120.6"/>
    <n v="2566"/>
    <n v="1"/>
    <n v="1"/>
  </r>
  <r>
    <m/>
    <m/>
    <x v="1"/>
    <s v="40680887001001"/>
    <n v="-175.26"/>
    <n v="3729"/>
    <n v="1"/>
    <n v="1"/>
  </r>
  <r>
    <m/>
    <m/>
    <x v="1"/>
    <s v="40766679002007"/>
    <n v="-56.35"/>
    <n v="1199"/>
    <n v="1"/>
    <n v="1"/>
  </r>
  <r>
    <m/>
    <m/>
    <x v="1"/>
    <s v="40819353001002"/>
    <n v="-69.98"/>
    <n v="1489"/>
    <n v="1"/>
    <n v="1"/>
  </r>
  <r>
    <m/>
    <m/>
    <x v="1"/>
    <s v="40849252002003"/>
    <n v="-112.99"/>
    <n v="2404"/>
    <n v="1"/>
    <n v="1"/>
  </r>
  <r>
    <m/>
    <m/>
    <x v="1"/>
    <s v="40922056004001"/>
    <n v="-89.39"/>
    <n v="1902"/>
    <n v="1"/>
    <n v="1"/>
  </r>
  <r>
    <m/>
    <m/>
    <x v="1"/>
    <s v="40976156007001"/>
    <n v="-64.39"/>
    <n v="1370"/>
    <n v="1"/>
    <n v="1"/>
  </r>
  <r>
    <m/>
    <m/>
    <x v="1"/>
    <s v="41057260001001"/>
    <n v="-144.62"/>
    <n v="3077"/>
    <n v="1"/>
    <n v="1"/>
  </r>
  <r>
    <m/>
    <m/>
    <x v="1"/>
    <s v="41102044001001"/>
    <n v="-56.21"/>
    <n v="1196"/>
    <n v="1"/>
    <n v="1"/>
  </r>
  <r>
    <m/>
    <m/>
    <x v="1"/>
    <s v="41221819001001"/>
    <n v="-16.399999999999999"/>
    <n v="349"/>
    <n v="1"/>
    <n v="1"/>
  </r>
  <r>
    <m/>
    <m/>
    <x v="1"/>
    <s v="41410810001002"/>
    <n v="-118.53"/>
    <n v="2522"/>
    <n v="1"/>
    <n v="1"/>
  </r>
  <r>
    <m/>
    <m/>
    <x v="1"/>
    <s v="41508622002001"/>
    <n v="-45.45"/>
    <n v="967"/>
    <n v="1"/>
    <n v="1"/>
  </r>
  <r>
    <m/>
    <m/>
    <x v="1"/>
    <s v="41572109003001"/>
    <n v="-2.2599999999999998"/>
    <n v="48"/>
    <n v="1"/>
    <n v="1"/>
  </r>
  <r>
    <m/>
    <m/>
    <x v="1"/>
    <s v="41580560001002"/>
    <n v="-69.37"/>
    <n v="1476"/>
    <n v="1"/>
    <n v="1"/>
  </r>
  <r>
    <m/>
    <m/>
    <x v="1"/>
    <s v="41611615001003"/>
    <n v="-13.21"/>
    <n v="281"/>
    <n v="1"/>
    <n v="1"/>
  </r>
  <r>
    <m/>
    <m/>
    <x v="1"/>
    <s v="41643514001001"/>
    <n v="-113.69"/>
    <n v="2419"/>
    <n v="1"/>
    <n v="1"/>
  </r>
  <r>
    <m/>
    <m/>
    <x v="1"/>
    <s v="41650115001003"/>
    <n v="-36.28"/>
    <n v="772"/>
    <n v="1"/>
    <n v="1"/>
  </r>
  <r>
    <m/>
    <m/>
    <x v="1"/>
    <s v="41731451001005"/>
    <n v="-12.22"/>
    <n v="260"/>
    <n v="1"/>
    <n v="1"/>
  </r>
  <r>
    <m/>
    <m/>
    <x v="1"/>
    <s v="41791652002003"/>
    <n v="-22.75"/>
    <n v="484"/>
    <n v="1"/>
    <n v="1"/>
  </r>
  <r>
    <m/>
    <m/>
    <x v="1"/>
    <s v="41942354001001"/>
    <n v="-60.49"/>
    <n v="1287"/>
    <n v="1"/>
    <n v="1"/>
  </r>
  <r>
    <m/>
    <m/>
    <x v="1"/>
    <s v="41946035001005"/>
    <n v="-76.89"/>
    <n v="1636"/>
    <n v="1"/>
    <n v="1"/>
  </r>
  <r>
    <m/>
    <m/>
    <x v="1"/>
    <s v="41980548001001"/>
    <n v="-82.44"/>
    <n v="1754"/>
    <n v="1"/>
    <n v="1"/>
  </r>
  <r>
    <m/>
    <m/>
    <x v="1"/>
    <s v="42009866001002"/>
    <n v="-20.49"/>
    <n v="436"/>
    <n v="1"/>
    <n v="1"/>
  </r>
  <r>
    <m/>
    <m/>
    <x v="1"/>
    <s v="42025371002002"/>
    <n v="-62.98"/>
    <n v="1340"/>
    <n v="1"/>
    <n v="1"/>
  </r>
  <r>
    <m/>
    <m/>
    <x v="1"/>
    <s v="42053353001001"/>
    <n v="-83.38"/>
    <n v="1774"/>
    <n v="1"/>
    <n v="1"/>
  </r>
  <r>
    <m/>
    <m/>
    <x v="1"/>
    <s v="42088583002001"/>
    <n v="-123.75"/>
    <n v="2633"/>
    <n v="1"/>
    <n v="1"/>
  </r>
  <r>
    <m/>
    <m/>
    <x v="1"/>
    <s v="42185507001001"/>
    <n v="-91.7"/>
    <n v="1951"/>
    <n v="1"/>
    <n v="1"/>
  </r>
  <r>
    <m/>
    <m/>
    <x v="1"/>
    <s v="42343001003003"/>
    <n v="-78.3"/>
    <n v="1666"/>
    <n v="1"/>
    <n v="1"/>
  </r>
  <r>
    <m/>
    <m/>
    <x v="1"/>
    <s v="42367522001001"/>
    <n v="-120.65"/>
    <n v="2567"/>
    <n v="1"/>
    <n v="1"/>
  </r>
  <r>
    <m/>
    <m/>
    <x v="1"/>
    <s v="42433691001006"/>
    <n v="-86.76"/>
    <n v="1846"/>
    <n v="1"/>
    <n v="1"/>
  </r>
  <r>
    <m/>
    <m/>
    <x v="1"/>
    <s v="42488881004001"/>
    <n v="-26.09"/>
    <n v="555"/>
    <n v="1"/>
    <n v="1"/>
  </r>
  <r>
    <m/>
    <m/>
    <x v="1"/>
    <s v="42498331001004"/>
    <n v="-29.52"/>
    <n v="628"/>
    <n v="1"/>
    <n v="1"/>
  </r>
  <r>
    <m/>
    <m/>
    <x v="1"/>
    <s v="42500151001003"/>
    <n v="-86.53"/>
    <n v="1841"/>
    <n v="1"/>
    <n v="1"/>
  </r>
  <r>
    <m/>
    <m/>
    <x v="1"/>
    <s v="42515551001011"/>
    <n v="-50.85"/>
    <n v="1082"/>
    <n v="1"/>
    <n v="1"/>
  </r>
  <r>
    <m/>
    <m/>
    <x v="1"/>
    <s v="42517161002001"/>
    <n v="-31.11"/>
    <n v="662"/>
    <n v="1"/>
    <n v="1"/>
  </r>
  <r>
    <m/>
    <m/>
    <x v="1"/>
    <s v="42527320001008"/>
    <n v="-14.57"/>
    <n v="310"/>
    <n v="1"/>
    <n v="1"/>
  </r>
  <r>
    <m/>
    <m/>
    <x v="1"/>
    <s v="42531581001002"/>
    <n v="-88.31"/>
    <n v="1879"/>
    <n v="1"/>
    <n v="1"/>
  </r>
  <r>
    <m/>
    <m/>
    <x v="1"/>
    <s v="42535431005001"/>
    <n v="-74.97"/>
    <n v="1595"/>
    <n v="1"/>
    <n v="1"/>
  </r>
  <r>
    <m/>
    <m/>
    <x v="1"/>
    <s v="42537321002001"/>
    <n v="-27.5"/>
    <n v="585"/>
    <n v="1"/>
    <n v="1"/>
  </r>
  <r>
    <m/>
    <m/>
    <x v="1"/>
    <s v="42577991002002"/>
    <n v="-129.44"/>
    <n v="2754"/>
    <n v="1"/>
    <n v="1"/>
  </r>
  <r>
    <m/>
    <m/>
    <x v="1"/>
    <s v="42580021001005"/>
    <n v="-48.88"/>
    <n v="1040"/>
    <n v="1"/>
    <n v="1"/>
  </r>
  <r>
    <m/>
    <m/>
    <x v="1"/>
    <s v="42600391001002"/>
    <n v="-10.95"/>
    <n v="233"/>
    <n v="1"/>
    <n v="1"/>
  </r>
  <r>
    <m/>
    <m/>
    <x v="1"/>
    <s v="42640711003001"/>
    <n v="-70.41"/>
    <n v="1498"/>
    <n v="1"/>
    <n v="1"/>
  </r>
  <r>
    <m/>
    <m/>
    <x v="1"/>
    <s v="42642951010001"/>
    <n v="-29.28"/>
    <n v="623"/>
    <n v="1"/>
    <n v="1"/>
  </r>
  <r>
    <m/>
    <m/>
    <x v="1"/>
    <s v="42646171001006"/>
    <n v="-35.340000000000003"/>
    <n v="752"/>
    <n v="1"/>
    <n v="1"/>
  </r>
  <r>
    <m/>
    <m/>
    <x v="1"/>
    <s v="42646661001002"/>
    <n v="-104.06"/>
    <n v="2214"/>
    <n v="1"/>
    <n v="1"/>
  </r>
  <r>
    <m/>
    <m/>
    <x v="1"/>
    <s v="42673331002003"/>
    <n v="-54.19"/>
    <n v="1153"/>
    <n v="1"/>
    <n v="1"/>
  </r>
  <r>
    <m/>
    <m/>
    <x v="1"/>
    <s v="42675015004001"/>
    <n v="-106.74"/>
    <n v="2271"/>
    <n v="1"/>
    <n v="1"/>
  </r>
  <r>
    <m/>
    <m/>
    <x v="1"/>
    <s v="42686841002004"/>
    <n v="-11.14"/>
    <n v="237"/>
    <n v="1"/>
    <n v="1"/>
  </r>
  <r>
    <m/>
    <m/>
    <x v="1"/>
    <s v="42701961001004"/>
    <n v="-16.36"/>
    <n v="348"/>
    <n v="1"/>
    <n v="1"/>
  </r>
  <r>
    <m/>
    <m/>
    <x v="1"/>
    <s v="42718551001001"/>
    <n v="-41.64"/>
    <n v="886"/>
    <n v="1"/>
    <n v="1"/>
  </r>
  <r>
    <m/>
    <m/>
    <x v="1"/>
    <s v="42725901002002"/>
    <n v="-82.3"/>
    <n v="1751"/>
    <n v="1"/>
    <n v="1"/>
  </r>
  <r>
    <m/>
    <m/>
    <x v="1"/>
    <s v="42775461005001"/>
    <n v="-51.47"/>
    <n v="1095"/>
    <n v="1"/>
    <n v="1"/>
  </r>
  <r>
    <m/>
    <m/>
    <x v="1"/>
    <s v="42837271003004"/>
    <n v="-117.36"/>
    <n v="2497"/>
    <n v="1"/>
    <n v="1"/>
  </r>
  <r>
    <m/>
    <m/>
    <x v="1"/>
    <s v="42841997001001"/>
    <n v="-6.67"/>
    <n v="142"/>
    <n v="1"/>
    <n v="1"/>
  </r>
  <r>
    <m/>
    <m/>
    <x v="1"/>
    <s v="42878921002001"/>
    <n v="-41.41"/>
    <n v="881"/>
    <n v="1"/>
    <n v="1"/>
  </r>
  <r>
    <m/>
    <m/>
    <x v="1"/>
    <s v="42889211005001"/>
    <n v="-149.69999999999999"/>
    <n v="3185"/>
    <n v="1"/>
    <n v="1"/>
  </r>
  <r>
    <m/>
    <m/>
    <x v="1"/>
    <s v="42901041001001"/>
    <n v="-79.52"/>
    <n v="1692"/>
    <n v="1"/>
    <n v="1"/>
  </r>
  <r>
    <m/>
    <m/>
    <x v="1"/>
    <s v="42972511001003"/>
    <n v="-26.37"/>
    <n v="561"/>
    <n v="1"/>
    <n v="1"/>
  </r>
  <r>
    <m/>
    <m/>
    <x v="1"/>
    <s v="42972931001004"/>
    <n v="-88.92"/>
    <n v="1892"/>
    <n v="1"/>
    <n v="1"/>
  </r>
  <r>
    <m/>
    <m/>
    <x v="1"/>
    <s v="42997221001001"/>
    <n v="-24.72"/>
    <n v="526"/>
    <n v="1"/>
    <n v="1"/>
  </r>
  <r>
    <m/>
    <m/>
    <x v="1"/>
    <s v="43023681011001"/>
    <n v="-30.03"/>
    <n v="639"/>
    <n v="1"/>
    <n v="1"/>
  </r>
  <r>
    <m/>
    <m/>
    <x v="1"/>
    <s v="43036071001003"/>
    <n v="-14.29"/>
    <n v="304"/>
    <n v="1"/>
    <n v="1"/>
  </r>
  <r>
    <m/>
    <m/>
    <x v="1"/>
    <s v="43124621001001"/>
    <n v="-47.94"/>
    <n v="1020"/>
    <n v="1"/>
    <n v="1"/>
  </r>
  <r>
    <m/>
    <m/>
    <x v="1"/>
    <s v="43172221002008"/>
    <n v="-133.76"/>
    <n v="2846"/>
    <n v="1"/>
    <n v="1"/>
  </r>
  <r>
    <m/>
    <m/>
    <x v="1"/>
    <s v="43191121004001"/>
    <n v="-57.06"/>
    <n v="1214"/>
    <n v="1"/>
    <n v="1"/>
  </r>
  <r>
    <m/>
    <m/>
    <x v="1"/>
    <s v="43192521002006"/>
    <n v="-32.29"/>
    <n v="687"/>
    <n v="1"/>
    <n v="1"/>
  </r>
  <r>
    <m/>
    <m/>
    <x v="1"/>
    <s v="43196721001001"/>
    <n v="-19.98"/>
    <n v="425"/>
    <n v="1"/>
    <n v="1"/>
  </r>
  <r>
    <m/>
    <m/>
    <x v="1"/>
    <s v="43209041003003"/>
    <n v="-17.16"/>
    <n v="365"/>
    <n v="1"/>
    <n v="1"/>
  </r>
  <r>
    <m/>
    <m/>
    <x v="1"/>
    <s v="43218351001006"/>
    <n v="-64.010000000000005"/>
    <n v="1362"/>
    <n v="1"/>
    <n v="1"/>
  </r>
  <r>
    <m/>
    <m/>
    <x v="1"/>
    <s v="43240331001004"/>
    <n v="-65.38"/>
    <n v="1391"/>
    <n v="1"/>
    <n v="1"/>
  </r>
  <r>
    <m/>
    <m/>
    <x v="1"/>
    <s v="43240401001003"/>
    <n v="-80.75"/>
    <n v="1718"/>
    <n v="1"/>
    <n v="1"/>
  </r>
  <r>
    <m/>
    <m/>
    <x v="1"/>
    <s v="43251181001001"/>
    <n v="-35.340000000000003"/>
    <n v="752"/>
    <n v="1"/>
    <n v="1"/>
  </r>
  <r>
    <m/>
    <m/>
    <x v="1"/>
    <s v="43254121001004"/>
    <n v="-17.91"/>
    <n v="381"/>
    <n v="1"/>
    <n v="1"/>
  </r>
  <r>
    <m/>
    <m/>
    <x v="1"/>
    <s v="43268821001001"/>
    <n v="-69.42"/>
    <n v="1477"/>
    <n v="1"/>
    <n v="1"/>
  </r>
  <r>
    <m/>
    <m/>
    <x v="1"/>
    <s v="43282821001002"/>
    <n v="-122.01"/>
    <n v="2596"/>
    <n v="1"/>
    <n v="1"/>
  </r>
  <r>
    <m/>
    <m/>
    <x v="1"/>
    <s v="43291711002001"/>
    <n v="-16.309999999999999"/>
    <n v="347"/>
    <n v="1"/>
    <n v="1"/>
  </r>
  <r>
    <m/>
    <m/>
    <x v="1"/>
    <s v="43296891001001"/>
    <n v="-91.51"/>
    <n v="1947"/>
    <n v="1"/>
    <n v="1"/>
  </r>
  <r>
    <m/>
    <m/>
    <x v="1"/>
    <s v="43341461001006"/>
    <n v="-30.17"/>
    <n v="642"/>
    <n v="1"/>
    <n v="1"/>
  </r>
  <r>
    <m/>
    <m/>
    <x v="1"/>
    <s v="43390341005001"/>
    <n v="-4.75"/>
    <n v="101"/>
    <n v="1"/>
    <n v="1"/>
  </r>
  <r>
    <m/>
    <m/>
    <x v="1"/>
    <s v="43424081002001"/>
    <n v="-22.98"/>
    <n v="489"/>
    <n v="1"/>
    <n v="1"/>
  </r>
  <r>
    <m/>
    <m/>
    <x v="1"/>
    <s v="43445991001003"/>
    <n v="-86.01"/>
    <n v="1830"/>
    <n v="1"/>
    <n v="1"/>
  </r>
  <r>
    <m/>
    <m/>
    <x v="1"/>
    <s v="43482671001001"/>
    <n v="-109.65"/>
    <n v="2333"/>
    <n v="1"/>
    <n v="1"/>
  </r>
  <r>
    <m/>
    <m/>
    <x v="1"/>
    <s v="43523521003001"/>
    <n v="-55.13"/>
    <n v="1173"/>
    <n v="1"/>
    <n v="1"/>
  </r>
  <r>
    <m/>
    <m/>
    <x v="1"/>
    <s v="43530621001001"/>
    <n v="-173.15"/>
    <n v="3684"/>
    <n v="1"/>
    <n v="1"/>
  </r>
  <r>
    <m/>
    <m/>
    <x v="1"/>
    <s v="43531181006001"/>
    <n v="-93.2"/>
    <n v="1983"/>
    <n v="1"/>
    <n v="1"/>
  </r>
  <r>
    <m/>
    <m/>
    <x v="1"/>
    <s v="43534620003005"/>
    <n v="-19.36"/>
    <n v="412"/>
    <n v="1"/>
    <n v="1"/>
  </r>
  <r>
    <m/>
    <m/>
    <x v="1"/>
    <s v="43535310001003"/>
    <n v="-111.63"/>
    <n v="2375"/>
    <n v="1"/>
    <n v="1"/>
  </r>
  <r>
    <m/>
    <m/>
    <x v="1"/>
    <s v="43575421002001"/>
    <n v="-147.66999999999999"/>
    <n v="3142"/>
    <n v="1"/>
    <n v="1"/>
  </r>
  <r>
    <m/>
    <m/>
    <x v="1"/>
    <s v="43627431002001"/>
    <n v="-1.74"/>
    <n v="37"/>
    <n v="1"/>
    <n v="1"/>
  </r>
  <r>
    <m/>
    <m/>
    <x v="1"/>
    <s v="43675311001004"/>
    <n v="-9.02"/>
    <n v="192"/>
    <n v="1"/>
    <n v="1"/>
  </r>
  <r>
    <m/>
    <m/>
    <x v="1"/>
    <s v="43675731002001"/>
    <n v="-32.950000000000003"/>
    <n v="701"/>
    <n v="1"/>
    <n v="1"/>
  </r>
  <r>
    <m/>
    <m/>
    <x v="1"/>
    <s v="43685391001005"/>
    <n v="-111.39"/>
    <n v="2370"/>
    <n v="1"/>
    <n v="1"/>
  </r>
  <r>
    <m/>
    <m/>
    <x v="1"/>
    <s v="43746361001003"/>
    <n v="-25.19"/>
    <n v="536"/>
    <n v="1"/>
    <n v="1"/>
  </r>
  <r>
    <m/>
    <m/>
    <x v="1"/>
    <s v="43944951004001"/>
    <n v="-107.16"/>
    <n v="2280"/>
    <n v="1"/>
    <n v="1"/>
  </r>
  <r>
    <m/>
    <m/>
    <x v="1"/>
    <s v="43991683002001"/>
    <n v="-92.26"/>
    <n v="1963"/>
    <n v="1"/>
    <n v="1"/>
  </r>
  <r>
    <m/>
    <m/>
    <x v="1"/>
    <s v="44045261010003"/>
    <n v="-86.95"/>
    <n v="1850"/>
    <n v="1"/>
    <n v="1"/>
  </r>
  <r>
    <m/>
    <m/>
    <x v="1"/>
    <s v="44261911001001"/>
    <n v="-93.91"/>
    <n v="1998"/>
    <n v="1"/>
    <n v="1"/>
  </r>
  <r>
    <m/>
    <m/>
    <x v="1"/>
    <s v="44271151005001"/>
    <n v="-39.29"/>
    <n v="836"/>
    <n v="1"/>
    <n v="1"/>
  </r>
  <r>
    <m/>
    <m/>
    <x v="1"/>
    <s v="44289141002001"/>
    <n v="-55.18"/>
    <n v="1174"/>
    <n v="1"/>
    <n v="1"/>
  </r>
  <r>
    <m/>
    <m/>
    <x v="1"/>
    <s v="44295021002002"/>
    <n v="-64.58"/>
    <n v="1374"/>
    <n v="1"/>
    <n v="1"/>
  </r>
  <r>
    <m/>
    <m/>
    <x v="1"/>
    <s v="44301741001003"/>
    <n v="-134"/>
    <n v="2851"/>
    <n v="1"/>
    <n v="1"/>
  </r>
  <r>
    <m/>
    <m/>
    <x v="1"/>
    <s v="44318891001003"/>
    <n v="-3.67"/>
    <n v="78"/>
    <n v="1"/>
    <n v="1"/>
  </r>
  <r>
    <m/>
    <m/>
    <x v="1"/>
    <s v="44346821001002"/>
    <n v="-119.43"/>
    <n v="2541"/>
    <n v="1"/>
    <n v="1"/>
  </r>
  <r>
    <m/>
    <m/>
    <x v="1"/>
    <s v="44371461001006"/>
    <n v="-114.16"/>
    <n v="2429"/>
    <n v="1"/>
    <n v="1"/>
  </r>
  <r>
    <m/>
    <m/>
    <x v="1"/>
    <s v="44380071003003"/>
    <n v="-61.34"/>
    <n v="1305"/>
    <n v="1"/>
    <n v="1"/>
  </r>
  <r>
    <m/>
    <m/>
    <x v="1"/>
    <s v="44400231001002"/>
    <n v="-52.59"/>
    <n v="1119"/>
    <n v="1"/>
    <n v="1"/>
  </r>
  <r>
    <m/>
    <m/>
    <x v="1"/>
    <s v="44437541001001"/>
    <n v="-162.62"/>
    <n v="3460"/>
    <n v="1"/>
    <n v="1"/>
  </r>
  <r>
    <m/>
    <m/>
    <x v="1"/>
    <s v="44476811004001"/>
    <n v="-42.72"/>
    <n v="909"/>
    <n v="1"/>
    <n v="1"/>
  </r>
  <r>
    <m/>
    <m/>
    <x v="1"/>
    <s v="44504531002005"/>
    <n v="-147.49"/>
    <n v="3138"/>
    <n v="1"/>
    <n v="1"/>
  </r>
  <r>
    <m/>
    <m/>
    <x v="1"/>
    <s v="44509781006002"/>
    <n v="-104.29"/>
    <n v="2219"/>
    <n v="1"/>
    <n v="1"/>
  </r>
  <r>
    <m/>
    <m/>
    <x v="1"/>
    <s v="44518951007001"/>
    <n v="-82.67"/>
    <n v="1759"/>
    <n v="1"/>
    <n v="1"/>
  </r>
  <r>
    <m/>
    <m/>
    <x v="1"/>
    <s v="44522381001001"/>
    <n v="-143.16"/>
    <n v="3046"/>
    <n v="1"/>
    <n v="1"/>
  </r>
  <r>
    <m/>
    <m/>
    <x v="1"/>
    <s v="44524481001001"/>
    <n v="-74.92"/>
    <n v="1594"/>
    <n v="1"/>
    <n v="1"/>
  </r>
  <r>
    <m/>
    <m/>
    <x v="1"/>
    <s v="44533511002002"/>
    <n v="-94.33"/>
    <n v="2007"/>
    <n v="1"/>
    <n v="1"/>
  </r>
  <r>
    <m/>
    <m/>
    <x v="1"/>
    <s v="44551221001001"/>
    <n v="-61.01"/>
    <n v="1298"/>
    <n v="1"/>
    <n v="1"/>
  </r>
  <r>
    <m/>
    <m/>
    <x v="1"/>
    <s v="44567671002001"/>
    <n v="-44.89"/>
    <n v="955"/>
    <n v="1"/>
    <n v="1"/>
  </r>
  <r>
    <m/>
    <m/>
    <x v="1"/>
    <s v="44568316003001"/>
    <n v="-122.86"/>
    <n v="2614"/>
    <n v="1"/>
    <n v="1"/>
  </r>
  <r>
    <m/>
    <m/>
    <x v="1"/>
    <s v="44570056001001"/>
    <n v="-43.8"/>
    <n v="932"/>
    <n v="1"/>
    <n v="1"/>
  </r>
  <r>
    <m/>
    <m/>
    <x v="1"/>
    <s v="44577611002002"/>
    <n v="-37.979999999999997"/>
    <n v="808"/>
    <n v="1"/>
    <n v="1"/>
  </r>
  <r>
    <m/>
    <m/>
    <x v="1"/>
    <s v="44578101001008"/>
    <n v="-42.16"/>
    <n v="897"/>
    <n v="1"/>
    <n v="1"/>
  </r>
  <r>
    <m/>
    <m/>
    <x v="1"/>
    <s v="44596091002001"/>
    <n v="-32.479999999999997"/>
    <n v="691"/>
    <n v="1"/>
    <n v="1"/>
  </r>
  <r>
    <m/>
    <m/>
    <x v="1"/>
    <s v="44620801001001"/>
    <n v="-8.41"/>
    <n v="179"/>
    <n v="1"/>
    <n v="1"/>
  </r>
  <r>
    <m/>
    <m/>
    <x v="1"/>
    <s v="44625701002001"/>
    <n v="-141.05000000000001"/>
    <n v="3001"/>
    <n v="1"/>
    <n v="1"/>
  </r>
  <r>
    <m/>
    <m/>
    <x v="1"/>
    <s v="44639981001001"/>
    <n v="-64.53"/>
    <n v="1373"/>
    <n v="1"/>
    <n v="1"/>
  </r>
  <r>
    <m/>
    <m/>
    <x v="1"/>
    <s v="44663409001001"/>
    <n v="-74.069999999999993"/>
    <n v="1576"/>
    <n v="1"/>
    <n v="1"/>
  </r>
  <r>
    <m/>
    <m/>
    <x v="1"/>
    <s v="44697941001004"/>
    <n v="-96.68"/>
    <n v="2057"/>
    <n v="1"/>
    <n v="1"/>
  </r>
  <r>
    <m/>
    <m/>
    <x v="1"/>
    <s v="44702771001003"/>
    <n v="-103.4"/>
    <n v="2200"/>
    <n v="1"/>
    <n v="1"/>
  </r>
  <r>
    <m/>
    <m/>
    <x v="1"/>
    <s v="44706621001001"/>
    <n v="-50.67"/>
    <n v="1078"/>
    <n v="1"/>
    <n v="1"/>
  </r>
  <r>
    <m/>
    <m/>
    <x v="1"/>
    <s v="44710891001001"/>
    <n v="-88.74"/>
    <n v="1888"/>
    <n v="1"/>
    <n v="1"/>
  </r>
  <r>
    <m/>
    <m/>
    <x v="1"/>
    <s v="44717821001014"/>
    <n v="-34.22"/>
    <n v="728"/>
    <n v="1"/>
    <n v="1"/>
  </r>
  <r>
    <m/>
    <m/>
    <x v="1"/>
    <s v="44726291001003"/>
    <n v="-66.27"/>
    <n v="1410"/>
    <n v="1"/>
    <n v="1"/>
  </r>
  <r>
    <m/>
    <m/>
    <x v="1"/>
    <s v="44746871002001"/>
    <n v="-67.209999999999994"/>
    <n v="1430"/>
    <n v="1"/>
    <n v="1"/>
  </r>
  <r>
    <m/>
    <m/>
    <x v="1"/>
    <s v="44753381001001"/>
    <n v="-53.67"/>
    <n v="1142"/>
    <n v="1"/>
    <n v="1"/>
  </r>
  <r>
    <m/>
    <m/>
    <x v="1"/>
    <s v="44761361002003"/>
    <n v="-175.26"/>
    <n v="3729"/>
    <n v="1"/>
    <n v="1"/>
  </r>
  <r>
    <m/>
    <m/>
    <x v="1"/>
    <s v="44775221002003"/>
    <n v="-84.55"/>
    <n v="1799"/>
    <n v="1"/>
    <n v="1"/>
  </r>
  <r>
    <m/>
    <m/>
    <x v="1"/>
    <s v="44784111001002"/>
    <n v="-23.45"/>
    <n v="499"/>
    <n v="1"/>
    <n v="1"/>
  </r>
  <r>
    <m/>
    <m/>
    <x v="1"/>
    <s v="44808191002002"/>
    <n v="-115.48"/>
    <n v="2457"/>
    <n v="1"/>
    <n v="1"/>
  </r>
  <r>
    <m/>
    <m/>
    <x v="1"/>
    <s v="44817081001006"/>
    <n v="-145.32"/>
    <n v="3092"/>
    <n v="1"/>
    <n v="1"/>
  </r>
  <r>
    <m/>
    <m/>
    <x v="1"/>
    <s v="44819842001003"/>
    <n v="-72.19"/>
    <n v="1536"/>
    <n v="1"/>
    <n v="1"/>
  </r>
  <r>
    <m/>
    <m/>
    <x v="1"/>
    <s v="44827301001001"/>
    <n v="-87.47"/>
    <n v="1861"/>
    <n v="1"/>
    <n v="1"/>
  </r>
  <r>
    <m/>
    <m/>
    <x v="1"/>
    <s v="44838011001007"/>
    <n v="-25.15"/>
    <n v="535"/>
    <n v="1"/>
    <n v="1"/>
  </r>
  <r>
    <m/>
    <m/>
    <x v="1"/>
    <s v="44841511001004"/>
    <n v="-30.97"/>
    <n v="659"/>
    <n v="1"/>
    <n v="1"/>
  </r>
  <r>
    <m/>
    <m/>
    <x v="1"/>
    <s v="44841991002001"/>
    <n v="-122.53"/>
    <n v="2607"/>
    <n v="1"/>
    <n v="1"/>
  </r>
  <r>
    <m/>
    <m/>
    <x v="1"/>
    <s v="44876721001002"/>
    <n v="-83.94"/>
    <n v="1786"/>
    <n v="1"/>
    <n v="1"/>
  </r>
  <r>
    <m/>
    <m/>
    <x v="1"/>
    <s v="44881481002002"/>
    <n v="-131.74"/>
    <n v="2803"/>
    <n v="1"/>
    <n v="1"/>
  </r>
  <r>
    <m/>
    <m/>
    <x v="1"/>
    <s v="44919565001001"/>
    <n v="-2.59"/>
    <n v="55"/>
    <n v="1"/>
    <n v="1"/>
  </r>
  <r>
    <m/>
    <m/>
    <x v="1"/>
    <s v="44956311001001"/>
    <n v="-86.76"/>
    <n v="1846"/>
    <n v="1"/>
    <n v="1"/>
  </r>
  <r>
    <m/>
    <m/>
    <x v="1"/>
    <s v="44962961004001"/>
    <n v="-76.849999999999994"/>
    <n v="1635"/>
    <n v="1"/>
    <n v="1"/>
  </r>
  <r>
    <m/>
    <m/>
    <x v="1"/>
    <s v="44972551004001"/>
    <n v="-90.85"/>
    <n v="1933"/>
    <n v="1"/>
    <n v="1"/>
  </r>
  <r>
    <m/>
    <m/>
    <x v="1"/>
    <s v="44990541001001"/>
    <n v="-28.95"/>
    <n v="616"/>
    <n v="1"/>
    <n v="1"/>
  </r>
  <r>
    <m/>
    <m/>
    <x v="1"/>
    <s v="45004821001001"/>
    <n v="-18.89"/>
    <n v="402"/>
    <n v="1"/>
    <n v="1"/>
  </r>
  <r>
    <m/>
    <m/>
    <x v="1"/>
    <s v="45016581002001"/>
    <n v="-56.49"/>
    <n v="1202"/>
    <n v="1"/>
    <n v="1"/>
  </r>
  <r>
    <m/>
    <m/>
    <x v="1"/>
    <s v="45028134001006"/>
    <n v="-5.88"/>
    <n v="125"/>
    <n v="1"/>
    <n v="1"/>
  </r>
  <r>
    <m/>
    <m/>
    <x v="1"/>
    <s v="45028411001001"/>
    <n v="-49.77"/>
    <n v="1059"/>
    <n v="1"/>
    <n v="1"/>
  </r>
  <r>
    <m/>
    <m/>
    <x v="1"/>
    <s v="45044441001001"/>
    <n v="-0.24"/>
    <n v="5"/>
    <n v="1"/>
    <n v="1"/>
  </r>
  <r>
    <m/>
    <m/>
    <x v="1"/>
    <s v="45051931001001"/>
    <n v="-56.26"/>
    <n v="1197"/>
    <n v="1"/>
    <n v="1"/>
  </r>
  <r>
    <m/>
    <m/>
    <x v="1"/>
    <s v="45055711001001"/>
    <n v="-127.61"/>
    <n v="2715"/>
    <n v="1"/>
    <n v="1"/>
  </r>
  <r>
    <m/>
    <m/>
    <x v="1"/>
    <s v="45057461003001"/>
    <n v="-55.23"/>
    <n v="1175"/>
    <n v="1"/>
    <n v="1"/>
  </r>
  <r>
    <m/>
    <m/>
    <x v="1"/>
    <s v="45072791003019"/>
    <n v="-80.930000000000007"/>
    <n v="1722"/>
    <n v="1"/>
    <n v="1"/>
  </r>
  <r>
    <m/>
    <m/>
    <x v="1"/>
    <s v="45077761001005"/>
    <n v="-133.9"/>
    <n v="2849"/>
    <n v="1"/>
    <n v="1"/>
  </r>
  <r>
    <m/>
    <m/>
    <x v="1"/>
    <s v="45087071001001"/>
    <n v="-137.99"/>
    <n v="2936"/>
    <n v="1"/>
    <n v="1"/>
  </r>
  <r>
    <m/>
    <m/>
    <x v="1"/>
    <s v="45099251001001"/>
    <n v="-111.25"/>
    <n v="2367"/>
    <n v="1"/>
    <n v="1"/>
  </r>
  <r>
    <m/>
    <m/>
    <x v="1"/>
    <s v="45129556001005"/>
    <n v="-46.81"/>
    <n v="996"/>
    <n v="1"/>
    <n v="1"/>
  </r>
  <r>
    <m/>
    <m/>
    <x v="1"/>
    <s v="45137261001001"/>
    <n v="-132.26"/>
    <n v="2814"/>
    <n v="1"/>
    <n v="1"/>
  </r>
  <r>
    <m/>
    <m/>
    <x v="1"/>
    <s v="45153011001003"/>
    <n v="-53.39"/>
    <n v="1136"/>
    <n v="1"/>
    <n v="1"/>
  </r>
  <r>
    <m/>
    <m/>
    <x v="1"/>
    <s v="45195221001002"/>
    <n v="-66.69"/>
    <n v="1419"/>
    <n v="1"/>
    <n v="1"/>
  </r>
  <r>
    <m/>
    <m/>
    <x v="1"/>
    <s v="45195641001001"/>
    <n v="-69.94"/>
    <n v="1488"/>
    <n v="1"/>
    <n v="1"/>
  </r>
  <r>
    <m/>
    <m/>
    <x v="1"/>
    <s v="45204881002001"/>
    <n v="-16.170000000000002"/>
    <n v="344"/>
    <n v="1"/>
    <n v="1"/>
  </r>
  <r>
    <m/>
    <m/>
    <x v="1"/>
    <s v="45208591002004"/>
    <n v="-21.43"/>
    <n v="456"/>
    <n v="1"/>
    <n v="1"/>
  </r>
  <r>
    <m/>
    <m/>
    <x v="1"/>
    <s v="45221093002001"/>
    <n v="-63.64"/>
    <n v="1354"/>
    <n v="1"/>
    <n v="1"/>
  </r>
  <r>
    <m/>
    <m/>
    <x v="1"/>
    <s v="45242051001003"/>
    <n v="-147.53"/>
    <n v="3139"/>
    <n v="1"/>
    <n v="1"/>
  </r>
  <r>
    <m/>
    <m/>
    <x v="1"/>
    <s v="45253671001001"/>
    <n v="-85.16"/>
    <n v="1812"/>
    <n v="1"/>
    <n v="1"/>
  </r>
  <r>
    <m/>
    <m/>
    <x v="1"/>
    <s v="45329621001002"/>
    <n v="-131.32"/>
    <n v="2794"/>
    <n v="1"/>
    <n v="1"/>
  </r>
  <r>
    <m/>
    <m/>
    <x v="1"/>
    <s v="45333611004001"/>
    <n v="-13.3"/>
    <n v="283"/>
    <n v="1"/>
    <n v="1"/>
  </r>
  <r>
    <m/>
    <m/>
    <x v="1"/>
    <s v="45351041001001"/>
    <n v="-42.77"/>
    <n v="910"/>
    <n v="1"/>
    <n v="1"/>
  </r>
  <r>
    <m/>
    <m/>
    <x v="1"/>
    <s v="45353841001001"/>
    <n v="-28.76"/>
    <n v="612"/>
    <n v="1"/>
    <n v="1"/>
  </r>
  <r>
    <m/>
    <m/>
    <x v="1"/>
    <s v="45379041001001"/>
    <n v="-69.8"/>
    <n v="1485"/>
    <n v="1"/>
    <n v="1"/>
  </r>
  <r>
    <m/>
    <m/>
    <x v="1"/>
    <s v="45382121001001"/>
    <n v="-34.83"/>
    <n v="741"/>
    <n v="1"/>
    <n v="1"/>
  </r>
  <r>
    <m/>
    <m/>
    <x v="1"/>
    <s v="45389331002003"/>
    <n v="-4.6100000000000003"/>
    <n v="98"/>
    <n v="1"/>
    <n v="1"/>
  </r>
  <r>
    <m/>
    <m/>
    <x v="1"/>
    <s v="45408608002003"/>
    <n v="-122.06"/>
    <n v="2597"/>
    <n v="1"/>
    <n v="1"/>
  </r>
  <r>
    <m/>
    <m/>
    <x v="1"/>
    <s v="45413901003003"/>
    <n v="-44.6"/>
    <n v="949"/>
    <n v="1"/>
    <n v="1"/>
  </r>
  <r>
    <m/>
    <m/>
    <x v="1"/>
    <s v="45417191005001"/>
    <n v="-54.19"/>
    <n v="1153"/>
    <n v="1"/>
    <n v="1"/>
  </r>
  <r>
    <m/>
    <m/>
    <x v="1"/>
    <s v="45432941001004"/>
    <n v="-99.92"/>
    <n v="2126"/>
    <n v="1"/>
    <n v="1"/>
  </r>
  <r>
    <m/>
    <m/>
    <x v="1"/>
    <s v="45433851004001"/>
    <n v="-38.21"/>
    <n v="813"/>
    <n v="1"/>
    <n v="1"/>
  </r>
  <r>
    <m/>
    <m/>
    <x v="1"/>
    <s v="45443161001003"/>
    <n v="-59.22"/>
    <n v="1260"/>
    <n v="1"/>
    <n v="1"/>
  </r>
  <r>
    <m/>
    <m/>
    <x v="1"/>
    <s v="45447641001001"/>
    <n v="-90.52"/>
    <n v="1926"/>
    <n v="1"/>
    <n v="1"/>
  </r>
  <r>
    <m/>
    <m/>
    <x v="1"/>
    <s v="45496921001002"/>
    <n v="-51.23"/>
    <n v="1090"/>
    <n v="1"/>
    <n v="1"/>
  </r>
  <r>
    <m/>
    <m/>
    <x v="1"/>
    <s v="45500071002009"/>
    <n v="-142.03"/>
    <n v="3022"/>
    <n v="1"/>
    <n v="1"/>
  </r>
  <r>
    <m/>
    <m/>
    <x v="1"/>
    <s v="45500981001001"/>
    <n v="-64.67"/>
    <n v="1376"/>
    <n v="1"/>
    <n v="1"/>
  </r>
  <r>
    <m/>
    <m/>
    <x v="1"/>
    <s v="45504201001002"/>
    <n v="-67.540000000000006"/>
    <n v="1437"/>
    <n v="1"/>
    <n v="1"/>
  </r>
  <r>
    <m/>
    <m/>
    <x v="1"/>
    <s v="45517641003008"/>
    <n v="-56.49"/>
    <n v="1202"/>
    <n v="1"/>
    <n v="1"/>
  </r>
  <r>
    <m/>
    <m/>
    <x v="1"/>
    <s v="45543243001003"/>
    <n v="-132.12"/>
    <n v="2811"/>
    <n v="1"/>
    <n v="1"/>
  </r>
  <r>
    <m/>
    <m/>
    <x v="1"/>
    <s v="45634593001003"/>
    <n v="-98.14"/>
    <n v="2088"/>
    <n v="1"/>
    <n v="1"/>
  </r>
  <r>
    <m/>
    <m/>
    <x v="1"/>
    <s v="45755151003001"/>
    <n v="-103.59"/>
    <n v="2204"/>
    <n v="1"/>
    <n v="1"/>
  </r>
  <r>
    <m/>
    <m/>
    <x v="1"/>
    <s v="45764531001001"/>
    <n v="-38.96"/>
    <n v="829"/>
    <n v="1"/>
    <n v="1"/>
  </r>
  <r>
    <m/>
    <m/>
    <x v="1"/>
    <s v="45765931005001"/>
    <n v="-140.30000000000001"/>
    <n v="2985"/>
    <n v="1"/>
    <n v="1"/>
  </r>
  <r>
    <m/>
    <m/>
    <x v="1"/>
    <s v="45786091001001"/>
    <n v="-209.2"/>
    <n v="4451"/>
    <n v="1"/>
    <n v="1"/>
  </r>
  <r>
    <m/>
    <m/>
    <x v="1"/>
    <s v="45859311004004"/>
    <n v="-183.11"/>
    <n v="3896"/>
    <n v="1"/>
    <n v="1"/>
  </r>
  <r>
    <m/>
    <m/>
    <x v="1"/>
    <s v="45861551007011"/>
    <n v="-94.75"/>
    <n v="2016"/>
    <n v="1"/>
    <n v="1"/>
  </r>
  <r>
    <m/>
    <m/>
    <x v="1"/>
    <s v="45871701012003"/>
    <n v="-108.38"/>
    <n v="2306"/>
    <n v="1"/>
    <n v="1"/>
  </r>
  <r>
    <m/>
    <m/>
    <x v="1"/>
    <s v="45895291003004"/>
    <n v="-172.91"/>
    <n v="3679"/>
    <n v="1"/>
    <n v="1"/>
  </r>
  <r>
    <m/>
    <m/>
    <x v="1"/>
    <s v="45918111001001"/>
    <n v="-8.0399999999999991"/>
    <n v="171"/>
    <n v="1"/>
    <n v="1"/>
  </r>
  <r>
    <m/>
    <m/>
    <x v="1"/>
    <s v="45919931007001"/>
    <n v="-58.19"/>
    <n v="1238"/>
    <n v="1"/>
    <n v="1"/>
  </r>
  <r>
    <m/>
    <m/>
    <x v="1"/>
    <s v="45931061001003"/>
    <n v="-88.88"/>
    <n v="1891"/>
    <n v="1"/>
    <n v="1"/>
  </r>
  <r>
    <m/>
    <m/>
    <x v="1"/>
    <s v="45956471002002"/>
    <n v="-29.89"/>
    <n v="636"/>
    <n v="1"/>
    <n v="1"/>
  </r>
  <r>
    <m/>
    <m/>
    <x v="1"/>
    <s v="45979501004001"/>
    <n v="-60.87"/>
    <n v="1295"/>
    <n v="1"/>
    <n v="1"/>
  </r>
  <r>
    <m/>
    <m/>
    <x v="1"/>
    <s v="46041661001003"/>
    <n v="-170.66"/>
    <n v="3631"/>
    <n v="1"/>
    <n v="1"/>
  </r>
  <r>
    <m/>
    <m/>
    <x v="1"/>
    <s v="46061541001001"/>
    <n v="-39.950000000000003"/>
    <n v="850"/>
    <n v="1"/>
    <n v="1"/>
  </r>
  <r>
    <m/>
    <m/>
    <x v="1"/>
    <s v="46096471001002"/>
    <n v="-28.86"/>
    <n v="614"/>
    <n v="1"/>
    <n v="1"/>
  </r>
  <r>
    <m/>
    <m/>
    <x v="1"/>
    <s v="46112501001001"/>
    <n v="-84.37"/>
    <n v="1795"/>
    <n v="1"/>
    <n v="1"/>
  </r>
  <r>
    <m/>
    <m/>
    <x v="1"/>
    <s v="46121461005007"/>
    <n v="-165.49"/>
    <n v="3521"/>
    <n v="2"/>
    <n v="1"/>
  </r>
  <r>
    <m/>
    <m/>
    <x v="1"/>
    <s v="46133011004007"/>
    <n v="-18.28"/>
    <n v="389"/>
    <n v="1"/>
    <n v="1"/>
  </r>
  <r>
    <m/>
    <m/>
    <x v="1"/>
    <s v="46140291003004"/>
    <n v="-58.05"/>
    <n v="1235"/>
    <n v="1"/>
    <n v="1"/>
  </r>
  <r>
    <m/>
    <m/>
    <x v="1"/>
    <s v="46141131001003"/>
    <n v="-64.3"/>
    <n v="1368"/>
    <n v="1"/>
    <n v="1"/>
  </r>
  <r>
    <m/>
    <m/>
    <x v="1"/>
    <s v="46156461002003"/>
    <n v="-88.88"/>
    <n v="1891"/>
    <n v="1"/>
    <n v="1"/>
  </r>
  <r>
    <m/>
    <m/>
    <x v="1"/>
    <s v="46176053001002"/>
    <n v="-89.96"/>
    <n v="1914"/>
    <n v="1"/>
    <n v="1"/>
  </r>
  <r>
    <m/>
    <m/>
    <x v="1"/>
    <s v="46179003001001"/>
    <n v="-37.22"/>
    <n v="792"/>
    <n v="1"/>
    <n v="1"/>
  </r>
  <r>
    <m/>
    <m/>
    <x v="1"/>
    <s v="46191123001001"/>
    <n v="-41.88"/>
    <n v="891"/>
    <n v="1"/>
    <n v="1"/>
  </r>
  <r>
    <m/>
    <m/>
    <x v="1"/>
    <s v="46196011001004"/>
    <n v="-41.55"/>
    <n v="884"/>
    <n v="1"/>
    <n v="1"/>
  </r>
  <r>
    <m/>
    <m/>
    <x v="1"/>
    <s v="46210291002003"/>
    <n v="-124.6"/>
    <n v="2651"/>
    <n v="1"/>
    <n v="1"/>
  </r>
  <r>
    <m/>
    <m/>
    <x v="1"/>
    <s v="46217501012001"/>
    <n v="-103.54"/>
    <n v="2203"/>
    <n v="1"/>
    <n v="1"/>
  </r>
  <r>
    <m/>
    <m/>
    <x v="1"/>
    <s v="46246869001009"/>
    <n v="-68.430000000000007"/>
    <n v="1456"/>
    <n v="1"/>
    <n v="1"/>
  </r>
  <r>
    <m/>
    <m/>
    <x v="1"/>
    <s v="46248581001001"/>
    <n v="-80.23"/>
    <n v="1707"/>
    <n v="1"/>
    <n v="1"/>
  </r>
  <r>
    <m/>
    <m/>
    <x v="1"/>
    <s v="46290511001002"/>
    <n v="-104.76"/>
    <n v="2229"/>
    <n v="1"/>
    <n v="1"/>
  </r>
  <r>
    <m/>
    <m/>
    <x v="1"/>
    <s v="46323621003008"/>
    <n v="-44.7"/>
    <n v="951"/>
    <n v="1"/>
    <n v="1"/>
  </r>
  <r>
    <m/>
    <m/>
    <x v="1"/>
    <s v="46337411004003"/>
    <n v="-161.21"/>
    <n v="3430"/>
    <n v="1"/>
    <n v="1"/>
  </r>
  <r>
    <m/>
    <m/>
    <x v="1"/>
    <s v="46352741003004"/>
    <n v="-115.95"/>
    <n v="2467"/>
    <n v="1"/>
    <n v="1"/>
  </r>
  <r>
    <m/>
    <m/>
    <x v="1"/>
    <s v="46383371002005"/>
    <n v="-33.04"/>
    <n v="703"/>
    <n v="1"/>
    <n v="1"/>
  </r>
  <r>
    <m/>
    <m/>
    <x v="1"/>
    <s v="46412521001006"/>
    <n v="-53.53"/>
    <n v="1139"/>
    <n v="1"/>
    <n v="1"/>
  </r>
  <r>
    <m/>
    <m/>
    <x v="1"/>
    <s v="46421145001001"/>
    <n v="-44.42"/>
    <n v="945"/>
    <n v="1"/>
    <n v="1"/>
  </r>
  <r>
    <m/>
    <m/>
    <x v="1"/>
    <s v="46426241001001"/>
    <n v="-13.82"/>
    <n v="294"/>
    <n v="1"/>
    <n v="1"/>
  </r>
  <r>
    <m/>
    <m/>
    <x v="1"/>
    <s v="46426871002003"/>
    <n v="-17.059999999999999"/>
    <n v="363"/>
    <n v="1"/>
    <n v="1"/>
  </r>
  <r>
    <m/>
    <m/>
    <x v="1"/>
    <s v="46438981001002"/>
    <n v="-134.22999999999999"/>
    <n v="2856"/>
    <n v="1"/>
    <n v="1"/>
  </r>
  <r>
    <m/>
    <m/>
    <x v="1"/>
    <s v="46440861001007"/>
    <n v="-77.36"/>
    <n v="1646"/>
    <n v="1"/>
    <n v="1"/>
  </r>
  <r>
    <m/>
    <m/>
    <x v="1"/>
    <s v="46480001001001"/>
    <n v="-3.57"/>
    <n v="76"/>
    <n v="1"/>
    <n v="1"/>
  </r>
  <r>
    <m/>
    <m/>
    <x v="1"/>
    <s v="46483221001003"/>
    <n v="-84.79"/>
    <n v="1804"/>
    <n v="1"/>
    <n v="1"/>
  </r>
  <r>
    <m/>
    <m/>
    <x v="1"/>
    <s v="46649901001004"/>
    <n v="-21.95"/>
    <n v="467"/>
    <n v="1"/>
    <n v="1"/>
  </r>
  <r>
    <m/>
    <m/>
    <x v="1"/>
    <s v="46667576001001"/>
    <n v="-117.5"/>
    <n v="2500"/>
    <n v="1"/>
    <n v="1"/>
  </r>
  <r>
    <m/>
    <m/>
    <x v="1"/>
    <s v="46713395001001"/>
    <n v="-29.47"/>
    <n v="627"/>
    <n v="1"/>
    <n v="1"/>
  </r>
  <r>
    <m/>
    <m/>
    <x v="1"/>
    <s v="46752049002013"/>
    <n v="-111.16"/>
    <n v="2365"/>
    <n v="1"/>
    <n v="1"/>
  </r>
  <r>
    <m/>
    <m/>
    <x v="1"/>
    <s v="46754681003012"/>
    <n v="-27.21"/>
    <n v="579"/>
    <n v="1"/>
    <n v="1"/>
  </r>
  <r>
    <m/>
    <m/>
    <x v="1"/>
    <s v="46767001003001"/>
    <n v="-75.150000000000006"/>
    <n v="1599"/>
    <n v="1"/>
    <n v="1"/>
  </r>
  <r>
    <m/>
    <m/>
    <x v="1"/>
    <s v="46769101001009"/>
    <n v="-151.58000000000001"/>
    <n v="3225"/>
    <n v="1"/>
    <n v="1"/>
  </r>
  <r>
    <m/>
    <m/>
    <x v="1"/>
    <s v="46769241002001"/>
    <n v="-114.3"/>
    <n v="2432"/>
    <n v="1"/>
    <n v="1"/>
  </r>
  <r>
    <m/>
    <m/>
    <x v="1"/>
    <s v="46772111002005"/>
    <n v="-108.76"/>
    <n v="2314"/>
    <n v="1"/>
    <n v="1"/>
  </r>
  <r>
    <m/>
    <m/>
    <x v="1"/>
    <s v="46778971002001"/>
    <n v="-58.75"/>
    <n v="1250"/>
    <n v="1"/>
    <n v="1"/>
  </r>
  <r>
    <m/>
    <m/>
    <x v="1"/>
    <s v="46790122001005"/>
    <n v="-37.840000000000003"/>
    <n v="805"/>
    <n v="1"/>
    <n v="1"/>
  </r>
  <r>
    <m/>
    <m/>
    <x v="1"/>
    <s v="46805081001002"/>
    <n v="-5.78"/>
    <n v="123"/>
    <n v="1"/>
    <n v="1"/>
  </r>
  <r>
    <m/>
    <m/>
    <x v="1"/>
    <s v="46819081001002"/>
    <n v="-87.7"/>
    <n v="1866"/>
    <n v="1"/>
    <n v="1"/>
  </r>
  <r>
    <m/>
    <m/>
    <x v="1"/>
    <s v="46831191008001"/>
    <n v="-112"/>
    <n v="2383"/>
    <n v="1"/>
    <n v="1"/>
  </r>
  <r>
    <m/>
    <m/>
    <x v="1"/>
    <s v="46837771002001"/>
    <n v="-118.91"/>
    <n v="2530"/>
    <n v="1"/>
    <n v="1"/>
  </r>
  <r>
    <m/>
    <m/>
    <x v="1"/>
    <s v="46867241001005"/>
    <n v="-39.01"/>
    <n v="830"/>
    <n v="1"/>
    <n v="1"/>
  </r>
  <r>
    <m/>
    <m/>
    <x v="1"/>
    <s v="46905092001001"/>
    <n v="-96.12"/>
    <n v="2045"/>
    <n v="1"/>
    <n v="1"/>
  </r>
  <r>
    <m/>
    <m/>
    <x v="1"/>
    <s v="46913740001001"/>
    <n v="-67.3"/>
    <n v="1432"/>
    <n v="1"/>
    <n v="1"/>
  </r>
  <r>
    <m/>
    <m/>
    <x v="1"/>
    <s v="46960006001001"/>
    <n v="-109.89"/>
    <n v="2338"/>
    <n v="1"/>
    <n v="1"/>
  </r>
  <r>
    <m/>
    <m/>
    <x v="1"/>
    <s v="46962021001002"/>
    <n v="-47.47"/>
    <n v="1010"/>
    <n v="1"/>
    <n v="1"/>
  </r>
  <r>
    <m/>
    <m/>
    <x v="1"/>
    <s v="47056381002002"/>
    <n v="-114.12"/>
    <n v="2428"/>
    <n v="1"/>
    <n v="1"/>
  </r>
  <r>
    <m/>
    <m/>
    <x v="1"/>
    <s v="47135971001002"/>
    <n v="-96.35"/>
    <n v="2050"/>
    <n v="1"/>
    <n v="1"/>
  </r>
  <r>
    <m/>
    <m/>
    <x v="1"/>
    <s v="47164607001003"/>
    <n v="-1.93"/>
    <n v="41"/>
    <n v="1"/>
    <n v="1"/>
  </r>
  <r>
    <m/>
    <m/>
    <x v="1"/>
    <s v="47176711002001"/>
    <n v="-31.49"/>
    <n v="670"/>
    <n v="1"/>
    <n v="1"/>
  </r>
  <r>
    <m/>
    <m/>
    <x v="1"/>
    <s v="47177481001007"/>
    <n v="-72.430000000000007"/>
    <n v="1541"/>
    <n v="1"/>
    <n v="1"/>
  </r>
  <r>
    <m/>
    <m/>
    <x v="1"/>
    <s v="47186106001005"/>
    <n v="-11.56"/>
    <n v="246"/>
    <n v="1"/>
    <n v="1"/>
  </r>
  <r>
    <m/>
    <m/>
    <x v="1"/>
    <s v="47217713002001"/>
    <n v="-12.78"/>
    <n v="272"/>
    <n v="1"/>
    <n v="1"/>
  </r>
  <r>
    <m/>
    <m/>
    <x v="1"/>
    <s v="47275061002003"/>
    <n v="-57.58"/>
    <n v="1225"/>
    <n v="1"/>
    <n v="1"/>
  </r>
  <r>
    <m/>
    <m/>
    <x v="1"/>
    <s v="47311671002002"/>
    <n v="-83.71"/>
    <n v="1781"/>
    <n v="1"/>
    <n v="1"/>
  </r>
  <r>
    <m/>
    <m/>
    <x v="1"/>
    <s v="47324621003001"/>
    <n v="-68.2"/>
    <n v="1451"/>
    <n v="1"/>
    <n v="1"/>
  </r>
  <r>
    <m/>
    <m/>
    <x v="1"/>
    <s v="47328821001007"/>
    <n v="-71.3"/>
    <n v="1517"/>
    <n v="1"/>
    <n v="1"/>
  </r>
  <r>
    <m/>
    <m/>
    <x v="1"/>
    <s v="47329241001004"/>
    <n v="-36.28"/>
    <n v="772"/>
    <n v="1"/>
    <n v="1"/>
  </r>
  <r>
    <m/>
    <m/>
    <x v="1"/>
    <s v="47356261001002"/>
    <n v="-48.13"/>
    <n v="1024"/>
    <n v="1"/>
    <n v="1"/>
  </r>
  <r>
    <m/>
    <m/>
    <x v="1"/>
    <s v="47369561001004"/>
    <n v="-66.83"/>
    <n v="1422"/>
    <n v="1"/>
    <n v="1"/>
  </r>
  <r>
    <m/>
    <m/>
    <x v="1"/>
    <s v="47375581005013"/>
    <n v="-83.33"/>
    <n v="1773"/>
    <n v="1"/>
    <n v="1"/>
  </r>
  <r>
    <m/>
    <m/>
    <x v="1"/>
    <s v="47378451002003"/>
    <n v="-85.07"/>
    <n v="1810"/>
    <n v="1"/>
    <n v="1"/>
  </r>
  <r>
    <m/>
    <m/>
    <x v="1"/>
    <s v="47406521002002"/>
    <n v="-127.09"/>
    <n v="2704"/>
    <n v="1"/>
    <n v="1"/>
  </r>
  <r>
    <m/>
    <m/>
    <x v="1"/>
    <s v="47406740001003"/>
    <n v="-149.08000000000001"/>
    <n v="3172"/>
    <n v="1"/>
    <n v="1"/>
  </r>
  <r>
    <m/>
    <m/>
    <x v="1"/>
    <s v="47425421003001"/>
    <n v="-41.03"/>
    <n v="873"/>
    <n v="1"/>
    <n v="1"/>
  </r>
  <r>
    <m/>
    <m/>
    <x v="1"/>
    <s v="47463011003001"/>
    <n v="-128.59"/>
    <n v="2736"/>
    <n v="1"/>
    <n v="1"/>
  </r>
  <r>
    <m/>
    <m/>
    <x v="1"/>
    <s v="47485673001001"/>
    <n v="-26.65"/>
    <n v="567"/>
    <n v="1"/>
    <n v="1"/>
  </r>
  <r>
    <m/>
    <m/>
    <x v="1"/>
    <s v="47486461006009"/>
    <n v="-155.01"/>
    <n v="3298"/>
    <n v="1"/>
    <n v="1"/>
  </r>
  <r>
    <m/>
    <m/>
    <x v="1"/>
    <s v="47526431005003"/>
    <n v="-109.65"/>
    <n v="2333"/>
    <n v="1"/>
    <n v="1"/>
  </r>
  <r>
    <m/>
    <m/>
    <x v="1"/>
    <s v="47562061007001"/>
    <n v="-63.73"/>
    <n v="1356"/>
    <n v="1"/>
    <n v="1"/>
  </r>
  <r>
    <m/>
    <m/>
    <x v="1"/>
    <s v="47585861004005"/>
    <n v="-34.78"/>
    <n v="740"/>
    <n v="1"/>
    <n v="1"/>
  </r>
  <r>
    <m/>
    <m/>
    <x v="1"/>
    <s v="47596151001005"/>
    <n v="-39.76"/>
    <n v="846"/>
    <n v="1"/>
    <n v="1"/>
  </r>
  <r>
    <m/>
    <m/>
    <x v="1"/>
    <s v="47600016001001"/>
    <n v="-18.57"/>
    <n v="395"/>
    <n v="1"/>
    <n v="1"/>
  </r>
  <r>
    <m/>
    <m/>
    <x v="1"/>
    <s v="47602655001004"/>
    <n v="-14.05"/>
    <n v="299"/>
    <n v="1"/>
    <n v="1"/>
  </r>
  <r>
    <m/>
    <m/>
    <x v="1"/>
    <s v="47673221001005"/>
    <n v="-102.23"/>
    <n v="2175"/>
    <n v="1"/>
    <n v="1"/>
  </r>
  <r>
    <m/>
    <m/>
    <x v="1"/>
    <s v="47674271002001"/>
    <n v="-109.04"/>
    <n v="2320"/>
    <n v="1"/>
    <n v="1"/>
  </r>
  <r>
    <m/>
    <m/>
    <x v="1"/>
    <s v="47723831004001"/>
    <n v="-41.83"/>
    <n v="890"/>
    <n v="1"/>
    <n v="1"/>
  </r>
  <r>
    <m/>
    <m/>
    <x v="1"/>
    <s v="47747071003001"/>
    <n v="-42.91"/>
    <n v="913"/>
    <n v="1"/>
    <n v="1"/>
  </r>
  <r>
    <m/>
    <m/>
    <x v="1"/>
    <s v="47757781007001"/>
    <n v="-62.98"/>
    <n v="1340"/>
    <n v="1"/>
    <n v="1"/>
  </r>
  <r>
    <m/>
    <m/>
    <x v="1"/>
    <s v="47762681005001"/>
    <n v="-130.05000000000001"/>
    <n v="2767"/>
    <n v="1"/>
    <n v="1"/>
  </r>
  <r>
    <m/>
    <m/>
    <x v="1"/>
    <s v="47764921003003"/>
    <n v="-178.84"/>
    <n v="3805"/>
    <n v="1"/>
    <n v="1"/>
  </r>
  <r>
    <m/>
    <m/>
    <x v="1"/>
    <s v="47778151001004"/>
    <n v="-162.34"/>
    <n v="3454"/>
    <n v="1"/>
    <n v="1"/>
  </r>
  <r>
    <m/>
    <m/>
    <x v="1"/>
    <s v="47806652001004"/>
    <n v="-13.91"/>
    <n v="296"/>
    <n v="1"/>
    <n v="1"/>
  </r>
  <r>
    <m/>
    <m/>
    <x v="1"/>
    <s v="47839821001002"/>
    <n v="-55.74"/>
    <n v="1186"/>
    <n v="1"/>
    <n v="1"/>
  </r>
  <r>
    <m/>
    <m/>
    <x v="1"/>
    <s v="47842341003001"/>
    <n v="-33.61"/>
    <n v="715"/>
    <n v="1"/>
    <n v="1"/>
  </r>
  <r>
    <m/>
    <m/>
    <x v="1"/>
    <s v="47874432001002"/>
    <n v="-96.91"/>
    <n v="2062"/>
    <n v="1"/>
    <n v="1"/>
  </r>
  <r>
    <m/>
    <m/>
    <x v="1"/>
    <s v="47874541006001"/>
    <n v="-59.93"/>
    <n v="1275"/>
    <n v="1"/>
    <n v="1"/>
  </r>
  <r>
    <m/>
    <m/>
    <x v="1"/>
    <s v="47912897001001"/>
    <n v="-19.79"/>
    <n v="421"/>
    <n v="1"/>
    <n v="1"/>
  </r>
  <r>
    <m/>
    <m/>
    <x v="1"/>
    <s v="47927671001001"/>
    <n v="-57.01"/>
    <n v="1213"/>
    <n v="1"/>
    <n v="1"/>
  </r>
  <r>
    <m/>
    <m/>
    <x v="1"/>
    <s v="47951681001003"/>
    <n v="-65.61"/>
    <n v="1396"/>
    <n v="1"/>
    <n v="1"/>
  </r>
  <r>
    <m/>
    <m/>
    <x v="1"/>
    <s v="48023920001005"/>
    <n v="-54.24"/>
    <n v="1154"/>
    <n v="1"/>
    <n v="1"/>
  </r>
  <r>
    <m/>
    <m/>
    <x v="1"/>
    <s v="48085381001001"/>
    <n v="-49.21"/>
    <n v="1047"/>
    <n v="1"/>
    <n v="1"/>
  </r>
  <r>
    <m/>
    <m/>
    <x v="1"/>
    <s v="48098490001001"/>
    <n v="-35.39"/>
    <n v="753"/>
    <n v="1"/>
    <n v="1"/>
  </r>
  <r>
    <m/>
    <m/>
    <x v="1"/>
    <s v="48117301003004"/>
    <n v="-92.73"/>
    <n v="1973"/>
    <n v="1"/>
    <n v="1"/>
  </r>
  <r>
    <m/>
    <m/>
    <x v="1"/>
    <s v="48121641002006"/>
    <n v="-105.33"/>
    <n v="2241"/>
    <n v="1"/>
    <n v="1"/>
  </r>
  <r>
    <m/>
    <m/>
    <x v="1"/>
    <s v="48121991001001"/>
    <n v="-72.38"/>
    <n v="1540"/>
    <n v="1"/>
    <n v="1"/>
  </r>
  <r>
    <m/>
    <m/>
    <x v="1"/>
    <s v="48173601001003"/>
    <n v="-50.76"/>
    <n v="1080"/>
    <n v="1"/>
    <n v="1"/>
  </r>
  <r>
    <m/>
    <m/>
    <x v="1"/>
    <s v="48222791001001"/>
    <n v="-118.77"/>
    <n v="2527"/>
    <n v="1"/>
    <n v="1"/>
  </r>
  <r>
    <m/>
    <m/>
    <x v="1"/>
    <s v="48282431004001"/>
    <n v="-109.84"/>
    <n v="2337"/>
    <n v="1"/>
    <n v="1"/>
  </r>
  <r>
    <m/>
    <m/>
    <x v="1"/>
    <s v="48354461005003"/>
    <n v="-91.32"/>
    <n v="1943"/>
    <n v="1"/>
    <n v="1"/>
  </r>
  <r>
    <m/>
    <m/>
    <x v="1"/>
    <s v="48438811004001"/>
    <n v="-70.59"/>
    <n v="1502"/>
    <n v="1"/>
    <n v="1"/>
  </r>
  <r>
    <m/>
    <m/>
    <x v="1"/>
    <s v="48525331002003"/>
    <n v="-103.49"/>
    <n v="2202"/>
    <n v="1"/>
    <n v="1"/>
  </r>
  <r>
    <m/>
    <m/>
    <x v="1"/>
    <s v="48798510001003"/>
    <n v="-77.739999999999995"/>
    <n v="1654"/>
    <n v="1"/>
    <n v="1"/>
  </r>
  <r>
    <m/>
    <m/>
    <x v="1"/>
    <s v="48924821001008"/>
    <n v="-67.400000000000006"/>
    <n v="1434"/>
    <n v="1"/>
    <n v="1"/>
  </r>
  <r>
    <m/>
    <m/>
    <x v="1"/>
    <s v="49075371001010"/>
    <n v="-112.94"/>
    <n v="2403"/>
    <n v="1"/>
    <n v="1"/>
  </r>
  <r>
    <m/>
    <m/>
    <x v="1"/>
    <s v="49110279001004"/>
    <n v="-54.33"/>
    <n v="1156"/>
    <n v="1"/>
    <n v="1"/>
  </r>
  <r>
    <m/>
    <m/>
    <x v="1"/>
    <s v="49136131005001"/>
    <n v="-105.94"/>
    <n v="2254"/>
    <n v="1"/>
    <n v="1"/>
  </r>
  <r>
    <m/>
    <m/>
    <x v="1"/>
    <s v="49146371004001"/>
    <n v="-47.09"/>
    <n v="1002"/>
    <n v="1"/>
    <n v="1"/>
  </r>
  <r>
    <m/>
    <m/>
    <x v="1"/>
    <s v="49200673001001"/>
    <n v="-33.89"/>
    <n v="721"/>
    <n v="1"/>
    <n v="1"/>
  </r>
  <r>
    <m/>
    <m/>
    <x v="1"/>
    <s v="49262010002001"/>
    <n v="-108.24"/>
    <n v="2303"/>
    <n v="1"/>
    <n v="1"/>
  </r>
  <r>
    <m/>
    <m/>
    <x v="1"/>
    <s v="49295866001005"/>
    <n v="-131.37"/>
    <n v="2795"/>
    <n v="1"/>
    <n v="1"/>
  </r>
  <r>
    <m/>
    <m/>
    <x v="1"/>
    <s v="49305498001003"/>
    <n v="-40.51"/>
    <n v="862"/>
    <n v="1"/>
    <n v="1"/>
  </r>
  <r>
    <m/>
    <m/>
    <x v="1"/>
    <s v="49325151001002"/>
    <n v="-30.08"/>
    <n v="640"/>
    <n v="1"/>
    <n v="1"/>
  </r>
  <r>
    <m/>
    <m/>
    <x v="1"/>
    <s v="49341111002001"/>
    <n v="-81.55"/>
    <n v="1735"/>
    <n v="1"/>
    <n v="1"/>
  </r>
  <r>
    <m/>
    <m/>
    <x v="1"/>
    <s v="49368756001001"/>
    <n v="-67.45"/>
    <n v="1435"/>
    <n v="1"/>
    <n v="1"/>
  </r>
  <r>
    <m/>
    <m/>
    <x v="1"/>
    <s v="49436870001001"/>
    <n v="-51.79"/>
    <n v="1102"/>
    <n v="1"/>
    <n v="1"/>
  </r>
  <r>
    <m/>
    <m/>
    <x v="1"/>
    <s v="49472851001001"/>
    <n v="-67.819999999999993"/>
    <n v="1443"/>
    <n v="1"/>
    <n v="1"/>
  </r>
  <r>
    <m/>
    <m/>
    <x v="1"/>
    <s v="49494032001001"/>
    <n v="-95.5"/>
    <n v="2032"/>
    <n v="1"/>
    <n v="1"/>
  </r>
  <r>
    <m/>
    <m/>
    <x v="1"/>
    <s v="49558741001001"/>
    <n v="-4.8899999999999997"/>
    <n v="104"/>
    <n v="1"/>
    <n v="1"/>
  </r>
  <r>
    <m/>
    <m/>
    <x v="1"/>
    <s v="49568961002001"/>
    <n v="-202.62"/>
    <n v="4311"/>
    <n v="1"/>
    <n v="1"/>
  </r>
  <r>
    <m/>
    <m/>
    <x v="1"/>
    <s v="49579321001001"/>
    <n v="-149.41"/>
    <n v="3179"/>
    <n v="1"/>
    <n v="1"/>
  </r>
  <r>
    <m/>
    <m/>
    <x v="1"/>
    <s v="49581631001005"/>
    <n v="-80.42"/>
    <n v="1711"/>
    <n v="1"/>
    <n v="1"/>
  </r>
  <r>
    <m/>
    <m/>
    <x v="1"/>
    <s v="49600181003002"/>
    <n v="-93.44"/>
    <n v="1988"/>
    <n v="1"/>
    <n v="1"/>
  </r>
  <r>
    <m/>
    <m/>
    <x v="1"/>
    <s v="49608231003009"/>
    <n v="-151.19999999999999"/>
    <n v="3217"/>
    <n v="1"/>
    <n v="1"/>
  </r>
  <r>
    <m/>
    <m/>
    <x v="1"/>
    <s v="49632381001008"/>
    <n v="-103.49"/>
    <n v="2202"/>
    <n v="1"/>
    <n v="1"/>
  </r>
  <r>
    <m/>
    <m/>
    <x v="1"/>
    <s v="49672030001001"/>
    <n v="-14.95"/>
    <n v="318"/>
    <n v="1"/>
    <n v="1"/>
  </r>
  <r>
    <m/>
    <m/>
    <x v="1"/>
    <s v="49686351001004"/>
    <n v="-111.06"/>
    <n v="2363"/>
    <n v="1"/>
    <n v="1"/>
  </r>
  <r>
    <m/>
    <m/>
    <x v="1"/>
    <s v="49767991001002"/>
    <n v="-81.260000000000005"/>
    <n v="1729"/>
    <n v="1"/>
    <n v="1"/>
  </r>
  <r>
    <m/>
    <m/>
    <x v="1"/>
    <s v="49809621001003"/>
    <n v="-44.32"/>
    <n v="943"/>
    <n v="1"/>
    <n v="1"/>
  </r>
  <r>
    <m/>
    <m/>
    <x v="1"/>
    <s v="49828031002004"/>
    <n v="-120.6"/>
    <n v="2566"/>
    <n v="1"/>
    <n v="1"/>
  </r>
  <r>
    <m/>
    <m/>
    <x v="1"/>
    <s v="49841331001004"/>
    <n v="-66.88"/>
    <n v="1423"/>
    <n v="1"/>
    <n v="1"/>
  </r>
  <r>
    <m/>
    <m/>
    <x v="1"/>
    <s v="49916861001001"/>
    <n v="-74.349999999999994"/>
    <n v="1582"/>
    <n v="1"/>
    <n v="1"/>
  </r>
  <r>
    <m/>
    <m/>
    <x v="1"/>
    <s v="49992415001001"/>
    <n v="-90.29"/>
    <n v="1921"/>
    <n v="1"/>
    <n v="1"/>
  </r>
  <r>
    <m/>
    <m/>
    <x v="1"/>
    <s v="49996634002003"/>
    <n v="-42.44"/>
    <n v="903"/>
    <n v="1"/>
    <n v="1"/>
  </r>
  <r>
    <m/>
    <m/>
    <x v="1"/>
    <s v="50011086001001"/>
    <n v="-58.84"/>
    <n v="1252"/>
    <n v="1"/>
    <n v="1"/>
  </r>
  <r>
    <m/>
    <m/>
    <x v="1"/>
    <s v="50012621002003"/>
    <n v="-59.22"/>
    <n v="1260"/>
    <n v="1"/>
    <n v="1"/>
  </r>
  <r>
    <m/>
    <m/>
    <x v="1"/>
    <s v="50042468003001"/>
    <n v="-2.59"/>
    <n v="55"/>
    <n v="1"/>
    <n v="1"/>
  </r>
  <r>
    <m/>
    <m/>
    <x v="1"/>
    <s v="50099824002007"/>
    <n v="-64.72"/>
    <n v="1377"/>
    <n v="1"/>
    <n v="1"/>
  </r>
  <r>
    <m/>
    <m/>
    <x v="1"/>
    <s v="50125531002001"/>
    <n v="-31.87"/>
    <n v="678"/>
    <n v="1"/>
    <n v="1"/>
  </r>
  <r>
    <m/>
    <m/>
    <x v="1"/>
    <s v="50146181002001"/>
    <n v="-94.28"/>
    <n v="2006"/>
    <n v="1"/>
    <n v="1"/>
  </r>
  <r>
    <m/>
    <m/>
    <x v="1"/>
    <s v="50159341001001"/>
    <n v="-70.59"/>
    <n v="1502"/>
    <n v="1"/>
    <n v="1"/>
  </r>
  <r>
    <m/>
    <m/>
    <x v="1"/>
    <s v="50179851002003"/>
    <n v="-50.24"/>
    <n v="1069"/>
    <n v="1"/>
    <n v="1"/>
  </r>
  <r>
    <m/>
    <m/>
    <x v="1"/>
    <s v="50180049001002"/>
    <n v="-95.6"/>
    <n v="2034"/>
    <n v="1"/>
    <n v="1"/>
  </r>
  <r>
    <m/>
    <m/>
    <x v="1"/>
    <s v="50234784001005"/>
    <n v="-84.79"/>
    <n v="1804"/>
    <n v="1"/>
    <n v="1"/>
  </r>
  <r>
    <m/>
    <m/>
    <x v="1"/>
    <s v="50271551003001"/>
    <n v="-83.99"/>
    <n v="1787"/>
    <n v="1"/>
    <n v="1"/>
  </r>
  <r>
    <m/>
    <m/>
    <x v="1"/>
    <s v="50314391002005"/>
    <n v="-75.290000000000006"/>
    <n v="1602"/>
    <n v="1"/>
    <n v="1"/>
  </r>
  <r>
    <m/>
    <m/>
    <x v="1"/>
    <s v="50363741005001"/>
    <n v="-132.49"/>
    <n v="2819"/>
    <n v="1"/>
    <n v="1"/>
  </r>
  <r>
    <m/>
    <m/>
    <x v="1"/>
    <s v="50378091011001"/>
    <n v="-33.46"/>
    <n v="712"/>
    <n v="1"/>
    <n v="1"/>
  </r>
  <r>
    <m/>
    <m/>
    <x v="1"/>
    <s v="50409381003001"/>
    <n v="-25.38"/>
    <n v="540"/>
    <n v="1"/>
    <n v="1"/>
  </r>
  <r>
    <m/>
    <m/>
    <x v="1"/>
    <s v="50409634001011"/>
    <n v="-121.17"/>
    <n v="2578"/>
    <n v="1"/>
    <n v="1"/>
  </r>
  <r>
    <m/>
    <m/>
    <x v="1"/>
    <s v="50432984001003"/>
    <n v="-19.36"/>
    <n v="412"/>
    <n v="1"/>
    <n v="1"/>
  </r>
  <r>
    <m/>
    <m/>
    <x v="1"/>
    <s v="50448812001001"/>
    <n v="-43.19"/>
    <n v="919"/>
    <n v="1"/>
    <n v="1"/>
  </r>
  <r>
    <m/>
    <m/>
    <x v="1"/>
    <s v="50472322001001"/>
    <n v="-103.49"/>
    <n v="2202"/>
    <n v="1"/>
    <n v="1"/>
  </r>
  <r>
    <m/>
    <m/>
    <x v="1"/>
    <s v="50504675002001"/>
    <n v="-7.71"/>
    <n v="164"/>
    <n v="1"/>
    <n v="1"/>
  </r>
  <r>
    <m/>
    <m/>
    <x v="1"/>
    <s v="50516090002010"/>
    <n v="-38.54"/>
    <n v="820"/>
    <n v="1"/>
    <n v="1"/>
  </r>
  <r>
    <m/>
    <m/>
    <x v="1"/>
    <s v="50575121001001"/>
    <n v="-41.03"/>
    <n v="873"/>
    <n v="1"/>
    <n v="1"/>
  </r>
  <r>
    <m/>
    <m/>
    <x v="1"/>
    <s v="50577986002006"/>
    <n v="-128.69"/>
    <n v="2738"/>
    <n v="1"/>
    <n v="1"/>
  </r>
  <r>
    <m/>
    <m/>
    <x v="1"/>
    <s v="50578291001002"/>
    <n v="-51.28"/>
    <n v="1091"/>
    <n v="1"/>
    <n v="1"/>
  </r>
  <r>
    <m/>
    <m/>
    <x v="1"/>
    <s v="50583810001001"/>
    <n v="-187.62"/>
    <n v="3992"/>
    <n v="1"/>
    <n v="1"/>
  </r>
  <r>
    <m/>
    <m/>
    <x v="1"/>
    <s v="50584521001002"/>
    <n v="-89.16"/>
    <n v="1897"/>
    <n v="1"/>
    <n v="1"/>
  </r>
  <r>
    <m/>
    <m/>
    <x v="1"/>
    <s v="50677761001001"/>
    <n v="-18.47"/>
    <n v="393"/>
    <n v="1"/>
    <n v="1"/>
  </r>
  <r>
    <m/>
    <m/>
    <x v="1"/>
    <s v="50685506001006"/>
    <n v="-71.63"/>
    <n v="1524"/>
    <n v="1"/>
    <n v="1"/>
  </r>
  <r>
    <m/>
    <m/>
    <x v="1"/>
    <s v="50720811001003"/>
    <n v="-13.16"/>
    <n v="280"/>
    <n v="1"/>
    <n v="1"/>
  </r>
  <r>
    <m/>
    <m/>
    <x v="1"/>
    <s v="50725151001007"/>
    <n v="-49.02"/>
    <n v="1043"/>
    <n v="1"/>
    <n v="1"/>
  </r>
  <r>
    <m/>
    <m/>
    <x v="1"/>
    <s v="50741531001002"/>
    <n v="-78.58"/>
    <n v="1672"/>
    <n v="1"/>
    <n v="1"/>
  </r>
  <r>
    <m/>
    <m/>
    <x v="1"/>
    <s v="50745624002003"/>
    <n v="-71.86"/>
    <n v="1529"/>
    <n v="1"/>
    <n v="1"/>
  </r>
  <r>
    <m/>
    <m/>
    <x v="1"/>
    <s v="50757351002006"/>
    <n v="-71.72"/>
    <n v="1526"/>
    <n v="1"/>
    <n v="1"/>
  </r>
  <r>
    <m/>
    <m/>
    <x v="1"/>
    <s v="50791371001002"/>
    <n v="-55.7"/>
    <n v="1185"/>
    <n v="1"/>
    <n v="1"/>
  </r>
  <r>
    <m/>
    <m/>
    <x v="1"/>
    <s v="50802890001001"/>
    <n v="-9.64"/>
    <n v="205"/>
    <n v="1"/>
    <n v="1"/>
  </r>
  <r>
    <m/>
    <m/>
    <x v="1"/>
    <s v="50825051001005"/>
    <n v="-93.95"/>
    <n v="1999"/>
    <n v="1"/>
    <n v="1"/>
  </r>
  <r>
    <m/>
    <m/>
    <x v="1"/>
    <s v="50831971001002"/>
    <n v="-27.54"/>
    <n v="586"/>
    <n v="1"/>
    <n v="1"/>
  </r>
  <r>
    <m/>
    <m/>
    <x v="1"/>
    <s v="50955251001001"/>
    <n v="-45.54"/>
    <n v="969"/>
    <n v="1"/>
    <n v="1"/>
  </r>
  <r>
    <m/>
    <m/>
    <x v="1"/>
    <s v="50980301002006"/>
    <n v="-83.8"/>
    <n v="1783"/>
    <n v="1"/>
    <n v="1"/>
  </r>
  <r>
    <m/>
    <m/>
    <x v="1"/>
    <s v="50982891003001"/>
    <n v="-73.650000000000006"/>
    <n v="1567"/>
    <n v="1"/>
    <n v="1"/>
  </r>
  <r>
    <m/>
    <m/>
    <x v="1"/>
    <s v="50984921001006"/>
    <n v="-49.96"/>
    <n v="1063"/>
    <n v="1"/>
    <n v="1"/>
  </r>
  <r>
    <m/>
    <m/>
    <x v="1"/>
    <s v="51001301006001"/>
    <n v="-63.12"/>
    <n v="1343"/>
    <n v="1"/>
    <n v="1"/>
  </r>
  <r>
    <m/>
    <m/>
    <x v="1"/>
    <s v="51011101001001"/>
    <n v="-96.02"/>
    <n v="2043"/>
    <n v="1"/>
    <n v="1"/>
  </r>
  <r>
    <m/>
    <m/>
    <x v="1"/>
    <s v="51027691001003"/>
    <n v="-107.07"/>
    <n v="2278"/>
    <n v="1"/>
    <n v="1"/>
  </r>
  <r>
    <m/>
    <m/>
    <x v="1"/>
    <s v="51040151001001"/>
    <n v="-55.04"/>
    <n v="1171"/>
    <n v="1"/>
    <n v="1"/>
  </r>
  <r>
    <m/>
    <m/>
    <x v="1"/>
    <s v="51047991002005"/>
    <n v="-28.2"/>
    <n v="600"/>
    <n v="1"/>
    <n v="1"/>
  </r>
  <r>
    <m/>
    <m/>
    <x v="1"/>
    <s v="51048201005001"/>
    <n v="-133.01"/>
    <n v="2830"/>
    <n v="1"/>
    <n v="1"/>
  </r>
  <r>
    <m/>
    <m/>
    <x v="1"/>
    <s v="51068641001003"/>
    <n v="-126.62"/>
    <n v="2694"/>
    <n v="1"/>
    <n v="1"/>
  </r>
  <r>
    <m/>
    <m/>
    <x v="1"/>
    <s v="51072211003001"/>
    <n v="-34.97"/>
    <n v="744"/>
    <n v="1"/>
    <n v="1"/>
  </r>
  <r>
    <m/>
    <m/>
    <x v="1"/>
    <s v="51082221002003"/>
    <n v="-112.57"/>
    <n v="2395"/>
    <n v="1"/>
    <n v="1"/>
  </r>
  <r>
    <m/>
    <m/>
    <x v="1"/>
    <s v="51084041002005"/>
    <n v="-67.73"/>
    <n v="1441"/>
    <n v="1"/>
    <n v="1"/>
  </r>
  <r>
    <m/>
    <m/>
    <x v="1"/>
    <s v="51097131003001"/>
    <n v="-138.13"/>
    <n v="2939"/>
    <n v="1"/>
    <n v="1"/>
  </r>
  <r>
    <m/>
    <m/>
    <x v="1"/>
    <s v="51112531001001"/>
    <n v="-4.7"/>
    <n v="100"/>
    <n v="1"/>
    <n v="1"/>
  </r>
  <r>
    <m/>
    <m/>
    <x v="1"/>
    <s v="51114841002001"/>
    <n v="-115.34"/>
    <n v="2454"/>
    <n v="1"/>
    <n v="1"/>
  </r>
  <r>
    <m/>
    <m/>
    <x v="1"/>
    <s v="51119531001008"/>
    <n v="-87.42"/>
    <n v="1860"/>
    <n v="1"/>
    <n v="1"/>
  </r>
  <r>
    <m/>
    <m/>
    <x v="1"/>
    <s v="51126041002002"/>
    <n v="-218.27"/>
    <n v="4644"/>
    <n v="1"/>
    <n v="1"/>
  </r>
  <r>
    <m/>
    <m/>
    <x v="1"/>
    <s v="51130731001001"/>
    <n v="-9.73"/>
    <n v="207"/>
    <n v="1"/>
    <n v="1"/>
  </r>
  <r>
    <m/>
    <m/>
    <x v="1"/>
    <s v="51138081002001"/>
    <n v="-164.55"/>
    <n v="3501"/>
    <n v="1"/>
    <n v="1"/>
  </r>
  <r>
    <m/>
    <m/>
    <x v="1"/>
    <s v="51155456001001"/>
    <n v="-102.88"/>
    <n v="2189"/>
    <n v="1"/>
    <n v="1"/>
  </r>
  <r>
    <m/>
    <m/>
    <x v="1"/>
    <s v="51166641001002"/>
    <n v="-159.57"/>
    <n v="3395"/>
    <n v="1"/>
    <n v="1"/>
  </r>
  <r>
    <m/>
    <m/>
    <x v="1"/>
    <s v="51168811003002"/>
    <n v="-48.79"/>
    <n v="1038"/>
    <n v="1"/>
    <n v="1"/>
  </r>
  <r>
    <m/>
    <m/>
    <x v="1"/>
    <s v="51180361001001"/>
    <n v="-10.199999999999999"/>
    <n v="217"/>
    <n v="1"/>
    <n v="1"/>
  </r>
  <r>
    <m/>
    <m/>
    <x v="1"/>
    <s v="51182321003003"/>
    <n v="-136.72"/>
    <n v="2909"/>
    <n v="1"/>
    <n v="1"/>
  </r>
  <r>
    <m/>
    <m/>
    <x v="1"/>
    <s v="51184281006001"/>
    <n v="-87.61"/>
    <n v="1864"/>
    <n v="1"/>
    <n v="1"/>
  </r>
  <r>
    <m/>
    <m/>
    <x v="1"/>
    <s v="51249451001006"/>
    <n v="-14.66"/>
    <n v="312"/>
    <n v="1"/>
    <n v="1"/>
  </r>
  <r>
    <m/>
    <m/>
    <x v="1"/>
    <s v="51328341003001"/>
    <n v="-111.86"/>
    <n v="2380"/>
    <n v="1"/>
    <n v="1"/>
  </r>
  <r>
    <m/>
    <m/>
    <x v="1"/>
    <s v="51356328002001"/>
    <n v="-106.22"/>
    <n v="2260"/>
    <n v="1"/>
    <n v="1"/>
  </r>
  <r>
    <m/>
    <m/>
    <x v="1"/>
    <s v="51377691005001"/>
    <n v="-33.46"/>
    <n v="712"/>
    <n v="1"/>
    <n v="1"/>
  </r>
  <r>
    <m/>
    <m/>
    <x v="1"/>
    <s v="51395961001001"/>
    <n v="-151.19999999999999"/>
    <n v="3217"/>
    <n v="1"/>
    <n v="1"/>
  </r>
  <r>
    <m/>
    <m/>
    <x v="1"/>
    <s v="51401561004001"/>
    <n v="-135.44999999999999"/>
    <n v="2882"/>
    <n v="1"/>
    <n v="1"/>
  </r>
  <r>
    <m/>
    <m/>
    <x v="1"/>
    <s v="51424031003001"/>
    <n v="-84.46"/>
    <n v="1797"/>
    <n v="1"/>
    <n v="1"/>
  </r>
  <r>
    <m/>
    <m/>
    <x v="1"/>
    <s v="51439011010001"/>
    <n v="-163.56"/>
    <n v="3480"/>
    <n v="1"/>
    <n v="1"/>
  </r>
  <r>
    <m/>
    <m/>
    <x v="1"/>
    <s v="51443606001006"/>
    <n v="-34.729999999999997"/>
    <n v="739"/>
    <n v="1"/>
    <n v="1"/>
  </r>
  <r>
    <m/>
    <m/>
    <x v="1"/>
    <s v="51453851003001"/>
    <n v="-127.32"/>
    <n v="2709"/>
    <n v="1"/>
    <n v="1"/>
  </r>
  <r>
    <m/>
    <m/>
    <x v="1"/>
    <s v="51467250001001"/>
    <n v="-12.64"/>
    <n v="269"/>
    <n v="1"/>
    <n v="1"/>
  </r>
  <r>
    <m/>
    <m/>
    <x v="1"/>
    <s v="51483531009001"/>
    <n v="-85.63"/>
    <n v="1822"/>
    <n v="1"/>
    <n v="1"/>
  </r>
  <r>
    <m/>
    <m/>
    <x v="1"/>
    <s v="51516361003001"/>
    <n v="-36.43"/>
    <n v="775"/>
    <n v="1"/>
    <n v="1"/>
  </r>
  <r>
    <m/>
    <m/>
    <x v="1"/>
    <s v="51518531001001"/>
    <n v="-16.170000000000002"/>
    <n v="344"/>
    <n v="1"/>
    <n v="1"/>
  </r>
  <r>
    <m/>
    <m/>
    <x v="1"/>
    <s v="51543591001002"/>
    <n v="-70.55"/>
    <n v="1501"/>
    <n v="1"/>
    <n v="1"/>
  </r>
  <r>
    <m/>
    <m/>
    <x v="1"/>
    <s v="51557381001002"/>
    <n v="-47.47"/>
    <n v="1010"/>
    <n v="1"/>
    <n v="1"/>
  </r>
  <r>
    <m/>
    <m/>
    <x v="1"/>
    <s v="51575021002004"/>
    <n v="-15.46"/>
    <n v="329"/>
    <n v="1"/>
    <n v="1"/>
  </r>
  <r>
    <m/>
    <m/>
    <x v="1"/>
    <s v="51582215001003"/>
    <n v="-53.39"/>
    <n v="1136"/>
    <n v="1"/>
    <n v="1"/>
  </r>
  <r>
    <m/>
    <m/>
    <x v="1"/>
    <s v="51584751002008"/>
    <n v="-98.61"/>
    <n v="2098"/>
    <n v="1"/>
    <n v="1"/>
  </r>
  <r>
    <m/>
    <m/>
    <x v="1"/>
    <s v="51588111004001"/>
    <n v="-146.36000000000001"/>
    <n v="3114"/>
    <n v="1"/>
    <n v="1"/>
  </r>
  <r>
    <m/>
    <m/>
    <x v="1"/>
    <s v="51593431001001"/>
    <n v="-179.16"/>
    <n v="3812"/>
    <n v="1"/>
    <n v="1"/>
  </r>
  <r>
    <m/>
    <m/>
    <x v="1"/>
    <s v="51593991001001"/>
    <n v="-46.39"/>
    <n v="987"/>
    <n v="1"/>
    <n v="1"/>
  </r>
  <r>
    <m/>
    <m/>
    <x v="1"/>
    <s v="51596301001003"/>
    <n v="-30.55"/>
    <n v="650"/>
    <n v="1"/>
    <n v="1"/>
  </r>
  <r>
    <m/>
    <m/>
    <x v="1"/>
    <s v="51603861001001"/>
    <n v="-78.069999999999993"/>
    <n v="1661"/>
    <n v="1"/>
    <n v="1"/>
  </r>
  <r>
    <m/>
    <m/>
    <x v="1"/>
    <s v="51614151001002"/>
    <n v="-130.75"/>
    <n v="2782"/>
    <n v="1"/>
    <n v="1"/>
  </r>
  <r>
    <m/>
    <m/>
    <x v="1"/>
    <s v="51615551001001"/>
    <n v="-129.96"/>
    <n v="2765"/>
    <n v="1"/>
    <n v="1"/>
  </r>
  <r>
    <m/>
    <m/>
    <x v="1"/>
    <s v="51634941001001"/>
    <n v="-295.63"/>
    <n v="6290"/>
    <n v="1"/>
    <n v="1"/>
  </r>
  <r>
    <m/>
    <m/>
    <x v="1"/>
    <s v="51719592001003"/>
    <n v="-90.48"/>
    <n v="1925"/>
    <n v="1"/>
    <n v="1"/>
  </r>
  <r>
    <m/>
    <m/>
    <x v="1"/>
    <s v="51764139001006"/>
    <n v="-27.78"/>
    <n v="591"/>
    <n v="1"/>
    <n v="1"/>
  </r>
  <r>
    <m/>
    <m/>
    <x v="1"/>
    <s v="51808006003005"/>
    <n v="-95.5"/>
    <n v="2032"/>
    <n v="1"/>
    <n v="1"/>
  </r>
  <r>
    <m/>
    <m/>
    <x v="1"/>
    <s v="51910701001010"/>
    <n v="-83.38"/>
    <n v="1774"/>
    <n v="1"/>
    <n v="1"/>
  </r>
  <r>
    <m/>
    <m/>
    <x v="1"/>
    <s v="51917069001003"/>
    <n v="-5.17"/>
    <n v="110"/>
    <n v="1"/>
    <n v="1"/>
  </r>
  <r>
    <m/>
    <m/>
    <x v="1"/>
    <s v="51938061003001"/>
    <n v="-99.78"/>
    <n v="2123"/>
    <n v="1"/>
    <n v="1"/>
  </r>
  <r>
    <m/>
    <m/>
    <x v="1"/>
    <s v="51992068001001"/>
    <n v="-59.88"/>
    <n v="1274"/>
    <n v="1"/>
    <n v="1"/>
  </r>
  <r>
    <m/>
    <m/>
    <x v="1"/>
    <s v="52042325001004"/>
    <n v="-88.5"/>
    <n v="1883"/>
    <n v="1"/>
    <n v="1"/>
  </r>
  <r>
    <m/>
    <m/>
    <x v="1"/>
    <s v="52232547001001"/>
    <n v="-48.93"/>
    <n v="1041"/>
    <n v="1"/>
    <n v="1"/>
  </r>
  <r>
    <m/>
    <m/>
    <x v="1"/>
    <s v="52507041001001"/>
    <n v="-15.65"/>
    <n v="333"/>
    <n v="1"/>
    <n v="1"/>
  </r>
  <r>
    <m/>
    <m/>
    <x v="1"/>
    <s v="52533908001001"/>
    <n v="-133.01"/>
    <n v="2830"/>
    <n v="1"/>
    <n v="1"/>
  </r>
  <r>
    <m/>
    <m/>
    <x v="1"/>
    <s v="52557185001003"/>
    <n v="-61.29"/>
    <n v="1304"/>
    <n v="1"/>
    <n v="1"/>
  </r>
  <r>
    <m/>
    <m/>
    <x v="1"/>
    <s v="52682385001007"/>
    <n v="-62.09"/>
    <n v="1321"/>
    <n v="1"/>
    <n v="1"/>
  </r>
  <r>
    <m/>
    <m/>
    <x v="1"/>
    <s v="52742616001001"/>
    <n v="-163"/>
    <n v="3468"/>
    <n v="1"/>
    <n v="1"/>
  </r>
  <r>
    <m/>
    <m/>
    <x v="1"/>
    <s v="52822965001002"/>
    <n v="-7.47"/>
    <n v="159"/>
    <n v="1"/>
    <n v="1"/>
  </r>
  <r>
    <m/>
    <m/>
    <x v="1"/>
    <s v="52837411001003"/>
    <n v="-74.64"/>
    <n v="1588"/>
    <n v="1"/>
    <n v="1"/>
  </r>
  <r>
    <m/>
    <m/>
    <x v="1"/>
    <s v="53077277001001"/>
    <n v="-41.74"/>
    <n v="888"/>
    <n v="1"/>
    <n v="1"/>
  </r>
  <r>
    <m/>
    <m/>
    <x v="1"/>
    <s v="53082444001001"/>
    <n v="-14.1"/>
    <n v="300"/>
    <n v="1"/>
    <n v="1"/>
  </r>
  <r>
    <m/>
    <m/>
    <x v="1"/>
    <s v="53087879001001"/>
    <n v="-40.04"/>
    <n v="852"/>
    <n v="1"/>
    <n v="1"/>
  </r>
  <r>
    <m/>
    <m/>
    <x v="1"/>
    <s v="53124174001010"/>
    <n v="-29.89"/>
    <n v="636"/>
    <n v="1"/>
    <n v="1"/>
  </r>
  <r>
    <m/>
    <m/>
    <x v="1"/>
    <s v="53221240001001"/>
    <n v="-90.8"/>
    <n v="1932"/>
    <n v="1"/>
    <n v="1"/>
  </r>
  <r>
    <m/>
    <m/>
    <x v="1"/>
    <s v="53307067003008"/>
    <n v="-158.66999999999999"/>
    <n v="3376"/>
    <n v="1"/>
    <n v="1"/>
  </r>
  <r>
    <m/>
    <m/>
    <x v="1"/>
    <s v="53513269001001"/>
    <n v="-74.64"/>
    <n v="1588"/>
    <n v="1"/>
    <n v="1"/>
  </r>
  <r>
    <m/>
    <m/>
    <x v="1"/>
    <s v="53550460006001"/>
    <n v="-81.78"/>
    <n v="1740"/>
    <n v="1"/>
    <n v="1"/>
  </r>
  <r>
    <m/>
    <m/>
    <x v="1"/>
    <s v="53593144001001"/>
    <n v="-101.76"/>
    <n v="2165"/>
    <n v="1"/>
    <n v="1"/>
  </r>
  <r>
    <m/>
    <m/>
    <x v="1"/>
    <s v="53808670001004"/>
    <n v="-4.8899999999999997"/>
    <n v="104"/>
    <n v="1"/>
    <n v="1"/>
  </r>
  <r>
    <m/>
    <m/>
    <x v="1"/>
    <s v="53812406001002"/>
    <n v="-45.4"/>
    <n v="966"/>
    <n v="1"/>
    <n v="1"/>
  </r>
  <r>
    <m/>
    <m/>
    <x v="1"/>
    <s v="53884864003001"/>
    <n v="-29.7"/>
    <n v="632"/>
    <n v="1"/>
    <n v="1"/>
  </r>
  <r>
    <m/>
    <m/>
    <x v="1"/>
    <s v="53953758001001"/>
    <n v="-77.08"/>
    <n v="1640"/>
    <n v="1"/>
    <n v="1"/>
  </r>
  <r>
    <m/>
    <m/>
    <x v="1"/>
    <s v="54019982001004"/>
    <n v="-110.03"/>
    <n v="2341"/>
    <n v="1"/>
    <n v="1"/>
  </r>
  <r>
    <m/>
    <m/>
    <x v="1"/>
    <s v="54063280001001"/>
    <n v="-70.64"/>
    <n v="1503"/>
    <n v="1"/>
    <n v="1"/>
  </r>
  <r>
    <m/>
    <m/>
    <x v="1"/>
    <s v="54099172001001"/>
    <n v="-31.96"/>
    <n v="680"/>
    <n v="1"/>
    <n v="1"/>
  </r>
  <r>
    <m/>
    <m/>
    <x v="1"/>
    <s v="54141123001001"/>
    <n v="-152.13999999999999"/>
    <n v="3237"/>
    <n v="1"/>
    <n v="1"/>
  </r>
  <r>
    <m/>
    <m/>
    <x v="1"/>
    <s v="54256535001001"/>
    <n v="-64.3"/>
    <n v="1368"/>
    <n v="1"/>
    <n v="1"/>
  </r>
  <r>
    <m/>
    <m/>
    <x v="1"/>
    <s v="54306064004001"/>
    <n v="-68.2"/>
    <n v="1451"/>
    <n v="1"/>
    <n v="1"/>
  </r>
  <r>
    <m/>
    <m/>
    <x v="1"/>
    <s v="54329736005001"/>
    <n v="-53.35"/>
    <n v="1135"/>
    <n v="1"/>
    <n v="1"/>
  </r>
  <r>
    <m/>
    <m/>
    <x v="1"/>
    <s v="54514113001001"/>
    <n v="-8.74"/>
    <n v="186"/>
    <n v="1"/>
    <n v="1"/>
  </r>
  <r>
    <m/>
    <m/>
    <x v="1"/>
    <s v="54609162004002"/>
    <n v="-42.3"/>
    <n v="900"/>
    <n v="1"/>
    <n v="1"/>
  </r>
  <r>
    <m/>
    <m/>
    <x v="1"/>
    <s v="54633989001003"/>
    <n v="-136.58000000000001"/>
    <n v="2906"/>
    <n v="1"/>
    <n v="1"/>
  </r>
  <r>
    <m/>
    <m/>
    <x v="1"/>
    <s v="54706905001001"/>
    <n v="-17.72"/>
    <n v="377"/>
    <n v="1"/>
    <n v="1"/>
  </r>
  <r>
    <m/>
    <m/>
    <x v="1"/>
    <s v="54844815001003"/>
    <n v="-54.1"/>
    <n v="1151"/>
    <n v="1"/>
    <n v="1"/>
  </r>
  <r>
    <m/>
    <m/>
    <x v="1"/>
    <s v="54867100001005"/>
    <n v="-79.2"/>
    <n v="1685"/>
    <n v="1"/>
    <n v="1"/>
  </r>
  <r>
    <m/>
    <m/>
    <x v="1"/>
    <s v="54884722001003"/>
    <n v="-11.89"/>
    <n v="253"/>
    <n v="1"/>
    <n v="1"/>
  </r>
  <r>
    <m/>
    <m/>
    <x v="1"/>
    <s v="54897257001001"/>
    <n v="-46.34"/>
    <n v="986"/>
    <n v="1"/>
    <n v="1"/>
  </r>
  <r>
    <m/>
    <m/>
    <x v="1"/>
    <s v="54978920001003"/>
    <n v="-77.41"/>
    <n v="1647"/>
    <n v="1"/>
    <n v="1"/>
  </r>
  <r>
    <m/>
    <m/>
    <x v="1"/>
    <s v="55121276001005"/>
    <n v="-57.67"/>
    <n v="1227"/>
    <n v="1"/>
    <n v="1"/>
  </r>
  <r>
    <m/>
    <m/>
    <x v="1"/>
    <s v="55185996001003"/>
    <n v="-74.78"/>
    <n v="1591"/>
    <n v="1"/>
    <n v="1"/>
  </r>
  <r>
    <m/>
    <m/>
    <x v="1"/>
    <s v="55194605001001"/>
    <n v="-64.11"/>
    <n v="1364"/>
    <n v="1"/>
    <n v="1"/>
  </r>
  <r>
    <m/>
    <m/>
    <x v="1"/>
    <s v="55371499001001"/>
    <n v="-51.98"/>
    <n v="1106"/>
    <n v="1"/>
    <n v="1"/>
  </r>
  <r>
    <m/>
    <m/>
    <x v="1"/>
    <s v="55476730001005"/>
    <n v="-101.66"/>
    <n v="2163"/>
    <n v="1"/>
    <n v="1"/>
  </r>
  <r>
    <m/>
    <m/>
    <x v="1"/>
    <s v="55524078001001"/>
    <n v="-70.83"/>
    <n v="1507"/>
    <n v="1"/>
    <n v="1"/>
  </r>
  <r>
    <m/>
    <m/>
    <x v="1"/>
    <s v="55536729004001"/>
    <n v="-68.709999999999994"/>
    <n v="1462"/>
    <n v="1"/>
    <n v="1"/>
  </r>
  <r>
    <m/>
    <m/>
    <x v="1"/>
    <s v="55781832001008"/>
    <n v="-97.06"/>
    <n v="2065"/>
    <n v="1"/>
    <n v="1"/>
  </r>
  <r>
    <m/>
    <m/>
    <x v="1"/>
    <s v="55898070001005"/>
    <n v="-77.22"/>
    <n v="1643"/>
    <n v="1"/>
    <n v="1"/>
  </r>
  <r>
    <m/>
    <m/>
    <x v="1"/>
    <s v="55956687002001"/>
    <n v="-32.1"/>
    <n v="683"/>
    <n v="1"/>
    <n v="1"/>
  </r>
  <r>
    <m/>
    <m/>
    <x v="1"/>
    <s v="56027623001001"/>
    <n v="-171.97"/>
    <n v="3659"/>
    <n v="1"/>
    <n v="1"/>
  </r>
  <r>
    <m/>
    <m/>
    <x v="1"/>
    <s v="56079112001004"/>
    <n v="-64.77"/>
    <n v="1378"/>
    <n v="1"/>
    <n v="1"/>
  </r>
  <r>
    <m/>
    <m/>
    <x v="1"/>
    <s v="56180731001001"/>
    <n v="-4.9400000000000004"/>
    <n v="105"/>
    <n v="1"/>
    <n v="1"/>
  </r>
  <r>
    <m/>
    <m/>
    <x v="1"/>
    <s v="56272890001001"/>
    <n v="-63.59"/>
    <n v="1353"/>
    <n v="1"/>
    <n v="1"/>
  </r>
  <r>
    <m/>
    <m/>
    <x v="1"/>
    <s v="56277887001003"/>
    <n v="-15.37"/>
    <n v="327"/>
    <n v="1"/>
    <n v="1"/>
  </r>
  <r>
    <m/>
    <m/>
    <x v="1"/>
    <s v="56725042001004"/>
    <n v="-30.5"/>
    <n v="649"/>
    <n v="1"/>
    <n v="1"/>
  </r>
  <r>
    <m/>
    <m/>
    <x v="1"/>
    <s v="56868459001008"/>
    <n v="-35.39"/>
    <n v="753"/>
    <n v="1"/>
    <n v="1"/>
  </r>
  <r>
    <m/>
    <m/>
    <x v="1"/>
    <s v="56918510001001"/>
    <n v="-86.9"/>
    <n v="1849"/>
    <n v="1"/>
    <n v="1"/>
  </r>
  <r>
    <m/>
    <m/>
    <x v="1"/>
    <s v="56947002001001"/>
    <n v="-71.53"/>
    <n v="1522"/>
    <n v="1"/>
    <n v="1"/>
  </r>
  <r>
    <m/>
    <m/>
    <x v="1"/>
    <s v="57000650001002"/>
    <n v="-44.7"/>
    <n v="951"/>
    <n v="1"/>
    <n v="1"/>
  </r>
  <r>
    <m/>
    <m/>
    <x v="1"/>
    <s v="57011783002003"/>
    <n v="-23.92"/>
    <n v="509"/>
    <n v="1"/>
    <n v="1"/>
  </r>
  <r>
    <m/>
    <m/>
    <x v="1"/>
    <s v="57092073001001"/>
    <n v="-11"/>
    <n v="234"/>
    <n v="1"/>
    <n v="1"/>
  </r>
  <r>
    <m/>
    <m/>
    <x v="1"/>
    <s v="57110729007001"/>
    <n v="-16.64"/>
    <n v="354"/>
    <n v="1"/>
    <n v="1"/>
  </r>
  <r>
    <m/>
    <m/>
    <x v="1"/>
    <s v="57144962001002"/>
    <n v="-52.83"/>
    <n v="1124"/>
    <n v="1"/>
    <n v="1"/>
  </r>
  <r>
    <m/>
    <m/>
    <x v="1"/>
    <s v="57270675001001"/>
    <n v="-13.4"/>
    <n v="285"/>
    <n v="1"/>
    <n v="1"/>
  </r>
  <r>
    <m/>
    <m/>
    <x v="1"/>
    <s v="57271203001001"/>
    <n v="-52.36"/>
    <n v="1114"/>
    <n v="1"/>
    <n v="1"/>
  </r>
  <r>
    <m/>
    <m/>
    <x v="1"/>
    <s v="57314587001007"/>
    <n v="-46.2"/>
    <n v="983"/>
    <n v="1"/>
    <n v="1"/>
  </r>
  <r>
    <m/>
    <m/>
    <x v="1"/>
    <s v="57356716001002"/>
    <n v="-44.23"/>
    <n v="941"/>
    <n v="1"/>
    <n v="1"/>
  </r>
  <r>
    <m/>
    <m/>
    <x v="1"/>
    <s v="57409186002001"/>
    <n v="-28.67"/>
    <n v="610"/>
    <n v="1"/>
    <n v="1"/>
  </r>
  <r>
    <m/>
    <m/>
    <x v="1"/>
    <s v="57422963001002"/>
    <n v="-74.31"/>
    <n v="1581"/>
    <n v="1"/>
    <n v="1"/>
  </r>
  <r>
    <m/>
    <m/>
    <x v="1"/>
    <s v="57425690001002"/>
    <n v="-77.97"/>
    <n v="1659"/>
    <n v="1"/>
    <n v="1"/>
  </r>
  <r>
    <m/>
    <m/>
    <x v="1"/>
    <s v="57504758001005"/>
    <n v="-43.66"/>
    <n v="929"/>
    <n v="1"/>
    <n v="1"/>
  </r>
  <r>
    <m/>
    <m/>
    <x v="1"/>
    <s v="57634785001005"/>
    <n v="-62.6"/>
    <n v="1332"/>
    <n v="1"/>
    <n v="1"/>
  </r>
  <r>
    <m/>
    <m/>
    <x v="1"/>
    <s v="58070087003003"/>
    <n v="-92.54"/>
    <n v="1969"/>
    <n v="1"/>
    <n v="1"/>
  </r>
  <r>
    <m/>
    <m/>
    <x v="1"/>
    <s v="58123333001002"/>
    <n v="-71.680000000000007"/>
    <n v="1525"/>
    <n v="1"/>
    <n v="1"/>
  </r>
  <r>
    <m/>
    <m/>
    <x v="1"/>
    <s v="58157660001002"/>
    <n v="-90.76"/>
    <n v="1931"/>
    <n v="1"/>
    <n v="1"/>
  </r>
  <r>
    <m/>
    <m/>
    <x v="1"/>
    <s v="58199492001003"/>
    <n v="-60.3"/>
    <n v="1283"/>
    <n v="1"/>
    <n v="1"/>
  </r>
  <r>
    <m/>
    <m/>
    <x v="1"/>
    <s v="58238806001004"/>
    <n v="-5.69"/>
    <n v="121"/>
    <n v="1"/>
    <n v="1"/>
  </r>
  <r>
    <m/>
    <m/>
    <x v="1"/>
    <s v="58436858001004"/>
    <n v="-71.77"/>
    <n v="1527"/>
    <n v="1"/>
    <n v="1"/>
  </r>
  <r>
    <m/>
    <m/>
    <x v="1"/>
    <s v="58446059002001"/>
    <n v="-72.05"/>
    <n v="1533"/>
    <n v="1"/>
    <n v="1"/>
  </r>
  <r>
    <m/>
    <m/>
    <x v="1"/>
    <s v="58479108002001"/>
    <n v="-69.56"/>
    <n v="1480"/>
    <n v="1"/>
    <n v="1"/>
  </r>
  <r>
    <m/>
    <m/>
    <x v="1"/>
    <s v="58496743001008"/>
    <n v="-9.4499999999999993"/>
    <n v="201"/>
    <n v="1"/>
    <n v="1"/>
  </r>
  <r>
    <m/>
    <m/>
    <x v="1"/>
    <s v="58521117005006"/>
    <n v="-60.63"/>
    <n v="1290"/>
    <n v="1"/>
    <n v="1"/>
  </r>
  <r>
    <m/>
    <m/>
    <x v="1"/>
    <s v="58549564001001"/>
    <n v="-81.31"/>
    <n v="1730"/>
    <n v="1"/>
    <n v="1"/>
  </r>
  <r>
    <m/>
    <m/>
    <x v="1"/>
    <s v="58612420001003"/>
    <n v="-29.99"/>
    <n v="638"/>
    <n v="1"/>
    <n v="1"/>
  </r>
  <r>
    <m/>
    <m/>
    <x v="1"/>
    <s v="58665150001005"/>
    <n v="-97.24"/>
    <n v="2069"/>
    <n v="1"/>
    <n v="1"/>
  </r>
  <r>
    <m/>
    <m/>
    <x v="1"/>
    <s v="58704052001001"/>
    <n v="-22.65"/>
    <n v="482"/>
    <n v="1"/>
    <n v="1"/>
  </r>
  <r>
    <m/>
    <m/>
    <x v="1"/>
    <s v="58708783001003"/>
    <n v="-149.69999999999999"/>
    <n v="3185"/>
    <n v="1"/>
    <n v="1"/>
  </r>
  <r>
    <m/>
    <m/>
    <x v="1"/>
    <s v="58891461001001"/>
    <n v="-40.94"/>
    <n v="871"/>
    <n v="1"/>
    <n v="1"/>
  </r>
  <r>
    <m/>
    <m/>
    <x v="1"/>
    <s v="59136213001001"/>
    <n v="-108.01"/>
    <n v="2298"/>
    <n v="1"/>
    <n v="1"/>
  </r>
  <r>
    <m/>
    <m/>
    <x v="1"/>
    <s v="59249925001005"/>
    <n v="-20.96"/>
    <n v="446"/>
    <n v="1"/>
    <n v="1"/>
  </r>
  <r>
    <m/>
    <m/>
    <x v="1"/>
    <s v="59269559003003"/>
    <n v="-29.89"/>
    <n v="636"/>
    <n v="1"/>
    <n v="1"/>
  </r>
  <r>
    <m/>
    <m/>
    <x v="1"/>
    <s v="59431046001003"/>
    <n v="-40.14"/>
    <n v="854"/>
    <n v="1"/>
    <n v="1"/>
  </r>
  <r>
    <m/>
    <m/>
    <x v="1"/>
    <s v="59547463005003"/>
    <n v="-148"/>
    <n v="3149"/>
    <n v="1"/>
    <n v="1"/>
  </r>
  <r>
    <m/>
    <m/>
    <x v="1"/>
    <s v="59582257003001"/>
    <n v="-61.24"/>
    <n v="1303"/>
    <n v="1"/>
    <n v="1"/>
  </r>
  <r>
    <m/>
    <m/>
    <x v="1"/>
    <s v="59712638001001"/>
    <n v="-17.059999999999999"/>
    <n v="363"/>
    <n v="1"/>
    <n v="1"/>
  </r>
  <r>
    <m/>
    <m/>
    <x v="1"/>
    <s v="59782518001001"/>
    <n v="-166.76"/>
    <n v="3548"/>
    <n v="1"/>
    <n v="1"/>
  </r>
  <r>
    <m/>
    <m/>
    <x v="1"/>
    <s v="59835939001001"/>
    <n v="-46.81"/>
    <n v="996"/>
    <n v="1"/>
    <n v="1"/>
  </r>
  <r>
    <m/>
    <m/>
    <x v="1"/>
    <s v="60063354001001"/>
    <n v="-190.63"/>
    <n v="4056"/>
    <n v="1"/>
    <n v="1"/>
  </r>
  <r>
    <m/>
    <m/>
    <x v="1"/>
    <s v="60103851002003"/>
    <n v="-27.68"/>
    <n v="589"/>
    <n v="1"/>
    <n v="1"/>
  </r>
  <r>
    <m/>
    <m/>
    <x v="1"/>
    <s v="60130241001001"/>
    <n v="-48.36"/>
    <n v="1029"/>
    <n v="1"/>
    <n v="1"/>
  </r>
  <r>
    <m/>
    <m/>
    <x v="1"/>
    <s v="60237712001009"/>
    <n v="-33.14"/>
    <n v="705"/>
    <n v="1"/>
    <n v="1"/>
  </r>
  <r>
    <m/>
    <m/>
    <x v="1"/>
    <s v="60239588001006"/>
    <n v="-87.66"/>
    <n v="1865"/>
    <n v="1"/>
    <n v="1"/>
  </r>
  <r>
    <m/>
    <m/>
    <x v="1"/>
    <s v="60290167001006"/>
    <n v="-155.24"/>
    <n v="3303"/>
    <n v="1"/>
    <n v="1"/>
  </r>
  <r>
    <m/>
    <m/>
    <x v="1"/>
    <s v="60311235002003"/>
    <n v="-7.19"/>
    <n v="153"/>
    <n v="1"/>
    <n v="1"/>
  </r>
  <r>
    <m/>
    <m/>
    <x v="1"/>
    <s v="60311880001002"/>
    <n v="-176.49"/>
    <n v="3755"/>
    <n v="1"/>
    <n v="1"/>
  </r>
  <r>
    <m/>
    <m/>
    <x v="1"/>
    <s v="60397594001001"/>
    <n v="-145.04"/>
    <n v="3086"/>
    <n v="1"/>
    <n v="1"/>
  </r>
  <r>
    <m/>
    <m/>
    <x v="1"/>
    <s v="60473262001001"/>
    <n v="-50.62"/>
    <n v="1077"/>
    <n v="1"/>
    <n v="1"/>
  </r>
  <r>
    <m/>
    <m/>
    <x v="1"/>
    <s v="60503071001008"/>
    <n v="-78.540000000000006"/>
    <n v="1671"/>
    <n v="1"/>
    <n v="1"/>
  </r>
  <r>
    <m/>
    <m/>
    <x v="1"/>
    <s v="60504144009001"/>
    <n v="-70.69"/>
    <n v="1504"/>
    <n v="1"/>
    <n v="1"/>
  </r>
  <r>
    <m/>
    <m/>
    <x v="1"/>
    <s v="60570725002001"/>
    <n v="-79.48"/>
    <n v="1691"/>
    <n v="1"/>
    <n v="1"/>
  </r>
  <r>
    <m/>
    <m/>
    <x v="1"/>
    <s v="60599585001001"/>
    <n v="-43.8"/>
    <n v="932"/>
    <n v="1"/>
    <n v="1"/>
  </r>
  <r>
    <m/>
    <m/>
    <x v="1"/>
    <s v="60626334001001"/>
    <n v="-30.88"/>
    <n v="657"/>
    <n v="1"/>
    <n v="1"/>
  </r>
  <r>
    <m/>
    <m/>
    <x v="1"/>
    <s v="60661525001001"/>
    <n v="-68.239999999999995"/>
    <n v="1452"/>
    <n v="1"/>
    <n v="1"/>
  </r>
  <r>
    <m/>
    <m/>
    <x v="1"/>
    <s v="60790565001008"/>
    <n v="-128.83000000000001"/>
    <n v="2741"/>
    <n v="1"/>
    <n v="1"/>
  </r>
  <r>
    <m/>
    <m/>
    <x v="1"/>
    <s v="60942818001007"/>
    <n v="-69.98"/>
    <n v="1489"/>
    <n v="1"/>
    <n v="1"/>
  </r>
  <r>
    <m/>
    <m/>
    <x v="1"/>
    <s v="60957175001001"/>
    <n v="-50.95"/>
    <n v="1084"/>
    <n v="1"/>
    <n v="1"/>
  </r>
  <r>
    <m/>
    <m/>
    <x v="1"/>
    <s v="61063646001001"/>
    <n v="-16.22"/>
    <n v="345"/>
    <n v="1"/>
    <n v="1"/>
  </r>
  <r>
    <m/>
    <m/>
    <x v="1"/>
    <s v="61096024001007"/>
    <n v="-80.61"/>
    <n v="1715"/>
    <n v="1"/>
    <n v="1"/>
  </r>
  <r>
    <m/>
    <m/>
    <x v="1"/>
    <s v="61107475001005"/>
    <n v="-13.02"/>
    <n v="277"/>
    <n v="1"/>
    <n v="1"/>
  </r>
  <r>
    <m/>
    <m/>
    <x v="1"/>
    <s v="61188221002001"/>
    <n v="-79.150000000000006"/>
    <n v="1684"/>
    <n v="1"/>
    <n v="1"/>
  </r>
  <r>
    <m/>
    <m/>
    <x v="1"/>
    <s v="61237473001001"/>
    <n v="-60.21"/>
    <n v="1281"/>
    <n v="1"/>
    <n v="1"/>
  </r>
  <r>
    <m/>
    <m/>
    <x v="1"/>
    <s v="61254120001004"/>
    <n v="-46.2"/>
    <n v="983"/>
    <n v="1"/>
    <n v="1"/>
  </r>
  <r>
    <m/>
    <m/>
    <x v="1"/>
    <s v="61307801001002"/>
    <n v="-21.39"/>
    <n v="455"/>
    <n v="1"/>
    <n v="1"/>
  </r>
  <r>
    <m/>
    <m/>
    <x v="1"/>
    <s v="61309008001005"/>
    <n v="-43.95"/>
    <n v="935"/>
    <n v="1"/>
    <n v="1"/>
  </r>
  <r>
    <m/>
    <m/>
    <x v="1"/>
    <s v="61387272001001"/>
    <n v="-4.9400000000000004"/>
    <n v="105"/>
    <n v="1"/>
    <n v="1"/>
  </r>
  <r>
    <m/>
    <m/>
    <x v="1"/>
    <s v="61408607001001"/>
    <n v="-104.72"/>
    <n v="2228"/>
    <n v="1"/>
    <n v="1"/>
  </r>
  <r>
    <m/>
    <m/>
    <x v="1"/>
    <s v="61446494004007"/>
    <n v="-54.43"/>
    <n v="1158"/>
    <n v="1"/>
    <n v="1"/>
  </r>
  <r>
    <m/>
    <m/>
    <x v="1"/>
    <s v="61516335001005"/>
    <n v="-16.170000000000002"/>
    <n v="344"/>
    <n v="1"/>
    <n v="1"/>
  </r>
  <r>
    <m/>
    <m/>
    <x v="1"/>
    <s v="61517595001002"/>
    <n v="-43.62"/>
    <n v="928"/>
    <n v="1"/>
    <n v="1"/>
  </r>
  <r>
    <m/>
    <m/>
    <x v="1"/>
    <s v="61614836001001"/>
    <n v="-113.93"/>
    <n v="2424"/>
    <n v="1"/>
    <n v="1"/>
  </r>
  <r>
    <m/>
    <m/>
    <x v="1"/>
    <s v="61630580001002"/>
    <n v="-24.53"/>
    <n v="522"/>
    <n v="1"/>
    <n v="1"/>
  </r>
  <r>
    <m/>
    <m/>
    <x v="1"/>
    <s v="62062811001010"/>
    <n v="-11.7"/>
    <n v="249"/>
    <n v="1"/>
    <n v="1"/>
  </r>
  <r>
    <m/>
    <m/>
    <x v="1"/>
    <s v="62125139001001"/>
    <n v="-0.66"/>
    <n v="14"/>
    <n v="1"/>
    <n v="1"/>
  </r>
  <r>
    <m/>
    <m/>
    <x v="1"/>
    <s v="62137490001002"/>
    <n v="-25.24"/>
    <n v="537"/>
    <n v="1"/>
    <n v="1"/>
  </r>
  <r>
    <m/>
    <m/>
    <x v="1"/>
    <s v="62209532002001"/>
    <n v="-106.36"/>
    <n v="2263"/>
    <n v="1"/>
    <n v="1"/>
  </r>
  <r>
    <m/>
    <m/>
    <x v="1"/>
    <s v="62244159001003"/>
    <n v="-139.78"/>
    <n v="2974"/>
    <n v="1"/>
    <n v="1"/>
  </r>
  <r>
    <m/>
    <m/>
    <x v="1"/>
    <s v="62268891001001"/>
    <n v="-25.85"/>
    <n v="550"/>
    <n v="1"/>
    <n v="1"/>
  </r>
  <r>
    <m/>
    <m/>
    <x v="1"/>
    <s v="62447696001001"/>
    <n v="-19.79"/>
    <n v="421"/>
    <n v="1"/>
    <n v="1"/>
  </r>
  <r>
    <m/>
    <m/>
    <x v="1"/>
    <s v="62610781001004"/>
    <n v="-58.42"/>
    <n v="1243"/>
    <n v="1"/>
    <n v="1"/>
  </r>
  <r>
    <m/>
    <m/>
    <x v="1"/>
    <s v="62615155002001"/>
    <n v="-36.799999999999997"/>
    <n v="783"/>
    <n v="1"/>
    <n v="1"/>
  </r>
  <r>
    <m/>
    <m/>
    <x v="1"/>
    <s v="62682462001001"/>
    <n v="-192.94"/>
    <n v="4105"/>
    <n v="1"/>
    <n v="1"/>
  </r>
  <r>
    <m/>
    <m/>
    <x v="1"/>
    <s v="62691329005001"/>
    <n v="-133.34"/>
    <n v="2837"/>
    <n v="1"/>
    <n v="1"/>
  </r>
  <r>
    <m/>
    <m/>
    <x v="1"/>
    <s v="62878804001007"/>
    <n v="-186.92"/>
    <n v="3977"/>
    <n v="1"/>
    <n v="1"/>
  </r>
  <r>
    <m/>
    <m/>
    <x v="1"/>
    <s v="62945137001003"/>
    <n v="-132.72999999999999"/>
    <n v="2824"/>
    <n v="1"/>
    <n v="1"/>
  </r>
  <r>
    <m/>
    <m/>
    <x v="1"/>
    <s v="63046648001001"/>
    <n v="-43.19"/>
    <n v="919"/>
    <n v="1"/>
    <n v="1"/>
  </r>
  <r>
    <m/>
    <m/>
    <x v="1"/>
    <s v="63172903002001"/>
    <n v="-20.21"/>
    <n v="430"/>
    <n v="1"/>
    <n v="1"/>
  </r>
  <r>
    <m/>
    <m/>
    <x v="1"/>
    <s v="63175467002001"/>
    <n v="-51.84"/>
    <n v="1103"/>
    <n v="1"/>
    <n v="1"/>
  </r>
  <r>
    <m/>
    <m/>
    <x v="1"/>
    <s v="63202392001004"/>
    <n v="-26.79"/>
    <n v="570"/>
    <n v="1"/>
    <n v="1"/>
  </r>
  <r>
    <m/>
    <m/>
    <x v="1"/>
    <s v="63254923002001"/>
    <n v="-34.5"/>
    <n v="734"/>
    <n v="1"/>
    <n v="1"/>
  </r>
  <r>
    <m/>
    <m/>
    <x v="1"/>
    <s v="63329115001002"/>
    <n v="-41.69"/>
    <n v="887"/>
    <n v="1"/>
    <n v="1"/>
  </r>
  <r>
    <m/>
    <m/>
    <x v="1"/>
    <s v="63373006001001"/>
    <n v="-82.91"/>
    <n v="1764"/>
    <n v="1"/>
    <n v="1"/>
  </r>
  <r>
    <m/>
    <m/>
    <x v="1"/>
    <s v="63432424001001"/>
    <n v="-154.68"/>
    <n v="3291"/>
    <n v="1"/>
    <n v="1"/>
  </r>
  <r>
    <m/>
    <m/>
    <x v="1"/>
    <s v="63448216001004"/>
    <n v="-83"/>
    <n v="1766"/>
    <n v="1"/>
    <n v="1"/>
  </r>
  <r>
    <m/>
    <m/>
    <x v="1"/>
    <s v="63451251001003"/>
    <n v="-53.53"/>
    <n v="1139"/>
    <n v="1"/>
    <n v="1"/>
  </r>
  <r>
    <m/>
    <m/>
    <x v="1"/>
    <s v="63465964004001"/>
    <n v="-76.47"/>
    <n v="1627"/>
    <n v="1"/>
    <n v="1"/>
  </r>
  <r>
    <m/>
    <m/>
    <x v="1"/>
    <s v="63473902002001"/>
    <n v="-81.45"/>
    <n v="1733"/>
    <n v="1"/>
    <n v="1"/>
  </r>
  <r>
    <m/>
    <m/>
    <x v="1"/>
    <s v="63569005002001"/>
    <n v="-57.34"/>
    <n v="1220"/>
    <n v="1"/>
    <n v="1"/>
  </r>
  <r>
    <m/>
    <m/>
    <x v="1"/>
    <s v="63572704001006"/>
    <n v="-49.44"/>
    <n v="1052"/>
    <n v="1"/>
    <n v="1"/>
  </r>
  <r>
    <m/>
    <m/>
    <x v="1"/>
    <s v="63697179001006"/>
    <n v="-77.88"/>
    <n v="1657"/>
    <n v="1"/>
    <n v="1"/>
  </r>
  <r>
    <m/>
    <m/>
    <x v="1"/>
    <s v="63707556001001"/>
    <n v="-102.93"/>
    <n v="2190"/>
    <n v="1"/>
    <n v="1"/>
  </r>
  <r>
    <m/>
    <m/>
    <x v="1"/>
    <s v="63730275001001"/>
    <n v="-109.23"/>
    <n v="2324"/>
    <n v="1"/>
    <n v="1"/>
  </r>
  <r>
    <m/>
    <m/>
    <x v="1"/>
    <s v="63836931001003"/>
    <n v="-58.94"/>
    <n v="1254"/>
    <n v="1"/>
    <n v="1"/>
  </r>
  <r>
    <m/>
    <m/>
    <x v="1"/>
    <s v="63889252001005"/>
    <n v="-37.369999999999997"/>
    <n v="795"/>
    <n v="1"/>
    <n v="1"/>
  </r>
  <r>
    <m/>
    <m/>
    <x v="1"/>
    <s v="63921435001001"/>
    <n v="-105.89"/>
    <n v="2253"/>
    <n v="1"/>
    <n v="1"/>
  </r>
  <r>
    <m/>
    <m/>
    <x v="1"/>
    <s v="63997968001003"/>
    <n v="-163.28"/>
    <n v="3474"/>
    <n v="2"/>
    <n v="1"/>
  </r>
  <r>
    <m/>
    <m/>
    <x v="1"/>
    <s v="64085179001001"/>
    <n v="-64.67"/>
    <n v="1376"/>
    <n v="1"/>
    <n v="1"/>
  </r>
  <r>
    <m/>
    <m/>
    <x v="1"/>
    <s v="64147708001003"/>
    <n v="-64.72"/>
    <n v="1377"/>
    <n v="1"/>
    <n v="1"/>
  </r>
  <r>
    <m/>
    <m/>
    <x v="1"/>
    <s v="64227891001003"/>
    <n v="-96.77"/>
    <n v="2059"/>
    <n v="1"/>
    <n v="1"/>
  </r>
  <r>
    <m/>
    <m/>
    <x v="1"/>
    <s v="64424188001001"/>
    <n v="-26.65"/>
    <n v="567"/>
    <n v="1"/>
    <n v="1"/>
  </r>
  <r>
    <m/>
    <m/>
    <x v="1"/>
    <s v="64509274001008"/>
    <n v="-99.64"/>
    <n v="2120"/>
    <n v="1"/>
    <n v="1"/>
  </r>
  <r>
    <m/>
    <m/>
    <x v="1"/>
    <s v="64645136001004"/>
    <n v="-72.94"/>
    <n v="1552"/>
    <n v="1"/>
    <n v="1"/>
  </r>
  <r>
    <m/>
    <m/>
    <x v="1"/>
    <s v="64744855003004"/>
    <n v="-49.4"/>
    <n v="1051"/>
    <n v="1"/>
    <n v="1"/>
  </r>
  <r>
    <m/>
    <m/>
    <x v="1"/>
    <s v="64764760001001"/>
    <n v="-55.51"/>
    <n v="1181"/>
    <n v="1"/>
    <n v="1"/>
  </r>
  <r>
    <m/>
    <m/>
    <x v="1"/>
    <s v="64815090001001"/>
    <n v="-25.43"/>
    <n v="541"/>
    <n v="1"/>
    <n v="1"/>
  </r>
  <r>
    <m/>
    <m/>
    <x v="1"/>
    <s v="64851960001004"/>
    <n v="-104.15"/>
    <n v="2216"/>
    <n v="1"/>
    <n v="1"/>
  </r>
  <r>
    <m/>
    <m/>
    <x v="1"/>
    <s v="64865434002005"/>
    <n v="-3.95"/>
    <n v="84"/>
    <n v="1"/>
    <n v="1"/>
  </r>
  <r>
    <m/>
    <m/>
    <x v="1"/>
    <s v="64941226002005"/>
    <n v="-30.27"/>
    <n v="644"/>
    <n v="1"/>
    <n v="1"/>
  </r>
  <r>
    <m/>
    <m/>
    <x v="1"/>
    <s v="64960542001012"/>
    <n v="-45.92"/>
    <n v="977"/>
    <n v="1"/>
    <n v="1"/>
  </r>
  <r>
    <m/>
    <m/>
    <x v="1"/>
    <s v="65026421001002"/>
    <n v="-15.84"/>
    <n v="337"/>
    <n v="1"/>
    <n v="1"/>
  </r>
  <r>
    <m/>
    <m/>
    <x v="1"/>
    <s v="65047530001001"/>
    <n v="-123.38"/>
    <n v="2625"/>
    <n v="1"/>
    <n v="1"/>
  </r>
  <r>
    <m/>
    <m/>
    <x v="1"/>
    <s v="65074302001001"/>
    <n v="-9.92"/>
    <n v="211"/>
    <n v="1"/>
    <n v="1"/>
  </r>
  <r>
    <m/>
    <m/>
    <x v="1"/>
    <s v="65237142002001"/>
    <n v="-88.31"/>
    <n v="1879"/>
    <n v="1"/>
    <n v="1"/>
  </r>
  <r>
    <m/>
    <m/>
    <x v="1"/>
    <s v="65369611001005"/>
    <n v="-32.76"/>
    <n v="697"/>
    <n v="1"/>
    <n v="1"/>
  </r>
  <r>
    <m/>
    <m/>
    <x v="1"/>
    <s v="65500085001007"/>
    <n v="-102.37"/>
    <n v="2178"/>
    <n v="1"/>
    <n v="1"/>
  </r>
  <r>
    <m/>
    <m/>
    <x v="1"/>
    <s v="65628483001001"/>
    <n v="-23.22"/>
    <n v="494"/>
    <n v="1"/>
    <n v="1"/>
  </r>
  <r>
    <m/>
    <m/>
    <x v="1"/>
    <s v="65698533001004"/>
    <n v="-64.53"/>
    <n v="1373"/>
    <n v="1"/>
    <n v="1"/>
  </r>
  <r>
    <m/>
    <m/>
    <x v="1"/>
    <s v="65734956001007"/>
    <n v="-113.55"/>
    <n v="2416"/>
    <n v="1"/>
    <n v="1"/>
  </r>
  <r>
    <m/>
    <m/>
    <x v="1"/>
    <s v="65773806001003"/>
    <n v="-11.28"/>
    <n v="240"/>
    <n v="1"/>
    <n v="1"/>
  </r>
  <r>
    <m/>
    <m/>
    <x v="1"/>
    <s v="65792325001003"/>
    <n v="-38.07"/>
    <n v="810"/>
    <n v="1"/>
    <n v="1"/>
  </r>
  <r>
    <m/>
    <m/>
    <x v="1"/>
    <s v="65819822001006"/>
    <n v="-90.66"/>
    <n v="1929"/>
    <n v="1"/>
    <n v="1"/>
  </r>
  <r>
    <m/>
    <m/>
    <x v="1"/>
    <s v="65839251002007"/>
    <n v="-62.18"/>
    <n v="1323"/>
    <n v="1"/>
    <n v="1"/>
  </r>
  <r>
    <m/>
    <m/>
    <x v="1"/>
    <s v="66113464003004"/>
    <n v="-35.49"/>
    <n v="755"/>
    <n v="1"/>
    <n v="1"/>
  </r>
  <r>
    <m/>
    <m/>
    <x v="1"/>
    <s v="66136740001003"/>
    <n v="-136.35"/>
    <n v="2901"/>
    <n v="1"/>
    <n v="1"/>
  </r>
  <r>
    <m/>
    <m/>
    <x v="1"/>
    <s v="66222287001001"/>
    <n v="-23.92"/>
    <n v="509"/>
    <n v="1"/>
    <n v="1"/>
  </r>
  <r>
    <m/>
    <m/>
    <x v="1"/>
    <s v="66262731001003"/>
    <n v="-58.42"/>
    <n v="1243"/>
    <n v="1"/>
    <n v="1"/>
  </r>
  <r>
    <m/>
    <m/>
    <x v="1"/>
    <s v="66274174001001"/>
    <n v="-139.44999999999999"/>
    <n v="2967"/>
    <n v="1"/>
    <n v="1"/>
  </r>
  <r>
    <m/>
    <m/>
    <x v="1"/>
    <s v="66389835001001"/>
    <n v="-26.79"/>
    <n v="570"/>
    <n v="1"/>
    <n v="1"/>
  </r>
  <r>
    <m/>
    <m/>
    <x v="1"/>
    <s v="66438713001007"/>
    <n v="-127.75"/>
    <n v="2718"/>
    <n v="1"/>
    <n v="1"/>
  </r>
  <r>
    <m/>
    <m/>
    <x v="1"/>
    <s v="66484465001002"/>
    <n v="-22.89"/>
    <n v="487"/>
    <n v="1"/>
    <n v="1"/>
  </r>
  <r>
    <m/>
    <m/>
    <x v="1"/>
    <s v="66498540001001"/>
    <n v="-19.93"/>
    <n v="424"/>
    <n v="1"/>
    <n v="1"/>
  </r>
  <r>
    <m/>
    <m/>
    <x v="1"/>
    <s v="66758040001002"/>
    <n v="-0.52"/>
    <n v="11"/>
    <n v="1"/>
    <n v="1"/>
  </r>
  <r>
    <m/>
    <m/>
    <x v="1"/>
    <s v="66793225001004"/>
    <n v="-73.739999999999995"/>
    <n v="1569"/>
    <n v="1"/>
    <n v="1"/>
  </r>
  <r>
    <m/>
    <m/>
    <x v="1"/>
    <s v="66795559006001"/>
    <n v="-52.22"/>
    <n v="1111"/>
    <n v="1"/>
    <n v="1"/>
  </r>
  <r>
    <m/>
    <m/>
    <x v="1"/>
    <s v="67012774001001"/>
    <n v="-82.3"/>
    <n v="1751"/>
    <n v="1"/>
    <n v="1"/>
  </r>
  <r>
    <m/>
    <m/>
    <x v="1"/>
    <s v="67060193001001"/>
    <n v="-70.36"/>
    <n v="1497"/>
    <n v="1"/>
    <n v="1"/>
  </r>
  <r>
    <m/>
    <m/>
    <x v="1"/>
    <s v="67204908002001"/>
    <n v="-61.24"/>
    <n v="1303"/>
    <n v="1"/>
    <n v="1"/>
  </r>
  <r>
    <m/>
    <m/>
    <x v="1"/>
    <s v="67347226001001"/>
    <n v="-40.369999999999997"/>
    <n v="859"/>
    <n v="1"/>
    <n v="1"/>
  </r>
  <r>
    <m/>
    <m/>
    <x v="1"/>
    <s v="67399952001001"/>
    <n v="-119"/>
    <n v="2532"/>
    <n v="1"/>
    <n v="1"/>
  </r>
  <r>
    <m/>
    <m/>
    <x v="1"/>
    <s v="67479940002009"/>
    <n v="-75.11"/>
    <n v="1598"/>
    <n v="1"/>
    <n v="1"/>
  </r>
  <r>
    <m/>
    <m/>
    <x v="1"/>
    <s v="67722017001004"/>
    <n v="-32.99"/>
    <n v="702"/>
    <n v="1"/>
    <n v="1"/>
  </r>
  <r>
    <m/>
    <m/>
    <x v="1"/>
    <s v="67738055001005"/>
    <n v="-45.45"/>
    <n v="967"/>
    <n v="1"/>
    <n v="1"/>
  </r>
  <r>
    <m/>
    <m/>
    <x v="1"/>
    <s v="67822527001001"/>
    <n v="-64.34"/>
    <n v="1369"/>
    <n v="1"/>
    <n v="1"/>
  </r>
  <r>
    <m/>
    <m/>
    <x v="1"/>
    <s v="67994603001003"/>
    <n v="-46.53"/>
    <n v="990"/>
    <n v="1"/>
    <n v="1"/>
  </r>
  <r>
    <m/>
    <m/>
    <x v="1"/>
    <s v="68039419001001"/>
    <n v="-61.34"/>
    <n v="1305"/>
    <n v="1"/>
    <n v="1"/>
  </r>
  <r>
    <m/>
    <m/>
    <x v="1"/>
    <s v="68101697001005"/>
    <n v="-100.44"/>
    <n v="2137"/>
    <n v="1"/>
    <n v="1"/>
  </r>
  <r>
    <m/>
    <m/>
    <x v="1"/>
    <s v="68133355002001"/>
    <n v="-52.55"/>
    <n v="1118"/>
    <n v="1"/>
    <n v="1"/>
  </r>
  <r>
    <m/>
    <m/>
    <x v="1"/>
    <s v="68146477002001"/>
    <n v="-97.01"/>
    <n v="2064"/>
    <n v="1"/>
    <n v="1"/>
  </r>
  <r>
    <m/>
    <m/>
    <x v="1"/>
    <s v="68156471001004"/>
    <n v="-49.68"/>
    <n v="1057"/>
    <n v="1"/>
    <n v="1"/>
  </r>
  <r>
    <m/>
    <m/>
    <x v="1"/>
    <s v="68221241001001"/>
    <n v="-32.1"/>
    <n v="683"/>
    <n v="1"/>
    <n v="1"/>
  </r>
  <r>
    <m/>
    <m/>
    <x v="1"/>
    <s v="68251608001001"/>
    <n v="-33.93"/>
    <n v="722"/>
    <n v="1"/>
    <n v="1"/>
  </r>
  <r>
    <m/>
    <m/>
    <x v="1"/>
    <s v="68495678001001"/>
    <n v="-50.85"/>
    <n v="1082"/>
    <n v="1"/>
    <n v="1"/>
  </r>
  <r>
    <m/>
    <m/>
    <x v="1"/>
    <s v="68540315001001"/>
    <n v="-22.56"/>
    <n v="480"/>
    <n v="1"/>
    <n v="1"/>
  </r>
  <r>
    <m/>
    <m/>
    <x v="1"/>
    <s v="68561006001001"/>
    <n v="-87.04"/>
    <n v="1852"/>
    <n v="1"/>
    <n v="1"/>
  </r>
  <r>
    <m/>
    <m/>
    <x v="1"/>
    <s v="68616474001006"/>
    <n v="-75.91"/>
    <n v="1615"/>
    <n v="1"/>
    <n v="1"/>
  </r>
  <r>
    <m/>
    <m/>
    <x v="1"/>
    <s v="68650449001007"/>
    <n v="-69.040000000000006"/>
    <n v="1469"/>
    <n v="1"/>
    <n v="1"/>
  </r>
  <r>
    <m/>
    <m/>
    <x v="1"/>
    <s v="68665924002001"/>
    <n v="-96.73"/>
    <n v="2058"/>
    <n v="1"/>
    <n v="1"/>
  </r>
  <r>
    <m/>
    <m/>
    <x v="1"/>
    <s v="68732877001001"/>
    <n v="-80.98"/>
    <n v="1723"/>
    <n v="1"/>
    <n v="1"/>
  </r>
  <r>
    <m/>
    <m/>
    <x v="1"/>
    <s v="68894705001001"/>
    <n v="-24.72"/>
    <n v="526"/>
    <n v="1"/>
    <n v="1"/>
  </r>
  <r>
    <m/>
    <m/>
    <x v="1"/>
    <s v="69135376002001"/>
    <n v="-67.59"/>
    <n v="1438"/>
    <n v="1"/>
    <n v="1"/>
  </r>
  <r>
    <m/>
    <m/>
    <x v="1"/>
    <s v="69212535001003"/>
    <n v="-88.64"/>
    <n v="1886"/>
    <n v="1"/>
    <n v="1"/>
  </r>
  <r>
    <m/>
    <m/>
    <x v="1"/>
    <s v="69340720001002"/>
    <n v="-86.39"/>
    <n v="1838"/>
    <n v="1"/>
    <n v="1"/>
  </r>
  <r>
    <m/>
    <m/>
    <x v="1"/>
    <s v="69455470001001"/>
    <n v="-72.569999999999993"/>
    <n v="1544"/>
    <n v="1"/>
    <n v="1"/>
  </r>
  <r>
    <m/>
    <m/>
    <x v="1"/>
    <s v="69726976003004"/>
    <n v="-28.25"/>
    <n v="601"/>
    <n v="1"/>
    <n v="1"/>
  </r>
  <r>
    <m/>
    <m/>
    <x v="1"/>
    <s v="69795270001001"/>
    <n v="-61.57"/>
    <n v="1310"/>
    <n v="1"/>
    <n v="1"/>
  </r>
  <r>
    <m/>
    <m/>
    <x v="1"/>
    <s v="69860350001003"/>
    <n v="-44.98"/>
    <n v="957"/>
    <n v="1"/>
    <n v="1"/>
  </r>
  <r>
    <m/>
    <m/>
    <x v="1"/>
    <s v="69869307002001"/>
    <n v="-37.04"/>
    <n v="788"/>
    <n v="1"/>
    <n v="1"/>
  </r>
  <r>
    <m/>
    <m/>
    <x v="1"/>
    <s v="69938123001005"/>
    <n v="-21.86"/>
    <n v="465"/>
    <n v="1"/>
    <n v="1"/>
  </r>
  <r>
    <m/>
    <m/>
    <x v="1"/>
    <s v="69952866001005"/>
    <n v="-6.53"/>
    <n v="139"/>
    <n v="1"/>
    <n v="1"/>
  </r>
  <r>
    <m/>
    <m/>
    <x v="1"/>
    <s v="69991566001003"/>
    <n v="-66.040000000000006"/>
    <n v="1405"/>
    <n v="1"/>
    <n v="1"/>
  </r>
  <r>
    <m/>
    <m/>
    <x v="1"/>
    <s v="70557497004001"/>
    <n v="-81.73"/>
    <n v="1739"/>
    <n v="1"/>
    <n v="1"/>
  </r>
  <r>
    <m/>
    <m/>
    <x v="1"/>
    <s v="70581364003001"/>
    <n v="-54.29"/>
    <n v="1155"/>
    <n v="1"/>
    <n v="1"/>
  </r>
  <r>
    <m/>
    <m/>
    <x v="1"/>
    <s v="70593073001001"/>
    <n v="-92.03"/>
    <n v="1958"/>
    <n v="1"/>
    <n v="1"/>
  </r>
  <r>
    <m/>
    <m/>
    <x v="1"/>
    <s v="70620955003003"/>
    <n v="-16.829999999999998"/>
    <n v="358"/>
    <n v="1"/>
    <n v="1"/>
  </r>
  <r>
    <m/>
    <m/>
    <x v="1"/>
    <s v="70655150003008"/>
    <n v="-50.9"/>
    <n v="1083"/>
    <n v="1"/>
    <n v="1"/>
  </r>
  <r>
    <m/>
    <m/>
    <x v="1"/>
    <s v="70723544001001"/>
    <n v="-77.55"/>
    <n v="1650"/>
    <n v="1"/>
    <n v="1"/>
  </r>
  <r>
    <m/>
    <m/>
    <x v="1"/>
    <s v="71067872001007"/>
    <n v="-57.15"/>
    <n v="1216"/>
    <n v="1"/>
    <n v="1"/>
  </r>
  <r>
    <m/>
    <m/>
    <x v="1"/>
    <s v="71079674002001"/>
    <n v="-80.75"/>
    <n v="1718"/>
    <n v="1"/>
    <n v="1"/>
  </r>
  <r>
    <m/>
    <m/>
    <x v="1"/>
    <s v="71196011001009"/>
    <n v="-104.43"/>
    <n v="2222"/>
    <n v="1"/>
    <n v="1"/>
  </r>
  <r>
    <m/>
    <m/>
    <x v="1"/>
    <s v="71222085003001"/>
    <n v="-52.73"/>
    <n v="1122"/>
    <n v="1"/>
    <n v="1"/>
  </r>
  <r>
    <m/>
    <m/>
    <x v="1"/>
    <s v="71297342003003"/>
    <n v="-134.41999999999999"/>
    <n v="2860"/>
    <n v="1"/>
    <n v="1"/>
  </r>
  <r>
    <m/>
    <m/>
    <x v="1"/>
    <s v="71391581006001"/>
    <n v="-165.21"/>
    <n v="3515"/>
    <n v="1"/>
    <n v="1"/>
  </r>
  <r>
    <m/>
    <m/>
    <x v="1"/>
    <s v="71502529001003"/>
    <n v="-17.34"/>
    <n v="369"/>
    <n v="1"/>
    <n v="1"/>
  </r>
  <r>
    <m/>
    <m/>
    <x v="1"/>
    <s v="71520788001007"/>
    <n v="-21.53"/>
    <n v="458"/>
    <n v="1"/>
    <n v="1"/>
  </r>
  <r>
    <m/>
    <m/>
    <x v="1"/>
    <s v="71730448002001"/>
    <n v="-17.579999999999998"/>
    <n v="374"/>
    <n v="1"/>
    <n v="1"/>
  </r>
  <r>
    <m/>
    <m/>
    <x v="1"/>
    <s v="71769014004002"/>
    <n v="-133.38999999999999"/>
    <n v="2838"/>
    <n v="1"/>
    <n v="1"/>
  </r>
  <r>
    <m/>
    <m/>
    <x v="1"/>
    <s v="71771733001003"/>
    <n v="-77.83"/>
    <n v="1656"/>
    <n v="1"/>
    <n v="1"/>
  </r>
  <r>
    <m/>
    <m/>
    <x v="1"/>
    <s v="71833276001003"/>
    <n v="-19.98"/>
    <n v="425"/>
    <n v="1"/>
    <n v="1"/>
  </r>
  <r>
    <m/>
    <m/>
    <x v="1"/>
    <s v="71897700001003"/>
    <n v="-77.97"/>
    <n v="1659"/>
    <n v="1"/>
    <n v="1"/>
  </r>
  <r>
    <m/>
    <m/>
    <x v="1"/>
    <s v="71925425001001"/>
    <n v="-58.66"/>
    <n v="1248"/>
    <n v="1"/>
    <n v="1"/>
  </r>
  <r>
    <m/>
    <m/>
    <x v="1"/>
    <s v="71997040001001"/>
    <n v="-72.430000000000007"/>
    <n v="1541"/>
    <n v="1"/>
    <n v="1"/>
  </r>
  <r>
    <m/>
    <m/>
    <x v="1"/>
    <s v="72034597001001"/>
    <n v="-107.58"/>
    <n v="2289"/>
    <n v="1"/>
    <n v="1"/>
  </r>
  <r>
    <m/>
    <m/>
    <x v="1"/>
    <s v="72074341001003"/>
    <n v="-179.31"/>
    <n v="3815"/>
    <n v="1"/>
    <n v="1"/>
  </r>
  <r>
    <m/>
    <m/>
    <x v="1"/>
    <s v="72106643001003"/>
    <n v="-146.55000000000001"/>
    <n v="3118"/>
    <n v="1"/>
    <n v="1"/>
  </r>
  <r>
    <m/>
    <m/>
    <x v="1"/>
    <s v="72129383001001"/>
    <n v="-91.51"/>
    <n v="1947"/>
    <n v="1"/>
    <n v="1"/>
  </r>
  <r>
    <m/>
    <m/>
    <x v="1"/>
    <s v="72174875001001"/>
    <n v="-52.92"/>
    <n v="1126"/>
    <n v="1"/>
    <n v="1"/>
  </r>
  <r>
    <m/>
    <m/>
    <x v="1"/>
    <s v="72209762001002"/>
    <n v="-15.23"/>
    <n v="324"/>
    <n v="1"/>
    <n v="1"/>
  </r>
  <r>
    <m/>
    <m/>
    <x v="1"/>
    <s v="72237773002003"/>
    <n v="-56.73"/>
    <n v="1207"/>
    <n v="1"/>
    <n v="1"/>
  </r>
  <r>
    <m/>
    <m/>
    <x v="1"/>
    <s v="72276334001008"/>
    <n v="-107.82"/>
    <n v="2294"/>
    <n v="1"/>
    <n v="1"/>
  </r>
  <r>
    <m/>
    <m/>
    <x v="1"/>
    <s v="72339786001001"/>
    <n v="-61.85"/>
    <n v="1316"/>
    <n v="1"/>
    <n v="1"/>
  </r>
  <r>
    <m/>
    <m/>
    <x v="1"/>
    <s v="72349625001002"/>
    <n v="-16.690000000000001"/>
    <n v="355"/>
    <n v="1"/>
    <n v="1"/>
  </r>
  <r>
    <m/>
    <m/>
    <x v="1"/>
    <s v="72480056001001"/>
    <n v="-16.260000000000002"/>
    <n v="346"/>
    <n v="1"/>
    <n v="1"/>
  </r>
  <r>
    <m/>
    <m/>
    <x v="1"/>
    <s v="72489193001001"/>
    <n v="-110.07"/>
    <n v="2342"/>
    <n v="1"/>
    <n v="1"/>
  </r>
  <r>
    <m/>
    <m/>
    <x v="1"/>
    <s v="72521223001005"/>
    <n v="-25.43"/>
    <n v="541"/>
    <n v="1"/>
    <n v="1"/>
  </r>
  <r>
    <m/>
    <m/>
    <x v="1"/>
    <s v="72668251001001"/>
    <n v="-96.26"/>
    <n v="2048"/>
    <n v="1"/>
    <n v="1"/>
  </r>
  <r>
    <m/>
    <m/>
    <x v="1"/>
    <s v="72693737001001"/>
    <n v="-147.35"/>
    <n v="3135"/>
    <n v="1"/>
    <n v="1"/>
  </r>
  <r>
    <m/>
    <m/>
    <x v="1"/>
    <s v="72779015001004"/>
    <n v="-137.38"/>
    <n v="2923"/>
    <n v="1"/>
    <n v="1"/>
  </r>
  <r>
    <m/>
    <m/>
    <x v="1"/>
    <s v="72993733003001"/>
    <n v="-72.33"/>
    <n v="1539"/>
    <n v="1"/>
    <n v="1"/>
  </r>
  <r>
    <m/>
    <m/>
    <x v="1"/>
    <s v="73047819001006"/>
    <n v="-51.7"/>
    <n v="1100"/>
    <n v="1"/>
    <n v="1"/>
  </r>
  <r>
    <m/>
    <m/>
    <x v="1"/>
    <s v="73073162002001"/>
    <n v="-20.16"/>
    <n v="429"/>
    <n v="1"/>
    <n v="1"/>
  </r>
  <r>
    <m/>
    <m/>
    <x v="1"/>
    <s v="73088070001002"/>
    <n v="-46.86"/>
    <n v="997"/>
    <n v="1"/>
    <n v="1"/>
  </r>
  <r>
    <m/>
    <m/>
    <x v="1"/>
    <s v="73099039001001"/>
    <n v="-37.369999999999997"/>
    <n v="795"/>
    <n v="1"/>
    <n v="1"/>
  </r>
  <r>
    <m/>
    <m/>
    <x v="1"/>
    <s v="73108651001003"/>
    <n v="-16.829999999999998"/>
    <n v="358"/>
    <n v="1"/>
    <n v="1"/>
  </r>
  <r>
    <m/>
    <m/>
    <x v="1"/>
    <s v="73173555001001"/>
    <n v="-133.94999999999999"/>
    <n v="2850"/>
    <n v="1"/>
    <n v="1"/>
  </r>
  <r>
    <m/>
    <m/>
    <x v="1"/>
    <s v="73183610001001"/>
    <n v="-49.07"/>
    <n v="1044"/>
    <n v="1"/>
    <n v="1"/>
  </r>
  <r>
    <m/>
    <m/>
    <x v="1"/>
    <s v="73477303001005"/>
    <n v="-31.77"/>
    <n v="676"/>
    <n v="1"/>
    <n v="1"/>
  </r>
  <r>
    <m/>
    <m/>
    <x v="1"/>
    <s v="73487230001001"/>
    <n v="-69.98"/>
    <n v="1489"/>
    <n v="1"/>
    <n v="1"/>
  </r>
  <r>
    <m/>
    <m/>
    <x v="1"/>
    <s v="73571632001001"/>
    <n v="-63.59"/>
    <n v="1353"/>
    <n v="1"/>
    <n v="1"/>
  </r>
  <r>
    <m/>
    <m/>
    <x v="1"/>
    <s v="73591467001002"/>
    <n v="-67.63"/>
    <n v="1439"/>
    <n v="1"/>
    <n v="1"/>
  </r>
  <r>
    <m/>
    <m/>
    <x v="1"/>
    <s v="73605650001001"/>
    <n v="-27.17"/>
    <n v="578"/>
    <n v="1"/>
    <n v="1"/>
  </r>
  <r>
    <m/>
    <m/>
    <x v="1"/>
    <s v="73774640001002"/>
    <n v="-98.18"/>
    <n v="2089"/>
    <n v="1"/>
    <n v="1"/>
  </r>
  <r>
    <m/>
    <m/>
    <x v="1"/>
    <s v="73873764003003"/>
    <n v="-10.06"/>
    <n v="214"/>
    <n v="1"/>
    <n v="1"/>
  </r>
  <r>
    <m/>
    <m/>
    <x v="1"/>
    <s v="74039552001001"/>
    <n v="-52.22"/>
    <n v="1111"/>
    <n v="1"/>
    <n v="1"/>
  </r>
  <r>
    <m/>
    <m/>
    <x v="1"/>
    <s v="74055933001001"/>
    <n v="-193.41"/>
    <n v="4115"/>
    <n v="1"/>
    <n v="1"/>
  </r>
  <r>
    <m/>
    <m/>
    <x v="1"/>
    <s v="74197454001001"/>
    <n v="-36.85"/>
    <n v="784"/>
    <n v="1"/>
    <n v="1"/>
  </r>
  <r>
    <m/>
    <m/>
    <x v="1"/>
    <s v="74242350003001"/>
    <n v="-75.39"/>
    <n v="1604"/>
    <n v="1"/>
    <n v="1"/>
  </r>
  <r>
    <m/>
    <m/>
    <x v="1"/>
    <s v="74322803001001"/>
    <n v="-93.44"/>
    <n v="1988"/>
    <n v="1"/>
    <n v="1"/>
  </r>
  <r>
    <m/>
    <m/>
    <x v="1"/>
    <s v="74325215001001"/>
    <n v="-50.71"/>
    <n v="1079"/>
    <n v="1"/>
    <n v="1"/>
  </r>
  <r>
    <m/>
    <m/>
    <x v="1"/>
    <s v="74386329001002"/>
    <n v="-85.87"/>
    <n v="1827"/>
    <n v="1"/>
    <n v="1"/>
  </r>
  <r>
    <m/>
    <m/>
    <x v="1"/>
    <s v="74440719001001"/>
    <n v="-62.18"/>
    <n v="1323"/>
    <n v="1"/>
    <n v="1"/>
  </r>
  <r>
    <m/>
    <m/>
    <x v="1"/>
    <s v="74467874001005"/>
    <n v="-30.17"/>
    <n v="642"/>
    <n v="1"/>
    <n v="1"/>
  </r>
  <r>
    <m/>
    <m/>
    <x v="1"/>
    <s v="74480128001001"/>
    <n v="-33.32"/>
    <n v="709"/>
    <n v="1"/>
    <n v="1"/>
  </r>
  <r>
    <m/>
    <m/>
    <x v="1"/>
    <s v="74658967001003"/>
    <n v="-22.51"/>
    <n v="479"/>
    <n v="1"/>
    <n v="1"/>
  </r>
  <r>
    <m/>
    <m/>
    <x v="1"/>
    <s v="74795520002001"/>
    <n v="-43.01"/>
    <n v="915"/>
    <n v="1"/>
    <n v="1"/>
  </r>
  <r>
    <m/>
    <m/>
    <x v="1"/>
    <s v="74802804001001"/>
    <n v="-65.19"/>
    <n v="1387"/>
    <n v="1"/>
    <n v="1"/>
  </r>
  <r>
    <m/>
    <m/>
    <x v="1"/>
    <s v="74871464002006"/>
    <n v="-34.78"/>
    <n v="740"/>
    <n v="1"/>
    <n v="1"/>
  </r>
  <r>
    <m/>
    <m/>
    <x v="1"/>
    <s v="74897585001003"/>
    <n v="-48.93"/>
    <n v="1041"/>
    <n v="1"/>
    <n v="1"/>
  </r>
  <r>
    <m/>
    <m/>
    <x v="1"/>
    <s v="74916061001001"/>
    <n v="-105.05"/>
    <n v="2235"/>
    <n v="1"/>
    <n v="1"/>
  </r>
  <r>
    <m/>
    <m/>
    <x v="1"/>
    <s v="74921730001003"/>
    <n v="-66.739999999999995"/>
    <n v="1420"/>
    <n v="1"/>
    <n v="1"/>
  </r>
  <r>
    <m/>
    <m/>
    <x v="1"/>
    <s v="75149375001006"/>
    <n v="-48.18"/>
    <n v="1025"/>
    <n v="1"/>
    <n v="1"/>
  </r>
  <r>
    <m/>
    <m/>
    <x v="1"/>
    <s v="75290016001010"/>
    <n v="-53.44"/>
    <n v="1137"/>
    <n v="1"/>
    <n v="1"/>
  </r>
  <r>
    <m/>
    <m/>
    <x v="1"/>
    <s v="75431172001001"/>
    <n v="-26.56"/>
    <n v="565"/>
    <n v="1"/>
    <n v="1"/>
  </r>
  <r>
    <m/>
    <m/>
    <x v="1"/>
    <s v="75436572002003"/>
    <n v="-38.78"/>
    <n v="825"/>
    <n v="1"/>
    <n v="1"/>
  </r>
  <r>
    <m/>
    <m/>
    <x v="1"/>
    <s v="75470988001001"/>
    <n v="-94.56"/>
    <n v="2012"/>
    <n v="1"/>
    <n v="1"/>
  </r>
  <r>
    <m/>
    <m/>
    <x v="1"/>
    <s v="75539286001003"/>
    <n v="-53.06"/>
    <n v="1129"/>
    <n v="1"/>
    <n v="1"/>
  </r>
  <r>
    <m/>
    <m/>
    <x v="1"/>
    <s v="75599421001001"/>
    <n v="-88.08"/>
    <n v="1874"/>
    <n v="1"/>
    <n v="1"/>
  </r>
  <r>
    <m/>
    <m/>
    <x v="1"/>
    <s v="75656650001006"/>
    <n v="-98.37"/>
    <n v="2093"/>
    <n v="1"/>
    <n v="1"/>
  </r>
  <r>
    <m/>
    <m/>
    <x v="1"/>
    <s v="75758051001005"/>
    <n v="-32.15"/>
    <n v="684"/>
    <n v="1"/>
    <n v="1"/>
  </r>
  <r>
    <m/>
    <m/>
    <x v="1"/>
    <s v="75764971002001"/>
    <n v="-11.66"/>
    <n v="248"/>
    <n v="1"/>
    <n v="1"/>
  </r>
  <r>
    <m/>
    <m/>
    <x v="1"/>
    <s v="75795046001003"/>
    <n v="-76.23"/>
    <n v="1622"/>
    <n v="1"/>
    <n v="1"/>
  </r>
  <r>
    <m/>
    <m/>
    <x v="1"/>
    <s v="76010246001001"/>
    <n v="-41.97"/>
    <n v="893"/>
    <n v="1"/>
    <n v="1"/>
  </r>
  <r>
    <m/>
    <m/>
    <x v="1"/>
    <s v="76126934004001"/>
    <n v="-42.58"/>
    <n v="906"/>
    <n v="1"/>
    <n v="1"/>
  </r>
  <r>
    <m/>
    <m/>
    <x v="1"/>
    <s v="76165932001001"/>
    <n v="-9.9600000000000009"/>
    <n v="212"/>
    <n v="1"/>
    <n v="1"/>
  </r>
  <r>
    <m/>
    <m/>
    <x v="1"/>
    <s v="76205410001002"/>
    <n v="-87.56"/>
    <n v="1863"/>
    <n v="1"/>
    <n v="1"/>
  </r>
  <r>
    <m/>
    <m/>
    <x v="1"/>
    <s v="76321169001002"/>
    <n v="-39.39"/>
    <n v="838"/>
    <n v="1"/>
    <n v="1"/>
  </r>
  <r>
    <m/>
    <m/>
    <x v="1"/>
    <s v="76608992001003"/>
    <n v="-47.94"/>
    <n v="1020"/>
    <n v="1"/>
    <n v="1"/>
  </r>
  <r>
    <m/>
    <m/>
    <x v="1"/>
    <s v="76757615001002"/>
    <n v="-24.63"/>
    <n v="524"/>
    <n v="1"/>
    <n v="1"/>
  </r>
  <r>
    <m/>
    <m/>
    <x v="1"/>
    <s v="76840100001001"/>
    <n v="-110.97"/>
    <n v="2361"/>
    <n v="1"/>
    <n v="1"/>
  </r>
  <r>
    <m/>
    <m/>
    <x v="1"/>
    <s v="76878521001001"/>
    <n v="-18.8"/>
    <n v="400"/>
    <n v="1"/>
    <n v="1"/>
  </r>
  <r>
    <m/>
    <m/>
    <x v="1"/>
    <s v="76903196001004"/>
    <n v="-96.35"/>
    <n v="2050"/>
    <n v="1"/>
    <n v="1"/>
  </r>
  <r>
    <m/>
    <m/>
    <x v="1"/>
    <s v="76944469001001"/>
    <n v="-94.05"/>
    <n v="2001"/>
    <n v="1"/>
    <n v="1"/>
  </r>
  <r>
    <m/>
    <m/>
    <x v="1"/>
    <s v="77007576001003"/>
    <n v="-95.65"/>
    <n v="2035"/>
    <n v="1"/>
    <n v="1"/>
  </r>
  <r>
    <m/>
    <m/>
    <x v="1"/>
    <s v="77098046002002"/>
    <n v="-51"/>
    <n v="1085"/>
    <n v="1"/>
    <n v="1"/>
  </r>
  <r>
    <m/>
    <m/>
    <x v="1"/>
    <s v="77501830002003"/>
    <n v="-47.52"/>
    <n v="1011"/>
    <n v="1"/>
    <n v="1"/>
  </r>
  <r>
    <m/>
    <m/>
    <x v="1"/>
    <s v="77524629001001"/>
    <n v="-55.23"/>
    <n v="1175"/>
    <n v="1"/>
    <n v="1"/>
  </r>
  <r>
    <m/>
    <m/>
    <x v="1"/>
    <s v="77671725001005"/>
    <n v="-30.69"/>
    <n v="653"/>
    <n v="1"/>
    <n v="1"/>
  </r>
  <r>
    <m/>
    <m/>
    <x v="1"/>
    <s v="77909473002001"/>
    <n v="-177.9"/>
    <n v="3785"/>
    <n v="1"/>
    <n v="1"/>
  </r>
  <r>
    <m/>
    <m/>
    <x v="1"/>
    <s v="77965715001003"/>
    <n v="-45.17"/>
    <n v="961"/>
    <n v="1"/>
    <n v="1"/>
  </r>
  <r>
    <m/>
    <m/>
    <x v="1"/>
    <s v="77965745001001"/>
    <n v="-57.95"/>
    <n v="1233"/>
    <n v="1"/>
    <n v="1"/>
  </r>
  <r>
    <m/>
    <m/>
    <x v="1"/>
    <s v="78062825001003"/>
    <n v="-148.43"/>
    <n v="3158"/>
    <n v="1"/>
    <n v="1"/>
  </r>
  <r>
    <m/>
    <m/>
    <x v="1"/>
    <s v="78192804001002"/>
    <n v="-25.19"/>
    <n v="536"/>
    <n v="1"/>
    <n v="1"/>
  </r>
  <r>
    <m/>
    <m/>
    <x v="1"/>
    <s v="78363739001001"/>
    <n v="-93.44"/>
    <n v="1988"/>
    <n v="1"/>
    <n v="1"/>
  </r>
  <r>
    <m/>
    <m/>
    <x v="1"/>
    <s v="78933573001002"/>
    <n v="-126.01"/>
    <n v="2681"/>
    <n v="1"/>
    <n v="1"/>
  </r>
  <r>
    <m/>
    <m/>
    <x v="1"/>
    <s v="79229022001003"/>
    <n v="-66.180000000000007"/>
    <n v="1408"/>
    <n v="1"/>
    <n v="1"/>
  </r>
  <r>
    <m/>
    <m/>
    <x v="1"/>
    <s v="79283500001002"/>
    <n v="-103.82"/>
    <n v="2209"/>
    <n v="1"/>
    <n v="1"/>
  </r>
  <r>
    <m/>
    <m/>
    <x v="1"/>
    <s v="79306812001001"/>
    <n v="-97.62"/>
    <n v="2077"/>
    <n v="1"/>
    <n v="1"/>
  </r>
  <r>
    <m/>
    <m/>
    <x v="1"/>
    <s v="79636940001003"/>
    <n v="-77.69"/>
    <n v="1653"/>
    <n v="1"/>
    <n v="1"/>
  </r>
  <r>
    <m/>
    <m/>
    <x v="1"/>
    <s v="79770536002001"/>
    <n v="-205.44"/>
    <n v="4371"/>
    <n v="1"/>
    <n v="1"/>
  </r>
  <r>
    <m/>
    <m/>
    <x v="1"/>
    <s v="79932201001006"/>
    <n v="-65.849999999999994"/>
    <n v="1401"/>
    <n v="1"/>
    <n v="1"/>
  </r>
  <r>
    <m/>
    <m/>
    <x v="1"/>
    <s v="80001757001001"/>
    <n v="-82.25"/>
    <n v="1750"/>
    <n v="1"/>
    <n v="1"/>
  </r>
  <r>
    <m/>
    <m/>
    <x v="1"/>
    <s v="80408871001009"/>
    <n v="-43.24"/>
    <n v="920"/>
    <n v="1"/>
    <n v="1"/>
  </r>
  <r>
    <m/>
    <m/>
    <x v="1"/>
    <s v="80538341001002"/>
    <n v="-81.69"/>
    <n v="1738"/>
    <n v="1"/>
    <n v="1"/>
  </r>
  <r>
    <m/>
    <m/>
    <x v="1"/>
    <s v="80550984001003"/>
    <n v="-116.23"/>
    <n v="2473"/>
    <n v="1"/>
    <n v="1"/>
  </r>
  <r>
    <m/>
    <m/>
    <x v="1"/>
    <s v="80745052001006"/>
    <n v="-15.04"/>
    <n v="320"/>
    <n v="1"/>
    <n v="1"/>
  </r>
  <r>
    <m/>
    <m/>
    <x v="1"/>
    <s v="80918426001002"/>
    <n v="-85.16"/>
    <n v="1812"/>
    <n v="1"/>
    <n v="1"/>
  </r>
  <r>
    <m/>
    <m/>
    <x v="1"/>
    <s v="80961881001005"/>
    <n v="-57.39"/>
    <n v="1221"/>
    <n v="1"/>
    <n v="1"/>
  </r>
  <r>
    <m/>
    <m/>
    <x v="1"/>
    <s v="81092601001003"/>
    <n v="-110.25999999999999"/>
    <n v="2346"/>
    <n v="2"/>
    <n v="1"/>
  </r>
  <r>
    <m/>
    <m/>
    <x v="1"/>
    <s v="81498585001003"/>
    <n v="-17.95"/>
    <n v="382"/>
    <n v="1"/>
    <n v="1"/>
  </r>
  <r>
    <m/>
    <m/>
    <x v="1"/>
    <s v="81500226001001"/>
    <n v="-88.41"/>
    <n v="1881"/>
    <n v="1"/>
    <n v="1"/>
  </r>
  <r>
    <m/>
    <m/>
    <x v="1"/>
    <s v="81762889001004"/>
    <n v="-37.74"/>
    <n v="803"/>
    <n v="1"/>
    <n v="1"/>
  </r>
  <r>
    <m/>
    <m/>
    <x v="1"/>
    <s v="81793572001001"/>
    <n v="-15.13"/>
    <n v="322"/>
    <n v="1"/>
    <n v="1"/>
  </r>
  <r>
    <m/>
    <m/>
    <x v="1"/>
    <s v="81796976001002"/>
    <n v="-1.08"/>
    <n v="23"/>
    <n v="1"/>
    <n v="1"/>
  </r>
  <r>
    <m/>
    <m/>
    <x v="1"/>
    <s v="81908653002007"/>
    <n v="-91.65"/>
    <n v="1950"/>
    <n v="1"/>
    <n v="1"/>
  </r>
  <r>
    <m/>
    <m/>
    <x v="1"/>
    <s v="81918244001001"/>
    <n v="-90.05"/>
    <n v="1916"/>
    <n v="1"/>
    <n v="1"/>
  </r>
  <r>
    <m/>
    <m/>
    <x v="1"/>
    <s v="81944374001004"/>
    <n v="-73.84"/>
    <n v="1571"/>
    <n v="1"/>
    <n v="1"/>
  </r>
  <r>
    <m/>
    <m/>
    <x v="1"/>
    <s v="81978497001001"/>
    <n v="-12.03"/>
    <n v="256"/>
    <n v="1"/>
    <n v="1"/>
  </r>
  <r>
    <m/>
    <m/>
    <x v="1"/>
    <s v="82041298001001"/>
    <n v="-80.37"/>
    <n v="1710"/>
    <n v="1"/>
    <n v="1"/>
  </r>
  <r>
    <m/>
    <m/>
    <x v="1"/>
    <s v="82204885001007"/>
    <n v="-56.54"/>
    <n v="1203"/>
    <n v="1"/>
    <n v="1"/>
  </r>
  <r>
    <m/>
    <m/>
    <x v="1"/>
    <s v="82239948003003"/>
    <n v="-99.03"/>
    <n v="2107"/>
    <n v="1"/>
    <n v="1"/>
  </r>
  <r>
    <m/>
    <m/>
    <x v="1"/>
    <s v="82297163001001"/>
    <n v="-37.69"/>
    <n v="802"/>
    <n v="1"/>
    <n v="1"/>
  </r>
  <r>
    <m/>
    <m/>
    <x v="1"/>
    <s v="82410167001001"/>
    <n v="-1.88"/>
    <n v="40"/>
    <n v="1"/>
    <n v="1"/>
  </r>
  <r>
    <m/>
    <m/>
    <x v="1"/>
    <s v="82551362001003"/>
    <n v="-60.82"/>
    <n v="1294"/>
    <n v="1"/>
    <n v="1"/>
  </r>
  <r>
    <m/>
    <m/>
    <x v="1"/>
    <s v="82738895001002"/>
    <n v="-121.21"/>
    <n v="2579"/>
    <n v="1"/>
    <n v="1"/>
  </r>
  <r>
    <m/>
    <m/>
    <x v="1"/>
    <s v="82742339002001"/>
    <n v="-138.69999999999999"/>
    <n v="2951"/>
    <n v="1"/>
    <n v="1"/>
  </r>
  <r>
    <m/>
    <m/>
    <x v="1"/>
    <s v="82908452001002"/>
    <n v="-25.47"/>
    <n v="542"/>
    <n v="1"/>
    <n v="1"/>
  </r>
  <r>
    <m/>
    <m/>
    <x v="1"/>
    <s v="82956544001001"/>
    <n v="-24.53"/>
    <n v="522"/>
    <n v="1"/>
    <n v="1"/>
  </r>
  <r>
    <m/>
    <m/>
    <x v="1"/>
    <s v="83009929002001"/>
    <n v="-151.01"/>
    <n v="3213"/>
    <n v="1"/>
    <n v="1"/>
  </r>
  <r>
    <m/>
    <m/>
    <x v="1"/>
    <s v="83293149001005"/>
    <n v="-91.6"/>
    <n v="1949"/>
    <n v="1"/>
    <n v="1"/>
  </r>
  <r>
    <m/>
    <m/>
    <x v="1"/>
    <s v="83316320002001"/>
    <n v="-67.77"/>
    <n v="1442"/>
    <n v="1"/>
    <n v="1"/>
  </r>
  <r>
    <m/>
    <m/>
    <x v="1"/>
    <s v="83336149003004"/>
    <n v="-14.1"/>
    <n v="300"/>
    <n v="1"/>
    <n v="1"/>
  </r>
  <r>
    <m/>
    <m/>
    <x v="1"/>
    <s v="83341239005003"/>
    <n v="-25.85"/>
    <n v="550"/>
    <n v="1"/>
    <n v="1"/>
  </r>
  <r>
    <m/>
    <m/>
    <x v="1"/>
    <s v="83403016001001"/>
    <n v="-119.52"/>
    <n v="2543"/>
    <n v="1"/>
    <n v="1"/>
  </r>
  <r>
    <m/>
    <m/>
    <x v="1"/>
    <s v="83532056001002"/>
    <n v="-32.520000000000003"/>
    <n v="692"/>
    <n v="1"/>
    <n v="1"/>
  </r>
  <r>
    <m/>
    <m/>
    <x v="1"/>
    <s v="83534984001009"/>
    <n v="-36.57"/>
    <n v="778"/>
    <n v="1"/>
    <n v="1"/>
  </r>
  <r>
    <m/>
    <m/>
    <x v="1"/>
    <s v="83665512001001"/>
    <n v="-108.29"/>
    <n v="2304"/>
    <n v="1"/>
    <n v="1"/>
  </r>
  <r>
    <m/>
    <m/>
    <x v="1"/>
    <s v="83899589001009"/>
    <n v="-39.57"/>
    <n v="842"/>
    <n v="1"/>
    <n v="1"/>
  </r>
  <r>
    <m/>
    <m/>
    <x v="1"/>
    <s v="83974744002001"/>
    <n v="-46.44"/>
    <n v="988"/>
    <n v="1"/>
    <n v="1"/>
  </r>
  <r>
    <m/>
    <m/>
    <x v="1"/>
    <s v="83985151001001"/>
    <n v="-66.599999999999994"/>
    <n v="1417"/>
    <n v="1"/>
    <n v="1"/>
  </r>
  <r>
    <m/>
    <m/>
    <x v="1"/>
    <s v="84058371001003"/>
    <n v="-76.38"/>
    <n v="1625"/>
    <n v="1"/>
    <n v="1"/>
  </r>
  <r>
    <m/>
    <m/>
    <x v="1"/>
    <s v="84074572001005"/>
    <n v="-34.97"/>
    <n v="744"/>
    <n v="1"/>
    <n v="1"/>
  </r>
  <r>
    <m/>
    <m/>
    <x v="1"/>
    <s v="84108570003003"/>
    <n v="-48.5"/>
    <n v="1032"/>
    <n v="1"/>
    <n v="1"/>
  </r>
  <r>
    <m/>
    <m/>
    <x v="1"/>
    <s v="84171103003001"/>
    <n v="-141.94"/>
    <n v="3020"/>
    <n v="1"/>
    <n v="1"/>
  </r>
  <r>
    <m/>
    <m/>
    <x v="1"/>
    <s v="84172805003003"/>
    <n v="-3.43"/>
    <n v="73"/>
    <n v="1"/>
    <n v="1"/>
  </r>
  <r>
    <m/>
    <m/>
    <x v="1"/>
    <s v="84505506001001"/>
    <n v="-17.72"/>
    <n v="377"/>
    <n v="1"/>
    <n v="1"/>
  </r>
  <r>
    <m/>
    <m/>
    <x v="1"/>
    <s v="84892204001006"/>
    <n v="-60.54"/>
    <n v="1288"/>
    <n v="1"/>
    <n v="1"/>
  </r>
  <r>
    <m/>
    <m/>
    <x v="1"/>
    <s v="84968906001001"/>
    <n v="-27.5"/>
    <n v="585"/>
    <n v="1"/>
    <n v="1"/>
  </r>
  <r>
    <m/>
    <m/>
    <x v="1"/>
    <s v="85026024001001"/>
    <n v="-49.12"/>
    <n v="1045"/>
    <n v="1"/>
    <n v="1"/>
  </r>
  <r>
    <m/>
    <m/>
    <x v="1"/>
    <s v="85036880003001"/>
    <n v="-28.29"/>
    <n v="602"/>
    <n v="1"/>
    <n v="1"/>
  </r>
  <r>
    <m/>
    <m/>
    <x v="1"/>
    <s v="85177812001001"/>
    <n v="-16.59"/>
    <n v="353"/>
    <n v="1"/>
    <n v="1"/>
  </r>
  <r>
    <m/>
    <m/>
    <x v="1"/>
    <s v="85191255001001"/>
    <n v="-42.21"/>
    <n v="898"/>
    <n v="1"/>
    <n v="1"/>
  </r>
  <r>
    <m/>
    <m/>
    <x v="1"/>
    <s v="85220903001001"/>
    <n v="-22.89"/>
    <n v="487"/>
    <n v="1"/>
    <n v="1"/>
  </r>
  <r>
    <m/>
    <m/>
    <x v="1"/>
    <s v="85292110001006"/>
    <n v="-86.53"/>
    <n v="1841"/>
    <n v="1"/>
    <n v="1"/>
  </r>
  <r>
    <m/>
    <m/>
    <x v="1"/>
    <s v="85307300001016"/>
    <n v="-119"/>
    <n v="2532"/>
    <n v="1"/>
    <n v="1"/>
  </r>
  <r>
    <m/>
    <m/>
    <x v="1"/>
    <s v="85313155001006"/>
    <n v="-52.83"/>
    <n v="1124"/>
    <n v="1"/>
    <n v="1"/>
  </r>
  <r>
    <m/>
    <m/>
    <x v="1"/>
    <s v="85361201001008"/>
    <n v="-53.53"/>
    <n v="1139"/>
    <n v="1"/>
    <n v="1"/>
  </r>
  <r>
    <m/>
    <m/>
    <x v="1"/>
    <s v="85368082001007"/>
    <n v="-62.28"/>
    <n v="1325"/>
    <n v="1"/>
    <n v="1"/>
  </r>
  <r>
    <m/>
    <m/>
    <x v="1"/>
    <s v="85443154001001"/>
    <n v="-92.4"/>
    <n v="1966"/>
    <n v="1"/>
    <n v="1"/>
  </r>
  <r>
    <m/>
    <m/>
    <x v="1"/>
    <s v="85593168001001"/>
    <n v="-111.3"/>
    <n v="2368"/>
    <n v="1"/>
    <n v="1"/>
  </r>
  <r>
    <m/>
    <m/>
    <x v="1"/>
    <s v="85637636001001"/>
    <n v="-5.36"/>
    <n v="114"/>
    <n v="1"/>
    <n v="1"/>
  </r>
  <r>
    <m/>
    <m/>
    <x v="1"/>
    <s v="85645329001001"/>
    <n v="-24.44"/>
    <n v="520"/>
    <n v="1"/>
    <n v="1"/>
  </r>
  <r>
    <m/>
    <m/>
    <x v="1"/>
    <s v="85655171001003"/>
    <n v="-31.82"/>
    <n v="677"/>
    <n v="1"/>
    <n v="1"/>
  </r>
  <r>
    <m/>
    <m/>
    <x v="1"/>
    <s v="85663723001011"/>
    <n v="-92.83"/>
    <n v="1975"/>
    <n v="1"/>
    <n v="1"/>
  </r>
  <r>
    <m/>
    <m/>
    <x v="1"/>
    <s v="85697603001001"/>
    <n v="-53.72"/>
    <n v="1143"/>
    <n v="1"/>
    <n v="1"/>
  </r>
  <r>
    <m/>
    <m/>
    <x v="1"/>
    <s v="86044117001001"/>
    <n v="-91.65"/>
    <n v="1950"/>
    <n v="1"/>
    <n v="1"/>
  </r>
  <r>
    <m/>
    <m/>
    <x v="1"/>
    <s v="86128730001003"/>
    <n v="-36.659999999999997"/>
    <n v="780"/>
    <n v="1"/>
    <n v="1"/>
  </r>
  <r>
    <m/>
    <m/>
    <x v="1"/>
    <s v="86334355001003"/>
    <n v="-15.79"/>
    <n v="336"/>
    <n v="1"/>
    <n v="1"/>
  </r>
  <r>
    <m/>
    <m/>
    <x v="1"/>
    <s v="86403014001001"/>
    <n v="-119.85"/>
    <n v="2550"/>
    <n v="1"/>
    <n v="1"/>
  </r>
  <r>
    <m/>
    <m/>
    <x v="1"/>
    <s v="86437804001005"/>
    <n v="-28.81"/>
    <n v="613"/>
    <n v="1"/>
    <n v="1"/>
  </r>
  <r>
    <m/>
    <m/>
    <x v="1"/>
    <s v="86530686001001"/>
    <n v="-110.07"/>
    <n v="2342"/>
    <n v="1"/>
    <n v="1"/>
  </r>
  <r>
    <m/>
    <m/>
    <x v="1"/>
    <s v="86678365001001"/>
    <n v="-7.57"/>
    <n v="161"/>
    <n v="1"/>
    <n v="1"/>
  </r>
  <r>
    <m/>
    <m/>
    <x v="1"/>
    <s v="86694899002003"/>
    <n v="-96.63"/>
    <n v="2056"/>
    <n v="1"/>
    <n v="1"/>
  </r>
  <r>
    <m/>
    <m/>
    <x v="1"/>
    <s v="86709161001013"/>
    <n v="-49.49"/>
    <n v="1053"/>
    <n v="1"/>
    <n v="1"/>
  </r>
  <r>
    <m/>
    <m/>
    <x v="1"/>
    <s v="86983732001001"/>
    <n v="-119.19"/>
    <n v="2536"/>
    <n v="1"/>
    <n v="1"/>
  </r>
  <r>
    <m/>
    <m/>
    <x v="1"/>
    <s v="86997021001001"/>
    <n v="-58.28"/>
    <n v="1240"/>
    <n v="1"/>
    <n v="1"/>
  </r>
  <r>
    <m/>
    <m/>
    <x v="1"/>
    <s v="87014077001006"/>
    <n v="-78.260000000000005"/>
    <n v="1665"/>
    <n v="1"/>
    <n v="1"/>
  </r>
  <r>
    <m/>
    <m/>
    <x v="1"/>
    <s v="87059621002001"/>
    <n v="-75.06"/>
    <n v="1597"/>
    <n v="1"/>
    <n v="1"/>
  </r>
  <r>
    <m/>
    <m/>
    <x v="1"/>
    <s v="87070925001002"/>
    <n v="-57.34"/>
    <n v="1220"/>
    <n v="1"/>
    <n v="1"/>
  </r>
  <r>
    <m/>
    <m/>
    <x v="1"/>
    <s v="87153686004001"/>
    <n v="-64.95"/>
    <n v="1382"/>
    <n v="1"/>
    <n v="1"/>
  </r>
  <r>
    <m/>
    <m/>
    <x v="1"/>
    <s v="87236238001001"/>
    <n v="-106.03"/>
    <n v="2256"/>
    <n v="1"/>
    <n v="1"/>
  </r>
  <r>
    <m/>
    <m/>
    <x v="1"/>
    <s v="87298950001009"/>
    <n v="-29.38"/>
    <n v="625"/>
    <n v="1"/>
    <n v="1"/>
  </r>
  <r>
    <m/>
    <m/>
    <x v="1"/>
    <s v="87361385001003"/>
    <n v="-96.91"/>
    <n v="2062"/>
    <n v="1"/>
    <n v="1"/>
  </r>
  <r>
    <m/>
    <m/>
    <x v="1"/>
    <s v="87544588001002"/>
    <n v="-26.09"/>
    <n v="555"/>
    <n v="1"/>
    <n v="1"/>
  </r>
  <r>
    <m/>
    <m/>
    <x v="1"/>
    <s v="87551644002001"/>
    <n v="-74.260000000000005"/>
    <n v="1580"/>
    <n v="1"/>
    <n v="1"/>
  </r>
  <r>
    <m/>
    <m/>
    <x v="1"/>
    <s v="87556646001001"/>
    <n v="-15.51"/>
    <n v="330"/>
    <n v="1"/>
    <n v="1"/>
  </r>
  <r>
    <m/>
    <m/>
    <x v="1"/>
    <s v="87567739001004"/>
    <n v="-122.39"/>
    <n v="2604"/>
    <n v="1"/>
    <n v="1"/>
  </r>
  <r>
    <m/>
    <m/>
    <x v="1"/>
    <s v="87582546001007"/>
    <n v="-40.56"/>
    <n v="863"/>
    <n v="1"/>
    <n v="1"/>
  </r>
  <r>
    <m/>
    <m/>
    <x v="1"/>
    <s v="87730507001001"/>
    <n v="-69.56"/>
    <n v="1480"/>
    <n v="1"/>
    <n v="1"/>
  </r>
  <r>
    <m/>
    <m/>
    <x v="1"/>
    <s v="87810851004003"/>
    <n v="-123.52"/>
    <n v="2628"/>
    <n v="1"/>
    <n v="1"/>
  </r>
  <r>
    <m/>
    <m/>
    <x v="1"/>
    <s v="88017121001002"/>
    <n v="-77.13"/>
    <n v="1641"/>
    <n v="1"/>
    <n v="1"/>
  </r>
  <r>
    <m/>
    <m/>
    <x v="1"/>
    <s v="88060410001002"/>
    <n v="-11.09"/>
    <n v="236"/>
    <n v="1"/>
    <n v="1"/>
  </r>
  <r>
    <m/>
    <m/>
    <x v="1"/>
    <s v="88063060001002"/>
    <n v="-130.61000000000001"/>
    <n v="2779"/>
    <n v="1"/>
    <n v="1"/>
  </r>
  <r>
    <m/>
    <m/>
    <x v="1"/>
    <s v="88063563001006"/>
    <n v="-82.91"/>
    <n v="1764"/>
    <n v="1"/>
    <n v="1"/>
  </r>
  <r>
    <m/>
    <m/>
    <x v="1"/>
    <s v="88142714001001"/>
    <n v="-84.46"/>
    <n v="1797"/>
    <n v="1"/>
    <n v="1"/>
  </r>
  <r>
    <m/>
    <m/>
    <x v="1"/>
    <s v="88152741001004"/>
    <n v="-76.42"/>
    <n v="1626"/>
    <n v="1"/>
    <n v="1"/>
  </r>
  <r>
    <m/>
    <m/>
    <x v="1"/>
    <s v="88236235001004"/>
    <n v="-8.6999999999999993"/>
    <n v="185"/>
    <n v="1"/>
    <n v="1"/>
  </r>
  <r>
    <m/>
    <m/>
    <x v="1"/>
    <s v="88446829001001"/>
    <n v="-91.6"/>
    <n v="1949"/>
    <n v="1"/>
    <n v="1"/>
  </r>
  <r>
    <m/>
    <m/>
    <x v="1"/>
    <s v="88457516001006"/>
    <n v="-44.7"/>
    <n v="951"/>
    <n v="1"/>
    <n v="1"/>
  </r>
  <r>
    <m/>
    <m/>
    <x v="1"/>
    <s v="88549766004002"/>
    <n v="-59.17"/>
    <n v="1259"/>
    <n v="1"/>
    <n v="1"/>
  </r>
  <r>
    <m/>
    <m/>
    <x v="1"/>
    <s v="88744671001001"/>
    <n v="-114.26"/>
    <n v="2431"/>
    <n v="1"/>
    <n v="1"/>
  </r>
  <r>
    <m/>
    <m/>
    <x v="1"/>
    <s v="88756758002012"/>
    <n v="-25.9"/>
    <n v="551"/>
    <n v="1"/>
    <n v="1"/>
  </r>
  <r>
    <m/>
    <m/>
    <x v="1"/>
    <s v="88772979001005"/>
    <n v="-15.04"/>
    <n v="320"/>
    <n v="1"/>
    <n v="1"/>
  </r>
  <r>
    <m/>
    <m/>
    <x v="1"/>
    <s v="88904082002001"/>
    <n v="-51.18"/>
    <n v="1089"/>
    <n v="1"/>
    <n v="1"/>
  </r>
  <r>
    <m/>
    <m/>
    <x v="1"/>
    <s v="88908327001003"/>
    <n v="-61.01"/>
    <n v="1298"/>
    <n v="1"/>
    <n v="1"/>
  </r>
  <r>
    <m/>
    <m/>
    <x v="1"/>
    <s v="88998446001001"/>
    <n v="-109.98"/>
    <n v="2340"/>
    <n v="1"/>
    <n v="1"/>
  </r>
  <r>
    <m/>
    <m/>
    <x v="1"/>
    <s v="89003081001001"/>
    <n v="-205.16"/>
    <n v="4365"/>
    <n v="1"/>
    <n v="1"/>
  </r>
  <r>
    <m/>
    <m/>
    <x v="1"/>
    <s v="89105915001001"/>
    <n v="-203.84"/>
    <n v="4337"/>
    <n v="1"/>
    <n v="1"/>
  </r>
  <r>
    <m/>
    <m/>
    <x v="1"/>
    <s v="89107006001001"/>
    <n v="-73.319999999999993"/>
    <n v="1560"/>
    <n v="1"/>
    <n v="1"/>
  </r>
  <r>
    <m/>
    <m/>
    <x v="1"/>
    <s v="89128471001009"/>
    <n v="-97.48"/>
    <n v="2074"/>
    <n v="1"/>
    <n v="1"/>
  </r>
  <r>
    <m/>
    <m/>
    <x v="1"/>
    <s v="89184529001001"/>
    <n v="-114.21"/>
    <n v="2430"/>
    <n v="1"/>
    <n v="1"/>
  </r>
  <r>
    <m/>
    <m/>
    <x v="1"/>
    <s v="89213833001001"/>
    <n v="-103.4"/>
    <n v="2200"/>
    <n v="1"/>
    <n v="1"/>
  </r>
  <r>
    <m/>
    <m/>
    <x v="1"/>
    <s v="89283834002003"/>
    <n v="-108.62"/>
    <n v="2311"/>
    <n v="1"/>
    <n v="1"/>
  </r>
  <r>
    <m/>
    <m/>
    <x v="1"/>
    <s v="89438476002010"/>
    <n v="-53.44"/>
    <n v="1137"/>
    <n v="1"/>
    <n v="1"/>
  </r>
  <r>
    <m/>
    <m/>
    <x v="1"/>
    <s v="89594433002001"/>
    <n v="-272.41000000000003"/>
    <n v="5796"/>
    <n v="1"/>
    <n v="1"/>
  </r>
  <r>
    <m/>
    <m/>
    <x v="1"/>
    <s v="89671384018004"/>
    <n v="-51.18"/>
    <n v="1089"/>
    <n v="1"/>
    <n v="1"/>
  </r>
  <r>
    <m/>
    <m/>
    <x v="1"/>
    <s v="89805136001001"/>
    <n v="-165.39"/>
    <n v="3519"/>
    <n v="1"/>
    <n v="1"/>
  </r>
  <r>
    <m/>
    <m/>
    <x v="1"/>
    <s v="89864539001001"/>
    <n v="-191.52"/>
    <n v="4075"/>
    <n v="2"/>
    <n v="1"/>
  </r>
  <r>
    <m/>
    <m/>
    <x v="1"/>
    <s v="89872523001002"/>
    <n v="-144.34"/>
    <n v="3071"/>
    <n v="1"/>
    <n v="1"/>
  </r>
  <r>
    <m/>
    <m/>
    <x v="1"/>
    <s v="89900422001003"/>
    <n v="-49.12"/>
    <n v="1045"/>
    <n v="1"/>
    <n v="1"/>
  </r>
  <r>
    <m/>
    <m/>
    <x v="1"/>
    <s v="89949893001001"/>
    <n v="-30.69"/>
    <n v="653"/>
    <n v="1"/>
    <n v="1"/>
  </r>
  <r>
    <m/>
    <m/>
    <x v="1"/>
    <s v="89962058001001"/>
    <n v="-116.09"/>
    <n v="2470"/>
    <n v="1"/>
    <n v="1"/>
  </r>
  <r>
    <m/>
    <m/>
    <x v="1"/>
    <s v="89999378009001"/>
    <n v="-207.27"/>
    <n v="4410"/>
    <n v="1"/>
    <n v="1"/>
  </r>
  <r>
    <m/>
    <m/>
    <x v="1"/>
    <s v="90058594005003"/>
    <n v="-96.16"/>
    <n v="2046"/>
    <n v="1"/>
    <n v="1"/>
  </r>
  <r>
    <m/>
    <m/>
    <x v="1"/>
    <s v="90167563001003"/>
    <n v="-47.94"/>
    <n v="1020"/>
    <n v="1"/>
    <n v="1"/>
  </r>
  <r>
    <m/>
    <m/>
    <x v="1"/>
    <s v="90244033001001"/>
    <n v="-31.82"/>
    <n v="677"/>
    <n v="1"/>
    <n v="1"/>
  </r>
  <r>
    <m/>
    <m/>
    <x v="1"/>
    <s v="90326789001003"/>
    <n v="-83.52"/>
    <n v="1777"/>
    <n v="1"/>
    <n v="1"/>
  </r>
  <r>
    <m/>
    <m/>
    <x v="1"/>
    <s v="90376961001005"/>
    <n v="-98.42"/>
    <n v="2094"/>
    <n v="1"/>
    <n v="1"/>
  </r>
  <r>
    <m/>
    <m/>
    <x v="1"/>
    <s v="90381406001001"/>
    <n v="-27.87"/>
    <n v="593"/>
    <n v="1"/>
    <n v="1"/>
  </r>
  <r>
    <m/>
    <m/>
    <x v="1"/>
    <s v="90453061001001"/>
    <n v="-89.3"/>
    <n v="1900"/>
    <n v="1"/>
    <n v="1"/>
  </r>
  <r>
    <m/>
    <m/>
    <x v="1"/>
    <s v="90553398001002"/>
    <n v="-52.92"/>
    <n v="1126"/>
    <n v="1"/>
    <n v="1"/>
  </r>
  <r>
    <m/>
    <m/>
    <x v="1"/>
    <s v="90593570008003"/>
    <n v="-150.68"/>
    <n v="3206"/>
    <n v="1"/>
    <n v="1"/>
  </r>
  <r>
    <m/>
    <m/>
    <x v="1"/>
    <s v="90673462002001"/>
    <n v="-95.03"/>
    <n v="2022"/>
    <n v="1"/>
    <n v="1"/>
  </r>
  <r>
    <m/>
    <m/>
    <x v="1"/>
    <s v="90725573001001"/>
    <n v="-41.83"/>
    <n v="890"/>
    <n v="1"/>
    <n v="1"/>
  </r>
  <r>
    <m/>
    <m/>
    <x v="1"/>
    <s v="90740546001001"/>
    <n v="-103.59"/>
    <n v="2204"/>
    <n v="1"/>
    <n v="1"/>
  </r>
  <r>
    <m/>
    <m/>
    <x v="1"/>
    <s v="90805481002003"/>
    <n v="-171.08"/>
    <n v="3640"/>
    <n v="1"/>
    <n v="1"/>
  </r>
  <r>
    <m/>
    <m/>
    <x v="1"/>
    <s v="90927229001003"/>
    <n v="-63.59"/>
    <n v="1353"/>
    <n v="1"/>
    <n v="1"/>
  </r>
  <r>
    <m/>
    <m/>
    <x v="1"/>
    <s v="91085873002001"/>
    <n v="-25.43"/>
    <n v="541"/>
    <n v="1"/>
    <n v="1"/>
  </r>
  <r>
    <m/>
    <m/>
    <x v="1"/>
    <s v="91144657001001"/>
    <n v="-93.53"/>
    <n v="1990"/>
    <n v="1"/>
    <n v="1"/>
  </r>
  <r>
    <m/>
    <m/>
    <x v="1"/>
    <s v="91155934001001"/>
    <n v="-90.24"/>
    <n v="1920"/>
    <n v="1"/>
    <n v="1"/>
  </r>
  <r>
    <m/>
    <m/>
    <x v="1"/>
    <s v="91237440001003"/>
    <n v="-58.94"/>
    <n v="1254"/>
    <n v="1"/>
    <n v="1"/>
  </r>
  <r>
    <m/>
    <m/>
    <x v="1"/>
    <s v="91266513001005"/>
    <n v="-38.21"/>
    <n v="813"/>
    <n v="1"/>
    <n v="1"/>
  </r>
  <r>
    <m/>
    <m/>
    <x v="1"/>
    <s v="91537061004005"/>
    <n v="-179.54"/>
    <n v="3820"/>
    <n v="1"/>
    <n v="1"/>
  </r>
  <r>
    <m/>
    <m/>
    <x v="1"/>
    <s v="91552426001001"/>
    <n v="-44.98"/>
    <n v="957"/>
    <n v="1"/>
    <n v="1"/>
  </r>
  <r>
    <m/>
    <m/>
    <x v="1"/>
    <s v="91727388001001"/>
    <n v="-49.54"/>
    <n v="1054"/>
    <n v="1"/>
    <n v="1"/>
  </r>
  <r>
    <m/>
    <m/>
    <x v="1"/>
    <s v="91750195001001"/>
    <n v="-60.44"/>
    <n v="1286"/>
    <n v="1"/>
    <n v="1"/>
  </r>
  <r>
    <m/>
    <m/>
    <x v="1"/>
    <s v="91759038001001"/>
    <n v="-114.73"/>
    <n v="2441"/>
    <n v="1"/>
    <n v="1"/>
  </r>
  <r>
    <m/>
    <m/>
    <x v="1"/>
    <s v="91792182001002"/>
    <n v="-49.16"/>
    <n v="1046"/>
    <n v="1"/>
    <n v="1"/>
  </r>
  <r>
    <m/>
    <m/>
    <x v="1"/>
    <s v="91933726001002"/>
    <n v="-47.38"/>
    <n v="1008"/>
    <n v="1"/>
    <n v="1"/>
  </r>
  <r>
    <m/>
    <m/>
    <x v="1"/>
    <s v="91947072001002"/>
    <n v="-55.46"/>
    <n v="1180"/>
    <n v="1"/>
    <n v="1"/>
  </r>
  <r>
    <m/>
    <m/>
    <x v="1"/>
    <s v="91995451001005"/>
    <n v="-13.49"/>
    <n v="287"/>
    <n v="1"/>
    <n v="1"/>
  </r>
  <r>
    <m/>
    <m/>
    <x v="1"/>
    <s v="92041740001001"/>
    <n v="-41.69"/>
    <n v="887"/>
    <n v="1"/>
    <n v="1"/>
  </r>
  <r>
    <m/>
    <m/>
    <x v="1"/>
    <s v="92061113001004"/>
    <n v="-30.5"/>
    <n v="649"/>
    <n v="1"/>
    <n v="1"/>
  </r>
  <r>
    <m/>
    <m/>
    <x v="1"/>
    <s v="92139692001003"/>
    <n v="-146.55000000000001"/>
    <n v="3118"/>
    <n v="1"/>
    <n v="1"/>
  </r>
  <r>
    <m/>
    <m/>
    <x v="1"/>
    <s v="92267851001001"/>
    <n v="-42.68"/>
    <n v="908"/>
    <n v="1"/>
    <n v="1"/>
  </r>
  <r>
    <m/>
    <m/>
    <x v="1"/>
    <s v="92297397002002"/>
    <n v="-68.06"/>
    <n v="1448"/>
    <n v="1"/>
    <n v="1"/>
  </r>
  <r>
    <m/>
    <m/>
    <x v="1"/>
    <s v="92399017001001"/>
    <n v="-60.02"/>
    <n v="1277"/>
    <n v="1"/>
    <n v="1"/>
  </r>
  <r>
    <m/>
    <m/>
    <x v="1"/>
    <s v="92408915001007"/>
    <n v="-35.299999999999997"/>
    <n v="751"/>
    <n v="1"/>
    <n v="1"/>
  </r>
  <r>
    <m/>
    <m/>
    <x v="1"/>
    <s v="92474314001001"/>
    <n v="-45.64"/>
    <n v="971"/>
    <n v="1"/>
    <n v="1"/>
  </r>
  <r>
    <m/>
    <m/>
    <x v="1"/>
    <s v="92481841001008"/>
    <n v="-35.72"/>
    <n v="760"/>
    <n v="1"/>
    <n v="1"/>
  </r>
  <r>
    <m/>
    <m/>
    <x v="1"/>
    <s v="92612665001005"/>
    <n v="-50.01"/>
    <n v="1064"/>
    <n v="1"/>
    <n v="1"/>
  </r>
  <r>
    <m/>
    <m/>
    <x v="1"/>
    <s v="92643112001001"/>
    <n v="-17.670000000000002"/>
    <n v="376"/>
    <n v="1"/>
    <n v="1"/>
  </r>
  <r>
    <m/>
    <m/>
    <x v="1"/>
    <s v="92684268001001"/>
    <n v="-43.1"/>
    <n v="917"/>
    <n v="1"/>
    <n v="1"/>
  </r>
  <r>
    <m/>
    <m/>
    <x v="1"/>
    <s v="92709982001008"/>
    <n v="-48.5"/>
    <n v="1032"/>
    <n v="1"/>
    <n v="1"/>
  </r>
  <r>
    <m/>
    <m/>
    <x v="1"/>
    <s v="92749025001001"/>
    <n v="-50.43"/>
    <n v="1073"/>
    <n v="1"/>
    <n v="1"/>
  </r>
  <r>
    <m/>
    <m/>
    <x v="1"/>
    <s v="92883803001003"/>
    <n v="-128.44999999999999"/>
    <n v="2733"/>
    <n v="1"/>
    <n v="1"/>
  </r>
  <r>
    <m/>
    <m/>
    <x v="1"/>
    <s v="92977327004003"/>
    <n v="-85.31"/>
    <n v="1815"/>
    <n v="1"/>
    <n v="1"/>
  </r>
  <r>
    <m/>
    <m/>
    <x v="1"/>
    <s v="93123792001001"/>
    <n v="-20.12"/>
    <n v="428"/>
    <n v="1"/>
    <n v="1"/>
  </r>
  <r>
    <m/>
    <m/>
    <x v="1"/>
    <s v="93277667005001"/>
    <n v="-138.93"/>
    <n v="2956"/>
    <n v="1"/>
    <n v="1"/>
  </r>
  <r>
    <m/>
    <m/>
    <x v="1"/>
    <s v="93293830001004"/>
    <n v="-69"/>
    <n v="1468"/>
    <n v="1"/>
    <n v="1"/>
  </r>
  <r>
    <m/>
    <m/>
    <x v="1"/>
    <s v="93304243002003"/>
    <n v="-142.74"/>
    <n v="3037"/>
    <n v="1"/>
    <n v="1"/>
  </r>
  <r>
    <m/>
    <m/>
    <x v="1"/>
    <s v="93304318001003"/>
    <n v="-104.25"/>
    <n v="2218"/>
    <n v="1"/>
    <n v="1"/>
  </r>
  <r>
    <m/>
    <m/>
    <x v="1"/>
    <s v="93357124001001"/>
    <n v="-104.34"/>
    <n v="2220"/>
    <n v="1"/>
    <n v="1"/>
  </r>
  <r>
    <m/>
    <m/>
    <x v="1"/>
    <s v="93453320001012"/>
    <n v="-52.26"/>
    <n v="1112"/>
    <n v="1"/>
    <n v="1"/>
  </r>
  <r>
    <m/>
    <m/>
    <x v="1"/>
    <s v="93477594002001"/>
    <n v="-39.86"/>
    <n v="848"/>
    <n v="1"/>
    <n v="1"/>
  </r>
  <r>
    <m/>
    <m/>
    <x v="1"/>
    <s v="93502736001008"/>
    <n v="-46.95"/>
    <n v="999"/>
    <n v="1"/>
    <n v="1"/>
  </r>
  <r>
    <m/>
    <m/>
    <x v="1"/>
    <s v="93626551001001"/>
    <n v="-63.5"/>
    <n v="1351"/>
    <n v="1"/>
    <n v="1"/>
  </r>
  <r>
    <m/>
    <m/>
    <x v="1"/>
    <s v="93750806006001"/>
    <n v="-59.13"/>
    <n v="1258"/>
    <n v="1"/>
    <n v="1"/>
  </r>
  <r>
    <m/>
    <m/>
    <x v="1"/>
    <s v="93908930001005"/>
    <n v="-281.34000000000003"/>
    <n v="5986"/>
    <n v="2"/>
    <n v="1"/>
  </r>
  <r>
    <m/>
    <m/>
    <x v="1"/>
    <s v="94085042001001"/>
    <n v="-16.45"/>
    <n v="350"/>
    <n v="1"/>
    <n v="1"/>
  </r>
  <r>
    <m/>
    <m/>
    <x v="1"/>
    <s v="94236722001001"/>
    <n v="-76.23"/>
    <n v="1622"/>
    <n v="1"/>
    <n v="1"/>
  </r>
  <r>
    <m/>
    <m/>
    <x v="1"/>
    <s v="94338453002001"/>
    <n v="-117.5"/>
    <n v="2500"/>
    <n v="2"/>
    <n v="1"/>
  </r>
  <r>
    <m/>
    <m/>
    <x v="1"/>
    <s v="94383185001003"/>
    <n v="-40.700000000000003"/>
    <n v="866"/>
    <n v="1"/>
    <n v="1"/>
  </r>
  <r>
    <m/>
    <m/>
    <x v="1"/>
    <s v="94788572001004"/>
    <n v="-85.07"/>
    <n v="1810"/>
    <n v="1"/>
    <n v="1"/>
  </r>
  <r>
    <m/>
    <m/>
    <x v="1"/>
    <s v="94794096001013"/>
    <n v="-130"/>
    <n v="2766"/>
    <n v="1"/>
    <n v="1"/>
  </r>
  <r>
    <m/>
    <m/>
    <x v="1"/>
    <s v="94859853001001"/>
    <n v="-25.94"/>
    <n v="552"/>
    <n v="1"/>
    <n v="1"/>
  </r>
  <r>
    <m/>
    <m/>
    <x v="1"/>
    <s v="94900294001001"/>
    <n v="-129.19999999999999"/>
    <n v="2749"/>
    <n v="1"/>
    <n v="1"/>
  </r>
  <r>
    <m/>
    <m/>
    <x v="1"/>
    <s v="94924691001006"/>
    <n v="-7.71"/>
    <n v="164"/>
    <n v="1"/>
    <n v="1"/>
  </r>
  <r>
    <m/>
    <m/>
    <x v="1"/>
    <s v="95018732001001"/>
    <n v="-101.05"/>
    <n v="2150"/>
    <n v="1"/>
    <n v="1"/>
  </r>
  <r>
    <m/>
    <m/>
    <x v="1"/>
    <s v="95117315001002"/>
    <n v="-81.36"/>
    <n v="1731"/>
    <n v="1"/>
    <n v="1"/>
  </r>
  <r>
    <m/>
    <m/>
    <x v="1"/>
    <s v="95131113005001"/>
    <n v="-102.37"/>
    <n v="2178"/>
    <n v="1"/>
    <n v="1"/>
  </r>
  <r>
    <m/>
    <m/>
    <x v="1"/>
    <s v="95142141001001"/>
    <n v="-100.39"/>
    <n v="2136"/>
    <n v="1"/>
    <n v="1"/>
  </r>
  <r>
    <m/>
    <m/>
    <x v="1"/>
    <s v="95224398001001"/>
    <n v="-60.72"/>
    <n v="1292"/>
    <n v="1"/>
    <n v="1"/>
  </r>
  <r>
    <m/>
    <m/>
    <x v="1"/>
    <s v="95315181001001"/>
    <n v="-19.079999999999998"/>
    <n v="406"/>
    <n v="1"/>
    <n v="1"/>
  </r>
  <r>
    <m/>
    <m/>
    <x v="1"/>
    <s v="95382413001005"/>
    <n v="-35.020000000000003"/>
    <n v="745"/>
    <n v="1"/>
    <n v="1"/>
  </r>
  <r>
    <m/>
    <m/>
    <x v="1"/>
    <s v="95385375003003"/>
    <n v="-16.45"/>
    <n v="350"/>
    <n v="1"/>
    <n v="1"/>
  </r>
  <r>
    <m/>
    <m/>
    <x v="1"/>
    <s v="95640914001001"/>
    <n v="-23.22"/>
    <n v="494"/>
    <n v="1"/>
    <n v="1"/>
  </r>
  <r>
    <m/>
    <m/>
    <x v="1"/>
    <s v="95766863001001"/>
    <n v="-19.04"/>
    <n v="405"/>
    <n v="1"/>
    <n v="1"/>
  </r>
  <r>
    <m/>
    <m/>
    <x v="1"/>
    <s v="95880839001001"/>
    <n v="-8.65"/>
    <n v="184"/>
    <n v="1"/>
    <n v="1"/>
  </r>
  <r>
    <m/>
    <m/>
    <x v="1"/>
    <s v="95983524001002"/>
    <n v="-102.13"/>
    <n v="2173"/>
    <n v="1"/>
    <n v="1"/>
  </r>
  <r>
    <m/>
    <m/>
    <x v="1"/>
    <s v="96047383001001"/>
    <n v="-36.61"/>
    <n v="779"/>
    <n v="1"/>
    <n v="1"/>
  </r>
  <r>
    <m/>
    <m/>
    <x v="1"/>
    <s v="96057942001003"/>
    <n v="-109.84"/>
    <n v="2337"/>
    <n v="1"/>
    <n v="1"/>
  </r>
  <r>
    <m/>
    <m/>
    <x v="1"/>
    <s v="96132413001001"/>
    <n v="-16.5"/>
    <n v="351"/>
    <n v="1"/>
    <n v="1"/>
  </r>
  <r>
    <m/>
    <m/>
    <x v="1"/>
    <s v="96145942001001"/>
    <n v="-19.88"/>
    <n v="423"/>
    <n v="1"/>
    <n v="1"/>
  </r>
  <r>
    <m/>
    <m/>
    <x v="1"/>
    <s v="96258332001001"/>
    <n v="-39.950000000000003"/>
    <n v="850"/>
    <n v="1"/>
    <n v="1"/>
  </r>
  <r>
    <m/>
    <m/>
    <x v="1"/>
    <s v="96385676001003"/>
    <n v="-59.93"/>
    <n v="1275"/>
    <n v="1"/>
    <n v="1"/>
  </r>
  <r>
    <m/>
    <m/>
    <x v="1"/>
    <s v="96426781002003"/>
    <n v="-37.08"/>
    <n v="789"/>
    <n v="1"/>
    <n v="1"/>
  </r>
  <r>
    <m/>
    <m/>
    <x v="1"/>
    <s v="96460390002003"/>
    <n v="-23.41"/>
    <n v="498"/>
    <n v="1"/>
    <n v="1"/>
  </r>
  <r>
    <m/>
    <m/>
    <x v="1"/>
    <s v="96578754001001"/>
    <n v="-35.81"/>
    <n v="762"/>
    <n v="1"/>
    <n v="1"/>
  </r>
  <r>
    <m/>
    <m/>
    <x v="1"/>
    <s v="96609922001004"/>
    <n v="-30.88"/>
    <n v="657"/>
    <n v="1"/>
    <n v="1"/>
  </r>
  <r>
    <m/>
    <m/>
    <x v="1"/>
    <s v="96664201001004"/>
    <n v="-77.36"/>
    <n v="1646"/>
    <n v="1"/>
    <n v="1"/>
  </r>
  <r>
    <m/>
    <m/>
    <x v="1"/>
    <s v="96692526002001"/>
    <n v="-75.91"/>
    <n v="1615"/>
    <n v="1"/>
    <n v="1"/>
  </r>
  <r>
    <m/>
    <m/>
    <x v="1"/>
    <s v="96740158001001"/>
    <n v="-3.48"/>
    <n v="74"/>
    <n v="1"/>
    <n v="1"/>
  </r>
  <r>
    <m/>
    <m/>
    <x v="1"/>
    <s v="96831741001001"/>
    <n v="-126.99"/>
    <n v="2702"/>
    <n v="1"/>
    <n v="1"/>
  </r>
  <r>
    <m/>
    <m/>
    <x v="1"/>
    <s v="96856706001002"/>
    <n v="-12.78"/>
    <n v="272"/>
    <n v="1"/>
    <n v="1"/>
  </r>
  <r>
    <m/>
    <m/>
    <x v="1"/>
    <s v="96913407001002"/>
    <n v="-50.1"/>
    <n v="1066"/>
    <n v="1"/>
    <n v="1"/>
  </r>
  <r>
    <m/>
    <m/>
    <x v="1"/>
    <s v="96956354001001"/>
    <n v="-84.41"/>
    <n v="1796"/>
    <n v="1"/>
    <n v="1"/>
  </r>
  <r>
    <m/>
    <m/>
    <x v="1"/>
    <s v="97019963001004"/>
    <n v="-85.82"/>
    <n v="1826"/>
    <n v="1"/>
    <n v="1"/>
  </r>
  <r>
    <m/>
    <m/>
    <x v="1"/>
    <s v="97033053001001"/>
    <n v="-135.74"/>
    <n v="2888"/>
    <n v="1"/>
    <n v="1"/>
  </r>
  <r>
    <m/>
    <m/>
    <x v="1"/>
    <s v="97064187001001"/>
    <n v="-76.23"/>
    <n v="1622"/>
    <n v="1"/>
    <n v="1"/>
  </r>
  <r>
    <m/>
    <m/>
    <x v="1"/>
    <s v="97071150001005"/>
    <n v="-10.01"/>
    <n v="213"/>
    <n v="1"/>
    <n v="1"/>
  </r>
  <r>
    <m/>
    <m/>
    <x v="1"/>
    <s v="97150663001009"/>
    <n v="-20.260000000000002"/>
    <n v="431"/>
    <n v="1"/>
    <n v="1"/>
  </r>
  <r>
    <m/>
    <m/>
    <x v="1"/>
    <s v="97203407001003"/>
    <n v="-44.42"/>
    <n v="945"/>
    <n v="1"/>
    <n v="1"/>
  </r>
  <r>
    <m/>
    <m/>
    <x v="1"/>
    <s v="97221863001001"/>
    <n v="-72.52"/>
    <n v="1543"/>
    <n v="1"/>
    <n v="1"/>
  </r>
  <r>
    <m/>
    <m/>
    <x v="1"/>
    <s v="97375212002001"/>
    <n v="-88.88"/>
    <n v="1891"/>
    <n v="1"/>
    <n v="1"/>
  </r>
  <r>
    <m/>
    <m/>
    <x v="1"/>
    <s v="97402482001001"/>
    <n v="-73.599999999999994"/>
    <n v="1566"/>
    <n v="1"/>
    <n v="1"/>
  </r>
  <r>
    <m/>
    <m/>
    <x v="1"/>
    <s v="97461416001006"/>
    <n v="-45.54"/>
    <n v="969"/>
    <n v="1"/>
    <n v="1"/>
  </r>
  <r>
    <m/>
    <m/>
    <x v="1"/>
    <s v="97513499001003"/>
    <n v="-29.14"/>
    <n v="620"/>
    <n v="1"/>
    <n v="1"/>
  </r>
  <r>
    <m/>
    <m/>
    <x v="1"/>
    <s v="97551459001001"/>
    <n v="-98.32"/>
    <n v="2092"/>
    <n v="1"/>
    <n v="1"/>
  </r>
  <r>
    <m/>
    <m/>
    <x v="1"/>
    <s v="97636856002001"/>
    <n v="-32.57"/>
    <n v="693"/>
    <n v="1"/>
    <n v="1"/>
  </r>
  <r>
    <m/>
    <m/>
    <x v="1"/>
    <s v="97651944001007"/>
    <n v="-101.8"/>
    <n v="2166"/>
    <n v="1"/>
    <n v="1"/>
  </r>
  <r>
    <m/>
    <m/>
    <x v="1"/>
    <s v="97676185004001"/>
    <n v="-9.07"/>
    <n v="193"/>
    <n v="1"/>
    <n v="1"/>
  </r>
  <r>
    <m/>
    <m/>
    <x v="1"/>
    <s v="97678050001005"/>
    <n v="-136.54"/>
    <n v="2905"/>
    <n v="1"/>
    <n v="1"/>
  </r>
  <r>
    <m/>
    <m/>
    <x v="1"/>
    <s v="97680995001004"/>
    <n v="-55.13"/>
    <n v="1173"/>
    <n v="1"/>
    <n v="1"/>
  </r>
  <r>
    <m/>
    <m/>
    <x v="1"/>
    <s v="97885984003001"/>
    <n v="-57.34"/>
    <n v="1220"/>
    <n v="1"/>
    <n v="1"/>
  </r>
  <r>
    <m/>
    <m/>
    <x v="1"/>
    <s v="97963093001001"/>
    <n v="-68.010000000000005"/>
    <n v="1447"/>
    <n v="1"/>
    <n v="1"/>
  </r>
  <r>
    <m/>
    <m/>
    <x v="1"/>
    <s v="98090991002001"/>
    <n v="-30.69"/>
    <n v="653"/>
    <n v="1"/>
    <n v="1"/>
  </r>
  <r>
    <m/>
    <m/>
    <x v="1"/>
    <s v="98157594008001"/>
    <n v="-243.37"/>
    <n v="5178"/>
    <n v="1"/>
    <n v="1"/>
  </r>
  <r>
    <m/>
    <m/>
    <x v="1"/>
    <s v="98243275001011"/>
    <n v="-18.89"/>
    <n v="402"/>
    <n v="1"/>
    <n v="1"/>
  </r>
  <r>
    <m/>
    <m/>
    <x v="1"/>
    <s v="98256974001001"/>
    <n v="-41.27"/>
    <n v="878"/>
    <n v="1"/>
    <n v="1"/>
  </r>
  <r>
    <m/>
    <m/>
    <x v="1"/>
    <s v="98265055001006"/>
    <n v="-61.52"/>
    <n v="1309"/>
    <n v="1"/>
    <n v="1"/>
  </r>
  <r>
    <m/>
    <m/>
    <x v="1"/>
    <s v="98267511008001"/>
    <n v="-57.58"/>
    <n v="1225"/>
    <n v="1"/>
    <n v="1"/>
  </r>
  <r>
    <m/>
    <m/>
    <x v="1"/>
    <s v="98494984001001"/>
    <n v="-99.73"/>
    <n v="2122"/>
    <n v="1"/>
    <n v="1"/>
  </r>
  <r>
    <m/>
    <m/>
    <x v="1"/>
    <s v="98496940001004"/>
    <n v="-106.08"/>
    <n v="2257"/>
    <n v="1"/>
    <n v="1"/>
  </r>
  <r>
    <m/>
    <m/>
    <x v="1"/>
    <s v="98568936001003"/>
    <n v="-104.15"/>
    <n v="2216"/>
    <n v="1"/>
    <n v="1"/>
  </r>
  <r>
    <m/>
    <m/>
    <x v="1"/>
    <s v="98868264001001"/>
    <n v="-61.48"/>
    <n v="1308"/>
    <n v="1"/>
    <n v="1"/>
  </r>
  <r>
    <m/>
    <m/>
    <x v="1"/>
    <s v="98869027002005"/>
    <n v="-88.64"/>
    <n v="1886"/>
    <n v="1"/>
    <n v="1"/>
  </r>
  <r>
    <m/>
    <m/>
    <x v="1"/>
    <s v="99133073003003"/>
    <n v="-26.79"/>
    <n v="570"/>
    <n v="1"/>
    <n v="1"/>
  </r>
  <r>
    <m/>
    <m/>
    <x v="1"/>
    <s v="99141732001002"/>
    <n v="-12.74"/>
    <n v="271"/>
    <n v="1"/>
    <n v="1"/>
  </r>
  <r>
    <m/>
    <m/>
    <x v="1"/>
    <s v="99154035001001"/>
    <n v="-86.81"/>
    <n v="1847"/>
    <n v="1"/>
    <n v="1"/>
  </r>
  <r>
    <m/>
    <m/>
    <x v="1"/>
    <s v="99207126001001"/>
    <n v="-116.04"/>
    <n v="2469"/>
    <n v="1"/>
    <n v="1"/>
  </r>
  <r>
    <m/>
    <m/>
    <x v="1"/>
    <s v="99284431001009"/>
    <n v="-170.52"/>
    <n v="3628"/>
    <n v="1"/>
    <n v="1"/>
  </r>
  <r>
    <m/>
    <m/>
    <x v="1"/>
    <s v="99342816001009"/>
    <n v="-24.72"/>
    <n v="526"/>
    <n v="1"/>
    <n v="1"/>
  </r>
  <r>
    <m/>
    <m/>
    <x v="1"/>
    <s v="99442912002001"/>
    <n v="-150.91999999999999"/>
    <n v="3211"/>
    <n v="1"/>
    <n v="1"/>
  </r>
  <r>
    <m/>
    <m/>
    <x v="1"/>
    <s v="99862694001001"/>
    <n v="-10.29"/>
    <n v="219"/>
    <n v="1"/>
    <n v="1"/>
  </r>
  <r>
    <m/>
    <m/>
    <x v="6"/>
    <m/>
    <n v="-110252.16999999994"/>
    <n v="2345777"/>
    <n v="1566"/>
    <n v="1555"/>
  </r>
  <r>
    <m/>
    <s v="201201"/>
    <x v="0"/>
    <s v="30618491001003"/>
    <n v="-61.1"/>
    <n v="3092"/>
    <n v="1"/>
    <n v="1"/>
  </r>
  <r>
    <m/>
    <m/>
    <x v="1"/>
    <s v="48562081001001"/>
    <n v="-46.52"/>
    <n v="2354"/>
    <n v="1"/>
    <n v="1"/>
  </r>
  <r>
    <m/>
    <m/>
    <x v="2"/>
    <m/>
    <n v="-107.62"/>
    <n v="5446"/>
    <n v="2"/>
    <n v="2"/>
  </r>
  <r>
    <m/>
    <m/>
    <x v="3"/>
    <s v="38245625004008"/>
    <n v="-14.77"/>
    <n v="467"/>
    <n v="1"/>
    <n v="1"/>
  </r>
  <r>
    <m/>
    <m/>
    <x v="1"/>
    <s v="43079401001005"/>
    <n v="-21.69"/>
    <n v="686"/>
    <n v="1"/>
    <n v="1"/>
  </r>
  <r>
    <m/>
    <m/>
    <x v="1"/>
    <s v="85052617001010"/>
    <n v="-13.85"/>
    <n v="438"/>
    <n v="1"/>
    <n v="1"/>
  </r>
  <r>
    <m/>
    <m/>
    <x v="4"/>
    <m/>
    <n v="-50.31"/>
    <n v="1591"/>
    <n v="3"/>
    <n v="3"/>
  </r>
  <r>
    <m/>
    <m/>
    <x v="5"/>
    <s v="10346018001001"/>
    <n v="-54.43"/>
    <n v="1158"/>
    <n v="1"/>
    <n v="1"/>
  </r>
  <r>
    <m/>
    <m/>
    <x v="1"/>
    <s v="36218846001001"/>
    <n v="-13.44"/>
    <n v="286"/>
    <n v="1"/>
    <n v="1"/>
  </r>
  <r>
    <m/>
    <m/>
    <x v="1"/>
    <s v="38611961001001"/>
    <n v="-148.47"/>
    <n v="3159"/>
    <n v="1"/>
    <n v="1"/>
  </r>
  <r>
    <m/>
    <m/>
    <x v="1"/>
    <s v="44421791004001"/>
    <n v="-152.33000000000001"/>
    <n v="3241"/>
    <n v="1"/>
    <n v="1"/>
  </r>
  <r>
    <m/>
    <m/>
    <x v="1"/>
    <s v="53108976001002"/>
    <n v="-57.39"/>
    <n v="1221"/>
    <n v="1"/>
    <n v="1"/>
  </r>
  <r>
    <m/>
    <m/>
    <x v="1"/>
    <s v="69860520001002"/>
    <n v="-34.22"/>
    <n v="728"/>
    <n v="1"/>
    <n v="1"/>
  </r>
  <r>
    <m/>
    <m/>
    <x v="6"/>
    <m/>
    <n v="-460.28"/>
    <n v="9793"/>
    <n v="6"/>
    <n v="6"/>
  </r>
  <r>
    <m/>
    <s v="201202"/>
    <x v="0"/>
    <s v="38571737001003"/>
    <n v="-29.369999999999997"/>
    <n v="1486"/>
    <n v="2"/>
    <n v="1"/>
  </r>
  <r>
    <m/>
    <m/>
    <x v="2"/>
    <m/>
    <n v="-29.369999999999997"/>
    <n v="1486"/>
    <n v="2"/>
    <n v="1"/>
  </r>
  <r>
    <m/>
    <m/>
    <x v="5"/>
    <s v="42737381006001"/>
    <n v="-146.78"/>
    <n v="3123"/>
    <n v="2"/>
    <n v="1"/>
  </r>
  <r>
    <m/>
    <m/>
    <x v="6"/>
    <m/>
    <n v="-146.78"/>
    <n v="3123"/>
    <n v="2"/>
    <n v="1"/>
  </r>
  <r>
    <m/>
    <s v="201203"/>
    <x v="5"/>
    <s v="19280275003003"/>
    <n v="-106.6"/>
    <n v="2268"/>
    <n v="1"/>
    <n v="1"/>
  </r>
  <r>
    <m/>
    <m/>
    <x v="6"/>
    <m/>
    <n v="-106.6"/>
    <n v="2268"/>
    <n v="1"/>
    <n v="1"/>
  </r>
  <r>
    <m/>
    <s v="201204"/>
    <x v="5"/>
    <s v="33652204001001"/>
    <n v="-138.78"/>
    <n v="3337"/>
    <n v="6"/>
    <n v="1"/>
  </r>
  <r>
    <m/>
    <m/>
    <x v="6"/>
    <m/>
    <n v="-138.78"/>
    <n v="3337"/>
    <n v="6"/>
    <n v="1"/>
  </r>
  <r>
    <s v="Grand Total"/>
    <m/>
    <x v="1"/>
    <m/>
    <n v="-901460.73999999871"/>
    <n v="27046084"/>
    <n v="2894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5:D10" firstHeaderRow="1" firstDataRow="2" firstDataCol="1"/>
  <pivotFields count="8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8">
        <item h="1" x="5"/>
        <item h="1" x="3"/>
        <item h="1" x="0"/>
        <item x="2"/>
        <item x="4"/>
        <item x="6"/>
        <item h="1"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2"/>
  </rowFields>
  <rowItems count="4"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Sum of Amount" fld="4" baseField="0" baseItem="0"/>
    <dataField name="Sum of Sum of Billing Quantity" fld="5" baseField="0" baseItem="0"/>
    <dataField name="Sum of Participants" fld="7" baseField="0" baseItem="0"/>
  </dataFields>
  <formats count="22">
    <format dxfId="21">
      <pivotArea dataOnly="0" labelOnly="1" grandRow="1" outline="0" fieldPosition="0"/>
    </format>
    <format dxfId="20">
      <pivotArea field="2" grandRow="1" outline="0" axis="axisRow" fieldPosition="0">
        <references count="1">
          <reference field="4294967294" count="1" selected="0">
            <x v="0"/>
          </reference>
        </references>
      </pivotArea>
    </format>
    <format dxfId="19">
      <pivotArea field="2" grandRow="1" outline="0" axis="axisRow" fieldPosition="0">
        <references count="1">
          <reference field="4294967294" count="1" selected="0">
            <x v="1"/>
          </reference>
        </references>
      </pivotArea>
    </format>
    <format dxfId="18">
      <pivotArea field="2" grandRow="1" outline="0" axis="axisRow" fieldPosition="0">
        <references count="1">
          <reference field="4294967294" count="1" selected="0">
            <x v="2"/>
          </reference>
        </references>
      </pivotArea>
    </format>
    <format dxfId="17">
      <pivotArea field="2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type="origin" dataOnly="0" labelOnly="1" outline="0" fieldPosition="0"/>
    </format>
    <format dxfId="12">
      <pivotArea field="-2" type="button" dataOnly="0" labelOnly="1" outline="0" axis="axisCol" fieldPosition="0"/>
    </format>
    <format dxfId="11">
      <pivotArea type="topRight" dataOnly="0" labelOnly="1" outline="0" fieldPosition="0"/>
    </format>
    <format dxfId="10">
      <pivotArea grandRow="1" outline="0" fieldPosition="0"/>
    </format>
    <format dxfId="9">
      <pivotArea dataOnly="0" labelOnly="1" grandRow="1" outline="0" fieldPosition="0"/>
    </format>
    <format dxfId="8">
      <pivotArea type="origin" dataOnly="0" labelOnly="1" outline="0" fieldPosition="0"/>
    </format>
    <format dxfId="7">
      <pivotArea field="-2" type="button" dataOnly="0" labelOnly="1" outline="0" axis="axisCol" fieldPosition="0"/>
    </format>
    <format dxfId="6">
      <pivotArea type="topRight" dataOnly="0" labelOnly="1" outline="0" fieldPosition="0"/>
    </format>
    <format dxfId="5">
      <pivotArea grandRow="1" outline="0" fieldPosition="0"/>
    </format>
    <format dxfId="4">
      <pivotArea dataOnly="0" labelOnly="1" grandRow="1" outline="0" fieldPosition="0"/>
    </format>
    <format dxfId="3">
      <pivotArea field="2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eia.gov/emeu/recs/recs2001/enduse2001/enduse2001.html" TargetMode="External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hud.gov/offices/adm/hudclips/guidebooks/7420.10G/7420g18GUID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44">
    <pageSetUpPr fitToPage="1"/>
  </sheetPr>
  <dimension ref="A1:AN47"/>
  <sheetViews>
    <sheetView view="pageLayout" topLeftCell="C35" zoomScaleNormal="55" zoomScaleSheetLayoutView="80" workbookViewId="0">
      <selection activeCell="AL29" sqref="AL29"/>
    </sheetView>
  </sheetViews>
  <sheetFormatPr defaultColWidth="10.25" defaultRowHeight="15.75"/>
  <cols>
    <col min="1" max="1" width="8.125" style="153" bestFit="1" customWidth="1"/>
    <col min="2" max="2" width="37.125" style="154" bestFit="1" customWidth="1"/>
    <col min="3" max="3" width="5.625" style="154" bestFit="1" customWidth="1"/>
    <col min="4" max="4" width="2.125" style="154" customWidth="1"/>
    <col min="5" max="5" width="9.25" style="153" hidden="1" customWidth="1"/>
    <col min="6" max="6" width="8" style="153" bestFit="1" customWidth="1"/>
    <col min="7" max="7" width="2" style="153" customWidth="1"/>
    <col min="8" max="8" width="11" style="153" hidden="1" customWidth="1"/>
    <col min="9" max="9" width="9.5" style="153" bestFit="1" customWidth="1"/>
    <col min="10" max="10" width="2.125" style="153" customWidth="1"/>
    <col min="11" max="11" width="10.25" style="153" hidden="1" customWidth="1"/>
    <col min="12" max="12" width="11.875" style="153" bestFit="1" customWidth="1"/>
    <col min="13" max="13" width="2.75" style="153" customWidth="1"/>
    <col min="14" max="14" width="15" style="153" bestFit="1" customWidth="1"/>
    <col min="15" max="15" width="1.5" style="153" customWidth="1"/>
    <col min="16" max="16" width="13.75" style="153" bestFit="1" customWidth="1"/>
    <col min="17" max="17" width="1.375" style="153" customWidth="1"/>
    <col min="18" max="18" width="15" style="153" bestFit="1" customWidth="1"/>
    <col min="19" max="19" width="2" style="153" hidden="1" customWidth="1"/>
    <col min="20" max="20" width="20.25" style="153" hidden="1" customWidth="1"/>
    <col min="21" max="21" width="3.625" style="153" customWidth="1"/>
    <col min="22" max="22" width="8.125" style="153" bestFit="1" customWidth="1"/>
    <col min="23" max="23" width="7.75" style="153" bestFit="1" customWidth="1"/>
    <col min="24" max="24" width="14.125" style="153" hidden="1" customWidth="1"/>
    <col min="25" max="25" width="12.25" style="153" hidden="1" customWidth="1"/>
    <col min="26" max="26" width="14.5" style="153" hidden="1" customWidth="1"/>
    <col min="27" max="27" width="15.25" style="153" hidden="1" customWidth="1"/>
    <col min="28" max="28" width="6.75" style="153" hidden="1" customWidth="1"/>
    <col min="29" max="29" width="20.75" style="153" hidden="1" customWidth="1"/>
    <col min="30" max="30" width="3.875" style="153" hidden="1" customWidth="1"/>
    <col min="31" max="31" width="11.75" style="153" hidden="1" customWidth="1"/>
    <col min="32" max="32" width="2.125" style="153" hidden="1" customWidth="1"/>
    <col min="33" max="33" width="8.25" style="153" hidden="1" customWidth="1"/>
    <col min="34" max="34" width="3.125" style="153" hidden="1" customWidth="1"/>
    <col min="35" max="35" width="7.25" style="153" customWidth="1"/>
    <col min="36" max="36" width="0.125" style="153" customWidth="1"/>
    <col min="37" max="37" width="13.75" style="153" bestFit="1" customWidth="1"/>
    <col min="38" max="38" width="13.5" style="153" bestFit="1" customWidth="1"/>
    <col min="39" max="16384" width="10.25" style="153"/>
  </cols>
  <sheetData>
    <row r="1" spans="1:40">
      <c r="A1" s="1865" t="s">
        <v>1032</v>
      </c>
      <c r="B1" s="1865"/>
      <c r="C1" s="1865"/>
      <c r="D1" s="1865"/>
      <c r="E1" s="1865"/>
      <c r="F1" s="1865"/>
      <c r="G1" s="1865"/>
      <c r="H1" s="1865"/>
      <c r="I1" s="1865"/>
      <c r="J1" s="1865"/>
      <c r="K1" s="1865"/>
      <c r="L1" s="1865"/>
      <c r="M1" s="1865"/>
      <c r="N1" s="1865"/>
      <c r="O1" s="1865"/>
      <c r="P1" s="1865"/>
      <c r="Q1" s="1865"/>
      <c r="R1" s="1865"/>
      <c r="S1" s="1865"/>
      <c r="T1" s="1865"/>
      <c r="U1" s="1865"/>
      <c r="V1" s="1865"/>
      <c r="W1" s="1865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</row>
    <row r="2" spans="1:40">
      <c r="A2" s="1865" t="s">
        <v>1035</v>
      </c>
      <c r="B2" s="1865"/>
      <c r="C2" s="1865"/>
      <c r="D2" s="1865"/>
      <c r="E2" s="1865"/>
      <c r="F2" s="1865"/>
      <c r="G2" s="1865"/>
      <c r="H2" s="1865"/>
      <c r="I2" s="1865"/>
      <c r="J2" s="1865"/>
      <c r="K2" s="1865"/>
      <c r="L2" s="1865"/>
      <c r="M2" s="1865"/>
      <c r="N2" s="1865"/>
      <c r="O2" s="1865"/>
      <c r="P2" s="1865"/>
      <c r="Q2" s="1865"/>
      <c r="R2" s="1865"/>
      <c r="S2" s="1865"/>
      <c r="T2" s="1865"/>
      <c r="U2" s="1865"/>
      <c r="V2" s="1865"/>
      <c r="W2" s="1865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</row>
    <row r="3" spans="1:40">
      <c r="A3" s="1865" t="s">
        <v>1033</v>
      </c>
      <c r="B3" s="1865"/>
      <c r="C3" s="1865"/>
      <c r="D3" s="1865"/>
      <c r="E3" s="1865"/>
      <c r="F3" s="1865"/>
      <c r="G3" s="1865"/>
      <c r="H3" s="1865"/>
      <c r="I3" s="1865"/>
      <c r="J3" s="1865"/>
      <c r="K3" s="1865"/>
      <c r="L3" s="1865"/>
      <c r="M3" s="1865"/>
      <c r="N3" s="1865"/>
      <c r="O3" s="1865"/>
      <c r="P3" s="1865"/>
      <c r="Q3" s="1865"/>
      <c r="R3" s="1865"/>
      <c r="S3" s="1865"/>
      <c r="T3" s="1865"/>
      <c r="U3" s="1865"/>
      <c r="V3" s="1865"/>
      <c r="W3" s="1865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</row>
    <row r="4" spans="1:40">
      <c r="A4" s="1866" t="s">
        <v>1034</v>
      </c>
      <c r="B4" s="1866"/>
      <c r="C4" s="1866"/>
      <c r="D4" s="1866"/>
      <c r="E4" s="1866"/>
      <c r="F4" s="1866"/>
      <c r="G4" s="1866"/>
      <c r="H4" s="1866"/>
      <c r="I4" s="1866"/>
      <c r="J4" s="1866"/>
      <c r="K4" s="1866"/>
      <c r="L4" s="1866"/>
      <c r="M4" s="1866"/>
      <c r="N4" s="1866"/>
      <c r="O4" s="1866"/>
      <c r="P4" s="1866"/>
      <c r="Q4" s="1866"/>
      <c r="R4" s="1866"/>
      <c r="S4" s="1866"/>
      <c r="T4" s="1866"/>
      <c r="U4" s="1866"/>
      <c r="V4" s="1866"/>
      <c r="W4" s="1866"/>
      <c r="X4" s="159"/>
      <c r="Y4" s="159"/>
      <c r="Z4" s="159"/>
      <c r="AA4" s="159"/>
      <c r="AB4" s="159"/>
      <c r="AC4" s="159"/>
      <c r="AD4" s="159"/>
      <c r="AE4" s="163" t="s">
        <v>307</v>
      </c>
      <c r="AF4" s="165"/>
      <c r="AG4" s="163" t="s">
        <v>309</v>
      </c>
      <c r="AH4" s="159"/>
      <c r="AI4" s="159"/>
      <c r="AJ4" s="159"/>
    </row>
    <row r="5" spans="1:40">
      <c r="C5" s="152"/>
      <c r="D5" s="152"/>
      <c r="E5" s="164" t="s">
        <v>311</v>
      </c>
      <c r="K5" s="163" t="s">
        <v>189</v>
      </c>
      <c r="L5" s="163"/>
      <c r="M5" s="167"/>
      <c r="N5" s="1204"/>
      <c r="O5" s="167"/>
      <c r="P5" s="1204"/>
      <c r="Q5" s="167"/>
      <c r="R5" s="1204"/>
      <c r="S5" s="163"/>
      <c r="T5" s="163" t="s">
        <v>203</v>
      </c>
      <c r="U5" s="163"/>
      <c r="AB5" s="166"/>
      <c r="AC5" s="166"/>
      <c r="AD5" s="166"/>
      <c r="AE5" s="1203" t="s">
        <v>173</v>
      </c>
      <c r="AF5" s="166"/>
      <c r="AG5" s="163" t="s">
        <v>173</v>
      </c>
      <c r="AH5" s="169"/>
      <c r="AI5" s="166"/>
      <c r="AJ5" s="169"/>
    </row>
    <row r="6" spans="1:40">
      <c r="A6" s="169"/>
      <c r="C6" s="152"/>
      <c r="D6" s="152"/>
      <c r="E6" s="164" t="s">
        <v>314</v>
      </c>
      <c r="F6" s="164"/>
      <c r="H6" s="164" t="s">
        <v>315</v>
      </c>
      <c r="K6" s="164" t="s">
        <v>37</v>
      </c>
      <c r="L6" s="164"/>
      <c r="M6" s="169"/>
      <c r="N6" s="1864" t="s">
        <v>1036</v>
      </c>
      <c r="O6" s="1864"/>
      <c r="P6" s="1864"/>
      <c r="Q6" s="1864"/>
      <c r="R6" s="1864"/>
      <c r="S6" s="164"/>
      <c r="T6" s="164" t="s">
        <v>37</v>
      </c>
      <c r="U6" s="164"/>
      <c r="V6" s="1863" t="s">
        <v>173</v>
      </c>
      <c r="W6" s="1863"/>
      <c r="X6" s="1863"/>
      <c r="Y6" s="1863"/>
      <c r="Z6" s="1863"/>
      <c r="AA6" s="1863"/>
      <c r="AB6" s="169"/>
      <c r="AC6" s="169"/>
      <c r="AD6" s="169"/>
      <c r="AE6" s="164" t="s">
        <v>191</v>
      </c>
      <c r="AF6" s="169"/>
      <c r="AG6" s="164" t="s">
        <v>316</v>
      </c>
      <c r="AH6" s="169"/>
      <c r="AI6" s="163"/>
      <c r="AJ6" s="171"/>
      <c r="AK6" s="160"/>
    </row>
    <row r="7" spans="1:40" s="1298" customFormat="1" ht="47.25">
      <c r="A7" s="1296" t="s">
        <v>968</v>
      </c>
      <c r="B7" s="1307" t="s">
        <v>204</v>
      </c>
      <c r="C7" s="1307" t="s">
        <v>1024</v>
      </c>
      <c r="D7" s="1307"/>
      <c r="E7" s="1297" t="s">
        <v>306</v>
      </c>
      <c r="F7" s="1297" t="s">
        <v>1025</v>
      </c>
      <c r="G7" s="1308"/>
      <c r="H7" s="1297" t="s">
        <v>306</v>
      </c>
      <c r="I7" s="1297" t="s">
        <v>315</v>
      </c>
      <c r="J7" s="1308"/>
      <c r="K7" s="1305" t="s">
        <v>200</v>
      </c>
      <c r="L7" s="1305" t="s">
        <v>1026</v>
      </c>
      <c r="M7" s="1297"/>
      <c r="N7" s="1301" t="s">
        <v>1027</v>
      </c>
      <c r="O7" s="1297"/>
      <c r="P7" s="1301" t="s">
        <v>1028</v>
      </c>
      <c r="Q7" s="1297"/>
      <c r="R7" s="1302" t="s">
        <v>1029</v>
      </c>
      <c r="S7" s="1305"/>
      <c r="T7" s="1305" t="s">
        <v>200</v>
      </c>
      <c r="U7" s="1305"/>
      <c r="V7" s="1303" t="s">
        <v>1030</v>
      </c>
      <c r="W7" s="1297" t="s">
        <v>1031</v>
      </c>
      <c r="X7" s="1303" t="s">
        <v>200</v>
      </c>
      <c r="Y7" s="1297" t="s">
        <v>317</v>
      </c>
      <c r="Z7" s="1303" t="s">
        <v>200</v>
      </c>
      <c r="AA7" s="1297" t="s">
        <v>317</v>
      </c>
      <c r="AB7" s="1304"/>
      <c r="AC7" s="1305" t="s">
        <v>318</v>
      </c>
      <c r="AD7" s="1304"/>
      <c r="AE7" s="1299" t="s">
        <v>318</v>
      </c>
      <c r="AF7" s="1304"/>
      <c r="AG7" s="1297" t="s">
        <v>25</v>
      </c>
      <c r="AH7" s="1304"/>
      <c r="AI7" s="1300"/>
      <c r="AJ7" s="1304"/>
      <c r="AK7" s="1306"/>
    </row>
    <row r="8" spans="1:40">
      <c r="A8" s="180"/>
      <c r="B8" s="170" t="s">
        <v>1014</v>
      </c>
      <c r="C8" s="170" t="s">
        <v>1015</v>
      </c>
      <c r="D8" s="152"/>
      <c r="E8" s="170"/>
      <c r="F8" s="170" t="s">
        <v>1016</v>
      </c>
      <c r="H8" s="170"/>
      <c r="I8" s="170" t="s">
        <v>1017</v>
      </c>
      <c r="K8" s="170"/>
      <c r="L8" s="170" t="s">
        <v>1018</v>
      </c>
      <c r="M8" s="170"/>
      <c r="N8" s="170" t="s">
        <v>1019</v>
      </c>
      <c r="O8" s="170"/>
      <c r="P8" s="1207" t="s">
        <v>1020</v>
      </c>
      <c r="Q8" s="170"/>
      <c r="R8" s="1207" t="s">
        <v>1023</v>
      </c>
      <c r="S8" s="170"/>
      <c r="T8" s="170"/>
      <c r="U8" s="170"/>
      <c r="V8" s="1207" t="s">
        <v>1021</v>
      </c>
      <c r="W8" s="1207" t="s">
        <v>1022</v>
      </c>
      <c r="X8" s="170" t="s">
        <v>326</v>
      </c>
      <c r="Y8" s="170" t="s">
        <v>326</v>
      </c>
      <c r="Z8" s="170"/>
      <c r="AA8" s="170"/>
      <c r="AB8" s="170"/>
      <c r="AC8" s="170"/>
      <c r="AD8" s="170"/>
      <c r="AE8" s="1207" t="s">
        <v>924</v>
      </c>
      <c r="AF8" s="170"/>
      <c r="AG8" s="1207" t="s">
        <v>925</v>
      </c>
      <c r="AH8" s="170"/>
      <c r="AI8" s="167"/>
      <c r="AJ8" s="167"/>
      <c r="AK8" s="160"/>
    </row>
    <row r="9" spans="1:40">
      <c r="A9" s="169">
        <v>1</v>
      </c>
      <c r="M9" s="170"/>
      <c r="N9" s="1207"/>
      <c r="O9" s="170"/>
      <c r="P9" s="170"/>
      <c r="Q9" s="170"/>
      <c r="R9" s="1207" t="s">
        <v>31</v>
      </c>
      <c r="W9" s="1207"/>
      <c r="Y9" s="170" t="s">
        <v>330</v>
      </c>
      <c r="AA9" s="170"/>
      <c r="AE9" s="1207" t="s">
        <v>926</v>
      </c>
      <c r="AG9" s="1207" t="s">
        <v>927</v>
      </c>
      <c r="AI9" s="160"/>
      <c r="AJ9" s="160"/>
      <c r="AK9" s="160"/>
    </row>
    <row r="10" spans="1:40">
      <c r="A10" s="169">
        <f>A9+1</f>
        <v>2</v>
      </c>
      <c r="B10" s="1294" t="s">
        <v>17</v>
      </c>
      <c r="AI10" s="160"/>
      <c r="AJ10" s="160"/>
      <c r="AK10" s="160"/>
    </row>
    <row r="11" spans="1:40">
      <c r="A11" s="169">
        <f>A10+1</f>
        <v>3</v>
      </c>
      <c r="B11" s="1288" t="s">
        <v>333</v>
      </c>
      <c r="C11" s="1289" t="s">
        <v>1037</v>
      </c>
      <c r="D11" s="1289"/>
      <c r="E11" s="1290">
        <v>101336.91666666667</v>
      </c>
      <c r="F11" s="1290">
        <f>'Pages 2-3, Res Schedules'!B10/12</f>
        <v>104296.97777777778</v>
      </c>
      <c r="G11" s="1291"/>
      <c r="H11" s="1290">
        <v>1569938.6044392167</v>
      </c>
      <c r="I11" s="1290">
        <f>'Pages 2-3, Res Schedules'!B25/1000</f>
        <v>1601807.788900645</v>
      </c>
      <c r="J11" s="195"/>
      <c r="K11" s="1292">
        <v>102672.94442530281</v>
      </c>
      <c r="L11" s="1205">
        <f ca="1">'Pages 4-11, All Other Schedules'!H94/1000</f>
        <v>134571.28710393453</v>
      </c>
      <c r="M11" s="1286"/>
      <c r="N11" s="1293">
        <f>'Pages 2-3, Res Schedules'!K25/1000</f>
        <v>142026.84210393453</v>
      </c>
      <c r="O11" s="1286"/>
      <c r="P11" s="1292">
        <v>0</v>
      </c>
      <c r="Q11" s="1286"/>
      <c r="R11" s="1293">
        <f>SUM(N11:P11)</f>
        <v>142026.84210393453</v>
      </c>
      <c r="S11" s="1292"/>
      <c r="T11" s="1293">
        <f ca="1">R11+X11</f>
        <v>142914.24361898549</v>
      </c>
      <c r="U11" s="1292"/>
      <c r="V11" s="1292">
        <f ca="1">R11-L11</f>
        <v>7455.554999999993</v>
      </c>
      <c r="W11" s="1286">
        <f ca="1">V11/L11</f>
        <v>5.5402271617137643E-2</v>
      </c>
      <c r="X11" s="184">
        <f ca="1">(AC11/100)*I11</f>
        <v>887.4015150509573</v>
      </c>
      <c r="Y11" s="187">
        <f ca="1">X11/L11</f>
        <v>6.5942857064715688E-3</v>
      </c>
      <c r="Z11" s="184">
        <f ca="1">V11+X11</f>
        <v>8342.9565150509497</v>
      </c>
      <c r="AA11" s="187">
        <f ca="1">Z11/L11</f>
        <v>6.199655732360921E-2</v>
      </c>
      <c r="AB11" s="185"/>
      <c r="AC11" s="188">
        <f ca="1">ROUND((((L11/$L$33)*$X$39)/I11)*100,4)</f>
        <v>5.5399999999999998E-2</v>
      </c>
      <c r="AD11" s="185"/>
      <c r="AE11" s="189">
        <f>R11/I11*100</f>
        <v>8.8666594761291915</v>
      </c>
      <c r="AF11" s="185"/>
      <c r="AG11" s="190">
        <f ca="1">(V11/I11)*100</f>
        <v>0.46544629459673814</v>
      </c>
      <c r="AH11" s="185"/>
      <c r="AI11" s="191" t="s">
        <v>31</v>
      </c>
      <c r="AJ11" s="192"/>
      <c r="AK11" s="106">
        <f ca="1">V11*1000</f>
        <v>7455554.9999999925</v>
      </c>
      <c r="AL11" s="155" t="s">
        <v>31</v>
      </c>
      <c r="AM11" s="207">
        <f>'Rate Spread-Staff'!U16</f>
        <v>7455.2493055579735</v>
      </c>
      <c r="AN11" s="207">
        <f ca="1">AM11-V11</f>
        <v>-0.30569444201955775</v>
      </c>
    </row>
    <row r="12" spans="1:40">
      <c r="A12" s="169">
        <f t="shared" ref="A12" si="0">A11+1</f>
        <v>4</v>
      </c>
      <c r="B12" s="181" t="s">
        <v>335</v>
      </c>
      <c r="E12" s="203">
        <f>SUM(E11:E11)</f>
        <v>101336.91666666667</v>
      </c>
      <c r="F12" s="203">
        <f>SUM(F11:F11)</f>
        <v>104296.97777777778</v>
      </c>
      <c r="H12" s="203">
        <f>SUM(H11:H11)</f>
        <v>1569938.6044392167</v>
      </c>
      <c r="I12" s="203">
        <f>SUM(I11:I11)</f>
        <v>1601807.788900645</v>
      </c>
      <c r="J12" s="203"/>
      <c r="K12" s="184">
        <f>SUM(K11:K11)</f>
        <v>102672.94442530281</v>
      </c>
      <c r="L12" s="184">
        <f ca="1">SUM(L11:L11)</f>
        <v>134571.28710393453</v>
      </c>
      <c r="M12" s="185"/>
      <c r="N12" s="184">
        <f>SUM(N11:N11)</f>
        <v>142026.84210393453</v>
      </c>
      <c r="O12" s="185"/>
      <c r="P12" s="184">
        <f>SUM(P11:P11)</f>
        <v>0</v>
      </c>
      <c r="Q12" s="185"/>
      <c r="R12" s="184">
        <f>SUM(R11:R11)</f>
        <v>142026.84210393453</v>
      </c>
      <c r="S12" s="204"/>
      <c r="T12" s="186">
        <f ca="1">SUM(T11:T11)</f>
        <v>142914.24361898549</v>
      </c>
      <c r="U12" s="204"/>
      <c r="V12" s="184">
        <f ca="1">SUM(V11:V11)</f>
        <v>7455.554999999993</v>
      </c>
      <c r="W12" s="185">
        <f ca="1">V12/L12</f>
        <v>5.5402271617137643E-2</v>
      </c>
      <c r="X12" s="184">
        <f ca="1">SUM(X11)</f>
        <v>887.4015150509573</v>
      </c>
      <c r="Y12" s="187">
        <f ca="1">X12/L12</f>
        <v>6.5942857064715688E-3</v>
      </c>
      <c r="Z12" s="184">
        <f ca="1">V12+X12</f>
        <v>8342.9565150509497</v>
      </c>
      <c r="AA12" s="187">
        <f ca="1">Z12/L12</f>
        <v>6.199655732360921E-2</v>
      </c>
      <c r="AB12" s="185"/>
      <c r="AC12" s="205"/>
      <c r="AD12" s="185"/>
      <c r="AE12" s="189">
        <f>R12/I12*100</f>
        <v>8.8666594761291915</v>
      </c>
      <c r="AF12" s="185"/>
      <c r="AG12" s="190">
        <f ca="1">(V12/I12)*100</f>
        <v>0.46544629459673814</v>
      </c>
      <c r="AH12" s="185"/>
      <c r="AI12" s="190"/>
      <c r="AJ12" s="192"/>
      <c r="AK12" s="160"/>
    </row>
    <row r="13" spans="1:40">
      <c r="A13" s="169">
        <f t="shared" ref="A13:A37" si="1">A12+1</f>
        <v>5</v>
      </c>
      <c r="I13" s="1189" t="s">
        <v>31</v>
      </c>
      <c r="W13" s="1351"/>
      <c r="Y13" s="200"/>
      <c r="AA13" s="200"/>
      <c r="AC13" s="201"/>
      <c r="AG13" s="202"/>
      <c r="AI13" s="20"/>
      <c r="AJ13" s="160"/>
      <c r="AK13" s="160"/>
      <c r="AM13" s="207"/>
    </row>
    <row r="14" spans="1:40">
      <c r="A14" s="169">
        <f t="shared" si="1"/>
        <v>6</v>
      </c>
      <c r="B14" s="1294" t="s">
        <v>336</v>
      </c>
      <c r="E14" s="206"/>
      <c r="F14" s="206"/>
      <c r="W14" s="1351"/>
      <c r="Y14" s="200"/>
      <c r="AA14" s="200"/>
      <c r="AC14" s="201"/>
      <c r="AG14" s="202"/>
      <c r="AI14" s="20"/>
      <c r="AJ14" s="160"/>
      <c r="AK14" s="160"/>
      <c r="AM14" s="207"/>
    </row>
    <row r="15" spans="1:40">
      <c r="A15" s="169">
        <f t="shared" si="1"/>
        <v>7</v>
      </c>
      <c r="B15" s="154" t="s">
        <v>337</v>
      </c>
      <c r="C15" s="152">
        <v>24</v>
      </c>
      <c r="D15" s="152"/>
      <c r="E15" s="183">
        <v>17306.416666666664</v>
      </c>
      <c r="F15" s="183">
        <f>'Pages 4-11, All Other Schedules'!B168/12</f>
        <v>18646.79166666606</v>
      </c>
      <c r="H15" s="183">
        <v>513041.74113523914</v>
      </c>
      <c r="I15" s="183">
        <f ca="1">'Pages 4-11, All Other Schedules'!B196/1000</f>
        <v>537395.79148303834</v>
      </c>
      <c r="K15" s="204">
        <v>33647.646251191611</v>
      </c>
      <c r="L15" s="204">
        <f ca="1">'Pages 4-11, All Other Schedules'!H196/1000</f>
        <v>45261.337330470167</v>
      </c>
      <c r="M15" s="185"/>
      <c r="N15" s="186">
        <f t="shared" ref="N15:N22" ca="1" si="2">R15-P15</f>
        <v>46351.453330470169</v>
      </c>
      <c r="O15" s="185"/>
      <c r="P15" s="184">
        <f>('Pages 4-11, All Other Schedules'!K174+'Pages 4-11, All Other Schedules'!K175+'Pages 4-11, All Other Schedules'!K176)/1000</f>
        <v>0</v>
      </c>
      <c r="Q15" s="185"/>
      <c r="R15" s="204">
        <f ca="1">'Pages 4-11, All Other Schedules'!K196/1000</f>
        <v>46351.453330470169</v>
      </c>
      <c r="S15" s="184"/>
      <c r="T15" s="186">
        <f t="shared" ref="T15:T22" ca="1" si="3">R15+X15</f>
        <v>46649.707994743258</v>
      </c>
      <c r="U15" s="184"/>
      <c r="V15" s="184">
        <f ca="1">('Pages 4-11, All Other Schedules'!K196-'Pages 4-11, All Other Schedules'!H196)/1000</f>
        <v>1090.116</v>
      </c>
      <c r="W15" s="185">
        <f ca="1">V15/L15</f>
        <v>2.4084926877892498E-2</v>
      </c>
      <c r="X15" s="184">
        <f t="shared" ref="X15:X22" ca="1" si="4">(AC15/100)*I15</f>
        <v>298.25466427308629</v>
      </c>
      <c r="Y15" s="187">
        <f ca="1">X15/L15</f>
        <v>6.5896122798011032E-3</v>
      </c>
      <c r="Z15" s="184">
        <f t="shared" ref="Z15:Z22" ca="1" si="5">V15+X15</f>
        <v>1388.3706642730863</v>
      </c>
      <c r="AA15" s="187">
        <f ca="1">Z15/L15</f>
        <v>3.0674539157693602E-2</v>
      </c>
      <c r="AB15" s="185"/>
      <c r="AC15" s="188">
        <f ca="1">ROUND((((L15/$L$33)*$X$39)/I15)*100,4)</f>
        <v>5.5500000000000001E-2</v>
      </c>
      <c r="AD15" s="185"/>
      <c r="AE15" s="189">
        <f ca="1">R15/I15*100</f>
        <v>8.6251984226663119</v>
      </c>
      <c r="AF15" s="185"/>
      <c r="AG15" s="190">
        <f ca="1">(V15/I15)*100</f>
        <v>0.20285160719097425</v>
      </c>
      <c r="AH15" s="185"/>
      <c r="AI15" s="190"/>
      <c r="AJ15" s="192"/>
      <c r="AK15" s="106">
        <f ca="1">V15*1000</f>
        <v>1090116</v>
      </c>
      <c r="AL15" s="207"/>
      <c r="AM15" s="207">
        <f>'Rate Spread-Staff'!U22</f>
        <v>1090.7982296643311</v>
      </c>
      <c r="AN15" s="207">
        <f ca="1">AM15-V15</f>
        <v>0.68222966433108923</v>
      </c>
    </row>
    <row r="16" spans="1:40">
      <c r="A16" s="169">
        <f t="shared" si="1"/>
        <v>8</v>
      </c>
      <c r="B16" s="52" t="s">
        <v>338</v>
      </c>
      <c r="C16" s="86">
        <v>33</v>
      </c>
      <c r="D16" s="152"/>
      <c r="E16" s="183">
        <v>0</v>
      </c>
      <c r="F16" s="183">
        <v>0</v>
      </c>
      <c r="H16" s="183">
        <v>0</v>
      </c>
      <c r="I16" s="183">
        <v>0</v>
      </c>
      <c r="K16" s="184">
        <v>0</v>
      </c>
      <c r="L16" s="184">
        <v>0</v>
      </c>
      <c r="M16" s="185"/>
      <c r="N16" s="186">
        <f t="shared" si="2"/>
        <v>0</v>
      </c>
      <c r="O16" s="185"/>
      <c r="P16" s="184">
        <f>('Pages 4-11, All Other Schedules'!K583+'Pages 4-11, All Other Schedules'!K584)/1000</f>
        <v>0</v>
      </c>
      <c r="Q16" s="185"/>
      <c r="R16" s="204">
        <f>'Pages 4-11, All Other Schedules'!K587/100</f>
        <v>0</v>
      </c>
      <c r="S16" s="184"/>
      <c r="T16" s="186">
        <f t="shared" si="3"/>
        <v>0</v>
      </c>
      <c r="U16" s="184"/>
      <c r="V16" s="184">
        <f>('Pages 4-11, All Other Schedules'!K587-'Pages 4-11, All Other Schedules'!H587)/1000</f>
        <v>0</v>
      </c>
      <c r="W16" s="185">
        <f ca="1">W17</f>
        <v>4.5796224945601989E-2</v>
      </c>
      <c r="X16" s="184">
        <f t="shared" si="4"/>
        <v>0</v>
      </c>
      <c r="Y16" s="187">
        <v>0</v>
      </c>
      <c r="Z16" s="184">
        <f t="shared" si="5"/>
        <v>0</v>
      </c>
      <c r="AA16" s="187">
        <f ca="1">W16+Y16</f>
        <v>4.5796224945601989E-2</v>
      </c>
      <c r="AB16" s="185"/>
      <c r="AC16" s="188">
        <v>0</v>
      </c>
      <c r="AD16" s="185"/>
      <c r="AE16" s="189">
        <v>0</v>
      </c>
      <c r="AF16" s="185"/>
      <c r="AG16" s="190">
        <v>0</v>
      </c>
      <c r="AH16" s="185"/>
      <c r="AI16" s="190"/>
      <c r="AJ16" s="192"/>
      <c r="AK16" s="160"/>
      <c r="AL16" s="207"/>
      <c r="AM16" s="207"/>
    </row>
    <row r="17" spans="1:40">
      <c r="A17" s="169">
        <f t="shared" si="1"/>
        <v>9</v>
      </c>
      <c r="B17" s="154" t="s">
        <v>339</v>
      </c>
      <c r="C17" s="152">
        <v>36</v>
      </c>
      <c r="D17" s="152"/>
      <c r="E17" s="183">
        <v>1058.6666666666667</v>
      </c>
      <c r="F17" s="183">
        <f>'Pages 4-11, All Other Schedules'!B596/12</f>
        <v>1044.4944444444445</v>
      </c>
      <c r="H17" s="183">
        <v>901191.51506367233</v>
      </c>
      <c r="I17" s="183">
        <f ca="1">'Pages 4-11, All Other Schedules'!B627/1000</f>
        <v>860704.39038612752</v>
      </c>
      <c r="K17" s="204">
        <v>49005.26783999426</v>
      </c>
      <c r="L17" s="204">
        <f ca="1">'Pages 4-11, All Other Schedules'!H627/1000</f>
        <v>61297.41050347397</v>
      </c>
      <c r="M17" s="185"/>
      <c r="N17" s="186">
        <f t="shared" ca="1" si="2"/>
        <v>64104.600503473965</v>
      </c>
      <c r="O17" s="185"/>
      <c r="P17" s="184">
        <f>('Pages 4-11, All Other Schedules'!K606+'Pages 4-11, All Other Schedules'!K607)/1000</f>
        <v>0</v>
      </c>
      <c r="Q17" s="185"/>
      <c r="R17" s="204">
        <f ca="1">'Pages 4-11, All Other Schedules'!K627/1000</f>
        <v>64104.600503473965</v>
      </c>
      <c r="S17" s="184"/>
      <c r="T17" s="186">
        <f t="shared" ca="1" si="3"/>
        <v>64508.270862565056</v>
      </c>
      <c r="U17" s="184"/>
      <c r="V17" s="184">
        <f ca="1">('Pages 4-11, All Other Schedules'!K627-'Pages 4-11, All Other Schedules'!H627)/1000</f>
        <v>2807.19</v>
      </c>
      <c r="W17" s="185">
        <f t="shared" ref="W17:W22" ca="1" si="6">V17/L17</f>
        <v>4.5796224945601989E-2</v>
      </c>
      <c r="X17" s="184">
        <f t="shared" ca="1" si="4"/>
        <v>403.67035909109376</v>
      </c>
      <c r="Y17" s="187">
        <f t="shared" ref="Y17:Y22" ca="1" si="7">X17/L17</f>
        <v>6.5854390222278014E-3</v>
      </c>
      <c r="Z17" s="184">
        <f t="shared" ca="1" si="5"/>
        <v>3210.8603590910939</v>
      </c>
      <c r="AA17" s="187">
        <f t="shared" ref="AA17:AA22" ca="1" si="8">Z17/L17</f>
        <v>5.238166396782979E-2</v>
      </c>
      <c r="AB17" s="185"/>
      <c r="AC17" s="188">
        <f t="shared" ref="AC17:AC22" ca="1" si="9">ROUND((((L17/$L$33)*$X$39)/I17)*100,4)</f>
        <v>4.6899999999999997E-2</v>
      </c>
      <c r="AD17" s="185"/>
      <c r="AE17" s="189">
        <f t="shared" ref="AE17:AE22" ca="1" si="10">R17/I17*100</f>
        <v>7.4479230290338689</v>
      </c>
      <c r="AF17" s="185"/>
      <c r="AG17" s="190">
        <f t="shared" ref="AG17:AG22" ca="1" si="11">(V17/I17)*100</f>
        <v>0.32615030565147274</v>
      </c>
      <c r="AH17" s="185"/>
      <c r="AI17" s="190"/>
      <c r="AJ17" s="192"/>
      <c r="AK17" s="106">
        <f ca="1">V17*1000</f>
        <v>2807190</v>
      </c>
      <c r="AL17" s="207"/>
      <c r="AM17" s="207">
        <f>'Rate Spread-Staff'!U24</f>
        <v>2807.4214010591077</v>
      </c>
      <c r="AN17" s="207">
        <f ca="1">AM17-V17</f>
        <v>0.23140105910761122</v>
      </c>
    </row>
    <row r="18" spans="1:40">
      <c r="A18" s="169">
        <f t="shared" si="1"/>
        <v>10</v>
      </c>
      <c r="B18" s="154" t="s">
        <v>198</v>
      </c>
      <c r="C18" s="152" t="s">
        <v>340</v>
      </c>
      <c r="D18" s="152"/>
      <c r="E18" s="183">
        <v>5259</v>
      </c>
      <c r="F18" s="183">
        <f>'Pages 4-11, All Other Schedules'!B714</f>
        <v>5260</v>
      </c>
      <c r="H18" s="183">
        <v>168033.04399999999</v>
      </c>
      <c r="I18" s="183">
        <f ca="1">'Pages 4-11, All Other Schedules'!B757/1000</f>
        <v>153555.06536433662</v>
      </c>
      <c r="K18" s="204">
        <v>10140.337</v>
      </c>
      <c r="L18" s="204">
        <f ca="1">'Pages 4-11, All Other Schedules'!H757/1000</f>
        <v>12299.348</v>
      </c>
      <c r="M18" s="185"/>
      <c r="N18" s="186">
        <f t="shared" ca="1" si="2"/>
        <v>12595.489</v>
      </c>
      <c r="O18" s="185"/>
      <c r="P18" s="184">
        <f>'Pages 4-11, All Other Schedules'!K731/1000</f>
        <v>0</v>
      </c>
      <c r="Q18" s="185"/>
      <c r="R18" s="204">
        <f ca="1">'Pages 4-11, All Other Schedules'!K757/1000</f>
        <v>12595.489</v>
      </c>
      <c r="S18" s="184"/>
      <c r="T18" s="186">
        <f t="shared" ca="1" si="3"/>
        <v>12676.56607451237</v>
      </c>
      <c r="U18" s="184"/>
      <c r="V18" s="184">
        <f ca="1">('Pages 4-11, All Other Schedules'!K757-'Pages 4-11, All Other Schedules'!H757)/1000</f>
        <v>296.14100000000002</v>
      </c>
      <c r="W18" s="185">
        <f t="shared" ca="1" si="6"/>
        <v>2.4077780383155271E-2</v>
      </c>
      <c r="X18" s="184">
        <f t="shared" ca="1" si="4"/>
        <v>81.077074512369748</v>
      </c>
      <c r="Y18" s="187">
        <f t="shared" ca="1" si="7"/>
        <v>6.5919815027893954E-3</v>
      </c>
      <c r="Z18" s="184">
        <f t="shared" ca="1" si="5"/>
        <v>377.21807451236975</v>
      </c>
      <c r="AA18" s="187">
        <f t="shared" ca="1" si="8"/>
        <v>3.0669761885944665E-2</v>
      </c>
      <c r="AB18" s="185"/>
      <c r="AC18" s="188">
        <f t="shared" ca="1" si="9"/>
        <v>5.28E-2</v>
      </c>
      <c r="AD18" s="185"/>
      <c r="AE18" s="189">
        <f t="shared" ca="1" si="10"/>
        <v>8.2025877623215937</v>
      </c>
      <c r="AF18" s="185"/>
      <c r="AG18" s="190">
        <f t="shared" ca="1" si="11"/>
        <v>0.19285654908052235</v>
      </c>
      <c r="AH18" s="185"/>
      <c r="AI18" s="190"/>
      <c r="AJ18" s="192"/>
      <c r="AK18" s="106">
        <f ca="1">V18*1000</f>
        <v>296141</v>
      </c>
      <c r="AM18" s="207">
        <f>'Rate Spread-Staff'!U25</f>
        <v>296.41428680000001</v>
      </c>
      <c r="AN18" s="207">
        <f ca="1">AM18-V18</f>
        <v>0.27328679999999395</v>
      </c>
    </row>
    <row r="19" spans="1:40">
      <c r="A19" s="169">
        <f t="shared" si="1"/>
        <v>11</v>
      </c>
      <c r="B19" s="154" t="s">
        <v>341</v>
      </c>
      <c r="C19" s="152">
        <v>47</v>
      </c>
      <c r="D19" s="152"/>
      <c r="E19" s="183">
        <v>1.0833333333333333</v>
      </c>
      <c r="F19" s="183">
        <f>'Pages 4-11, All Other Schedules'!B871/12</f>
        <v>1</v>
      </c>
      <c r="H19" s="183">
        <v>1616.6904507017675</v>
      </c>
      <c r="I19" s="183">
        <f ca="1">'Pages 4-11, All Other Schedules'!B885/1000</f>
        <v>1734.4743654971489</v>
      </c>
      <c r="K19" s="204">
        <v>165.62561725051643</v>
      </c>
      <c r="L19" s="204">
        <f ca="1">'Pages 4-11, All Other Schedules'!H885/1000</f>
        <v>290.56051169386154</v>
      </c>
      <c r="M19" s="185"/>
      <c r="N19" s="186">
        <f t="shared" ca="1" si="2"/>
        <v>308.32151169386157</v>
      </c>
      <c r="O19" s="185"/>
      <c r="P19" s="184">
        <f>'Pages 4-11, All Other Schedules'!K882/1000</f>
        <v>0</v>
      </c>
      <c r="Q19" s="185"/>
      <c r="R19" s="204">
        <f ca="1">'Pages 4-11, All Other Schedules'!K885/1000</f>
        <v>308.32151169386157</v>
      </c>
      <c r="S19" s="184"/>
      <c r="T19" s="186">
        <f t="shared" ca="1" si="3"/>
        <v>310.2363713933704</v>
      </c>
      <c r="U19" s="184"/>
      <c r="V19" s="184">
        <f ca="1">('Pages 4-11, All Other Schedules'!K885-'Pages 4-11, All Other Schedules'!H885)/1000</f>
        <v>17.760999999999999</v>
      </c>
      <c r="W19" s="185">
        <f t="shared" ca="1" si="6"/>
        <v>6.1126681999766119E-2</v>
      </c>
      <c r="X19" s="184">
        <f t="shared" ca="1" si="4"/>
        <v>1.9148596995088523</v>
      </c>
      <c r="Y19" s="187">
        <f t="shared" ca="1" si="7"/>
        <v>6.5902268974745411E-3</v>
      </c>
      <c r="Z19" s="184">
        <f t="shared" ca="1" si="5"/>
        <v>19.675859699508852</v>
      </c>
      <c r="AA19" s="187">
        <f t="shared" ca="1" si="8"/>
        <v>6.7716908897240663E-2</v>
      </c>
      <c r="AB19" s="185"/>
      <c r="AC19" s="188">
        <f t="shared" ca="1" si="9"/>
        <v>0.1104</v>
      </c>
      <c r="AD19" s="185"/>
      <c r="AE19" s="189">
        <f t="shared" ca="1" si="10"/>
        <v>17.776077745922063</v>
      </c>
      <c r="AF19" s="185"/>
      <c r="AG19" s="190">
        <f t="shared" ca="1" si="11"/>
        <v>1.0239989908936589</v>
      </c>
      <c r="AH19" s="185"/>
      <c r="AI19" s="190"/>
      <c r="AJ19" s="192"/>
      <c r="AK19" s="106">
        <f ca="1">V19*1000</f>
        <v>17761</v>
      </c>
      <c r="AM19" s="207">
        <f>'Rate Spread-Staff'!U26</f>
        <v>17.578910957478623</v>
      </c>
      <c r="AN19" s="207">
        <f ca="1">AM19-V19</f>
        <v>-0.18208904252137614</v>
      </c>
    </row>
    <row r="20" spans="1:40">
      <c r="A20" s="169">
        <f t="shared" si="1"/>
        <v>12</v>
      </c>
      <c r="B20" s="154" t="s">
        <v>342</v>
      </c>
      <c r="C20" s="152">
        <v>48</v>
      </c>
      <c r="D20" s="152"/>
      <c r="E20" s="183">
        <v>63.666666666666671</v>
      </c>
      <c r="F20" s="183">
        <f>('Pages 4-11, All Other Schedules'!B912+'Pages 4-11, All Other Schedules'!B1080)/12</f>
        <v>58.916666666666664</v>
      </c>
      <c r="H20" s="183">
        <v>856497.09877425549</v>
      </c>
      <c r="I20" s="183">
        <f ca="1">('Pages 4-11, All Other Schedules'!B922+'Pages 4-11, All Other Schedules'!B1091)/1000</f>
        <v>832282.91037473246</v>
      </c>
      <c r="K20" s="204">
        <v>38996.209349631463</v>
      </c>
      <c r="L20" s="204">
        <f ca="1">('Pages 4-11, All Other Schedules'!H922+'Pages 4-11, All Other Schedules'!H1091)/1000</f>
        <v>48127.735956489982</v>
      </c>
      <c r="M20" s="185"/>
      <c r="N20" s="186">
        <f t="shared" ca="1" si="2"/>
        <v>51081.056956489978</v>
      </c>
      <c r="O20" s="185"/>
      <c r="P20" s="184">
        <f>('Pages 4-11, All Other Schedules'!K900/1000)</f>
        <v>0</v>
      </c>
      <c r="Q20" s="185"/>
      <c r="R20" s="204">
        <f ca="1">'Pages 4-11, All Other Schedules'!K903/1000</f>
        <v>51081.056956489978</v>
      </c>
      <c r="S20" s="184"/>
      <c r="T20" s="186">
        <f t="shared" ca="1" si="3"/>
        <v>51398.156745342749</v>
      </c>
      <c r="U20" s="184"/>
      <c r="V20" s="184">
        <f ca="1">('Pages 4-11, All Other Schedules'!K922+'Pages 4-11, All Other Schedules'!K1091-'Pages 4-11, All Other Schedules'!H922-'Pages 4-11, All Other Schedules'!H1091)/1000</f>
        <v>2953.3209999999999</v>
      </c>
      <c r="W20" s="185">
        <f t="shared" ca="1" si="6"/>
        <v>6.1364220470914284E-2</v>
      </c>
      <c r="X20" s="184">
        <f t="shared" ca="1" si="4"/>
        <v>317.09978885277309</v>
      </c>
      <c r="Y20" s="187">
        <f t="shared" ca="1" si="7"/>
        <v>6.5887119464636372E-3</v>
      </c>
      <c r="Z20" s="184">
        <f t="shared" ca="1" si="5"/>
        <v>3270.4207888527731</v>
      </c>
      <c r="AA20" s="187">
        <f t="shared" ca="1" si="8"/>
        <v>6.7952932417377918E-2</v>
      </c>
      <c r="AB20" s="185"/>
      <c r="AC20" s="188">
        <f t="shared" ca="1" si="9"/>
        <v>3.8100000000000002E-2</v>
      </c>
      <c r="AD20" s="185"/>
      <c r="AE20" s="189">
        <f t="shared" ca="1" si="10"/>
        <v>6.1374631534235053</v>
      </c>
      <c r="AF20" s="185"/>
      <c r="AG20" s="190">
        <f t="shared" ca="1" si="11"/>
        <v>0.35484580581743258</v>
      </c>
      <c r="AH20" s="185"/>
      <c r="AI20" s="190"/>
      <c r="AJ20" s="192"/>
      <c r="AK20" s="106">
        <f ca="1">V20*1000</f>
        <v>2953321</v>
      </c>
      <c r="AL20" s="155" t="s">
        <v>31</v>
      </c>
      <c r="AM20" s="207">
        <f ca="1">'Rate Spread-Staff'!U27+'Rate Spread-Staff'!U28-'Rate Spread-Staff'!AK49/1000</f>
        <v>2952.1788659611088</v>
      </c>
      <c r="AN20" s="207">
        <f ca="1">AM20-V20</f>
        <v>-1.1421340388910721</v>
      </c>
    </row>
    <row r="21" spans="1:40" hidden="1">
      <c r="A21" s="169">
        <f t="shared" si="1"/>
        <v>13</v>
      </c>
      <c r="B21" s="154" t="s">
        <v>677</v>
      </c>
      <c r="C21" s="182" t="s">
        <v>678</v>
      </c>
      <c r="D21" s="152"/>
      <c r="E21" s="183">
        <v>63.666666666666671</v>
      </c>
      <c r="F21" s="183">
        <v>0</v>
      </c>
      <c r="H21" s="183">
        <v>856497.09877425549</v>
      </c>
      <c r="I21" s="183">
        <v>0</v>
      </c>
      <c r="K21" s="204">
        <v>38996.209349631463</v>
      </c>
      <c r="L21" s="204">
        <v>0</v>
      </c>
      <c r="M21" s="185"/>
      <c r="N21" s="186">
        <v>0</v>
      </c>
      <c r="O21" s="185"/>
      <c r="P21" s="184">
        <v>0</v>
      </c>
      <c r="Q21" s="185"/>
      <c r="R21" s="204">
        <v>0</v>
      </c>
      <c r="S21" s="184"/>
      <c r="T21" s="186" t="e">
        <f t="shared" ca="1" si="3"/>
        <v>#DIV/0!</v>
      </c>
      <c r="U21" s="184"/>
      <c r="V21" s="184">
        <v>0</v>
      </c>
      <c r="W21" s="185">
        <v>0</v>
      </c>
      <c r="X21" s="184" t="e">
        <f t="shared" ca="1" si="4"/>
        <v>#DIV/0!</v>
      </c>
      <c r="Y21" s="187" t="e">
        <f t="shared" ca="1" si="7"/>
        <v>#DIV/0!</v>
      </c>
      <c r="Z21" s="184" t="e">
        <f t="shared" ca="1" si="5"/>
        <v>#DIV/0!</v>
      </c>
      <c r="AA21" s="187" t="e">
        <f t="shared" ca="1" si="8"/>
        <v>#DIV/0!</v>
      </c>
      <c r="AB21" s="185"/>
      <c r="AC21" s="188" t="e">
        <f t="shared" ca="1" si="9"/>
        <v>#DIV/0!</v>
      </c>
      <c r="AD21" s="185"/>
      <c r="AE21" s="189">
        <v>0</v>
      </c>
      <c r="AF21" s="185"/>
      <c r="AG21" s="190">
        <v>0</v>
      </c>
      <c r="AH21" s="185"/>
      <c r="AI21" s="190"/>
      <c r="AJ21" s="192"/>
      <c r="AK21" s="160"/>
      <c r="AM21" s="207"/>
    </row>
    <row r="22" spans="1:40">
      <c r="A22" s="169">
        <f t="shared" si="1"/>
        <v>14</v>
      </c>
      <c r="B22" s="1288" t="s">
        <v>194</v>
      </c>
      <c r="C22" s="1295" t="s">
        <v>195</v>
      </c>
      <c r="D22" s="1295"/>
      <c r="E22" s="1290">
        <v>28</v>
      </c>
      <c r="F22" s="1290">
        <f>'Pages 4-11, All Other Schedules'!B1191/12</f>
        <v>29.083333333333332</v>
      </c>
      <c r="G22" s="195"/>
      <c r="H22" s="1290">
        <v>233.86177246899351</v>
      </c>
      <c r="I22" s="1290">
        <f>'Pages 4-11, All Other Schedules'!B1197/1000</f>
        <v>282.5157422079173</v>
      </c>
      <c r="J22" s="195"/>
      <c r="K22" s="1205">
        <v>18.659249899021408</v>
      </c>
      <c r="L22" s="1205">
        <f ca="1">'Pages 4-11, All Other Schedules'!H1197/1000</f>
        <v>24.725619439992212</v>
      </c>
      <c r="M22" s="1286"/>
      <c r="N22" s="1293">
        <f t="shared" ca="1" si="2"/>
        <v>24.725619439992212</v>
      </c>
      <c r="O22" s="1286"/>
      <c r="P22" s="1292">
        <f>'Pages 4-11, All Other Schedules'!K1193/1000</f>
        <v>0</v>
      </c>
      <c r="Q22" s="1286"/>
      <c r="R22" s="1205">
        <f ca="1">'Pages 4-11, All Other Schedules'!K1197/1000</f>
        <v>24.725619439992212</v>
      </c>
      <c r="S22" s="1292"/>
      <c r="T22" s="1293">
        <f t="shared" ca="1" si="3"/>
        <v>24.88863102324618</v>
      </c>
      <c r="U22" s="1292"/>
      <c r="V22" s="1292">
        <f ca="1">('Pages 4-11, All Other Schedules'!K1197-'Pages 4-11, All Other Schedules'!H1197)/1000</f>
        <v>0</v>
      </c>
      <c r="W22" s="1286">
        <f t="shared" ca="1" si="6"/>
        <v>0</v>
      </c>
      <c r="X22" s="184">
        <f t="shared" ca="1" si="4"/>
        <v>0.16301158325396831</v>
      </c>
      <c r="Y22" s="187">
        <f t="shared" ca="1" si="7"/>
        <v>6.5928210069555147E-3</v>
      </c>
      <c r="Z22" s="184">
        <f t="shared" ca="1" si="5"/>
        <v>0.16301158325396831</v>
      </c>
      <c r="AA22" s="187">
        <f t="shared" ca="1" si="8"/>
        <v>6.5928210069555147E-3</v>
      </c>
      <c r="AB22" s="185"/>
      <c r="AC22" s="188">
        <f t="shared" ca="1" si="9"/>
        <v>5.7700000000000001E-2</v>
      </c>
      <c r="AD22" s="185"/>
      <c r="AE22" s="189">
        <f t="shared" ca="1" si="10"/>
        <v>8.7519439613369965</v>
      </c>
      <c r="AF22" s="185"/>
      <c r="AG22" s="190">
        <f t="shared" ca="1" si="11"/>
        <v>0</v>
      </c>
      <c r="AH22" s="185"/>
      <c r="AI22" s="190"/>
      <c r="AJ22" s="192"/>
      <c r="AK22" s="160"/>
      <c r="AM22" s="207"/>
    </row>
    <row r="23" spans="1:40">
      <c r="A23" s="169">
        <f t="shared" si="1"/>
        <v>15</v>
      </c>
      <c r="B23" s="181" t="s">
        <v>343</v>
      </c>
      <c r="E23" s="203">
        <f>SUM(E15:E22)</f>
        <v>23780.5</v>
      </c>
      <c r="F23" s="203">
        <f>SUM(F15:F22)</f>
        <v>25040.286111110505</v>
      </c>
      <c r="H23" s="203">
        <f>SUM(H15:H22)</f>
        <v>3297111.0499705928</v>
      </c>
      <c r="I23" s="203">
        <f ca="1">SUM(I15:I22)</f>
        <v>2385955.1477159401</v>
      </c>
      <c r="J23" s="203"/>
      <c r="K23" s="184">
        <f>SUM(K15:K22)</f>
        <v>170969.95465759834</v>
      </c>
      <c r="L23" s="184">
        <f ca="1">SUM(L15:L22)</f>
        <v>167301.11792156796</v>
      </c>
      <c r="M23" s="185"/>
      <c r="N23" s="184">
        <f ca="1">SUM(N15:N22)</f>
        <v>174465.646921568</v>
      </c>
      <c r="O23" s="185"/>
      <c r="P23" s="184">
        <f>SUM(P15:P22)</f>
        <v>0</v>
      </c>
      <c r="Q23" s="185"/>
      <c r="R23" s="184">
        <f ca="1">SUM(R15:R22)</f>
        <v>174465.646921568</v>
      </c>
      <c r="S23" s="204"/>
      <c r="T23" s="186" t="e">
        <f ca="1">SUM(T15:T22)</f>
        <v>#DIV/0!</v>
      </c>
      <c r="U23" s="204"/>
      <c r="V23" s="184">
        <f ca="1">SUM(V15:V22)</f>
        <v>7164.5290000000005</v>
      </c>
      <c r="W23" s="185">
        <f ca="1">V23/L23</f>
        <v>4.2824154966847182E-2</v>
      </c>
      <c r="X23" s="184" t="e">
        <f ca="1">SUM(X15:X22)</f>
        <v>#DIV/0!</v>
      </c>
      <c r="Y23" s="187" t="e">
        <f ca="1">X23/L23</f>
        <v>#DIV/0!</v>
      </c>
      <c r="Z23" s="184" t="e">
        <f ca="1">V23+X23</f>
        <v>#DIV/0!</v>
      </c>
      <c r="AA23" s="187"/>
      <c r="AB23" s="185"/>
      <c r="AC23" s="188"/>
      <c r="AD23" s="185"/>
      <c r="AE23" s="189">
        <f ca="1">R23/I23*100</f>
        <v>7.3121930681967289</v>
      </c>
      <c r="AF23" s="185"/>
      <c r="AG23" s="190">
        <f ca="1">(V23/I23)*100</f>
        <v>0.30027928256985714</v>
      </c>
      <c r="AH23" s="185"/>
      <c r="AI23" s="190"/>
      <c r="AJ23" s="192"/>
      <c r="AK23" s="160"/>
      <c r="AM23" s="207"/>
    </row>
    <row r="24" spans="1:40">
      <c r="A24" s="169">
        <f t="shared" si="1"/>
        <v>16</v>
      </c>
      <c r="W24" s="1351"/>
      <c r="Y24" s="200"/>
      <c r="AA24" s="200"/>
      <c r="AC24" s="201"/>
      <c r="AG24" s="202"/>
      <c r="AI24" s="20"/>
      <c r="AJ24" s="160"/>
      <c r="AK24" s="160"/>
    </row>
    <row r="25" spans="1:40">
      <c r="A25" s="169">
        <f t="shared" si="1"/>
        <v>17</v>
      </c>
      <c r="B25" s="1294" t="s">
        <v>196</v>
      </c>
      <c r="W25" s="1351"/>
      <c r="Y25" s="200"/>
      <c r="AA25" s="200"/>
      <c r="AC25" s="201"/>
      <c r="AG25" s="202"/>
      <c r="AI25" s="20"/>
      <c r="AJ25" s="160"/>
      <c r="AK25" s="160"/>
    </row>
    <row r="26" spans="1:40">
      <c r="A26" s="169">
        <f t="shared" si="1"/>
        <v>18</v>
      </c>
      <c r="B26" s="154" t="s">
        <v>192</v>
      </c>
      <c r="C26" s="152" t="s">
        <v>193</v>
      </c>
      <c r="D26" s="152"/>
      <c r="E26" s="183">
        <v>2828</v>
      </c>
      <c r="F26" s="183">
        <f>'Pages 4-11, All Other Schedules'!B20/12</f>
        <v>2599.1666666666665</v>
      </c>
      <c r="H26" s="183">
        <v>3735.0893644456642</v>
      </c>
      <c r="I26" s="183">
        <f ca="1">'Pages 4-11, All Other Schedules'!B23/1000</f>
        <v>3451.7298579341259</v>
      </c>
      <c r="K26" s="204">
        <v>473.92026673033644</v>
      </c>
      <c r="L26" s="204">
        <f ca="1">'Pages 4-11, All Other Schedules'!H23/1000</f>
        <v>483.78807449751014</v>
      </c>
      <c r="M26" s="185"/>
      <c r="N26" s="186">
        <f t="shared" ref="N26:N30" ca="1" si="12">R26-P26</f>
        <v>483.78697449751013</v>
      </c>
      <c r="O26" s="185"/>
      <c r="P26" s="184">
        <f>'Pages 4-11, All Other Schedules'!K19/1000</f>
        <v>0</v>
      </c>
      <c r="Q26" s="185"/>
      <c r="R26" s="204">
        <f ca="1">'Pages 4-11, All Other Schedules'!K23/1000</f>
        <v>483.78697449751013</v>
      </c>
      <c r="S26" s="184"/>
      <c r="T26" s="186">
        <f ca="1">R26+X26</f>
        <v>486.97637288624128</v>
      </c>
      <c r="U26" s="184"/>
      <c r="V26" s="184">
        <f ca="1">('Pages 4-11, All Other Schedules'!K23-'Pages 4-11, All Other Schedules'!H23)/1000</f>
        <v>-1.1000000000349246E-3</v>
      </c>
      <c r="W26" s="185">
        <f t="shared" ref="W26:W31" ca="1" si="13">V26/L26</f>
        <v>-2.2737228510178702E-6</v>
      </c>
      <c r="X26" s="184">
        <f ca="1">(AC26/100)*I26</f>
        <v>3.1893983887311319</v>
      </c>
      <c r="Y26" s="187">
        <f t="shared" ref="Y26:Y31" ca="1" si="14">X26/L26</f>
        <v>6.5925527247520993E-3</v>
      </c>
      <c r="Z26" s="184">
        <f t="shared" ref="Z26:Z31" ca="1" si="15">V26+X26</f>
        <v>3.1882983887310972</v>
      </c>
      <c r="AA26" s="187">
        <f t="shared" ref="AA26:AA31" ca="1" si="16">Z26/L26</f>
        <v>6.5902790019010818E-3</v>
      </c>
      <c r="AB26" s="185"/>
      <c r="AC26" s="188">
        <f ca="1">ROUND((((L26/$L$33)*$X$39)/I26)*100,4)</f>
        <v>9.2399999999999996E-2</v>
      </c>
      <c r="AD26" s="185"/>
      <c r="AE26" s="189">
        <f t="shared" ref="AE26:AE31" ca="1" si="17">R26/I26*100</f>
        <v>14.015783227806203</v>
      </c>
      <c r="AF26" s="185"/>
      <c r="AG26" s="190">
        <f t="shared" ref="AG26:AG31" ca="1" si="18">(V26/I26)*100</f>
        <v>-3.1868079059155544E-5</v>
      </c>
      <c r="AH26" s="185"/>
      <c r="AI26" s="190"/>
      <c r="AJ26" s="192"/>
      <c r="AK26" s="160"/>
    </row>
    <row r="27" spans="1:40">
      <c r="A27" s="169">
        <f t="shared" si="1"/>
        <v>19</v>
      </c>
      <c r="B27" s="154" t="s">
        <v>344</v>
      </c>
      <c r="C27" s="152" t="s">
        <v>345</v>
      </c>
      <c r="D27" s="152"/>
      <c r="E27" s="183">
        <v>178</v>
      </c>
      <c r="F27" s="183">
        <f>'Pages 4-11, All Other Schedules'!B1115/12</f>
        <v>163</v>
      </c>
      <c r="H27" s="183">
        <v>2902.2385934150548</v>
      </c>
      <c r="I27" s="183">
        <f ca="1">'Pages 4-11, All Other Schedules'!B1119/1000</f>
        <v>3040.1869812590103</v>
      </c>
      <c r="K27" s="204">
        <v>522.31224201957195</v>
      </c>
      <c r="L27" s="204">
        <f ca="1">'Pages 4-11, All Other Schedules'!H1119/1000</f>
        <v>600.44497901647196</v>
      </c>
      <c r="M27" s="185"/>
      <c r="N27" s="186">
        <f t="shared" ca="1" si="12"/>
        <v>600.44497901647196</v>
      </c>
      <c r="O27" s="185"/>
      <c r="P27" s="184">
        <f>'Pages 4-11, All Other Schedules'!K1116/1000</f>
        <v>0</v>
      </c>
      <c r="Q27" s="185"/>
      <c r="R27" s="204">
        <f ca="1">'Pages 4-11, All Other Schedules'!K1119/1000</f>
        <v>600.44497901647196</v>
      </c>
      <c r="S27" s="184"/>
      <c r="T27" s="186">
        <f ca="1">R27+X27</f>
        <v>604.40026227908993</v>
      </c>
      <c r="U27" s="184"/>
      <c r="V27" s="184">
        <f ca="1">('Pages 4-11, All Other Schedules'!K1119-'Pages 4-11, All Other Schedules'!H1119)/1000</f>
        <v>0</v>
      </c>
      <c r="W27" s="185">
        <f t="shared" ca="1" si="13"/>
        <v>0</v>
      </c>
      <c r="X27" s="184">
        <f ca="1">(AC27/100)*I27</f>
        <v>3.9552832626179719</v>
      </c>
      <c r="Y27" s="187">
        <f t="shared" ca="1" si="14"/>
        <v>6.587253455090457E-3</v>
      </c>
      <c r="Z27" s="184">
        <f t="shared" ca="1" si="15"/>
        <v>3.9552832626179719</v>
      </c>
      <c r="AA27" s="187">
        <f t="shared" ca="1" si="16"/>
        <v>6.587253455090457E-3</v>
      </c>
      <c r="AB27" s="185"/>
      <c r="AC27" s="188">
        <f ca="1">ROUND((((L27/$L$33)*$X$39)/I27)*100,4)</f>
        <v>0.13009999999999999</v>
      </c>
      <c r="AD27" s="185"/>
      <c r="AE27" s="189">
        <f t="shared" ca="1" si="17"/>
        <v>19.750264793509974</v>
      </c>
      <c r="AF27" s="185"/>
      <c r="AG27" s="190">
        <f t="shared" ca="1" si="18"/>
        <v>0</v>
      </c>
      <c r="AH27" s="185"/>
      <c r="AI27" s="190"/>
      <c r="AJ27" s="192"/>
      <c r="AK27" s="191" t="s">
        <v>31</v>
      </c>
    </row>
    <row r="28" spans="1:40">
      <c r="A28" s="169">
        <f t="shared" si="1"/>
        <v>20</v>
      </c>
      <c r="B28" s="154" t="s">
        <v>344</v>
      </c>
      <c r="C28" s="152">
        <v>52</v>
      </c>
      <c r="D28" s="152"/>
      <c r="E28" s="183">
        <v>30</v>
      </c>
      <c r="F28" s="183">
        <f>'Pages 4-11, All Other Schedules'!B1127/12</f>
        <v>18</v>
      </c>
      <c r="H28" s="183">
        <v>466.2387672357238</v>
      </c>
      <c r="I28" s="183">
        <f ca="1">'Pages 4-11, All Other Schedules'!B1132/1000</f>
        <v>286.69872495359812</v>
      </c>
      <c r="K28" s="204">
        <v>60.670270195709442</v>
      </c>
      <c r="L28" s="204">
        <f ca="1">'Pages 4-11, All Other Schedules'!H1132/1000</f>
        <v>46.625268810114008</v>
      </c>
      <c r="M28" s="185"/>
      <c r="N28" s="186">
        <f t="shared" ca="1" si="12"/>
        <v>46.625268810114008</v>
      </c>
      <c r="O28" s="185"/>
      <c r="P28" s="184">
        <f>'Pages 4-11, All Other Schedules'!K1128/1000</f>
        <v>0</v>
      </c>
      <c r="Q28" s="185"/>
      <c r="R28" s="204">
        <f ca="1">'Pages 4-11, All Other Schedules'!K1132/1000</f>
        <v>46.625268810114008</v>
      </c>
      <c r="S28" s="184"/>
      <c r="T28" s="186">
        <f ca="1">R28+X28</f>
        <v>46.932609843264267</v>
      </c>
      <c r="U28" s="184"/>
      <c r="V28" s="184">
        <f ca="1">('Pages 4-11, All Other Schedules'!K1132-'Pages 4-11, All Other Schedules'!H1132)/1000</f>
        <v>0</v>
      </c>
      <c r="W28" s="185">
        <f t="shared" ca="1" si="13"/>
        <v>0</v>
      </c>
      <c r="X28" s="184">
        <f ca="1">(AC28/100)*I28</f>
        <v>0.30734103315025718</v>
      </c>
      <c r="Y28" s="187">
        <f t="shared" ca="1" si="14"/>
        <v>6.5917267823577333E-3</v>
      </c>
      <c r="Z28" s="184">
        <f t="shared" ca="1" si="15"/>
        <v>0.30734103315025718</v>
      </c>
      <c r="AA28" s="187">
        <f t="shared" ca="1" si="16"/>
        <v>6.5917267823577333E-3</v>
      </c>
      <c r="AB28" s="185"/>
      <c r="AC28" s="188">
        <f ca="1">ROUND((((L28/$L$33)*$X$39)/I28)*100,4)</f>
        <v>0.1072</v>
      </c>
      <c r="AD28" s="185"/>
      <c r="AE28" s="189">
        <f t="shared" ca="1" si="17"/>
        <v>16.262809964592712</v>
      </c>
      <c r="AF28" s="185"/>
      <c r="AG28" s="190">
        <f t="shared" ca="1" si="18"/>
        <v>0</v>
      </c>
      <c r="AH28" s="185"/>
      <c r="AI28" s="190"/>
      <c r="AJ28" s="192"/>
      <c r="AK28" s="160"/>
    </row>
    <row r="29" spans="1:40">
      <c r="A29" s="169">
        <f t="shared" si="1"/>
        <v>21</v>
      </c>
      <c r="B29" s="154" t="s">
        <v>344</v>
      </c>
      <c r="C29" s="152">
        <v>53</v>
      </c>
      <c r="D29" s="152"/>
      <c r="E29" s="183">
        <v>272.33333333333337</v>
      </c>
      <c r="F29" s="183">
        <f>'Pages 4-11, All Other Schedules'!B1140/12</f>
        <v>220</v>
      </c>
      <c r="H29" s="183">
        <v>4499.9316487570059</v>
      </c>
      <c r="I29" s="183">
        <f ca="1">'Pages 4-11, All Other Schedules'!B1144/1000</f>
        <v>4281.2354932644366</v>
      </c>
      <c r="K29" s="183">
        <v>278.83306975907675</v>
      </c>
      <c r="L29" s="183">
        <f ca="1">'Pages 4-11, All Other Schedules'!H1144/1000</f>
        <v>296.22757767019584</v>
      </c>
      <c r="M29" s="185"/>
      <c r="N29" s="186">
        <f t="shared" ca="1" si="12"/>
        <v>296.22757767019584</v>
      </c>
      <c r="O29" s="185"/>
      <c r="P29" s="184">
        <f>'Pages 4-11, All Other Schedules'!K1141/1000</f>
        <v>0</v>
      </c>
      <c r="Q29" s="185"/>
      <c r="R29" s="204">
        <f ca="1">'Pages 4-11, All Other Schedules'!K1144/1000</f>
        <v>296.22757767019584</v>
      </c>
      <c r="S29" s="184"/>
      <c r="T29" s="186">
        <f ca="1">R29+X29</f>
        <v>298.17982105512442</v>
      </c>
      <c r="U29" s="184"/>
      <c r="V29" s="184">
        <f ca="1">('Pages 4-11, All Other Schedules'!K1144-'Pages 4-11, All Other Schedules'!H1144)/1000</f>
        <v>0</v>
      </c>
      <c r="W29" s="185">
        <f t="shared" ca="1" si="13"/>
        <v>0</v>
      </c>
      <c r="X29" s="184">
        <f ca="1">(AC29/100)*I29</f>
        <v>1.9522433849285832</v>
      </c>
      <c r="Y29" s="187">
        <f t="shared" ca="1" si="14"/>
        <v>6.590349893425885E-3</v>
      </c>
      <c r="Z29" s="184">
        <f t="shared" ca="1" si="15"/>
        <v>1.9522433849285832</v>
      </c>
      <c r="AA29" s="187">
        <f t="shared" ca="1" si="16"/>
        <v>6.590349893425885E-3</v>
      </c>
      <c r="AB29" s="185"/>
      <c r="AC29" s="188">
        <f ca="1">ROUND((((L29/$L$33)*$X$39)/I29)*100,4)</f>
        <v>4.5600000000000002E-2</v>
      </c>
      <c r="AD29" s="185"/>
      <c r="AE29" s="189">
        <f t="shared" ca="1" si="17"/>
        <v>6.9192077412289859</v>
      </c>
      <c r="AF29" s="185"/>
      <c r="AG29" s="190">
        <f t="shared" ca="1" si="18"/>
        <v>0</v>
      </c>
      <c r="AH29" s="185"/>
      <c r="AI29" s="190"/>
      <c r="AJ29" s="192"/>
      <c r="AK29" s="160"/>
      <c r="AL29" s="1189" t="s">
        <v>31</v>
      </c>
    </row>
    <row r="30" spans="1:40">
      <c r="A30" s="169">
        <f t="shared" si="1"/>
        <v>22</v>
      </c>
      <c r="B30" s="1288" t="s">
        <v>344</v>
      </c>
      <c r="C30" s="1295">
        <v>57</v>
      </c>
      <c r="D30" s="1295"/>
      <c r="E30" s="1290">
        <v>50.666666666666664</v>
      </c>
      <c r="F30" s="1290">
        <f>'Pages 4-11, All Other Schedules'!B1231/12</f>
        <v>41.083333333333336</v>
      </c>
      <c r="G30" s="195"/>
      <c r="H30" s="1290">
        <v>2174.0459905922153</v>
      </c>
      <c r="I30" s="1290">
        <f ca="1">'Pages 4-11, All Other Schedules'!B1235/1000</f>
        <v>1789.527800522955</v>
      </c>
      <c r="J30" s="195"/>
      <c r="K30" s="1290">
        <v>235.8029580256418</v>
      </c>
      <c r="L30" s="1290">
        <f ca="1">'Pages 4-11, All Other Schedules'!H1235/1000</f>
        <v>218.66521450321807</v>
      </c>
      <c r="M30" s="1286"/>
      <c r="N30" s="1293">
        <f t="shared" ca="1" si="12"/>
        <v>218.66521450321807</v>
      </c>
      <c r="O30" s="1286"/>
      <c r="P30" s="1292">
        <f>'Pages 4-11, All Other Schedules'!K1232/1000</f>
        <v>0</v>
      </c>
      <c r="Q30" s="1286"/>
      <c r="R30" s="1205">
        <f ca="1">'Pages 4-11, All Other Schedules'!K1235/1000</f>
        <v>218.66521450321807</v>
      </c>
      <c r="S30" s="1292"/>
      <c r="T30" s="1293">
        <f ca="1">R30+X30</f>
        <v>220.10578438263906</v>
      </c>
      <c r="U30" s="1292"/>
      <c r="V30" s="1292">
        <f ca="1">('Pages 4-11, All Other Schedules'!K1235-'Pages 4-11, All Other Schedules'!H1235)/1000</f>
        <v>0</v>
      </c>
      <c r="W30" s="1286">
        <f t="shared" ca="1" si="13"/>
        <v>0</v>
      </c>
      <c r="X30" s="184">
        <f ca="1">(AC30/100)*I30</f>
        <v>1.4405698794209789</v>
      </c>
      <c r="Y30" s="187">
        <f t="shared" ca="1" si="14"/>
        <v>6.5880157605030416E-3</v>
      </c>
      <c r="Z30" s="184">
        <f t="shared" ca="1" si="15"/>
        <v>1.4405698794209789</v>
      </c>
      <c r="AA30" s="187">
        <f t="shared" ca="1" si="16"/>
        <v>6.5880157605030416E-3</v>
      </c>
      <c r="AB30" s="185"/>
      <c r="AC30" s="188">
        <f ca="1">ROUND((((L30/$L$33)*$X$39)/I30)*100,4)</f>
        <v>8.0500000000000002E-2</v>
      </c>
      <c r="AD30" s="185"/>
      <c r="AE30" s="189">
        <f t="shared" ca="1" si="17"/>
        <v>12.219157167567744</v>
      </c>
      <c r="AF30" s="185"/>
      <c r="AG30" s="190">
        <f t="shared" ca="1" si="18"/>
        <v>0</v>
      </c>
      <c r="AH30" s="185"/>
      <c r="AI30" s="190"/>
      <c r="AJ30" s="192"/>
      <c r="AK30" s="160"/>
    </row>
    <row r="31" spans="1:40">
      <c r="A31" s="169">
        <f t="shared" si="1"/>
        <v>23</v>
      </c>
      <c r="B31" s="181" t="s">
        <v>346</v>
      </c>
      <c r="E31" s="208">
        <f>SUM(E26:E30)</f>
        <v>3359</v>
      </c>
      <c r="F31" s="203">
        <f>SUM(F26:F30)</f>
        <v>3041.25</v>
      </c>
      <c r="H31" s="203">
        <f>SUM(H26:H30)</f>
        <v>13777.544364445665</v>
      </c>
      <c r="I31" s="203">
        <f ca="1">SUM(I26:I30)</f>
        <v>12849.378857934127</v>
      </c>
      <c r="J31" s="203"/>
      <c r="K31" s="184">
        <f>SUM(K26:K30)</f>
        <v>1571.5388067303365</v>
      </c>
      <c r="L31" s="184">
        <f ca="1">SUM(L26:L30)</f>
        <v>1645.7511144975101</v>
      </c>
      <c r="M31" s="185"/>
      <c r="N31" s="184">
        <f ca="1">SUM(N26:N30)</f>
        <v>1645.7500144975099</v>
      </c>
      <c r="O31" s="185"/>
      <c r="P31" s="184">
        <f>SUM(P26:P30)</f>
        <v>0</v>
      </c>
      <c r="Q31" s="185"/>
      <c r="R31" s="184">
        <f ca="1">SUM(R26:R30)</f>
        <v>1645.7500144975099</v>
      </c>
      <c r="S31" s="204"/>
      <c r="T31" s="186">
        <f ca="1">SUM(T26:T30)</f>
        <v>1656.594850446359</v>
      </c>
      <c r="U31" s="204"/>
      <c r="V31" s="184">
        <f ca="1">SUM(V26:V30)</f>
        <v>-1.1000000000349246E-3</v>
      </c>
      <c r="W31" s="185">
        <f t="shared" ca="1" si="13"/>
        <v>-6.6838782021471258E-7</v>
      </c>
      <c r="X31" s="209">
        <f ca="1">SUM(X26:X30)</f>
        <v>10.844835948848923</v>
      </c>
      <c r="Y31" s="211">
        <f t="shared" ca="1" si="14"/>
        <v>6.5895966001883145E-3</v>
      </c>
      <c r="Z31" s="209">
        <f t="shared" ca="1" si="15"/>
        <v>10.843735948848888</v>
      </c>
      <c r="AA31" s="211">
        <f t="shared" ca="1" si="16"/>
        <v>6.5889282123681005E-3</v>
      </c>
      <c r="AB31" s="192"/>
      <c r="AC31" s="188"/>
      <c r="AD31" s="192"/>
      <c r="AE31" s="212">
        <f t="shared" ca="1" si="17"/>
        <v>12.808012221394701</v>
      </c>
      <c r="AF31" s="192"/>
      <c r="AG31" s="213">
        <f t="shared" ca="1" si="18"/>
        <v>-8.5607250918257874E-6</v>
      </c>
      <c r="AH31" s="192"/>
      <c r="AI31" s="214"/>
      <c r="AJ31" s="192"/>
      <c r="AK31" s="160"/>
    </row>
    <row r="32" spans="1:40">
      <c r="A32" s="169">
        <f t="shared" si="1"/>
        <v>24</v>
      </c>
      <c r="B32" s="181"/>
      <c r="E32" s="215"/>
      <c r="F32" s="215"/>
      <c r="H32" s="215"/>
      <c r="I32" s="215"/>
      <c r="J32" s="203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7"/>
      <c r="X32" s="210"/>
      <c r="Y32" s="216"/>
      <c r="Z32" s="210"/>
      <c r="AA32" s="217"/>
      <c r="AB32" s="210"/>
      <c r="AC32" s="218"/>
      <c r="AD32" s="210"/>
      <c r="AE32" s="210"/>
      <c r="AF32" s="210"/>
      <c r="AG32" s="219"/>
      <c r="AH32" s="210"/>
      <c r="AI32" s="20"/>
      <c r="AJ32" s="210"/>
      <c r="AK32" s="160"/>
    </row>
    <row r="33" spans="1:40" ht="16.5" thickBot="1">
      <c r="A33" s="169">
        <f t="shared" si="1"/>
        <v>25</v>
      </c>
      <c r="B33" s="220" t="s">
        <v>347</v>
      </c>
      <c r="E33" s="221">
        <f>E31+E23+E12</f>
        <v>128476.41666666667</v>
      </c>
      <c r="F33" s="221">
        <f>F31+F23+F12</f>
        <v>132378.51388888829</v>
      </c>
      <c r="H33" s="221">
        <f>H31+H23+H12</f>
        <v>4880827.1987742558</v>
      </c>
      <c r="I33" s="221">
        <f ca="1">I31+I23+I12</f>
        <v>4000612.315474519</v>
      </c>
      <c r="K33" s="222">
        <f>K31+K23+K12</f>
        <v>275214.43788963149</v>
      </c>
      <c r="L33" s="222">
        <f ca="1">L31+L23+L12</f>
        <v>303518.15613999998</v>
      </c>
      <c r="M33" s="192"/>
      <c r="N33" s="222">
        <f ca="1">N31+N23+N12</f>
        <v>318138.23904000001</v>
      </c>
      <c r="O33" s="192"/>
      <c r="P33" s="222">
        <f>P31+P23+P12</f>
        <v>0</v>
      </c>
      <c r="Q33" s="192"/>
      <c r="R33" s="222">
        <f ca="1">R31+R23+R12</f>
        <v>318138.23904000001</v>
      </c>
      <c r="S33" s="223"/>
      <c r="T33" s="222" t="e">
        <f ca="1">T31+T23+T12</f>
        <v>#DIV/0!</v>
      </c>
      <c r="U33" s="223"/>
      <c r="V33" s="222">
        <f ca="1">V31+V23+V12</f>
        <v>14620.082899999994</v>
      </c>
      <c r="W33" s="1202">
        <f ca="1">V33/L33</f>
        <v>4.816872600285689E-2</v>
      </c>
      <c r="X33" s="222" t="e">
        <f ca="1">X31+X23+X12</f>
        <v>#DIV/0!</v>
      </c>
      <c r="Y33" s="224" t="e">
        <f ca="1">X33/L33</f>
        <v>#DIV/0!</v>
      </c>
      <c r="Z33" s="222" t="e">
        <f ca="1">V33+X33</f>
        <v>#DIV/0!</v>
      </c>
      <c r="AA33" s="224" t="e">
        <f ca="1">Z33/L33</f>
        <v>#DIV/0!</v>
      </c>
      <c r="AB33" s="192"/>
      <c r="AC33" s="225">
        <f ca="1">ROUND((((L33/$L$33)*$X$39)/I33)*100,4)</f>
        <v>0.05</v>
      </c>
      <c r="AD33" s="192"/>
      <c r="AE33" s="226">
        <f ca="1">R33/I33*100</f>
        <v>7.9522386563034191</v>
      </c>
      <c r="AF33" s="192"/>
      <c r="AG33" s="226">
        <f ca="1">(V33/I33)*100</f>
        <v>0.36544613041981006</v>
      </c>
      <c r="AH33" s="192"/>
      <c r="AI33" s="191" t="s">
        <v>31</v>
      </c>
      <c r="AJ33" s="192"/>
      <c r="AK33" s="106">
        <f ca="1">V33*1000</f>
        <v>14620082.899999995</v>
      </c>
    </row>
    <row r="34" spans="1:40" ht="16.5" thickTop="1">
      <c r="A34" s="169">
        <f t="shared" si="1"/>
        <v>26</v>
      </c>
      <c r="B34" s="220"/>
      <c r="E34" s="227"/>
      <c r="F34" s="227"/>
      <c r="H34" s="227"/>
      <c r="I34" s="227"/>
      <c r="K34" s="223"/>
      <c r="L34" s="223"/>
      <c r="M34" s="192"/>
      <c r="N34" s="223"/>
      <c r="O34" s="192"/>
      <c r="P34" s="223"/>
      <c r="Q34" s="192"/>
      <c r="R34" s="223"/>
      <c r="S34" s="223"/>
      <c r="T34" s="223"/>
      <c r="U34" s="223"/>
      <c r="V34" s="223"/>
      <c r="W34" s="192"/>
      <c r="X34" s="223"/>
      <c r="Y34" s="1309"/>
      <c r="Z34" s="223"/>
      <c r="AA34" s="1309"/>
      <c r="AB34" s="192"/>
      <c r="AC34" s="1310"/>
      <c r="AD34" s="192"/>
      <c r="AE34" s="190"/>
      <c r="AF34" s="192"/>
      <c r="AG34" s="190"/>
      <c r="AH34" s="192"/>
      <c r="AI34" s="191"/>
      <c r="AJ34" s="192"/>
      <c r="AK34" s="193"/>
    </row>
    <row r="35" spans="1:40">
      <c r="A35" s="169">
        <f t="shared" si="1"/>
        <v>27</v>
      </c>
      <c r="B35" s="228" t="s">
        <v>348</v>
      </c>
      <c r="E35" s="227"/>
      <c r="F35" s="227"/>
      <c r="H35" s="227"/>
      <c r="I35" s="227"/>
      <c r="K35" s="223">
        <v>311.00673999999998</v>
      </c>
      <c r="L35" s="223">
        <f ca="1">'Pages 4-11, All Other Schedules'!H1239/1000</f>
        <v>545.05217999999991</v>
      </c>
      <c r="M35" s="229"/>
      <c r="N35" s="1206">
        <f ca="1">L35</f>
        <v>545.05217999999991</v>
      </c>
      <c r="O35" s="229"/>
      <c r="P35" s="229"/>
      <c r="Q35" s="229"/>
      <c r="R35" s="186">
        <f ca="1">L35</f>
        <v>545.05217999999991</v>
      </c>
      <c r="S35" s="223"/>
      <c r="T35" s="186">
        <f ca="1">R35</f>
        <v>545.05217999999991</v>
      </c>
      <c r="U35" s="223"/>
      <c r="V35" s="207"/>
      <c r="W35" s="185"/>
      <c r="X35" s="207"/>
      <c r="Y35" s="187"/>
      <c r="Z35" s="192"/>
      <c r="AB35" s="192"/>
      <c r="AC35" s="192"/>
      <c r="AD35" s="192"/>
      <c r="AE35" s="189"/>
      <c r="AF35" s="185"/>
      <c r="AG35" s="190"/>
      <c r="AH35" s="192"/>
      <c r="AI35" s="190"/>
      <c r="AJ35" s="192"/>
      <c r="AK35" s="160"/>
    </row>
    <row r="36" spans="1:40">
      <c r="A36" s="169">
        <f t="shared" si="1"/>
        <v>28</v>
      </c>
      <c r="B36" s="228"/>
      <c r="E36" s="227"/>
      <c r="F36" s="227"/>
      <c r="H36" s="227"/>
      <c r="I36" s="227"/>
      <c r="K36" s="223"/>
      <c r="L36" s="223"/>
      <c r="M36" s="229"/>
      <c r="N36" s="1206"/>
      <c r="O36" s="229"/>
      <c r="P36" s="229"/>
      <c r="Q36" s="229"/>
      <c r="R36" s="186"/>
      <c r="S36" s="223"/>
      <c r="T36" s="186"/>
      <c r="U36" s="223"/>
      <c r="V36" s="207"/>
      <c r="W36" s="185"/>
      <c r="X36" s="207"/>
      <c r="Y36" s="187"/>
      <c r="Z36" s="192"/>
      <c r="AB36" s="192"/>
      <c r="AC36" s="192"/>
      <c r="AD36" s="192"/>
      <c r="AE36" s="189"/>
      <c r="AF36" s="185"/>
      <c r="AG36" s="190"/>
      <c r="AH36" s="192"/>
      <c r="AI36" s="190"/>
      <c r="AJ36" s="192"/>
      <c r="AK36" s="160"/>
    </row>
    <row r="37" spans="1:40" ht="16.5" thickBot="1">
      <c r="A37" s="169">
        <f t="shared" si="1"/>
        <v>29</v>
      </c>
      <c r="B37" s="87" t="s">
        <v>197</v>
      </c>
      <c r="E37" s="230">
        <f>SUM(E33:E35)</f>
        <v>128476.41666666667</v>
      </c>
      <c r="F37" s="221">
        <f>SUM(F33:F35)</f>
        <v>132378.51388888829</v>
      </c>
      <c r="H37" s="221">
        <f>SUM(H33:H35)</f>
        <v>4880827.1987742558</v>
      </c>
      <c r="I37" s="221">
        <f ca="1">SUM(I33:I35)</f>
        <v>4000612.315474519</v>
      </c>
      <c r="K37" s="222">
        <f>SUM(K33:K35)</f>
        <v>275525.44462963147</v>
      </c>
      <c r="L37" s="222">
        <f ca="1">SUM(L33:L35)</f>
        <v>304063.20831999998</v>
      </c>
      <c r="M37" s="192"/>
      <c r="N37" s="222">
        <f ca="1">SUM(N33:N35)</f>
        <v>318683.29122000001</v>
      </c>
      <c r="O37" s="192"/>
      <c r="P37" s="222">
        <f>SUM(P33:P35)</f>
        <v>0</v>
      </c>
      <c r="Q37" s="192"/>
      <c r="R37" s="222">
        <f ca="1">SUM(R33:R35)</f>
        <v>318683.29122000001</v>
      </c>
      <c r="S37" s="223"/>
      <c r="T37" s="222" t="e">
        <f ca="1">SUM(T33:T35)</f>
        <v>#DIV/0!</v>
      </c>
      <c r="U37" s="223"/>
      <c r="V37" s="222">
        <f ca="1">SUM(V33:V35)</f>
        <v>14620.082899999994</v>
      </c>
      <c r="W37" s="1202">
        <f ca="1">V37/L37</f>
        <v>4.808238057073197E-2</v>
      </c>
      <c r="X37" s="222" t="e">
        <f ca="1">SUM(X33:X35)</f>
        <v>#DIV/0!</v>
      </c>
      <c r="Y37" s="224" t="e">
        <f ca="1">X37/L37</f>
        <v>#DIV/0!</v>
      </c>
      <c r="AE37" s="226">
        <f ca="1">R37/I37*100</f>
        <v>7.9658628752234018</v>
      </c>
      <c r="AF37" s="185"/>
      <c r="AG37" s="226">
        <f ca="1">(V37/I37)*100</f>
        <v>0.36544613041981006</v>
      </c>
      <c r="AI37" s="160"/>
      <c r="AJ37" s="160"/>
      <c r="AK37" s="160"/>
      <c r="AM37" s="207">
        <f ca="1">SUM(AM11:AM20)</f>
        <v>14619.640999999998</v>
      </c>
      <c r="AN37" s="207">
        <f ca="1">AM37-V37</f>
        <v>-0.44189999999616703</v>
      </c>
    </row>
    <row r="38" spans="1:40" ht="18.75" customHeight="1" thickTop="1">
      <c r="V38" s="105"/>
      <c r="W38" s="232"/>
      <c r="Y38" s="232"/>
    </row>
    <row r="39" spans="1:40">
      <c r="K39" s="233"/>
      <c r="L39" s="233"/>
      <c r="M39" s="160"/>
      <c r="N39" s="160"/>
      <c r="O39" s="160"/>
      <c r="P39" s="160"/>
      <c r="Q39" s="160"/>
      <c r="T39" s="207"/>
      <c r="V39" s="207"/>
      <c r="W39" s="234"/>
      <c r="X39" s="207">
        <v>2000</v>
      </c>
      <c r="Y39" s="234"/>
      <c r="Z39" s="160"/>
      <c r="AB39" s="160"/>
      <c r="AC39" s="160"/>
      <c r="AD39" s="160"/>
      <c r="AE39" s="160"/>
      <c r="AF39" s="160"/>
      <c r="AG39" s="160"/>
      <c r="AH39" s="160"/>
      <c r="AI39" s="160"/>
      <c r="AJ39" s="160"/>
    </row>
    <row r="40" spans="1:40">
      <c r="M40" s="160"/>
      <c r="N40" s="160"/>
      <c r="O40" s="160"/>
      <c r="P40" s="160"/>
      <c r="Q40" s="160"/>
      <c r="V40" s="235"/>
      <c r="Z40" s="160"/>
      <c r="AA40" s="160"/>
      <c r="AB40" s="160"/>
      <c r="AC40" s="160"/>
      <c r="AD40" s="160"/>
      <c r="AE40" s="223"/>
      <c r="AF40" s="160"/>
      <c r="AG40" s="160"/>
      <c r="AH40" s="160"/>
      <c r="AI40" s="160"/>
      <c r="AJ40" s="160"/>
    </row>
    <row r="41" spans="1:40">
      <c r="R41" s="191"/>
      <c r="V41" s="236"/>
      <c r="W41" s="237"/>
      <c r="X41" s="236"/>
    </row>
    <row r="42" spans="1:40">
      <c r="R42" s="160"/>
      <c r="V42" s="238"/>
      <c r="W42" s="239"/>
      <c r="X42" s="238"/>
    </row>
    <row r="43" spans="1:40">
      <c r="R43" s="180"/>
      <c r="V43" s="240"/>
      <c r="W43" s="241"/>
      <c r="X43" s="240"/>
    </row>
    <row r="44" spans="1:40">
      <c r="R44" s="242"/>
      <c r="W44" s="200"/>
    </row>
    <row r="45" spans="1:40">
      <c r="R45" s="155"/>
      <c r="W45" s="243"/>
    </row>
    <row r="47" spans="1:40">
      <c r="R47" s="180"/>
      <c r="Y47" s="14"/>
    </row>
  </sheetData>
  <mergeCells count="6">
    <mergeCell ref="V6:AA6"/>
    <mergeCell ref="N6:R6"/>
    <mergeCell ref="A1:W1"/>
    <mergeCell ref="A2:W2"/>
    <mergeCell ref="A3:W3"/>
    <mergeCell ref="A4:W4"/>
  </mergeCells>
  <phoneticPr fontId="0" type="noConversion"/>
  <printOptions horizontalCentered="1"/>
  <pageMargins left="0.25" right="0.25" top="0.75" bottom="0.5" header="0.5" footer="0.25"/>
  <pageSetup scale="80" fitToHeight="0" orientation="landscape" r:id="rId1"/>
  <headerFooter alignWithMargins="0">
    <oddFooter>&amp;LTestimony of Christopher T. Mickelson
Docket UE-130043&amp;RExhibit No. ___ (CTM-11)
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U57"/>
  <sheetViews>
    <sheetView view="pageBreakPreview" zoomScale="80" zoomScaleNormal="100" zoomScaleSheetLayoutView="80" workbookViewId="0">
      <selection activeCell="M21" sqref="M21"/>
    </sheetView>
  </sheetViews>
  <sheetFormatPr defaultColWidth="8.5" defaultRowHeight="15"/>
  <cols>
    <col min="1" max="1" width="1.625" style="478" customWidth="1"/>
    <col min="2" max="2" width="10.375" style="478" customWidth="1"/>
    <col min="3" max="3" width="2.375" style="478" customWidth="1"/>
    <col min="4" max="4" width="10.875" style="478" hidden="1" customWidth="1"/>
    <col min="5" max="5" width="9.375" style="478" customWidth="1"/>
    <col min="6" max="6" width="3.5" style="478" customWidth="1"/>
    <col min="7" max="7" width="11.75" style="478" bestFit="1" customWidth="1"/>
    <col min="8" max="8" width="3.625" style="478" customWidth="1"/>
    <col min="9" max="9" width="12.875" style="478" bestFit="1" customWidth="1"/>
    <col min="10" max="10" width="4.5" style="478" customWidth="1"/>
    <col min="11" max="11" width="12.375" style="478" customWidth="1"/>
    <col min="12" max="12" width="2.375" style="478" customWidth="1"/>
    <col min="13" max="13" width="3" style="478" customWidth="1"/>
    <col min="14" max="14" width="9.5" style="478" customWidth="1"/>
    <col min="15" max="15" width="8.5" style="478"/>
    <col min="16" max="16" width="15.25" style="478" customWidth="1"/>
    <col min="17" max="17" width="5.75" style="478" customWidth="1"/>
    <col min="18" max="18" width="8.5" style="478"/>
    <col min="19" max="19" width="7.75" style="478" customWidth="1"/>
    <col min="20" max="20" width="2.25" style="478" customWidth="1"/>
    <col min="21" max="16384" width="8.5" style="478"/>
  </cols>
  <sheetData>
    <row r="1" spans="1:19">
      <c r="A1" s="518"/>
      <c r="B1" s="518"/>
    </row>
    <row r="2" spans="1:19">
      <c r="A2" s="518"/>
      <c r="B2" s="518"/>
      <c r="C2" s="520"/>
      <c r="D2" s="520"/>
      <c r="E2" s="520"/>
      <c r="F2" s="520"/>
      <c r="G2" s="520"/>
      <c r="H2" s="520"/>
      <c r="I2" s="520"/>
    </row>
    <row r="3" spans="1:19" ht="18.75">
      <c r="A3" s="518"/>
      <c r="B3" s="479"/>
      <c r="C3" s="521"/>
      <c r="D3" s="521"/>
      <c r="E3" s="521"/>
      <c r="F3" s="521"/>
      <c r="G3" s="521"/>
      <c r="H3" s="521"/>
      <c r="I3" s="521"/>
      <c r="J3" s="481" t="s">
        <v>31</v>
      </c>
      <c r="K3" s="569"/>
    </row>
    <row r="4" spans="1:19" ht="20.25">
      <c r="B4" s="523" t="s">
        <v>72</v>
      </c>
      <c r="C4" s="523"/>
      <c r="D4" s="523"/>
      <c r="E4" s="523"/>
      <c r="F4" s="523"/>
      <c r="G4" s="523"/>
      <c r="H4" s="523"/>
      <c r="I4" s="523"/>
      <c r="J4" s="523"/>
      <c r="K4" s="523"/>
      <c r="L4" s="527"/>
      <c r="M4" s="527"/>
    </row>
    <row r="5" spans="1:19" ht="20.25">
      <c r="B5" s="523" t="s">
        <v>523</v>
      </c>
      <c r="C5" s="523"/>
      <c r="D5" s="523"/>
      <c r="E5" s="523"/>
      <c r="F5" s="523"/>
      <c r="G5" s="523"/>
      <c r="H5" s="523"/>
      <c r="I5" s="523"/>
      <c r="J5" s="523"/>
      <c r="K5" s="523"/>
      <c r="L5" s="527"/>
      <c r="M5" s="527"/>
    </row>
    <row r="6" spans="1:19" ht="20.25">
      <c r="B6" s="523" t="s">
        <v>551</v>
      </c>
      <c r="C6" s="523"/>
      <c r="D6" s="523"/>
      <c r="E6" s="523"/>
      <c r="F6" s="523"/>
      <c r="G6" s="523"/>
      <c r="H6" s="523"/>
      <c r="I6" s="523"/>
      <c r="J6" s="523"/>
      <c r="K6" s="523"/>
      <c r="L6" s="527"/>
      <c r="M6" s="527"/>
    </row>
    <row r="7" spans="1:19" ht="20.25">
      <c r="B7" s="523" t="s">
        <v>31</v>
      </c>
      <c r="C7" s="523"/>
      <c r="D7" s="523"/>
      <c r="E7" s="523"/>
      <c r="F7" s="523"/>
      <c r="G7" s="523"/>
      <c r="H7" s="523"/>
      <c r="I7" s="523"/>
      <c r="J7" s="523"/>
      <c r="K7" s="523"/>
      <c r="L7" s="527"/>
      <c r="M7" s="527"/>
    </row>
    <row r="8" spans="1:19" ht="18.75">
      <c r="A8" s="525"/>
      <c r="B8" s="526"/>
      <c r="C8" s="526"/>
      <c r="D8" s="526"/>
      <c r="E8" s="526"/>
      <c r="F8" s="526"/>
      <c r="G8" s="526"/>
      <c r="H8" s="526"/>
      <c r="I8" s="526"/>
      <c r="J8" s="526"/>
      <c r="K8" s="527"/>
      <c r="L8" s="526"/>
      <c r="M8" s="526"/>
    </row>
    <row r="9" spans="1:19">
      <c r="A9" s="520"/>
      <c r="B9" s="518"/>
    </row>
    <row r="10" spans="1:19" ht="15.75">
      <c r="A10" s="520"/>
      <c r="B10" s="528" t="s">
        <v>535</v>
      </c>
      <c r="C10" s="529"/>
      <c r="D10" s="529"/>
      <c r="E10" s="529"/>
      <c r="F10" s="529"/>
      <c r="G10" s="530" t="s">
        <v>536</v>
      </c>
      <c r="H10" s="530"/>
      <c r="I10" s="530"/>
      <c r="J10" s="529"/>
      <c r="K10" s="532"/>
      <c r="L10" s="520"/>
      <c r="M10" s="520"/>
    </row>
    <row r="11" spans="1:19" ht="16.5" thickBot="1">
      <c r="A11" s="520"/>
      <c r="B11" s="533" t="s">
        <v>538</v>
      </c>
      <c r="C11" s="531"/>
      <c r="D11" s="528" t="s">
        <v>539</v>
      </c>
      <c r="E11" s="529"/>
      <c r="F11" s="529"/>
      <c r="G11" s="570" t="s">
        <v>525</v>
      </c>
      <c r="H11" s="532"/>
      <c r="I11" s="570" t="s">
        <v>307</v>
      </c>
      <c r="J11" s="529"/>
      <c r="K11" s="531" t="s">
        <v>526</v>
      </c>
      <c r="L11" s="520"/>
      <c r="M11" s="520"/>
      <c r="O11" s="571"/>
    </row>
    <row r="12" spans="1:19" ht="15.75">
      <c r="A12" s="520"/>
      <c r="B12" s="536" t="s">
        <v>409</v>
      </c>
      <c r="C12" s="537"/>
      <c r="D12" s="538" t="s">
        <v>541</v>
      </c>
      <c r="E12" s="536" t="s">
        <v>25</v>
      </c>
      <c r="F12" s="529"/>
      <c r="G12" s="536" t="s">
        <v>68</v>
      </c>
      <c r="H12" s="572"/>
      <c r="I12" s="536" t="s">
        <v>552</v>
      </c>
      <c r="J12" s="529"/>
      <c r="K12" s="534" t="s">
        <v>265</v>
      </c>
      <c r="L12" s="520"/>
      <c r="M12" s="520"/>
      <c r="N12" s="573" t="s">
        <v>527</v>
      </c>
      <c r="P12" s="574"/>
      <c r="Q12" s="575"/>
      <c r="R12" s="574" t="s">
        <v>528</v>
      </c>
      <c r="S12" s="575"/>
    </row>
    <row r="13" spans="1:19" ht="15.75">
      <c r="A13" s="520"/>
      <c r="B13" s="529"/>
      <c r="C13" s="529"/>
      <c r="D13" s="529"/>
      <c r="E13" s="529"/>
      <c r="F13" s="529"/>
      <c r="G13" s="537"/>
      <c r="H13" s="537"/>
      <c r="I13" s="537"/>
      <c r="J13" s="532"/>
      <c r="K13" s="532"/>
      <c r="N13" s="544" t="s">
        <v>407</v>
      </c>
      <c r="O13" s="486" t="s">
        <v>189</v>
      </c>
      <c r="P13" s="486" t="s">
        <v>553</v>
      </c>
      <c r="Q13" s="545"/>
      <c r="R13" s="486" t="s">
        <v>189</v>
      </c>
      <c r="S13" s="576" t="s">
        <v>553</v>
      </c>
    </row>
    <row r="14" spans="1:19" ht="15.75">
      <c r="A14" s="520"/>
      <c r="B14" s="529">
        <v>100</v>
      </c>
      <c r="C14" s="529"/>
      <c r="D14" s="529">
        <v>300</v>
      </c>
      <c r="E14" s="546">
        <v>25000</v>
      </c>
      <c r="F14" s="529"/>
      <c r="G14" s="548">
        <f>ROUND(IF($E14&lt;40001,$E14*$O$19/100,40000*$O$19/100+($E14-40000)*$O$20/100)+MAX(100, $B$14)*$O$18+IF($B$14&lt;101,$O$14,IF($B$14&lt;301,$O$15+$B$14*$P$15,$O$16+$B$14*$P$16)),2)+R26</f>
        <v>2095.77</v>
      </c>
      <c r="H14" s="548"/>
      <c r="I14" s="548">
        <f>ROUND(IF($E14&lt;40001,$E14*$R$19/100,40000*$R$19/100+($E14-40000)*$R$20/100)+MAX(100, $B$14)*$R$18+IF($B$14&lt;101,$R$14,IF($B$14&lt;301,$R$15+$B$14*$S$15,$R$16+$B$14*$S$16)),2)+R27</f>
        <v>2188.27</v>
      </c>
      <c r="J14" s="529"/>
      <c r="K14" s="549">
        <f>ROUND(I14/G14-1,4)</f>
        <v>4.41E-2</v>
      </c>
      <c r="L14" s="520"/>
      <c r="M14" s="520"/>
      <c r="N14" s="544" t="s">
        <v>554</v>
      </c>
      <c r="O14" s="577">
        <f>'Pages 4-11, All Other Schedules'!F593</f>
        <v>259</v>
      </c>
      <c r="P14" s="551"/>
      <c r="Q14" s="545"/>
      <c r="R14" s="577">
        <f>'Pages 4-11, All Other Schedules'!I633</f>
        <v>271</v>
      </c>
      <c r="S14" s="556"/>
    </row>
    <row r="15" spans="1:19" ht="15.75">
      <c r="A15" s="520"/>
      <c r="B15" s="529"/>
      <c r="C15" s="529"/>
      <c r="D15" s="529">
        <v>500</v>
      </c>
      <c r="E15" s="546">
        <v>37500</v>
      </c>
      <c r="F15" s="529"/>
      <c r="G15" s="548">
        <f>ROUND(IF($E15&lt;40001,$E15*$O$19/100,40000*$O$19/100+($E15-40000)*$O$20/100)+MAX(100, $B$14)*$O$18+IF($B$14&lt;101,$O$14,IF($B$14&lt;301,$O$15+$B$14*$P$15,$O$16+$B$14*$P$16)),2)+R26</f>
        <v>2776.27</v>
      </c>
      <c r="H15" s="548"/>
      <c r="I15" s="548">
        <f>ROUND(IF($E15&lt;40001,$E15*$R$19/100,40000*$R$19/100+($E15-40000)*$R$20/100)+MAX(100, $B$14)*$R$18+IF($B$14&lt;101,$R$14,IF($B$14&lt;301,$R$15+$B$14*$S$15,$R$16+$B$14*$S$16)),2)+R27</f>
        <v>2899.02</v>
      </c>
      <c r="J15" s="529"/>
      <c r="K15" s="549">
        <f>ROUND(I15/G15-1,4)</f>
        <v>4.4200000000000003E-2</v>
      </c>
      <c r="L15" s="520"/>
      <c r="M15" s="520"/>
      <c r="N15" s="544" t="s">
        <v>555</v>
      </c>
      <c r="O15" s="577">
        <f>'Pages 4-11, All Other Schedules'!F594</f>
        <v>96</v>
      </c>
      <c r="P15" s="550">
        <f>'Pages 4-11, All Other Schedules'!F597</f>
        <v>1.7</v>
      </c>
      <c r="Q15" s="576"/>
      <c r="R15" s="577">
        <f>'Pages 4-11, All Other Schedules'!I634</f>
        <v>101</v>
      </c>
      <c r="S15" s="495">
        <f>'Pages 4-11, All Other Schedules'!I637</f>
        <v>1.78</v>
      </c>
    </row>
    <row r="16" spans="1:19" ht="15.75">
      <c r="A16" s="520"/>
      <c r="B16" s="529"/>
      <c r="C16" s="529"/>
      <c r="D16" s="529">
        <v>700</v>
      </c>
      <c r="E16" s="546">
        <v>50000</v>
      </c>
      <c r="F16" s="529"/>
      <c r="G16" s="548">
        <f>ROUND(IF($E16&lt;40001,$E16*$O$19/100,40000*$O$19/100+($E16-40000)*$O$20/100)+MAX(100, $B$14)*$O$18+IF($B$14&lt;101,$O$14,IF($B$14&lt;301,$O$15+$B$14*$P$15,$O$16+$B$14*$P$16)),2)+R26</f>
        <v>3412.57</v>
      </c>
      <c r="H16" s="548"/>
      <c r="I16" s="548">
        <f>ROUND(IF($E16&lt;40001,$E16*$R$19/100,40000*$R$19/100+($E16-40000)*$R$20/100)+MAX(100, $B$14)*$R$18+IF($B$14&lt;101,$R$14,IF($B$14&lt;301,$R$15+$B$14*$S$15,$R$16+$B$14*$S$16)),2)+R27</f>
        <v>3563.27</v>
      </c>
      <c r="J16" s="529"/>
      <c r="K16" s="549">
        <f>ROUND(I16/G16-1,4)</f>
        <v>4.4200000000000003E-2</v>
      </c>
      <c r="N16" s="544" t="s">
        <v>556</v>
      </c>
      <c r="O16" s="577">
        <f>'Pages 4-11, All Other Schedules'!F595</f>
        <v>192</v>
      </c>
      <c r="P16" s="550">
        <f>'Pages 4-11, All Other Schedules'!F598</f>
        <v>1.39</v>
      </c>
      <c r="Q16" s="545"/>
      <c r="R16" s="577">
        <f>'Pages 4-11, All Other Schedules'!I635</f>
        <v>201</v>
      </c>
      <c r="S16" s="495">
        <f>'Pages 4-11, All Other Schedules'!I638</f>
        <v>1.46</v>
      </c>
    </row>
    <row r="17" spans="1:21" ht="15.75">
      <c r="A17" s="520"/>
      <c r="B17" s="529"/>
      <c r="C17" s="529"/>
      <c r="D17" s="529"/>
      <c r="E17" s="529"/>
      <c r="F17" s="529"/>
      <c r="G17" s="548"/>
      <c r="H17" s="548"/>
      <c r="I17" s="548"/>
      <c r="J17" s="532"/>
      <c r="K17" s="549"/>
      <c r="L17" s="520"/>
      <c r="M17" s="520"/>
      <c r="N17" s="544"/>
      <c r="O17" s="551"/>
      <c r="P17" s="551"/>
      <c r="Q17" s="545"/>
      <c r="R17" s="551"/>
      <c r="S17" s="556"/>
    </row>
    <row r="18" spans="1:21" ht="15.75">
      <c r="A18" s="520"/>
      <c r="B18" s="529">
        <v>200</v>
      </c>
      <c r="C18" s="529"/>
      <c r="D18" s="529">
        <v>300</v>
      </c>
      <c r="E18" s="546">
        <f>ROUND((B$18*D18),0)</f>
        <v>60000</v>
      </c>
      <c r="F18" s="529"/>
      <c r="G18" s="548">
        <f>ROUND(IF($E18&lt;40001,$E18*$O$19/100,40000*$O$19/100+($E18-40000)*$O$20/100)+MAX(100, $B$18)*$O$18+IF($B$18&lt;101,$O$14,IF($B$18&lt;301,$O$15+$B$18*$P$15,$O$16+$B$18*$P$16)),2)+R26</f>
        <v>4533.7700000000004</v>
      </c>
      <c r="H18" s="548"/>
      <c r="I18" s="548">
        <f>ROUND(IF($E18&lt;40001,$E18*$R$19/100,40000*$R$19/100+($E18-40000)*$R$20/100)+MAX(100, $B$18)*$R$18+IF($B$18&lt;101,$R$14,IF($B$18&lt;301,$R$15+$B$18*$S$15,$R$16+$B$18*$S$16)),2)+R27</f>
        <v>4735.3700000000008</v>
      </c>
      <c r="J18" s="529"/>
      <c r="K18" s="549">
        <f>ROUND(I18/G18-1,4)</f>
        <v>4.4499999999999998E-2</v>
      </c>
      <c r="L18" s="520"/>
      <c r="M18" s="520"/>
      <c r="N18" s="544" t="s">
        <v>409</v>
      </c>
      <c r="O18" s="550">
        <f>'Pages 4-11, All Other Schedules'!F600</f>
        <v>4.4400000000000004</v>
      </c>
      <c r="P18" s="551"/>
      <c r="Q18" s="545"/>
      <c r="R18" s="550">
        <f>'Pages 4-11, All Other Schedules'!I640</f>
        <v>4.6399999999999997</v>
      </c>
      <c r="S18" s="556"/>
      <c r="U18" s="1208">
        <f>(R18-O18)/O18</f>
        <v>4.5045045045044883E-2</v>
      </c>
    </row>
    <row r="19" spans="1:21" ht="15.75">
      <c r="A19" s="520"/>
      <c r="B19" s="529"/>
      <c r="C19" s="529"/>
      <c r="D19" s="529">
        <v>500</v>
      </c>
      <c r="E19" s="546">
        <f>ROUND((B$18*D19),0)</f>
        <v>100000</v>
      </c>
      <c r="F19" s="529"/>
      <c r="G19" s="548">
        <f>ROUND(IF($E19&lt;40001,$E19*$O$19/100,40000*$O$19/100+($E19-40000)*$O$20/100)+MAX(100, $B$18)*$O$18+IF($B$18&lt;101,$O$14,IF($B$18&lt;301,$O$15+$B$18*$P$15,$O$16+$B$18*$P$16)),2)+R26</f>
        <v>6534.5700000000006</v>
      </c>
      <c r="H19" s="548"/>
      <c r="I19" s="548">
        <f>ROUND(IF($E19&lt;40001,$E19*$R$19/100,40000*$R$19/100+($E19-40000)*$R$20/100)+MAX(100, $B$18)*$R$18+IF($B$18&lt;101,$R$14,IF($B$18&lt;301,$R$15+$B$18*$S$15,$R$16+$B$18*$S$16)),2)+R27</f>
        <v>6823.77</v>
      </c>
      <c r="J19" s="529"/>
      <c r="K19" s="549">
        <f>ROUND(I19/G19-1,4)</f>
        <v>4.4299999999999999E-2</v>
      </c>
      <c r="L19" s="520"/>
      <c r="M19" s="520"/>
      <c r="N19" s="544" t="s">
        <v>557</v>
      </c>
      <c r="O19" s="578">
        <f>'Pages 4-11, All Other Schedules'!F603+R22+R29+R30</f>
        <v>5.444</v>
      </c>
      <c r="P19" s="578"/>
      <c r="Q19" s="579"/>
      <c r="R19" s="578">
        <f>'Pages 4-11, All Other Schedules'!I643+'Pages 4-11, All Other Schedules'!I606+R23+R29+R30</f>
        <v>5.6859999999999999</v>
      </c>
      <c r="S19" s="556"/>
      <c r="U19" s="1208">
        <f t="shared" ref="U19:U20" si="0">(R19-O19)/O19</f>
        <v>4.4452608376193976E-2</v>
      </c>
    </row>
    <row r="20" spans="1:21" ht="15.75">
      <c r="A20" s="520"/>
      <c r="B20" s="529"/>
      <c r="C20" s="529"/>
      <c r="D20" s="529">
        <v>700</v>
      </c>
      <c r="E20" s="546">
        <f>ROUND((B$18*D20),0)</f>
        <v>140000</v>
      </c>
      <c r="F20" s="529"/>
      <c r="G20" s="548">
        <f>ROUND(IF($E20&lt;40001,$E20*$O$19/100,40000*$O$19/100+($E20-40000)*$O$20/100)+MAX(100, $B$18)*$O$18+IF($B$18&lt;101,$O$14,IF($B$18&lt;301,$O$15+$B$18*$P$15,$O$16+$B$18*$P$16)),2)+R26</f>
        <v>8535.3700000000008</v>
      </c>
      <c r="H20" s="548"/>
      <c r="I20" s="548">
        <f>ROUND(IF($E20&lt;40001,$E20*$R$19/100,40000*$R$19/100+($E20-40000)*$R$20/100)+MAX(100, $B$18)*$R$18+IF($B$18&lt;101,$R$14,IF($B$18&lt;301,$R$15+$B$18*$S$15,$R$16+$B$18*$S$16)),2)+R27</f>
        <v>8912.17</v>
      </c>
      <c r="J20" s="529"/>
      <c r="K20" s="549">
        <f>ROUND(I20/G20-1,4)</f>
        <v>4.41E-2</v>
      </c>
      <c r="N20" s="544" t="s">
        <v>558</v>
      </c>
      <c r="O20" s="578">
        <f>'Pages 4-11, All Other Schedules'!F604+R22+R29+R30</f>
        <v>5.0019999999999998</v>
      </c>
      <c r="P20" s="578"/>
      <c r="Q20" s="579"/>
      <c r="R20" s="578">
        <f>'Pages 4-11, All Other Schedules'!I644+'Pages 4-11, All Other Schedules'!I607+R23+R29+R30</f>
        <v>5.2210000000000001</v>
      </c>
      <c r="S20" s="556"/>
      <c r="U20" s="1208">
        <f t="shared" si="0"/>
        <v>4.3782487005197983E-2</v>
      </c>
    </row>
    <row r="21" spans="1:21" ht="16.5" thickBot="1">
      <c r="A21" s="520"/>
      <c r="B21" s="529"/>
      <c r="C21" s="529"/>
      <c r="D21" s="529"/>
      <c r="E21" s="529"/>
      <c r="F21" s="529"/>
      <c r="G21" s="548"/>
      <c r="H21" s="548"/>
      <c r="I21" s="548"/>
      <c r="J21" s="532"/>
      <c r="K21" s="549"/>
      <c r="L21" s="520"/>
      <c r="M21" s="520"/>
      <c r="N21" s="580" t="s">
        <v>31</v>
      </c>
      <c r="O21" s="581" t="s">
        <v>31</v>
      </c>
      <c r="P21" s="561" t="s">
        <v>31</v>
      </c>
      <c r="Q21" s="562"/>
      <c r="R21" s="581" t="s">
        <v>31</v>
      </c>
      <c r="S21" s="582"/>
    </row>
    <row r="22" spans="1:21" ht="15.75">
      <c r="A22" s="520"/>
      <c r="B22" s="529">
        <v>300</v>
      </c>
      <c r="C22" s="529"/>
      <c r="D22" s="529">
        <v>300</v>
      </c>
      <c r="E22" s="546">
        <f>ROUND((B$22*D22),0)</f>
        <v>90000</v>
      </c>
      <c r="F22" s="529"/>
      <c r="G22" s="548">
        <f>ROUND(IF($E22&lt;40001,$E22*$O$19/100,40000*$O$19/100+($E22-40000)*$O$20/100)+MAX(100, $B$22)*$O$18+IF($B$22&lt;101,$O$14,IF($B$22&lt;301,$O$15+$B$22*$P$15,$O$16+$B$22*$P$16)),2)+R26</f>
        <v>6648.3700000000008</v>
      </c>
      <c r="H22" s="548"/>
      <c r="I22" s="548">
        <f>ROUND(IF($E22&lt;40001,$E22*$R$19/100,40000*$R$19/100+($E22-40000)*$R$20/100)+MAX(100, $B$22)*$R$18+IF($B$22&lt;101,$R$14,IF($B$22&lt;301,$R$15+$B$22*$S$15,$R$16+$B$22*$S$16)),2)+R27</f>
        <v>6943.67</v>
      </c>
      <c r="J22" s="529"/>
      <c r="K22" s="549">
        <f>ROUND(I22/G22-1,4)</f>
        <v>4.4400000000000002E-2</v>
      </c>
      <c r="L22" s="520"/>
      <c r="M22" s="520"/>
      <c r="P22" s="506" t="s">
        <v>202</v>
      </c>
      <c r="Q22" s="506"/>
      <c r="R22" s="507">
        <v>0.26800000000000002</v>
      </c>
      <c r="U22" s="761" t="s">
        <v>31</v>
      </c>
    </row>
    <row r="23" spans="1:21" ht="15.75">
      <c r="A23" s="520"/>
      <c r="B23" s="529"/>
      <c r="C23" s="529"/>
      <c r="D23" s="529">
        <v>500</v>
      </c>
      <c r="E23" s="546">
        <f>ROUND((B$22*D23),0)</f>
        <v>150000</v>
      </c>
      <c r="F23" s="529"/>
      <c r="G23" s="548">
        <f>ROUND(IF($E23&lt;40001,$E23*$O$19/100,40000*$O$19/100+($E23-40000)*$O$20/100)+MAX(100, $B$22)*$O$18+IF($B$22&lt;101,$O$14,IF($B$22&lt;301,$O$15+$B$22*$P$15,$O$16+$B$22*$P$16)),2)+R26</f>
        <v>9649.57</v>
      </c>
      <c r="H23" s="548"/>
      <c r="I23" s="548">
        <f>ROUND(IF($E23&lt;40001,$E23*$R$19/100,40000*$R$19/100+($E23-40000)*$R$20/100)+MAX(100, $B$22)*$R$18+IF($B$22&lt;101,$R$14,IF($B$22&lt;301,$R$15+$B$22*$S$15,$R$16+$B$22*$S$16)),2)+R27</f>
        <v>10076.27</v>
      </c>
      <c r="J23" s="529"/>
      <c r="K23" s="549">
        <f>ROUND(I23/G23-1,4)</f>
        <v>4.4200000000000003E-2</v>
      </c>
      <c r="L23" s="520"/>
      <c r="M23" s="520"/>
      <c r="P23" s="506"/>
      <c r="Q23" s="506"/>
      <c r="R23" s="507">
        <v>0.26800000000000002</v>
      </c>
    </row>
    <row r="24" spans="1:21" ht="15.75">
      <c r="A24" s="520"/>
      <c r="B24" s="529"/>
      <c r="C24" s="529"/>
      <c r="D24" s="529">
        <v>700</v>
      </c>
      <c r="E24" s="546">
        <f>ROUND((B$22*D24),0)</f>
        <v>210000</v>
      </c>
      <c r="F24" s="529"/>
      <c r="G24" s="548">
        <f>ROUND(IF($E24&lt;40001,$E24*$O$19/100,40000*$O$19/100+($E24-40000)*$O$20/100)+MAX(100, $B$22)*$O$18+IF($B$22&lt;101,$O$14,IF($B$22&lt;301,$O$15+$B$22*$P$15,$O$16+$B$22*$P$16)),2)+R26</f>
        <v>12650.77</v>
      </c>
      <c r="H24" s="548"/>
      <c r="I24" s="548">
        <f>ROUND(IF($E24&lt;40001,$E24*$R$19/100,40000*$R$19/100+($E24-40000)*$R$20/100)+MAX(100, $B$22)*$R$18+IF($B$22&lt;101,$R$14,IF($B$22&lt;301,$R$15+$B$22*$S$15,$R$16+$B$22*$S$16)),2)+R27</f>
        <v>13208.87</v>
      </c>
      <c r="J24" s="529"/>
      <c r="K24" s="549">
        <f>ROUND(I24/G24-1,4)</f>
        <v>4.41E-2</v>
      </c>
      <c r="P24" s="506"/>
      <c r="Q24" s="506"/>
      <c r="R24" s="510"/>
    </row>
    <row r="25" spans="1:21" ht="15.75">
      <c r="A25" s="520"/>
      <c r="B25" s="529"/>
      <c r="C25" s="529"/>
      <c r="D25" s="529"/>
      <c r="E25" s="529"/>
      <c r="F25" s="529"/>
      <c r="G25" s="548"/>
      <c r="H25" s="548"/>
      <c r="I25" s="548"/>
      <c r="J25" s="532"/>
      <c r="K25" s="549"/>
      <c r="L25" s="520"/>
      <c r="M25" s="520"/>
      <c r="P25" s="478" t="s">
        <v>31</v>
      </c>
      <c r="Q25" s="478" t="s">
        <v>31</v>
      </c>
      <c r="R25" s="478" t="s">
        <v>31</v>
      </c>
    </row>
    <row r="26" spans="1:21" ht="15.75">
      <c r="A26" s="520"/>
      <c r="B26" s="529">
        <v>400</v>
      </c>
      <c r="C26" s="529"/>
      <c r="D26" s="529">
        <v>300</v>
      </c>
      <c r="E26" s="546">
        <f>ROUND((B$26*D26),0)</f>
        <v>120000</v>
      </c>
      <c r="F26" s="529"/>
      <c r="G26" s="548">
        <f>ROUND(IF($E26&lt;40001,$E26*$O$19/100,40000*$O$19/100+($E26-40000)*$O$20/100)+MAX(100, $B$26)*$O$18+IF($B$26&lt;101,$O$14,IF($B$26&lt;301,$O$15+$B$26*$P$15,$O$16+$B$26*$P$16)),2)+R26</f>
        <v>8734.9700000000012</v>
      </c>
      <c r="H26" s="548"/>
      <c r="I26" s="548">
        <f>ROUND(IF($E26&lt;40001,$E26*$R$19/100,40000*$R$19/100+($E26-40000)*$R$20/100)+MAX(100, $B$26)*$R$18+IF($B$26&lt;101,$R$14,IF($B$26&lt;301,$R$15+$B$26*$S$15,$R$16+$B$26*$S$16)),2)+R27</f>
        <v>9123.9700000000012</v>
      </c>
      <c r="J26" s="529"/>
      <c r="K26" s="549">
        <f>ROUND(I26/G26-1,4)</f>
        <v>4.4499999999999998E-2</v>
      </c>
      <c r="L26" s="520"/>
      <c r="M26" s="520"/>
      <c r="P26" s="478" t="s">
        <v>675</v>
      </c>
      <c r="R26" s="552">
        <f>'Exhibit No._(JRS-6) p1'!D18</f>
        <v>31.77</v>
      </c>
      <c r="S26" s="478" t="s">
        <v>31</v>
      </c>
    </row>
    <row r="27" spans="1:21" ht="15.75">
      <c r="A27" s="520"/>
      <c r="B27" s="529"/>
      <c r="C27" s="529"/>
      <c r="D27" s="529">
        <v>500</v>
      </c>
      <c r="E27" s="546">
        <f>ROUND((B$26*D27),0)</f>
        <v>200000</v>
      </c>
      <c r="F27" s="529"/>
      <c r="G27" s="548">
        <f>ROUND(IF($E27&lt;40001,$E27*$O$19/100,40000*$O$19/100+($E27-40000)*$O$20/100)+MAX(100, $B$26)*$O$18+IF($B$26&lt;101,$O$14,IF($B$26&lt;301,$O$15+$B$26*$P$15,$O$16+$B$26*$P$16)),2)+R26</f>
        <v>12736.57</v>
      </c>
      <c r="H27" s="548"/>
      <c r="I27" s="548">
        <f>ROUND(IF($E27&lt;40001,$E27*$R$19/100,40000*$R$19/100+($E27-40000)*$R$20/100)+MAX(100, $B$26)*$R$18+IF($B$26&lt;101,$R$14,IF($B$26&lt;301,$R$15+$B$26*$S$15,$R$16+$B$26*$S$16)),2)+R27</f>
        <v>13300.77</v>
      </c>
      <c r="J27" s="529"/>
      <c r="K27" s="549">
        <f>ROUND(I27/G27-1,4)</f>
        <v>4.4299999999999999E-2</v>
      </c>
      <c r="L27" s="520"/>
      <c r="M27" s="520"/>
      <c r="P27" s="478" t="s">
        <v>674</v>
      </c>
      <c r="R27" s="552">
        <f>'Exhibit No._(JRS-6) p1'!D18</f>
        <v>31.77</v>
      </c>
    </row>
    <row r="28" spans="1:21" ht="15.75">
      <c r="A28" s="520"/>
      <c r="B28" s="529"/>
      <c r="C28" s="529"/>
      <c r="D28" s="529">
        <v>700</v>
      </c>
      <c r="E28" s="546">
        <f>ROUND((B$26*D28),0)</f>
        <v>280000</v>
      </c>
      <c r="F28" s="529"/>
      <c r="G28" s="548">
        <f>ROUND(IF($E28&lt;40001,$E28*$O$19/100,40000*$O$19/100+($E28-40000)*$O$20/100)+MAX(100, $B$26)*$O$18+IF($B$26&lt;101,$O$14,IF($B$26&lt;301,$O$15+$B$26*$P$15,$O$16+$B$26*$P$16)),2)+R26</f>
        <v>16738.170000000002</v>
      </c>
      <c r="H28" s="548"/>
      <c r="I28" s="548">
        <f>ROUND(IF($E28&lt;40001,$E28*$R$19/100,40000*$R$19/100+($E28-40000)*$R$20/100)+MAX(100, $B$26)*$R$18+IF($B$26&lt;101,$R$14,IF($B$26&lt;301,$R$15+$B$26*$S$15,$R$16+$B$26*$S$16)),2)+R27</f>
        <v>17477.57</v>
      </c>
      <c r="J28" s="529"/>
      <c r="K28" s="549">
        <f>ROUND(I28/G28-1,4)</f>
        <v>4.4200000000000003E-2</v>
      </c>
    </row>
    <row r="29" spans="1:21" ht="15.75">
      <c r="A29" s="520"/>
      <c r="B29" s="529"/>
      <c r="C29" s="529"/>
      <c r="D29" s="529"/>
      <c r="E29" s="529"/>
      <c r="F29" s="529"/>
      <c r="G29" s="548"/>
      <c r="H29" s="548"/>
      <c r="I29" s="548"/>
      <c r="J29" s="532"/>
      <c r="K29" s="549"/>
      <c r="L29" s="520"/>
      <c r="M29" s="520"/>
      <c r="P29" s="478" t="s">
        <v>532</v>
      </c>
      <c r="R29" s="478">
        <v>0</v>
      </c>
    </row>
    <row r="30" spans="1:21" ht="15.75">
      <c r="A30" s="520"/>
      <c r="B30" s="529">
        <v>600</v>
      </c>
      <c r="C30" s="529"/>
      <c r="D30" s="529">
        <v>300</v>
      </c>
      <c r="E30" s="546">
        <f>ROUND((B$30*D30),0)</f>
        <v>180000</v>
      </c>
      <c r="F30" s="529"/>
      <c r="G30" s="548">
        <f>ROUND(IF($E30&lt;40001,$E30*$O$19/100,40000*$O$19/100+($E30-40000)*$O$20/100)+MAX(100, $B$30)*$O$18+IF($B$30&lt;101,$O$14,IF($B$30&lt;301,$O$15+$B$30*$P$15,$O$16+$B$30*$P$16)),2)+R26</f>
        <v>12902.17</v>
      </c>
      <c r="H30" s="548"/>
      <c r="I30" s="548">
        <f>ROUND(IF($E30&lt;40001,$E30*$R$19/100,40000*$R$19/100+($E30-40000)*$R$20/100)+MAX(100, $B$30)*$R$18+IF($B$30&lt;101,$R$14,IF($B$30&lt;301,$R$15+$B$30*$S$15,$R$16+$B$30*$S$16)),2)+R27</f>
        <v>13476.57</v>
      </c>
      <c r="J30" s="529"/>
      <c r="K30" s="549">
        <f>ROUND(I30/G30-1,4)</f>
        <v>4.4499999999999998E-2</v>
      </c>
      <c r="L30" s="520"/>
      <c r="M30" s="520"/>
      <c r="P30" s="761" t="s">
        <v>733</v>
      </c>
      <c r="R30" s="478">
        <v>-0.11600000000000001</v>
      </c>
    </row>
    <row r="31" spans="1:21" ht="15.75">
      <c r="A31" s="520"/>
      <c r="B31" s="529"/>
      <c r="C31" s="529"/>
      <c r="D31" s="529">
        <v>500</v>
      </c>
      <c r="E31" s="546">
        <f>ROUND((B$30*D31),0)</f>
        <v>300000</v>
      </c>
      <c r="F31" s="529"/>
      <c r="G31" s="548">
        <f>ROUND(IF($E31&lt;40001,$E31*$O$19/100,40000*$O$19/100+($E31-40000)*$O$20/100)+MAX(100, $B$30)*$O$18+IF($B$30&lt;101,$O$14,IF($B$30&lt;301,$O$15+$B$30*$P$15,$O$16+$B$30*$P$16)),2)+R26</f>
        <v>18904.57</v>
      </c>
      <c r="H31" s="548"/>
      <c r="I31" s="548">
        <f>ROUND(IF($E31&lt;40001,$E31*$R$19/100,40000*$R$19/100+($E31-40000)*$R$20/100)+MAX(100, $B$30)*$R$18+IF($B$30&lt;101,$R$14,IF($B$30&lt;301,$R$15+$B$30*$S$15,$R$16+$B$30*$S$16)),2)+R27</f>
        <v>19741.77</v>
      </c>
      <c r="J31" s="529"/>
      <c r="K31" s="549">
        <f>ROUND(I31/G31-1,4)</f>
        <v>4.4299999999999999E-2</v>
      </c>
      <c r="L31" s="520"/>
      <c r="M31" s="520"/>
    </row>
    <row r="32" spans="1:21" ht="15.75">
      <c r="A32" s="520"/>
      <c r="B32" s="529"/>
      <c r="C32" s="529"/>
      <c r="D32" s="529">
        <v>700</v>
      </c>
      <c r="E32" s="546">
        <f>ROUND((B$30*D32),0)</f>
        <v>420000</v>
      </c>
      <c r="F32" s="529"/>
      <c r="G32" s="548">
        <f>ROUND(IF($E32&lt;40001,$E32*$O$19/100,40000*$O$19/100+($E32-40000)*$O$20/100)+MAX(100, $B$30)*$O$18+IF($B$30&lt;101,$O$14,IF($B$30&lt;301,$O$15+$B$30*$P$15,$O$16+$B$30*$P$16)),2)+R26</f>
        <v>24906.97</v>
      </c>
      <c r="H32" s="548"/>
      <c r="I32" s="548">
        <f>ROUND(IF($E32&lt;40001,$E32*$R$19/100,40000*$R$19/100+($E32-40000)*$R$20/100)+MAX(100, $B$30)*$R$18+IF($B$30&lt;101,$R$14,IF($B$30&lt;301,$R$15+$B$30*$S$15,$R$16+$B$30*$S$16)),2)+R27</f>
        <v>26006.97</v>
      </c>
      <c r="J32" s="529"/>
      <c r="K32" s="549">
        <f>ROUND(I32/G32-1,4)</f>
        <v>4.4200000000000003E-2</v>
      </c>
      <c r="N32" s="733" t="s">
        <v>684</v>
      </c>
      <c r="O32" s="607">
        <f ca="1">'Page 1, Revenues from Sales'!W17</f>
        <v>4.5796224945601989E-2</v>
      </c>
    </row>
    <row r="33" spans="1:18" ht="15.75">
      <c r="A33" s="520"/>
      <c r="B33" s="529"/>
      <c r="C33" s="529"/>
      <c r="D33" s="529"/>
      <c r="E33" s="529"/>
      <c r="F33" s="529"/>
      <c r="G33" s="548"/>
      <c r="H33" s="548"/>
      <c r="I33" s="548"/>
      <c r="J33" s="532"/>
      <c r="K33" s="549"/>
      <c r="L33" s="520"/>
      <c r="M33" s="520"/>
      <c r="R33" s="478" t="s">
        <v>31</v>
      </c>
    </row>
    <row r="34" spans="1:18" ht="15.75">
      <c r="A34" s="520"/>
      <c r="B34" s="529">
        <v>800</v>
      </c>
      <c r="C34" s="529"/>
      <c r="D34" s="529">
        <v>300</v>
      </c>
      <c r="E34" s="546">
        <f>ROUND((B$34*D34),0)</f>
        <v>240000</v>
      </c>
      <c r="F34" s="529"/>
      <c r="G34" s="548">
        <f>ROUND(IF($E34&lt;40001,$E34*$O$19/100,40000*$O$19/100+($E34-40000)*$O$20/100)+MAX(100, $B$34)*$O$18+IF($B$34&lt;101,$O$14,IF($B$34&lt;301,$O$15+$B$34*$P$15,$O$16+$B$34*$P$16)),2)+R26</f>
        <v>17069.37</v>
      </c>
      <c r="H34" s="548"/>
      <c r="I34" s="548">
        <f>ROUND(IF($E34&lt;40001,$E34*$R$19/100,40000*$R$19/100+($E34-40000)*$R$20/100)+MAX(100, $B$34)*$R$18+IF($B$34&lt;101,$R$14,IF($B$34&lt;301,$R$15+$B$34*$S$15,$R$16+$B$34*$S$16)),2)+R27</f>
        <v>17829.170000000002</v>
      </c>
      <c r="J34" s="529"/>
      <c r="K34" s="549">
        <f>ROUND(I34/G34-1,4)</f>
        <v>4.4499999999999998E-2</v>
      </c>
      <c r="L34" s="520"/>
      <c r="M34" s="520"/>
    </row>
    <row r="35" spans="1:18" ht="15.75">
      <c r="A35" s="520"/>
      <c r="B35" s="529"/>
      <c r="C35" s="529"/>
      <c r="D35" s="529">
        <v>500</v>
      </c>
      <c r="E35" s="546">
        <f>ROUND((B$34*D35),0)</f>
        <v>400000</v>
      </c>
      <c r="F35" s="529"/>
      <c r="G35" s="548">
        <f>ROUND(IF($E35&lt;40001,$E35*$O$19/100,40000*$O$19/100+($E35-40000)*$O$20/100)+MAX(100, $B$34)*$O$18+IF($B$34&lt;101,$O$14,IF($B$34&lt;301,$O$15+$B$34*$P$15,$O$16+$B$34*$P$16)),2)+R26</f>
        <v>25072.57</v>
      </c>
      <c r="H35" s="548"/>
      <c r="I35" s="548">
        <f>ROUND(IF($E35&lt;40001,$E35*$R$19/100,40000*$R$19/100+($E35-40000)*$R$20/100)+MAX(100, $B$34)*$R$18+IF($B$34&lt;101,$R$14,IF($B$34&lt;301,$R$15+$B$34*$S$15,$R$16+$B$34*$S$16)),2)+R27</f>
        <v>26182.77</v>
      </c>
      <c r="J35" s="529"/>
      <c r="K35" s="549">
        <f>ROUND(I35/G35-1,4)</f>
        <v>4.4299999999999999E-2</v>
      </c>
      <c r="L35" s="520"/>
      <c r="M35" s="520"/>
    </row>
    <row r="36" spans="1:18" ht="15.75">
      <c r="A36" s="520"/>
      <c r="B36" s="529"/>
      <c r="C36" s="529"/>
      <c r="D36" s="529">
        <v>700</v>
      </c>
      <c r="E36" s="546">
        <f>ROUND((B$34*D36),0)</f>
        <v>560000</v>
      </c>
      <c r="F36" s="529"/>
      <c r="G36" s="548">
        <f>ROUND(IF($E36&lt;40001,$E36*$O$19/100,40000*$O$19/100+($E36-40000)*$O$20/100)+MAX(100, $B$34)*$O$18+IF($B$34&lt;101,$O$14,IF($B$34&lt;301,$O$15+$B$34*$P$15,$O$16+$B$34*$P$16)),2)+R26</f>
        <v>33075.769999999997</v>
      </c>
      <c r="H36" s="548"/>
      <c r="I36" s="548">
        <f>ROUND(IF($E36&lt;40001,$E36*$R$19/100,40000*$R$19/100+($E36-40000)*$R$20/100)+MAX(100, $B$34)*$R$18+IF($B$34&lt;101,$R$14,IF($B$34&lt;301,$R$15+$B$34*$S$15,$R$16+$B$34*$S$16)),2)+R27</f>
        <v>34536.369999999995</v>
      </c>
      <c r="J36" s="529"/>
      <c r="K36" s="549">
        <f>ROUND(I36/G36-1,4)</f>
        <v>4.4200000000000003E-2</v>
      </c>
    </row>
    <row r="37" spans="1:18" ht="15.75">
      <c r="A37" s="520"/>
      <c r="B37" s="529"/>
      <c r="C37" s="529"/>
      <c r="D37" s="529"/>
      <c r="E37" s="529"/>
      <c r="F37" s="529"/>
      <c r="G37" s="548"/>
      <c r="H37" s="548"/>
      <c r="I37" s="548"/>
      <c r="J37" s="532"/>
      <c r="K37" s="549"/>
      <c r="L37" s="520"/>
      <c r="M37" s="520"/>
    </row>
    <row r="38" spans="1:18" ht="15.75">
      <c r="A38" s="520"/>
      <c r="B38" s="529">
        <v>1000</v>
      </c>
      <c r="C38" s="529"/>
      <c r="D38" s="529">
        <v>300</v>
      </c>
      <c r="E38" s="546">
        <f>ROUND((B$38*D38),0)</f>
        <v>300000</v>
      </c>
      <c r="F38" s="529"/>
      <c r="G38" s="548">
        <f>ROUND(IF($E38&lt;40001,$E38*$O$19/100,40000*$O$19/100+($E38-40000)*$O$20/100)+MAX(100, $B$38)*$O$18+IF($B$38&lt;101,$O$14,IF($B$38&lt;301,$O$15+$B$38*$P$15,$O$16+$B$38*$P$16)),2)+R26</f>
        <v>21236.57</v>
      </c>
      <c r="H38" s="548"/>
      <c r="I38" s="548">
        <f>ROUND(IF($E38&lt;40001,$E38*$R$19/100,40000*$R$19/100+($E38-40000)*$R$20/100)+MAX(100, $B$38)*$R$18+IF($B$38&lt;101,$R$14,IF($B$38&lt;301,$R$15+$B$38*$S$15,$R$16+$B$38*$S$16)),2)+R27</f>
        <v>22181.77</v>
      </c>
      <c r="J38" s="529"/>
      <c r="K38" s="549">
        <f>ROUND(I38/G38-1,4)</f>
        <v>4.4499999999999998E-2</v>
      </c>
      <c r="L38" s="520"/>
      <c r="M38" s="520"/>
    </row>
    <row r="39" spans="1:18" ht="15.75">
      <c r="A39" s="520"/>
      <c r="B39" s="529"/>
      <c r="C39" s="529"/>
      <c r="D39" s="529">
        <v>500</v>
      </c>
      <c r="E39" s="546">
        <f>ROUND((B$38*D39),0)</f>
        <v>500000</v>
      </c>
      <c r="F39" s="529"/>
      <c r="G39" s="548">
        <f>ROUND(IF($E39&lt;40001,$E39*$O$19/100,40000*$O$19/100+($E39-40000)*$O$20/100)+MAX(100, $B$38)*$O$18+IF($B$38&lt;101,$O$14,IF($B$38&lt;301,$O$15+$B$38*$P$15,$O$16+$B$38*$P$16)),2)+R26</f>
        <v>31240.57</v>
      </c>
      <c r="H39" s="548"/>
      <c r="I39" s="548">
        <f>ROUND(IF($E39&lt;40001,$E39*$R$19/100,40000*$R$19/100+($E39-40000)*$R$20/100)+MAX(100, $B$38)*$R$18+IF($B$38&lt;101,$R$14,IF($B$38&lt;301,$R$15+$B$38*$S$15,$R$16+$B$38*$S$16)),2)+R27</f>
        <v>32623.77</v>
      </c>
      <c r="J39" s="529"/>
      <c r="K39" s="549">
        <f>ROUND(I39/G39-1,4)</f>
        <v>4.4299999999999999E-2</v>
      </c>
      <c r="L39" s="520"/>
      <c r="M39" s="520"/>
    </row>
    <row r="40" spans="1:18" ht="15.75">
      <c r="A40" s="520"/>
      <c r="B40" s="529"/>
      <c r="C40" s="529"/>
      <c r="D40" s="529">
        <v>700</v>
      </c>
      <c r="E40" s="546">
        <f>ROUND((B$38*D40),0)</f>
        <v>700000</v>
      </c>
      <c r="F40" s="529"/>
      <c r="G40" s="548">
        <f>ROUND(IF($E40&lt;40001,$E40*$O$19/100,40000*$O$19/100+($E40-40000)*$O$20/100)+MAX(100, $B$38)*$O$18+IF($B$38&lt;101,$O$14,IF($B$38&lt;301,$O$15+$B$38*$P$15,$O$16+$B$38*$P$16)),2)+R26</f>
        <v>41244.57</v>
      </c>
      <c r="H40" s="548"/>
      <c r="I40" s="548">
        <f>ROUND(IF($E40&lt;40001,$E40*$R$19/100,40000*$R$19/100+($E40-40000)*$R$20/100)+MAX(100, $B$38)*$R$18+IF($B$38&lt;101,$R$14,IF($B$38&lt;301,$R$15+$B$38*$S$15,$R$16+$B$38*$S$16)),2)+R27</f>
        <v>43065.77</v>
      </c>
      <c r="J40" s="529"/>
      <c r="K40" s="549">
        <f>ROUND(I40/G40-1,4)</f>
        <v>4.4200000000000003E-2</v>
      </c>
    </row>
    <row r="41" spans="1:18" ht="15.75">
      <c r="A41" s="520"/>
      <c r="B41" s="583"/>
      <c r="C41" s="583"/>
      <c r="D41" s="583"/>
      <c r="E41" s="583"/>
      <c r="F41" s="583"/>
      <c r="G41" s="583"/>
      <c r="H41" s="583"/>
      <c r="I41" s="583"/>
      <c r="J41" s="584"/>
      <c r="K41" s="584"/>
      <c r="L41" s="520"/>
      <c r="M41" s="520"/>
    </row>
    <row r="42" spans="1:18" ht="15.75">
      <c r="A42" s="520"/>
      <c r="B42" s="532"/>
      <c r="C42" s="532"/>
      <c r="D42" s="532"/>
      <c r="E42" s="532"/>
      <c r="F42" s="532"/>
      <c r="G42" s="532"/>
      <c r="H42" s="532"/>
      <c r="I42" s="532"/>
      <c r="J42" s="532"/>
      <c r="K42" s="532"/>
      <c r="L42" s="520"/>
      <c r="M42" s="520"/>
    </row>
    <row r="43" spans="1:18" ht="15.75">
      <c r="A43" s="520"/>
      <c r="B43" s="532" t="s">
        <v>533</v>
      </c>
      <c r="C43" s="532"/>
      <c r="D43" s="532"/>
      <c r="E43" s="532"/>
      <c r="F43" s="532"/>
      <c r="G43" s="532"/>
      <c r="H43" s="532"/>
      <c r="I43" s="532"/>
      <c r="J43" s="532"/>
      <c r="K43" s="532"/>
      <c r="L43" s="520"/>
      <c r="M43" s="520"/>
    </row>
    <row r="44" spans="1:18" ht="15.75">
      <c r="A44" s="520"/>
      <c r="B44" s="568" t="s">
        <v>943</v>
      </c>
      <c r="C44" s="532"/>
      <c r="D44" s="532"/>
      <c r="E44" s="532"/>
      <c r="F44" s="532"/>
      <c r="G44" s="532"/>
      <c r="H44" s="532"/>
      <c r="I44" s="532"/>
      <c r="J44" s="532"/>
      <c r="K44" s="532"/>
    </row>
    <row r="45" spans="1:18" ht="15.75">
      <c r="A45" s="520"/>
      <c r="B45" s="529"/>
      <c r="L45" s="520"/>
      <c r="M45" s="520"/>
    </row>
    <row r="46" spans="1:18" ht="15.75">
      <c r="A46" s="520"/>
      <c r="B46" s="529"/>
    </row>
    <row r="47" spans="1:18" ht="15.75">
      <c r="B47" s="529"/>
    </row>
    <row r="48" spans="1:18" ht="15.75">
      <c r="B48" s="529"/>
      <c r="P48" s="517"/>
    </row>
    <row r="49" spans="1:2" ht="15.75">
      <c r="A49" s="520"/>
      <c r="B49" s="529"/>
    </row>
    <row r="50" spans="1:2" ht="15.75">
      <c r="A50" s="520"/>
      <c r="B50" s="529"/>
    </row>
    <row r="51" spans="1:2">
      <c r="A51" s="520"/>
    </row>
    <row r="52" spans="1:2">
      <c r="A52" s="520"/>
    </row>
    <row r="53" spans="1:2">
      <c r="A53" s="520"/>
    </row>
    <row r="54" spans="1:2">
      <c r="A54" s="520"/>
    </row>
    <row r="55" spans="1:2">
      <c r="A55" s="520"/>
    </row>
    <row r="56" spans="1:2">
      <c r="A56" s="520"/>
    </row>
    <row r="57" spans="1:2">
      <c r="A57" s="520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W51"/>
  <sheetViews>
    <sheetView view="pageBreakPreview" zoomScale="90" zoomScaleNormal="100" zoomScaleSheetLayoutView="90" workbookViewId="0">
      <selection activeCell="M21" sqref="M21"/>
    </sheetView>
  </sheetViews>
  <sheetFormatPr defaultColWidth="8.5" defaultRowHeight="15"/>
  <cols>
    <col min="1" max="1" width="1.875" style="478" customWidth="1"/>
    <col min="2" max="2" width="10.875" style="478" customWidth="1"/>
    <col min="3" max="3" width="1.75" style="478" customWidth="1"/>
    <col min="4" max="4" width="11.25" style="478" hidden="1" customWidth="1"/>
    <col min="5" max="5" width="8.25" style="478" bestFit="1" customWidth="1"/>
    <col min="6" max="6" width="3.25" style="478" customWidth="1"/>
    <col min="7" max="7" width="13.75" style="478" bestFit="1" customWidth="1"/>
    <col min="8" max="8" width="2.125" style="478" customWidth="1"/>
    <col min="9" max="9" width="8.5" style="478" bestFit="1" customWidth="1"/>
    <col min="10" max="10" width="2.125" style="478" customWidth="1"/>
    <col min="11" max="11" width="12.625" style="478" bestFit="1" customWidth="1"/>
    <col min="12" max="12" width="1.75" style="478" customWidth="1"/>
    <col min="13" max="13" width="8.5" style="478" bestFit="1" customWidth="1"/>
    <col min="14" max="14" width="2" style="478" customWidth="1"/>
    <col min="15" max="15" width="10.5" style="478" bestFit="1" customWidth="1"/>
    <col min="16" max="16" width="1.875" style="478" customWidth="1"/>
    <col min="17" max="17" width="8.5" style="478" bestFit="1" customWidth="1"/>
    <col min="18" max="18" width="3" style="478" customWidth="1"/>
    <col min="19" max="19" width="16.125" style="478" customWidth="1"/>
    <col min="20" max="20" width="13.25" style="478" customWidth="1"/>
    <col min="21" max="21" width="9.25" style="478" customWidth="1"/>
    <col min="22" max="22" width="8.375" style="478" customWidth="1"/>
    <col min="23" max="23" width="2.25" style="478" customWidth="1"/>
    <col min="24" max="16384" width="8.5" style="478"/>
  </cols>
  <sheetData>
    <row r="2" spans="2:22" ht="18.75">
      <c r="B2" s="485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585"/>
      <c r="P2" s="481" t="s">
        <v>31</v>
      </c>
      <c r="Q2" s="585"/>
    </row>
    <row r="3" spans="2:22" ht="18.75">
      <c r="B3" s="482" t="s">
        <v>72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</row>
    <row r="4" spans="2:22" ht="18.75">
      <c r="B4" s="482" t="s">
        <v>559</v>
      </c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</row>
    <row r="5" spans="2:22" ht="18.75">
      <c r="B5" s="482" t="s">
        <v>560</v>
      </c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</row>
    <row r="6" spans="2:22" ht="18.75">
      <c r="B6" s="482" t="s">
        <v>31</v>
      </c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</row>
    <row r="7" spans="2:22"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  <c r="P7" s="483"/>
      <c r="Q7" s="483"/>
    </row>
    <row r="8" spans="2:22"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</row>
    <row r="9" spans="2:22">
      <c r="G9" s="485"/>
      <c r="H9" s="485"/>
      <c r="I9" s="485"/>
      <c r="J9" s="485"/>
      <c r="K9" s="485"/>
      <c r="L9" s="485"/>
      <c r="M9" s="485"/>
    </row>
    <row r="10" spans="2:22">
      <c r="B10" s="485"/>
      <c r="C10" s="485"/>
      <c r="D10" s="485"/>
      <c r="E10" s="485"/>
      <c r="G10" s="485"/>
      <c r="H10" s="485"/>
      <c r="I10" s="485"/>
      <c r="J10" s="485"/>
      <c r="K10" s="485"/>
      <c r="L10" s="485"/>
      <c r="M10" s="485"/>
    </row>
    <row r="11" spans="2:22">
      <c r="B11" s="485"/>
      <c r="C11" s="485"/>
      <c r="D11" s="485"/>
      <c r="E11" s="485"/>
      <c r="G11" s="487"/>
      <c r="H11" s="487"/>
      <c r="I11" s="487"/>
      <c r="J11" s="487"/>
      <c r="K11" s="487"/>
      <c r="L11" s="487"/>
      <c r="M11" s="487"/>
      <c r="O11" s="483"/>
      <c r="P11" s="483"/>
      <c r="Q11" s="483"/>
    </row>
    <row r="12" spans="2:22" ht="15.75" thickBot="1">
      <c r="G12" s="1934" t="s">
        <v>561</v>
      </c>
      <c r="H12" s="1934"/>
      <c r="I12" s="1934"/>
      <c r="K12" s="1934" t="s">
        <v>628</v>
      </c>
      <c r="L12" s="1934"/>
      <c r="M12" s="1934"/>
      <c r="O12" s="1934" t="s">
        <v>562</v>
      </c>
      <c r="P12" s="1934"/>
      <c r="Q12" s="1934"/>
    </row>
    <row r="13" spans="2:22">
      <c r="B13" s="586" t="s">
        <v>535</v>
      </c>
      <c r="G13" s="587" t="s">
        <v>525</v>
      </c>
      <c r="H13" s="486"/>
      <c r="I13" s="486" t="s">
        <v>563</v>
      </c>
      <c r="J13" s="496"/>
      <c r="K13" s="587" t="s">
        <v>307</v>
      </c>
      <c r="L13" s="486"/>
      <c r="M13" s="486" t="s">
        <v>563</v>
      </c>
      <c r="O13" s="486"/>
      <c r="P13" s="486"/>
      <c r="Q13" s="486" t="s">
        <v>563</v>
      </c>
      <c r="S13" s="588" t="s">
        <v>527</v>
      </c>
      <c r="T13" s="543"/>
      <c r="U13" s="542" t="s">
        <v>528</v>
      </c>
      <c r="V13" s="543"/>
    </row>
    <row r="14" spans="2:22">
      <c r="B14" s="589" t="s">
        <v>538</v>
      </c>
      <c r="C14" s="587"/>
      <c r="D14" s="587" t="s">
        <v>539</v>
      </c>
      <c r="G14" s="590" t="s">
        <v>564</v>
      </c>
      <c r="H14" s="486" t="s">
        <v>31</v>
      </c>
      <c r="I14" s="486" t="s">
        <v>407</v>
      </c>
      <c r="J14" s="496"/>
      <c r="K14" s="590" t="s">
        <v>629</v>
      </c>
      <c r="L14" s="486" t="s">
        <v>31</v>
      </c>
      <c r="M14" s="486" t="s">
        <v>407</v>
      </c>
      <c r="O14" s="486" t="s">
        <v>630</v>
      </c>
      <c r="P14" s="486" t="s">
        <v>31</v>
      </c>
      <c r="Q14" s="486" t="s">
        <v>407</v>
      </c>
      <c r="S14" s="544" t="s">
        <v>565</v>
      </c>
      <c r="T14" s="497">
        <f>'Pages 4-11, All Other Schedules'!F729+V22+V30+V31</f>
        <v>6.6240000000000006</v>
      </c>
      <c r="U14" s="551"/>
      <c r="V14" s="497">
        <f>'Pages 4-11, All Other Schedules'!I729+'Pages 4-11, All Other Schedules'!I731+V23+V30+V31</f>
        <v>6.7800000000000011</v>
      </c>
    </row>
    <row r="15" spans="2:22">
      <c r="B15" s="590" t="s">
        <v>409</v>
      </c>
      <c r="C15" s="587"/>
      <c r="D15" s="591" t="s">
        <v>541</v>
      </c>
      <c r="E15" s="490" t="s">
        <v>25</v>
      </c>
      <c r="G15" s="490" t="s">
        <v>566</v>
      </c>
      <c r="H15" s="486"/>
      <c r="I15" s="490" t="s">
        <v>567</v>
      </c>
      <c r="J15" s="496"/>
      <c r="K15" s="490" t="s">
        <v>566</v>
      </c>
      <c r="L15" s="486"/>
      <c r="M15" s="490" t="s">
        <v>567</v>
      </c>
      <c r="O15" s="490" t="s">
        <v>568</v>
      </c>
      <c r="P15" s="486"/>
      <c r="Q15" s="490" t="s">
        <v>567</v>
      </c>
      <c r="S15" s="544" t="s">
        <v>31</v>
      </c>
      <c r="T15" s="592" t="s">
        <v>31</v>
      </c>
      <c r="U15" s="593" t="s">
        <v>31</v>
      </c>
      <c r="V15" s="592" t="s">
        <v>31</v>
      </c>
    </row>
    <row r="16" spans="2:22">
      <c r="B16" s="486"/>
      <c r="C16" s="587"/>
      <c r="D16" s="591"/>
      <c r="E16" s="486"/>
      <c r="G16" s="486"/>
      <c r="H16" s="486"/>
      <c r="I16" s="486"/>
      <c r="J16" s="496"/>
      <c r="K16" s="486"/>
      <c r="L16" s="486"/>
      <c r="M16" s="486"/>
      <c r="O16" s="486"/>
      <c r="P16" s="486"/>
      <c r="Q16" s="486"/>
      <c r="S16" s="594" t="s">
        <v>407</v>
      </c>
      <c r="T16" s="595"/>
      <c r="U16" s="595"/>
      <c r="V16" s="596"/>
    </row>
    <row r="17" spans="2:23">
      <c r="B17" s="597" t="s">
        <v>542</v>
      </c>
      <c r="C17" s="496"/>
      <c r="G17" s="496"/>
      <c r="H17" s="496"/>
      <c r="I17" s="496"/>
      <c r="J17" s="496"/>
      <c r="S17" s="598" t="s">
        <v>569</v>
      </c>
      <c r="T17" s="550">
        <f>'Pages 4-11, All Other Schedules'!F720</f>
        <v>23.79</v>
      </c>
      <c r="U17" s="551"/>
      <c r="V17" s="599">
        <f>'Pages 4-11, All Other Schedules'!I720</f>
        <v>24.45</v>
      </c>
    </row>
    <row r="18" spans="2:23">
      <c r="B18" s="478">
        <v>10</v>
      </c>
      <c r="D18" s="500">
        <v>200</v>
      </c>
      <c r="E18" s="500">
        <f>ROUND((B$18*D18),0)</f>
        <v>2000</v>
      </c>
      <c r="G18" s="600">
        <f>ROUND(((E18*$T$14/100))+(E18*$V$25/100),2)</f>
        <v>124.28</v>
      </c>
      <c r="H18" s="600"/>
      <c r="I18" s="600">
        <f>$B$18*$T$17+V27</f>
        <v>250.99999999999997</v>
      </c>
      <c r="J18" s="517"/>
      <c r="K18" s="600">
        <f>ROUND((($E18*$V$14/100))+(($E18*$V$26)/100),2)</f>
        <v>127.4</v>
      </c>
      <c r="L18" s="600"/>
      <c r="M18" s="600">
        <f>$B$18*$V$17+V28</f>
        <v>257.60000000000002</v>
      </c>
      <c r="O18" s="503">
        <f>ROUND((K18-G18)/G18,4)</f>
        <v>2.5100000000000001E-2</v>
      </c>
      <c r="P18" s="503"/>
      <c r="Q18" s="503">
        <f>ROUND((M18-I18)/I18,4)</f>
        <v>2.63E-2</v>
      </c>
      <c r="S18" s="598" t="s">
        <v>570</v>
      </c>
      <c r="T18" s="550">
        <f>'Pages 4-11, All Other Schedules'!F721</f>
        <v>16.559999999999999</v>
      </c>
      <c r="U18" s="551"/>
      <c r="V18" s="599">
        <f>'Pages 4-11, All Other Schedules'!I721</f>
        <v>16.96</v>
      </c>
    </row>
    <row r="19" spans="2:23">
      <c r="D19" s="500">
        <v>300</v>
      </c>
      <c r="E19" s="500">
        <f>ROUND((B$18*D19),0)</f>
        <v>3000</v>
      </c>
      <c r="G19" s="600">
        <f>ROUND(((E19*$T$14/100))+(E19*$V$25/100),2)</f>
        <v>186.42</v>
      </c>
      <c r="H19" s="600"/>
      <c r="I19" s="600">
        <f>$B$18*$T$17+V27</f>
        <v>250.99999999999997</v>
      </c>
      <c r="J19" s="517"/>
      <c r="K19" s="600">
        <f>ROUND((($E19*$V$14/100))+(($E19*$V$26)/100),2)</f>
        <v>191.1</v>
      </c>
      <c r="L19" s="600"/>
      <c r="M19" s="600">
        <f>$B$18*$V$17+V28</f>
        <v>257.60000000000002</v>
      </c>
      <c r="O19" s="503">
        <f>ROUND((K19-G19)/G19,4)</f>
        <v>2.5100000000000001E-2</v>
      </c>
      <c r="P19" s="503"/>
      <c r="Q19" s="503">
        <f>ROUND((M19-I19)/I19,4)</f>
        <v>2.63E-2</v>
      </c>
      <c r="S19" s="598" t="s">
        <v>571</v>
      </c>
      <c r="T19" s="550">
        <f>'Pages 4-11, All Other Schedules'!F722</f>
        <v>12.96</v>
      </c>
      <c r="U19" s="551"/>
      <c r="V19" s="599">
        <f>'Pages 4-11, All Other Schedules'!I722</f>
        <v>13.28</v>
      </c>
    </row>
    <row r="20" spans="2:23">
      <c r="D20" s="500">
        <v>500</v>
      </c>
      <c r="E20" s="500">
        <f>ROUND((B$18*D20),0)</f>
        <v>5000</v>
      </c>
      <c r="G20" s="600">
        <f>ROUND(((E20*$T$14/100))+(E20*$V$25/100),2)</f>
        <v>310.7</v>
      </c>
      <c r="H20" s="600"/>
      <c r="I20" s="600">
        <f>$B$18*$T$17+V27</f>
        <v>250.99999999999997</v>
      </c>
      <c r="J20" s="517"/>
      <c r="K20" s="600">
        <f>ROUND((($E20*$V$14/100))+(($E20*$V$26)/100),2)</f>
        <v>318.5</v>
      </c>
      <c r="L20" s="600"/>
      <c r="M20" s="600">
        <f>$B$18*$V$17+V28</f>
        <v>257.60000000000002</v>
      </c>
      <c r="O20" s="503">
        <f>ROUND((K20-G20)/G20,4)</f>
        <v>2.5100000000000001E-2</v>
      </c>
      <c r="P20" s="503"/>
      <c r="Q20" s="503">
        <f>ROUND((M20-I20)/I20,4)</f>
        <v>2.63E-2</v>
      </c>
      <c r="S20" s="598" t="s">
        <v>570</v>
      </c>
      <c r="T20" s="577">
        <f>'Pages 4-11, All Other Schedules'!F712</f>
        <v>357</v>
      </c>
      <c r="U20" s="551"/>
      <c r="V20" s="601">
        <f>'Pages 4-11, All Other Schedules'!I712</f>
        <v>366</v>
      </c>
    </row>
    <row r="21" spans="2:23">
      <c r="G21" s="600"/>
      <c r="H21" s="600"/>
      <c r="I21" s="600"/>
      <c r="J21" s="517"/>
      <c r="K21" s="600"/>
      <c r="L21" s="600"/>
      <c r="M21" s="600"/>
      <c r="S21" s="602" t="s">
        <v>571</v>
      </c>
      <c r="T21" s="603">
        <f>'Pages 4-11, All Other Schedules'!F713</f>
        <v>1457</v>
      </c>
      <c r="U21" s="604"/>
      <c r="V21" s="605">
        <f>'Pages 4-11, All Other Schedules'!I713</f>
        <v>1493</v>
      </c>
    </row>
    <row r="22" spans="2:23">
      <c r="B22" s="597" t="s">
        <v>543</v>
      </c>
      <c r="C22" s="496"/>
      <c r="G22" s="600"/>
      <c r="H22" s="600"/>
      <c r="I22" s="600"/>
      <c r="J22" s="517"/>
      <c r="K22" s="600"/>
      <c r="L22" s="600"/>
      <c r="M22" s="600"/>
      <c r="T22" s="506" t="s">
        <v>202</v>
      </c>
      <c r="U22" s="506"/>
      <c r="V22" s="507">
        <v>0.29899999999999999</v>
      </c>
    </row>
    <row r="23" spans="2:23">
      <c r="B23" s="478">
        <v>20</v>
      </c>
      <c r="D23" s="500">
        <v>200</v>
      </c>
      <c r="E23" s="500">
        <f>ROUND((B$23*D23),0)</f>
        <v>4000</v>
      </c>
      <c r="G23" s="600">
        <f>ROUND(((E23*$T$14/100))+(E23*$V$25/100),2)</f>
        <v>248.56</v>
      </c>
      <c r="H23" s="600"/>
      <c r="I23" s="600">
        <f>IF($B$23&lt;51,$B$23*$T$17,IF($B$23&lt;301,$B$23*$T$18+$T$20,$T$21+$T$19*$B$23))+V27</f>
        <v>488.9</v>
      </c>
      <c r="J23" s="517"/>
      <c r="K23" s="600">
        <f>ROUND((($E23*$V$14/100))+(($E23*$V$26)/100),2)</f>
        <v>254.8</v>
      </c>
      <c r="L23" s="600"/>
      <c r="M23" s="600">
        <f>IF($B$23&lt;51,$B$23*$V$17,IF($B$23&lt;301,$B$23*$V$18+$V$20,$V$21+$V$19*$B$23))+V28</f>
        <v>502.1</v>
      </c>
      <c r="O23" s="503">
        <f>ROUND((K23-G23)/G23,4)</f>
        <v>2.5100000000000001E-2</v>
      </c>
      <c r="P23" s="503"/>
      <c r="Q23" s="503">
        <f>ROUND((M23-I23)/I23,4)</f>
        <v>2.7E-2</v>
      </c>
      <c r="T23" s="506"/>
      <c r="U23" s="506"/>
      <c r="V23" s="507">
        <v>0.29899999999999999</v>
      </c>
    </row>
    <row r="24" spans="2:23">
      <c r="D24" s="500">
        <v>300</v>
      </c>
      <c r="E24" s="500">
        <f>ROUND((B$23*D24),0)</f>
        <v>6000</v>
      </c>
      <c r="G24" s="600">
        <f>ROUND(((E24*$T$14/100))+(E24*$V$25/100),2)</f>
        <v>372.84</v>
      </c>
      <c r="H24" s="600"/>
      <c r="I24" s="600">
        <f>IF($B$23&lt;51,$B$23*$T$17,IF($B$23&lt;301,$B$23*$T$18+$T$20,$T$21+$T$19*$B$23))+V27</f>
        <v>488.9</v>
      </c>
      <c r="J24" s="517"/>
      <c r="K24" s="600">
        <f>ROUND((($E24*$V$14/100))+(($E24*$V$26)/100),2)</f>
        <v>382.2</v>
      </c>
      <c r="L24" s="600"/>
      <c r="M24" s="600">
        <f>IF($B$23&lt;51,$B$23*$V$17,IF($B$23&lt;301,$B$23*$V$18+$V$20,$V$21+$V$19*$B$23))+V28</f>
        <v>502.1</v>
      </c>
      <c r="O24" s="503">
        <f>ROUND((K24-G24)/G24,4)</f>
        <v>2.5100000000000001E-2</v>
      </c>
      <c r="P24" s="503"/>
      <c r="Q24" s="503">
        <f>ROUND((M24-I24)/I24,4)</f>
        <v>2.7E-2</v>
      </c>
      <c r="T24" s="506"/>
      <c r="U24" s="506"/>
      <c r="V24" s="510"/>
    </row>
    <row r="25" spans="2:23">
      <c r="D25" s="500">
        <v>500</v>
      </c>
      <c r="E25" s="500">
        <f>ROUND((B$23*D25),0)</f>
        <v>10000</v>
      </c>
      <c r="G25" s="600">
        <f>ROUND(((E25*$T$14/100))+(E25*$V$25/100),2)</f>
        <v>621.4</v>
      </c>
      <c r="H25" s="600"/>
      <c r="I25" s="600">
        <f>IF($B$23&lt;51,$B$23*$T$17,IF($B$23&lt;301,$B$23*$T$18+$T$20,$T$21+$T$19*$B$23))+V27</f>
        <v>488.9</v>
      </c>
      <c r="J25" s="517"/>
      <c r="K25" s="600">
        <f>ROUND((($E25*$V$14/100))+(($E25*$V$26)/100),2)</f>
        <v>637</v>
      </c>
      <c r="L25" s="600"/>
      <c r="M25" s="600">
        <f>IF($B$23&lt;51,$B$23*$V$17,IF($B$23&lt;301,$B$23*$V$18+$V$20,$V$21+$V$19*$B$23))+V28</f>
        <v>502.1</v>
      </c>
      <c r="O25" s="503">
        <f>ROUND((K25-G25)/G25,4)</f>
        <v>2.5100000000000001E-2</v>
      </c>
      <c r="P25" s="503"/>
      <c r="Q25" s="503">
        <f>ROUND((M25-I25)/I25,4)</f>
        <v>2.7E-2</v>
      </c>
      <c r="T25" s="506" t="s">
        <v>531</v>
      </c>
      <c r="U25" s="506"/>
      <c r="V25" s="507">
        <v>-0.41</v>
      </c>
    </row>
    <row r="26" spans="2:23">
      <c r="G26" s="600"/>
      <c r="H26" s="600"/>
      <c r="I26" s="600"/>
      <c r="J26" s="517"/>
      <c r="K26" s="600"/>
      <c r="L26" s="600"/>
      <c r="M26" s="600"/>
      <c r="T26" s="478" t="s">
        <v>31</v>
      </c>
      <c r="U26" s="478" t="s">
        <v>31</v>
      </c>
      <c r="V26" s="563">
        <v>-0.41</v>
      </c>
    </row>
    <row r="27" spans="2:23">
      <c r="B27" s="478">
        <v>100</v>
      </c>
      <c r="D27" s="500">
        <v>200</v>
      </c>
      <c r="E27" s="500">
        <f>ROUND((B$27*D27),0)</f>
        <v>20000</v>
      </c>
      <c r="G27" s="600">
        <f>ROUND(((E27*$T$14/100))+(E27*$V$25/100),2)</f>
        <v>1242.8</v>
      </c>
      <c r="H27" s="600"/>
      <c r="I27" s="600">
        <f>IF($B$27&lt;51,$B$27*$T$17,IF($B$27&lt;301,$B$27*$T$18+$T$20,$T$21+$T$19*$B$27))+V27</f>
        <v>2026.0999999999997</v>
      </c>
      <c r="J27" s="517"/>
      <c r="K27" s="600">
        <f>ROUND((($E27*$V$14/100))+(($E27*$V$26)/100),2)</f>
        <v>1274</v>
      </c>
      <c r="L27" s="600"/>
      <c r="M27" s="600">
        <f>IF($B$27&lt;51,$B$27*$V$17,IF($B$27&lt;301,$B$27*$V$18+$V$20,$V$21+$V$19*$B$27))+V28</f>
        <v>2075.1</v>
      </c>
      <c r="O27" s="503">
        <f>ROUND((K27-G27)/G27,4)</f>
        <v>2.5100000000000001E-2</v>
      </c>
      <c r="P27" s="503"/>
      <c r="Q27" s="503">
        <f>ROUND((M27-I27)/I27,4)</f>
        <v>2.4199999999999999E-2</v>
      </c>
      <c r="T27" s="478" t="s">
        <v>675</v>
      </c>
      <c r="V27" s="552">
        <f>'Exhibit No._(JRS-6) p1'!D19</f>
        <v>13.1</v>
      </c>
      <c r="W27" s="478" t="s">
        <v>31</v>
      </c>
    </row>
    <row r="28" spans="2:23">
      <c r="D28" s="500">
        <v>300</v>
      </c>
      <c r="E28" s="500">
        <f>ROUND((B$27*D28),0)</f>
        <v>30000</v>
      </c>
      <c r="G28" s="600">
        <f>ROUND(((E28*$T$14/100))+(E28*$V$25/100),2)</f>
        <v>1864.2</v>
      </c>
      <c r="H28" s="600"/>
      <c r="I28" s="600">
        <f>IF($B$27&lt;51,$B$27*$T$17,IF($B$27&lt;301,$B$27*$T$18+$T$20,$T$21+$T$19*$B$27))+V27</f>
        <v>2026.0999999999997</v>
      </c>
      <c r="J28" s="517"/>
      <c r="K28" s="600">
        <f>ROUND((($E28*$V$14/100))+(($E28*$V$26)/100),2)</f>
        <v>1911</v>
      </c>
      <c r="L28" s="600"/>
      <c r="M28" s="600">
        <f>IF($B$27&lt;51,$B$27*$V$17,IF($B$27&lt;301,$B$27*$V$18+$V$20,$V$21+$V$19*$B$27))+V28</f>
        <v>2075.1</v>
      </c>
      <c r="O28" s="503">
        <f>ROUND((K28-G28)/G28,4)</f>
        <v>2.5100000000000001E-2</v>
      </c>
      <c r="P28" s="503"/>
      <c r="Q28" s="503">
        <f>ROUND((M28-I28)/I28,4)</f>
        <v>2.4199999999999999E-2</v>
      </c>
      <c r="T28" s="478" t="s">
        <v>674</v>
      </c>
      <c r="V28" s="552">
        <f>'Exhibit No._(JRS-6) p1'!D19</f>
        <v>13.1</v>
      </c>
    </row>
    <row r="29" spans="2:23">
      <c r="D29" s="500">
        <v>500</v>
      </c>
      <c r="E29" s="500">
        <f>ROUND((B$27*D29),0)</f>
        <v>50000</v>
      </c>
      <c r="G29" s="600">
        <f>ROUND(((E29*$T$14/100))+(E29*$V$25/100),2)</f>
        <v>3107</v>
      </c>
      <c r="H29" s="600"/>
      <c r="I29" s="600">
        <f>IF($B$27&lt;51,$B$27*$T$17,IF($B$27&lt;301,$B$27*$T$18+$T$20,$T$21+$T$19*$B$27))+V27</f>
        <v>2026.0999999999997</v>
      </c>
      <c r="J29" s="517"/>
      <c r="K29" s="600">
        <f>ROUND((($E29*$V$14/100))+(($E29*$V$26)/100),2)</f>
        <v>3185</v>
      </c>
      <c r="L29" s="600"/>
      <c r="M29" s="600">
        <f>IF($B$27&lt;51,$B$27*$V$17,IF($B$27&lt;301,$B$27*$V$18+$V$20,$V$21+$V$19*$B$27))+V28</f>
        <v>2075.1</v>
      </c>
      <c r="O29" s="503">
        <f>ROUND((K29-G29)/G29,4)</f>
        <v>2.5100000000000001E-2</v>
      </c>
      <c r="P29" s="503"/>
      <c r="Q29" s="503">
        <f>ROUND((M29-I29)/I29,4)</f>
        <v>2.4199999999999999E-2</v>
      </c>
    </row>
    <row r="30" spans="2:23">
      <c r="G30" s="600"/>
      <c r="H30" s="600"/>
      <c r="I30" s="600"/>
      <c r="J30" s="517"/>
      <c r="K30" s="600"/>
      <c r="L30" s="600"/>
      <c r="M30" s="600"/>
      <c r="T30" s="478" t="s">
        <v>532</v>
      </c>
      <c r="V30" s="478">
        <v>0</v>
      </c>
    </row>
    <row r="31" spans="2:23">
      <c r="B31" s="478">
        <v>300</v>
      </c>
      <c r="D31" s="500">
        <v>200</v>
      </c>
      <c r="E31" s="500">
        <f>ROUND((B$31*D31),0)</f>
        <v>60000</v>
      </c>
      <c r="G31" s="600">
        <f>ROUND(((E31*$T$14/100))+(E31*$V$25/100),2)</f>
        <v>3728.4</v>
      </c>
      <c r="H31" s="600"/>
      <c r="I31" s="600">
        <f>IF($B$31&lt;51,$B$31*$T$17,IF($B$31&lt;301,$B$31*$T$18+$T$20,$T$21+$T$19*$B$31))+V27</f>
        <v>5338.1</v>
      </c>
      <c r="J31" s="517"/>
      <c r="K31" s="600">
        <f>ROUND((($E31*$V$14/100))+(($E31*$V$26)/100),2)</f>
        <v>3822</v>
      </c>
      <c r="L31" s="600"/>
      <c r="M31" s="600">
        <f>IF($B$31&lt;51,$B$31*$V$17,IF($B$31&lt;301,$B$31*$V$18+$V$20,$V$21+$V$19*$B$31))+V28</f>
        <v>5467.1</v>
      </c>
      <c r="O31" s="503">
        <f>ROUND((K31-G31)/G31,4)</f>
        <v>2.5100000000000001E-2</v>
      </c>
      <c r="P31" s="503"/>
      <c r="Q31" s="503">
        <f>ROUND((M31-I31)/I31,4)</f>
        <v>2.4199999999999999E-2</v>
      </c>
      <c r="T31" s="761" t="s">
        <v>733</v>
      </c>
      <c r="V31" s="478">
        <v>-0.114</v>
      </c>
    </row>
    <row r="32" spans="2:23">
      <c r="D32" s="500">
        <v>300</v>
      </c>
      <c r="E32" s="500">
        <f>ROUND((B$31*D32),0)</f>
        <v>90000</v>
      </c>
      <c r="G32" s="600">
        <f>ROUND(((E32*$T$14/100))+(E32*$V$25/100),2)</f>
        <v>5592.6</v>
      </c>
      <c r="H32" s="600"/>
      <c r="I32" s="600">
        <f>IF($B$31&lt;51,$B$31*$T$17,IF($B$31&lt;301,$B$31*$T$18+$T$20,$T$21+$T$19*$B$31))+V27</f>
        <v>5338.1</v>
      </c>
      <c r="J32" s="517"/>
      <c r="K32" s="600">
        <f>ROUND((($E32*$V$14/100))+(($E32*$V$26)/100),2)</f>
        <v>5733</v>
      </c>
      <c r="L32" s="600"/>
      <c r="M32" s="600">
        <f>IF($B$31&lt;51,$B$31*$V$17,IF($B$31&lt;301,$B$31*$V$18+$V$20,$V$21+$V$19*$B$31))+V28</f>
        <v>5467.1</v>
      </c>
      <c r="O32" s="503">
        <f>ROUND((K32-G32)/G32,4)</f>
        <v>2.5100000000000001E-2</v>
      </c>
      <c r="P32" s="503"/>
      <c r="Q32" s="503">
        <f>ROUND((M32-I32)/I32,4)</f>
        <v>2.4199999999999999E-2</v>
      </c>
    </row>
    <row r="33" spans="2:20">
      <c r="D33" s="500">
        <v>500</v>
      </c>
      <c r="E33" s="500">
        <f>ROUND((B$31*D33),0)</f>
        <v>150000</v>
      </c>
      <c r="G33" s="600">
        <f>ROUND(((E33*$T$14/100))+(E33*$V$25/100),2)</f>
        <v>9321</v>
      </c>
      <c r="H33" s="600"/>
      <c r="I33" s="600">
        <f>IF($B$31&lt;51,$B$31*$T$17,IF($B$31&lt;301,$B$31*$T$18+$T$20,$T$21+$T$19*$B$31))+V27</f>
        <v>5338.1</v>
      </c>
      <c r="J33" s="517"/>
      <c r="K33" s="600">
        <f>ROUND((($E33*$V$14/100))+(($E33*$V$26)/100),2)</f>
        <v>9555</v>
      </c>
      <c r="L33" s="600"/>
      <c r="M33" s="600">
        <f>IF($B$31&lt;51,$B$31*$V$17,IF($B$31&lt;301,$B$31*$V$18+$V$20,$V$21+$V$19*$B$31))+V28</f>
        <v>5467.1</v>
      </c>
      <c r="O33" s="503">
        <f>ROUND((K33-G33)/G33,4)</f>
        <v>2.5100000000000001E-2</v>
      </c>
      <c r="P33" s="503"/>
      <c r="Q33" s="503">
        <f>ROUND((M33-I33)/I33,4)</f>
        <v>2.4199999999999999E-2</v>
      </c>
      <c r="S33" s="733" t="s">
        <v>684</v>
      </c>
      <c r="T33" s="607">
        <f ca="1">'Page 1, Revenues from Sales'!W18</f>
        <v>2.4077780383155271E-2</v>
      </c>
    </row>
    <row r="34" spans="2:20">
      <c r="B34" s="493"/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</row>
    <row r="36" spans="2:20">
      <c r="C36" s="515"/>
    </row>
    <row r="37" spans="2:20">
      <c r="B37" s="478" t="s">
        <v>533</v>
      </c>
      <c r="C37" s="515"/>
    </row>
    <row r="38" spans="2:20">
      <c r="B38" s="606" t="s">
        <v>944</v>
      </c>
      <c r="C38" s="515"/>
    </row>
    <row r="39" spans="2:20">
      <c r="B39" s="515" t="s">
        <v>879</v>
      </c>
      <c r="C39" s="515"/>
    </row>
    <row r="40" spans="2:20">
      <c r="B40" s="515"/>
      <c r="C40" s="515"/>
    </row>
    <row r="41" spans="2:20">
      <c r="B41" s="515"/>
      <c r="C41" s="515"/>
    </row>
    <row r="42" spans="2:20">
      <c r="B42" s="515"/>
      <c r="C42" s="515"/>
    </row>
    <row r="43" spans="2:20">
      <c r="B43" s="515"/>
      <c r="C43" s="515"/>
    </row>
    <row r="44" spans="2:20">
      <c r="B44" s="515"/>
      <c r="C44" s="515"/>
    </row>
    <row r="45" spans="2:20">
      <c r="B45" s="515"/>
      <c r="C45" s="515"/>
    </row>
    <row r="46" spans="2:20">
      <c r="B46" s="515"/>
      <c r="C46" s="515"/>
    </row>
    <row r="47" spans="2:20">
      <c r="B47" s="515"/>
      <c r="C47" s="515"/>
    </row>
    <row r="48" spans="2:20">
      <c r="B48" s="515"/>
      <c r="C48" s="515"/>
      <c r="P48" s="517"/>
    </row>
    <row r="49" spans="2:3">
      <c r="B49" s="515"/>
      <c r="C49" s="515"/>
    </row>
    <row r="50" spans="2:3">
      <c r="B50" s="515"/>
      <c r="C50" s="515"/>
    </row>
    <row r="51" spans="2:3">
      <c r="B51" s="515"/>
      <c r="C51" s="515"/>
    </row>
  </sheetData>
  <mergeCells count="3">
    <mergeCell ref="G12:I12"/>
    <mergeCell ref="K12:M12"/>
    <mergeCell ref="O12:Q12"/>
  </mergeCells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T48"/>
  <sheetViews>
    <sheetView view="pageBreakPreview" topLeftCell="A2" zoomScaleNormal="100" zoomScaleSheetLayoutView="100" workbookViewId="0">
      <selection activeCell="M21" sqref="M21"/>
    </sheetView>
  </sheetViews>
  <sheetFormatPr defaultColWidth="8.5" defaultRowHeight="15"/>
  <cols>
    <col min="1" max="1" width="2" style="478" customWidth="1"/>
    <col min="2" max="2" width="8.5" style="478"/>
    <col min="3" max="3" width="8.5" style="478" hidden="1" customWidth="1"/>
    <col min="4" max="4" width="3.25" style="478" customWidth="1"/>
    <col min="5" max="5" width="9.75" style="478" customWidth="1"/>
    <col min="6" max="6" width="3.75" style="478" customWidth="1"/>
    <col min="7" max="7" width="19.875" style="478" customWidth="1"/>
    <col min="8" max="8" width="3.5" style="478" customWidth="1"/>
    <col min="9" max="9" width="19.5" style="478" customWidth="1"/>
    <col min="10" max="10" width="2.875" style="478" customWidth="1"/>
    <col min="11" max="11" width="12.125" style="478" customWidth="1"/>
    <col min="12" max="12" width="3.5" style="607" customWidth="1"/>
    <col min="13" max="13" width="8.5" style="478"/>
    <col min="14" max="14" width="10.125" style="478" customWidth="1"/>
    <col min="15" max="15" width="17.25" style="478" customWidth="1"/>
    <col min="16" max="16" width="5.25" style="478" customWidth="1"/>
    <col min="17" max="17" width="10.25" style="478" customWidth="1"/>
    <col min="18" max="18" width="7.375" style="478" customWidth="1"/>
    <col min="19" max="19" width="3.125" style="478" customWidth="1"/>
    <col min="20" max="16384" width="8.5" style="478"/>
  </cols>
  <sheetData>
    <row r="2" spans="1:18" ht="18.75">
      <c r="B2" s="485"/>
      <c r="C2" s="483"/>
      <c r="D2" s="483"/>
      <c r="E2" s="483"/>
      <c r="F2" s="483"/>
      <c r="G2" s="483"/>
      <c r="H2" s="483"/>
      <c r="I2" s="483"/>
      <c r="J2" s="481" t="s">
        <v>31</v>
      </c>
      <c r="K2" s="585"/>
    </row>
    <row r="3" spans="1:18" ht="18.75">
      <c r="B3" s="482" t="s">
        <v>72</v>
      </c>
      <c r="C3" s="482"/>
      <c r="D3" s="482"/>
      <c r="E3" s="482"/>
      <c r="F3" s="482"/>
      <c r="G3" s="482"/>
      <c r="H3" s="482"/>
      <c r="I3" s="482"/>
      <c r="J3" s="482"/>
      <c r="K3" s="482"/>
    </row>
    <row r="4" spans="1:18" ht="18.75">
      <c r="B4" s="482" t="s">
        <v>523</v>
      </c>
      <c r="C4" s="482"/>
      <c r="D4" s="482"/>
      <c r="E4" s="482"/>
      <c r="F4" s="482"/>
      <c r="G4" s="482"/>
      <c r="H4" s="482"/>
      <c r="I4" s="482"/>
      <c r="J4" s="482"/>
      <c r="K4" s="482"/>
    </row>
    <row r="5" spans="1:18" ht="18.75">
      <c r="B5" s="482" t="s">
        <v>572</v>
      </c>
      <c r="C5" s="482"/>
      <c r="D5" s="482"/>
      <c r="E5" s="482"/>
      <c r="F5" s="482"/>
      <c r="G5" s="482"/>
      <c r="H5" s="482"/>
      <c r="I5" s="482"/>
      <c r="J5" s="482"/>
      <c r="K5" s="482"/>
    </row>
    <row r="6" spans="1:18" ht="18.75">
      <c r="B6" s="482" t="s">
        <v>573</v>
      </c>
      <c r="C6" s="482"/>
      <c r="D6" s="482"/>
      <c r="E6" s="482"/>
      <c r="F6" s="482"/>
      <c r="G6" s="482"/>
      <c r="H6" s="482"/>
      <c r="I6" s="482"/>
      <c r="J6" s="482"/>
      <c r="K6" s="482"/>
    </row>
    <row r="7" spans="1:18" ht="18.75">
      <c r="B7" s="482" t="s">
        <v>31</v>
      </c>
      <c r="C7" s="482"/>
      <c r="D7" s="482"/>
      <c r="E7" s="482"/>
      <c r="F7" s="482"/>
      <c r="G7" s="482"/>
      <c r="H7" s="482"/>
      <c r="I7" s="482"/>
      <c r="J7" s="482"/>
      <c r="K7" s="482"/>
    </row>
    <row r="8" spans="1:18" ht="18.75">
      <c r="A8" s="608"/>
      <c r="B8" s="483"/>
      <c r="C8" s="483"/>
      <c r="D8" s="483"/>
      <c r="E8" s="483"/>
      <c r="F8" s="483"/>
      <c r="G8" s="483"/>
      <c r="H8" s="483"/>
      <c r="I8" s="483"/>
      <c r="J8" s="483"/>
    </row>
    <row r="9" spans="1:18" ht="18.75">
      <c r="A9" s="608"/>
      <c r="B9" s="483"/>
      <c r="C9" s="483"/>
      <c r="D9" s="483"/>
      <c r="E9" s="483"/>
      <c r="F9" s="483"/>
      <c r="G9" s="483"/>
      <c r="H9" s="483"/>
      <c r="I9" s="483"/>
      <c r="J9" s="483"/>
    </row>
    <row r="11" spans="1:18">
      <c r="B11" s="586" t="s">
        <v>535</v>
      </c>
      <c r="G11" s="491" t="s">
        <v>536</v>
      </c>
      <c r="H11" s="491"/>
      <c r="I11" s="491"/>
    </row>
    <row r="12" spans="1:18" ht="15.75" thickBot="1">
      <c r="B12" s="589" t="s">
        <v>538</v>
      </c>
      <c r="C12" s="587" t="s">
        <v>539</v>
      </c>
      <c r="G12" s="483" t="s">
        <v>199</v>
      </c>
      <c r="I12" s="483" t="s">
        <v>309</v>
      </c>
      <c r="K12" s="483" t="s">
        <v>526</v>
      </c>
    </row>
    <row r="13" spans="1:18">
      <c r="B13" s="590" t="s">
        <v>409</v>
      </c>
      <c r="C13" s="591" t="s">
        <v>541</v>
      </c>
      <c r="D13" s="496"/>
      <c r="E13" s="490" t="s">
        <v>25</v>
      </c>
      <c r="F13" s="496"/>
      <c r="G13" s="491" t="s">
        <v>574</v>
      </c>
      <c r="I13" s="491" t="s">
        <v>575</v>
      </c>
      <c r="K13" s="484" t="s">
        <v>265</v>
      </c>
      <c r="M13" s="609" t="s">
        <v>527</v>
      </c>
      <c r="N13" s="574"/>
      <c r="O13" s="575"/>
      <c r="P13" s="542"/>
      <c r="Q13" s="574" t="s">
        <v>528</v>
      </c>
      <c r="R13" s="575"/>
    </row>
    <row r="14" spans="1:18">
      <c r="G14" s="591"/>
      <c r="H14" s="496"/>
      <c r="I14" s="591"/>
      <c r="M14" s="544" t="s">
        <v>407</v>
      </c>
      <c r="N14" s="508"/>
      <c r="O14" s="545"/>
      <c r="P14" s="508"/>
      <c r="Q14" s="508"/>
      <c r="R14" s="545"/>
    </row>
    <row r="15" spans="1:18">
      <c r="B15" s="500">
        <v>1000</v>
      </c>
      <c r="C15" s="478">
        <v>300</v>
      </c>
      <c r="E15" s="500">
        <f>ROUND((B$15*C15),0)</f>
        <v>300000</v>
      </c>
      <c r="F15" s="500"/>
      <c r="G15" s="600">
        <f>ROUND($E15*N$18/100+$B$15*N$17+IF($B$15&lt;3001,$B$15*O$15+N$15,$B$15*O$16+N$16),2)+Q24</f>
        <v>22831.01</v>
      </c>
      <c r="H15" s="600"/>
      <c r="I15" s="600">
        <f>ROUND($E15*Q$18/100+$B$15*Q$17+IF($B$15&lt;3001,$B$15*R$15+Q$15,$B$15*R$16+Q$16),2)+Q25</f>
        <v>24076.01</v>
      </c>
      <c r="K15" s="503">
        <f>(I15-G15)/G15</f>
        <v>5.4531096083791301E-2</v>
      </c>
      <c r="M15" s="544" t="s">
        <v>576</v>
      </c>
      <c r="N15" s="550">
        <f>'Pages 4-11, All Other Schedules'!F948</f>
        <v>1386</v>
      </c>
      <c r="O15" s="495">
        <f>'Pages 4-11, All Other Schedules'!F951</f>
        <v>1.06</v>
      </c>
      <c r="P15" s="551"/>
      <c r="Q15" s="550">
        <f>'Pages 4-11, All Other Schedules'!I948</f>
        <v>1463</v>
      </c>
      <c r="R15" s="495">
        <f>'Pages 4-11, All Other Schedules'!I951</f>
        <v>1.1200000000000001</v>
      </c>
    </row>
    <row r="16" spans="1:18">
      <c r="C16" s="478">
        <v>500</v>
      </c>
      <c r="E16" s="500">
        <f>ROUND((B$15*C16),0)</f>
        <v>500000</v>
      </c>
      <c r="F16" s="500"/>
      <c r="G16" s="600">
        <f>ROUND($E16*N$18/100+$B$15*N$17+IF($B$15&lt;3001,$B$15*O$15+N$15,$B$15*O$16+N$16),2)+Q24</f>
        <v>31531.01</v>
      </c>
      <c r="H16" s="600"/>
      <c r="I16" s="600">
        <f>ROUND($E16*Q$18/100+$B$15*Q$17+IF($B$15&lt;3001,$B$15*R$15+Q$15,$B$15*R$16+Q$16),2)+Q25</f>
        <v>33248.01</v>
      </c>
      <c r="K16" s="503">
        <f>(I16-G16)/G16</f>
        <v>5.4454329246034418E-2</v>
      </c>
      <c r="M16" s="544" t="s">
        <v>577</v>
      </c>
      <c r="N16" s="550">
        <f>'Pages 4-11, All Other Schedules'!F949</f>
        <v>1675</v>
      </c>
      <c r="O16" s="495">
        <f>'Pages 4-11, All Other Schedules'!F952</f>
        <v>0.96</v>
      </c>
      <c r="P16" s="551"/>
      <c r="Q16" s="550">
        <f>'Pages 4-11, All Other Schedules'!I949</f>
        <v>1768</v>
      </c>
      <c r="R16" s="495">
        <f>'Pages 4-11, All Other Schedules'!I952</f>
        <v>1.02</v>
      </c>
    </row>
    <row r="17" spans="2:20">
      <c r="C17" s="478">
        <v>700</v>
      </c>
      <c r="E17" s="500">
        <f>ROUND((B$15*C17),0)</f>
        <v>700000</v>
      </c>
      <c r="F17" s="500"/>
      <c r="G17" s="600">
        <f>ROUND($E17*N$18/100+$B$15*N$17+IF($B$15&lt;3001,$B$15*O$15+N$15,$B$15*O$16+N$16),2)+Q24</f>
        <v>40231.01</v>
      </c>
      <c r="H17" s="600"/>
      <c r="I17" s="600">
        <f>ROUND($E17*Q$18/100+$B$15*Q$17+IF($B$15&lt;3001,$B$15*R$15+Q$15,$B$15*R$16+Q$16),2)+Q25</f>
        <v>42420.01</v>
      </c>
      <c r="K17" s="503">
        <f>(I17-G17)/G17</f>
        <v>5.4410764233858405E-2</v>
      </c>
      <c r="M17" s="544" t="s">
        <v>409</v>
      </c>
      <c r="N17" s="550">
        <f>'Pages 4-11, All Other Schedules'!F953</f>
        <v>7.12</v>
      </c>
      <c r="O17" s="556"/>
      <c r="P17" s="551"/>
      <c r="Q17" s="550">
        <f>'Pages 4-11, All Other Schedules'!I953</f>
        <v>7.52</v>
      </c>
      <c r="R17" s="556"/>
      <c r="T17" s="1208">
        <f>(Q17-N17)/N17</f>
        <v>5.6179775280898799E-2</v>
      </c>
    </row>
    <row r="18" spans="2:20">
      <c r="G18" s="600"/>
      <c r="H18" s="600"/>
      <c r="I18" s="600"/>
      <c r="K18" s="503"/>
      <c r="M18" s="544" t="s">
        <v>379</v>
      </c>
      <c r="N18" s="559">
        <f>'Pages 4-11, All Other Schedules'!F955+Q20+Q27+Q28</f>
        <v>4.3499999999999996</v>
      </c>
      <c r="O18" s="556"/>
      <c r="P18" s="551"/>
      <c r="Q18" s="559">
        <f>'Pages 4-11, All Other Schedules'!I955+'Pages 4-11, All Other Schedules'!I937+Q21+Q27+Q28</f>
        <v>4.5859999999999994</v>
      </c>
      <c r="R18" s="556"/>
      <c r="T18" s="1208">
        <f>(Q18-N18)/N18</f>
        <v>5.425287356321834E-2</v>
      </c>
    </row>
    <row r="19" spans="2:20" ht="15.75" thickBot="1">
      <c r="B19" s="500">
        <v>2000</v>
      </c>
      <c r="C19" s="478">
        <v>300</v>
      </c>
      <c r="E19" s="500">
        <f>ROUND((B$19*C19),0)</f>
        <v>600000</v>
      </c>
      <c r="F19" s="500"/>
      <c r="G19" s="600">
        <f>ROUND($E19*N$18/100+$B$19*N$17+IF($B$19&lt;3001,$B$19*O$15+N$15,$B$19*O$16+N$16),2)+Q24</f>
        <v>44061.01</v>
      </c>
      <c r="H19" s="600"/>
      <c r="I19" s="600">
        <f>ROUND($E19*Q$18/100+$B$19*Q$17+IF($B$19&lt;3001,$B$19*R$15+Q$15,$B$19*R$16+Q$16),2)+Q25</f>
        <v>46474.01</v>
      </c>
      <c r="K19" s="503">
        <f>(I19-G19)/G19</f>
        <v>5.4764972477934569E-2</v>
      </c>
      <c r="M19" s="580" t="s">
        <v>31</v>
      </c>
      <c r="N19" s="581" t="s">
        <v>31</v>
      </c>
      <c r="O19" s="562"/>
      <c r="P19" s="561"/>
      <c r="Q19" s="581" t="s">
        <v>31</v>
      </c>
      <c r="R19" s="582"/>
    </row>
    <row r="20" spans="2:20">
      <c r="C20" s="478">
        <v>500</v>
      </c>
      <c r="E20" s="500">
        <f>ROUND((B$19*C20),0)</f>
        <v>1000000</v>
      </c>
      <c r="F20" s="500"/>
      <c r="G20" s="600">
        <f>ROUND($E20*N$18/100+$B$19*N$17+IF($B$19&lt;3001,$B$19*O$15+N$15,$B$19*O$16+N$16),2)+Q24</f>
        <v>61461.01</v>
      </c>
      <c r="H20" s="600"/>
      <c r="I20" s="600">
        <f>ROUND($E20*Q$18/100+$B$19*Q$17+IF($B$19&lt;3001,$B$19*R$15+Q$15,$B$19*R$16+Q$16),2)+Q25</f>
        <v>64818.01</v>
      </c>
      <c r="K20" s="503">
        <f>(I20-G20)/G20</f>
        <v>5.4619994041751017E-2</v>
      </c>
      <c r="O20" s="506" t="s">
        <v>202</v>
      </c>
      <c r="P20" s="506"/>
      <c r="Q20" s="507">
        <v>0.217</v>
      </c>
    </row>
    <row r="21" spans="2:20">
      <c r="C21" s="478">
        <v>700</v>
      </c>
      <c r="E21" s="500">
        <f>ROUND((B$19*C21),0)</f>
        <v>1400000</v>
      </c>
      <c r="F21" s="500"/>
      <c r="G21" s="600">
        <f>ROUND($E21*N$18/100+$B$19*N$17+IF($B$19&lt;3001,$B$19*O$15+N$15,$B$19*O$16+N$16),2)+Q24</f>
        <v>78861.009999999995</v>
      </c>
      <c r="H21" s="600"/>
      <c r="I21" s="600">
        <f>ROUND($E21*Q$18/100+$B$19*Q$17+IF($B$19&lt;3001,$B$19*R$15+Q$15,$B$19*R$16+Q$16),2)+Q25</f>
        <v>83162.009999999995</v>
      </c>
      <c r="K21" s="503">
        <f>(I21-G21)/G21</f>
        <v>5.4538992082399151E-2</v>
      </c>
      <c r="O21" s="506"/>
      <c r="P21" s="506"/>
      <c r="Q21" s="507">
        <v>0.217</v>
      </c>
    </row>
    <row r="22" spans="2:20">
      <c r="G22" s="600"/>
      <c r="H22" s="600"/>
      <c r="I22" s="600"/>
      <c r="K22" s="503"/>
      <c r="O22" s="506"/>
      <c r="P22" s="506"/>
      <c r="Q22" s="510"/>
    </row>
    <row r="23" spans="2:20">
      <c r="B23" s="500">
        <v>4000</v>
      </c>
      <c r="C23" s="478">
        <v>300</v>
      </c>
      <c r="E23" s="500">
        <f>ROUND((B$23*C23),0)</f>
        <v>1200000</v>
      </c>
      <c r="F23" s="500"/>
      <c r="G23" s="600">
        <f>ROUND($E23*N$18/100+$B$23*N$17+IF($B$23&lt;3001,$B$23*O$15+N$15,$B$23*O$16+N$16),2)+Q24</f>
        <v>86410.01</v>
      </c>
      <c r="H23" s="600"/>
      <c r="I23" s="600">
        <f>ROUND($E23*Q$18/100+$B$23*Q$17+IF($B$23&lt;3001,$B$23*R$15+Q$15,$B$23*R$16+Q$16),2)+Q25</f>
        <v>91175.01</v>
      </c>
      <c r="K23" s="503">
        <f>(I23-G23)/G23</f>
        <v>5.5144074164555704E-2</v>
      </c>
      <c r="O23" s="478" t="s">
        <v>31</v>
      </c>
      <c r="P23" s="478" t="s">
        <v>31</v>
      </c>
      <c r="Q23" s="478" t="s">
        <v>31</v>
      </c>
      <c r="T23" s="761" t="s">
        <v>31</v>
      </c>
    </row>
    <row r="24" spans="2:20">
      <c r="C24" s="478">
        <v>500</v>
      </c>
      <c r="E24" s="500">
        <f>ROUND((B$23*C24),0)</f>
        <v>2000000</v>
      </c>
      <c r="F24" s="500"/>
      <c r="G24" s="600">
        <f>ROUND($E24*N$18/100+$B$23*N$17+IF($B$23&lt;3001,$B$23*O$15+N$15,$B$23*O$16+N$16),2)+Q24</f>
        <v>121210.01</v>
      </c>
      <c r="H24" s="600"/>
      <c r="I24" s="600">
        <f>ROUND($E24*Q$18/100+$B$23*Q$17+IF($B$23&lt;3001,$B$23*R$15+Q$15,$B$23*R$16+Q$16),2)+Q25</f>
        <v>127863.01</v>
      </c>
      <c r="K24" s="503">
        <f>(I24-G24)/G24</f>
        <v>5.4888206015328275E-2</v>
      </c>
      <c r="O24" s="478" t="s">
        <v>675</v>
      </c>
      <c r="Q24" s="552">
        <f>'Exhibit No._(JRS-6) p1'!D21</f>
        <v>215.01</v>
      </c>
      <c r="R24" s="478" t="s">
        <v>31</v>
      </c>
    </row>
    <row r="25" spans="2:20">
      <c r="C25" s="478">
        <v>700</v>
      </c>
      <c r="E25" s="500">
        <f>ROUND((B$23*C25),0)</f>
        <v>2800000</v>
      </c>
      <c r="F25" s="500"/>
      <c r="G25" s="600">
        <f>ROUND($E25*N$18/100+$B$23*N$17+IF($B$23&lt;3001,$B$23*O$15+N$15,$B$23*O$16+N$16),2)+Q24</f>
        <v>156010.01</v>
      </c>
      <c r="H25" s="600"/>
      <c r="I25" s="600">
        <f>ROUND($E25*Q$18/100+$B$23*Q$17+IF($B$23&lt;3001,$B$23*R$15+Q$15,$B$23*R$16+Q$16),2)+Q25</f>
        <v>164551.01</v>
      </c>
      <c r="K25" s="503">
        <f>(I25-G25)/G25</f>
        <v>5.4746487100411051E-2</v>
      </c>
      <c r="O25" s="478" t="s">
        <v>674</v>
      </c>
      <c r="Q25" s="552">
        <f>'Exhibit No._(JRS-6) p1'!D21</f>
        <v>215.01</v>
      </c>
    </row>
    <row r="26" spans="2:20">
      <c r="G26" s="600"/>
      <c r="H26" s="600"/>
      <c r="I26" s="600"/>
      <c r="K26" s="503"/>
    </row>
    <row r="27" spans="2:20">
      <c r="B27" s="500">
        <v>6000</v>
      </c>
      <c r="C27" s="478">
        <v>300</v>
      </c>
      <c r="E27" s="500">
        <f>ROUND((B$27*C27),0)</f>
        <v>1800000</v>
      </c>
      <c r="F27" s="500"/>
      <c r="G27" s="600">
        <f>ROUND($E27*N$18/100+$B$27*N$17+IF($B$27&lt;3001,$B$27*O$15+N$15,$B$27*O$16+N$16),2)+Q24</f>
        <v>128670.01</v>
      </c>
      <c r="H27" s="600"/>
      <c r="I27" s="600">
        <f>ROUND($E27*Q$18/100+$B$27*Q$17+IF($B$27&lt;3001,$B$27*R$15+Q$15,$B$27*R$16+Q$16),2)+Q25</f>
        <v>135771.01</v>
      </c>
      <c r="K27" s="503">
        <f>(I27-G27)/G27</f>
        <v>5.518768514901036E-2</v>
      </c>
      <c r="O27" s="478" t="s">
        <v>532</v>
      </c>
      <c r="Q27" s="478">
        <v>0</v>
      </c>
    </row>
    <row r="28" spans="2:20">
      <c r="C28" s="478">
        <v>500</v>
      </c>
      <c r="E28" s="500">
        <f>ROUND((B$27*C28),0)</f>
        <v>3000000</v>
      </c>
      <c r="F28" s="500"/>
      <c r="G28" s="600">
        <f>ROUND($E28*N$18/100+$B$27*N$17+IF($B$27&lt;3001,$B$27*O$15+N$15,$B$27*O$16+N$16),2)+Q24</f>
        <v>180870.01</v>
      </c>
      <c r="H28" s="600"/>
      <c r="I28" s="600">
        <f>ROUND($E28*Q$18/100+$B$27*Q$17+IF($B$27&lt;3001,$B$27*R$15+Q$15,$B$27*R$16+Q$16),2)+Q25</f>
        <v>190803.01</v>
      </c>
      <c r="K28" s="503">
        <f>(I28-G28)/G28</f>
        <v>5.4917893795660207E-2</v>
      </c>
      <c r="O28" s="761" t="s">
        <v>733</v>
      </c>
      <c r="Q28" s="478">
        <v>-0.113</v>
      </c>
    </row>
    <row r="29" spans="2:20">
      <c r="C29" s="478">
        <v>700</v>
      </c>
      <c r="E29" s="500">
        <f>ROUND((B$27*C29),0)</f>
        <v>4200000</v>
      </c>
      <c r="F29" s="500"/>
      <c r="G29" s="600">
        <f>ROUND($E29*N$18/100+$B$27*N$17+IF($B$27&lt;3001,$B$27*O$15+N$15,$B$27*O$16+N$16),2)+Q24</f>
        <v>233070.01</v>
      </c>
      <c r="H29" s="600"/>
      <c r="I29" s="600">
        <f>ROUND($E29*Q$18/100+$B$27*Q$17+IF($B$27&lt;3001,$B$27*R$15+Q$15,$B$27*R$16+Q$16),2)+Q25</f>
        <v>245835.01</v>
      </c>
      <c r="K29" s="503">
        <f>(I29-G29)/G29</f>
        <v>5.4768951183380474E-2</v>
      </c>
    </row>
    <row r="30" spans="2:20"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M30" s="733" t="s">
        <v>684</v>
      </c>
      <c r="N30" s="607">
        <f ca="1">'Pages 4-11, All Other Schedules'!P925</f>
        <v>5.5499295996603325E-2</v>
      </c>
    </row>
    <row r="33" spans="2:16">
      <c r="B33" s="478" t="s">
        <v>533</v>
      </c>
    </row>
    <row r="34" spans="2:16">
      <c r="B34" s="568" t="s">
        <v>945</v>
      </c>
    </row>
    <row r="35" spans="2:16">
      <c r="B35" s="515"/>
    </row>
    <row r="36" spans="2:16">
      <c r="B36" s="515"/>
    </row>
    <row r="37" spans="2:16">
      <c r="B37" s="515"/>
    </row>
    <row r="38" spans="2:16">
      <c r="B38" s="515"/>
    </row>
    <row r="39" spans="2:16">
      <c r="B39" s="515"/>
    </row>
    <row r="40" spans="2:16">
      <c r="B40" s="515"/>
    </row>
    <row r="41" spans="2:16">
      <c r="B41" s="515"/>
    </row>
    <row r="42" spans="2:16">
      <c r="B42" s="515"/>
    </row>
    <row r="43" spans="2:16">
      <c r="B43" s="515"/>
    </row>
    <row r="44" spans="2:16">
      <c r="B44" s="515"/>
    </row>
    <row r="45" spans="2:16">
      <c r="B45" s="515"/>
    </row>
    <row r="46" spans="2:16">
      <c r="B46" s="515"/>
    </row>
    <row r="48" spans="2:16">
      <c r="P48" s="517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T49"/>
  <sheetViews>
    <sheetView view="pageBreakPreview" topLeftCell="A10" zoomScaleNormal="100" zoomScaleSheetLayoutView="100" workbookViewId="0">
      <selection activeCell="M21" sqref="M21"/>
    </sheetView>
  </sheetViews>
  <sheetFormatPr defaultColWidth="8.5" defaultRowHeight="15"/>
  <cols>
    <col min="1" max="1" width="2" style="478" customWidth="1"/>
    <col min="2" max="2" width="8.5" style="478"/>
    <col min="3" max="3" width="8.5" style="478" hidden="1" customWidth="1"/>
    <col min="4" max="4" width="3.25" style="478" customWidth="1"/>
    <col min="5" max="5" width="9.75" style="478" customWidth="1"/>
    <col min="6" max="6" width="3.75" style="478" customWidth="1"/>
    <col min="7" max="7" width="19.875" style="478" customWidth="1"/>
    <col min="8" max="8" width="3.5" style="478" customWidth="1"/>
    <col min="9" max="9" width="19.5" style="478" customWidth="1"/>
    <col min="10" max="10" width="2.875" style="478" customWidth="1"/>
    <col min="11" max="11" width="12.125" style="478" customWidth="1"/>
    <col min="12" max="12" width="3.5" style="607" customWidth="1"/>
    <col min="13" max="13" width="8.5" style="478"/>
    <col min="14" max="14" width="10.125" style="478" customWidth="1"/>
    <col min="15" max="15" width="20.375" style="478" customWidth="1"/>
    <col min="16" max="16" width="2.5" style="478" customWidth="1"/>
    <col min="17" max="17" width="9.875" style="478" bestFit="1" customWidth="1"/>
    <col min="18" max="18" width="7.375" style="478" customWidth="1"/>
    <col min="19" max="19" width="2.5" style="478" customWidth="1"/>
    <col min="20" max="16384" width="8.5" style="478"/>
  </cols>
  <sheetData>
    <row r="2" spans="1:18" ht="18.75">
      <c r="B2" s="485"/>
      <c r="C2" s="483"/>
      <c r="D2" s="483"/>
      <c r="E2" s="483"/>
      <c r="F2" s="483"/>
      <c r="G2" s="483"/>
      <c r="H2" s="483"/>
      <c r="I2" s="483"/>
      <c r="J2" s="481" t="s">
        <v>31</v>
      </c>
      <c r="K2" s="585"/>
    </row>
    <row r="3" spans="1:18" ht="18.75">
      <c r="B3" s="482" t="s">
        <v>72</v>
      </c>
      <c r="C3" s="482"/>
      <c r="D3" s="482"/>
      <c r="E3" s="482"/>
      <c r="F3" s="482"/>
      <c r="G3" s="482"/>
      <c r="H3" s="482"/>
      <c r="I3" s="482"/>
      <c r="J3" s="482"/>
      <c r="K3" s="482"/>
    </row>
    <row r="4" spans="1:18" ht="18.75">
      <c r="B4" s="482" t="s">
        <v>523</v>
      </c>
      <c r="C4" s="482"/>
      <c r="D4" s="482"/>
      <c r="E4" s="482"/>
      <c r="F4" s="482"/>
      <c r="G4" s="482"/>
      <c r="H4" s="482"/>
      <c r="I4" s="482"/>
      <c r="J4" s="482"/>
      <c r="K4" s="482"/>
    </row>
    <row r="5" spans="1:18" ht="18.75">
      <c r="B5" s="482" t="s">
        <v>578</v>
      </c>
      <c r="C5" s="482"/>
      <c r="D5" s="482"/>
      <c r="E5" s="482"/>
      <c r="F5" s="482"/>
      <c r="G5" s="482"/>
      <c r="H5" s="482"/>
      <c r="I5" s="482"/>
      <c r="J5" s="482"/>
      <c r="K5" s="482"/>
    </row>
    <row r="6" spans="1:18" ht="18.75">
      <c r="B6" s="482" t="s">
        <v>573</v>
      </c>
      <c r="C6" s="482"/>
      <c r="D6" s="482"/>
      <c r="E6" s="482"/>
      <c r="F6" s="482"/>
      <c r="G6" s="482"/>
      <c r="H6" s="482"/>
      <c r="I6" s="482"/>
      <c r="J6" s="482"/>
      <c r="K6" s="482"/>
    </row>
    <row r="7" spans="1:18" ht="18.75">
      <c r="B7" s="482" t="s">
        <v>31</v>
      </c>
      <c r="C7" s="482"/>
      <c r="D7" s="482"/>
      <c r="E7" s="482"/>
      <c r="F7" s="482"/>
      <c r="G7" s="482"/>
      <c r="H7" s="482"/>
      <c r="I7" s="482"/>
      <c r="J7" s="482"/>
      <c r="K7" s="482"/>
    </row>
    <row r="8" spans="1:18" ht="18.75">
      <c r="A8" s="608"/>
      <c r="B8" s="483"/>
      <c r="C8" s="483"/>
      <c r="D8" s="483"/>
      <c r="E8" s="483"/>
      <c r="F8" s="483"/>
      <c r="G8" s="483"/>
      <c r="H8" s="483"/>
      <c r="I8" s="483"/>
      <c r="J8" s="483"/>
    </row>
    <row r="9" spans="1:18" ht="18.75">
      <c r="A9" s="608"/>
      <c r="B9" s="483"/>
      <c r="C9" s="483"/>
      <c r="D9" s="483"/>
      <c r="E9" s="483"/>
      <c r="F9" s="483"/>
      <c r="G9" s="483"/>
      <c r="H9" s="483"/>
      <c r="I9" s="483"/>
      <c r="J9" s="483"/>
    </row>
    <row r="11" spans="1:18">
      <c r="B11" s="586" t="s">
        <v>535</v>
      </c>
      <c r="G11" s="491" t="s">
        <v>536</v>
      </c>
      <c r="H11" s="491"/>
      <c r="I11" s="491"/>
    </row>
    <row r="12" spans="1:18" ht="15.75" thickBot="1">
      <c r="B12" s="589" t="s">
        <v>538</v>
      </c>
      <c r="C12" s="587" t="s">
        <v>539</v>
      </c>
      <c r="G12" s="483" t="s">
        <v>199</v>
      </c>
      <c r="I12" s="1147" t="s">
        <v>309</v>
      </c>
      <c r="K12" s="483" t="s">
        <v>526</v>
      </c>
    </row>
    <row r="13" spans="1:18">
      <c r="B13" s="590" t="s">
        <v>409</v>
      </c>
      <c r="C13" s="591" t="s">
        <v>541</v>
      </c>
      <c r="D13" s="496"/>
      <c r="E13" s="490" t="s">
        <v>25</v>
      </c>
      <c r="F13" s="496"/>
      <c r="G13" s="491" t="s">
        <v>574</v>
      </c>
      <c r="I13" s="491" t="s">
        <v>575</v>
      </c>
      <c r="K13" s="484" t="s">
        <v>265</v>
      </c>
      <c r="M13" s="609" t="s">
        <v>527</v>
      </c>
      <c r="N13" s="574"/>
      <c r="O13" s="575"/>
      <c r="P13" s="542"/>
      <c r="Q13" s="574" t="s">
        <v>528</v>
      </c>
      <c r="R13" s="575"/>
    </row>
    <row r="14" spans="1:18">
      <c r="G14" s="591"/>
      <c r="H14" s="496"/>
      <c r="I14" s="591"/>
      <c r="M14" s="544" t="s">
        <v>407</v>
      </c>
      <c r="N14" s="508"/>
      <c r="O14" s="545"/>
      <c r="P14" s="508"/>
      <c r="Q14" s="508"/>
      <c r="R14" s="545"/>
    </row>
    <row r="15" spans="1:18">
      <c r="B15" s="500">
        <v>1000</v>
      </c>
      <c r="C15" s="478">
        <v>300</v>
      </c>
      <c r="E15" s="500">
        <f>ROUND((B$15*C15),0)</f>
        <v>300000</v>
      </c>
      <c r="F15" s="500"/>
      <c r="G15" s="600">
        <f>ROUND($E15*N$18/100+$B$15*N$17+IF($B$15&lt;3001,$B$15*O$15+N$15,$B$15*O$16+N$16),2)+$Q$24</f>
        <v>22042.01</v>
      </c>
      <c r="H15" s="600"/>
      <c r="I15" s="600">
        <f>ROUND($E15*Q$18/100+$B$15*Q$17+IF($B$15&lt;3001,$B$15*R$15+Q$15,$B$15*R$16+Q$16),2)+$Q$25</f>
        <v>23250.01</v>
      </c>
      <c r="K15" s="503">
        <f>(I15-G15)/G15</f>
        <v>5.4804439341058282E-2</v>
      </c>
      <c r="M15" s="544" t="s">
        <v>576</v>
      </c>
      <c r="N15" s="550">
        <f>'Pages 4-11, All Other Schedules'!F1005</f>
        <v>1419</v>
      </c>
      <c r="O15" s="495">
        <f>'Pages 4-11, All Other Schedules'!F1008</f>
        <v>0.53</v>
      </c>
      <c r="P15" s="551"/>
      <c r="Q15" s="550">
        <f>'Pages 4-11, All Other Schedules'!I1005</f>
        <v>1498</v>
      </c>
      <c r="R15" s="495">
        <f>'Pages 4-11, All Other Schedules'!I1008</f>
        <v>0.56000000000000005</v>
      </c>
    </row>
    <row r="16" spans="1:18">
      <c r="C16" s="478">
        <v>500</v>
      </c>
      <c r="E16" s="500">
        <f>ROUND((B$15*C16),0)</f>
        <v>500000</v>
      </c>
      <c r="F16" s="500"/>
      <c r="G16" s="600">
        <f t="shared" ref="G16:G17" si="0">ROUND($E16*N$18/100+$B$15*N$17+IF($B$15&lt;3001,$B$15*O$15+N$15,$B$15*O$16+N$16),2)+$Q$24</f>
        <v>30634.01</v>
      </c>
      <c r="H16" s="600"/>
      <c r="I16" s="600">
        <f>ROUND($E16*Q$18/100+$B$15*Q$17+IF($B$15&lt;3001,$B$15*R$15+Q$15,$B$15*R$16+Q$16),2)+$Q$25</f>
        <v>32308.01</v>
      </c>
      <c r="K16" s="503">
        <f>(I16-G16)/G16</f>
        <v>5.4645147664311659E-2</v>
      </c>
      <c r="M16" s="544" t="s">
        <v>577</v>
      </c>
      <c r="N16" s="550">
        <f>'Pages 4-11, All Other Schedules'!F1006</f>
        <v>1707</v>
      </c>
      <c r="O16" s="495">
        <f>'Pages 4-11, All Other Schedules'!F1009</f>
        <v>0.43</v>
      </c>
      <c r="P16" s="551"/>
      <c r="Q16" s="550">
        <f>'Pages 4-11, All Other Schedules'!I1006</f>
        <v>1802</v>
      </c>
      <c r="R16" s="495">
        <f>'Pages 4-11, All Other Schedules'!I1009</f>
        <v>0.46</v>
      </c>
    </row>
    <row r="17" spans="2:20">
      <c r="C17" s="478">
        <v>700</v>
      </c>
      <c r="E17" s="500">
        <f>ROUND((B$15*C17),0)</f>
        <v>700000</v>
      </c>
      <c r="F17" s="500"/>
      <c r="G17" s="600">
        <f t="shared" si="0"/>
        <v>39226.01</v>
      </c>
      <c r="H17" s="600"/>
      <c r="I17" s="600">
        <f>ROUND($E17*Q$18/100+$B$15*Q$17+IF($B$15&lt;3001,$B$15*R$15+Q$15,$B$15*R$16+Q$16),2)+$Q$25</f>
        <v>41366.01</v>
      </c>
      <c r="K17" s="503">
        <f>(I17-G17)/G17</f>
        <v>5.4555637955530013E-2</v>
      </c>
      <c r="M17" s="544" t="s">
        <v>409</v>
      </c>
      <c r="N17" s="550">
        <f>'Pages 4-11, All Other Schedules'!F1010</f>
        <v>6.99</v>
      </c>
      <c r="O17" s="556"/>
      <c r="P17" s="551"/>
      <c r="Q17" s="550">
        <f>'Pages 4-11, All Other Schedules'!I1010</f>
        <v>7.39</v>
      </c>
      <c r="R17" s="556"/>
      <c r="T17" s="1208">
        <f>(Q17-N17)/N17</f>
        <v>5.722460658082968E-2</v>
      </c>
    </row>
    <row r="18" spans="2:20">
      <c r="G18" s="600"/>
      <c r="H18" s="600"/>
      <c r="I18" s="600"/>
      <c r="K18" s="503"/>
      <c r="M18" s="544" t="s">
        <v>379</v>
      </c>
      <c r="N18" s="559">
        <f>'Pages 4-11, All Other Schedules'!F1012+Q20+Q27+Q28</f>
        <v>4.2959999999999994</v>
      </c>
      <c r="O18" s="556"/>
      <c r="P18" s="551"/>
      <c r="Q18" s="559">
        <f>'Pages 4-11, All Other Schedules'!I1012+'Pages 4-11, All Other Schedules'!I993+Q21+Q27+Q28</f>
        <v>4.5289999999999999</v>
      </c>
      <c r="R18" s="556"/>
      <c r="T18" s="1208">
        <f>(Q18-N18)/N18</f>
        <v>5.4236499068901434E-2</v>
      </c>
    </row>
    <row r="19" spans="2:20" ht="15.75" thickBot="1">
      <c r="B19" s="500">
        <v>2000</v>
      </c>
      <c r="C19" s="478">
        <v>300</v>
      </c>
      <c r="E19" s="500">
        <f>ROUND((B$19*C19),0)</f>
        <v>600000</v>
      </c>
      <c r="F19" s="500"/>
      <c r="G19" s="600">
        <f>ROUND($E19*N$18/100+$B$19*N$17+IF($B$19&lt;3001,$B$19*O$15+N$15,$B$19*O$16+N$16),2)+$Q$24</f>
        <v>42450.01</v>
      </c>
      <c r="H19" s="600"/>
      <c r="I19" s="600">
        <f>ROUND($E19*Q$18/100+$B$19*Q$17+IF($B$19&lt;3001,$B$19*R$15+Q$15,$B$19*R$16+Q$16),2)+$Q$25</f>
        <v>44787.01</v>
      </c>
      <c r="K19" s="503">
        <f>(I19-G19)/G19</f>
        <v>5.5052990564666532E-2</v>
      </c>
      <c r="M19" s="580" t="s">
        <v>31</v>
      </c>
      <c r="N19" s="581" t="s">
        <v>31</v>
      </c>
      <c r="O19" s="562"/>
      <c r="P19" s="561"/>
      <c r="Q19" s="581" t="s">
        <v>31</v>
      </c>
      <c r="R19" s="582"/>
    </row>
    <row r="20" spans="2:20">
      <c r="C20" s="478">
        <v>500</v>
      </c>
      <c r="E20" s="500">
        <f>ROUND((B$19*C20),0)</f>
        <v>1000000</v>
      </c>
      <c r="F20" s="500"/>
      <c r="G20" s="600">
        <f t="shared" ref="G20:G21" si="1">ROUND($E20*N$18/100+$B$19*N$17+IF($B$19&lt;3001,$B$19*O$15+N$15,$B$19*O$16+N$16),2)+$Q$24</f>
        <v>59634.01</v>
      </c>
      <c r="H20" s="600"/>
      <c r="I20" s="600">
        <f>ROUND($E20*Q$18/100+$B$19*Q$17+IF($B$19&lt;3001,$B$19*R$15+Q$15,$B$19*R$16+Q$16),2)+$Q$25</f>
        <v>62903.01</v>
      </c>
      <c r="K20" s="503">
        <f>(I20-G20)/G20</f>
        <v>5.4817712241722466E-2</v>
      </c>
      <c r="O20" s="506" t="s">
        <v>202</v>
      </c>
      <c r="P20" s="506"/>
      <c r="Q20" s="507">
        <v>0.217</v>
      </c>
    </row>
    <row r="21" spans="2:20">
      <c r="C21" s="478">
        <v>700</v>
      </c>
      <c r="E21" s="500">
        <f>ROUND((B$19*C21),0)</f>
        <v>1400000</v>
      </c>
      <c r="F21" s="500"/>
      <c r="G21" s="600">
        <f t="shared" si="1"/>
        <v>76818.009999999995</v>
      </c>
      <c r="H21" s="600"/>
      <c r="I21" s="600">
        <f>ROUND($E21*Q$18/100+$B$19*Q$17+IF($B$19&lt;3001,$B$19*R$15+Q$15,$B$19*R$16+Q$16),2)+$Q$25</f>
        <v>81019.009999999995</v>
      </c>
      <c r="K21" s="503">
        <f>(I21-G21)/G21</f>
        <v>5.4687696283723053E-2</v>
      </c>
      <c r="O21" s="506"/>
      <c r="P21" s="506"/>
      <c r="Q21" s="507">
        <v>0.217</v>
      </c>
    </row>
    <row r="22" spans="2:20">
      <c r="G22" s="600"/>
      <c r="H22" s="600"/>
      <c r="I22" s="600"/>
      <c r="K22" s="503"/>
      <c r="O22" s="506"/>
      <c r="P22" s="506"/>
      <c r="Q22" s="510"/>
    </row>
    <row r="23" spans="2:20">
      <c r="B23" s="500">
        <v>4000</v>
      </c>
      <c r="C23" s="478">
        <v>300</v>
      </c>
      <c r="E23" s="500">
        <f>ROUND((B$23*C23),0)</f>
        <v>1200000</v>
      </c>
      <c r="F23" s="500"/>
      <c r="G23" s="600">
        <f>ROUND($E23*N$18/100+$B$23*N$17+IF($B$23&lt;3001,$B$23*O$15+N$15,$B$23*O$16+N$16),2)+$Q$24</f>
        <v>83154.009999999995</v>
      </c>
      <c r="H23" s="600"/>
      <c r="I23" s="600">
        <f>ROUND($E23*Q$18/100+$B$23*Q$17+IF($B$23&lt;3001,$B$23*R$15+Q$15,$B$23*R$16+Q$16),2)+$Q$25</f>
        <v>87765.01</v>
      </c>
      <c r="K23" s="503">
        <f>(I23-G23)/G23</f>
        <v>5.5451324596372448E-2</v>
      </c>
      <c r="O23" s="478" t="s">
        <v>31</v>
      </c>
      <c r="P23" s="478" t="s">
        <v>31</v>
      </c>
      <c r="Q23" s="478" t="s">
        <v>31</v>
      </c>
    </row>
    <row r="24" spans="2:20">
      <c r="C24" s="478">
        <v>500</v>
      </c>
      <c r="E24" s="500">
        <f>ROUND((B$23*C24),0)</f>
        <v>2000000</v>
      </c>
      <c r="F24" s="500"/>
      <c r="G24" s="600">
        <f t="shared" ref="G24:G25" si="2">ROUND($E24*N$18/100+$B$23*N$17+IF($B$23&lt;3001,$B$23*O$15+N$15,$B$23*O$16+N$16),2)+$Q$24</f>
        <v>117522.01</v>
      </c>
      <c r="H24" s="600"/>
      <c r="I24" s="600">
        <f>ROUND($E24*Q$18/100+$B$23*Q$17+IF($B$23&lt;3001,$B$23*R$15+Q$15,$B$23*R$16+Q$16),2)+$Q$25</f>
        <v>123997.01</v>
      </c>
      <c r="K24" s="503">
        <f>(I24-G24)/G24</f>
        <v>5.5096062431199064E-2</v>
      </c>
      <c r="O24" s="478" t="s">
        <v>675</v>
      </c>
      <c r="Q24" s="552">
        <f>'Exhibit No._(JRS-6) p1'!D21</f>
        <v>215.01</v>
      </c>
      <c r="R24" s="478" t="s">
        <v>31</v>
      </c>
    </row>
    <row r="25" spans="2:20">
      <c r="C25" s="478">
        <v>700</v>
      </c>
      <c r="E25" s="500">
        <f>ROUND((B$23*C25),0)</f>
        <v>2800000</v>
      </c>
      <c r="F25" s="500"/>
      <c r="G25" s="600">
        <f t="shared" si="2"/>
        <v>151890.01</v>
      </c>
      <c r="H25" s="600"/>
      <c r="I25" s="600">
        <f>ROUND($E25*Q$18/100+$B$23*Q$17+IF($B$23&lt;3001,$B$23*R$15+Q$15,$B$23*R$16+Q$16),2)+$Q$25</f>
        <v>160229.01</v>
      </c>
      <c r="K25" s="503">
        <f>(I25-G25)/G25</f>
        <v>5.4901569892582137E-2</v>
      </c>
      <c r="O25" s="478" t="s">
        <v>674</v>
      </c>
      <c r="P25" s="519"/>
      <c r="Q25" s="552">
        <f>'Exhibit No._(JRS-6) p1'!D21</f>
        <v>215.01</v>
      </c>
    </row>
    <row r="26" spans="2:20">
      <c r="G26" s="765" t="s">
        <v>31</v>
      </c>
      <c r="H26" s="600"/>
      <c r="I26" s="600"/>
      <c r="K26" s="503"/>
    </row>
    <row r="27" spans="2:20">
      <c r="B27" s="500">
        <v>6000</v>
      </c>
      <c r="C27" s="478">
        <v>300</v>
      </c>
      <c r="E27" s="500">
        <f>ROUND((B$27*C27),0)</f>
        <v>1800000</v>
      </c>
      <c r="F27" s="500"/>
      <c r="G27" s="600">
        <f>ROUND($E27*N$18/100+$B$27*N$17+IF($B$27&lt;3001,$B$27*O$15+N$15,$B$27*O$16+N$16),2)+$Q$24</f>
        <v>123770.01</v>
      </c>
      <c r="H27" s="600"/>
      <c r="I27" s="600">
        <f>ROUND($E27*Q$18/100+$B$27*Q$17+IF($B$27&lt;3001,$B$27*R$15+Q$15,$B$27*R$16+Q$16),2)+$Q$25</f>
        <v>130639.01</v>
      </c>
      <c r="K27" s="503">
        <f>(I27-G27)/G27</f>
        <v>5.5498096832988869E-2</v>
      </c>
      <c r="O27" s="478" t="s">
        <v>532</v>
      </c>
      <c r="Q27" s="478">
        <v>0</v>
      </c>
    </row>
    <row r="28" spans="2:20">
      <c r="C28" s="478">
        <v>500</v>
      </c>
      <c r="E28" s="500">
        <f>ROUND((B$27*C28),0)</f>
        <v>3000000</v>
      </c>
      <c r="F28" s="500"/>
      <c r="G28" s="600">
        <f t="shared" ref="G28:G29" si="3">ROUND($E28*N$18/100+$B$27*N$17+IF($B$27&lt;3001,$B$27*O$15+N$15,$B$27*O$16+N$16),2)+$Q$24</f>
        <v>175322.01</v>
      </c>
      <c r="H28" s="600"/>
      <c r="I28" s="600">
        <f>ROUND($E28*Q$18/100+$B$27*Q$17+IF($B$27&lt;3001,$B$27*R$15+Q$15,$B$27*R$16+Q$16),2)+$Q$25</f>
        <v>184987.01</v>
      </c>
      <c r="K28" s="503">
        <f>(I28-G28)/G28</f>
        <v>5.5127134351243175E-2</v>
      </c>
      <c r="O28" s="761" t="s">
        <v>733</v>
      </c>
      <c r="Q28" s="478">
        <v>-0.113</v>
      </c>
    </row>
    <row r="29" spans="2:20">
      <c r="C29" s="478">
        <v>700</v>
      </c>
      <c r="E29" s="500">
        <f>ROUND((B$27*C29),0)</f>
        <v>4200000</v>
      </c>
      <c r="F29" s="500"/>
      <c r="G29" s="600">
        <f t="shared" si="3"/>
        <v>226874.01</v>
      </c>
      <c r="H29" s="600"/>
      <c r="I29" s="600">
        <f>ROUND($E29*Q$18/100+$B$27*Q$17+IF($B$27&lt;3001,$B$27*R$15+Q$15,$B$27*R$16+Q$16),2)+$Q$25</f>
        <v>239335.01</v>
      </c>
      <c r="K29" s="503">
        <f>(I29-G29)/G29</f>
        <v>5.4924757578005516E-2</v>
      </c>
    </row>
    <row r="30" spans="2:20"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M30" s="733" t="s">
        <v>684</v>
      </c>
      <c r="N30" s="607">
        <f ca="1">'Pages 4-11, All Other Schedules'!P997</f>
        <v>5.3527736749271429E-2</v>
      </c>
    </row>
    <row r="33" spans="2:15">
      <c r="B33" s="478" t="s">
        <v>533</v>
      </c>
    </row>
    <row r="34" spans="2:15">
      <c r="B34" s="568" t="s">
        <v>945</v>
      </c>
      <c r="O34" s="761" t="s">
        <v>31</v>
      </c>
    </row>
    <row r="35" spans="2:15">
      <c r="B35" s="568"/>
    </row>
    <row r="36" spans="2:15">
      <c r="B36" s="515"/>
    </row>
    <row r="37" spans="2:15">
      <c r="B37" s="515"/>
    </row>
    <row r="38" spans="2:15">
      <c r="B38" s="515"/>
    </row>
    <row r="39" spans="2:15">
      <c r="B39" s="515"/>
    </row>
    <row r="40" spans="2:15">
      <c r="B40" s="515"/>
    </row>
    <row r="41" spans="2:15">
      <c r="B41" s="515"/>
    </row>
    <row r="42" spans="2:15">
      <c r="B42" s="515"/>
    </row>
    <row r="43" spans="2:15">
      <c r="B43" s="515"/>
    </row>
    <row r="44" spans="2:15">
      <c r="B44" s="515"/>
    </row>
    <row r="45" spans="2:15">
      <c r="B45" s="515"/>
    </row>
    <row r="46" spans="2:15">
      <c r="B46" s="515"/>
    </row>
    <row r="47" spans="2:15">
      <c r="B47" s="515"/>
    </row>
    <row r="49" spans="16:16">
      <c r="P49" s="517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V49"/>
  <sheetViews>
    <sheetView view="pageBreakPreview" topLeftCell="A4" zoomScaleNormal="100" zoomScaleSheetLayoutView="100" workbookViewId="0">
      <selection activeCell="M21" sqref="M21"/>
    </sheetView>
  </sheetViews>
  <sheetFormatPr defaultColWidth="8.5" defaultRowHeight="15"/>
  <cols>
    <col min="1" max="1" width="2" style="478" customWidth="1"/>
    <col min="2" max="2" width="8.5" style="478"/>
    <col min="3" max="3" width="8.5" style="478" hidden="1" customWidth="1"/>
    <col min="4" max="4" width="3.25" style="478" customWidth="1"/>
    <col min="5" max="5" width="10.75" style="478" bestFit="1" customWidth="1"/>
    <col min="6" max="6" width="3.75" style="478" customWidth="1"/>
    <col min="7" max="7" width="19.875" style="478" customWidth="1"/>
    <col min="8" max="8" width="3.5" style="478" customWidth="1"/>
    <col min="9" max="9" width="19.5" style="478" customWidth="1"/>
    <col min="10" max="10" width="2.875" style="478" customWidth="1"/>
    <col min="11" max="11" width="12.125" style="478" customWidth="1"/>
    <col min="12" max="12" width="3.5" style="607" customWidth="1"/>
    <col min="13" max="13" width="8.5" style="478"/>
    <col min="14" max="14" width="10.125" style="478" customWidth="1"/>
    <col min="15" max="15" width="20.375" style="478" customWidth="1"/>
    <col min="16" max="16" width="2.5" style="478" customWidth="1"/>
    <col min="17" max="17" width="14.375" style="478" customWidth="1"/>
    <col min="18" max="18" width="10.375" style="478" bestFit="1" customWidth="1"/>
    <col min="19" max="19" width="7.375" style="478" customWidth="1"/>
    <col min="20" max="20" width="2.5" style="478" customWidth="1"/>
    <col min="21" max="16384" width="8.5" style="478"/>
  </cols>
  <sheetData>
    <row r="2" spans="1:22" ht="18.75">
      <c r="B2" s="485"/>
      <c r="C2" s="483"/>
      <c r="D2" s="483"/>
      <c r="E2" s="483"/>
      <c r="F2" s="483"/>
      <c r="G2" s="483"/>
      <c r="H2" s="483"/>
      <c r="I2" s="483"/>
      <c r="J2" s="481" t="s">
        <v>31</v>
      </c>
      <c r="K2" s="585"/>
    </row>
    <row r="3" spans="1:22" ht="18.75">
      <c r="B3" s="482" t="s">
        <v>72</v>
      </c>
      <c r="C3" s="482"/>
      <c r="D3" s="482"/>
      <c r="E3" s="482"/>
      <c r="F3" s="482"/>
      <c r="G3" s="482"/>
      <c r="H3" s="482"/>
      <c r="I3" s="482"/>
      <c r="J3" s="482"/>
      <c r="K3" s="482"/>
    </row>
    <row r="4" spans="1:22" ht="18.75">
      <c r="B4" s="482" t="s">
        <v>523</v>
      </c>
      <c r="C4" s="482"/>
      <c r="D4" s="482"/>
      <c r="E4" s="482"/>
      <c r="F4" s="482"/>
      <c r="G4" s="482"/>
      <c r="H4" s="482"/>
      <c r="I4" s="482"/>
      <c r="J4" s="482"/>
      <c r="K4" s="482"/>
    </row>
    <row r="5" spans="1:22" ht="18.75">
      <c r="B5" s="482" t="s">
        <v>578</v>
      </c>
      <c r="C5" s="482"/>
      <c r="D5" s="482"/>
      <c r="E5" s="482"/>
      <c r="F5" s="482"/>
      <c r="G5" s="482"/>
      <c r="H5" s="482"/>
      <c r="I5" s="482"/>
      <c r="J5" s="482"/>
      <c r="K5" s="482"/>
    </row>
    <row r="6" spans="1:22" ht="18.75">
      <c r="B6" s="482" t="s">
        <v>685</v>
      </c>
      <c r="C6" s="482"/>
      <c r="D6" s="482"/>
      <c r="E6" s="482"/>
      <c r="F6" s="482"/>
      <c r="G6" s="482"/>
      <c r="H6" s="482"/>
      <c r="I6" s="482"/>
      <c r="J6" s="482"/>
      <c r="K6" s="482"/>
    </row>
    <row r="7" spans="1:22" ht="18.75">
      <c r="B7" s="482" t="s">
        <v>686</v>
      </c>
      <c r="C7" s="482"/>
      <c r="D7" s="482"/>
      <c r="E7" s="482"/>
      <c r="F7" s="482"/>
      <c r="G7" s="482"/>
      <c r="H7" s="482"/>
      <c r="I7" s="482"/>
      <c r="J7" s="482"/>
      <c r="K7" s="482"/>
      <c r="V7" s="761" t="s">
        <v>31</v>
      </c>
    </row>
    <row r="8" spans="1:22" ht="18.75">
      <c r="A8" s="608"/>
      <c r="B8" s="483"/>
      <c r="C8" s="483"/>
      <c r="D8" s="483"/>
      <c r="E8" s="483"/>
      <c r="F8" s="483"/>
      <c r="G8" s="483"/>
      <c r="H8" s="483"/>
      <c r="I8" s="483"/>
      <c r="J8" s="483"/>
    </row>
    <row r="9" spans="1:22" ht="18.75">
      <c r="A9" s="608"/>
      <c r="B9" s="483"/>
      <c r="C9" s="483"/>
      <c r="D9" s="483"/>
      <c r="E9" s="483"/>
      <c r="F9" s="483"/>
      <c r="G9" s="483"/>
      <c r="H9" s="483"/>
      <c r="I9" s="483"/>
      <c r="J9" s="483"/>
    </row>
    <row r="11" spans="1:22">
      <c r="B11" s="586" t="s">
        <v>535</v>
      </c>
      <c r="G11" s="491" t="s">
        <v>536</v>
      </c>
      <c r="H11" s="491"/>
      <c r="I11" s="491"/>
    </row>
    <row r="12" spans="1:22" ht="15.75" thickBot="1">
      <c r="B12" s="589" t="s">
        <v>538</v>
      </c>
      <c r="C12" s="587" t="s">
        <v>539</v>
      </c>
      <c r="G12" s="483" t="s">
        <v>199</v>
      </c>
      <c r="I12" s="1147" t="s">
        <v>309</v>
      </c>
      <c r="K12" s="483" t="s">
        <v>526</v>
      </c>
    </row>
    <row r="13" spans="1:22">
      <c r="B13" s="590" t="s">
        <v>409</v>
      </c>
      <c r="C13" s="591" t="s">
        <v>541</v>
      </c>
      <c r="D13" s="496"/>
      <c r="E13" s="490" t="s">
        <v>25</v>
      </c>
      <c r="F13" s="496"/>
      <c r="G13" s="491" t="s">
        <v>574</v>
      </c>
      <c r="I13" s="491" t="s">
        <v>575</v>
      </c>
      <c r="K13" s="484" t="s">
        <v>265</v>
      </c>
      <c r="M13" s="609" t="s">
        <v>527</v>
      </c>
      <c r="N13" s="574"/>
      <c r="O13" s="575"/>
      <c r="P13" s="542"/>
      <c r="Q13" s="542"/>
      <c r="R13" s="574" t="s">
        <v>528</v>
      </c>
      <c r="S13" s="575"/>
    </row>
    <row r="14" spans="1:22">
      <c r="G14" s="591"/>
      <c r="H14" s="496"/>
      <c r="I14" s="591"/>
      <c r="M14" s="544" t="s">
        <v>407</v>
      </c>
      <c r="N14" s="508"/>
      <c r="O14" s="545"/>
      <c r="P14" s="508"/>
      <c r="Q14" s="508"/>
      <c r="R14" s="508"/>
      <c r="S14" s="545"/>
    </row>
    <row r="15" spans="1:22">
      <c r="B15" s="500">
        <v>30000</v>
      </c>
      <c r="C15" s="478">
        <v>300</v>
      </c>
      <c r="E15" s="500">
        <f>ROUND((B$15*C15),0)</f>
        <v>9000000</v>
      </c>
      <c r="F15" s="500"/>
      <c r="G15" s="600">
        <f>ROUND($E15*N$18/100+$B$15*N$17+IF($B$15&lt;3001,$B$15*O$15+N$15,$B$15*O$16+N$16),2)+$R$24</f>
        <v>605053.01</v>
      </c>
      <c r="H15" s="600"/>
      <c r="I15" s="600">
        <f>ROUND($E15*R$18/100+$B$15*R$17+IF($B$15&lt;3001,$B$15*S$15+R$15,$B$15*S$16+R$16),2)+$R$25</f>
        <v>644715.01</v>
      </c>
      <c r="K15" s="503">
        <f>(I15-G15)/G15</f>
        <v>6.5551281200964526E-2</v>
      </c>
      <c r="M15" s="544" t="s">
        <v>576</v>
      </c>
      <c r="N15" s="550" t="s">
        <v>31</v>
      </c>
      <c r="O15" s="495" t="s">
        <v>31</v>
      </c>
      <c r="P15" s="551"/>
      <c r="Q15" s="508" t="s">
        <v>31</v>
      </c>
      <c r="R15" s="550" t="s">
        <v>31</v>
      </c>
      <c r="S15" s="495" t="s">
        <v>31</v>
      </c>
    </row>
    <row r="16" spans="1:22">
      <c r="C16" s="478">
        <v>500</v>
      </c>
      <c r="E16" s="500">
        <f>ROUND((B$15*C16),0)</f>
        <v>15000000</v>
      </c>
      <c r="F16" s="500"/>
      <c r="G16" s="600">
        <f t="shared" ref="G16:G17" si="0">ROUND($E16*N$18/100+$B$15*N$17+IF($B$15&lt;3001,$B$15*O$15+N$15,$B$15*O$16+N$16),2)+$R$24</f>
        <v>862993.01</v>
      </c>
      <c r="H16" s="600"/>
      <c r="I16" s="600">
        <f>ROUND($E16*R$18/100+$B$15*R$17+IF($B$15&lt;3001,$B$15*S$15+R$15,$B$15*S$16+R$16),2)+$R$25</f>
        <v>919995.01</v>
      </c>
      <c r="K16" s="503">
        <f>(I16-G16)/G16</f>
        <v>6.605151993061914E-2</v>
      </c>
      <c r="M16" s="544" t="s">
        <v>577</v>
      </c>
      <c r="N16" s="550">
        <f>'Pages 4-11, All Other Schedules'!F1079</f>
        <v>2528</v>
      </c>
      <c r="O16" s="495">
        <f>'Pages 4-11, All Other Schedules'!F1082</f>
        <v>0.23</v>
      </c>
      <c r="P16" s="551"/>
      <c r="Q16" s="508" t="s">
        <v>683</v>
      </c>
      <c r="R16" s="550">
        <f>'Pages 4-11, All Other Schedules'!I1079</f>
        <v>2680</v>
      </c>
      <c r="S16" s="495">
        <f>'Pages 4-11, All Other Schedules'!I1082</f>
        <v>0.25</v>
      </c>
    </row>
    <row r="17" spans="2:21">
      <c r="C17" s="478">
        <v>700</v>
      </c>
      <c r="E17" s="500">
        <f>ROUND((B$15*C17),0)</f>
        <v>21000000</v>
      </c>
      <c r="F17" s="500"/>
      <c r="G17" s="600">
        <f t="shared" si="0"/>
        <v>1120933.01</v>
      </c>
      <c r="H17" s="600"/>
      <c r="I17" s="600">
        <f>ROUND($E17*R$18/100+$B$15*R$17+IF($B$15&lt;3001,$B$15*S$15+R$15,$B$15*S$16+R$16),2)+$R$25</f>
        <v>1195275.01</v>
      </c>
      <c r="K17" s="503">
        <f>(I17-G17)/G17</f>
        <v>6.632153691325407E-2</v>
      </c>
      <c r="M17" s="544" t="s">
        <v>409</v>
      </c>
      <c r="N17" s="550">
        <f>'Pages 4-11, All Other Schedules'!F1083</f>
        <v>6.95</v>
      </c>
      <c r="O17" s="556"/>
      <c r="P17" s="551"/>
      <c r="Q17" s="551"/>
      <c r="R17" s="550">
        <f>'Pages 4-11, All Other Schedules'!I1083</f>
        <v>7.38</v>
      </c>
      <c r="S17" s="556"/>
      <c r="U17" s="1208">
        <f>(R17-N17)/N17</f>
        <v>6.1870503597122262E-2</v>
      </c>
    </row>
    <row r="18" spans="2:21">
      <c r="G18" s="600"/>
      <c r="H18" s="600"/>
      <c r="I18" s="600"/>
      <c r="K18" s="503"/>
      <c r="M18" s="544" t="s">
        <v>379</v>
      </c>
      <c r="N18" s="559">
        <f>'Pages 4-11, All Other Schedules'!F1085+R20+R27+R28</f>
        <v>4.2989999999999995</v>
      </c>
      <c r="O18" s="556"/>
      <c r="P18" s="551"/>
      <c r="Q18" s="551"/>
      <c r="R18" s="559">
        <f>'Pages 4-11, All Other Schedules'!I1085+'Pages 4-11, All Other Schedules'!I1087+R20+R27+R28</f>
        <v>4.5880000000000001</v>
      </c>
      <c r="S18" s="556"/>
      <c r="U18" s="1208">
        <f>(R18-N18)/N18</f>
        <v>6.7224936031635416E-2</v>
      </c>
    </row>
    <row r="19" spans="2:21" ht="15.75" thickBot="1">
      <c r="B19" s="500">
        <v>40000</v>
      </c>
      <c r="C19" s="478">
        <v>300</v>
      </c>
      <c r="E19" s="500">
        <f>ROUND((B$19*C19),0)</f>
        <v>12000000</v>
      </c>
      <c r="F19" s="500"/>
      <c r="G19" s="600">
        <f>ROUND($E19*N$18/100+$B$19*N$17+IF($B$19&lt;3001,$B$19*O$15+N$15,$B$19*O$16+N$16),2)+$R$24</f>
        <v>805823.01</v>
      </c>
      <c r="H19" s="600"/>
      <c r="I19" s="600">
        <f>ROUND($E19*R$18/100+$B$19*R$17+IF($B$19&lt;3001,$B$19*S$15+R$15,$B$19*S$16+R$16),2)+$R$25</f>
        <v>858655.01</v>
      </c>
      <c r="K19" s="503">
        <f>(I19-G19)/G19</f>
        <v>6.5562784065945207E-2</v>
      </c>
      <c r="M19" s="580" t="s">
        <v>31</v>
      </c>
      <c r="N19" s="581" t="s">
        <v>31</v>
      </c>
      <c r="O19" s="562"/>
      <c r="P19" s="561"/>
      <c r="Q19" s="561"/>
      <c r="R19" s="581" t="s">
        <v>31</v>
      </c>
      <c r="S19" s="582"/>
    </row>
    <row r="20" spans="2:21">
      <c r="C20" s="478">
        <v>500</v>
      </c>
      <c r="E20" s="500">
        <f>ROUND((B$19*C20),0)</f>
        <v>20000000</v>
      </c>
      <c r="F20" s="500"/>
      <c r="G20" s="600">
        <f t="shared" ref="G20:G21" si="1">ROUND($E20*N$18/100+$B$19*N$17+IF($B$19&lt;3001,$B$19*O$15+N$15,$B$19*O$16+N$16),2)+$R$24</f>
        <v>1149743.01</v>
      </c>
      <c r="H20" s="600"/>
      <c r="I20" s="600">
        <f>ROUND($E20*R$18/100+$B$19*R$17+IF($B$19&lt;3001,$B$19*S$15+R$15,$B$19*S$16+R$16),2)+$R$25</f>
        <v>1225695.01</v>
      </c>
      <c r="K20" s="503">
        <f>(I20-G20)/G20</f>
        <v>6.605997978626546E-2</v>
      </c>
      <c r="O20" s="506" t="s">
        <v>202</v>
      </c>
      <c r="P20" s="506"/>
      <c r="Q20" s="506"/>
      <c r="R20" s="507">
        <v>0.217</v>
      </c>
    </row>
    <row r="21" spans="2:21">
      <c r="C21" s="478">
        <v>700</v>
      </c>
      <c r="E21" s="500">
        <f>ROUND((B$19*C21),0)</f>
        <v>28000000</v>
      </c>
      <c r="F21" s="500"/>
      <c r="G21" s="600">
        <f t="shared" si="1"/>
        <v>1493663.01</v>
      </c>
      <c r="H21" s="600"/>
      <c r="I21" s="600">
        <f>ROUND($E21*R$18/100+$B$19*R$17+IF($B$19&lt;3001,$B$19*S$15+R$15,$B$19*S$16+R$16),2)+$R$25</f>
        <v>1592735.01</v>
      </c>
      <c r="K21" s="503">
        <f>(I21-G21)/G21</f>
        <v>6.6328214153204473E-2</v>
      </c>
      <c r="O21" s="506"/>
      <c r="P21" s="506"/>
      <c r="Q21" s="506"/>
      <c r="R21" s="507">
        <v>0.217</v>
      </c>
    </row>
    <row r="22" spans="2:21">
      <c r="G22" s="600"/>
      <c r="H22" s="600"/>
      <c r="I22" s="600"/>
      <c r="K22" s="503"/>
      <c r="O22" s="506"/>
      <c r="P22" s="506"/>
      <c r="Q22" s="506"/>
      <c r="R22" s="510"/>
    </row>
    <row r="23" spans="2:21">
      <c r="B23" s="500">
        <v>50000</v>
      </c>
      <c r="C23" s="478">
        <v>300</v>
      </c>
      <c r="E23" s="500">
        <f>ROUND((B$23*C23),0)</f>
        <v>15000000</v>
      </c>
      <c r="F23" s="500"/>
      <c r="G23" s="600">
        <f>ROUND($E23*N$18/100+$B$23*N$17+IF($B$23&lt;3001,$B$23*O$15+N$15,$B$23*O$16+N$16),2)+$R$24</f>
        <v>1006593.01</v>
      </c>
      <c r="H23" s="600"/>
      <c r="I23" s="600">
        <f>ROUND($E23*R$18/100+$B$23*R$17+IF($B$23&lt;3001,$B$23*S$15+R$15,$B$23*S$16+R$16),2)+$R$25</f>
        <v>1072595.01</v>
      </c>
      <c r="K23" s="503">
        <f>(I23-G23)/G23</f>
        <v>6.5569698323257777E-2</v>
      </c>
      <c r="O23" s="478" t="s">
        <v>31</v>
      </c>
      <c r="P23" s="478" t="s">
        <v>31</v>
      </c>
      <c r="R23" s="478" t="s">
        <v>31</v>
      </c>
    </row>
    <row r="24" spans="2:21">
      <c r="C24" s="478">
        <v>500</v>
      </c>
      <c r="E24" s="500">
        <f>ROUND((B$23*C24),0)</f>
        <v>25000000</v>
      </c>
      <c r="F24" s="500"/>
      <c r="G24" s="600">
        <f t="shared" ref="G24:G25" si="2">ROUND($E24*N$18/100+$B$23*N$17+IF($B$23&lt;3001,$B$23*O$15+N$15,$B$23*O$16+N$16),2)+$R$24</f>
        <v>1436493.01</v>
      </c>
      <c r="H24" s="600"/>
      <c r="I24" s="600">
        <f>ROUND($E24*R$18/100+$B$23*R$17+IF($B$23&lt;3001,$B$23*S$15+R$15,$B$23*S$16+R$16),2)+$R$25</f>
        <v>1531395.01</v>
      </c>
      <c r="K24" s="503">
        <f>(I24-G24)/G24</f>
        <v>6.6065062161353647E-2</v>
      </c>
      <c r="O24" s="478" t="s">
        <v>675</v>
      </c>
      <c r="R24" s="552">
        <f>'Exhibit No._(JRS-6) p1'!D21</f>
        <v>215.01</v>
      </c>
      <c r="S24" s="478" t="s">
        <v>31</v>
      </c>
    </row>
    <row r="25" spans="2:21">
      <c r="C25" s="478">
        <v>700</v>
      </c>
      <c r="E25" s="500">
        <f>ROUND((B$23*C25),0)</f>
        <v>35000000</v>
      </c>
      <c r="F25" s="500"/>
      <c r="G25" s="600">
        <f t="shared" si="2"/>
        <v>1866393.01</v>
      </c>
      <c r="H25" s="600"/>
      <c r="I25" s="600">
        <f>ROUND($E25*R$18/100+$B$23*R$17+IF($B$23&lt;3001,$B$23*S$15+R$15,$B$23*S$16+R$16),2)+$R$25</f>
        <v>1990195.01</v>
      </c>
      <c r="K25" s="503">
        <f>(I25-G25)/G25</f>
        <v>6.633222442255074E-2</v>
      </c>
      <c r="O25" s="478" t="s">
        <v>674</v>
      </c>
      <c r="P25" s="519"/>
      <c r="Q25" s="519"/>
      <c r="R25" s="552">
        <f>'Exhibit No._(JRS-6) p1'!D21</f>
        <v>215.01</v>
      </c>
    </row>
    <row r="26" spans="2:21">
      <c r="G26" s="600"/>
      <c r="H26" s="600"/>
      <c r="I26" s="600"/>
      <c r="K26" s="503"/>
    </row>
    <row r="27" spans="2:21">
      <c r="B27" s="500">
        <v>60000</v>
      </c>
      <c r="C27" s="478">
        <v>300</v>
      </c>
      <c r="E27" s="500">
        <f>ROUND((B$27*C27),0)</f>
        <v>18000000</v>
      </c>
      <c r="F27" s="500"/>
      <c r="G27" s="600">
        <f>ROUND($E27*N$18/100+$B$27*N$17+IF($B$27&lt;3001,$B$27*O$15+N$15,$B$27*O$16+N$16),2)+$R$24</f>
        <v>1207363.01</v>
      </c>
      <c r="H27" s="600"/>
      <c r="I27" s="600">
        <f>ROUND($E27*R$18/100+$B$27*R$17+IF($B$27&lt;3001,$B$27*S$15+R$15,$B$27*S$16+R$16),2)+$R$25</f>
        <v>1286535.01</v>
      </c>
      <c r="K27" s="503">
        <f>(I27-G27)/G27</f>
        <v>6.5574313064303669E-2</v>
      </c>
      <c r="O27" s="478" t="s">
        <v>532</v>
      </c>
      <c r="R27" s="478">
        <v>0</v>
      </c>
    </row>
    <row r="28" spans="2:21">
      <c r="C28" s="478">
        <v>500</v>
      </c>
      <c r="E28" s="500">
        <f>ROUND((B$27*C28),0)</f>
        <v>30000000</v>
      </c>
      <c r="F28" s="500"/>
      <c r="G28" s="600">
        <f t="shared" ref="G28:G29" si="3">ROUND($E28*N$18/100+$B$27*N$17+IF($B$27&lt;3001,$B$27*O$15+N$15,$B$27*O$16+N$16),2)+$R$24</f>
        <v>1723243.01</v>
      </c>
      <c r="H28" s="600"/>
      <c r="I28" s="600">
        <f>ROUND($E28*R$18/100+$B$27*R$17+IF($B$27&lt;3001,$B$27*S$15+R$15,$B$27*S$16+R$16),2)+$R$25</f>
        <v>1837095.01</v>
      </c>
      <c r="K28" s="503">
        <f>(I28-G28)/G28</f>
        <v>6.6068453108073244E-2</v>
      </c>
      <c r="O28" s="761" t="s">
        <v>733</v>
      </c>
      <c r="R28" s="478">
        <v>-0.105</v>
      </c>
    </row>
    <row r="29" spans="2:21">
      <c r="C29" s="478">
        <v>700</v>
      </c>
      <c r="E29" s="500">
        <f>ROUND((B$27*C29),0)</f>
        <v>42000000</v>
      </c>
      <c r="F29" s="500"/>
      <c r="G29" s="600">
        <f t="shared" si="3"/>
        <v>2239123.0099999998</v>
      </c>
      <c r="H29" s="600"/>
      <c r="I29" s="600">
        <f>ROUND($E29*R$18/100+$B$27*R$17+IF($B$27&lt;3001,$B$27*S$15+R$15,$B$27*S$16+R$16),2)+$R$25</f>
        <v>2387655.0099999998</v>
      </c>
      <c r="K29" s="503">
        <f>(I29-G29)/G29</f>
        <v>6.6334899573025255E-2</v>
      </c>
    </row>
    <row r="30" spans="2:21"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M30" s="733" t="s">
        <v>684</v>
      </c>
      <c r="N30" s="607">
        <f ca="1">'Pages 4-11, All Other Schedules'!P1094</f>
        <v>6.6828930331094341E-2</v>
      </c>
    </row>
    <row r="32" spans="2:21">
      <c r="O32" s="761" t="s">
        <v>31</v>
      </c>
    </row>
    <row r="33" spans="2:2">
      <c r="B33" s="478" t="s">
        <v>533</v>
      </c>
    </row>
    <row r="34" spans="2:2">
      <c r="B34" s="568" t="s">
        <v>945</v>
      </c>
    </row>
    <row r="35" spans="2:2">
      <c r="B35" s="568"/>
    </row>
    <row r="36" spans="2:2">
      <c r="B36" s="515"/>
    </row>
    <row r="37" spans="2:2">
      <c r="B37" s="515"/>
    </row>
    <row r="38" spans="2:2">
      <c r="B38" s="515"/>
    </row>
    <row r="39" spans="2:2">
      <c r="B39" s="515"/>
    </row>
    <row r="40" spans="2:2">
      <c r="B40" s="515"/>
    </row>
    <row r="41" spans="2:2">
      <c r="B41" s="515"/>
    </row>
    <row r="42" spans="2:2">
      <c r="B42" s="515"/>
    </row>
    <row r="43" spans="2:2">
      <c r="B43" s="515"/>
    </row>
    <row r="44" spans="2:2">
      <c r="B44" s="515"/>
    </row>
    <row r="45" spans="2:2">
      <c r="B45" s="515"/>
    </row>
    <row r="46" spans="2:2">
      <c r="B46" s="515"/>
    </row>
    <row r="47" spans="2:2">
      <c r="B47" s="515"/>
    </row>
    <row r="49" spans="16:17">
      <c r="P49" s="517"/>
      <c r="Q49" s="517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"/>
  <sheetViews>
    <sheetView zoomScaleNormal="100" workbookViewId="0">
      <selection activeCell="M21" sqref="M21"/>
    </sheetView>
  </sheetViews>
  <sheetFormatPr defaultRowHeight="15.75"/>
  <cols>
    <col min="1" max="1" width="41.125" bestFit="1" customWidth="1"/>
    <col min="2" max="2" width="10.125" bestFit="1" customWidth="1"/>
    <col min="3" max="3" width="7.625" customWidth="1"/>
    <col min="4" max="4" width="11.625" bestFit="1" customWidth="1"/>
    <col min="5" max="5" width="15.75" bestFit="1" customWidth="1"/>
    <col min="6" max="6" width="10.5" customWidth="1"/>
    <col min="7" max="7" width="10.375" bestFit="1" customWidth="1"/>
    <col min="10" max="10" width="11.5" customWidth="1"/>
    <col min="11" max="11" width="2" customWidth="1"/>
    <col min="12" max="12" width="11.5" bestFit="1" customWidth="1"/>
    <col min="13" max="20" width="0" hidden="1" customWidth="1"/>
    <col min="22" max="22" width="10.75" bestFit="1" customWidth="1"/>
    <col min="24" max="24" width="10.25" customWidth="1"/>
  </cols>
  <sheetData>
    <row r="1" spans="1:24">
      <c r="A1" s="1935" t="s">
        <v>588</v>
      </c>
      <c r="B1" s="1935"/>
      <c r="C1" s="1935"/>
      <c r="D1" s="1935"/>
      <c r="E1" s="1935"/>
      <c r="F1" s="1935"/>
      <c r="G1" s="1935"/>
      <c r="H1" s="1935"/>
      <c r="I1" s="1935"/>
      <c r="J1" s="1935"/>
      <c r="K1" s="664"/>
      <c r="L1" s="664"/>
      <c r="M1" s="664"/>
      <c r="N1" s="664"/>
      <c r="O1" s="664"/>
      <c r="P1" s="664"/>
      <c r="Q1" s="664"/>
      <c r="R1" s="664"/>
      <c r="S1" s="664"/>
      <c r="T1" s="664"/>
      <c r="U1" s="664"/>
      <c r="V1" s="664"/>
      <c r="W1" s="664"/>
      <c r="X1" s="664"/>
    </row>
    <row r="2" spans="1:24">
      <c r="A2" s="1935" t="s">
        <v>632</v>
      </c>
      <c r="B2" s="1935"/>
      <c r="C2" s="1935"/>
      <c r="D2" s="1935"/>
      <c r="E2" s="1935"/>
      <c r="F2" s="1935"/>
      <c r="G2" s="1935"/>
      <c r="H2" s="1935"/>
      <c r="I2" s="1935"/>
      <c r="J2" s="1935"/>
      <c r="K2" s="664"/>
      <c r="L2" s="664"/>
      <c r="M2" s="664"/>
      <c r="N2" s="664"/>
      <c r="O2" s="664"/>
      <c r="P2" s="664"/>
      <c r="Q2" s="664"/>
      <c r="R2" s="664"/>
      <c r="S2" s="664"/>
      <c r="T2" s="664"/>
      <c r="U2" s="664"/>
      <c r="V2" s="664"/>
      <c r="W2" s="664"/>
      <c r="X2" s="664"/>
    </row>
    <row r="3" spans="1:24">
      <c r="A3" s="1935" t="s">
        <v>633</v>
      </c>
      <c r="B3" s="1935"/>
      <c r="C3" s="1935"/>
      <c r="D3" s="1935"/>
      <c r="E3" s="1935"/>
      <c r="F3" s="1935"/>
      <c r="G3" s="1935"/>
      <c r="H3" s="1935"/>
      <c r="I3" s="1935"/>
      <c r="J3" s="1935"/>
      <c r="K3" s="664"/>
      <c r="L3" s="664"/>
      <c r="M3" s="664"/>
      <c r="N3" s="664"/>
      <c r="O3" s="664"/>
      <c r="P3" s="664"/>
      <c r="Q3" s="664"/>
      <c r="R3" s="664"/>
      <c r="S3" s="664"/>
      <c r="T3" s="664"/>
      <c r="U3" s="664"/>
      <c r="V3" s="664"/>
      <c r="W3" s="664"/>
      <c r="X3" s="664"/>
    </row>
    <row r="4" spans="1:24">
      <c r="A4" s="1125"/>
      <c r="B4" s="1125"/>
      <c r="C4" s="1125"/>
      <c r="D4" s="1125"/>
      <c r="E4" s="1125"/>
      <c r="F4" s="1125"/>
      <c r="G4" s="1125"/>
      <c r="H4" s="1125"/>
      <c r="I4" s="1125"/>
      <c r="J4" s="1125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4"/>
      <c r="W4" s="664"/>
      <c r="X4" s="664"/>
    </row>
    <row r="5" spans="1:24">
      <c r="A5" s="792" t="s">
        <v>739</v>
      </c>
      <c r="B5" s="793">
        <v>5192</v>
      </c>
      <c r="C5" s="1125"/>
      <c r="D5" s="665"/>
      <c r="E5" s="665"/>
      <c r="F5" s="1125"/>
      <c r="G5" s="1125"/>
      <c r="H5" s="1125"/>
      <c r="I5" s="1125"/>
      <c r="J5" s="1125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</row>
    <row r="6" spans="1:24">
      <c r="A6" s="681" t="s">
        <v>740</v>
      </c>
      <c r="B6" s="785">
        <f ca="1">2*'Page 1, Revenues from Sales'!W11</f>
        <v>0.11080454323427529</v>
      </c>
      <c r="C6" s="664"/>
      <c r="D6" s="666" t="s">
        <v>374</v>
      </c>
      <c r="E6" s="736" t="s">
        <v>307</v>
      </c>
      <c r="F6" s="673"/>
      <c r="G6" s="664"/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</row>
    <row r="7" spans="1:24">
      <c r="A7" s="681" t="s">
        <v>738</v>
      </c>
      <c r="B7" s="790">
        <v>67.5</v>
      </c>
      <c r="C7" s="790"/>
      <c r="D7" s="667" t="s">
        <v>634</v>
      </c>
      <c r="E7" s="1126" t="s">
        <v>635</v>
      </c>
      <c r="F7" s="679"/>
      <c r="G7" s="664"/>
      <c r="H7" s="669"/>
      <c r="I7" s="669"/>
      <c r="J7" s="669"/>
      <c r="K7" s="669"/>
      <c r="L7" s="1126" t="s">
        <v>636</v>
      </c>
      <c r="M7" s="669"/>
      <c r="N7" s="671"/>
      <c r="O7" s="672"/>
      <c r="P7" s="672"/>
      <c r="Q7" s="673"/>
      <c r="R7" s="664"/>
      <c r="S7" s="671"/>
      <c r="T7" s="673"/>
      <c r="U7" s="664"/>
      <c r="V7" s="1126" t="s">
        <v>636</v>
      </c>
      <c r="W7" s="664"/>
      <c r="X7" s="664"/>
    </row>
    <row r="8" spans="1:24">
      <c r="A8" s="674" t="s">
        <v>31</v>
      </c>
      <c r="B8" s="664"/>
      <c r="C8" s="664"/>
      <c r="D8" s="675"/>
      <c r="E8" s="789">
        <v>0.35049999999999998</v>
      </c>
      <c r="F8" s="679"/>
      <c r="G8" s="676" t="s">
        <v>31</v>
      </c>
      <c r="H8" s="676"/>
      <c r="I8" s="676"/>
      <c r="J8" s="676"/>
      <c r="K8" s="669"/>
      <c r="L8" s="677" t="s">
        <v>637</v>
      </c>
      <c r="M8" s="669"/>
      <c r="N8" s="678"/>
      <c r="O8" s="669"/>
      <c r="P8" s="669"/>
      <c r="Q8" s="679"/>
      <c r="R8" s="664"/>
      <c r="S8" s="678"/>
      <c r="T8" s="679"/>
      <c r="U8" s="664"/>
      <c r="V8" s="677" t="s">
        <v>638</v>
      </c>
      <c r="W8" s="664"/>
      <c r="X8" s="664"/>
    </row>
    <row r="9" spans="1:24">
      <c r="A9" s="664"/>
      <c r="B9" s="1936" t="s">
        <v>753</v>
      </c>
      <c r="C9" s="1937"/>
      <c r="D9" s="667" t="s">
        <v>31</v>
      </c>
      <c r="E9" s="1126" t="s">
        <v>254</v>
      </c>
      <c r="F9" s="737" t="s">
        <v>173</v>
      </c>
      <c r="G9" s="1126" t="s">
        <v>639</v>
      </c>
      <c r="H9" s="669"/>
      <c r="I9" s="669"/>
      <c r="J9" s="668" t="s">
        <v>639</v>
      </c>
      <c r="K9" s="669"/>
      <c r="L9" s="677" t="s">
        <v>308</v>
      </c>
      <c r="M9" s="669"/>
      <c r="N9" s="678"/>
      <c r="O9" s="669"/>
      <c r="P9" s="669"/>
      <c r="Q9" s="679"/>
      <c r="R9" s="664"/>
      <c r="S9" s="675" t="s">
        <v>640</v>
      </c>
      <c r="T9" s="680">
        <f>E8</f>
        <v>0.35049999999999998</v>
      </c>
      <c r="U9" s="664"/>
      <c r="V9" s="677" t="s">
        <v>37</v>
      </c>
      <c r="W9" s="664"/>
      <c r="X9" s="664"/>
    </row>
    <row r="10" spans="1:24">
      <c r="A10" s="681" t="s">
        <v>641</v>
      </c>
      <c r="B10" s="664" t="s">
        <v>741</v>
      </c>
      <c r="C10" s="664" t="s">
        <v>742</v>
      </c>
      <c r="D10" s="682">
        <f>X27</f>
        <v>1677542.3200000005</v>
      </c>
      <c r="E10" s="794">
        <f>+J27</f>
        <v>2274588.4400000004</v>
      </c>
      <c r="F10" s="795">
        <f>E10-D10</f>
        <v>597046.11999999988</v>
      </c>
      <c r="G10" s="1126" t="s">
        <v>642</v>
      </c>
      <c r="H10" s="1126"/>
      <c r="I10" s="669"/>
      <c r="J10" s="668" t="s">
        <v>563</v>
      </c>
      <c r="K10" s="669"/>
      <c r="L10" s="684"/>
      <c r="M10" s="669"/>
      <c r="N10" s="678"/>
      <c r="O10" s="669"/>
      <c r="P10" s="669"/>
      <c r="Q10" s="679"/>
      <c r="R10" s="664"/>
      <c r="S10" s="685">
        <f>D10</f>
        <v>1677542.3200000005</v>
      </c>
      <c r="T10" s="686">
        <f>E10</f>
        <v>2274588.4400000004</v>
      </c>
      <c r="U10" s="664"/>
      <c r="V10" s="664"/>
      <c r="W10" s="664"/>
      <c r="X10" s="664" t="s">
        <v>743</v>
      </c>
    </row>
    <row r="11" spans="1:24">
      <c r="A11" s="687" t="s">
        <v>738</v>
      </c>
      <c r="B11" s="790">
        <v>65</v>
      </c>
      <c r="C11" s="790">
        <f>+B7</f>
        <v>67.5</v>
      </c>
      <c r="D11" s="682">
        <f>D29*B11</f>
        <v>306800</v>
      </c>
      <c r="E11" s="738">
        <f>IF(D29=4720,D29*C11,E29*C11*0.5)</f>
        <v>318600</v>
      </c>
      <c r="F11" s="796">
        <f>+E11-D11</f>
        <v>11800</v>
      </c>
      <c r="G11" s="1126" t="s">
        <v>308</v>
      </c>
      <c r="H11" s="688"/>
      <c r="I11" s="669"/>
      <c r="J11" s="689" t="s">
        <v>307</v>
      </c>
      <c r="K11" s="1126"/>
      <c r="L11" s="690"/>
      <c r="M11" s="664"/>
      <c r="N11" s="678" t="s">
        <v>40</v>
      </c>
      <c r="O11" s="669"/>
      <c r="P11" s="669" t="s">
        <v>522</v>
      </c>
      <c r="Q11" s="679" t="s">
        <v>643</v>
      </c>
      <c r="R11" s="664"/>
      <c r="S11" s="685">
        <f>D11</f>
        <v>306800</v>
      </c>
      <c r="T11" s="686">
        <f>E11</f>
        <v>318600</v>
      </c>
      <c r="U11" s="664"/>
      <c r="V11" s="664"/>
      <c r="W11" s="664"/>
      <c r="X11" s="1126" t="s">
        <v>639</v>
      </c>
    </row>
    <row r="12" spans="1:24">
      <c r="A12" s="681" t="s">
        <v>744</v>
      </c>
      <c r="B12" s="664"/>
      <c r="C12" s="664"/>
      <c r="D12" s="691">
        <f>D10-D11</f>
        <v>1370742.3200000005</v>
      </c>
      <c r="E12" s="692">
        <f>E10-E11</f>
        <v>1955988.4400000004</v>
      </c>
      <c r="F12" s="739">
        <f>E12-D12</f>
        <v>585246.11999999988</v>
      </c>
      <c r="G12" s="693" t="s">
        <v>644</v>
      </c>
      <c r="H12" s="694" t="s">
        <v>40</v>
      </c>
      <c r="I12" s="669"/>
      <c r="J12" s="695" t="s">
        <v>37</v>
      </c>
      <c r="K12" s="688"/>
      <c r="L12" s="684"/>
      <c r="M12" s="664" t="s">
        <v>31</v>
      </c>
      <c r="N12" s="678" t="s">
        <v>645</v>
      </c>
      <c r="O12" s="669"/>
      <c r="P12" s="669" t="s">
        <v>645</v>
      </c>
      <c r="Q12" s="679" t="s">
        <v>645</v>
      </c>
      <c r="R12" s="664"/>
      <c r="S12" s="685">
        <f>S10-S11</f>
        <v>1370742.3200000005</v>
      </c>
      <c r="T12" s="686">
        <f>T10-T11</f>
        <v>1955988.4400000004</v>
      </c>
      <c r="U12" s="664"/>
      <c r="V12" s="664"/>
      <c r="W12" s="664"/>
      <c r="X12" s="1126" t="s">
        <v>563</v>
      </c>
    </row>
    <row r="13" spans="1:24">
      <c r="A13" s="681"/>
      <c r="B13" s="664"/>
      <c r="C13" s="664"/>
      <c r="D13" s="675"/>
      <c r="E13" s="797"/>
      <c r="F13" s="669"/>
      <c r="G13" s="664"/>
      <c r="H13" s="664"/>
      <c r="I13" s="664"/>
      <c r="J13" s="679"/>
      <c r="K13" s="669"/>
      <c r="L13" s="664"/>
      <c r="M13" s="664"/>
      <c r="N13" s="678"/>
      <c r="O13" s="669"/>
      <c r="P13" s="669"/>
      <c r="Q13" s="679"/>
      <c r="R13" s="664"/>
      <c r="S13" s="685"/>
      <c r="T13" s="686"/>
      <c r="U13" s="664"/>
      <c r="V13" s="664"/>
      <c r="W13" s="664"/>
      <c r="X13" s="1126" t="s">
        <v>37</v>
      </c>
    </row>
    <row r="14" spans="1:24">
      <c r="A14" s="681" t="s">
        <v>646</v>
      </c>
      <c r="B14" s="664" t="s">
        <v>313</v>
      </c>
      <c r="C14" s="697">
        <v>15</v>
      </c>
      <c r="D14" s="698">
        <v>0.11</v>
      </c>
      <c r="E14" s="699">
        <f>ROUND(D14*(1+$E$8),2)</f>
        <v>0.15</v>
      </c>
      <c r="F14" s="669"/>
      <c r="G14" s="700">
        <f>E14-D14</f>
        <v>3.9999999999999994E-2</v>
      </c>
      <c r="H14" s="701">
        <v>2599</v>
      </c>
      <c r="I14" s="701"/>
      <c r="J14" s="686">
        <f>H14*E14*12</f>
        <v>4678.2</v>
      </c>
      <c r="K14" s="700"/>
      <c r="L14" s="785">
        <f>(E14-D14)/D14</f>
        <v>0.36363636363636359</v>
      </c>
      <c r="M14" s="664"/>
      <c r="N14" s="703">
        <v>3226</v>
      </c>
      <c r="O14" s="701"/>
      <c r="P14" s="701">
        <f t="shared" ref="P14:P18" si="0">Q14/D14/12</f>
        <v>1048.8636363636363</v>
      </c>
      <c r="Q14" s="686">
        <v>1384.5</v>
      </c>
      <c r="R14" s="664"/>
      <c r="S14" s="685">
        <f t="shared" ref="S14:S18" si="1">P14*D14*12</f>
        <v>1384.4999999999998</v>
      </c>
      <c r="T14" s="686">
        <f>H14*E14*12</f>
        <v>4678.2</v>
      </c>
      <c r="U14" s="664"/>
      <c r="V14" s="702">
        <f>(J14-X14)/X14</f>
        <v>0.34195036315445249</v>
      </c>
      <c r="W14" s="664"/>
      <c r="X14" s="704">
        <v>3486.12</v>
      </c>
    </row>
    <row r="15" spans="1:24">
      <c r="A15" s="681"/>
      <c r="B15" s="664" t="s">
        <v>313</v>
      </c>
      <c r="C15" s="734" t="s">
        <v>745</v>
      </c>
      <c r="D15" s="698">
        <v>0.63</v>
      </c>
      <c r="E15" s="699">
        <f>ROUND(D15*(1+$E$8),2)</f>
        <v>0.85</v>
      </c>
      <c r="F15" s="669"/>
      <c r="G15" s="700">
        <f t="shared" ref="G15:G26" si="2">E15-D15</f>
        <v>0.21999999999999997</v>
      </c>
      <c r="H15" s="701">
        <f>100214-E29+D29</f>
        <v>99742</v>
      </c>
      <c r="I15" s="701"/>
      <c r="J15" s="686">
        <f>(H15)*E15*12</f>
        <v>1017368.3999999999</v>
      </c>
      <c r="K15" s="700"/>
      <c r="L15" s="785">
        <f t="shared" ref="L15:L26" si="3">(E15-D15)/D15</f>
        <v>0.34920634920634919</v>
      </c>
      <c r="M15" s="664"/>
      <c r="N15" s="703">
        <v>130394</v>
      </c>
      <c r="O15" s="701"/>
      <c r="P15" s="701">
        <f t="shared" si="0"/>
        <v>35395.710317460318</v>
      </c>
      <c r="Q15" s="686">
        <v>267591.57</v>
      </c>
      <c r="R15" s="664"/>
      <c r="S15" s="685">
        <f t="shared" si="1"/>
        <v>267591.57</v>
      </c>
      <c r="T15" s="686">
        <f>(H15-E29)*E15*12</f>
        <v>964410</v>
      </c>
      <c r="U15" s="664"/>
      <c r="V15" s="702">
        <f t="shared" ref="V15:V27" si="4">(J15-X15)/X15</f>
        <v>0.35596291684759612</v>
      </c>
      <c r="W15" s="664"/>
      <c r="X15" s="704">
        <v>750292.2</v>
      </c>
    </row>
    <row r="16" spans="1:24">
      <c r="A16" s="681"/>
      <c r="B16" s="664" t="s">
        <v>313</v>
      </c>
      <c r="C16" s="697">
        <v>24</v>
      </c>
      <c r="D16" s="698">
        <v>1.3</v>
      </c>
      <c r="E16" s="699">
        <f>ROUND(D16*(1+$E$8),2)+0.02</f>
        <v>1.78</v>
      </c>
      <c r="F16" s="669"/>
      <c r="G16" s="700">
        <f t="shared" si="2"/>
        <v>0.48</v>
      </c>
      <c r="H16" s="701">
        <v>18647</v>
      </c>
      <c r="I16" s="701"/>
      <c r="J16" s="686">
        <f>H16*E16*12</f>
        <v>398299.92000000004</v>
      </c>
      <c r="K16" s="700"/>
      <c r="L16" s="785">
        <f t="shared" si="3"/>
        <v>0.3692307692307692</v>
      </c>
      <c r="M16" s="664"/>
      <c r="N16" s="703">
        <v>19694</v>
      </c>
      <c r="O16" s="701"/>
      <c r="P16" s="701">
        <f t="shared" si="0"/>
        <v>5985.9814102564096</v>
      </c>
      <c r="Q16" s="686">
        <v>93381.31</v>
      </c>
      <c r="R16" s="664"/>
      <c r="S16" s="685">
        <f t="shared" si="1"/>
        <v>93381.31</v>
      </c>
      <c r="T16" s="686">
        <f>H16*E16*12</f>
        <v>398299.92000000004</v>
      </c>
      <c r="U16" s="664"/>
      <c r="V16" s="702">
        <f>(J16-X16)/X16</f>
        <v>0.38896997899282754</v>
      </c>
      <c r="W16" s="664"/>
      <c r="X16" s="704">
        <v>286759.2</v>
      </c>
    </row>
    <row r="17" spans="1:24">
      <c r="A17" s="681"/>
      <c r="B17" s="664" t="s">
        <v>313</v>
      </c>
      <c r="C17" s="697">
        <v>33</v>
      </c>
      <c r="D17" s="698">
        <v>31.77</v>
      </c>
      <c r="E17" s="699">
        <f>ROUND(D17*(1+$E$8),2)+0.04</f>
        <v>42.949999999999996</v>
      </c>
      <c r="F17" s="669"/>
      <c r="G17" s="700">
        <f t="shared" si="2"/>
        <v>11.179999999999996</v>
      </c>
      <c r="H17" s="701">
        <v>0</v>
      </c>
      <c r="I17" s="701"/>
      <c r="J17" s="686">
        <f>H17*E17*12</f>
        <v>0</v>
      </c>
      <c r="K17" s="700"/>
      <c r="L17" s="785">
        <f t="shared" si="3"/>
        <v>0.35190431224425545</v>
      </c>
      <c r="M17" s="664"/>
      <c r="N17" s="703">
        <v>1</v>
      </c>
      <c r="O17" s="701"/>
      <c r="P17" s="701">
        <f t="shared" si="0"/>
        <v>0.10683558913020669</v>
      </c>
      <c r="Q17" s="686">
        <v>40.729999999999997</v>
      </c>
      <c r="R17" s="664"/>
      <c r="S17" s="685">
        <f t="shared" si="1"/>
        <v>40.729999999999997</v>
      </c>
      <c r="T17" s="686">
        <f>H17*E17*12</f>
        <v>0</v>
      </c>
      <c r="U17" s="664"/>
      <c r="V17" s="702">
        <f>V18</f>
        <v>0.31659337871548759</v>
      </c>
      <c r="W17" s="664"/>
      <c r="X17" s="704">
        <v>0</v>
      </c>
    </row>
    <row r="18" spans="1:24">
      <c r="A18" s="681"/>
      <c r="B18" s="664" t="s">
        <v>313</v>
      </c>
      <c r="C18" s="697">
        <v>36</v>
      </c>
      <c r="D18" s="698">
        <v>31.77</v>
      </c>
      <c r="E18" s="699">
        <f>ROUND(D18*(1+$E$8),2)+0.04</f>
        <v>42.949999999999996</v>
      </c>
      <c r="F18" s="669"/>
      <c r="G18" s="700">
        <f t="shared" si="2"/>
        <v>11.179999999999996</v>
      </c>
      <c r="H18" s="701">
        <v>1044</v>
      </c>
      <c r="I18" s="701"/>
      <c r="J18" s="686">
        <f>H18*E18*12</f>
        <v>538077.6</v>
      </c>
      <c r="K18" s="700"/>
      <c r="L18" s="785">
        <f t="shared" si="3"/>
        <v>0.35190431224425545</v>
      </c>
      <c r="M18" s="664"/>
      <c r="N18" s="703">
        <v>1318</v>
      </c>
      <c r="O18" s="701"/>
      <c r="P18" s="701">
        <f t="shared" si="0"/>
        <v>349.00041968313923</v>
      </c>
      <c r="Q18" s="686">
        <v>133052.92000000001</v>
      </c>
      <c r="R18" s="664"/>
      <c r="S18" s="685">
        <f t="shared" si="1"/>
        <v>133052.92000000001</v>
      </c>
      <c r="T18" s="686">
        <f>H18*E18*12</f>
        <v>538077.6</v>
      </c>
      <c r="U18" s="664"/>
      <c r="V18" s="702">
        <f t="shared" si="4"/>
        <v>0.31659337871548759</v>
      </c>
      <c r="W18" s="664"/>
      <c r="X18" s="704">
        <v>408689.28</v>
      </c>
    </row>
    <row r="19" spans="1:24">
      <c r="A19" s="681"/>
      <c r="B19" s="664" t="s">
        <v>313</v>
      </c>
      <c r="C19" s="697">
        <v>40</v>
      </c>
      <c r="D19" s="698">
        <v>13.1</v>
      </c>
      <c r="E19" s="699">
        <f>ROUND(D19*(1+$E$8),2)+0.05</f>
        <v>17.740000000000002</v>
      </c>
      <c r="F19" s="705" t="s">
        <v>746</v>
      </c>
      <c r="G19" s="700">
        <f t="shared" si="2"/>
        <v>4.6400000000000023</v>
      </c>
      <c r="H19" s="701">
        <v>5260</v>
      </c>
      <c r="I19" s="701"/>
      <c r="J19" s="686">
        <f>H19*E19</f>
        <v>93312.400000000009</v>
      </c>
      <c r="K19" s="700"/>
      <c r="L19" s="785">
        <f t="shared" si="3"/>
        <v>0.35419847328244292</v>
      </c>
      <c r="M19" s="700"/>
      <c r="N19" s="703">
        <v>3590</v>
      </c>
      <c r="O19" s="701"/>
      <c r="P19" s="701">
        <f>Q19/D19</f>
        <v>1187.8893129770993</v>
      </c>
      <c r="Q19" s="686">
        <v>15561.35</v>
      </c>
      <c r="R19" s="664"/>
      <c r="S19" s="685">
        <f>P19*D19</f>
        <v>15561.35</v>
      </c>
      <c r="T19" s="686">
        <f>H19*E19</f>
        <v>93312.400000000009</v>
      </c>
      <c r="U19" s="664"/>
      <c r="V19" s="702">
        <f t="shared" si="4"/>
        <v>0.35009173037635527</v>
      </c>
      <c r="W19" s="664"/>
      <c r="X19" s="704">
        <v>69115.599999999991</v>
      </c>
    </row>
    <row r="20" spans="1:24">
      <c r="A20" s="681"/>
      <c r="B20" s="664" t="s">
        <v>313</v>
      </c>
      <c r="C20" s="697" t="s">
        <v>647</v>
      </c>
      <c r="D20" s="698">
        <v>215.01</v>
      </c>
      <c r="E20" s="699">
        <f>ROUND(D20*(1+$E$8),2)+0.83</f>
        <v>291.2</v>
      </c>
      <c r="F20" s="669"/>
      <c r="G20" s="700">
        <f t="shared" si="2"/>
        <v>76.19</v>
      </c>
      <c r="H20" s="701">
        <v>1</v>
      </c>
      <c r="I20" s="701"/>
      <c r="J20" s="686">
        <f t="shared" ref="J20:J26" si="5">H20*E20*12</f>
        <v>3494.3999999999996</v>
      </c>
      <c r="K20" s="700"/>
      <c r="L20" s="785">
        <f t="shared" si="3"/>
        <v>0.35435561136691318</v>
      </c>
      <c r="M20" s="700"/>
      <c r="N20" s="703">
        <v>1</v>
      </c>
      <c r="O20" s="701"/>
      <c r="P20" s="701">
        <f t="shared" ref="P20:P26" si="6">Q20/D20/12</f>
        <v>0.34882098507046183</v>
      </c>
      <c r="Q20" s="686">
        <v>900</v>
      </c>
      <c r="R20" s="664"/>
      <c r="S20" s="685">
        <f t="shared" ref="S20:S26" si="7">P20*D20*12</f>
        <v>900</v>
      </c>
      <c r="T20" s="686">
        <f t="shared" ref="T20:T26" si="8">H20*E20*12</f>
        <v>3494.3999999999996</v>
      </c>
      <c r="U20" s="664"/>
      <c r="V20" s="702">
        <f t="shared" si="4"/>
        <v>0.35435561136691307</v>
      </c>
      <c r="W20" s="664"/>
      <c r="X20" s="704">
        <v>2580.12</v>
      </c>
    </row>
    <row r="21" spans="1:24">
      <c r="A21" s="681"/>
      <c r="B21" s="664" t="s">
        <v>313</v>
      </c>
      <c r="C21" s="697" t="s">
        <v>71</v>
      </c>
      <c r="D21" s="698">
        <v>215.01</v>
      </c>
      <c r="E21" s="699">
        <f>ROUND(D21*(1+$E$8),2)+0.83</f>
        <v>291.2</v>
      </c>
      <c r="F21" s="669"/>
      <c r="G21" s="700">
        <f t="shared" si="2"/>
        <v>76.19</v>
      </c>
      <c r="H21" s="701">
        <v>59</v>
      </c>
      <c r="I21" s="701"/>
      <c r="J21" s="686">
        <f t="shared" si="5"/>
        <v>206169.59999999998</v>
      </c>
      <c r="K21" s="700"/>
      <c r="L21" s="785">
        <f t="shared" si="3"/>
        <v>0.35435561136691318</v>
      </c>
      <c r="M21" s="700"/>
      <c r="N21" s="703">
        <v>77</v>
      </c>
      <c r="O21" s="701"/>
      <c r="P21" s="701">
        <f t="shared" si="6"/>
        <v>22.519220036277385</v>
      </c>
      <c r="Q21" s="686">
        <v>58102.29</v>
      </c>
      <c r="R21" s="664"/>
      <c r="S21" s="685">
        <f t="shared" si="7"/>
        <v>58102.29</v>
      </c>
      <c r="T21" s="686">
        <f t="shared" si="8"/>
        <v>206169.59999999998</v>
      </c>
      <c r="U21" s="664"/>
      <c r="V21" s="702">
        <f t="shared" si="4"/>
        <v>0.40187686088855912</v>
      </c>
      <c r="W21" s="664"/>
      <c r="X21" s="704">
        <v>147066.84</v>
      </c>
    </row>
    <row r="22" spans="1:24">
      <c r="A22" s="681"/>
      <c r="B22" s="664" t="s">
        <v>313</v>
      </c>
      <c r="C22" s="697">
        <v>51</v>
      </c>
      <c r="D22" s="698">
        <v>1.8</v>
      </c>
      <c r="E22" s="699">
        <f>ROUND(D22*(1+$E$8),2)</f>
        <v>2.4300000000000002</v>
      </c>
      <c r="F22" s="706"/>
      <c r="G22" s="700">
        <f t="shared" si="2"/>
        <v>0.63000000000000012</v>
      </c>
      <c r="H22" s="701">
        <v>163</v>
      </c>
      <c r="I22" s="701"/>
      <c r="J22" s="686">
        <f t="shared" si="5"/>
        <v>4753.08</v>
      </c>
      <c r="K22" s="700"/>
      <c r="L22" s="785">
        <f t="shared" si="3"/>
        <v>0.35000000000000003</v>
      </c>
      <c r="M22" s="669"/>
      <c r="N22" s="703">
        <v>149</v>
      </c>
      <c r="O22" s="701"/>
      <c r="P22" s="701">
        <f t="shared" si="6"/>
        <v>48.542129629629635</v>
      </c>
      <c r="Q22" s="686">
        <v>1048.51</v>
      </c>
      <c r="R22" s="664"/>
      <c r="S22" s="685">
        <f t="shared" si="7"/>
        <v>1048.5100000000002</v>
      </c>
      <c r="T22" s="686">
        <f t="shared" si="8"/>
        <v>4753.08</v>
      </c>
      <c r="U22" s="664"/>
      <c r="V22" s="702">
        <f t="shared" si="4"/>
        <v>0.32560240963855408</v>
      </c>
      <c r="W22" s="664"/>
      <c r="X22" s="704">
        <v>3585.6000000000004</v>
      </c>
    </row>
    <row r="23" spans="1:24">
      <c r="A23" s="681"/>
      <c r="B23" s="664" t="s">
        <v>313</v>
      </c>
      <c r="C23" s="697">
        <v>52</v>
      </c>
      <c r="D23" s="698">
        <v>1.8</v>
      </c>
      <c r="E23" s="699">
        <f>ROUND(D23*(1+$E$8),2)</f>
        <v>2.4300000000000002</v>
      </c>
      <c r="F23" s="669"/>
      <c r="G23" s="700">
        <f t="shared" si="2"/>
        <v>0.63000000000000012</v>
      </c>
      <c r="H23" s="701">
        <v>18</v>
      </c>
      <c r="I23" s="701"/>
      <c r="J23" s="686">
        <f t="shared" si="5"/>
        <v>524.88</v>
      </c>
      <c r="K23" s="700"/>
      <c r="L23" s="785">
        <f t="shared" si="3"/>
        <v>0.35000000000000003</v>
      </c>
      <c r="M23" s="669"/>
      <c r="N23" s="703">
        <v>28</v>
      </c>
      <c r="O23" s="701"/>
      <c r="P23" s="701">
        <f t="shared" si="6"/>
        <v>7.6277777777777773</v>
      </c>
      <c r="Q23" s="686">
        <v>164.76</v>
      </c>
      <c r="R23" s="664"/>
      <c r="S23" s="685">
        <f t="shared" si="7"/>
        <v>164.76</v>
      </c>
      <c r="T23" s="686">
        <f t="shared" si="8"/>
        <v>524.88</v>
      </c>
      <c r="U23" s="664"/>
      <c r="V23" s="702">
        <f t="shared" si="4"/>
        <v>5.6521739130434873E-2</v>
      </c>
      <c r="W23" s="664"/>
      <c r="X23" s="704">
        <v>496.79999999999995</v>
      </c>
    </row>
    <row r="24" spans="1:24">
      <c r="A24" s="681"/>
      <c r="B24" s="664" t="s">
        <v>313</v>
      </c>
      <c r="C24" s="697">
        <v>53</v>
      </c>
      <c r="D24" s="698">
        <v>1.8</v>
      </c>
      <c r="E24" s="699">
        <f>ROUND(D24*(1+$E$8),2)</f>
        <v>2.4300000000000002</v>
      </c>
      <c r="F24" s="669"/>
      <c r="G24" s="700">
        <f t="shared" si="2"/>
        <v>0.63000000000000012</v>
      </c>
      <c r="H24" s="701">
        <v>220</v>
      </c>
      <c r="I24" s="701"/>
      <c r="J24" s="686">
        <f t="shared" si="5"/>
        <v>6415.2000000000007</v>
      </c>
      <c r="K24" s="700"/>
      <c r="L24" s="785">
        <f t="shared" si="3"/>
        <v>0.35000000000000003</v>
      </c>
      <c r="M24" s="669"/>
      <c r="N24" s="703">
        <v>264</v>
      </c>
      <c r="O24" s="701"/>
      <c r="P24" s="701">
        <f t="shared" si="6"/>
        <v>88.475925925925921</v>
      </c>
      <c r="Q24" s="686">
        <v>1911.08</v>
      </c>
      <c r="R24" s="664"/>
      <c r="S24" s="685">
        <f t="shared" si="7"/>
        <v>1911.08</v>
      </c>
      <c r="T24" s="686">
        <f t="shared" si="8"/>
        <v>6415.2000000000007</v>
      </c>
      <c r="U24" s="664"/>
      <c r="V24" s="702">
        <f t="shared" si="4"/>
        <v>0.50000000000000011</v>
      </c>
      <c r="W24" s="664"/>
      <c r="X24" s="704">
        <v>4276.8</v>
      </c>
    </row>
    <row r="25" spans="1:24">
      <c r="A25" s="681"/>
      <c r="B25" s="664" t="s">
        <v>313</v>
      </c>
      <c r="C25" s="697">
        <v>54</v>
      </c>
      <c r="D25" s="698">
        <v>0.63</v>
      </c>
      <c r="E25" s="699">
        <f>ROUND(D25*(1+$E$8),2)</f>
        <v>0.85</v>
      </c>
      <c r="F25" s="669"/>
      <c r="G25" s="700">
        <f t="shared" si="2"/>
        <v>0.21999999999999997</v>
      </c>
      <c r="H25" s="701">
        <v>29.333333333333332</v>
      </c>
      <c r="I25" s="701"/>
      <c r="J25" s="686">
        <f t="shared" si="5"/>
        <v>299.19999999999993</v>
      </c>
      <c r="K25" s="700"/>
      <c r="L25" s="785">
        <f t="shared" si="3"/>
        <v>0.34920634920634919</v>
      </c>
      <c r="M25" s="669"/>
      <c r="N25" s="703">
        <v>34</v>
      </c>
      <c r="O25" s="701"/>
      <c r="P25" s="701">
        <f t="shared" si="6"/>
        <v>10.267195767195767</v>
      </c>
      <c r="Q25" s="686">
        <v>77.62</v>
      </c>
      <c r="R25" s="664"/>
      <c r="S25" s="685">
        <f t="shared" si="7"/>
        <v>77.62</v>
      </c>
      <c r="T25" s="686">
        <f t="shared" si="8"/>
        <v>299.19999999999993</v>
      </c>
      <c r="U25" s="664"/>
      <c r="V25" s="702">
        <f t="shared" si="4"/>
        <v>0.34920634920634896</v>
      </c>
      <c r="W25" s="664"/>
      <c r="X25" s="704">
        <v>221.76</v>
      </c>
    </row>
    <row r="26" spans="1:24">
      <c r="A26" s="681"/>
      <c r="B26" s="664" t="s">
        <v>313</v>
      </c>
      <c r="C26" s="697">
        <v>57</v>
      </c>
      <c r="D26" s="698">
        <v>1.8</v>
      </c>
      <c r="E26" s="699">
        <f>ROUND(D26*(1+$E$8),2)</f>
        <v>2.4300000000000002</v>
      </c>
      <c r="F26" s="669"/>
      <c r="G26" s="700">
        <f t="shared" si="2"/>
        <v>0.63000000000000012</v>
      </c>
      <c r="H26" s="707">
        <v>41</v>
      </c>
      <c r="I26" s="701"/>
      <c r="J26" s="708">
        <f t="shared" si="5"/>
        <v>1195.5600000000002</v>
      </c>
      <c r="K26" s="709"/>
      <c r="L26" s="785">
        <f t="shared" si="3"/>
        <v>0.35000000000000003</v>
      </c>
      <c r="M26" s="669"/>
      <c r="N26" s="703">
        <v>66</v>
      </c>
      <c r="O26" s="701"/>
      <c r="P26" s="701">
        <f t="shared" si="6"/>
        <v>22.258333333333329</v>
      </c>
      <c r="Q26" s="686">
        <v>480.78</v>
      </c>
      <c r="R26" s="664"/>
      <c r="S26" s="685">
        <f t="shared" si="7"/>
        <v>480.77999999999986</v>
      </c>
      <c r="T26" s="686">
        <f t="shared" si="8"/>
        <v>1195.5600000000002</v>
      </c>
      <c r="U26" s="664"/>
      <c r="V26" s="702">
        <f t="shared" si="4"/>
        <v>0.23000000000000018</v>
      </c>
      <c r="W26" s="664"/>
      <c r="X26" s="704">
        <v>972</v>
      </c>
    </row>
    <row r="27" spans="1:24">
      <c r="A27" s="681"/>
      <c r="B27" s="664"/>
      <c r="C27" s="664"/>
      <c r="D27" s="675"/>
      <c r="E27" s="696"/>
      <c r="F27" s="669"/>
      <c r="G27" s="669"/>
      <c r="H27" s="701">
        <f>SUM(H14:H26)</f>
        <v>127823.33333333333</v>
      </c>
      <c r="I27" s="701"/>
      <c r="J27" s="686">
        <f>SUM(J14:J26)</f>
        <v>2274588.4400000004</v>
      </c>
      <c r="K27" s="700"/>
      <c r="L27" s="700"/>
      <c r="M27" s="669"/>
      <c r="N27" s="703">
        <v>158986</v>
      </c>
      <c r="O27" s="701"/>
      <c r="P27" s="701">
        <f>SUM(P14:P26)</f>
        <v>44167.591335784949</v>
      </c>
      <c r="Q27" s="686">
        <v>574056.87</v>
      </c>
      <c r="R27" s="664"/>
      <c r="S27" s="685">
        <f>SUM(S14:S26)</f>
        <v>573697.42000000004</v>
      </c>
      <c r="T27" s="686">
        <f>SUM(T14:T26)</f>
        <v>2221630.0400000005</v>
      </c>
      <c r="U27" s="664"/>
      <c r="V27" s="702">
        <f t="shared" si="4"/>
        <v>0.35590525072416634</v>
      </c>
      <c r="W27" s="664"/>
      <c r="X27" s="704">
        <f>SUM(X14:X26)</f>
        <v>1677542.3200000005</v>
      </c>
    </row>
    <row r="28" spans="1:24">
      <c r="A28" s="697" t="s">
        <v>31</v>
      </c>
      <c r="B28" s="681" t="s">
        <v>31</v>
      </c>
      <c r="C28" s="664"/>
      <c r="D28" s="798"/>
      <c r="E28" s="696"/>
      <c r="F28" s="669"/>
      <c r="G28" s="669"/>
      <c r="H28" s="669"/>
      <c r="I28" s="669"/>
      <c r="J28" s="679"/>
      <c r="K28" s="669"/>
    </row>
    <row r="29" spans="1:24">
      <c r="A29" s="681" t="s">
        <v>648</v>
      </c>
      <c r="B29" s="664" t="s">
        <v>31</v>
      </c>
      <c r="C29" s="681" t="s">
        <v>31</v>
      </c>
      <c r="D29" s="710">
        <v>4720</v>
      </c>
      <c r="E29" s="711">
        <v>5192</v>
      </c>
      <c r="F29" s="799">
        <f>E29-D29</f>
        <v>472</v>
      </c>
      <c r="G29" s="676"/>
      <c r="H29" s="676"/>
      <c r="I29" s="676"/>
      <c r="J29" s="796">
        <f ca="1">+J27-E48</f>
        <v>284395.02289317246</v>
      </c>
      <c r="K29" s="669"/>
    </row>
    <row r="30" spans="1:24">
      <c r="A30" s="697"/>
      <c r="B30" s="664"/>
      <c r="C30" s="681"/>
      <c r="D30" s="800"/>
      <c r="E30" s="713"/>
      <c r="F30" s="683"/>
      <c r="G30" s="669"/>
      <c r="H30" s="669"/>
      <c r="I30" s="669"/>
      <c r="J30" s="613" t="s">
        <v>747</v>
      </c>
      <c r="K30" s="669"/>
    </row>
    <row r="31" spans="1:24">
      <c r="A31" s="714" t="s">
        <v>748</v>
      </c>
      <c r="B31" s="664"/>
      <c r="C31" s="681"/>
      <c r="D31" s="712"/>
      <c r="E31" s="713"/>
      <c r="F31" s="683"/>
      <c r="G31" s="669"/>
      <c r="H31" s="669"/>
      <c r="I31" s="669"/>
      <c r="J31" s="669"/>
      <c r="K31" s="669"/>
    </row>
    <row r="32" spans="1:24">
      <c r="A32" s="697" t="s">
        <v>946</v>
      </c>
      <c r="B32" s="664"/>
      <c r="C32" s="681"/>
      <c r="D32" s="712"/>
      <c r="E32" s="713"/>
      <c r="F32" s="683"/>
      <c r="G32" s="669"/>
      <c r="H32" s="669"/>
      <c r="I32" s="669"/>
      <c r="J32" s="669"/>
      <c r="K32" s="669"/>
    </row>
    <row r="33" spans="1:12">
      <c r="A33" s="697"/>
      <c r="B33" s="664"/>
      <c r="C33" s="681"/>
      <c r="D33" s="712"/>
      <c r="E33" s="713"/>
      <c r="F33" s="683"/>
      <c r="G33" s="1126" t="s">
        <v>254</v>
      </c>
      <c r="H33" s="1126" t="s">
        <v>649</v>
      </c>
      <c r="I33" s="669"/>
      <c r="J33" s="669"/>
      <c r="K33" s="669"/>
    </row>
    <row r="34" spans="1:12">
      <c r="A34" s="715" t="s">
        <v>650</v>
      </c>
      <c r="B34" s="664"/>
      <c r="C34" s="681"/>
      <c r="D34" s="712" t="s">
        <v>741</v>
      </c>
      <c r="E34" s="713" t="s">
        <v>742</v>
      </c>
      <c r="F34" s="683"/>
      <c r="G34" s="1126" t="s">
        <v>651</v>
      </c>
      <c r="H34" s="1126" t="s">
        <v>651</v>
      </c>
      <c r="I34" s="669"/>
      <c r="J34" s="669"/>
      <c r="K34" s="669"/>
    </row>
    <row r="35" spans="1:12">
      <c r="A35" s="664" t="s">
        <v>652</v>
      </c>
      <c r="B35" s="664"/>
      <c r="C35" s="664"/>
      <c r="D35" s="716">
        <v>289.83999999999997</v>
      </c>
      <c r="E35" s="716">
        <f ca="1">E44</f>
        <v>321.95558881102232</v>
      </c>
      <c r="F35" s="664"/>
      <c r="G35" s="717">
        <f ca="1">E35-D35</f>
        <v>32.115588811022349</v>
      </c>
      <c r="H35" s="801">
        <f ca="1">G35/D35</f>
        <v>0.1108045432342753</v>
      </c>
      <c r="I35" s="664"/>
      <c r="J35" s="664" t="s">
        <v>31</v>
      </c>
      <c r="K35" s="664"/>
      <c r="L35" s="656"/>
    </row>
    <row r="36" spans="1:12">
      <c r="A36" s="697" t="s">
        <v>653</v>
      </c>
      <c r="B36" s="664"/>
      <c r="C36" s="664"/>
      <c r="D36" s="718">
        <f>+B11</f>
        <v>65</v>
      </c>
      <c r="E36" s="718">
        <f>+C11</f>
        <v>67.5</v>
      </c>
      <c r="F36" s="664"/>
      <c r="G36" s="664"/>
      <c r="H36" s="664"/>
      <c r="I36" s="664"/>
      <c r="J36" s="664"/>
      <c r="K36" s="664"/>
    </row>
    <row r="37" spans="1:12">
      <c r="A37" s="697" t="s">
        <v>654</v>
      </c>
      <c r="B37" s="664"/>
      <c r="C37" s="664"/>
      <c r="D37" s="716">
        <f>SUM(D35:D36)</f>
        <v>354.84</v>
      </c>
      <c r="E37" s="716">
        <f ca="1">SUM(E35:E36)</f>
        <v>389.45558881102232</v>
      </c>
      <c r="F37" s="664"/>
      <c r="G37" s="664"/>
      <c r="H37" s="664"/>
      <c r="I37" s="664"/>
      <c r="J37" s="664"/>
      <c r="K37" s="664"/>
    </row>
    <row r="38" spans="1:12">
      <c r="A38" s="697"/>
      <c r="B38" s="664"/>
      <c r="C38" s="664"/>
      <c r="D38" s="716"/>
      <c r="E38" s="716"/>
      <c r="F38" s="664"/>
      <c r="G38" s="664"/>
      <c r="H38" s="664"/>
      <c r="I38" s="664"/>
      <c r="J38" s="664"/>
      <c r="K38" s="664"/>
    </row>
    <row r="39" spans="1:12">
      <c r="A39" s="697" t="s">
        <v>655</v>
      </c>
      <c r="B39" s="664"/>
      <c r="C39" s="664"/>
      <c r="D39" s="719">
        <f>D37*D29</f>
        <v>1674844.7999999998</v>
      </c>
      <c r="E39" s="719">
        <f ca="1">E37*E29</f>
        <v>2022053.417106828</v>
      </c>
      <c r="F39" s="664"/>
      <c r="G39" s="664"/>
      <c r="H39" s="664"/>
      <c r="I39" s="664"/>
      <c r="J39" s="664"/>
      <c r="K39" s="664"/>
    </row>
    <row r="40" spans="1:12">
      <c r="A40" s="729" t="s">
        <v>669</v>
      </c>
      <c r="B40" s="664"/>
      <c r="C40" s="664"/>
      <c r="D40" s="719">
        <f>D35*D29</f>
        <v>1368044.7999999998</v>
      </c>
      <c r="E40" s="719">
        <f ca="1">E35*E29</f>
        <v>1671593.417106828</v>
      </c>
      <c r="F40" s="664"/>
      <c r="G40" s="735"/>
      <c r="H40" s="664"/>
      <c r="I40" s="664"/>
      <c r="J40" s="664"/>
      <c r="K40" s="664"/>
    </row>
    <row r="41" spans="1:12">
      <c r="A41" s="729"/>
      <c r="B41" s="664"/>
      <c r="C41" s="664"/>
      <c r="D41" s="719"/>
      <c r="E41" s="719"/>
      <c r="F41" s="664"/>
      <c r="G41" s="664"/>
      <c r="H41" s="664"/>
      <c r="I41" s="664"/>
      <c r="J41" s="664"/>
      <c r="K41" s="664"/>
    </row>
    <row r="42" spans="1:12">
      <c r="A42" s="697"/>
      <c r="B42" s="664"/>
      <c r="C42" s="664"/>
      <c r="D42" s="716"/>
      <c r="E42" s="716"/>
      <c r="F42" s="664"/>
      <c r="G42" s="664"/>
      <c r="H42" s="664"/>
      <c r="I42" s="730" t="s">
        <v>31</v>
      </c>
      <c r="J42" s="664"/>
      <c r="K42" s="664"/>
    </row>
    <row r="43" spans="1:12">
      <c r="A43" s="715" t="s">
        <v>656</v>
      </c>
      <c r="B43" s="664"/>
      <c r="C43" s="664"/>
      <c r="D43" s="716"/>
      <c r="E43" s="716"/>
      <c r="F43" s="664"/>
      <c r="G43" s="664"/>
      <c r="H43" s="664"/>
      <c r="I43" s="664"/>
      <c r="J43" s="664"/>
      <c r="K43" s="664"/>
    </row>
    <row r="44" spans="1:12">
      <c r="A44" s="697" t="s">
        <v>939</v>
      </c>
      <c r="B44" s="791">
        <f ca="1">1+B6</f>
        <v>1.1108045432342752</v>
      </c>
      <c r="C44" s="664"/>
      <c r="E44" s="716">
        <f ca="1">D35*B44</f>
        <v>321.95558881102232</v>
      </c>
      <c r="F44" s="664"/>
      <c r="G44" s="664"/>
      <c r="H44" s="664"/>
      <c r="I44" s="664"/>
      <c r="J44" s="664"/>
      <c r="K44" s="664"/>
    </row>
    <row r="45" spans="1:12">
      <c r="A45" s="697" t="s">
        <v>749</v>
      </c>
      <c r="B45" s="120">
        <f>+E29</f>
        <v>5192</v>
      </c>
      <c r="C45" s="664"/>
      <c r="E45" s="716"/>
      <c r="F45" s="664"/>
      <c r="G45" s="664"/>
      <c r="H45" s="664"/>
      <c r="I45" s="664"/>
      <c r="J45" s="664"/>
      <c r="K45" s="664"/>
    </row>
    <row r="46" spans="1:12">
      <c r="A46" s="802" t="s">
        <v>750</v>
      </c>
      <c r="B46" s="664"/>
      <c r="C46" s="664"/>
      <c r="E46" s="719">
        <f ca="1">+E44*B45</f>
        <v>1671593.417106828</v>
      </c>
      <c r="F46" s="664"/>
      <c r="G46" s="735"/>
      <c r="H46" s="664"/>
      <c r="I46" s="664"/>
      <c r="J46" s="664"/>
      <c r="K46" s="664"/>
    </row>
    <row r="47" spans="1:12">
      <c r="A47" s="802" t="s">
        <v>751</v>
      </c>
      <c r="E47" s="803">
        <f>+E11</f>
        <v>318600</v>
      </c>
    </row>
    <row r="48" spans="1:12">
      <c r="A48" s="804" t="s">
        <v>752</v>
      </c>
      <c r="B48" s="805"/>
      <c r="C48" s="805"/>
      <c r="D48" s="636"/>
      <c r="E48" s="806">
        <f ca="1">+E47+E46</f>
        <v>1990193.417106828</v>
      </c>
    </row>
  </sheetData>
  <mergeCells count="4">
    <mergeCell ref="A1:J1"/>
    <mergeCell ref="A2:J2"/>
    <mergeCell ref="A3:J3"/>
    <mergeCell ref="B9:C9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view="pageBreakPreview" zoomScale="120" zoomScaleNormal="100" zoomScaleSheetLayoutView="120" workbookViewId="0">
      <selection activeCell="M21" sqref="M21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1938" t="s">
        <v>588</v>
      </c>
      <c r="B1" s="1938"/>
      <c r="C1" s="1938"/>
      <c r="D1" s="1938"/>
      <c r="E1" s="1938"/>
      <c r="F1" s="1938"/>
    </row>
    <row r="2" spans="1:8">
      <c r="A2" s="1938" t="s">
        <v>657</v>
      </c>
      <c r="B2" s="1938"/>
      <c r="C2" s="1938"/>
      <c r="D2" s="1938"/>
      <c r="E2" s="1938"/>
      <c r="F2" s="1938"/>
    </row>
    <row r="3" spans="1:8">
      <c r="A3" s="1938" t="s">
        <v>658</v>
      </c>
      <c r="B3" s="1938"/>
      <c r="C3" s="1938"/>
      <c r="D3" s="1938"/>
      <c r="E3" s="1938"/>
      <c r="F3" s="1938"/>
    </row>
    <row r="4" spans="1:8">
      <c r="A4" s="664"/>
      <c r="B4" s="664"/>
      <c r="C4" s="664"/>
      <c r="D4" s="664"/>
      <c r="E4" s="664"/>
      <c r="F4" s="664"/>
    </row>
    <row r="5" spans="1:8">
      <c r="A5" s="664"/>
      <c r="B5" s="1939"/>
      <c r="C5" s="1939"/>
      <c r="D5" s="1939"/>
      <c r="E5" s="1939"/>
      <c r="F5" s="1939"/>
      <c r="H5" s="731" t="s">
        <v>374</v>
      </c>
    </row>
    <row r="6" spans="1:8">
      <c r="A6" s="697" t="s">
        <v>659</v>
      </c>
      <c r="B6" s="677" t="s">
        <v>639</v>
      </c>
      <c r="C6" s="677" t="s">
        <v>10</v>
      </c>
      <c r="D6" s="677" t="s">
        <v>660</v>
      </c>
      <c r="E6" s="677" t="s">
        <v>32</v>
      </c>
      <c r="F6" s="670" t="s">
        <v>639</v>
      </c>
      <c r="H6" s="677" t="s">
        <v>32</v>
      </c>
    </row>
    <row r="7" spans="1:8">
      <c r="A7" s="720" t="s">
        <v>661</v>
      </c>
      <c r="B7" s="721" t="s">
        <v>40</v>
      </c>
      <c r="C7" s="721" t="s">
        <v>662</v>
      </c>
      <c r="D7" s="721" t="s">
        <v>20</v>
      </c>
      <c r="E7" s="722" t="s">
        <v>663</v>
      </c>
      <c r="F7" s="721" t="s">
        <v>664</v>
      </c>
      <c r="H7" s="722" t="s">
        <v>663</v>
      </c>
    </row>
    <row r="8" spans="1:8">
      <c r="A8" s="714" t="s">
        <v>665</v>
      </c>
      <c r="B8" s="723">
        <f>'by rate'!C18</f>
        <v>2564.5333333333333</v>
      </c>
      <c r="C8" s="684">
        <f>F8*E8/100</f>
        <v>1245193.119812842</v>
      </c>
      <c r="D8" s="717">
        <f>C8/B8</f>
        <v>485.54374537778489</v>
      </c>
      <c r="E8" s="724">
        <f>ROUND(H8*(1+$E$14),3)</f>
        <v>7.4729999999999999</v>
      </c>
      <c r="F8" s="723">
        <f>'by rate'!D18</f>
        <v>16662560.14736842</v>
      </c>
      <c r="H8" s="764">
        <v>5.8280000000000003</v>
      </c>
    </row>
    <row r="9" spans="1:8">
      <c r="A9" s="714" t="s">
        <v>666</v>
      </c>
      <c r="B9" s="723">
        <f>'by rate'!C19</f>
        <v>1491.1473684210525</v>
      </c>
      <c r="C9" s="684">
        <f>F9*E9/100</f>
        <v>477335.7127092632</v>
      </c>
      <c r="D9" s="717">
        <f>C9/B9</f>
        <v>320.11303699291966</v>
      </c>
      <c r="E9" s="724">
        <f>ROUND(H9*(1+$E$14),3)</f>
        <v>5.0270000000000001</v>
      </c>
      <c r="F9" s="723">
        <f>'by rate'!D19</f>
        <v>9495438.8842105269</v>
      </c>
      <c r="H9">
        <v>3.9209999999999998</v>
      </c>
    </row>
    <row r="10" spans="1:8">
      <c r="A10" s="714" t="s">
        <v>721</v>
      </c>
      <c r="B10" s="723">
        <f>'by rate'!C20</f>
        <v>1136.3192982456139</v>
      </c>
      <c r="C10" s="684">
        <f>F10*E10/100</f>
        <v>233567.40637515791</v>
      </c>
      <c r="D10" s="717">
        <f>C10/B10</f>
        <v>205.54733756239756</v>
      </c>
      <c r="E10" s="724">
        <f>ROUND(H10*(1+$E$14),3)</f>
        <v>3.141</v>
      </c>
      <c r="F10" s="723">
        <f>'by rate'!D20</f>
        <v>7436084.2526315795</v>
      </c>
      <c r="H10" s="764">
        <v>2.4500000000000002</v>
      </c>
    </row>
    <row r="11" spans="1:8">
      <c r="A11" s="697" t="s">
        <v>10</v>
      </c>
      <c r="B11" s="723">
        <f>'Exhibit No._(JRS-6) p1'!E29</f>
        <v>5192</v>
      </c>
      <c r="C11" s="684">
        <f>SUM(C8:C10)</f>
        <v>1956096.2388972631</v>
      </c>
      <c r="D11" s="717">
        <f>C11/B11</f>
        <v>376.75197205263157</v>
      </c>
      <c r="E11" s="724">
        <f>C11/F11*100</f>
        <v>5.8227403389710686</v>
      </c>
      <c r="F11" s="723">
        <f>SUM(F8:F10)</f>
        <v>33594083.284210525</v>
      </c>
      <c r="H11" s="764">
        <v>4.4550000000000001</v>
      </c>
    </row>
    <row r="13" spans="1:8">
      <c r="B13" t="s">
        <v>31</v>
      </c>
    </row>
    <row r="14" spans="1:8">
      <c r="E14" s="674">
        <v>0.28217999999999999</v>
      </c>
    </row>
    <row r="16" spans="1:8">
      <c r="C16" s="655">
        <f>'Exhibit No._(JRS-6) p1'!D40</f>
        <v>1368044.7999999998</v>
      </c>
      <c r="D16" s="656">
        <v>289.83999999999997</v>
      </c>
      <c r="H16" t="s">
        <v>31</v>
      </c>
    </row>
    <row r="17" spans="3:4">
      <c r="C17" s="655">
        <f ca="1">'Exhibit No._(JRS-6) p1'!E40</f>
        <v>1671593.417106828</v>
      </c>
      <c r="D17" s="656">
        <f ca="1">'Exhibit No._(JRS-6) p1'!E35</f>
        <v>321.95558881102232</v>
      </c>
    </row>
  </sheetData>
  <mergeCells count="4">
    <mergeCell ref="A1:F1"/>
    <mergeCell ref="A2:F2"/>
    <mergeCell ref="A3:F3"/>
    <mergeCell ref="B5:F5"/>
  </mergeCells>
  <phoneticPr fontId="28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M21" sqref="M21"/>
    </sheetView>
  </sheetViews>
  <sheetFormatPr defaultRowHeight="15.75"/>
  <sheetData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B1:AN63"/>
  <sheetViews>
    <sheetView view="pageBreakPreview" topLeftCell="B13" zoomScale="80" zoomScaleNormal="55" zoomScaleSheetLayoutView="80" workbookViewId="0">
      <selection activeCell="M21" sqref="M21"/>
    </sheetView>
  </sheetViews>
  <sheetFormatPr defaultColWidth="10.25" defaultRowHeight="15.75"/>
  <cols>
    <col min="1" max="1" width="0" style="153" hidden="1" customWidth="1"/>
    <col min="2" max="2" width="4.625" style="153" customWidth="1"/>
    <col min="3" max="3" width="2.125" style="153" customWidth="1"/>
    <col min="4" max="4" width="35.875" style="154" customWidth="1"/>
    <col min="5" max="5" width="2.125" style="154" customWidth="1"/>
    <col min="6" max="6" width="5.625" style="154" bestFit="1" customWidth="1"/>
    <col min="7" max="7" width="2.125" style="154" customWidth="1"/>
    <col min="8" max="8" width="9.25" style="153" hidden="1" customWidth="1"/>
    <col min="9" max="9" width="9.25" style="153" customWidth="1"/>
    <col min="10" max="10" width="2" style="153" customWidth="1"/>
    <col min="11" max="11" width="11" style="153" hidden="1" customWidth="1"/>
    <col min="12" max="12" width="11" style="153" bestFit="1" customWidth="1"/>
    <col min="13" max="13" width="2.125" style="153" customWidth="1"/>
    <col min="14" max="14" width="10.25" style="153" hidden="1" customWidth="1"/>
    <col min="15" max="15" width="10.25" style="153" bestFit="1" customWidth="1"/>
    <col min="16" max="16" width="3.75" style="153" customWidth="1"/>
    <col min="17" max="17" width="14.25" style="153" customWidth="1"/>
    <col min="18" max="18" width="2" style="153" hidden="1" customWidth="1"/>
    <col min="19" max="19" width="20.25" style="153" hidden="1" customWidth="1"/>
    <col min="20" max="20" width="4.625" style="153" customWidth="1"/>
    <col min="21" max="22" width="13.875" style="153" customWidth="1"/>
    <col min="23" max="23" width="14.125" style="153" hidden="1" customWidth="1"/>
    <col min="24" max="24" width="12.25" style="153" hidden="1" customWidth="1"/>
    <col min="25" max="25" width="14.5" style="153" hidden="1" customWidth="1"/>
    <col min="26" max="26" width="15.25" style="153" hidden="1" customWidth="1"/>
    <col min="27" max="27" width="6.75" style="153" hidden="1" customWidth="1"/>
    <col min="28" max="28" width="20.75" style="153" hidden="1" customWidth="1"/>
    <col min="29" max="29" width="3.875" style="153" customWidth="1"/>
    <col min="30" max="30" width="11.75" style="153" bestFit="1" customWidth="1"/>
    <col min="31" max="31" width="2.125" style="153" customWidth="1"/>
    <col min="32" max="32" width="8.25" style="153" customWidth="1"/>
    <col min="33" max="33" width="3.125" style="153" customWidth="1"/>
    <col min="34" max="34" width="9" style="153" bestFit="1" customWidth="1"/>
    <col min="35" max="35" width="0.125" style="153" hidden="1" customWidth="1"/>
    <col min="36" max="36" width="10.25" style="153" customWidth="1"/>
    <col min="37" max="38" width="14.125" style="153" bestFit="1" customWidth="1"/>
    <col min="39" max="39" width="10.25" style="153"/>
    <col min="40" max="40" width="13.125" style="153" bestFit="1" customWidth="1"/>
    <col min="41" max="16384" width="10.25" style="153"/>
  </cols>
  <sheetData>
    <row r="1" spans="2:38">
      <c r="Q1" s="155" t="s">
        <v>31</v>
      </c>
    </row>
    <row r="2" spans="2:38">
      <c r="B2" s="156" t="s">
        <v>631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211"/>
      <c r="Z2" s="1211"/>
      <c r="AA2" s="1211"/>
      <c r="AB2" s="1211"/>
      <c r="AC2" s="1211"/>
      <c r="AD2" s="1211"/>
      <c r="AE2" s="1211"/>
      <c r="AF2" s="1211"/>
    </row>
    <row r="3" spans="2:38">
      <c r="B3" s="157" t="s">
        <v>187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212"/>
      <c r="Z3" s="1212"/>
      <c r="AA3" s="1212"/>
      <c r="AB3" s="1212"/>
      <c r="AC3" s="1212"/>
      <c r="AD3" s="1212"/>
      <c r="AE3" s="1212"/>
      <c r="AF3" s="1212"/>
      <c r="AG3" s="158"/>
      <c r="AH3" s="158"/>
      <c r="AI3" s="158"/>
    </row>
    <row r="4" spans="2:38">
      <c r="B4" s="157" t="s">
        <v>301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212"/>
      <c r="Z4" s="1212"/>
      <c r="AA4" s="1212"/>
      <c r="AB4" s="1212"/>
      <c r="AC4" s="1212"/>
      <c r="AD4" s="1212"/>
      <c r="AE4" s="1212"/>
      <c r="AF4" s="1212"/>
      <c r="AG4" s="158"/>
      <c r="AH4" s="158"/>
      <c r="AI4" s="158"/>
    </row>
    <row r="5" spans="2:38">
      <c r="B5" s="157" t="s">
        <v>302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212"/>
      <c r="Z5" s="1212"/>
      <c r="AA5" s="1212"/>
      <c r="AB5" s="1212"/>
      <c r="AC5" s="1212"/>
      <c r="AD5" s="1212"/>
      <c r="AE5" s="1212"/>
      <c r="AF5" s="1212"/>
      <c r="AG5" s="158"/>
      <c r="AH5" s="158"/>
      <c r="AI5" s="158"/>
    </row>
    <row r="6" spans="2:38">
      <c r="B6" s="157" t="s">
        <v>303</v>
      </c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212"/>
      <c r="Z6" s="1212"/>
      <c r="AA6" s="1212"/>
      <c r="AB6" s="1212"/>
      <c r="AC6" s="1212"/>
      <c r="AD6" s="1212"/>
      <c r="AE6" s="1212"/>
      <c r="AF6" s="1212"/>
      <c r="AG6" s="158"/>
      <c r="AH6" s="158"/>
      <c r="AI6" s="158"/>
    </row>
    <row r="7" spans="2:38">
      <c r="B7" s="156" t="s">
        <v>813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211"/>
      <c r="Z7" s="1211"/>
      <c r="AA7" s="1211"/>
      <c r="AB7" s="1211"/>
      <c r="AC7" s="1211"/>
      <c r="AD7" s="1211"/>
      <c r="AE7" s="1211"/>
      <c r="AF7" s="1211"/>
      <c r="AG7" s="159"/>
      <c r="AH7" s="159"/>
      <c r="AI7" s="159"/>
    </row>
    <row r="8" spans="2:38">
      <c r="M8" s="160"/>
      <c r="N8" s="161"/>
      <c r="O8" s="161"/>
      <c r="P8" s="162"/>
      <c r="Q8" s="162"/>
      <c r="R8" s="161"/>
      <c r="S8" s="161"/>
      <c r="T8" s="161"/>
      <c r="U8" s="162"/>
      <c r="V8" s="162"/>
      <c r="W8" s="162"/>
      <c r="X8" s="162"/>
      <c r="Y8" s="162"/>
      <c r="Z8" s="162"/>
      <c r="AA8" s="162"/>
      <c r="AB8" s="1209" t="s">
        <v>679</v>
      </c>
      <c r="AC8" s="162"/>
      <c r="AD8" s="162"/>
      <c r="AE8" s="162"/>
      <c r="AF8" s="162"/>
      <c r="AG8" s="162"/>
      <c r="AH8" s="162"/>
      <c r="AI8" s="162"/>
      <c r="AJ8" s="160"/>
      <c r="AK8" s="160"/>
      <c r="AL8" s="160"/>
    </row>
    <row r="9" spans="2:38">
      <c r="N9" s="164" t="s">
        <v>306</v>
      </c>
      <c r="O9" s="164" t="s">
        <v>199</v>
      </c>
      <c r="P9" s="165"/>
      <c r="Q9" s="1940" t="s">
        <v>307</v>
      </c>
      <c r="R9" s="1940"/>
      <c r="S9" s="1940"/>
      <c r="T9" s="166"/>
      <c r="U9" s="1863" t="s">
        <v>173</v>
      </c>
      <c r="V9" s="1863"/>
      <c r="W9" s="1863"/>
      <c r="X9" s="1863"/>
      <c r="Y9" s="1863"/>
      <c r="Z9" s="1863"/>
      <c r="AA9" s="165"/>
      <c r="AB9" s="1210" t="s">
        <v>308</v>
      </c>
      <c r="AC9" s="165"/>
      <c r="AD9" s="1209" t="s">
        <v>307</v>
      </c>
      <c r="AE9" s="165"/>
      <c r="AF9" s="1209" t="s">
        <v>309</v>
      </c>
      <c r="AG9" s="165"/>
      <c r="AH9" s="165"/>
      <c r="AI9" s="165"/>
    </row>
    <row r="10" spans="2:38">
      <c r="F10" s="152" t="s">
        <v>310</v>
      </c>
      <c r="G10" s="152"/>
      <c r="H10" s="164" t="s">
        <v>311</v>
      </c>
      <c r="N10" s="1209" t="s">
        <v>189</v>
      </c>
      <c r="O10" s="1209" t="s">
        <v>189</v>
      </c>
      <c r="P10" s="167"/>
      <c r="Q10" s="1209" t="s">
        <v>189</v>
      </c>
      <c r="R10" s="1209"/>
      <c r="S10" s="1209" t="s">
        <v>203</v>
      </c>
      <c r="T10" s="1209"/>
      <c r="U10" s="168" t="s">
        <v>189</v>
      </c>
      <c r="V10" s="168"/>
      <c r="W10" s="168" t="s">
        <v>31</v>
      </c>
      <c r="X10" s="1209"/>
      <c r="Y10" s="168" t="s">
        <v>203</v>
      </c>
      <c r="Z10" s="166"/>
      <c r="AA10" s="166"/>
      <c r="AB10" s="166"/>
      <c r="AC10" s="166"/>
      <c r="AD10" s="1209" t="s">
        <v>189</v>
      </c>
      <c r="AE10" s="166"/>
      <c r="AF10" s="1209" t="s">
        <v>173</v>
      </c>
      <c r="AG10" s="169"/>
      <c r="AH10" s="166"/>
      <c r="AI10" s="169"/>
    </row>
    <row r="11" spans="2:38">
      <c r="B11" s="169" t="s">
        <v>188</v>
      </c>
      <c r="F11" s="152" t="s">
        <v>313</v>
      </c>
      <c r="G11" s="152"/>
      <c r="H11" s="164" t="s">
        <v>314</v>
      </c>
      <c r="I11" s="164" t="s">
        <v>311</v>
      </c>
      <c r="K11" s="164" t="s">
        <v>315</v>
      </c>
      <c r="N11" s="164" t="s">
        <v>37</v>
      </c>
      <c r="O11" s="164" t="s">
        <v>37</v>
      </c>
      <c r="P11" s="169"/>
      <c r="Q11" s="164" t="s">
        <v>37</v>
      </c>
      <c r="R11" s="164"/>
      <c r="S11" s="164" t="s">
        <v>37</v>
      </c>
      <c r="T11" s="164"/>
      <c r="U11" s="170" t="s">
        <v>254</v>
      </c>
      <c r="V11" s="164" t="s">
        <v>189</v>
      </c>
      <c r="W11" s="1863" t="s">
        <v>679</v>
      </c>
      <c r="X11" s="1863"/>
      <c r="Y11" s="170" t="s">
        <v>254</v>
      </c>
      <c r="Z11" s="164" t="s">
        <v>203</v>
      </c>
      <c r="AA11" s="169"/>
      <c r="AB11" s="169"/>
      <c r="AC11" s="169"/>
      <c r="AD11" s="164" t="s">
        <v>191</v>
      </c>
      <c r="AE11" s="169"/>
      <c r="AF11" s="164" t="s">
        <v>316</v>
      </c>
      <c r="AG11" s="169"/>
      <c r="AH11" s="1209"/>
      <c r="AI11" s="171"/>
      <c r="AJ11" s="160"/>
    </row>
    <row r="12" spans="2:38">
      <c r="B12" s="172" t="s">
        <v>190</v>
      </c>
      <c r="D12" s="173" t="s">
        <v>204</v>
      </c>
      <c r="F12" s="173" t="s">
        <v>190</v>
      </c>
      <c r="G12" s="174"/>
      <c r="H12" s="175" t="s">
        <v>306</v>
      </c>
      <c r="I12" s="1210" t="s">
        <v>314</v>
      </c>
      <c r="K12" s="175" t="s">
        <v>306</v>
      </c>
      <c r="L12" s="1210" t="s">
        <v>315</v>
      </c>
      <c r="N12" s="176" t="s">
        <v>200</v>
      </c>
      <c r="O12" s="176" t="s">
        <v>200</v>
      </c>
      <c r="P12" s="1209"/>
      <c r="Q12" s="176" t="s">
        <v>200</v>
      </c>
      <c r="R12" s="177"/>
      <c r="S12" s="176" t="s">
        <v>200</v>
      </c>
      <c r="T12" s="177"/>
      <c r="U12" s="178" t="s">
        <v>200</v>
      </c>
      <c r="V12" s="1210" t="s">
        <v>317</v>
      </c>
      <c r="W12" s="178" t="s">
        <v>200</v>
      </c>
      <c r="X12" s="1210" t="s">
        <v>317</v>
      </c>
      <c r="Y12" s="178" t="s">
        <v>200</v>
      </c>
      <c r="Z12" s="1210" t="s">
        <v>317</v>
      </c>
      <c r="AA12" s="171"/>
      <c r="AB12" s="179" t="s">
        <v>318</v>
      </c>
      <c r="AC12" s="171"/>
      <c r="AD12" s="176" t="s">
        <v>318</v>
      </c>
      <c r="AE12" s="171"/>
      <c r="AF12" s="1210" t="s">
        <v>25</v>
      </c>
      <c r="AG12" s="171"/>
      <c r="AH12" s="1203"/>
      <c r="AI12" s="171"/>
      <c r="AJ12" s="160"/>
    </row>
    <row r="13" spans="2:38">
      <c r="B13" s="180"/>
      <c r="D13" s="170" t="s">
        <v>319</v>
      </c>
      <c r="F13" s="170" t="s">
        <v>320</v>
      </c>
      <c r="G13" s="152"/>
      <c r="H13" s="170"/>
      <c r="I13" s="170" t="s">
        <v>321</v>
      </c>
      <c r="K13" s="170"/>
      <c r="L13" s="170" t="s">
        <v>322</v>
      </c>
      <c r="N13" s="170"/>
      <c r="O13" s="170" t="s">
        <v>323</v>
      </c>
      <c r="P13" s="170"/>
      <c r="Q13" s="170" t="s">
        <v>324</v>
      </c>
      <c r="R13" s="170"/>
      <c r="S13" s="170"/>
      <c r="T13" s="170"/>
      <c r="U13" s="170" t="s">
        <v>325</v>
      </c>
      <c r="V13" s="170" t="s">
        <v>326</v>
      </c>
      <c r="W13" s="170" t="s">
        <v>326</v>
      </c>
      <c r="X13" s="170" t="s">
        <v>326</v>
      </c>
      <c r="Y13" s="170"/>
      <c r="Z13" s="170"/>
      <c r="AA13" s="170"/>
      <c r="AB13" s="170"/>
      <c r="AC13" s="170"/>
      <c r="AD13" s="170" t="s">
        <v>327</v>
      </c>
      <c r="AE13" s="170"/>
      <c r="AF13" s="170" t="s">
        <v>328</v>
      </c>
      <c r="AG13" s="170"/>
      <c r="AH13" s="167"/>
      <c r="AI13" s="167"/>
      <c r="AJ13" s="160"/>
    </row>
    <row r="14" spans="2:38">
      <c r="P14" s="170"/>
      <c r="Q14" s="170" t="s">
        <v>329</v>
      </c>
      <c r="V14" s="170" t="s">
        <v>330</v>
      </c>
      <c r="X14" s="170" t="s">
        <v>330</v>
      </c>
      <c r="Z14" s="170"/>
      <c r="AD14" s="170" t="s">
        <v>331</v>
      </c>
      <c r="AF14" s="170" t="s">
        <v>332</v>
      </c>
      <c r="AH14" s="160"/>
      <c r="AI14" s="160"/>
      <c r="AJ14" s="160"/>
    </row>
    <row r="15" spans="2:38">
      <c r="D15" s="181" t="s">
        <v>17</v>
      </c>
      <c r="AH15" s="160"/>
      <c r="AI15" s="160"/>
      <c r="AJ15" s="160"/>
    </row>
    <row r="16" spans="2:38">
      <c r="B16" s="169">
        <v>1</v>
      </c>
      <c r="D16" s="154" t="s">
        <v>333</v>
      </c>
      <c r="F16" s="182" t="s">
        <v>334</v>
      </c>
      <c r="G16" s="182"/>
      <c r="H16" s="183">
        <v>101336.91666666667</v>
      </c>
      <c r="I16" s="183">
        <v>104296.97777777778</v>
      </c>
      <c r="J16" s="155"/>
      <c r="K16" s="183">
        <v>1569938.6044392167</v>
      </c>
      <c r="L16" s="183">
        <v>1601807.788900645</v>
      </c>
      <c r="N16" s="184">
        <v>102672.94442530281</v>
      </c>
      <c r="O16" s="184">
        <v>134571.28710393453</v>
      </c>
      <c r="P16" s="185"/>
      <c r="Q16" s="186">
        <f>O16+U16</f>
        <v>142026.53640949252</v>
      </c>
      <c r="R16" s="184"/>
      <c r="S16" s="186">
        <f>Q16+W16</f>
        <v>142913.93792454348</v>
      </c>
      <c r="T16" s="184"/>
      <c r="U16" s="184">
        <f>O16*V16</f>
        <v>7455.2493055579735</v>
      </c>
      <c r="V16" s="185">
        <f>V54</f>
        <v>5.5400000000000005E-2</v>
      </c>
      <c r="W16" s="184">
        <f>(AB16/100)*L16</f>
        <v>887.4015150509573</v>
      </c>
      <c r="X16" s="187">
        <f>W16/O16</f>
        <v>6.5942857064715688E-3</v>
      </c>
      <c r="Y16" s="184">
        <f>U16+W16</f>
        <v>8342.6508206089311</v>
      </c>
      <c r="Z16" s="187">
        <f>Y16/O16</f>
        <v>6.1994285706471572E-2</v>
      </c>
      <c r="AA16" s="185"/>
      <c r="AB16" s="188">
        <f>ROUND((((O16/$O$44)*$W$53)/L16)*100,4)</f>
        <v>5.5399999999999998E-2</v>
      </c>
      <c r="AC16" s="185"/>
      <c r="AD16" s="189">
        <f>Q16/L16*100</f>
        <v>8.8666403917893533</v>
      </c>
      <c r="AE16" s="185"/>
      <c r="AF16" s="190">
        <f>(U16/L16)*100</f>
        <v>0.46542721025689793</v>
      </c>
      <c r="AG16" s="185"/>
      <c r="AH16" s="184"/>
      <c r="AI16" s="192"/>
      <c r="AJ16" s="193" t="s">
        <v>31</v>
      </c>
      <c r="AK16" s="1821">
        <f>U16*1000</f>
        <v>7455249.3055579737</v>
      </c>
    </row>
    <row r="17" spans="2:40">
      <c r="H17" s="194"/>
      <c r="I17" s="194"/>
      <c r="K17" s="194"/>
      <c r="L17" s="194"/>
      <c r="N17" s="194"/>
      <c r="O17" s="194"/>
      <c r="P17" s="160"/>
      <c r="Q17" s="195"/>
      <c r="R17" s="160"/>
      <c r="S17" s="195"/>
      <c r="T17" s="160"/>
      <c r="U17" s="194"/>
      <c r="V17" s="1350"/>
      <c r="W17" s="194"/>
      <c r="X17" s="197"/>
      <c r="Y17" s="194"/>
      <c r="Z17" s="197"/>
      <c r="AA17" s="160"/>
      <c r="AB17" s="198"/>
      <c r="AC17" s="160"/>
      <c r="AD17" s="195"/>
      <c r="AE17" s="160"/>
      <c r="AF17" s="199"/>
      <c r="AG17" s="160"/>
      <c r="AH17" s="184"/>
      <c r="AI17" s="160"/>
      <c r="AJ17" s="160"/>
    </row>
    <row r="18" spans="2:40">
      <c r="V18" s="1351"/>
      <c r="X18" s="200"/>
      <c r="Z18" s="200"/>
      <c r="AB18" s="201"/>
      <c r="AF18" s="202"/>
      <c r="AH18" s="184"/>
      <c r="AI18" s="160"/>
      <c r="AJ18" s="160"/>
    </row>
    <row r="19" spans="2:40">
      <c r="B19" s="86">
        <f>MAX(B$13:B18)+1</f>
        <v>2</v>
      </c>
      <c r="D19" s="181" t="s">
        <v>335</v>
      </c>
      <c r="H19" s="203">
        <f>SUM(H16:H16)</f>
        <v>101336.91666666667</v>
      </c>
      <c r="I19" s="203">
        <v>104296.97777777778</v>
      </c>
      <c r="K19" s="203">
        <f>SUM(K16:K16)</f>
        <v>1569938.6044392167</v>
      </c>
      <c r="L19" s="203">
        <v>1601807.788900645</v>
      </c>
      <c r="M19" s="203"/>
      <c r="N19" s="204">
        <f>SUM(N16:N16)</f>
        <v>102672.94442530281</v>
      </c>
      <c r="O19" s="204">
        <v>134571.28710393453</v>
      </c>
      <c r="P19" s="185"/>
      <c r="Q19" s="204">
        <f>SUM(Q16:Q16)</f>
        <v>142026.53640949252</v>
      </c>
      <c r="R19" s="204"/>
      <c r="S19" s="204">
        <f>SUM(S16:S16)</f>
        <v>142913.93792454348</v>
      </c>
      <c r="T19" s="204"/>
      <c r="U19" s="184">
        <f>SUM(U16)</f>
        <v>7455.2493055579735</v>
      </c>
      <c r="V19" s="185">
        <f>U19/O19</f>
        <v>5.5400000000000005E-2</v>
      </c>
      <c r="W19" s="184">
        <f>SUM(W16)</f>
        <v>887.4015150509573</v>
      </c>
      <c r="X19" s="187">
        <f>W19/O19</f>
        <v>6.5942857064715688E-3</v>
      </c>
      <c r="Y19" s="184">
        <f>U19+W19</f>
        <v>8342.6508206089311</v>
      </c>
      <c r="Z19" s="187">
        <f>Y19/O19</f>
        <v>6.1994285706471572E-2</v>
      </c>
      <c r="AA19" s="185"/>
      <c r="AB19" s="205"/>
      <c r="AC19" s="185"/>
      <c r="AD19" s="189">
        <f>Q19/L19*100</f>
        <v>8.8666403917893533</v>
      </c>
      <c r="AE19" s="185"/>
      <c r="AF19" s="190">
        <f>(U19/L19)*100</f>
        <v>0.46542721025689793</v>
      </c>
      <c r="AG19" s="185"/>
      <c r="AH19" s="184"/>
      <c r="AI19" s="192"/>
      <c r="AJ19" s="160"/>
    </row>
    <row r="20" spans="2:40">
      <c r="V20" s="1351"/>
      <c r="X20" s="200"/>
      <c r="Z20" s="200"/>
      <c r="AB20" s="201"/>
      <c r="AF20" s="202"/>
      <c r="AH20" s="184"/>
      <c r="AI20" s="160"/>
      <c r="AJ20" s="160"/>
    </row>
    <row r="21" spans="2:40">
      <c r="D21" s="181" t="s">
        <v>336</v>
      </c>
      <c r="H21" s="206"/>
      <c r="I21" s="206"/>
      <c r="V21" s="1351"/>
      <c r="X21" s="200"/>
      <c r="Z21" s="200"/>
      <c r="AB21" s="201"/>
      <c r="AF21" s="202"/>
      <c r="AH21" s="184"/>
      <c r="AI21" s="160"/>
      <c r="AJ21" s="160"/>
    </row>
    <row r="22" spans="2:40">
      <c r="B22" s="86">
        <f>MAX(B$13:B21)+1</f>
        <v>3</v>
      </c>
      <c r="D22" s="154" t="s">
        <v>337</v>
      </c>
      <c r="F22" s="152">
        <v>24</v>
      </c>
      <c r="G22" s="152"/>
      <c r="H22" s="183">
        <v>17306.416666666664</v>
      </c>
      <c r="I22" s="183">
        <v>18646.79166666606</v>
      </c>
      <c r="K22" s="183">
        <v>513041.74113523914</v>
      </c>
      <c r="L22" s="183">
        <v>537395.79148303834</v>
      </c>
      <c r="N22" s="204">
        <v>33647.646251191611</v>
      </c>
      <c r="O22" s="204">
        <v>45261.337330470167</v>
      </c>
      <c r="P22" s="185"/>
      <c r="Q22" s="186">
        <f>O22+U22</f>
        <v>46352.135560134499</v>
      </c>
      <c r="R22" s="184"/>
      <c r="S22" s="186">
        <f t="shared" ref="S22:S29" si="0">Q22+W22</f>
        <v>46650.390224407587</v>
      </c>
      <c r="T22" s="184"/>
      <c r="U22" s="184">
        <f t="shared" ref="U22:U29" si="1">O22*V22</f>
        <v>1090.7982296643311</v>
      </c>
      <c r="V22" s="185">
        <f>V56</f>
        <v>2.41E-2</v>
      </c>
      <c r="W22" s="184">
        <f t="shared" ref="W22:W29" si="2">(AB22/100)*L22</f>
        <v>298.25466427308629</v>
      </c>
      <c r="X22" s="187">
        <f>W22/O22</f>
        <v>6.5896122798011032E-3</v>
      </c>
      <c r="Y22" s="184">
        <f t="shared" ref="Y22:Y29" si="3">U22+W22</f>
        <v>1389.0528939374174</v>
      </c>
      <c r="Z22" s="187">
        <f>Y22/O22</f>
        <v>3.0689612279801104E-2</v>
      </c>
      <c r="AA22" s="185"/>
      <c r="AB22" s="188">
        <f>ROUND((((O22/$O$44)*$W$53)/L22)*100,4)</f>
        <v>5.5500000000000001E-2</v>
      </c>
      <c r="AC22" s="185"/>
      <c r="AD22" s="189">
        <f>Q22/L22*100</f>
        <v>8.6253253737282929</v>
      </c>
      <c r="AE22" s="185"/>
      <c r="AF22" s="190">
        <f>(U22/L22)*100</f>
        <v>0.20297855825295563</v>
      </c>
      <c r="AG22" s="185"/>
      <c r="AH22" s="184"/>
      <c r="AI22" s="192"/>
      <c r="AJ22" s="160"/>
      <c r="AK22" s="1821">
        <f t="shared" ref="AK22:AK28" si="4">U22*1000</f>
        <v>1090798.2296643311</v>
      </c>
      <c r="AL22" s="14"/>
    </row>
    <row r="23" spans="2:40">
      <c r="B23" s="86">
        <f>MAX(B$13:B22)+1</f>
        <v>4</v>
      </c>
      <c r="D23" s="52" t="s">
        <v>338</v>
      </c>
      <c r="E23" s="52"/>
      <c r="F23" s="86">
        <v>33</v>
      </c>
      <c r="G23" s="152"/>
      <c r="H23" s="183">
        <v>0</v>
      </c>
      <c r="I23" s="183">
        <v>0</v>
      </c>
      <c r="K23" s="183">
        <v>0</v>
      </c>
      <c r="L23" s="183">
        <v>0</v>
      </c>
      <c r="N23" s="184">
        <v>0</v>
      </c>
      <c r="O23" s="184">
        <v>0</v>
      </c>
      <c r="P23" s="185"/>
      <c r="Q23" s="186">
        <f t="shared" ref="Q23:Q29" si="5">O23+U23</f>
        <v>0</v>
      </c>
      <c r="R23" s="184"/>
      <c r="S23" s="186">
        <f t="shared" si="0"/>
        <v>0</v>
      </c>
      <c r="T23" s="184"/>
      <c r="U23" s="184">
        <f t="shared" si="1"/>
        <v>0</v>
      </c>
      <c r="V23" s="185">
        <f>$V$53</f>
        <v>4.8167270076774529E-2</v>
      </c>
      <c r="W23" s="184">
        <f t="shared" si="2"/>
        <v>0</v>
      </c>
      <c r="X23" s="187">
        <v>0</v>
      </c>
      <c r="Y23" s="184">
        <f t="shared" si="3"/>
        <v>0</v>
      </c>
      <c r="Z23" s="187">
        <f>V23+X23</f>
        <v>4.8167270076774529E-2</v>
      </c>
      <c r="AA23" s="185"/>
      <c r="AB23" s="188">
        <v>0</v>
      </c>
      <c r="AC23" s="185"/>
      <c r="AD23" s="189">
        <f>AD24</f>
        <v>7.4479499141133108</v>
      </c>
      <c r="AE23" s="185"/>
      <c r="AF23" s="190">
        <f>AF24</f>
        <v>0.32617719073091378</v>
      </c>
      <c r="AG23" s="185"/>
      <c r="AH23" s="184"/>
      <c r="AI23" s="192"/>
      <c r="AJ23" s="160"/>
      <c r="AK23" s="1821">
        <f t="shared" si="4"/>
        <v>0</v>
      </c>
      <c r="AL23" s="14"/>
    </row>
    <row r="24" spans="2:40">
      <c r="B24" s="86">
        <f>MAX(B$13:B23)+1</f>
        <v>5</v>
      </c>
      <c r="D24" s="154" t="s">
        <v>339</v>
      </c>
      <c r="F24" s="152">
        <v>36</v>
      </c>
      <c r="G24" s="152"/>
      <c r="H24" s="183">
        <v>1058.6666666666667</v>
      </c>
      <c r="I24" s="183">
        <v>1044.4944444444445</v>
      </c>
      <c r="K24" s="183">
        <v>901191.51506367233</v>
      </c>
      <c r="L24" s="183">
        <v>860704.39038612752</v>
      </c>
      <c r="N24" s="204">
        <v>49005.26783999426</v>
      </c>
      <c r="O24" s="204">
        <v>61297.41050347397</v>
      </c>
      <c r="P24" s="185"/>
      <c r="Q24" s="186">
        <f t="shared" si="5"/>
        <v>64104.831904533079</v>
      </c>
      <c r="R24" s="184"/>
      <c r="S24" s="186">
        <f t="shared" si="0"/>
        <v>64508.50226362417</v>
      </c>
      <c r="T24" s="184"/>
      <c r="U24" s="184">
        <f t="shared" si="1"/>
        <v>2807.4214010591077</v>
      </c>
      <c r="V24" s="185">
        <f>$V$60</f>
        <v>4.58E-2</v>
      </c>
      <c r="W24" s="184">
        <f t="shared" si="2"/>
        <v>403.67035909109376</v>
      </c>
      <c r="X24" s="187">
        <f t="shared" ref="X24:X29" si="6">W24/O24</f>
        <v>6.5854390222278014E-3</v>
      </c>
      <c r="Y24" s="184">
        <f t="shared" si="3"/>
        <v>3211.0917601502015</v>
      </c>
      <c r="Z24" s="187">
        <f t="shared" ref="Z24:Z29" si="7">Y24/O24</f>
        <v>5.2385439022227802E-2</v>
      </c>
      <c r="AA24" s="185"/>
      <c r="AB24" s="188">
        <f t="shared" ref="AB24:AB29" si="8">ROUND((((O24/$O$44)*$W$53)/L24)*100,4)</f>
        <v>4.6899999999999997E-2</v>
      </c>
      <c r="AC24" s="185"/>
      <c r="AD24" s="189">
        <f t="shared" ref="AD24:AD29" si="9">Q24/L24*100</f>
        <v>7.4479499141133108</v>
      </c>
      <c r="AE24" s="185"/>
      <c r="AF24" s="190">
        <f t="shared" ref="AF24:AF29" si="10">(U24/L24)*100</f>
        <v>0.32617719073091378</v>
      </c>
      <c r="AG24" s="185"/>
      <c r="AH24" s="184"/>
      <c r="AI24" s="192"/>
      <c r="AJ24" s="160"/>
      <c r="AK24" s="1821">
        <f t="shared" si="4"/>
        <v>2807421.4010591079</v>
      </c>
      <c r="AL24" s="14"/>
    </row>
    <row r="25" spans="2:40">
      <c r="B25" s="86">
        <f>MAX(B$13:B24)+1</f>
        <v>6</v>
      </c>
      <c r="D25" s="154" t="s">
        <v>198</v>
      </c>
      <c r="F25" s="152" t="s">
        <v>340</v>
      </c>
      <c r="G25" s="152"/>
      <c r="H25" s="183">
        <v>5259</v>
      </c>
      <c r="I25" s="183">
        <v>5260</v>
      </c>
      <c r="K25" s="183">
        <v>168033.04399999999</v>
      </c>
      <c r="L25" s="183">
        <v>153555.06536433662</v>
      </c>
      <c r="N25" s="204">
        <v>10140.337</v>
      </c>
      <c r="O25" s="204">
        <v>12299.348</v>
      </c>
      <c r="P25" s="185"/>
      <c r="Q25" s="186">
        <f t="shared" si="5"/>
        <v>12595.7622868</v>
      </c>
      <c r="R25" s="184"/>
      <c r="S25" s="186">
        <f t="shared" si="0"/>
        <v>12676.83936131237</v>
      </c>
      <c r="T25" s="184"/>
      <c r="U25" s="184">
        <f t="shared" si="1"/>
        <v>296.41428680000001</v>
      </c>
      <c r="V25" s="185">
        <f>V56</f>
        <v>2.41E-2</v>
      </c>
      <c r="W25" s="184">
        <f t="shared" si="2"/>
        <v>81.077074512369748</v>
      </c>
      <c r="X25" s="187">
        <f t="shared" si="6"/>
        <v>6.5919815027893954E-3</v>
      </c>
      <c r="Y25" s="184">
        <f t="shared" si="3"/>
        <v>377.49136131236975</v>
      </c>
      <c r="Z25" s="187">
        <f t="shared" si="7"/>
        <v>3.0691981502789397E-2</v>
      </c>
      <c r="AA25" s="185"/>
      <c r="AB25" s="188">
        <f t="shared" si="8"/>
        <v>5.28E-2</v>
      </c>
      <c r="AC25" s="185"/>
      <c r="AD25" s="189">
        <f t="shared" si="9"/>
        <v>8.2027657354801811</v>
      </c>
      <c r="AE25" s="185"/>
      <c r="AF25" s="190">
        <f t="shared" si="10"/>
        <v>0.19303452223910983</v>
      </c>
      <c r="AG25" s="185"/>
      <c r="AH25" s="184"/>
      <c r="AI25" s="192"/>
      <c r="AJ25" s="160"/>
      <c r="AK25" s="1821">
        <f t="shared" si="4"/>
        <v>296414.2868</v>
      </c>
    </row>
    <row r="26" spans="2:40">
      <c r="B26" s="86">
        <f>MAX(B$13:B25)+1</f>
        <v>7</v>
      </c>
      <c r="D26" s="154" t="s">
        <v>341</v>
      </c>
      <c r="F26" s="152">
        <v>47</v>
      </c>
      <c r="G26" s="152"/>
      <c r="H26" s="183">
        <v>1.0833333333333333</v>
      </c>
      <c r="I26" s="183">
        <v>1</v>
      </c>
      <c r="K26" s="183">
        <v>1616.6904507017675</v>
      </c>
      <c r="L26" s="183">
        <v>1734.4743654971489</v>
      </c>
      <c r="N26" s="204">
        <v>165.62561725051643</v>
      </c>
      <c r="O26" s="204">
        <v>290.56051169386154</v>
      </c>
      <c r="P26" s="185"/>
      <c r="Q26" s="186">
        <f t="shared" si="5"/>
        <v>308.13942265134017</v>
      </c>
      <c r="R26" s="184"/>
      <c r="S26" s="186">
        <f t="shared" si="0"/>
        <v>310.05428235084901</v>
      </c>
      <c r="T26" s="184"/>
      <c r="U26" s="184">
        <f t="shared" si="1"/>
        <v>17.578910957478623</v>
      </c>
      <c r="V26" s="185">
        <f>V28</f>
        <v>6.0500000000000005E-2</v>
      </c>
      <c r="W26" s="184">
        <f t="shared" si="2"/>
        <v>1.9148596995088523</v>
      </c>
      <c r="X26" s="187">
        <f t="shared" si="6"/>
        <v>6.5902268974745411E-3</v>
      </c>
      <c r="Y26" s="184">
        <f t="shared" si="3"/>
        <v>19.493770656987476</v>
      </c>
      <c r="Z26" s="187">
        <f t="shared" si="7"/>
        <v>6.7090226897474542E-2</v>
      </c>
      <c r="AA26" s="185"/>
      <c r="AB26" s="188">
        <f t="shared" si="8"/>
        <v>0.1104</v>
      </c>
      <c r="AC26" s="185"/>
      <c r="AD26" s="189">
        <f t="shared" si="9"/>
        <v>17.765579519707618</v>
      </c>
      <c r="AE26" s="185"/>
      <c r="AF26" s="190">
        <f t="shared" si="10"/>
        <v>1.0135007646792182</v>
      </c>
      <c r="AG26" s="185"/>
      <c r="AH26" s="184"/>
      <c r="AI26" s="192"/>
      <c r="AJ26" s="160"/>
      <c r="AK26" s="1821">
        <f t="shared" si="4"/>
        <v>17578.910957478623</v>
      </c>
    </row>
    <row r="27" spans="2:40">
      <c r="B27" s="86">
        <f>MAX(B$13:B25)+1</f>
        <v>7</v>
      </c>
      <c r="D27" s="154" t="s">
        <v>342</v>
      </c>
      <c r="F27" s="152">
        <v>48</v>
      </c>
      <c r="G27" s="152"/>
      <c r="H27" s="183">
        <v>63.666666666666671</v>
      </c>
      <c r="I27" s="183">
        <f>'Pages 4-11, All Other Schedules'!B912/12</f>
        <v>57.916666666666664</v>
      </c>
      <c r="K27" s="183">
        <v>856497.09877425549</v>
      </c>
      <c r="L27" s="183">
        <f ca="1">'Pages 4-11, All Other Schedules'!B922/1000</f>
        <v>358354.76980720815</v>
      </c>
      <c r="N27" s="204">
        <v>38996.209349631463</v>
      </c>
      <c r="O27" s="204">
        <f ca="1">'Pages 4-11, All Other Schedules'!H922/1000</f>
        <v>23069.501570523298</v>
      </c>
      <c r="P27" s="185"/>
      <c r="Q27" s="186">
        <f t="shared" ca="1" si="5"/>
        <v>24347.55195753029</v>
      </c>
      <c r="R27" s="184"/>
      <c r="S27" s="186">
        <f t="shared" ca="1" si="0"/>
        <v>24499.494379928547</v>
      </c>
      <c r="T27" s="184"/>
      <c r="U27" s="184">
        <f t="shared" ca="1" si="1"/>
        <v>1278.0503870069908</v>
      </c>
      <c r="V27" s="185">
        <f>V54</f>
        <v>5.5400000000000005E-2</v>
      </c>
      <c r="W27" s="184">
        <f t="shared" ca="1" si="2"/>
        <v>151.94242239825627</v>
      </c>
      <c r="X27" s="187">
        <f t="shared" ca="1" si="6"/>
        <v>6.5862897789000507E-3</v>
      </c>
      <c r="Y27" s="184">
        <f t="shared" ca="1" si="3"/>
        <v>1429.992809405247</v>
      </c>
      <c r="Z27" s="187">
        <f t="shared" ca="1" si="7"/>
        <v>6.1986289778900056E-2</v>
      </c>
      <c r="AA27" s="185"/>
      <c r="AB27" s="188">
        <f t="shared" ca="1" si="8"/>
        <v>4.24E-2</v>
      </c>
      <c r="AC27" s="185"/>
      <c r="AD27" s="189">
        <f t="shared" ca="1" si="9"/>
        <v>6.7942592115151887</v>
      </c>
      <c r="AE27" s="185"/>
      <c r="AF27" s="190">
        <f t="shared" ca="1" si="10"/>
        <v>0.35664388887430498</v>
      </c>
      <c r="AG27" s="185"/>
      <c r="AH27" s="184"/>
      <c r="AI27" s="192"/>
      <c r="AJ27" s="160"/>
      <c r="AK27" s="1821">
        <f t="shared" ca="1" si="4"/>
        <v>1278050.3870069908</v>
      </c>
      <c r="AN27" s="1821">
        <f ca="1">AK27+AK28</f>
        <v>2794073.5673579751</v>
      </c>
    </row>
    <row r="28" spans="2:40">
      <c r="B28" s="86">
        <f>MAX(B$13:B26)+1</f>
        <v>8</v>
      </c>
      <c r="D28" s="154" t="s">
        <v>677</v>
      </c>
      <c r="F28" s="182" t="s">
        <v>678</v>
      </c>
      <c r="G28" s="152"/>
      <c r="H28" s="183">
        <v>63.666666666666671</v>
      </c>
      <c r="I28" s="183">
        <f>'Pages 4-11, All Other Schedules'!B1080/12</f>
        <v>1</v>
      </c>
      <c r="K28" s="183">
        <v>856497.09877425549</v>
      </c>
      <c r="L28" s="183">
        <f ca="1">'Pages 4-11, All Other Schedules'!B1091/1000</f>
        <v>473928.1405675243</v>
      </c>
      <c r="N28" s="204">
        <v>38996.209349631463</v>
      </c>
      <c r="O28" s="204">
        <f ca="1">'Pages 4-11, All Other Schedules'!H1091/1000</f>
        <v>25058.23438596668</v>
      </c>
      <c r="P28" s="185"/>
      <c r="Q28" s="186">
        <f ca="1">O28+U28</f>
        <v>26574.257566317665</v>
      </c>
      <c r="R28" s="184"/>
      <c r="S28" s="186">
        <f t="shared" ca="1" si="0"/>
        <v>26739.184559235164</v>
      </c>
      <c r="T28" s="184"/>
      <c r="U28" s="184">
        <f ca="1">O28*V28</f>
        <v>1516.0231803509841</v>
      </c>
      <c r="V28" s="185">
        <f>V59</f>
        <v>6.0500000000000005E-2</v>
      </c>
      <c r="W28" s="184">
        <f t="shared" ca="1" si="2"/>
        <v>164.92699291749847</v>
      </c>
      <c r="X28" s="187">
        <f t="shared" ca="1" si="6"/>
        <v>6.5817483537412456E-3</v>
      </c>
      <c r="Y28" s="184">
        <f t="shared" ca="1" si="3"/>
        <v>1680.9501732684826</v>
      </c>
      <c r="Z28" s="187">
        <f t="shared" ca="1" si="7"/>
        <v>6.7081748353741241E-2</v>
      </c>
      <c r="AA28" s="185"/>
      <c r="AB28" s="188">
        <f t="shared" ca="1" si="8"/>
        <v>3.4799999999999998E-2</v>
      </c>
      <c r="AC28" s="185"/>
      <c r="AD28" s="189">
        <f t="shared" ca="1" si="9"/>
        <v>5.607233521625294</v>
      </c>
      <c r="AE28" s="185"/>
      <c r="AF28" s="190">
        <f t="shared" ca="1" si="10"/>
        <v>0.31988460920163153</v>
      </c>
      <c r="AG28" s="185"/>
      <c r="AH28" s="184"/>
      <c r="AI28" s="192"/>
      <c r="AJ28" s="160"/>
      <c r="AK28" s="1821">
        <f t="shared" ca="1" si="4"/>
        <v>1516023.1803509842</v>
      </c>
      <c r="AL28" s="1821">
        <f ca="1">AK28+AK26-AK49</f>
        <v>1691707.3899115971</v>
      </c>
    </row>
    <row r="29" spans="2:40">
      <c r="B29" s="86">
        <f>MAX(B$13:B28)+1</f>
        <v>9</v>
      </c>
      <c r="D29" s="154" t="s">
        <v>194</v>
      </c>
      <c r="F29" s="152" t="s">
        <v>195</v>
      </c>
      <c r="G29" s="152"/>
      <c r="H29" s="183">
        <v>28</v>
      </c>
      <c r="I29" s="183">
        <v>29.083333333333332</v>
      </c>
      <c r="K29" s="183">
        <v>233.86177246899351</v>
      </c>
      <c r="L29" s="183">
        <v>282.5157422079173</v>
      </c>
      <c r="N29" s="204">
        <v>18.659249899021408</v>
      </c>
      <c r="O29" s="204">
        <v>24.725619439992212</v>
      </c>
      <c r="P29" s="185"/>
      <c r="Q29" s="186">
        <f t="shared" si="5"/>
        <v>24.725619439992212</v>
      </c>
      <c r="R29" s="184"/>
      <c r="S29" s="186">
        <f t="shared" si="0"/>
        <v>24.88863102324618</v>
      </c>
      <c r="T29" s="184"/>
      <c r="U29" s="184">
        <f t="shared" si="1"/>
        <v>0</v>
      </c>
      <c r="V29" s="185">
        <f>$V$51</f>
        <v>0</v>
      </c>
      <c r="W29" s="184">
        <f t="shared" si="2"/>
        <v>0.16301158325396831</v>
      </c>
      <c r="X29" s="187">
        <f t="shared" si="6"/>
        <v>6.5928210069555147E-3</v>
      </c>
      <c r="Y29" s="184">
        <f t="shared" si="3"/>
        <v>0.16301158325396831</v>
      </c>
      <c r="Z29" s="187">
        <f t="shared" si="7"/>
        <v>6.5928210069555147E-3</v>
      </c>
      <c r="AA29" s="185"/>
      <c r="AB29" s="188">
        <f t="shared" si="8"/>
        <v>5.7700000000000001E-2</v>
      </c>
      <c r="AC29" s="185"/>
      <c r="AD29" s="189">
        <f t="shared" si="9"/>
        <v>8.7519439613369965</v>
      </c>
      <c r="AE29" s="185"/>
      <c r="AF29" s="190">
        <f t="shared" si="10"/>
        <v>0</v>
      </c>
      <c r="AG29" s="185"/>
      <c r="AH29" s="184"/>
      <c r="AI29" s="192"/>
      <c r="AJ29" s="160"/>
    </row>
    <row r="30" spans="2:40">
      <c r="B30" s="169"/>
      <c r="F30" s="152"/>
      <c r="G30" s="152"/>
      <c r="H30" s="194"/>
      <c r="I30" s="194"/>
      <c r="K30" s="194"/>
      <c r="L30" s="194"/>
      <c r="N30" s="194"/>
      <c r="O30" s="194"/>
      <c r="P30" s="160"/>
      <c r="Q30" s="195"/>
      <c r="R30" s="160"/>
      <c r="S30" s="195"/>
      <c r="T30" s="160"/>
      <c r="U30" s="194"/>
      <c r="V30" s="1352"/>
      <c r="W30" s="194"/>
      <c r="X30" s="197"/>
      <c r="Y30" s="194"/>
      <c r="Z30" s="197"/>
      <c r="AA30" s="160"/>
      <c r="AB30" s="198"/>
      <c r="AC30" s="160"/>
      <c r="AD30" s="195"/>
      <c r="AE30" s="160"/>
      <c r="AF30" s="199"/>
      <c r="AG30" s="160"/>
      <c r="AH30" s="184"/>
      <c r="AI30" s="160"/>
      <c r="AJ30" s="160"/>
    </row>
    <row r="31" spans="2:40">
      <c r="B31" s="169"/>
      <c r="V31" s="1351"/>
      <c r="X31" s="200"/>
      <c r="Z31" s="200"/>
      <c r="AB31" s="201"/>
      <c r="AF31" s="202"/>
      <c r="AH31" s="184"/>
      <c r="AI31" s="160"/>
      <c r="AJ31" s="160"/>
    </row>
    <row r="32" spans="2:40">
      <c r="B32" s="86">
        <f>MAX(B$13:B31)+1</f>
        <v>10</v>
      </c>
      <c r="D32" s="181" t="s">
        <v>343</v>
      </c>
      <c r="H32" s="203">
        <f>SUM(H22:H29)</f>
        <v>23780.5</v>
      </c>
      <c r="I32" s="203">
        <v>25040.286111110505</v>
      </c>
      <c r="K32" s="203">
        <f>SUM(K22:K29)</f>
        <v>3297111.0499705928</v>
      </c>
      <c r="L32" s="203">
        <v>2385955.1477159401</v>
      </c>
      <c r="M32" s="203"/>
      <c r="N32" s="184">
        <f>SUM(N22:N29)</f>
        <v>170969.95465759834</v>
      </c>
      <c r="O32" s="184">
        <v>167301.11792156796</v>
      </c>
      <c r="P32" s="185"/>
      <c r="Q32" s="186">
        <f ca="1">SUM(Q22:Q29)</f>
        <v>174307.40431740685</v>
      </c>
      <c r="R32" s="204"/>
      <c r="S32" s="186">
        <f ca="1">SUM(S22:S29)</f>
        <v>175409.35370188192</v>
      </c>
      <c r="T32" s="204"/>
      <c r="U32" s="184">
        <f ca="1">SUM(U22:U29)</f>
        <v>7006.2863958388925</v>
      </c>
      <c r="V32" s="185">
        <f ca="1">U32/O32</f>
        <v>4.1878299935350659E-2</v>
      </c>
      <c r="W32" s="184">
        <f ca="1">SUM(W22:W29)</f>
        <v>1101.9493844750675</v>
      </c>
      <c r="X32" s="187">
        <f ca="1">W32/O32</f>
        <v>6.5866229596365867E-3</v>
      </c>
      <c r="Y32" s="184">
        <f ca="1">U32+W32</f>
        <v>8108.2357803139603</v>
      </c>
      <c r="Z32" s="187"/>
      <c r="AA32" s="185"/>
      <c r="AB32" s="188"/>
      <c r="AC32" s="185"/>
      <c r="AD32" s="189">
        <f ca="1">Q32/L32*100</f>
        <v>7.3055608142621731</v>
      </c>
      <c r="AE32" s="185"/>
      <c r="AF32" s="190">
        <f ca="1">(U32/L32)*100</f>
        <v>0.29364702863530218</v>
      </c>
      <c r="AG32" s="185"/>
      <c r="AH32" s="184"/>
      <c r="AI32" s="192"/>
      <c r="AJ32" s="160"/>
    </row>
    <row r="33" spans="2:38">
      <c r="B33" s="169"/>
      <c r="V33" s="1351"/>
      <c r="X33" s="200"/>
      <c r="Z33" s="200"/>
      <c r="AB33" s="201"/>
      <c r="AF33" s="202"/>
      <c r="AH33" s="184"/>
      <c r="AI33" s="160"/>
      <c r="AJ33" s="160"/>
      <c r="AK33" s="155" t="s">
        <v>31</v>
      </c>
    </row>
    <row r="34" spans="2:38">
      <c r="B34" s="169"/>
      <c r="D34" s="181" t="s">
        <v>196</v>
      </c>
      <c r="V34" s="1351"/>
      <c r="X34" s="200"/>
      <c r="Z34" s="200"/>
      <c r="AB34" s="201"/>
      <c r="AF34" s="202"/>
      <c r="AH34" s="184"/>
      <c r="AI34" s="160"/>
      <c r="AJ34" s="160"/>
    </row>
    <row r="35" spans="2:38">
      <c r="B35" s="86">
        <f>MAX(B$13:B34)+1</f>
        <v>11</v>
      </c>
      <c r="D35" s="154" t="s">
        <v>192</v>
      </c>
      <c r="F35" s="152" t="s">
        <v>193</v>
      </c>
      <c r="G35" s="152"/>
      <c r="H35" s="183">
        <v>2828</v>
      </c>
      <c r="I35" s="183">
        <v>2599.1666666666665</v>
      </c>
      <c r="K35" s="183">
        <v>3735.0893644456642</v>
      </c>
      <c r="L35" s="183">
        <v>3451.7298579341259</v>
      </c>
      <c r="N35" s="204">
        <v>473.92026673033644</v>
      </c>
      <c r="O35" s="204">
        <v>483.78807449751014</v>
      </c>
      <c r="P35" s="185"/>
      <c r="Q35" s="186">
        <f>O35+U35</f>
        <v>483.78807449751014</v>
      </c>
      <c r="R35" s="184"/>
      <c r="S35" s="186">
        <f>Q35+W35</f>
        <v>486.97747288624129</v>
      </c>
      <c r="T35" s="184"/>
      <c r="U35" s="184">
        <f>O35*V35</f>
        <v>0</v>
      </c>
      <c r="V35" s="185">
        <f>$V$51</f>
        <v>0</v>
      </c>
      <c r="W35" s="184">
        <f>(AB35/100)*L35</f>
        <v>3.1893983887311319</v>
      </c>
      <c r="X35" s="187">
        <f>W35/O35</f>
        <v>6.5925527247520993E-3</v>
      </c>
      <c r="Y35" s="184">
        <f>U35+W35</f>
        <v>3.1893983887311319</v>
      </c>
      <c r="Z35" s="187">
        <f>Y35/O35</f>
        <v>6.5925527247520993E-3</v>
      </c>
      <c r="AA35" s="185"/>
      <c r="AB35" s="188">
        <f>ROUND((((O35/$O$44)*$W$53)/L35)*100,4)</f>
        <v>9.2399999999999996E-2</v>
      </c>
      <c r="AC35" s="185"/>
      <c r="AD35" s="189">
        <f>Q35/L35*100</f>
        <v>14.015815095885262</v>
      </c>
      <c r="AE35" s="185"/>
      <c r="AF35" s="190">
        <f>(U35/L35)*100</f>
        <v>0</v>
      </c>
      <c r="AG35" s="185"/>
      <c r="AH35" s="184"/>
      <c r="AI35" s="192"/>
      <c r="AJ35" s="160"/>
    </row>
    <row r="36" spans="2:38">
      <c r="B36" s="86">
        <f>MAX(B$13:B35)+1</f>
        <v>12</v>
      </c>
      <c r="D36" s="154" t="s">
        <v>344</v>
      </c>
      <c r="F36" s="152" t="s">
        <v>345</v>
      </c>
      <c r="G36" s="152"/>
      <c r="H36" s="183">
        <v>178</v>
      </c>
      <c r="I36" s="183">
        <v>163</v>
      </c>
      <c r="K36" s="183">
        <v>2902.2385934150548</v>
      </c>
      <c r="L36" s="183">
        <v>3040.1869812590103</v>
      </c>
      <c r="N36" s="204">
        <v>522.31224201957195</v>
      </c>
      <c r="O36" s="204">
        <v>600.44497901647196</v>
      </c>
      <c r="P36" s="185"/>
      <c r="Q36" s="186">
        <f>O36+U36</f>
        <v>600.44497901647196</v>
      </c>
      <c r="R36" s="184"/>
      <c r="S36" s="186">
        <f>Q36+W36</f>
        <v>604.40026227908993</v>
      </c>
      <c r="T36" s="184"/>
      <c r="U36" s="184">
        <f>O36*V36</f>
        <v>0</v>
      </c>
      <c r="V36" s="185">
        <f t="shared" ref="V36:V39" si="11">$V$51</f>
        <v>0</v>
      </c>
      <c r="W36" s="184">
        <f>(AB36/100)*L36</f>
        <v>3.9552832626179719</v>
      </c>
      <c r="X36" s="187">
        <f>W36/O36</f>
        <v>6.587253455090457E-3</v>
      </c>
      <c r="Y36" s="184">
        <f>U36+W36</f>
        <v>3.9552832626179719</v>
      </c>
      <c r="Z36" s="187">
        <f>Y36/O36</f>
        <v>6.587253455090457E-3</v>
      </c>
      <c r="AA36" s="185"/>
      <c r="AB36" s="188">
        <f>ROUND((((O36/$O$44)*$W$53)/L36)*100,4)</f>
        <v>0.13009999999999999</v>
      </c>
      <c r="AC36" s="185"/>
      <c r="AD36" s="189">
        <f>Q36/L36*100</f>
        <v>19.750264793509974</v>
      </c>
      <c r="AE36" s="185"/>
      <c r="AF36" s="190">
        <f>(U36/L36)*100</f>
        <v>0</v>
      </c>
      <c r="AG36" s="185"/>
      <c r="AH36" s="184"/>
      <c r="AI36" s="192"/>
      <c r="AJ36" s="223"/>
    </row>
    <row r="37" spans="2:38">
      <c r="B37" s="86">
        <f>MAX(B$13:B36)+1</f>
        <v>13</v>
      </c>
      <c r="D37" s="154" t="s">
        <v>344</v>
      </c>
      <c r="F37" s="152">
        <v>52</v>
      </c>
      <c r="G37" s="152"/>
      <c r="H37" s="183">
        <v>30</v>
      </c>
      <c r="I37" s="183">
        <v>18</v>
      </c>
      <c r="K37" s="183">
        <v>466.2387672357238</v>
      </c>
      <c r="L37" s="183">
        <v>286.69872495359812</v>
      </c>
      <c r="N37" s="204">
        <v>60.670270195709442</v>
      </c>
      <c r="O37" s="204">
        <v>46.625268810114008</v>
      </c>
      <c r="P37" s="185"/>
      <c r="Q37" s="186">
        <f>O37+U37</f>
        <v>46.625268810114008</v>
      </c>
      <c r="R37" s="184"/>
      <c r="S37" s="186">
        <f>Q37+W37</f>
        <v>46.932609843264267</v>
      </c>
      <c r="T37" s="184"/>
      <c r="U37" s="184">
        <f>O37*V37</f>
        <v>0</v>
      </c>
      <c r="V37" s="185">
        <f t="shared" si="11"/>
        <v>0</v>
      </c>
      <c r="W37" s="184">
        <f>(AB37/100)*L37</f>
        <v>0.30734103315025718</v>
      </c>
      <c r="X37" s="187">
        <f>W37/O37</f>
        <v>6.5917267823577333E-3</v>
      </c>
      <c r="Y37" s="184">
        <f>U37+W37</f>
        <v>0.30734103315025718</v>
      </c>
      <c r="Z37" s="187">
        <f>Y37/O37</f>
        <v>6.5917267823577333E-3</v>
      </c>
      <c r="AA37" s="185"/>
      <c r="AB37" s="188">
        <f>ROUND((((O37/$O$44)*$W$53)/L37)*100,4)</f>
        <v>0.1072</v>
      </c>
      <c r="AC37" s="185"/>
      <c r="AD37" s="189">
        <f>Q37/L37*100</f>
        <v>16.262809964592712</v>
      </c>
      <c r="AE37" s="185"/>
      <c r="AF37" s="190">
        <f>(U37/L37)*100</f>
        <v>0</v>
      </c>
      <c r="AG37" s="185"/>
      <c r="AH37" s="184"/>
      <c r="AI37" s="192"/>
      <c r="AJ37" s="160"/>
    </row>
    <row r="38" spans="2:38">
      <c r="B38" s="86">
        <f>MAX(B$13:B37)+1</f>
        <v>14</v>
      </c>
      <c r="D38" s="154" t="s">
        <v>344</v>
      </c>
      <c r="F38" s="152">
        <v>53</v>
      </c>
      <c r="G38" s="152"/>
      <c r="H38" s="183">
        <v>272.33333333333337</v>
      </c>
      <c r="I38" s="183">
        <v>220</v>
      </c>
      <c r="K38" s="183">
        <v>4499.9316487570059</v>
      </c>
      <c r="L38" s="183">
        <v>4281.2354932644366</v>
      </c>
      <c r="N38" s="183">
        <v>278.83306975907675</v>
      </c>
      <c r="O38" s="183">
        <v>296.22757767019584</v>
      </c>
      <c r="P38" s="185"/>
      <c r="Q38" s="186">
        <f>O38+U38</f>
        <v>296.22757767019584</v>
      </c>
      <c r="R38" s="184"/>
      <c r="S38" s="186">
        <f>Q38+W38</f>
        <v>298.17982105512442</v>
      </c>
      <c r="T38" s="184"/>
      <c r="U38" s="184">
        <f>O38*V38</f>
        <v>0</v>
      </c>
      <c r="V38" s="185">
        <f t="shared" si="11"/>
        <v>0</v>
      </c>
      <c r="W38" s="184">
        <f>(AB38/100)*L38</f>
        <v>1.9522433849285832</v>
      </c>
      <c r="X38" s="187">
        <f>W38/O38</f>
        <v>6.590349893425885E-3</v>
      </c>
      <c r="Y38" s="184">
        <f>U38+W38</f>
        <v>1.9522433849285832</v>
      </c>
      <c r="Z38" s="187">
        <f>Y38/O38</f>
        <v>6.590349893425885E-3</v>
      </c>
      <c r="AA38" s="185"/>
      <c r="AB38" s="188">
        <f>ROUND((((O38/$O$44)*$W$53)/L38)*100,4)</f>
        <v>4.5600000000000002E-2</v>
      </c>
      <c r="AC38" s="185"/>
      <c r="AD38" s="189">
        <f>Q38/L38*100</f>
        <v>6.9192077412289859</v>
      </c>
      <c r="AE38" s="185"/>
      <c r="AF38" s="190">
        <f>(U38/L38)*100</f>
        <v>0</v>
      </c>
      <c r="AG38" s="185"/>
      <c r="AH38" s="184"/>
      <c r="AI38" s="192"/>
      <c r="AJ38" s="160"/>
    </row>
    <row r="39" spans="2:38">
      <c r="B39" s="86">
        <f>MAX(B$13:B38)+1</f>
        <v>15</v>
      </c>
      <c r="D39" s="154" t="s">
        <v>344</v>
      </c>
      <c r="F39" s="152">
        <v>57</v>
      </c>
      <c r="G39" s="152"/>
      <c r="H39" s="183">
        <v>50.666666666666664</v>
      </c>
      <c r="I39" s="183">
        <v>41.083333333333336</v>
      </c>
      <c r="K39" s="183">
        <v>2174.0459905922153</v>
      </c>
      <c r="L39" s="183">
        <v>1789.527800522955</v>
      </c>
      <c r="N39" s="183">
        <v>235.8029580256418</v>
      </c>
      <c r="O39" s="183">
        <v>218.66521450321807</v>
      </c>
      <c r="P39" s="185"/>
      <c r="Q39" s="186">
        <f>O39+U39</f>
        <v>218.66521450321807</v>
      </c>
      <c r="R39" s="184"/>
      <c r="S39" s="186">
        <f>Q39+W39</f>
        <v>220.10578438263906</v>
      </c>
      <c r="T39" s="184"/>
      <c r="U39" s="184">
        <f>O39*V39</f>
        <v>0</v>
      </c>
      <c r="V39" s="185">
        <f t="shared" si="11"/>
        <v>0</v>
      </c>
      <c r="W39" s="184">
        <f>(AB39/100)*L39</f>
        <v>1.4405698794209789</v>
      </c>
      <c r="X39" s="187">
        <f>W39/O39</f>
        <v>6.5880157605030416E-3</v>
      </c>
      <c r="Y39" s="184">
        <f>U39+W39</f>
        <v>1.4405698794209789</v>
      </c>
      <c r="Z39" s="187">
        <f>Y39/O39</f>
        <v>6.5880157605030416E-3</v>
      </c>
      <c r="AA39" s="185"/>
      <c r="AB39" s="188">
        <f>ROUND((((O39/$O$44)*$W$53)/L39)*100,4)</f>
        <v>8.0500000000000002E-2</v>
      </c>
      <c r="AC39" s="185"/>
      <c r="AD39" s="189">
        <f>Q39/L39*100</f>
        <v>12.219157167567744</v>
      </c>
      <c r="AE39" s="185"/>
      <c r="AF39" s="190">
        <f>(U39/L39)*100</f>
        <v>0</v>
      </c>
      <c r="AG39" s="185"/>
      <c r="AH39" s="184"/>
      <c r="AI39" s="192"/>
      <c r="AJ39" s="160"/>
    </row>
    <row r="40" spans="2:38">
      <c r="B40" s="169"/>
      <c r="H40" s="194"/>
      <c r="I40" s="194"/>
      <c r="K40" s="194"/>
      <c r="L40" s="194"/>
      <c r="N40" s="194"/>
      <c r="O40" s="194"/>
      <c r="P40" s="160"/>
      <c r="Q40" s="195"/>
      <c r="R40" s="160"/>
      <c r="S40" s="195"/>
      <c r="T40" s="160"/>
      <c r="U40" s="194"/>
      <c r="V40" s="1352"/>
      <c r="W40" s="194"/>
      <c r="X40" s="197"/>
      <c r="Y40" s="194"/>
      <c r="Z40" s="197"/>
      <c r="AA40" s="160"/>
      <c r="AB40" s="198"/>
      <c r="AC40" s="160"/>
      <c r="AD40" s="195"/>
      <c r="AE40" s="160"/>
      <c r="AF40" s="199"/>
      <c r="AG40" s="160"/>
      <c r="AH40" s="184"/>
      <c r="AI40" s="160"/>
      <c r="AJ40" s="160"/>
    </row>
    <row r="41" spans="2:38">
      <c r="B41" s="169"/>
      <c r="V41" s="1351"/>
      <c r="X41" s="200"/>
      <c r="Z41" s="200"/>
      <c r="AB41" s="201"/>
      <c r="AF41" s="202"/>
      <c r="AH41" s="184"/>
      <c r="AI41" s="160"/>
      <c r="AJ41" s="160"/>
    </row>
    <row r="42" spans="2:38">
      <c r="B42" s="86">
        <f>MAX(B$13:B41)+1</f>
        <v>16</v>
      </c>
      <c r="D42" s="181" t="s">
        <v>346</v>
      </c>
      <c r="H42" s="208">
        <f>SUM(H35:H39)</f>
        <v>3359</v>
      </c>
      <c r="I42" s="208">
        <v>3041.25</v>
      </c>
      <c r="K42" s="208">
        <f>SUM(K35:K39)</f>
        <v>13777.544364445665</v>
      </c>
      <c r="L42" s="208">
        <v>12849.378857934127</v>
      </c>
      <c r="M42" s="203"/>
      <c r="N42" s="209">
        <f>SUM(N35:N39)</f>
        <v>1571.5388067303365</v>
      </c>
      <c r="O42" s="209">
        <v>1645.7511144975101</v>
      </c>
      <c r="P42" s="192"/>
      <c r="Q42" s="209">
        <f>SUM(Q35:Q39)</f>
        <v>1645.7511144975101</v>
      </c>
      <c r="R42" s="210"/>
      <c r="S42" s="209">
        <f>SUM(S35:S39)</f>
        <v>1656.595950446359</v>
      </c>
      <c r="T42" s="210"/>
      <c r="U42" s="209">
        <f>SUM(U35:U39)</f>
        <v>0</v>
      </c>
      <c r="V42" s="1286">
        <f>U42/O42</f>
        <v>0</v>
      </c>
      <c r="W42" s="209">
        <f>SUM(W35:W39)</f>
        <v>10.844835948848923</v>
      </c>
      <c r="X42" s="211">
        <f>W42/O42</f>
        <v>6.5895966001883145E-3</v>
      </c>
      <c r="Y42" s="209">
        <f>U42+W42</f>
        <v>10.844835948848923</v>
      </c>
      <c r="Z42" s="211">
        <f>Y42/O42</f>
        <v>6.5895966001883145E-3</v>
      </c>
      <c r="AA42" s="192"/>
      <c r="AB42" s="188"/>
      <c r="AC42" s="192"/>
      <c r="AD42" s="212">
        <f>Q42/L42*100</f>
        <v>12.808020782119794</v>
      </c>
      <c r="AE42" s="192"/>
      <c r="AF42" s="213">
        <f>(U42/L42)*100</f>
        <v>0</v>
      </c>
      <c r="AG42" s="192"/>
      <c r="AH42" s="184"/>
      <c r="AI42" s="192"/>
      <c r="AJ42" s="160"/>
    </row>
    <row r="43" spans="2:38">
      <c r="B43" s="169"/>
      <c r="D43" s="181"/>
      <c r="H43" s="215"/>
      <c r="I43" s="215"/>
      <c r="K43" s="215"/>
      <c r="L43" s="215"/>
      <c r="M43" s="203"/>
      <c r="N43" s="210"/>
      <c r="O43" s="210"/>
      <c r="P43" s="210"/>
      <c r="Q43" s="210"/>
      <c r="R43" s="210"/>
      <c r="S43" s="210"/>
      <c r="T43" s="210"/>
      <c r="U43" s="210"/>
      <c r="V43" s="217"/>
      <c r="W43" s="210"/>
      <c r="X43" s="216"/>
      <c r="Y43" s="210"/>
      <c r="Z43" s="217"/>
      <c r="AA43" s="210"/>
      <c r="AB43" s="218"/>
      <c r="AC43" s="210"/>
      <c r="AD43" s="210"/>
      <c r="AE43" s="210"/>
      <c r="AF43" s="219"/>
      <c r="AG43" s="210"/>
      <c r="AH43" s="184"/>
      <c r="AI43" s="210"/>
      <c r="AJ43" s="160"/>
    </row>
    <row r="44" spans="2:38" ht="16.5" thickBot="1">
      <c r="B44" s="86">
        <f>MAX(B$13:B43)+1</f>
        <v>17</v>
      </c>
      <c r="D44" s="220" t="s">
        <v>347</v>
      </c>
      <c r="H44" s="221">
        <f>H42+H32+H19</f>
        <v>128476.41666666667</v>
      </c>
      <c r="I44" s="221">
        <v>132378.51388888829</v>
      </c>
      <c r="K44" s="221">
        <f>K42+K32+K19</f>
        <v>4880827.1987742558</v>
      </c>
      <c r="L44" s="221">
        <v>4000612.315474519</v>
      </c>
      <c r="N44" s="222">
        <f>N42+N32+N19</f>
        <v>275214.43788963149</v>
      </c>
      <c r="O44" s="222">
        <v>303518.15613999998</v>
      </c>
      <c r="P44" s="192"/>
      <c r="Q44" s="222">
        <f ca="1">Q42+Q32+Q19</f>
        <v>317979.69184139685</v>
      </c>
      <c r="R44" s="223"/>
      <c r="S44" s="222">
        <f ca="1">S42+S32+S19</f>
        <v>319979.88757687178</v>
      </c>
      <c r="T44" s="223"/>
      <c r="U44" s="222">
        <f ca="1">U42+U32+U19</f>
        <v>14461.535701396866</v>
      </c>
      <c r="V44" s="1202">
        <f ca="1">U44/O44</f>
        <v>4.764636121051808E-2</v>
      </c>
      <c r="W44" s="222">
        <f ca="1">W42+W32+W19</f>
        <v>2000.1957354748738</v>
      </c>
      <c r="X44" s="224">
        <f ca="1">W44/O44</f>
        <v>6.5900365266856357E-3</v>
      </c>
      <c r="Y44" s="222">
        <f ca="1">U44+W44</f>
        <v>16461.731436871742</v>
      </c>
      <c r="Z44" s="224">
        <f ca="1">Y44/O44</f>
        <v>5.4236397737203727E-2</v>
      </c>
      <c r="AA44" s="192"/>
      <c r="AB44" s="225">
        <f>ROUND((((O44/$O$44)*$W$53)/L44)*100,4)</f>
        <v>0.05</v>
      </c>
      <c r="AC44" s="192"/>
      <c r="AD44" s="226">
        <f ca="1">Q44/L44*100</f>
        <v>7.9482755830011174</v>
      </c>
      <c r="AE44" s="192"/>
      <c r="AF44" s="226">
        <f ca="1">(U44/L44)*100</f>
        <v>0.36148305711750928</v>
      </c>
      <c r="AG44" s="192"/>
      <c r="AH44" s="184"/>
      <c r="AI44" s="192"/>
      <c r="AJ44" s="193" t="s">
        <v>31</v>
      </c>
    </row>
    <row r="45" spans="2:38" ht="16.5" thickTop="1">
      <c r="B45" s="1941" t="s">
        <v>31</v>
      </c>
      <c r="C45" s="1942"/>
      <c r="D45" s="1942"/>
      <c r="H45" s="227"/>
      <c r="I45" s="227"/>
      <c r="K45" s="227"/>
      <c r="L45" s="227"/>
      <c r="N45" s="223"/>
      <c r="O45" s="223"/>
      <c r="P45" s="192"/>
      <c r="Q45" s="223"/>
      <c r="R45" s="223"/>
      <c r="S45" s="223"/>
      <c r="T45" s="223"/>
      <c r="U45" s="223"/>
      <c r="V45" s="200"/>
      <c r="W45" s="223"/>
      <c r="X45" s="200"/>
      <c r="Y45" s="192"/>
      <c r="AA45" s="192"/>
      <c r="AB45" s="192"/>
      <c r="AC45" s="192"/>
      <c r="AD45" s="192"/>
      <c r="AE45" s="192"/>
      <c r="AF45" s="190"/>
      <c r="AG45" s="192"/>
      <c r="AH45" s="184"/>
      <c r="AI45" s="192"/>
      <c r="AJ45" s="160"/>
    </row>
    <row r="46" spans="2:38">
      <c r="B46" s="86">
        <v>18</v>
      </c>
      <c r="D46" s="228" t="s">
        <v>348</v>
      </c>
      <c r="H46" s="227"/>
      <c r="I46" s="227"/>
      <c r="K46" s="227"/>
      <c r="L46" s="227"/>
      <c r="N46" s="223">
        <v>311.00673999999998</v>
      </c>
      <c r="O46" s="223">
        <v>545.05217999999991</v>
      </c>
      <c r="P46" s="229"/>
      <c r="Q46" s="186">
        <f>O46</f>
        <v>545.05217999999991</v>
      </c>
      <c r="R46" s="223"/>
      <c r="S46" s="186">
        <f>Q46</f>
        <v>545.05217999999991</v>
      </c>
      <c r="T46" s="223"/>
      <c r="U46" s="760" t="s">
        <v>31</v>
      </c>
      <c r="V46" s="187"/>
      <c r="W46" s="207"/>
      <c r="X46" s="187"/>
      <c r="Y46" s="192"/>
      <c r="AA46" s="192"/>
      <c r="AB46" s="192"/>
      <c r="AC46" s="192"/>
      <c r="AD46" s="189"/>
      <c r="AE46" s="185"/>
      <c r="AF46" s="190"/>
      <c r="AG46" s="192"/>
      <c r="AH46" s="190"/>
      <c r="AI46" s="192"/>
      <c r="AJ46" s="160"/>
    </row>
    <row r="47" spans="2:38">
      <c r="B47" s="86"/>
      <c r="D47" s="228"/>
      <c r="H47" s="227"/>
      <c r="I47" s="227"/>
      <c r="K47" s="227"/>
      <c r="L47" s="227"/>
      <c r="N47" s="223"/>
      <c r="O47" s="223"/>
      <c r="P47" s="229"/>
      <c r="Q47" s="186"/>
      <c r="R47" s="223"/>
      <c r="S47" s="186"/>
      <c r="T47" s="223"/>
      <c r="U47" s="207"/>
      <c r="V47" s="187"/>
      <c r="W47" s="207"/>
      <c r="X47" s="187"/>
      <c r="Y47" s="192"/>
      <c r="AA47" s="192"/>
      <c r="AB47" s="192"/>
      <c r="AC47" s="192"/>
      <c r="AD47" s="189"/>
      <c r="AE47" s="185"/>
      <c r="AF47" s="190"/>
      <c r="AG47" s="192"/>
      <c r="AH47" s="190"/>
      <c r="AI47" s="192"/>
      <c r="AJ47" s="160"/>
    </row>
    <row r="48" spans="2:38" ht="16.5" thickBot="1">
      <c r="B48" s="86">
        <v>19</v>
      </c>
      <c r="D48" s="87" t="s">
        <v>197</v>
      </c>
      <c r="H48" s="230">
        <f>SUM(H44:H46)</f>
        <v>128476.41666666667</v>
      </c>
      <c r="I48" s="230">
        <v>132378.51388888829</v>
      </c>
      <c r="K48" s="230">
        <f>SUM(K44:K46)</f>
        <v>4880827.1987742558</v>
      </c>
      <c r="L48" s="230">
        <v>4000612.315474519</v>
      </c>
      <c r="N48" s="222">
        <f>SUM(N44:N46)</f>
        <v>275525.44462963147</v>
      </c>
      <c r="O48" s="222">
        <v>304063.20831999998</v>
      </c>
      <c r="Q48" s="231">
        <f ca="1">SUM(Q44:Q46)</f>
        <v>318524.74402139685</v>
      </c>
      <c r="R48" s="223"/>
      <c r="S48" s="231">
        <f ca="1">SUM(S44:S46)</f>
        <v>320524.93975687178</v>
      </c>
      <c r="T48" s="223"/>
      <c r="U48" s="222">
        <f ca="1">SUM(U44:U46)</f>
        <v>14461.535701396866</v>
      </c>
      <c r="V48" s="1202">
        <f ca="1">U48/O48</f>
        <v>4.7560952149716722E-2</v>
      </c>
      <c r="W48" s="222">
        <f ca="1">SUM(W44:W46)</f>
        <v>2000.1957354748738</v>
      </c>
      <c r="X48" s="224">
        <f ca="1">W48/O48</f>
        <v>6.5782234770404794E-3</v>
      </c>
      <c r="AD48" s="226">
        <f ca="1">Q48/L48*100</f>
        <v>7.9618998019210991</v>
      </c>
      <c r="AE48" s="185"/>
      <c r="AF48" s="190">
        <f ca="1">(U48/L48)*100</f>
        <v>0.36148305711750928</v>
      </c>
      <c r="AH48" s="160"/>
      <c r="AI48" s="160"/>
      <c r="AJ48" s="160"/>
      <c r="AK48" s="1821">
        <f ca="1">U48*1000</f>
        <v>14461535.701396866</v>
      </c>
      <c r="AL48" s="1821">
        <f ca="1">SUM(AK27,AL28,AK16:AK25)</f>
        <v>14619641.000000002</v>
      </c>
    </row>
    <row r="49" spans="14:38" ht="18.75" customHeight="1" thickTop="1">
      <c r="V49" s="232" t="s">
        <v>31</v>
      </c>
      <c r="X49" s="232" t="s">
        <v>31</v>
      </c>
      <c r="AK49" s="1821">
        <f ca="1">AK48-(U50*1000)</f>
        <v>-158105.29860313423</v>
      </c>
      <c r="AL49" s="1821">
        <f ca="1">AL48-U50*1000</f>
        <v>0</v>
      </c>
    </row>
    <row r="50" spans="14:38" ht="18.75" customHeight="1">
      <c r="U50" s="184">
        <f>14619641/1000</f>
        <v>14619.641</v>
      </c>
      <c r="V50" s="235">
        <f>(U50/O44)</f>
        <v>4.8167270076774529E-2</v>
      </c>
      <c r="X50" s="232"/>
      <c r="AD50" s="200">
        <f ca="1">V50/V48</f>
        <v>1.0127482293699501</v>
      </c>
    </row>
    <row r="51" spans="14:38" ht="18.75" customHeight="1">
      <c r="U51" s="781" t="s">
        <v>732</v>
      </c>
      <c r="V51" s="235">
        <v>0</v>
      </c>
      <c r="X51" s="232"/>
    </row>
    <row r="52" spans="14:38" ht="18.75" customHeight="1">
      <c r="U52" s="1353">
        <v>0.85</v>
      </c>
      <c r="V52" s="235">
        <f>ROUNDUP($V$53*U52, 4)</f>
        <v>4.1000000000000002E-2</v>
      </c>
      <c r="X52" s="232"/>
    </row>
    <row r="53" spans="14:38">
      <c r="N53" s="233"/>
      <c r="O53" s="233"/>
      <c r="P53" s="160"/>
      <c r="S53" s="207"/>
      <c r="U53" s="760" t="s">
        <v>39</v>
      </c>
      <c r="V53" s="235">
        <f>V50</f>
        <v>4.8167270076774529E-2</v>
      </c>
      <c r="W53" s="207">
        <v>2000</v>
      </c>
      <c r="X53" s="234"/>
      <c r="Y53" s="160"/>
      <c r="AA53" s="160"/>
      <c r="AB53" s="160"/>
      <c r="AC53" s="160"/>
      <c r="AD53" s="160"/>
      <c r="AE53" s="160"/>
      <c r="AF53" s="160"/>
      <c r="AG53" s="160"/>
      <c r="AH53" s="160"/>
      <c r="AI53" s="160"/>
    </row>
    <row r="54" spans="14:38">
      <c r="P54" s="160"/>
      <c r="U54" s="732">
        <v>1.1499999999999999</v>
      </c>
      <c r="V54" s="235">
        <f>ROUNDUP($V$53*U54, 4)</f>
        <v>5.5400000000000005E-2</v>
      </c>
      <c r="Y54" s="160"/>
      <c r="Z54" s="160"/>
      <c r="AA54" s="160"/>
      <c r="AB54" s="160"/>
      <c r="AC54" s="160"/>
      <c r="AD54" s="223"/>
      <c r="AE54" s="160"/>
      <c r="AF54" s="160"/>
      <c r="AG54" s="160"/>
      <c r="AH54" s="160"/>
      <c r="AI54" s="160"/>
    </row>
    <row r="55" spans="14:38">
      <c r="P55" s="191"/>
      <c r="U55" s="1354">
        <v>1.5</v>
      </c>
      <c r="V55" s="235">
        <f t="shared" ref="V55:V60" si="12">ROUNDUP($V$53*U55, 4)</f>
        <v>7.2300000000000003E-2</v>
      </c>
      <c r="W55" s="236"/>
    </row>
    <row r="56" spans="14:38">
      <c r="P56" s="160"/>
      <c r="U56" s="1354">
        <v>0.5</v>
      </c>
      <c r="V56" s="235">
        <f t="shared" si="12"/>
        <v>2.41E-2</v>
      </c>
      <c r="W56" s="238"/>
    </row>
    <row r="57" spans="14:38" hidden="1">
      <c r="P57" s="180"/>
      <c r="U57" s="240"/>
      <c r="V57" s="235">
        <f t="shared" si="12"/>
        <v>0</v>
      </c>
      <c r="W57" s="240"/>
    </row>
    <row r="58" spans="14:38" hidden="1">
      <c r="P58" s="180"/>
      <c r="U58" s="240"/>
      <c r="V58" s="235">
        <f t="shared" si="12"/>
        <v>0</v>
      </c>
      <c r="W58" s="240"/>
    </row>
    <row r="59" spans="14:38">
      <c r="P59" s="155"/>
      <c r="U59" s="1354">
        <v>1.2544999999999999</v>
      </c>
      <c r="V59" s="235">
        <f t="shared" si="12"/>
        <v>6.0500000000000005E-2</v>
      </c>
      <c r="W59" s="240"/>
    </row>
    <row r="60" spans="14:38">
      <c r="P60" s="242"/>
      <c r="U60" s="1354">
        <v>0.95</v>
      </c>
      <c r="V60" s="235">
        <f t="shared" si="12"/>
        <v>4.58E-2</v>
      </c>
    </row>
    <row r="61" spans="14:38">
      <c r="P61" s="155"/>
      <c r="V61" s="243"/>
      <c r="AD61" s="155"/>
    </row>
    <row r="63" spans="14:38">
      <c r="P63" s="155"/>
      <c r="V63" s="243"/>
      <c r="X63" s="14"/>
    </row>
  </sheetData>
  <mergeCells count="4">
    <mergeCell ref="Q9:S9"/>
    <mergeCell ref="U9:Z9"/>
    <mergeCell ref="W11:X11"/>
    <mergeCell ref="B45:D45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B1:AL63"/>
  <sheetViews>
    <sheetView view="pageBreakPreview" topLeftCell="B5" zoomScale="80" zoomScaleNormal="55" zoomScaleSheetLayoutView="80" workbookViewId="0">
      <selection activeCell="M21" sqref="M21"/>
    </sheetView>
  </sheetViews>
  <sheetFormatPr defaultColWidth="10.25" defaultRowHeight="15.75"/>
  <cols>
    <col min="1" max="1" width="0" style="153" hidden="1" customWidth="1"/>
    <col min="2" max="2" width="4.625" style="153" customWidth="1"/>
    <col min="3" max="3" width="2.125" style="153" customWidth="1"/>
    <col min="4" max="4" width="35.875" style="154" customWidth="1"/>
    <col min="5" max="5" width="2.125" style="154" customWidth="1"/>
    <col min="6" max="6" width="5.625" style="154" bestFit="1" customWidth="1"/>
    <col min="7" max="7" width="2.125" style="154" customWidth="1"/>
    <col min="8" max="8" width="9.25" style="153" hidden="1" customWidth="1"/>
    <col min="9" max="9" width="9.25" style="153" customWidth="1"/>
    <col min="10" max="10" width="2" style="153" customWidth="1"/>
    <col min="11" max="11" width="11" style="153" hidden="1" customWidth="1"/>
    <col min="12" max="12" width="11" style="153" bestFit="1" customWidth="1"/>
    <col min="13" max="13" width="2.125" style="153" customWidth="1"/>
    <col min="14" max="14" width="10.25" style="153" hidden="1" customWidth="1"/>
    <col min="15" max="15" width="10.25" style="153" bestFit="1" customWidth="1"/>
    <col min="16" max="16" width="3.75" style="153" customWidth="1"/>
    <col min="17" max="17" width="14.25" style="153" customWidth="1"/>
    <col min="18" max="18" width="2" style="153" hidden="1" customWidth="1"/>
    <col min="19" max="19" width="20.25" style="153" hidden="1" customWidth="1"/>
    <col min="20" max="20" width="4.625" style="153" customWidth="1"/>
    <col min="21" max="22" width="13.875" style="153" customWidth="1"/>
    <col min="23" max="23" width="14.125" style="153" hidden="1" customWidth="1"/>
    <col min="24" max="24" width="12.25" style="153" hidden="1" customWidth="1"/>
    <col min="25" max="25" width="14.5" style="153" hidden="1" customWidth="1"/>
    <col min="26" max="26" width="15.25" style="153" hidden="1" customWidth="1"/>
    <col min="27" max="27" width="6.75" style="153" hidden="1" customWidth="1"/>
    <col min="28" max="28" width="20.75" style="153" hidden="1" customWidth="1"/>
    <col min="29" max="29" width="3.875" style="153" customWidth="1"/>
    <col min="30" max="30" width="11.75" style="153" bestFit="1" customWidth="1"/>
    <col min="31" max="31" width="2.125" style="153" customWidth="1"/>
    <col min="32" max="32" width="8.25" style="153" customWidth="1"/>
    <col min="33" max="33" width="3.125" style="153" customWidth="1"/>
    <col min="34" max="34" width="9" style="153" bestFit="1" customWidth="1"/>
    <col min="35" max="35" width="0.125" style="153" hidden="1" customWidth="1"/>
    <col min="36" max="36" width="10.25" style="153" customWidth="1"/>
    <col min="37" max="37" width="13.5" style="153" bestFit="1" customWidth="1"/>
    <col min="38" max="16384" width="10.25" style="153"/>
  </cols>
  <sheetData>
    <row r="1" spans="2:38">
      <c r="Q1" s="155" t="s">
        <v>31</v>
      </c>
    </row>
    <row r="2" spans="2:38">
      <c r="B2" s="156" t="s">
        <v>631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313"/>
      <c r="Z2" s="1313"/>
      <c r="AA2" s="1313"/>
      <c r="AB2" s="1313"/>
      <c r="AC2" s="1313"/>
      <c r="AD2" s="1313"/>
      <c r="AE2" s="1313"/>
      <c r="AF2" s="1313"/>
    </row>
    <row r="3" spans="2:38">
      <c r="B3" s="157" t="s">
        <v>187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312"/>
      <c r="Z3" s="1312"/>
      <c r="AA3" s="1312"/>
      <c r="AB3" s="1312"/>
      <c r="AC3" s="1312"/>
      <c r="AD3" s="1312"/>
      <c r="AE3" s="1312"/>
      <c r="AF3" s="1312"/>
      <c r="AG3" s="158"/>
      <c r="AH3" s="158"/>
      <c r="AI3" s="158"/>
    </row>
    <row r="4" spans="2:38">
      <c r="B4" s="157" t="s">
        <v>301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312"/>
      <c r="Z4" s="1312"/>
      <c r="AA4" s="1312"/>
      <c r="AB4" s="1312"/>
      <c r="AC4" s="1312"/>
      <c r="AD4" s="1312"/>
      <c r="AE4" s="1312"/>
      <c r="AF4" s="1312"/>
      <c r="AG4" s="158"/>
      <c r="AH4" s="158"/>
      <c r="AI4" s="158"/>
    </row>
    <row r="5" spans="2:38">
      <c r="B5" s="157" t="s">
        <v>302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312"/>
      <c r="Z5" s="1312"/>
      <c r="AA5" s="1312"/>
      <c r="AB5" s="1312"/>
      <c r="AC5" s="1312"/>
      <c r="AD5" s="1312"/>
      <c r="AE5" s="1312"/>
      <c r="AF5" s="1312"/>
      <c r="AG5" s="158"/>
      <c r="AH5" s="158"/>
      <c r="AI5" s="158"/>
    </row>
    <row r="6" spans="2:38">
      <c r="B6" s="157" t="s">
        <v>303</v>
      </c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312"/>
      <c r="Z6" s="1312"/>
      <c r="AA6" s="1312"/>
      <c r="AB6" s="1312"/>
      <c r="AC6" s="1312"/>
      <c r="AD6" s="1312"/>
      <c r="AE6" s="1312"/>
      <c r="AF6" s="1312"/>
      <c r="AG6" s="158"/>
      <c r="AH6" s="158"/>
      <c r="AI6" s="158"/>
    </row>
    <row r="7" spans="2:38">
      <c r="B7" s="156" t="s">
        <v>813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313"/>
      <c r="Z7" s="1313"/>
      <c r="AA7" s="1313"/>
      <c r="AB7" s="1313"/>
      <c r="AC7" s="1313"/>
      <c r="AD7" s="1313"/>
      <c r="AE7" s="1313"/>
      <c r="AF7" s="1313"/>
      <c r="AG7" s="159"/>
      <c r="AH7" s="159"/>
      <c r="AI7" s="159"/>
    </row>
    <row r="8" spans="2:38">
      <c r="M8" s="160"/>
      <c r="N8" s="161"/>
      <c r="O8" s="161"/>
      <c r="P8" s="162"/>
      <c r="Q8" s="162"/>
      <c r="R8" s="161"/>
      <c r="S8" s="161"/>
      <c r="T8" s="161"/>
      <c r="U8" s="162"/>
      <c r="V8" s="162"/>
      <c r="W8" s="162"/>
      <c r="X8" s="162"/>
      <c r="Y8" s="162"/>
      <c r="Z8" s="162"/>
      <c r="AA8" s="162"/>
      <c r="AB8" s="1314" t="s">
        <v>679</v>
      </c>
      <c r="AC8" s="162"/>
      <c r="AD8" s="162"/>
      <c r="AE8" s="162"/>
      <c r="AF8" s="162"/>
      <c r="AG8" s="162"/>
      <c r="AH8" s="162"/>
      <c r="AI8" s="162"/>
      <c r="AJ8" s="160"/>
      <c r="AK8" s="160"/>
      <c r="AL8" s="160"/>
    </row>
    <row r="9" spans="2:38">
      <c r="N9" s="164" t="s">
        <v>306</v>
      </c>
      <c r="O9" s="164" t="s">
        <v>199</v>
      </c>
      <c r="P9" s="165"/>
      <c r="Q9" s="1940" t="s">
        <v>307</v>
      </c>
      <c r="R9" s="1940"/>
      <c r="S9" s="1940"/>
      <c r="T9" s="166"/>
      <c r="U9" s="1863" t="s">
        <v>173</v>
      </c>
      <c r="V9" s="1863"/>
      <c r="W9" s="1863"/>
      <c r="X9" s="1863"/>
      <c r="Y9" s="1863"/>
      <c r="Z9" s="1863"/>
      <c r="AA9" s="165"/>
      <c r="AB9" s="1311" t="s">
        <v>308</v>
      </c>
      <c r="AC9" s="165"/>
      <c r="AD9" s="1314" t="s">
        <v>307</v>
      </c>
      <c r="AE9" s="165"/>
      <c r="AF9" s="1314" t="s">
        <v>309</v>
      </c>
      <c r="AG9" s="165"/>
      <c r="AH9" s="165"/>
      <c r="AI9" s="165"/>
    </row>
    <row r="10" spans="2:38">
      <c r="F10" s="152" t="s">
        <v>310</v>
      </c>
      <c r="G10" s="152"/>
      <c r="H10" s="164" t="s">
        <v>311</v>
      </c>
      <c r="N10" s="1314" t="s">
        <v>189</v>
      </c>
      <c r="O10" s="1314" t="s">
        <v>189</v>
      </c>
      <c r="P10" s="167"/>
      <c r="Q10" s="1314" t="s">
        <v>189</v>
      </c>
      <c r="R10" s="1314"/>
      <c r="S10" s="1314" t="s">
        <v>203</v>
      </c>
      <c r="T10" s="1314"/>
      <c r="U10" s="168" t="s">
        <v>189</v>
      </c>
      <c r="V10" s="168"/>
      <c r="W10" s="168" t="s">
        <v>31</v>
      </c>
      <c r="X10" s="1314"/>
      <c r="Y10" s="168" t="s">
        <v>203</v>
      </c>
      <c r="Z10" s="166"/>
      <c r="AA10" s="166"/>
      <c r="AB10" s="166"/>
      <c r="AC10" s="166"/>
      <c r="AD10" s="1314" t="s">
        <v>189</v>
      </c>
      <c r="AE10" s="166"/>
      <c r="AF10" s="1314" t="s">
        <v>173</v>
      </c>
      <c r="AG10" s="169"/>
      <c r="AH10" s="166"/>
      <c r="AI10" s="169"/>
    </row>
    <row r="11" spans="2:38">
      <c r="B11" s="169" t="s">
        <v>188</v>
      </c>
      <c r="F11" s="152" t="s">
        <v>313</v>
      </c>
      <c r="G11" s="152"/>
      <c r="H11" s="164" t="s">
        <v>314</v>
      </c>
      <c r="I11" s="164" t="s">
        <v>311</v>
      </c>
      <c r="K11" s="164" t="s">
        <v>315</v>
      </c>
      <c r="N11" s="164" t="s">
        <v>37</v>
      </c>
      <c r="O11" s="164" t="s">
        <v>37</v>
      </c>
      <c r="P11" s="169"/>
      <c r="Q11" s="164" t="s">
        <v>37</v>
      </c>
      <c r="R11" s="164"/>
      <c r="S11" s="164" t="s">
        <v>37</v>
      </c>
      <c r="T11" s="164"/>
      <c r="U11" s="170" t="s">
        <v>254</v>
      </c>
      <c r="V11" s="164" t="s">
        <v>189</v>
      </c>
      <c r="W11" s="1863" t="s">
        <v>679</v>
      </c>
      <c r="X11" s="1863"/>
      <c r="Y11" s="170" t="s">
        <v>254</v>
      </c>
      <c r="Z11" s="164" t="s">
        <v>203</v>
      </c>
      <c r="AA11" s="169"/>
      <c r="AB11" s="169"/>
      <c r="AC11" s="169"/>
      <c r="AD11" s="164" t="s">
        <v>191</v>
      </c>
      <c r="AE11" s="169"/>
      <c r="AF11" s="164" t="s">
        <v>316</v>
      </c>
      <c r="AG11" s="169"/>
      <c r="AH11" s="1314"/>
      <c r="AI11" s="171"/>
      <c r="AJ11" s="160"/>
    </row>
    <row r="12" spans="2:38">
      <c r="B12" s="172" t="s">
        <v>190</v>
      </c>
      <c r="D12" s="173" t="s">
        <v>204</v>
      </c>
      <c r="F12" s="173" t="s">
        <v>190</v>
      </c>
      <c r="G12" s="174"/>
      <c r="H12" s="175" t="s">
        <v>306</v>
      </c>
      <c r="I12" s="1311" t="s">
        <v>314</v>
      </c>
      <c r="K12" s="175" t="s">
        <v>306</v>
      </c>
      <c r="L12" s="1311" t="s">
        <v>315</v>
      </c>
      <c r="N12" s="176" t="s">
        <v>200</v>
      </c>
      <c r="O12" s="176" t="s">
        <v>200</v>
      </c>
      <c r="P12" s="1314"/>
      <c r="Q12" s="176" t="s">
        <v>200</v>
      </c>
      <c r="R12" s="177"/>
      <c r="S12" s="176" t="s">
        <v>200</v>
      </c>
      <c r="T12" s="177"/>
      <c r="U12" s="178" t="s">
        <v>200</v>
      </c>
      <c r="V12" s="1311" t="s">
        <v>317</v>
      </c>
      <c r="W12" s="178" t="s">
        <v>200</v>
      </c>
      <c r="X12" s="1311" t="s">
        <v>317</v>
      </c>
      <c r="Y12" s="178" t="s">
        <v>200</v>
      </c>
      <c r="Z12" s="1311" t="s">
        <v>317</v>
      </c>
      <c r="AA12" s="171"/>
      <c r="AB12" s="179" t="s">
        <v>318</v>
      </c>
      <c r="AC12" s="171"/>
      <c r="AD12" s="176" t="s">
        <v>318</v>
      </c>
      <c r="AE12" s="171"/>
      <c r="AF12" s="1311" t="s">
        <v>25</v>
      </c>
      <c r="AG12" s="171"/>
      <c r="AH12" s="1203"/>
      <c r="AI12" s="171"/>
      <c r="AJ12" s="160"/>
    </row>
    <row r="13" spans="2:38">
      <c r="B13" s="180"/>
      <c r="D13" s="170" t="s">
        <v>319</v>
      </c>
      <c r="F13" s="170" t="s">
        <v>320</v>
      </c>
      <c r="G13" s="152"/>
      <c r="H13" s="170"/>
      <c r="I13" s="170" t="s">
        <v>321</v>
      </c>
      <c r="K13" s="170"/>
      <c r="L13" s="170" t="s">
        <v>322</v>
      </c>
      <c r="N13" s="170"/>
      <c r="O13" s="170" t="s">
        <v>323</v>
      </c>
      <c r="P13" s="170"/>
      <c r="Q13" s="170" t="s">
        <v>324</v>
      </c>
      <c r="R13" s="170"/>
      <c r="S13" s="170"/>
      <c r="T13" s="170"/>
      <c r="U13" s="170" t="s">
        <v>325</v>
      </c>
      <c r="V13" s="170" t="s">
        <v>326</v>
      </c>
      <c r="W13" s="170" t="s">
        <v>326</v>
      </c>
      <c r="X13" s="170" t="s">
        <v>326</v>
      </c>
      <c r="Y13" s="170"/>
      <c r="Z13" s="170"/>
      <c r="AA13" s="170"/>
      <c r="AB13" s="170"/>
      <c r="AC13" s="170"/>
      <c r="AD13" s="170" t="s">
        <v>327</v>
      </c>
      <c r="AE13" s="170"/>
      <c r="AF13" s="170" t="s">
        <v>328</v>
      </c>
      <c r="AG13" s="170"/>
      <c r="AH13" s="167"/>
      <c r="AI13" s="167"/>
      <c r="AJ13" s="160"/>
    </row>
    <row r="14" spans="2:38">
      <c r="P14" s="170"/>
      <c r="Q14" s="170" t="s">
        <v>329</v>
      </c>
      <c r="V14" s="170" t="s">
        <v>330</v>
      </c>
      <c r="X14" s="170" t="s">
        <v>330</v>
      </c>
      <c r="Z14" s="170"/>
      <c r="AD14" s="170" t="s">
        <v>331</v>
      </c>
      <c r="AF14" s="170" t="s">
        <v>332</v>
      </c>
      <c r="AH14" s="160"/>
      <c r="AI14" s="160"/>
      <c r="AJ14" s="160"/>
    </row>
    <row r="15" spans="2:38">
      <c r="D15" s="181" t="s">
        <v>17</v>
      </c>
      <c r="AH15" s="160"/>
      <c r="AI15" s="160"/>
      <c r="AJ15" s="160"/>
    </row>
    <row r="16" spans="2:38">
      <c r="B16" s="169">
        <v>1</v>
      </c>
      <c r="D16" s="154" t="s">
        <v>333</v>
      </c>
      <c r="F16" s="182" t="s">
        <v>334</v>
      </c>
      <c r="G16" s="182"/>
      <c r="H16" s="183">
        <v>101336.91666666667</v>
      </c>
      <c r="I16" s="183">
        <v>104296.97777777778</v>
      </c>
      <c r="J16" s="155"/>
      <c r="K16" s="183">
        <v>1569938.6044392167</v>
      </c>
      <c r="L16" s="183">
        <v>1601807.788900645</v>
      </c>
      <c r="N16" s="184">
        <v>102672.94442530281</v>
      </c>
      <c r="O16" s="184">
        <v>134571.28710393453</v>
      </c>
      <c r="P16" s="185"/>
      <c r="Q16" s="186">
        <f>O16+U16</f>
        <v>154743.4898797966</v>
      </c>
      <c r="R16" s="184"/>
      <c r="S16" s="186">
        <f>Q16+W16</f>
        <v>155630.89139484757</v>
      </c>
      <c r="T16" s="184"/>
      <c r="U16" s="184">
        <f>O16*V16</f>
        <v>20172.202775862075</v>
      </c>
      <c r="V16" s="187">
        <f>$V$50</f>
        <v>0.14989975358028876</v>
      </c>
      <c r="W16" s="184">
        <f>(AB16/100)*L16</f>
        <v>887.4015150509573</v>
      </c>
      <c r="X16" s="187">
        <f>W16/O16</f>
        <v>6.5942857064715688E-3</v>
      </c>
      <c r="Y16" s="184">
        <f>U16+W16</f>
        <v>21059.604290913034</v>
      </c>
      <c r="Z16" s="187">
        <f>Y16/O16</f>
        <v>0.15649403928676031</v>
      </c>
      <c r="AA16" s="185"/>
      <c r="AB16" s="188">
        <f>ROUND((((O16/$O$44)*$W$53)/L16)*100,4)</f>
        <v>5.5399999999999998E-2</v>
      </c>
      <c r="AC16" s="185"/>
      <c r="AD16" s="189">
        <f>Q16/L16*100</f>
        <v>9.6605529672196422</v>
      </c>
      <c r="AE16" s="185"/>
      <c r="AF16" s="190">
        <f>(U16/L16)*100</f>
        <v>1.2593397856871884</v>
      </c>
      <c r="AG16" s="185"/>
      <c r="AH16" s="184"/>
      <c r="AI16" s="192"/>
      <c r="AJ16" s="193" t="s">
        <v>31</v>
      </c>
      <c r="AK16" s="155" t="s">
        <v>31</v>
      </c>
    </row>
    <row r="17" spans="2:38">
      <c r="H17" s="194"/>
      <c r="I17" s="194"/>
      <c r="K17" s="194"/>
      <c r="L17" s="194"/>
      <c r="N17" s="194"/>
      <c r="O17" s="194"/>
      <c r="P17" s="160"/>
      <c r="Q17" s="195"/>
      <c r="R17" s="160"/>
      <c r="S17" s="195"/>
      <c r="T17" s="160"/>
      <c r="U17" s="194"/>
      <c r="V17" s="196"/>
      <c r="W17" s="194"/>
      <c r="X17" s="197"/>
      <c r="Y17" s="194"/>
      <c r="Z17" s="197"/>
      <c r="AA17" s="160"/>
      <c r="AB17" s="198"/>
      <c r="AC17" s="160"/>
      <c r="AD17" s="195"/>
      <c r="AE17" s="160"/>
      <c r="AF17" s="199"/>
      <c r="AG17" s="160"/>
      <c r="AH17" s="184"/>
      <c r="AI17" s="160"/>
      <c r="AJ17" s="160"/>
    </row>
    <row r="18" spans="2:38">
      <c r="V18" s="200"/>
      <c r="X18" s="200"/>
      <c r="Z18" s="200"/>
      <c r="AB18" s="201"/>
      <c r="AF18" s="202"/>
      <c r="AH18" s="184"/>
      <c r="AI18" s="160"/>
      <c r="AJ18" s="160"/>
    </row>
    <row r="19" spans="2:38">
      <c r="B19" s="86">
        <f>MAX(B$13:B18)+1</f>
        <v>2</v>
      </c>
      <c r="D19" s="181" t="s">
        <v>335</v>
      </c>
      <c r="H19" s="203">
        <f>SUM(H16:H16)</f>
        <v>101336.91666666667</v>
      </c>
      <c r="I19" s="203">
        <v>104296.97777777778</v>
      </c>
      <c r="K19" s="203">
        <f>SUM(K16:K16)</f>
        <v>1569938.6044392167</v>
      </c>
      <c r="L19" s="203">
        <v>1601807.788900645</v>
      </c>
      <c r="M19" s="203"/>
      <c r="N19" s="204">
        <f>SUM(N16:N16)</f>
        <v>102672.94442530281</v>
      </c>
      <c r="O19" s="204">
        <v>134571.28710393453</v>
      </c>
      <c r="P19" s="185"/>
      <c r="Q19" s="204">
        <f>SUM(Q16:Q16)</f>
        <v>154743.4898797966</v>
      </c>
      <c r="R19" s="204"/>
      <c r="S19" s="204">
        <f>SUM(S16:S16)</f>
        <v>155630.89139484757</v>
      </c>
      <c r="T19" s="204"/>
      <c r="U19" s="184">
        <f>SUM(U16)</f>
        <v>20172.202775862075</v>
      </c>
      <c r="V19" s="187">
        <f>U19/O19</f>
        <v>0.14989975358028876</v>
      </c>
      <c r="W19" s="184">
        <f>SUM(W16)</f>
        <v>887.4015150509573</v>
      </c>
      <c r="X19" s="187">
        <f>W19/O19</f>
        <v>6.5942857064715688E-3</v>
      </c>
      <c r="Y19" s="184">
        <f>U19+W19</f>
        <v>21059.604290913034</v>
      </c>
      <c r="Z19" s="187">
        <f>Y19/O19</f>
        <v>0.15649403928676031</v>
      </c>
      <c r="AA19" s="185"/>
      <c r="AB19" s="205"/>
      <c r="AC19" s="185"/>
      <c r="AD19" s="189">
        <f>Q19/L19*100</f>
        <v>9.6605529672196422</v>
      </c>
      <c r="AE19" s="185"/>
      <c r="AF19" s="190">
        <f>(U19/L19)*100</f>
        <v>1.2593397856871884</v>
      </c>
      <c r="AG19" s="185"/>
      <c r="AH19" s="184"/>
      <c r="AI19" s="192"/>
      <c r="AJ19" s="160"/>
    </row>
    <row r="20" spans="2:38">
      <c r="V20" s="200"/>
      <c r="X20" s="200"/>
      <c r="Z20" s="200"/>
      <c r="AB20" s="201"/>
      <c r="AF20" s="202"/>
      <c r="AH20" s="184"/>
      <c r="AI20" s="160"/>
      <c r="AJ20" s="160"/>
    </row>
    <row r="21" spans="2:38">
      <c r="D21" s="181" t="s">
        <v>336</v>
      </c>
      <c r="H21" s="206"/>
      <c r="I21" s="206"/>
      <c r="V21" s="200"/>
      <c r="X21" s="200"/>
      <c r="Z21" s="200"/>
      <c r="AB21" s="201"/>
      <c r="AF21" s="202"/>
      <c r="AH21" s="184"/>
      <c r="AI21" s="160"/>
      <c r="AJ21" s="160"/>
    </row>
    <row r="22" spans="2:38">
      <c r="B22" s="86">
        <f>MAX(B$13:B21)+1</f>
        <v>3</v>
      </c>
      <c r="D22" s="154" t="s">
        <v>337</v>
      </c>
      <c r="F22" s="152">
        <v>24</v>
      </c>
      <c r="G22" s="152"/>
      <c r="H22" s="183">
        <v>17306.416666666664</v>
      </c>
      <c r="I22" s="183">
        <v>18646.79166666606</v>
      </c>
      <c r="K22" s="183">
        <v>513041.74113523914</v>
      </c>
      <c r="L22" s="183">
        <v>537395.79148303834</v>
      </c>
      <c r="N22" s="204">
        <v>33647.646251191611</v>
      </c>
      <c r="O22" s="204">
        <v>45261.337330470167</v>
      </c>
      <c r="P22" s="185"/>
      <c r="Q22" s="186">
        <f t="shared" ref="Q22:Q29" si="0">O22+U22</f>
        <v>50676.807538141969</v>
      </c>
      <c r="R22" s="184"/>
      <c r="S22" s="186">
        <f t="shared" ref="S22:S29" si="1">Q22+W22</f>
        <v>50975.062202415058</v>
      </c>
      <c r="T22" s="184"/>
      <c r="U22" s="184">
        <f t="shared" ref="U22:U29" si="2">O22*V22</f>
        <v>5415.4702076718031</v>
      </c>
      <c r="V22" s="187">
        <f>$V$52</f>
        <v>0.1196489217305137</v>
      </c>
      <c r="W22" s="184">
        <f t="shared" ref="W22:W29" si="3">(AB22/100)*L22</f>
        <v>298.25466427308629</v>
      </c>
      <c r="X22" s="187">
        <f>W22/O22</f>
        <v>6.5896122798011032E-3</v>
      </c>
      <c r="Y22" s="184">
        <f t="shared" ref="Y22:Y29" si="4">U22+W22</f>
        <v>5713.7248719448889</v>
      </c>
      <c r="Z22" s="187">
        <f>Y22/O22</f>
        <v>0.12623853401031479</v>
      </c>
      <c r="AA22" s="185"/>
      <c r="AB22" s="188">
        <f>ROUND((((O22/$O$44)*$W$53)/L22)*100,4)</f>
        <v>5.5500000000000001E-2</v>
      </c>
      <c r="AC22" s="185"/>
      <c r="AD22" s="189">
        <f>Q22/L22*100</f>
        <v>9.4300715303873872</v>
      </c>
      <c r="AE22" s="185"/>
      <c r="AF22" s="190">
        <f>(U22/L22)*100</f>
        <v>1.0077247149120501</v>
      </c>
      <c r="AG22" s="185"/>
      <c r="AH22" s="184"/>
      <c r="AI22" s="192"/>
      <c r="AJ22" s="160"/>
      <c r="AK22" s="207"/>
      <c r="AL22" s="14"/>
    </row>
    <row r="23" spans="2:38">
      <c r="B23" s="86">
        <f>MAX(B$13:B22)+1</f>
        <v>4</v>
      </c>
      <c r="D23" s="52" t="s">
        <v>338</v>
      </c>
      <c r="E23" s="52"/>
      <c r="F23" s="86">
        <v>33</v>
      </c>
      <c r="G23" s="152"/>
      <c r="H23" s="183">
        <v>0</v>
      </c>
      <c r="I23" s="183">
        <v>0</v>
      </c>
      <c r="K23" s="183">
        <v>0</v>
      </c>
      <c r="L23" s="183">
        <v>0</v>
      </c>
      <c r="N23" s="184">
        <v>0</v>
      </c>
      <c r="O23" s="184">
        <v>0</v>
      </c>
      <c r="P23" s="185"/>
      <c r="Q23" s="186">
        <f t="shared" si="0"/>
        <v>0</v>
      </c>
      <c r="R23" s="184"/>
      <c r="S23" s="186">
        <f t="shared" si="1"/>
        <v>0</v>
      </c>
      <c r="T23" s="184"/>
      <c r="U23" s="184">
        <f t="shared" si="2"/>
        <v>0</v>
      </c>
      <c r="V23" s="187">
        <f>$V$53</f>
        <v>0.14076</v>
      </c>
      <c r="W23" s="184">
        <f t="shared" si="3"/>
        <v>0</v>
      </c>
      <c r="X23" s="187">
        <v>0</v>
      </c>
      <c r="Y23" s="184">
        <f t="shared" si="4"/>
        <v>0</v>
      </c>
      <c r="Z23" s="187">
        <f>V23+X23</f>
        <v>0.14076</v>
      </c>
      <c r="AA23" s="185"/>
      <c r="AB23" s="188">
        <v>0</v>
      </c>
      <c r="AC23" s="185"/>
      <c r="AD23" s="189">
        <f>AD24</f>
        <v>8.1242334519257025</v>
      </c>
      <c r="AE23" s="185"/>
      <c r="AF23" s="190">
        <f>AF24</f>
        <v>1.0024607285433063</v>
      </c>
      <c r="AG23" s="185"/>
      <c r="AH23" s="184"/>
      <c r="AI23" s="192"/>
      <c r="AJ23" s="160"/>
      <c r="AK23" s="207"/>
      <c r="AL23" s="14"/>
    </row>
    <row r="24" spans="2:38">
      <c r="B24" s="86">
        <f>MAX(B$13:B23)+1</f>
        <v>5</v>
      </c>
      <c r="D24" s="154" t="s">
        <v>339</v>
      </c>
      <c r="F24" s="152">
        <v>36</v>
      </c>
      <c r="G24" s="152"/>
      <c r="H24" s="183">
        <v>1058.6666666666667</v>
      </c>
      <c r="I24" s="183">
        <v>1044.4944444444445</v>
      </c>
      <c r="K24" s="183">
        <v>901191.51506367233</v>
      </c>
      <c r="L24" s="183">
        <v>860704.39038612752</v>
      </c>
      <c r="N24" s="204">
        <v>49005.26783999426</v>
      </c>
      <c r="O24" s="204">
        <v>61297.41050347397</v>
      </c>
      <c r="P24" s="185"/>
      <c r="Q24" s="186">
        <f t="shared" si="0"/>
        <v>69925.634005942964</v>
      </c>
      <c r="R24" s="184"/>
      <c r="S24" s="186">
        <f t="shared" si="1"/>
        <v>70329.304365034055</v>
      </c>
      <c r="T24" s="184"/>
      <c r="U24" s="184">
        <f t="shared" si="2"/>
        <v>8628.2235024689962</v>
      </c>
      <c r="V24" s="187">
        <f>$V$53</f>
        <v>0.14076</v>
      </c>
      <c r="W24" s="184">
        <f t="shared" si="3"/>
        <v>403.67035909109376</v>
      </c>
      <c r="X24" s="187">
        <f t="shared" ref="X24:X29" si="5">W24/O24</f>
        <v>6.5854390222278014E-3</v>
      </c>
      <c r="Y24" s="184">
        <f t="shared" si="4"/>
        <v>9031.8938615600891</v>
      </c>
      <c r="Z24" s="187">
        <f t="shared" ref="Z24:Z29" si="6">Y24/O24</f>
        <v>0.1473454390222278</v>
      </c>
      <c r="AA24" s="185"/>
      <c r="AB24" s="188">
        <f t="shared" ref="AB24:AB29" si="7">ROUND((((O24/$O$44)*$W$53)/L24)*100,4)</f>
        <v>4.6899999999999997E-2</v>
      </c>
      <c r="AC24" s="185"/>
      <c r="AD24" s="189">
        <f t="shared" ref="AD24:AD29" si="8">Q24/L24*100</f>
        <v>8.1242334519257025</v>
      </c>
      <c r="AE24" s="185"/>
      <c r="AF24" s="190">
        <f t="shared" ref="AF24:AF29" si="9">(U24/L24)*100</f>
        <v>1.0024607285433063</v>
      </c>
      <c r="AG24" s="185"/>
      <c r="AH24" s="184"/>
      <c r="AI24" s="192"/>
      <c r="AJ24" s="160"/>
      <c r="AK24" s="207"/>
      <c r="AL24" s="14"/>
    </row>
    <row r="25" spans="2:38">
      <c r="B25" s="86">
        <f>MAX(B$13:B24)+1</f>
        <v>6</v>
      </c>
      <c r="D25" s="154" t="s">
        <v>198</v>
      </c>
      <c r="F25" s="152" t="s">
        <v>340</v>
      </c>
      <c r="G25" s="152"/>
      <c r="H25" s="183">
        <v>5259</v>
      </c>
      <c r="I25" s="183">
        <v>5260</v>
      </c>
      <c r="K25" s="183">
        <v>168033.04399999999</v>
      </c>
      <c r="L25" s="183">
        <v>153555.06536433662</v>
      </c>
      <c r="N25" s="204">
        <v>10140.337</v>
      </c>
      <c r="O25" s="204">
        <v>12299.348</v>
      </c>
      <c r="P25" s="185"/>
      <c r="Q25" s="186">
        <f t="shared" si="0"/>
        <v>13770.95172618835</v>
      </c>
      <c r="R25" s="184"/>
      <c r="S25" s="186">
        <f t="shared" si="1"/>
        <v>13852.02880070072</v>
      </c>
      <c r="T25" s="184"/>
      <c r="U25" s="184">
        <f t="shared" si="2"/>
        <v>1471.6037261883503</v>
      </c>
      <c r="V25" s="187">
        <f>$V$52</f>
        <v>0.1196489217305137</v>
      </c>
      <c r="W25" s="184">
        <f t="shared" si="3"/>
        <v>81.077074512369748</v>
      </c>
      <c r="X25" s="187">
        <f t="shared" si="5"/>
        <v>6.5919815027893954E-3</v>
      </c>
      <c r="Y25" s="184">
        <f t="shared" si="4"/>
        <v>1552.6808007007201</v>
      </c>
      <c r="Z25" s="187">
        <f t="shared" si="6"/>
        <v>0.12624090323330311</v>
      </c>
      <c r="AA25" s="185"/>
      <c r="AB25" s="188">
        <f t="shared" si="7"/>
        <v>5.28E-2</v>
      </c>
      <c r="AC25" s="185"/>
      <c r="AD25" s="189">
        <f t="shared" si="8"/>
        <v>8.9680869162566061</v>
      </c>
      <c r="AE25" s="185"/>
      <c r="AF25" s="190">
        <f t="shared" si="9"/>
        <v>0.95835570301553341</v>
      </c>
      <c r="AG25" s="185"/>
      <c r="AH25" s="184"/>
      <c r="AI25" s="192"/>
      <c r="AJ25" s="160"/>
    </row>
    <row r="26" spans="2:38">
      <c r="B26" s="86">
        <f>MAX(B$13:B25)+1</f>
        <v>7</v>
      </c>
      <c r="D26" s="154" t="s">
        <v>341</v>
      </c>
      <c r="F26" s="152">
        <v>47</v>
      </c>
      <c r="G26" s="152"/>
      <c r="H26" s="183">
        <v>1.0833333333333333</v>
      </c>
      <c r="I26" s="183">
        <v>1</v>
      </c>
      <c r="K26" s="183">
        <v>1616.6904507017675</v>
      </c>
      <c r="L26" s="183">
        <v>1734.4743654971489</v>
      </c>
      <c r="N26" s="204">
        <v>165.62561725051643</v>
      </c>
      <c r="O26" s="204">
        <v>290.56051169386154</v>
      </c>
      <c r="P26" s="185"/>
      <c r="Q26" s="186">
        <f t="shared" si="0"/>
        <v>334.11546079693397</v>
      </c>
      <c r="R26" s="184"/>
      <c r="S26" s="186">
        <f t="shared" si="1"/>
        <v>336.03032049644281</v>
      </c>
      <c r="T26" s="184"/>
      <c r="U26" s="184">
        <f t="shared" si="2"/>
        <v>43.554949103072452</v>
      </c>
      <c r="V26" s="187">
        <f t="shared" ref="V26:V28" si="10">$V$50</f>
        <v>0.14989975358028876</v>
      </c>
      <c r="W26" s="184">
        <f t="shared" si="3"/>
        <v>1.9148596995088523</v>
      </c>
      <c r="X26" s="187">
        <f t="shared" si="5"/>
        <v>6.5902268974745411E-3</v>
      </c>
      <c r="Y26" s="184">
        <f t="shared" si="4"/>
        <v>45.469808802581305</v>
      </c>
      <c r="Z26" s="187">
        <f t="shared" si="6"/>
        <v>0.1564899804777633</v>
      </c>
      <c r="AA26" s="185"/>
      <c r="AB26" s="188">
        <f t="shared" si="7"/>
        <v>0.1104</v>
      </c>
      <c r="AC26" s="185"/>
      <c r="AD26" s="189">
        <f t="shared" si="8"/>
        <v>19.263211232364746</v>
      </c>
      <c r="AE26" s="185"/>
      <c r="AF26" s="190">
        <f t="shared" si="9"/>
        <v>2.5111324773363473</v>
      </c>
      <c r="AG26" s="185"/>
      <c r="AH26" s="184"/>
      <c r="AI26" s="192"/>
      <c r="AJ26" s="160"/>
    </row>
    <row r="27" spans="2:38">
      <c r="B27" s="86">
        <f>MAX(B$13:B25)+1</f>
        <v>7</v>
      </c>
      <c r="D27" s="154" t="s">
        <v>342</v>
      </c>
      <c r="F27" s="152">
        <v>48</v>
      </c>
      <c r="G27" s="152"/>
      <c r="H27" s="183">
        <v>63.666666666666671</v>
      </c>
      <c r="I27" s="183">
        <f>'Pages 4-11, All Other Schedules'!B912/12</f>
        <v>57.916666666666664</v>
      </c>
      <c r="K27" s="183">
        <v>856497.09877425549</v>
      </c>
      <c r="L27" s="183">
        <f ca="1">'Pages 4-11, All Other Schedules'!B922/1000</f>
        <v>358354.76980720815</v>
      </c>
      <c r="N27" s="204">
        <v>38996.209349631463</v>
      </c>
      <c r="O27" s="204">
        <f ca="1">'Pages 4-11, All Other Schedules'!H922/1000</f>
        <v>23069.501570523298</v>
      </c>
      <c r="P27" s="185"/>
      <c r="Q27" s="186">
        <f t="shared" ca="1" si="0"/>
        <v>26316.764611590159</v>
      </c>
      <c r="R27" s="184"/>
      <c r="S27" s="186">
        <f t="shared" ca="1" si="1"/>
        <v>26468.707033988416</v>
      </c>
      <c r="T27" s="184"/>
      <c r="U27" s="184">
        <f t="shared" ca="1" si="2"/>
        <v>3247.2630410668594</v>
      </c>
      <c r="V27" s="187">
        <f>$V$53</f>
        <v>0.14076</v>
      </c>
      <c r="W27" s="184">
        <f t="shared" ca="1" si="3"/>
        <v>151.94242239825627</v>
      </c>
      <c r="X27" s="187">
        <f t="shared" ca="1" si="5"/>
        <v>6.5862897789000507E-3</v>
      </c>
      <c r="Y27" s="184">
        <f t="shared" ca="1" si="4"/>
        <v>3399.2054634651158</v>
      </c>
      <c r="Z27" s="187">
        <f t="shared" ca="1" si="6"/>
        <v>0.14734628977890005</v>
      </c>
      <c r="AA27" s="185"/>
      <c r="AB27" s="188">
        <f t="shared" ca="1" si="7"/>
        <v>4.24E-2</v>
      </c>
      <c r="AC27" s="185"/>
      <c r="AD27" s="189">
        <f t="shared" ca="1" si="8"/>
        <v>7.3437740554558149</v>
      </c>
      <c r="AE27" s="185"/>
      <c r="AF27" s="190">
        <f t="shared" ca="1" si="9"/>
        <v>0.90615873281493076</v>
      </c>
      <c r="AG27" s="185"/>
      <c r="AH27" s="184"/>
      <c r="AI27" s="192"/>
      <c r="AJ27" s="160"/>
    </row>
    <row r="28" spans="2:38">
      <c r="B28" s="86">
        <f>MAX(B$13:B26)+1</f>
        <v>8</v>
      </c>
      <c r="D28" s="154" t="s">
        <v>677</v>
      </c>
      <c r="F28" s="182" t="s">
        <v>678</v>
      </c>
      <c r="G28" s="152"/>
      <c r="H28" s="183">
        <v>63.666666666666671</v>
      </c>
      <c r="I28" s="183">
        <f>'Pages 4-11, All Other Schedules'!B1080/12</f>
        <v>1</v>
      </c>
      <c r="K28" s="183">
        <v>856497.09877425549</v>
      </c>
      <c r="L28" s="183">
        <f ca="1">'Pages 4-11, All Other Schedules'!B1091/1000</f>
        <v>473928.1405675243</v>
      </c>
      <c r="N28" s="204">
        <v>38996.209349631463</v>
      </c>
      <c r="O28" s="204">
        <f ca="1">'Pages 4-11, All Other Schedules'!H1091/1000</f>
        <v>25058.23438596668</v>
      </c>
      <c r="P28" s="185"/>
      <c r="Q28" s="186">
        <f t="shared" ca="1" si="0"/>
        <v>28814.457545580204</v>
      </c>
      <c r="R28" s="184"/>
      <c r="S28" s="186">
        <f t="shared" ca="1" si="1"/>
        <v>28979.384538497703</v>
      </c>
      <c r="T28" s="184"/>
      <c r="U28" s="184">
        <f t="shared" ca="1" si="2"/>
        <v>3756.2231596135239</v>
      </c>
      <c r="V28" s="187">
        <f t="shared" si="10"/>
        <v>0.14989975358028876</v>
      </c>
      <c r="W28" s="184">
        <f t="shared" ca="1" si="3"/>
        <v>164.92699291749847</v>
      </c>
      <c r="X28" s="187">
        <f t="shared" ca="1" si="5"/>
        <v>6.5817483537412456E-3</v>
      </c>
      <c r="Y28" s="184">
        <f t="shared" ca="1" si="4"/>
        <v>3921.1501525310223</v>
      </c>
      <c r="Z28" s="187">
        <f t="shared" ca="1" si="6"/>
        <v>0.15648150193403002</v>
      </c>
      <c r="AA28" s="185"/>
      <c r="AB28" s="188">
        <f t="shared" ca="1" si="7"/>
        <v>3.4799999999999998E-2</v>
      </c>
      <c r="AC28" s="185"/>
      <c r="AD28" s="189">
        <f t="shared" ca="1" si="8"/>
        <v>6.0799212114889771</v>
      </c>
      <c r="AE28" s="185"/>
      <c r="AF28" s="190">
        <f t="shared" ca="1" si="9"/>
        <v>0.79257229906531479</v>
      </c>
      <c r="AG28" s="185"/>
      <c r="AH28" s="184"/>
      <c r="AI28" s="192"/>
      <c r="AJ28" s="160"/>
    </row>
    <row r="29" spans="2:38">
      <c r="B29" s="86">
        <f>MAX(B$13:B28)+1</f>
        <v>9</v>
      </c>
      <c r="D29" s="154" t="s">
        <v>194</v>
      </c>
      <c r="F29" s="152" t="s">
        <v>195</v>
      </c>
      <c r="G29" s="152"/>
      <c r="H29" s="183">
        <v>28</v>
      </c>
      <c r="I29" s="183">
        <v>29.083333333333332</v>
      </c>
      <c r="K29" s="183">
        <v>233.86177246899351</v>
      </c>
      <c r="L29" s="183">
        <v>282.5157422079173</v>
      </c>
      <c r="N29" s="204">
        <v>18.659249899021408</v>
      </c>
      <c r="O29" s="204">
        <v>24.725619439992212</v>
      </c>
      <c r="P29" s="185"/>
      <c r="Q29" s="186">
        <f t="shared" si="0"/>
        <v>25.7146442175919</v>
      </c>
      <c r="R29" s="184"/>
      <c r="S29" s="186">
        <f t="shared" si="1"/>
        <v>25.877655800845869</v>
      </c>
      <c r="T29" s="184"/>
      <c r="U29" s="184">
        <f t="shared" si="2"/>
        <v>0.98902477759968843</v>
      </c>
      <c r="V29" s="187">
        <f>$V$51</f>
        <v>0.04</v>
      </c>
      <c r="W29" s="184">
        <f t="shared" si="3"/>
        <v>0.16301158325396831</v>
      </c>
      <c r="X29" s="187">
        <f t="shared" si="5"/>
        <v>6.5928210069555147E-3</v>
      </c>
      <c r="Y29" s="184">
        <f t="shared" si="4"/>
        <v>1.1520363608536568</v>
      </c>
      <c r="Z29" s="187">
        <f t="shared" si="6"/>
        <v>4.6592821006955519E-2</v>
      </c>
      <c r="AA29" s="185"/>
      <c r="AB29" s="188">
        <f t="shared" si="7"/>
        <v>5.7700000000000001E-2</v>
      </c>
      <c r="AC29" s="185"/>
      <c r="AD29" s="189">
        <f t="shared" si="8"/>
        <v>9.1020217197904749</v>
      </c>
      <c r="AE29" s="185"/>
      <c r="AF29" s="190">
        <f t="shared" si="9"/>
        <v>0.35007775845347983</v>
      </c>
      <c r="AG29" s="185"/>
      <c r="AH29" s="184"/>
      <c r="AI29" s="192"/>
      <c r="AJ29" s="160"/>
    </row>
    <row r="30" spans="2:38">
      <c r="B30" s="169"/>
      <c r="F30" s="152"/>
      <c r="G30" s="152"/>
      <c r="H30" s="194"/>
      <c r="I30" s="194"/>
      <c r="K30" s="194"/>
      <c r="L30" s="194"/>
      <c r="N30" s="194"/>
      <c r="O30" s="194"/>
      <c r="P30" s="160"/>
      <c r="Q30" s="195"/>
      <c r="R30" s="160"/>
      <c r="S30" s="195"/>
      <c r="T30" s="160"/>
      <c r="U30" s="194"/>
      <c r="V30" s="197"/>
      <c r="W30" s="194"/>
      <c r="X30" s="197"/>
      <c r="Y30" s="194"/>
      <c r="Z30" s="197"/>
      <c r="AA30" s="160"/>
      <c r="AB30" s="198"/>
      <c r="AC30" s="160"/>
      <c r="AD30" s="195"/>
      <c r="AE30" s="160"/>
      <c r="AF30" s="199"/>
      <c r="AG30" s="160"/>
      <c r="AH30" s="184"/>
      <c r="AI30" s="160"/>
      <c r="AJ30" s="160"/>
    </row>
    <row r="31" spans="2:38">
      <c r="B31" s="169"/>
      <c r="V31" s="200"/>
      <c r="X31" s="200"/>
      <c r="Z31" s="200"/>
      <c r="AB31" s="201"/>
      <c r="AF31" s="202"/>
      <c r="AH31" s="184"/>
      <c r="AI31" s="160"/>
      <c r="AJ31" s="160"/>
    </row>
    <row r="32" spans="2:38">
      <c r="B32" s="86">
        <f>MAX(B$13:B31)+1</f>
        <v>10</v>
      </c>
      <c r="D32" s="181" t="s">
        <v>343</v>
      </c>
      <c r="H32" s="203">
        <f>SUM(H22:H29)</f>
        <v>23780.5</v>
      </c>
      <c r="I32" s="203">
        <v>25040.286111110505</v>
      </c>
      <c r="K32" s="203">
        <f>SUM(K22:K29)</f>
        <v>3297111.0499705928</v>
      </c>
      <c r="L32" s="203">
        <v>2385955.1477159401</v>
      </c>
      <c r="M32" s="203"/>
      <c r="N32" s="184">
        <f>SUM(N22:N29)</f>
        <v>170969.95465759834</v>
      </c>
      <c r="O32" s="184">
        <v>167301.11792156796</v>
      </c>
      <c r="P32" s="185"/>
      <c r="Q32" s="186">
        <f ca="1">SUM(Q22:Q29)</f>
        <v>189864.44553245816</v>
      </c>
      <c r="R32" s="204"/>
      <c r="S32" s="186">
        <f ca="1">SUM(S22:S29)</f>
        <v>190966.39491693326</v>
      </c>
      <c r="T32" s="204"/>
      <c r="U32" s="184">
        <f ca="1">SUM(U22:U29)</f>
        <v>22563.327610890206</v>
      </c>
      <c r="V32" s="187">
        <f ca="1">U32/O32</f>
        <v>0.13486656808514613</v>
      </c>
      <c r="W32" s="184">
        <f ca="1">SUM(W22:W29)</f>
        <v>1101.9493844750675</v>
      </c>
      <c r="X32" s="187">
        <f ca="1">W32/O32</f>
        <v>6.5866229596365867E-3</v>
      </c>
      <c r="Y32" s="184">
        <f ca="1">U32+W32</f>
        <v>23665.276995365275</v>
      </c>
      <c r="Z32" s="187"/>
      <c r="AA32" s="185"/>
      <c r="AB32" s="188"/>
      <c r="AC32" s="185"/>
      <c r="AD32" s="189">
        <f ca="1">Q32/L32*100</f>
        <v>7.9575865336032905</v>
      </c>
      <c r="AE32" s="185"/>
      <c r="AF32" s="190">
        <f ca="1">(U32/L32)*100</f>
        <v>0.94567274797642109</v>
      </c>
      <c r="AG32" s="185"/>
      <c r="AH32" s="184"/>
      <c r="AI32" s="192"/>
      <c r="AJ32" s="160"/>
    </row>
    <row r="33" spans="2:37">
      <c r="B33" s="169"/>
      <c r="V33" s="200"/>
      <c r="X33" s="200"/>
      <c r="Z33" s="200"/>
      <c r="AB33" s="201"/>
      <c r="AF33" s="202"/>
      <c r="AH33" s="184"/>
      <c r="AI33" s="160"/>
      <c r="AJ33" s="160"/>
      <c r="AK33" s="155" t="s">
        <v>31</v>
      </c>
    </row>
    <row r="34" spans="2:37">
      <c r="B34" s="169"/>
      <c r="D34" s="181" t="s">
        <v>196</v>
      </c>
      <c r="V34" s="200"/>
      <c r="X34" s="200"/>
      <c r="Z34" s="200"/>
      <c r="AB34" s="201"/>
      <c r="AF34" s="202"/>
      <c r="AH34" s="184"/>
      <c r="AI34" s="160"/>
      <c r="AJ34" s="160"/>
    </row>
    <row r="35" spans="2:37">
      <c r="B35" s="86">
        <f>MAX(B$13:B34)+1</f>
        <v>11</v>
      </c>
      <c r="D35" s="154" t="s">
        <v>192</v>
      </c>
      <c r="F35" s="152" t="s">
        <v>193</v>
      </c>
      <c r="G35" s="152"/>
      <c r="H35" s="183">
        <v>2828</v>
      </c>
      <c r="I35" s="183">
        <v>2599.1666666666665</v>
      </c>
      <c r="K35" s="183">
        <v>3735.0893644456642</v>
      </c>
      <c r="L35" s="183">
        <v>3451.7298579341259</v>
      </c>
      <c r="N35" s="204">
        <v>473.92026673033644</v>
      </c>
      <c r="O35" s="204">
        <v>483.78807449751014</v>
      </c>
      <c r="P35" s="185"/>
      <c r="Q35" s="186">
        <f>O35+U35</f>
        <v>503.13959747741052</v>
      </c>
      <c r="R35" s="184"/>
      <c r="S35" s="186">
        <f>Q35+W35</f>
        <v>506.32899586614167</v>
      </c>
      <c r="T35" s="184"/>
      <c r="U35" s="184">
        <f>O35*V35</f>
        <v>19.351522979900405</v>
      </c>
      <c r="V35" s="187">
        <f>$V$51</f>
        <v>0.04</v>
      </c>
      <c r="W35" s="184">
        <f>(AB35/100)*L35</f>
        <v>3.1893983887311319</v>
      </c>
      <c r="X35" s="187">
        <f>W35/O35</f>
        <v>6.5925527247520993E-3</v>
      </c>
      <c r="Y35" s="184">
        <f>U35+W35</f>
        <v>22.540921368631537</v>
      </c>
      <c r="Z35" s="187">
        <f>Y35/O35</f>
        <v>4.6592552724752101E-2</v>
      </c>
      <c r="AA35" s="185"/>
      <c r="AB35" s="188">
        <f>ROUND((((O35/$O$44)*$W$53)/L35)*100,4)</f>
        <v>9.2399999999999996E-2</v>
      </c>
      <c r="AC35" s="185"/>
      <c r="AD35" s="189">
        <f>Q35/L35*100</f>
        <v>14.576447699720671</v>
      </c>
      <c r="AE35" s="185"/>
      <c r="AF35" s="190">
        <f>(U35/L35)*100</f>
        <v>0.56063260383541047</v>
      </c>
      <c r="AG35" s="185"/>
      <c r="AH35" s="184"/>
      <c r="AI35" s="192"/>
      <c r="AJ35" s="160"/>
    </row>
    <row r="36" spans="2:37">
      <c r="B36" s="86">
        <f>MAX(B$13:B35)+1</f>
        <v>12</v>
      </c>
      <c r="D36" s="154" t="s">
        <v>344</v>
      </c>
      <c r="F36" s="152" t="s">
        <v>345</v>
      </c>
      <c r="G36" s="152"/>
      <c r="H36" s="183">
        <v>178</v>
      </c>
      <c r="I36" s="183">
        <v>163</v>
      </c>
      <c r="K36" s="183">
        <v>2902.2385934150548</v>
      </c>
      <c r="L36" s="183">
        <v>3040.1869812590103</v>
      </c>
      <c r="N36" s="204">
        <v>522.31224201957195</v>
      </c>
      <c r="O36" s="204">
        <v>600.44497901647196</v>
      </c>
      <c r="P36" s="185"/>
      <c r="Q36" s="186">
        <f>O36+U36</f>
        <v>624.46277817713087</v>
      </c>
      <c r="R36" s="184"/>
      <c r="S36" s="186">
        <f>Q36+W36</f>
        <v>628.41806143974884</v>
      </c>
      <c r="T36" s="184"/>
      <c r="U36" s="184">
        <f>O36*V36</f>
        <v>24.017799160658878</v>
      </c>
      <c r="V36" s="187">
        <f t="shared" ref="V36:V39" si="11">$V$51</f>
        <v>0.04</v>
      </c>
      <c r="W36" s="184">
        <f>(AB36/100)*L36</f>
        <v>3.9552832626179719</v>
      </c>
      <c r="X36" s="187">
        <f>W36/O36</f>
        <v>6.587253455090457E-3</v>
      </c>
      <c r="Y36" s="184">
        <f>U36+W36</f>
        <v>27.97308242327685</v>
      </c>
      <c r="Z36" s="187">
        <f>Y36/O36</f>
        <v>4.6587253455090454E-2</v>
      </c>
      <c r="AA36" s="185"/>
      <c r="AB36" s="188">
        <f>ROUND((((O36/$O$44)*$W$53)/L36)*100,4)</f>
        <v>0.13009999999999999</v>
      </c>
      <c r="AC36" s="185"/>
      <c r="AD36" s="189">
        <f>Q36/L36*100</f>
        <v>20.540275385250371</v>
      </c>
      <c r="AE36" s="185"/>
      <c r="AF36" s="190">
        <f>(U36/L36)*100</f>
        <v>0.79001059174039889</v>
      </c>
      <c r="AG36" s="185"/>
      <c r="AH36" s="184"/>
      <c r="AI36" s="192"/>
      <c r="AJ36" s="160"/>
    </row>
    <row r="37" spans="2:37">
      <c r="B37" s="86">
        <f>MAX(B$13:B36)+1</f>
        <v>13</v>
      </c>
      <c r="D37" s="154" t="s">
        <v>344</v>
      </c>
      <c r="F37" s="152">
        <v>52</v>
      </c>
      <c r="G37" s="152"/>
      <c r="H37" s="183">
        <v>30</v>
      </c>
      <c r="I37" s="183">
        <v>18</v>
      </c>
      <c r="K37" s="183">
        <v>466.2387672357238</v>
      </c>
      <c r="L37" s="183">
        <v>286.69872495359812</v>
      </c>
      <c r="N37" s="204">
        <v>60.670270195709442</v>
      </c>
      <c r="O37" s="204">
        <v>46.625268810114008</v>
      </c>
      <c r="P37" s="185"/>
      <c r="Q37" s="186">
        <f>O37+U37</f>
        <v>48.490279562518566</v>
      </c>
      <c r="R37" s="184"/>
      <c r="S37" s="186">
        <f>Q37+W37</f>
        <v>48.797620595668825</v>
      </c>
      <c r="T37" s="184"/>
      <c r="U37" s="184">
        <f>O37*V37</f>
        <v>1.8650107524045603</v>
      </c>
      <c r="V37" s="187">
        <f t="shared" si="11"/>
        <v>0.04</v>
      </c>
      <c r="W37" s="184">
        <f>(AB37/100)*L37</f>
        <v>0.30734103315025718</v>
      </c>
      <c r="X37" s="187">
        <f>W37/O37</f>
        <v>6.5917267823577333E-3</v>
      </c>
      <c r="Y37" s="184">
        <f>U37+W37</f>
        <v>2.1723517855548176</v>
      </c>
      <c r="Z37" s="187">
        <f>Y37/O37</f>
        <v>4.6591726782357734E-2</v>
      </c>
      <c r="AA37" s="185"/>
      <c r="AB37" s="188">
        <f>ROUND((((O37/$O$44)*$W$53)/L37)*100,4)</f>
        <v>0.1072</v>
      </c>
      <c r="AC37" s="185"/>
      <c r="AD37" s="189">
        <f>Q37/L37*100</f>
        <v>16.91332236317642</v>
      </c>
      <c r="AE37" s="185"/>
      <c r="AF37" s="190">
        <f>(U37/L37)*100</f>
        <v>0.65051239858370846</v>
      </c>
      <c r="AG37" s="185"/>
      <c r="AH37" s="184"/>
      <c r="AI37" s="192"/>
      <c r="AJ37" s="160"/>
    </row>
    <row r="38" spans="2:37">
      <c r="B38" s="86">
        <f>MAX(B$13:B37)+1</f>
        <v>14</v>
      </c>
      <c r="D38" s="154" t="s">
        <v>344</v>
      </c>
      <c r="F38" s="152">
        <v>53</v>
      </c>
      <c r="G38" s="152"/>
      <c r="H38" s="183">
        <v>272.33333333333337</v>
      </c>
      <c r="I38" s="183">
        <v>220</v>
      </c>
      <c r="K38" s="183">
        <v>4499.9316487570059</v>
      </c>
      <c r="L38" s="183">
        <v>4281.2354932644366</v>
      </c>
      <c r="N38" s="183">
        <v>278.83306975907675</v>
      </c>
      <c r="O38" s="183">
        <v>296.22757767019584</v>
      </c>
      <c r="P38" s="185"/>
      <c r="Q38" s="186">
        <f>O38+U38</f>
        <v>308.07668077700367</v>
      </c>
      <c r="R38" s="184"/>
      <c r="S38" s="186">
        <f>Q38+W38</f>
        <v>310.02892416193225</v>
      </c>
      <c r="T38" s="184"/>
      <c r="U38" s="184">
        <f>O38*V38</f>
        <v>11.849103106807833</v>
      </c>
      <c r="V38" s="187">
        <f t="shared" si="11"/>
        <v>0.04</v>
      </c>
      <c r="W38" s="184">
        <f>(AB38/100)*L38</f>
        <v>1.9522433849285832</v>
      </c>
      <c r="X38" s="187">
        <f>W38/O38</f>
        <v>6.590349893425885E-3</v>
      </c>
      <c r="Y38" s="184">
        <f>U38+W38</f>
        <v>13.801346491736416</v>
      </c>
      <c r="Z38" s="187">
        <f>Y38/O38</f>
        <v>4.6590349893425878E-2</v>
      </c>
      <c r="AA38" s="185"/>
      <c r="AB38" s="188">
        <f>ROUND((((O38/$O$44)*$W$53)/L38)*100,4)</f>
        <v>4.5600000000000002E-2</v>
      </c>
      <c r="AC38" s="185"/>
      <c r="AD38" s="189">
        <f>Q38/L38*100</f>
        <v>7.1959760508781443</v>
      </c>
      <c r="AE38" s="185"/>
      <c r="AF38" s="190">
        <f>(U38/L38)*100</f>
        <v>0.27676830964915944</v>
      </c>
      <c r="AG38" s="185"/>
      <c r="AH38" s="184"/>
      <c r="AI38" s="192"/>
      <c r="AJ38" s="160"/>
    </row>
    <row r="39" spans="2:37">
      <c r="B39" s="86">
        <f>MAX(B$13:B38)+1</f>
        <v>15</v>
      </c>
      <c r="D39" s="154" t="s">
        <v>344</v>
      </c>
      <c r="F39" s="152">
        <v>57</v>
      </c>
      <c r="G39" s="152"/>
      <c r="H39" s="183">
        <v>50.666666666666664</v>
      </c>
      <c r="I39" s="183">
        <v>41.083333333333336</v>
      </c>
      <c r="K39" s="183">
        <v>2174.0459905922153</v>
      </c>
      <c r="L39" s="183">
        <v>1789.527800522955</v>
      </c>
      <c r="N39" s="183">
        <v>235.8029580256418</v>
      </c>
      <c r="O39" s="183">
        <v>218.66521450321807</v>
      </c>
      <c r="P39" s="185"/>
      <c r="Q39" s="186">
        <f>O39+U39</f>
        <v>227.4118230833468</v>
      </c>
      <c r="R39" s="184"/>
      <c r="S39" s="186">
        <f>Q39+W39</f>
        <v>228.85239296276779</v>
      </c>
      <c r="T39" s="184"/>
      <c r="U39" s="184">
        <f>O39*V39</f>
        <v>8.7466085801287221</v>
      </c>
      <c r="V39" s="187">
        <f t="shared" si="11"/>
        <v>0.04</v>
      </c>
      <c r="W39" s="184">
        <f>(AB39/100)*L39</f>
        <v>1.4405698794209789</v>
      </c>
      <c r="X39" s="187">
        <f>W39/O39</f>
        <v>6.5880157605030416E-3</v>
      </c>
      <c r="Y39" s="184">
        <f>U39+W39</f>
        <v>10.187178459549701</v>
      </c>
      <c r="Z39" s="187">
        <f>Y39/O39</f>
        <v>4.6588015760503039E-2</v>
      </c>
      <c r="AA39" s="185"/>
      <c r="AB39" s="188">
        <f>ROUND((((O39/$O$44)*$W$53)/L39)*100,4)</f>
        <v>8.0500000000000002E-2</v>
      </c>
      <c r="AC39" s="185"/>
      <c r="AD39" s="189">
        <f>Q39/L39*100</f>
        <v>12.707923454270457</v>
      </c>
      <c r="AE39" s="185"/>
      <c r="AF39" s="190">
        <f>(U39/L39)*100</f>
        <v>0.48876628670270977</v>
      </c>
      <c r="AG39" s="185"/>
      <c r="AH39" s="184"/>
      <c r="AI39" s="192"/>
      <c r="AJ39" s="160"/>
    </row>
    <row r="40" spans="2:37">
      <c r="B40" s="169"/>
      <c r="H40" s="194"/>
      <c r="I40" s="194"/>
      <c r="K40" s="194"/>
      <c r="L40" s="194"/>
      <c r="N40" s="194"/>
      <c r="O40" s="194"/>
      <c r="P40" s="160"/>
      <c r="Q40" s="195"/>
      <c r="R40" s="160"/>
      <c r="S40" s="195"/>
      <c r="T40" s="160"/>
      <c r="U40" s="194"/>
      <c r="V40" s="197"/>
      <c r="W40" s="194"/>
      <c r="X40" s="197"/>
      <c r="Y40" s="194"/>
      <c r="Z40" s="197"/>
      <c r="AA40" s="160"/>
      <c r="AB40" s="198"/>
      <c r="AC40" s="160"/>
      <c r="AD40" s="195"/>
      <c r="AE40" s="160"/>
      <c r="AF40" s="199"/>
      <c r="AG40" s="160"/>
      <c r="AH40" s="184"/>
      <c r="AI40" s="160"/>
      <c r="AJ40" s="160"/>
    </row>
    <row r="41" spans="2:37">
      <c r="B41" s="169"/>
      <c r="V41" s="200"/>
      <c r="X41" s="200"/>
      <c r="Z41" s="200"/>
      <c r="AB41" s="201"/>
      <c r="AF41" s="202"/>
      <c r="AH41" s="184"/>
      <c r="AI41" s="160"/>
      <c r="AJ41" s="160"/>
    </row>
    <row r="42" spans="2:37">
      <c r="B42" s="86">
        <f>MAX(B$13:B41)+1</f>
        <v>16</v>
      </c>
      <c r="D42" s="181" t="s">
        <v>346</v>
      </c>
      <c r="H42" s="208">
        <f>SUM(H35:H39)</f>
        <v>3359</v>
      </c>
      <c r="I42" s="208">
        <v>3041.25</v>
      </c>
      <c r="K42" s="208">
        <f>SUM(K35:K39)</f>
        <v>13777.544364445665</v>
      </c>
      <c r="L42" s="208">
        <v>12849.378857934127</v>
      </c>
      <c r="M42" s="203"/>
      <c r="N42" s="209">
        <f>SUM(N35:N39)</f>
        <v>1571.5388067303365</v>
      </c>
      <c r="O42" s="209">
        <v>1645.7511144975101</v>
      </c>
      <c r="P42" s="192"/>
      <c r="Q42" s="209">
        <f>SUM(Q35:Q39)</f>
        <v>1711.5811590774106</v>
      </c>
      <c r="R42" s="210"/>
      <c r="S42" s="209">
        <f>SUM(S35:S39)</f>
        <v>1722.4259950262594</v>
      </c>
      <c r="T42" s="210"/>
      <c r="U42" s="209">
        <f>SUM(U35:U39)</f>
        <v>65.830044579900402</v>
      </c>
      <c r="V42" s="211">
        <f>U42/O42</f>
        <v>0.04</v>
      </c>
      <c r="W42" s="209">
        <f>SUM(W35:W39)</f>
        <v>10.844835948848923</v>
      </c>
      <c r="X42" s="211">
        <f>W42/O42</f>
        <v>6.5895966001883145E-3</v>
      </c>
      <c r="Y42" s="209">
        <f>U42+W42</f>
        <v>76.674880528749327</v>
      </c>
      <c r="Z42" s="211">
        <f>Y42/O42</f>
        <v>4.6589596600188313E-2</v>
      </c>
      <c r="AA42" s="192"/>
      <c r="AB42" s="188"/>
      <c r="AC42" s="192"/>
      <c r="AD42" s="212">
        <f>Q42/L42*100</f>
        <v>13.320341613404588</v>
      </c>
      <c r="AE42" s="192"/>
      <c r="AF42" s="213">
        <f>(U42/L42)*100</f>
        <v>0.51232083128479178</v>
      </c>
      <c r="AG42" s="192"/>
      <c r="AH42" s="184"/>
      <c r="AI42" s="192"/>
      <c r="AJ42" s="160"/>
    </row>
    <row r="43" spans="2:37">
      <c r="B43" s="169"/>
      <c r="D43" s="181"/>
      <c r="H43" s="215"/>
      <c r="I43" s="215"/>
      <c r="K43" s="215"/>
      <c r="L43" s="215"/>
      <c r="M43" s="203"/>
      <c r="N43" s="210"/>
      <c r="O43" s="210"/>
      <c r="P43" s="210"/>
      <c r="Q43" s="210"/>
      <c r="R43" s="210"/>
      <c r="S43" s="210"/>
      <c r="T43" s="210"/>
      <c r="U43" s="210"/>
      <c r="V43" s="216"/>
      <c r="W43" s="210"/>
      <c r="X43" s="216"/>
      <c r="Y43" s="210"/>
      <c r="Z43" s="217"/>
      <c r="AA43" s="210"/>
      <c r="AB43" s="218"/>
      <c r="AC43" s="210"/>
      <c r="AD43" s="210"/>
      <c r="AE43" s="210"/>
      <c r="AF43" s="219"/>
      <c r="AG43" s="210"/>
      <c r="AH43" s="184"/>
      <c r="AI43" s="210"/>
      <c r="AJ43" s="160"/>
    </row>
    <row r="44" spans="2:37" ht="16.5" thickBot="1">
      <c r="B44" s="86">
        <f>MAX(B$13:B43)+1</f>
        <v>17</v>
      </c>
      <c r="D44" s="220" t="s">
        <v>347</v>
      </c>
      <c r="H44" s="221">
        <f>H42+H32+H19</f>
        <v>128476.41666666667</v>
      </c>
      <c r="I44" s="221">
        <v>132378.51388888829</v>
      </c>
      <c r="K44" s="221">
        <f>K42+K32+K19</f>
        <v>4880827.1987742558</v>
      </c>
      <c r="L44" s="221">
        <v>4000612.315474519</v>
      </c>
      <c r="N44" s="222">
        <f>N42+N32+N19</f>
        <v>275214.43788963149</v>
      </c>
      <c r="O44" s="222">
        <v>303518.15613999998</v>
      </c>
      <c r="P44" s="192"/>
      <c r="Q44" s="222">
        <f ca="1">Q42+Q32+Q19</f>
        <v>346319.51657133218</v>
      </c>
      <c r="R44" s="223"/>
      <c r="S44" s="222">
        <f ca="1">S42+S32+S19</f>
        <v>348319.71230680705</v>
      </c>
      <c r="T44" s="223"/>
      <c r="U44" s="222">
        <f ca="1">U42+U32+U19</f>
        <v>42801.360431332185</v>
      </c>
      <c r="V44" s="224">
        <f ca="1">U44/O44</f>
        <v>0.14101746325709011</v>
      </c>
      <c r="W44" s="222">
        <f ca="1">W42+W32+W19</f>
        <v>2000.1957354748738</v>
      </c>
      <c r="X44" s="224">
        <f ca="1">W44/O44</f>
        <v>6.5900365266856357E-3</v>
      </c>
      <c r="Y44" s="222">
        <f ca="1">U44+W44</f>
        <v>44801.556166807059</v>
      </c>
      <c r="Z44" s="224">
        <f ca="1">Y44/O44</f>
        <v>0.14760749978377574</v>
      </c>
      <c r="AA44" s="192"/>
      <c r="AB44" s="225">
        <f>ROUND((((O44/$O$44)*$W$53)/L44)*100,4)</f>
        <v>0.05</v>
      </c>
      <c r="AC44" s="192"/>
      <c r="AD44" s="226">
        <f ca="1">Q44/L44*100</f>
        <v>8.6566627621415666</v>
      </c>
      <c r="AE44" s="192"/>
      <c r="AF44" s="226">
        <f ca="1">(U44/L44)*100</f>
        <v>1.0698702362579577</v>
      </c>
      <c r="AG44" s="192"/>
      <c r="AH44" s="184"/>
      <c r="AI44" s="192"/>
      <c r="AJ44" s="193" t="s">
        <v>31</v>
      </c>
    </row>
    <row r="45" spans="2:37" ht="16.5" thickTop="1">
      <c r="B45" s="1941" t="s">
        <v>31</v>
      </c>
      <c r="C45" s="1942"/>
      <c r="D45" s="1942"/>
      <c r="H45" s="227"/>
      <c r="I45" s="227"/>
      <c r="K45" s="227"/>
      <c r="L45" s="227"/>
      <c r="N45" s="223"/>
      <c r="O45" s="223"/>
      <c r="P45" s="192"/>
      <c r="Q45" s="223"/>
      <c r="R45" s="223"/>
      <c r="S45" s="223"/>
      <c r="T45" s="223"/>
      <c r="U45" s="223"/>
      <c r="V45" s="200"/>
      <c r="W45" s="223"/>
      <c r="X45" s="200"/>
      <c r="Y45" s="192"/>
      <c r="AA45" s="192"/>
      <c r="AB45" s="192"/>
      <c r="AC45" s="192"/>
      <c r="AD45" s="192"/>
      <c r="AE45" s="192"/>
      <c r="AF45" s="190"/>
      <c r="AG45" s="192"/>
      <c r="AH45" s="184"/>
      <c r="AI45" s="192"/>
      <c r="AJ45" s="160"/>
    </row>
    <row r="46" spans="2:37">
      <c r="B46" s="86">
        <v>18</v>
      </c>
      <c r="D46" s="228" t="s">
        <v>348</v>
      </c>
      <c r="H46" s="227"/>
      <c r="I46" s="227"/>
      <c r="K46" s="227"/>
      <c r="L46" s="227"/>
      <c r="N46" s="223">
        <v>311.00673999999998</v>
      </c>
      <c r="O46" s="223">
        <v>545.05217999999991</v>
      </c>
      <c r="P46" s="229"/>
      <c r="Q46" s="186">
        <f>O46</f>
        <v>545.05217999999991</v>
      </c>
      <c r="R46" s="223"/>
      <c r="S46" s="186">
        <f>Q46</f>
        <v>545.05217999999991</v>
      </c>
      <c r="T46" s="223"/>
      <c r="U46" s="760" t="s">
        <v>31</v>
      </c>
      <c r="V46" s="187"/>
      <c r="W46" s="207"/>
      <c r="X46" s="187"/>
      <c r="Y46" s="192"/>
      <c r="AA46" s="192"/>
      <c r="AB46" s="192"/>
      <c r="AC46" s="192"/>
      <c r="AD46" s="189"/>
      <c r="AE46" s="185"/>
      <c r="AF46" s="190"/>
      <c r="AG46" s="192"/>
      <c r="AH46" s="190"/>
      <c r="AI46" s="192"/>
      <c r="AJ46" s="160"/>
    </row>
    <row r="47" spans="2:37">
      <c r="B47" s="86"/>
      <c r="D47" s="228"/>
      <c r="H47" s="227"/>
      <c r="I47" s="227"/>
      <c r="K47" s="227"/>
      <c r="L47" s="227"/>
      <c r="N47" s="223"/>
      <c r="O47" s="223"/>
      <c r="P47" s="229"/>
      <c r="Q47" s="186"/>
      <c r="R47" s="223"/>
      <c r="S47" s="186"/>
      <c r="T47" s="223"/>
      <c r="U47" s="207"/>
      <c r="V47" s="187"/>
      <c r="W47" s="207"/>
      <c r="X47" s="187"/>
      <c r="Y47" s="192"/>
      <c r="AA47" s="192"/>
      <c r="AB47" s="192"/>
      <c r="AC47" s="192"/>
      <c r="AD47" s="189"/>
      <c r="AE47" s="185"/>
      <c r="AF47" s="190"/>
      <c r="AG47" s="192"/>
      <c r="AH47" s="190"/>
      <c r="AI47" s="192"/>
      <c r="AJ47" s="160"/>
    </row>
    <row r="48" spans="2:37" ht="16.5" thickBot="1">
      <c r="B48" s="86">
        <v>19</v>
      </c>
      <c r="D48" s="87" t="s">
        <v>197</v>
      </c>
      <c r="H48" s="230">
        <f>SUM(H44:H46)</f>
        <v>128476.41666666667</v>
      </c>
      <c r="I48" s="230">
        <v>132378.51388888829</v>
      </c>
      <c r="K48" s="230">
        <f>SUM(K44:K46)</f>
        <v>4880827.1987742558</v>
      </c>
      <c r="L48" s="230">
        <v>4000612.315474519</v>
      </c>
      <c r="N48" s="222">
        <f>SUM(N44:N46)</f>
        <v>275525.44462963147</v>
      </c>
      <c r="O48" s="222">
        <v>304063.20831999998</v>
      </c>
      <c r="Q48" s="231">
        <f ca="1">SUM(Q44:Q46)</f>
        <v>346864.56875133218</v>
      </c>
      <c r="R48" s="223"/>
      <c r="S48" s="231">
        <f ca="1">SUM(S44:S46)</f>
        <v>348864.76448680705</v>
      </c>
      <c r="T48" s="223"/>
      <c r="U48" s="222">
        <f ca="1">SUM(U44:U46)</f>
        <v>42801.360431332185</v>
      </c>
      <c r="V48" s="1202">
        <f ca="1">U48/O48</f>
        <v>0.14076468069851941</v>
      </c>
      <c r="W48" s="222">
        <f ca="1">SUM(W44:W46)</f>
        <v>2000.1957354748738</v>
      </c>
      <c r="X48" s="224">
        <f ca="1">W48/O48</f>
        <v>6.5782234770404794E-3</v>
      </c>
      <c r="AD48" s="226">
        <f ca="1">Q48/L48*100</f>
        <v>8.6702869810615475</v>
      </c>
      <c r="AE48" s="185"/>
      <c r="AF48" s="190">
        <f ca="1">(U48/L48)*100</f>
        <v>1.0698702362579577</v>
      </c>
      <c r="AH48" s="160"/>
      <c r="AI48" s="160"/>
      <c r="AJ48" s="160"/>
    </row>
    <row r="49" spans="14:35" ht="18.75" customHeight="1" thickTop="1">
      <c r="V49" s="232" t="s">
        <v>31</v>
      </c>
      <c r="X49" s="232" t="s">
        <v>31</v>
      </c>
    </row>
    <row r="50" spans="14:35" ht="18.75" customHeight="1">
      <c r="U50" s="153">
        <v>45579</v>
      </c>
      <c r="V50" s="235">
        <f>(U50/O48)</f>
        <v>0.14989975358028876</v>
      </c>
      <c r="X50" s="232"/>
      <c r="AD50" s="200">
        <f ca="1">V50/V48</f>
        <v>1.064896057991523</v>
      </c>
    </row>
    <row r="51" spans="14:35" ht="18.75" customHeight="1">
      <c r="U51" s="781" t="s">
        <v>732</v>
      </c>
      <c r="V51" s="235">
        <v>0.04</v>
      </c>
      <c r="X51" s="232"/>
    </row>
    <row r="52" spans="14:35" ht="18.75" customHeight="1">
      <c r="U52" s="1201" t="s">
        <v>928</v>
      </c>
      <c r="V52" s="235">
        <v>0.1196489217305137</v>
      </c>
      <c r="X52" s="232"/>
    </row>
    <row r="53" spans="14:35">
      <c r="N53" s="233"/>
      <c r="O53" s="233"/>
      <c r="P53" s="160"/>
      <c r="S53" s="207"/>
      <c r="U53" s="760" t="s">
        <v>39</v>
      </c>
      <c r="V53" s="235">
        <v>0.14076</v>
      </c>
      <c r="W53" s="207">
        <v>2000</v>
      </c>
      <c r="X53" s="234"/>
      <c r="Y53" s="160"/>
      <c r="AA53" s="160"/>
      <c r="AB53" s="160"/>
      <c r="AC53" s="160"/>
      <c r="AD53" s="160"/>
      <c r="AE53" s="160"/>
      <c r="AF53" s="160"/>
      <c r="AG53" s="160"/>
      <c r="AH53" s="160"/>
      <c r="AI53" s="160"/>
    </row>
    <row r="54" spans="14:35">
      <c r="P54" s="160"/>
      <c r="U54" s="235"/>
      <c r="Y54" s="160"/>
      <c r="Z54" s="160"/>
      <c r="AA54" s="160"/>
      <c r="AB54" s="160"/>
      <c r="AC54" s="160"/>
      <c r="AD54" s="223"/>
      <c r="AE54" s="160"/>
      <c r="AF54" s="160"/>
      <c r="AG54" s="160"/>
      <c r="AH54" s="160"/>
      <c r="AI54" s="160"/>
    </row>
    <row r="55" spans="14:35">
      <c r="P55" s="191"/>
      <c r="U55" s="236"/>
      <c r="V55" s="1242"/>
      <c r="W55" s="236"/>
    </row>
    <row r="56" spans="14:35">
      <c r="P56" s="160"/>
      <c r="U56" s="238"/>
      <c r="V56" s="239"/>
      <c r="W56" s="238"/>
    </row>
    <row r="57" spans="14:35" hidden="1">
      <c r="P57" s="180"/>
      <c r="U57" s="240"/>
      <c r="V57" s="241"/>
      <c r="W57" s="240"/>
    </row>
    <row r="58" spans="14:35" hidden="1">
      <c r="P58" s="180"/>
      <c r="U58" s="240"/>
      <c r="V58" s="241"/>
      <c r="W58" s="240"/>
    </row>
    <row r="59" spans="14:35">
      <c r="P59" s="155"/>
      <c r="U59" s="240"/>
      <c r="V59" s="241"/>
      <c r="W59" s="240"/>
    </row>
    <row r="60" spans="14:35">
      <c r="P60" s="242"/>
      <c r="V60" s="200"/>
    </row>
    <row r="61" spans="14:35">
      <c r="P61" s="155"/>
      <c r="V61" s="243"/>
      <c r="AD61" s="155"/>
    </row>
    <row r="63" spans="14:35">
      <c r="P63" s="155"/>
      <c r="V63" s="243"/>
      <c r="X63" s="14"/>
    </row>
  </sheetData>
  <mergeCells count="4">
    <mergeCell ref="Q9:S9"/>
    <mergeCell ref="U9:Z9"/>
    <mergeCell ref="W11:X11"/>
    <mergeCell ref="B45:D45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Q1201"/>
  <sheetViews>
    <sheetView view="pageBreakPreview" zoomScale="70" zoomScaleNormal="75" zoomScaleSheetLayoutView="70" workbookViewId="0">
      <pane ySplit="6" topLeftCell="A79" activePane="bottomLeft" state="frozen"/>
      <selection activeCell="AL29" sqref="AL29"/>
      <selection pane="bottomLeft" activeCell="N30" sqref="N30"/>
    </sheetView>
  </sheetViews>
  <sheetFormatPr defaultColWidth="10.25" defaultRowHeight="15"/>
  <cols>
    <col min="1" max="1" width="27" style="1362" customWidth="1"/>
    <col min="2" max="2" width="14.75" style="1362" bestFit="1" customWidth="1"/>
    <col min="3" max="3" width="14.875" style="1362" hidden="1" customWidth="1"/>
    <col min="4" max="4" width="2.125" style="1362" hidden="1" customWidth="1"/>
    <col min="5" max="5" width="16.875" style="1362" hidden="1" customWidth="1"/>
    <col min="6" max="6" width="10.125" style="1362" bestFit="1" customWidth="1"/>
    <col min="7" max="7" width="2.625" style="1362" customWidth="1"/>
    <col min="8" max="8" width="15.375" style="1362" bestFit="1" customWidth="1"/>
    <col min="9" max="9" width="12.25" style="1362" bestFit="1" customWidth="1"/>
    <col min="10" max="10" width="2.625" style="1362" bestFit="1" customWidth="1"/>
    <col min="11" max="11" width="15.375" style="1362" bestFit="1" customWidth="1"/>
    <col min="12" max="12" width="1.25" style="1362" customWidth="1"/>
    <col min="13" max="13" width="16.375" style="1362" hidden="1" customWidth="1"/>
    <col min="14" max="14" width="14.75" style="1362" bestFit="1" customWidth="1"/>
    <col min="15" max="15" width="15.125" style="1381" bestFit="1" customWidth="1"/>
    <col min="16" max="16" width="10.5" style="1381" bestFit="1" customWidth="1"/>
    <col min="17" max="17" width="8.125" style="1381" bestFit="1" customWidth="1"/>
    <col min="18" max="18" width="13" style="1362" customWidth="1"/>
    <col min="19" max="19" width="17" style="1362" customWidth="1"/>
    <col min="20" max="20" width="13" style="1393" customWidth="1"/>
    <col min="21" max="21" width="17.125" style="1393" bestFit="1" customWidth="1"/>
    <col min="22" max="22" width="14.75" style="1393" customWidth="1"/>
    <col min="23" max="23" width="13.25" style="1362" bestFit="1" customWidth="1"/>
    <col min="24" max="24" width="13" style="1362" bestFit="1" customWidth="1"/>
    <col min="25" max="25" width="12.25" style="1362" bestFit="1" customWidth="1"/>
    <col min="26" max="26" width="5.5" style="1362" bestFit="1" customWidth="1"/>
    <col min="27" max="27" width="18" style="1362" customWidth="1"/>
    <col min="28" max="28" width="10.25" style="1362" customWidth="1"/>
    <col min="29" max="29" width="12.125" style="1362" customWidth="1"/>
    <col min="30" max="16384" width="10.25" style="1362"/>
  </cols>
  <sheetData>
    <row r="1" spans="1:36">
      <c r="A1" s="1867" t="s">
        <v>1032</v>
      </c>
      <c r="B1" s="1867"/>
      <c r="C1" s="1867"/>
      <c r="D1" s="1867"/>
      <c r="E1" s="1867"/>
      <c r="F1" s="1867"/>
      <c r="G1" s="1867"/>
      <c r="H1" s="1867"/>
      <c r="I1" s="1867"/>
      <c r="J1" s="1867"/>
      <c r="K1" s="1867"/>
      <c r="M1" s="1363"/>
      <c r="N1" s="1363"/>
      <c r="O1" s="1364"/>
      <c r="P1" s="1364"/>
      <c r="Q1" s="1364"/>
      <c r="R1" s="1363"/>
      <c r="S1" s="1363"/>
      <c r="T1" s="1365"/>
      <c r="U1" s="1365"/>
      <c r="V1" s="1365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</row>
    <row r="2" spans="1:36">
      <c r="A2" s="1867" t="s">
        <v>1065</v>
      </c>
      <c r="B2" s="1867"/>
      <c r="C2" s="1867"/>
      <c r="D2" s="1867"/>
      <c r="E2" s="1867"/>
      <c r="F2" s="1867"/>
      <c r="G2" s="1867"/>
      <c r="H2" s="1867"/>
      <c r="I2" s="1867"/>
      <c r="J2" s="1867"/>
      <c r="K2" s="1867"/>
      <c r="M2" s="1363"/>
      <c r="N2" s="1363"/>
      <c r="O2" s="1364"/>
      <c r="P2" s="1364"/>
      <c r="Q2" s="1364"/>
      <c r="R2" s="1363"/>
      <c r="S2" s="1363"/>
      <c r="T2" s="1365"/>
      <c r="U2" s="1365"/>
      <c r="V2" s="1365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</row>
    <row r="3" spans="1:36">
      <c r="A3" s="1867" t="s">
        <v>1033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M3" s="1363"/>
      <c r="N3" s="1363"/>
      <c r="O3" s="1364"/>
      <c r="P3" s="1364"/>
      <c r="Q3" s="1364"/>
      <c r="R3" s="1363"/>
      <c r="S3" s="1363"/>
      <c r="T3" s="1365"/>
      <c r="U3" s="1365"/>
      <c r="V3" s="1365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</row>
    <row r="4" spans="1:36">
      <c r="A4" s="1868" t="s">
        <v>1034</v>
      </c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M4" s="1363"/>
      <c r="N4" s="1363"/>
      <c r="O4" s="1364"/>
      <c r="P4" s="1364"/>
      <c r="Q4" s="1364"/>
      <c r="R4" s="1363"/>
      <c r="S4" s="1363"/>
      <c r="T4" s="1365"/>
      <c r="U4" s="1365"/>
      <c r="V4" s="1365"/>
      <c r="W4" s="1363"/>
      <c r="X4" s="1363"/>
      <c r="Y4" s="1363"/>
      <c r="Z4" s="1363"/>
      <c r="AA4" s="1363"/>
      <c r="AB4" s="1363"/>
      <c r="AC4" s="1363"/>
      <c r="AD4" s="1363"/>
      <c r="AE4" s="1363"/>
      <c r="AF4" s="1363"/>
      <c r="AG4" s="1363"/>
      <c r="AH4" s="1363"/>
    </row>
    <row r="5" spans="1:36">
      <c r="A5" s="1287"/>
      <c r="B5" s="1360"/>
      <c r="C5" s="1361"/>
      <c r="D5" s="1361"/>
      <c r="E5" s="1360"/>
      <c r="F5" s="1361"/>
      <c r="G5" s="1361"/>
      <c r="H5" s="1360"/>
      <c r="I5" s="1361"/>
      <c r="J5" s="1360"/>
      <c r="K5" s="1360"/>
      <c r="M5" s="1363"/>
      <c r="N5" s="1363"/>
      <c r="O5" s="1364"/>
      <c r="P5" s="1364"/>
      <c r="Q5" s="1364"/>
      <c r="R5" s="1363"/>
      <c r="S5" s="1363"/>
      <c r="T5" s="1869" t="s">
        <v>1005</v>
      </c>
      <c r="U5" s="1869"/>
      <c r="V5" s="1869"/>
      <c r="W5" s="1363"/>
      <c r="X5" s="1363"/>
      <c r="Y5" s="1363"/>
      <c r="Z5" s="1363"/>
      <c r="AA5" s="1363"/>
      <c r="AB5" s="1363"/>
      <c r="AC5" s="1363"/>
      <c r="AD5" s="1363"/>
      <c r="AE5" s="1363"/>
      <c r="AF5" s="1363"/>
      <c r="AG5" s="1363"/>
      <c r="AH5" s="1363"/>
    </row>
    <row r="6" spans="1:36" s="1366" customFormat="1" ht="29.25">
      <c r="A6" s="1355" t="s">
        <v>204</v>
      </c>
      <c r="B6" s="1355" t="s">
        <v>1062</v>
      </c>
      <c r="C6" s="1356" t="s">
        <v>13</v>
      </c>
      <c r="D6" s="1357"/>
      <c r="E6" s="1356" t="s">
        <v>306</v>
      </c>
      <c r="F6" s="1356" t="s">
        <v>527</v>
      </c>
      <c r="G6" s="1358"/>
      <c r="H6" s="1359" t="s">
        <v>1064</v>
      </c>
      <c r="I6" s="1356" t="s">
        <v>528</v>
      </c>
      <c r="J6" s="1356"/>
      <c r="K6" s="1356" t="s">
        <v>1063</v>
      </c>
      <c r="M6" s="1358"/>
      <c r="N6" s="1367"/>
      <c r="O6" s="1368"/>
      <c r="P6" s="1368"/>
      <c r="Q6" s="1368"/>
      <c r="R6" s="1367"/>
      <c r="S6" s="1367"/>
      <c r="T6" s="1369" t="s">
        <v>374</v>
      </c>
      <c r="U6" s="1369" t="s">
        <v>307</v>
      </c>
      <c r="V6" s="1369" t="s">
        <v>977</v>
      </c>
      <c r="W6" s="1367"/>
      <c r="X6" s="1367"/>
      <c r="Y6" s="1367"/>
      <c r="Z6" s="1367"/>
      <c r="AA6" s="1367"/>
      <c r="AB6" s="1367"/>
      <c r="AC6" s="1367"/>
      <c r="AD6" s="1367"/>
      <c r="AE6" s="1367"/>
      <c r="AF6" s="1367"/>
      <c r="AG6" s="1367"/>
      <c r="AH6" s="1367"/>
    </row>
    <row r="7" spans="1:36">
      <c r="A7" s="1370" t="s">
        <v>371</v>
      </c>
      <c r="B7" s="1371"/>
      <c r="C7" s="1372"/>
      <c r="D7" s="1372"/>
      <c r="E7" s="1371"/>
      <c r="F7" s="1372"/>
      <c r="G7" s="1371"/>
      <c r="H7" s="1371"/>
      <c r="I7" s="1372"/>
      <c r="J7" s="1371"/>
      <c r="K7" s="1371"/>
      <c r="M7" s="1363"/>
      <c r="N7" s="1363"/>
      <c r="O7" s="1364"/>
      <c r="P7" s="1364"/>
      <c r="Q7" s="1364"/>
      <c r="R7" s="1363"/>
      <c r="S7" s="1363"/>
      <c r="T7" s="1365"/>
      <c r="U7" s="1365"/>
      <c r="V7" s="1365"/>
      <c r="W7" s="1363"/>
      <c r="X7" s="1363"/>
      <c r="Y7" s="1363"/>
      <c r="Z7" s="1363"/>
      <c r="AA7" s="1363"/>
      <c r="AB7" s="1363"/>
      <c r="AC7" s="1363"/>
      <c r="AD7" s="1363"/>
      <c r="AE7" s="1363"/>
      <c r="AF7" s="1363"/>
      <c r="AG7" s="1363"/>
      <c r="AH7" s="1363"/>
      <c r="AJ7" s="1373"/>
    </row>
    <row r="8" spans="1:36">
      <c r="A8" s="1371" t="s">
        <v>372</v>
      </c>
      <c r="B8" s="1371"/>
      <c r="C8" s="1372"/>
      <c r="D8" s="1372"/>
      <c r="E8" s="1371"/>
      <c r="F8" s="1372"/>
      <c r="G8" s="1371"/>
      <c r="H8" s="1371"/>
      <c r="I8" s="1372"/>
      <c r="J8" s="1371"/>
      <c r="K8" s="1371"/>
      <c r="M8" s="1374"/>
      <c r="N8" s="1374"/>
      <c r="O8" s="1364">
        <f ca="1">SUM(O10:O13)</f>
        <v>142035649.51991442</v>
      </c>
      <c r="P8" s="1364"/>
      <c r="Q8" s="1364"/>
      <c r="R8" s="1363"/>
      <c r="S8" s="1363"/>
      <c r="T8" s="1375">
        <f ca="1">SUM(T10:T13)</f>
        <v>1</v>
      </c>
      <c r="U8" s="1375">
        <f ca="1">SUM(U10:U13)</f>
        <v>1</v>
      </c>
      <c r="V8" s="1375">
        <f>SUM(V10:V13)</f>
        <v>1</v>
      </c>
      <c r="W8" s="1362" t="s">
        <v>1011</v>
      </c>
      <c r="X8" s="1363"/>
      <c r="Y8" s="1363"/>
      <c r="Z8" s="1363"/>
      <c r="AA8" s="1363"/>
      <c r="AB8" s="1363"/>
      <c r="AC8" s="1363"/>
      <c r="AD8" s="1363"/>
      <c r="AE8" s="1363"/>
      <c r="AF8" s="1363"/>
      <c r="AG8" s="1363"/>
      <c r="AH8" s="1363"/>
      <c r="AJ8" s="1373"/>
    </row>
    <row r="9" spans="1:36">
      <c r="A9" s="1376"/>
      <c r="B9" s="1371"/>
      <c r="C9" s="1372"/>
      <c r="D9" s="1372"/>
      <c r="E9" s="1371"/>
      <c r="F9" s="1372"/>
      <c r="G9" s="1371"/>
      <c r="H9" s="1371"/>
      <c r="I9" s="1372"/>
      <c r="J9" s="1371"/>
      <c r="K9" s="1371"/>
      <c r="M9" s="1363"/>
      <c r="N9" s="1377">
        <f>SUM(N11:N13)</f>
        <v>1.0000641648430801</v>
      </c>
      <c r="O9" s="1364"/>
      <c r="P9" s="1378" t="s">
        <v>649</v>
      </c>
      <c r="Q9" s="1378"/>
      <c r="R9" s="1363"/>
      <c r="S9" s="1363"/>
      <c r="T9" s="1365"/>
      <c r="U9" s="1365"/>
      <c r="V9" s="1365"/>
      <c r="X9" s="1363"/>
      <c r="Y9" s="1363"/>
      <c r="Z9" s="1363"/>
      <c r="AA9" s="1363"/>
      <c r="AB9" s="1363"/>
      <c r="AC9" s="1363"/>
      <c r="AD9" s="1363"/>
      <c r="AE9" s="1363"/>
      <c r="AF9" s="1363"/>
      <c r="AG9" s="1363"/>
      <c r="AH9" s="1363"/>
      <c r="AJ9" s="1373"/>
    </row>
    <row r="10" spans="1:36">
      <c r="A10" s="1371" t="s">
        <v>373</v>
      </c>
      <c r="B10" s="1372">
        <f t="shared" ref="B10:B16" si="0">B30+B47+B64+B81</f>
        <v>1251563.7333333334</v>
      </c>
      <c r="C10" s="1379">
        <v>6</v>
      </c>
      <c r="D10" s="1371"/>
      <c r="E10" s="1380">
        <f t="shared" ref="E10:E16" si="1">E30+E47+E64+E81</f>
        <v>7509382</v>
      </c>
      <c r="F10" s="1379">
        <v>6</v>
      </c>
      <c r="G10" s="1371"/>
      <c r="H10" s="1380">
        <f t="shared" ref="H10:H16" si="2">H30+H47+H64+H81</f>
        <v>7509382</v>
      </c>
      <c r="I10" s="1379">
        <v>7.91</v>
      </c>
      <c r="J10" s="1371"/>
      <c r="K10" s="1380">
        <f t="shared" ref="K10:K19" si="3">K30+K47+K64+K81</f>
        <v>9899869</v>
      </c>
      <c r="M10" s="1373" t="e">
        <f>I10*#REF!</f>
        <v>#REF!</v>
      </c>
      <c r="O10" s="1381">
        <f>K10</f>
        <v>9899869</v>
      </c>
      <c r="P10" s="1382">
        <f>(I10-F10)/F10</f>
        <v>0.31833333333333336</v>
      </c>
      <c r="Q10" s="1383"/>
      <c r="R10" s="1384" t="s">
        <v>31</v>
      </c>
      <c r="T10" s="1385">
        <f ca="1">'Pages 4-11, All Other Schedules'!H82/'Pages 4-11, All Other Schedules'!$H$94</f>
        <v>5.5802260360341346E-2</v>
      </c>
      <c r="U10" s="1385">
        <f ca="1">'Pages 4-11, All Other Schedules'!K82/'Pages 4-11, All Other Schedules'!$K$94</f>
        <v>0.10944026233680811</v>
      </c>
      <c r="V10" s="1385">
        <f>ROUND(K10/(SUM($K$10:$K$13)), 3)</f>
        <v>7.0000000000000007E-2</v>
      </c>
      <c r="W10" s="1362" t="s">
        <v>1007</v>
      </c>
      <c r="AC10" s="1363"/>
      <c r="AD10" s="1363"/>
      <c r="AE10" s="1363"/>
      <c r="AF10" s="1363"/>
      <c r="AG10" s="1363"/>
      <c r="AH10" s="1363"/>
      <c r="AJ10" s="1373"/>
    </row>
    <row r="11" spans="1:36">
      <c r="A11" s="1386" t="s">
        <v>999</v>
      </c>
      <c r="B11" s="1387">
        <f t="shared" si="0"/>
        <v>865434219.4620055</v>
      </c>
      <c r="C11" s="1388">
        <v>5.1929999999999996</v>
      </c>
      <c r="D11" s="1371" t="s">
        <v>377</v>
      </c>
      <c r="E11" s="1380">
        <f t="shared" si="1"/>
        <v>44941999</v>
      </c>
      <c r="F11" s="1388">
        <v>5.9489999999999998</v>
      </c>
      <c r="G11" s="1371" t="s">
        <v>377</v>
      </c>
      <c r="H11" s="1380">
        <f t="shared" si="2"/>
        <v>51484682</v>
      </c>
      <c r="I11" s="1389">
        <f>ROUNDUP(F11*(1+$P$95),2)+ROUNDUP((B11/($B$12+$B$13+$B$11)*$N$17)/B11*100,3)+ROUNDDOWN((B11/($B$12+$B$13+$B$11)*$N$16),3)</f>
        <v>6.6320000000000006</v>
      </c>
      <c r="J11" s="1371" t="s">
        <v>377</v>
      </c>
      <c r="K11" s="1380">
        <f t="shared" si="3"/>
        <v>57395597</v>
      </c>
      <c r="M11" s="1373" t="e">
        <f>(I11/100)*#REF!</f>
        <v>#REF!</v>
      </c>
      <c r="N11" s="1390">
        <f>B11/$B$25</f>
        <v>0.54028593534057634</v>
      </c>
      <c r="O11" s="1381">
        <f ca="1">$O$25*N11-O10</f>
        <v>66835071.067185074</v>
      </c>
      <c r="P11" s="1382">
        <f>(I11+I17-F11)/F11</f>
        <v>0.11480921163220721</v>
      </c>
      <c r="Q11" s="1383"/>
      <c r="R11" s="1383">
        <f>(F12-F11)/F11</f>
        <v>0.58278702302908036</v>
      </c>
      <c r="T11" s="1385">
        <f ca="1">'Pages 4-11, All Other Schedules'!H83/'Pages 4-11, All Other Schedules'!$H$94</f>
        <v>0.30344926379771597</v>
      </c>
      <c r="U11" s="1385">
        <f ca="1">('Pages 4-11, All Other Schedules'!K83+'Pages 4-11, All Other Schedules'!K88)/'Pages 4-11, All Other Schedules'!$K$94</f>
        <v>0.28643040537094888</v>
      </c>
      <c r="V11" s="1385">
        <f>ROUND(K11/(SUM($K$10:$K$13)), 3)</f>
        <v>0.40400000000000003</v>
      </c>
      <c r="W11" s="1391" t="s">
        <v>1008</v>
      </c>
      <c r="X11" s="1383"/>
      <c r="AC11" s="1363"/>
      <c r="AD11" s="1363"/>
      <c r="AE11" s="1363"/>
      <c r="AF11" s="1363"/>
      <c r="AG11" s="1363"/>
      <c r="AH11" s="1363"/>
      <c r="AJ11" s="1373"/>
    </row>
    <row r="12" spans="1:36">
      <c r="A12" s="1386" t="s">
        <v>1000</v>
      </c>
      <c r="B12" s="1387">
        <f t="shared" si="0"/>
        <v>399273990.76022547</v>
      </c>
      <c r="C12" s="1388">
        <v>8.1929999999999996</v>
      </c>
      <c r="D12" s="1371" t="s">
        <v>377</v>
      </c>
      <c r="E12" s="1380">
        <f t="shared" si="1"/>
        <v>32712518</v>
      </c>
      <c r="F12" s="1388">
        <v>9.4159999999999986</v>
      </c>
      <c r="G12" s="1371" t="s">
        <v>377</v>
      </c>
      <c r="H12" s="1380">
        <f t="shared" si="2"/>
        <v>37595639</v>
      </c>
      <c r="I12" s="1389">
        <f>ROUNDUP(F12*(1+$P$95),2)+ROUNDUP((B12/($B$12+$B$13+$B$11)*$N$17)/B12*100,3)+ROUNDDOWN((B12/($B$12+$B$13+$B$11)*$N$16),3)-N15</f>
        <v>9.5009999999999994</v>
      </c>
      <c r="J12" s="1371" t="s">
        <v>377</v>
      </c>
      <c r="K12" s="1380">
        <f t="shared" si="3"/>
        <v>37935022</v>
      </c>
      <c r="M12" s="1373" t="e">
        <f>(I12/100)*#REF!</f>
        <v>#REF!</v>
      </c>
      <c r="N12" s="1390">
        <f>B12/$B$25</f>
        <v>0.24926460810523077</v>
      </c>
      <c r="O12" s="1381">
        <f ca="1">$O$25*N12</f>
        <v>35402188.938655436</v>
      </c>
      <c r="P12" s="1382">
        <f>(I12+I18-F12)/F12</f>
        <v>9.0271877655056145E-3</v>
      </c>
      <c r="Q12" s="1383"/>
      <c r="R12" s="1383">
        <f>(I12-I11)/I11</f>
        <v>0.43259951749095277</v>
      </c>
      <c r="T12" s="1385">
        <f ca="1">100%-T10-T11-T13</f>
        <v>0.40480681485836667</v>
      </c>
      <c r="U12" s="1385">
        <f ca="1">100%-U10-U11-U13</f>
        <v>0.42501811432837394</v>
      </c>
      <c r="V12" s="1385">
        <f t="shared" ref="V12:V13" si="4">ROUND(K12/(SUM($K$10:$K$13)), 3)</f>
        <v>0.26700000000000002</v>
      </c>
      <c r="W12" s="1391" t="s">
        <v>1009</v>
      </c>
      <c r="X12" s="1383"/>
      <c r="AC12" s="1363"/>
      <c r="AD12" s="1363"/>
      <c r="AE12" s="1363"/>
      <c r="AF12" s="1363"/>
      <c r="AG12" s="1363"/>
      <c r="AH12" s="1363"/>
      <c r="AJ12" s="1373"/>
    </row>
    <row r="13" spans="1:36">
      <c r="A13" s="1386" t="s">
        <v>378</v>
      </c>
      <c r="B13" s="1387">
        <f t="shared" si="0"/>
        <v>337202358.42383343</v>
      </c>
      <c r="C13" s="1388">
        <v>8.1929999999999996</v>
      </c>
      <c r="D13" s="1371" t="s">
        <v>377</v>
      </c>
      <c r="E13" s="1380">
        <f t="shared" si="1"/>
        <v>27626989</v>
      </c>
      <c r="F13" s="1388">
        <f>F12</f>
        <v>9.4159999999999986</v>
      </c>
      <c r="G13" s="1371" t="s">
        <v>377</v>
      </c>
      <c r="H13" s="1380">
        <f>H33+H50+H67+H84</f>
        <v>31750973</v>
      </c>
      <c r="I13" s="1388">
        <f>IF(I12&gt;F12,(F13-I11)+F13,(F13-I11)+I12)-ROUNDUP((B13/($B$12+$B$13+$B$11)*$N$16),3)-N15*2.5</f>
        <v>10.904999999999994</v>
      </c>
      <c r="J13" s="1371" t="s">
        <v>377</v>
      </c>
      <c r="K13" s="1380">
        <f t="shared" si="3"/>
        <v>36771917</v>
      </c>
      <c r="M13" s="1373" t="e">
        <f>(I13/100)*#REF!</f>
        <v>#REF!</v>
      </c>
      <c r="N13" s="1390">
        <f>B13/$B$25</f>
        <v>0.21051362139727303</v>
      </c>
      <c r="O13" s="1381">
        <f ca="1">$O$25*N13</f>
        <v>29898520.514073916</v>
      </c>
      <c r="P13" s="1382">
        <f>(I13+I20-F13)/F13</f>
        <v>0.86246813933729805</v>
      </c>
      <c r="Q13" s="1383"/>
      <c r="R13" s="1383">
        <f>(I13-I12)/I12</f>
        <v>0.1477739185348905</v>
      </c>
      <c r="T13" s="1795">
        <f ca="1">H13/'Pages 4-11, All Other Schedules'!$H$94</f>
        <v>0.23594166098357605</v>
      </c>
      <c r="U13" s="1385">
        <f>(B13/100*'Pages 4-11, All Other Schedules'!I91)/'Pages 4-11, All Other Schedules'!O94</f>
        <v>0.17911121796386903</v>
      </c>
      <c r="V13" s="1385">
        <f t="shared" si="4"/>
        <v>0.25900000000000001</v>
      </c>
      <c r="W13" s="1391" t="s">
        <v>1010</v>
      </c>
      <c r="X13" s="1383"/>
      <c r="AC13" s="1363"/>
      <c r="AD13" s="1363"/>
      <c r="AE13" s="1363"/>
      <c r="AF13" s="1363"/>
      <c r="AG13" s="1363"/>
      <c r="AH13" s="1363"/>
      <c r="AJ13" s="1373"/>
    </row>
    <row r="14" spans="1:36">
      <c r="A14" s="1371" t="s">
        <v>380</v>
      </c>
      <c r="B14" s="1372">
        <f t="shared" si="0"/>
        <v>5557</v>
      </c>
      <c r="C14" s="1379">
        <v>1.6</v>
      </c>
      <c r="D14" s="1371"/>
      <c r="E14" s="1380">
        <f t="shared" si="1"/>
        <v>8891</v>
      </c>
      <c r="F14" s="1379">
        <v>1.65</v>
      </c>
      <c r="G14" s="1371"/>
      <c r="H14" s="1380">
        <f t="shared" si="2"/>
        <v>9169</v>
      </c>
      <c r="I14" s="1379">
        <v>1.65</v>
      </c>
      <c r="J14" s="1371"/>
      <c r="K14" s="1380">
        <f t="shared" si="3"/>
        <v>9169</v>
      </c>
      <c r="M14" s="1373" t="e">
        <f>I14*#REF!</f>
        <v>#REF!</v>
      </c>
      <c r="P14" s="1382">
        <f>(I14-F14)/F14</f>
        <v>0</v>
      </c>
      <c r="Q14" s="1383"/>
      <c r="R14" s="1381"/>
      <c r="T14" s="1392"/>
      <c r="V14" s="1394"/>
      <c r="W14" s="1373"/>
      <c r="X14" s="1383"/>
      <c r="AC14" s="1363"/>
      <c r="AD14" s="1363"/>
      <c r="AE14" s="1363"/>
      <c r="AF14" s="1363"/>
      <c r="AG14" s="1363"/>
      <c r="AH14" s="1363"/>
      <c r="AJ14" s="1373"/>
    </row>
    <row r="15" spans="1:36">
      <c r="A15" s="1395" t="s">
        <v>382</v>
      </c>
      <c r="B15" s="1372">
        <f t="shared" si="0"/>
        <v>752</v>
      </c>
      <c r="C15" s="1379">
        <v>3.1</v>
      </c>
      <c r="D15" s="1395"/>
      <c r="E15" s="1380">
        <f t="shared" si="1"/>
        <v>2331</v>
      </c>
      <c r="F15" s="1379">
        <v>3.2</v>
      </c>
      <c r="G15" s="1395"/>
      <c r="H15" s="1380">
        <f t="shared" si="2"/>
        <v>2407</v>
      </c>
      <c r="I15" s="1379">
        <f>ROUND(I14/F14*F15,2)</f>
        <v>3.2</v>
      </c>
      <c r="J15" s="1395"/>
      <c r="K15" s="1380">
        <f t="shared" si="3"/>
        <v>2407</v>
      </c>
      <c r="M15" s="1373" t="e">
        <f>I15*#REF!</f>
        <v>#REF!</v>
      </c>
      <c r="N15" s="1389">
        <v>0.48399999999999999</v>
      </c>
      <c r="O15" s="1381" t="s">
        <v>1129</v>
      </c>
      <c r="P15" s="1382">
        <f>(I15-F15)/F15</f>
        <v>0</v>
      </c>
      <c r="Q15" s="1383"/>
      <c r="R15" s="1381"/>
      <c r="T15" s="1392"/>
      <c r="AC15" s="1363"/>
      <c r="AD15" s="1363"/>
      <c r="AE15" s="1363"/>
      <c r="AF15" s="1363"/>
      <c r="AG15" s="1363"/>
      <c r="AH15" s="1363"/>
      <c r="AJ15" s="1373"/>
    </row>
    <row r="16" spans="1:36">
      <c r="A16" s="1395" t="s">
        <v>383</v>
      </c>
      <c r="B16" s="1372">
        <f t="shared" si="0"/>
        <v>68</v>
      </c>
      <c r="C16" s="1396">
        <v>-1.6</v>
      </c>
      <c r="D16" s="1395"/>
      <c r="E16" s="1380">
        <f t="shared" si="1"/>
        <v>-109</v>
      </c>
      <c r="F16" s="1396">
        <v>-1.65</v>
      </c>
      <c r="G16" s="1395"/>
      <c r="H16" s="1380">
        <f t="shared" si="2"/>
        <v>-112</v>
      </c>
      <c r="I16" s="1396">
        <f>-I14</f>
        <v>-1.65</v>
      </c>
      <c r="J16" s="1395"/>
      <c r="K16" s="1380">
        <f t="shared" si="3"/>
        <v>-112</v>
      </c>
      <c r="M16" s="1373" t="e">
        <f>I16*#REF!</f>
        <v>#REF!</v>
      </c>
      <c r="N16" s="1389">
        <v>0.4</v>
      </c>
      <c r="O16" s="1381" t="s">
        <v>1130</v>
      </c>
      <c r="P16" s="1382">
        <f>(I16-F16)/F16</f>
        <v>0</v>
      </c>
      <c r="Q16" s="1383"/>
      <c r="R16" s="1381"/>
      <c r="T16" s="1385">
        <f ca="1">T10+T11</f>
        <v>0.35925152415805733</v>
      </c>
      <c r="U16" s="1385">
        <f t="shared" ref="U16:V16" ca="1" si="5">U10+U11</f>
        <v>0.39587066770775697</v>
      </c>
      <c r="V16" s="1385">
        <f t="shared" si="5"/>
        <v>0.47400000000000003</v>
      </c>
      <c r="W16" s="1362" t="s">
        <v>1006</v>
      </c>
      <c r="AC16" s="1363"/>
      <c r="AD16" s="1363"/>
      <c r="AE16" s="1363"/>
      <c r="AF16" s="1363"/>
      <c r="AG16" s="1363"/>
      <c r="AH16" s="1363"/>
      <c r="AJ16" s="1373"/>
    </row>
    <row r="17" spans="1:36">
      <c r="A17" s="1397" t="s">
        <v>1001</v>
      </c>
      <c r="B17" s="1387">
        <f>B11</f>
        <v>865434219.4620055</v>
      </c>
      <c r="C17" s="1398"/>
      <c r="D17" s="1363"/>
      <c r="E17" s="1380"/>
      <c r="F17" s="1398"/>
      <c r="G17" s="1363"/>
      <c r="H17" s="1380"/>
      <c r="I17" s="1389">
        <v>0</v>
      </c>
      <c r="J17" s="1371" t="s">
        <v>377</v>
      </c>
      <c r="K17" s="1380">
        <f t="shared" si="3"/>
        <v>0</v>
      </c>
      <c r="M17" s="1373"/>
      <c r="N17" s="1380">
        <f>'Rate Spread-Staff'!U16*1000</f>
        <v>7455249.3055579737</v>
      </c>
      <c r="O17" s="1399" t="s">
        <v>1061</v>
      </c>
      <c r="P17" s="1362"/>
      <c r="Q17" s="1362"/>
      <c r="R17" s="1400"/>
      <c r="S17" s="1400"/>
      <c r="T17" s="1385">
        <f ca="1">T12+T13</f>
        <v>0.64074847584194272</v>
      </c>
      <c r="U17" s="1385">
        <f t="shared" ref="U17:V17" ca="1" si="6">U12+U13</f>
        <v>0.60412933229224297</v>
      </c>
      <c r="V17" s="1385">
        <f t="shared" si="6"/>
        <v>0.52600000000000002</v>
      </c>
      <c r="W17" s="1391" t="s">
        <v>1012</v>
      </c>
      <c r="X17" s="1363"/>
      <c r="Y17" s="1363"/>
      <c r="Z17" s="1363"/>
      <c r="AA17" s="1363"/>
      <c r="AB17" s="1363"/>
      <c r="AC17" s="1363"/>
      <c r="AD17" s="1363"/>
      <c r="AE17" s="1363"/>
      <c r="AF17" s="1363"/>
      <c r="AG17" s="1363"/>
      <c r="AH17" s="1363"/>
      <c r="AJ17" s="1373"/>
    </row>
    <row r="18" spans="1:36">
      <c r="A18" s="1397" t="s">
        <v>1002</v>
      </c>
      <c r="B18" s="1387">
        <f>B12</f>
        <v>399273990.76022547</v>
      </c>
      <c r="C18" s="1398"/>
      <c r="D18" s="1363"/>
      <c r="E18" s="1380"/>
      <c r="F18" s="1398"/>
      <c r="G18" s="1363"/>
      <c r="H18" s="1380"/>
      <c r="I18" s="1388">
        <v>0</v>
      </c>
      <c r="J18" s="1371" t="s">
        <v>377</v>
      </c>
      <c r="K18" s="1380">
        <f t="shared" si="3"/>
        <v>0</v>
      </c>
      <c r="M18" s="1373"/>
      <c r="N18" s="1401">
        <f>I13-I12</f>
        <v>1.4039999999999946</v>
      </c>
      <c r="O18" s="1401">
        <f>I12-I11</f>
        <v>2.8689999999999989</v>
      </c>
      <c r="P18" s="1362"/>
      <c r="Q18" s="1362"/>
      <c r="R18" s="1383" t="e">
        <f>(I18-I17)/I17</f>
        <v>#DIV/0!</v>
      </c>
      <c r="S18" s="1400"/>
      <c r="T18" s="1392"/>
      <c r="X18" s="1363"/>
      <c r="Y18" s="1363"/>
      <c r="Z18" s="1363"/>
      <c r="AA18" s="1363"/>
      <c r="AB18" s="1363"/>
      <c r="AC18" s="1363"/>
      <c r="AD18" s="1363"/>
      <c r="AE18" s="1363"/>
      <c r="AF18" s="1363"/>
      <c r="AG18" s="1363"/>
      <c r="AH18" s="1363"/>
      <c r="AJ18" s="1373"/>
    </row>
    <row r="19" spans="1:36">
      <c r="A19" s="1397" t="s">
        <v>932</v>
      </c>
      <c r="B19" s="1387">
        <f>B13</f>
        <v>337202358.42383343</v>
      </c>
      <c r="C19" s="1398"/>
      <c r="D19" s="1363"/>
      <c r="E19" s="1380"/>
      <c r="F19" s="1398"/>
      <c r="G19" s="1363"/>
      <c r="H19" s="1380"/>
      <c r="I19" s="1388">
        <v>0</v>
      </c>
      <c r="J19" s="1371" t="s">
        <v>377</v>
      </c>
      <c r="K19" s="1380">
        <f t="shared" si="3"/>
        <v>0</v>
      </c>
      <c r="M19" s="1373"/>
      <c r="N19" s="1373"/>
      <c r="O19" s="1401"/>
      <c r="P19" s="1362"/>
      <c r="Q19" s="1362"/>
      <c r="R19" s="1383" t="e">
        <f>(I19-I18)/I18</f>
        <v>#DIV/0!</v>
      </c>
      <c r="S19" s="1400"/>
      <c r="T19" s="1392"/>
      <c r="U19" s="1380"/>
      <c r="X19" s="1363"/>
      <c r="Y19" s="1363"/>
      <c r="Z19" s="1363"/>
      <c r="AA19" s="1363"/>
      <c r="AB19" s="1363"/>
      <c r="AC19" s="1363"/>
      <c r="AD19" s="1363"/>
      <c r="AE19" s="1363"/>
      <c r="AF19" s="1363"/>
      <c r="AG19" s="1363"/>
      <c r="AH19" s="1363"/>
      <c r="AJ19" s="1373"/>
    </row>
    <row r="20" spans="1:36">
      <c r="A20" s="1362" t="s">
        <v>1003</v>
      </c>
      <c r="B20" s="1372"/>
      <c r="C20" s="1398"/>
      <c r="D20" s="1363"/>
      <c r="E20" s="1380"/>
      <c r="F20" s="1388">
        <f>F11</f>
        <v>5.9489999999999998</v>
      </c>
      <c r="G20" s="1371" t="s">
        <v>377</v>
      </c>
      <c r="H20" s="1380"/>
      <c r="I20" s="1388">
        <f>I11+I17</f>
        <v>6.6320000000000006</v>
      </c>
      <c r="J20" s="1371" t="s">
        <v>377</v>
      </c>
      <c r="K20" s="1380"/>
      <c r="M20" s="1373"/>
      <c r="N20" s="1401"/>
      <c r="O20" s="1401"/>
      <c r="P20" s="1362"/>
      <c r="Q20" s="1362"/>
      <c r="R20" s="1400"/>
      <c r="S20" s="1400"/>
      <c r="T20" s="1392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J20" s="1373"/>
    </row>
    <row r="21" spans="1:36">
      <c r="A21" s="1362" t="s">
        <v>1004</v>
      </c>
      <c r="B21" s="1372"/>
      <c r="C21" s="1398"/>
      <c r="D21" s="1363"/>
      <c r="E21" s="1380"/>
      <c r="F21" s="1388">
        <f>F12</f>
        <v>9.4159999999999986</v>
      </c>
      <c r="G21" s="1371" t="s">
        <v>377</v>
      </c>
      <c r="H21" s="1380"/>
      <c r="I21" s="1388">
        <f>I12+I18</f>
        <v>9.5009999999999994</v>
      </c>
      <c r="J21" s="1371" t="s">
        <v>377</v>
      </c>
      <c r="K21" s="1380"/>
      <c r="M21" s="1373"/>
      <c r="N21" s="1401"/>
      <c r="O21" s="1401"/>
      <c r="P21" s="1362"/>
      <c r="Q21" s="1362"/>
      <c r="R21" s="1383">
        <f>(I21-I20)/I20</f>
        <v>0.43259951749095277</v>
      </c>
      <c r="S21" s="1400"/>
      <c r="T21" s="1392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J21" s="1373"/>
    </row>
    <row r="22" spans="1:36">
      <c r="A22" s="1362" t="s">
        <v>916</v>
      </c>
      <c r="B22" s="1372"/>
      <c r="C22" s="1398"/>
      <c r="D22" s="1363"/>
      <c r="E22" s="1380"/>
      <c r="F22" s="1388">
        <f>F13</f>
        <v>9.4159999999999986</v>
      </c>
      <c r="G22" s="1371" t="s">
        <v>377</v>
      </c>
      <c r="H22" s="1380"/>
      <c r="I22" s="1388">
        <f>I13+I19</f>
        <v>10.904999999999994</v>
      </c>
      <c r="J22" s="1371" t="s">
        <v>377</v>
      </c>
      <c r="K22" s="1380"/>
      <c r="M22" s="1373"/>
      <c r="N22" s="1401"/>
      <c r="O22" s="1399"/>
      <c r="P22" s="1362"/>
      <c r="Q22" s="1362"/>
      <c r="R22" s="1383">
        <f>(I22-I21)/I21</f>
        <v>0.1477739185348905</v>
      </c>
      <c r="S22" s="1400"/>
      <c r="T22" s="1392">
        <f>B11/B23</f>
        <v>0.5402512702026</v>
      </c>
      <c r="X22" s="1363"/>
      <c r="Y22" s="1363"/>
      <c r="Z22" s="1363"/>
      <c r="AA22" s="1363"/>
      <c r="AB22" s="1363"/>
      <c r="AC22" s="1363"/>
      <c r="AD22" s="1363"/>
      <c r="AE22" s="1363"/>
      <c r="AF22" s="1363"/>
      <c r="AG22" s="1363"/>
      <c r="AH22" s="1363"/>
      <c r="AJ22" s="1373"/>
    </row>
    <row r="23" spans="1:36">
      <c r="A23" s="1371" t="s">
        <v>384</v>
      </c>
      <c r="B23" s="1372">
        <f>B40+B57+B74+B91</f>
        <v>1601910568.6460643</v>
      </c>
      <c r="C23" s="1402"/>
      <c r="D23" s="1380"/>
      <c r="E23" s="1380">
        <f>E40+E57+E74+E91</f>
        <v>112802001</v>
      </c>
      <c r="F23" s="1403"/>
      <c r="G23" s="1380"/>
      <c r="H23" s="1380">
        <f>H40+H57+H74+H91</f>
        <v>128352140</v>
      </c>
      <c r="I23" s="1380"/>
      <c r="J23" s="1380"/>
      <c r="K23" s="1380">
        <f>K40+K57+K74+K91</f>
        <v>142013869</v>
      </c>
      <c r="M23" s="1373" t="e">
        <f>SUM(M10:M16)</f>
        <v>#REF!</v>
      </c>
      <c r="O23" s="1382"/>
      <c r="T23" s="1392"/>
      <c r="AC23" s="1363"/>
      <c r="AD23" s="1363"/>
      <c r="AE23" s="1363"/>
      <c r="AF23" s="1363"/>
      <c r="AG23" s="1363"/>
      <c r="AH23" s="1363"/>
      <c r="AJ23" s="1373"/>
    </row>
    <row r="24" spans="1:36">
      <c r="A24" s="1371" t="s">
        <v>366</v>
      </c>
      <c r="B24" s="1404">
        <f>B41+B58+B75+B92</f>
        <v>-102779.74541931186</v>
      </c>
      <c r="C24" s="1405"/>
      <c r="D24" s="1405"/>
      <c r="E24" s="1406" t="e">
        <f>E41+E58+E75+E92</f>
        <v>#REF!</v>
      </c>
      <c r="F24" s="1405"/>
      <c r="G24" s="1405"/>
      <c r="H24" s="1404">
        <f>H41+H58+H75+H92</f>
        <v>12973.103934514973</v>
      </c>
      <c r="I24" s="1405"/>
      <c r="J24" s="1405"/>
      <c r="K24" s="1406">
        <f>H24</f>
        <v>12973.103934514973</v>
      </c>
      <c r="T24" s="1392"/>
      <c r="AC24" s="1363"/>
      <c r="AD24" s="1363"/>
      <c r="AE24" s="1363"/>
      <c r="AF24" s="1363"/>
      <c r="AG24" s="1363"/>
      <c r="AH24" s="1363"/>
      <c r="AJ24" s="1373"/>
    </row>
    <row r="25" spans="1:36" ht="15.75" thickBot="1">
      <c r="A25" s="1371" t="s">
        <v>385</v>
      </c>
      <c r="B25" s="1407">
        <f>B23+B24</f>
        <v>1601807788.900645</v>
      </c>
      <c r="C25" s="1408"/>
      <c r="D25" s="1408"/>
      <c r="E25" s="1408" t="e">
        <f>E23+E24</f>
        <v>#REF!</v>
      </c>
      <c r="F25" s="1408"/>
      <c r="G25" s="1408"/>
      <c r="H25" s="1408">
        <f>H23+H24</f>
        <v>128365113.10393451</v>
      </c>
      <c r="I25" s="1408"/>
      <c r="J25" s="1408"/>
      <c r="K25" s="1408">
        <f>K23+K24</f>
        <v>142026842.10393453</v>
      </c>
      <c r="N25" s="1409" t="s">
        <v>367</v>
      </c>
      <c r="O25" s="1410">
        <f ca="1">'Pages 4-11, All Other Schedules'!H94+N17</f>
        <v>142026536.40949249</v>
      </c>
      <c r="P25" s="1411">
        <v>0.05</v>
      </c>
      <c r="Q25" s="1412"/>
      <c r="R25" s="1362" t="s">
        <v>31</v>
      </c>
      <c r="S25" s="1362" t="s">
        <v>31</v>
      </c>
      <c r="T25" s="1392"/>
      <c r="AC25" s="1363"/>
      <c r="AD25" s="1363"/>
      <c r="AE25" s="1363"/>
      <c r="AF25" s="1363"/>
      <c r="AG25" s="1363"/>
      <c r="AH25" s="1363"/>
      <c r="AJ25" s="1373"/>
    </row>
    <row r="26" spans="1:36" ht="15.75" thickTop="1">
      <c r="A26" s="1371"/>
      <c r="B26" s="1372"/>
      <c r="C26" s="1372"/>
      <c r="D26" s="1372"/>
      <c r="F26" s="1371" t="s">
        <v>31</v>
      </c>
      <c r="G26" s="1371"/>
      <c r="I26" s="1371" t="s">
        <v>31</v>
      </c>
      <c r="J26" s="1371"/>
      <c r="K26" s="1380" t="s">
        <v>31</v>
      </c>
      <c r="N26" s="1413" t="s">
        <v>265</v>
      </c>
      <c r="O26" s="1414">
        <f ca="1">O25-K25</f>
        <v>-305.6944420337677</v>
      </c>
      <c r="P26" s="1415">
        <v>-0.32</v>
      </c>
      <c r="Q26" s="1416"/>
      <c r="AC26" s="1363"/>
      <c r="AD26" s="1363"/>
      <c r="AE26" s="1363"/>
      <c r="AF26" s="1363"/>
      <c r="AG26" s="1363"/>
      <c r="AH26" s="1363"/>
      <c r="AJ26" s="1373"/>
    </row>
    <row r="27" spans="1:36">
      <c r="A27" s="1370" t="s">
        <v>386</v>
      </c>
      <c r="B27" s="1371" t="s">
        <v>31</v>
      </c>
      <c r="C27" s="1372" t="s">
        <v>31</v>
      </c>
      <c r="D27" s="1372"/>
      <c r="E27" s="1371"/>
      <c r="F27" s="1372"/>
      <c r="G27" s="1371"/>
      <c r="H27" s="1371"/>
      <c r="I27" s="1372"/>
      <c r="J27" s="1371"/>
      <c r="K27" s="1371"/>
      <c r="M27" s="1363"/>
      <c r="N27" s="1363"/>
      <c r="O27" s="1417"/>
      <c r="P27" s="1364"/>
      <c r="Q27" s="1364"/>
      <c r="R27" s="1363"/>
      <c r="S27" s="1363"/>
      <c r="T27" s="1365"/>
      <c r="U27" s="1365"/>
      <c r="V27" s="1365"/>
      <c r="W27" s="1363"/>
      <c r="X27" s="1363"/>
      <c r="Y27" s="1363"/>
      <c r="Z27" s="1363"/>
      <c r="AA27" s="1363"/>
      <c r="AB27" s="1363"/>
      <c r="AC27" s="1363"/>
      <c r="AD27" s="1363"/>
      <c r="AE27" s="1363"/>
      <c r="AF27" s="1363"/>
      <c r="AG27" s="1363"/>
      <c r="AH27" s="1363"/>
      <c r="AJ27" s="1373"/>
    </row>
    <row r="28" spans="1:36">
      <c r="A28" s="1371" t="s">
        <v>333</v>
      </c>
      <c r="B28" s="1371" t="s">
        <v>31</v>
      </c>
      <c r="C28" s="1372"/>
      <c r="D28" s="1372"/>
      <c r="E28" s="1371"/>
      <c r="F28" s="1372"/>
      <c r="G28" s="1371"/>
      <c r="H28" s="1371"/>
      <c r="I28" s="1372"/>
      <c r="J28" s="1371"/>
      <c r="K28" s="1371"/>
      <c r="M28" s="1363"/>
      <c r="N28" s="1363"/>
      <c r="O28" s="1364"/>
      <c r="P28" s="1364"/>
      <c r="Q28" s="1364"/>
      <c r="R28" s="1363"/>
      <c r="S28" s="1363"/>
      <c r="T28" s="1365"/>
      <c r="U28" s="1365"/>
      <c r="V28" s="1365"/>
      <c r="W28" s="1363"/>
      <c r="X28" s="1363"/>
      <c r="Y28" s="1363"/>
      <c r="Z28" s="1363"/>
      <c r="AA28" s="1363"/>
      <c r="AB28" s="1363"/>
      <c r="AC28" s="1363"/>
      <c r="AD28" s="1363"/>
      <c r="AE28" s="1363"/>
      <c r="AF28" s="1363"/>
      <c r="AG28" s="1363"/>
      <c r="AH28" s="1363"/>
      <c r="AJ28" s="1373"/>
    </row>
    <row r="29" spans="1:36">
      <c r="A29" s="1418" t="s">
        <v>701</v>
      </c>
      <c r="B29" s="1371"/>
      <c r="C29" s="1372"/>
      <c r="D29" s="1372"/>
      <c r="E29" s="1371"/>
      <c r="F29" s="1372"/>
      <c r="G29" s="1371"/>
      <c r="H29" s="1371"/>
      <c r="I29" s="1372"/>
      <c r="J29" s="1371"/>
      <c r="K29" s="1371"/>
      <c r="M29" s="1363"/>
      <c r="N29" s="1363"/>
      <c r="O29" s="1364"/>
      <c r="P29" s="1364"/>
      <c r="Q29" s="1364"/>
      <c r="R29" s="1363" t="s">
        <v>31</v>
      </c>
      <c r="S29" s="1363"/>
      <c r="T29" s="1365"/>
      <c r="U29" s="1365"/>
      <c r="V29" s="1365"/>
      <c r="W29" s="1363"/>
      <c r="X29" s="1363"/>
      <c r="Y29" s="1363"/>
      <c r="Z29" s="1363"/>
      <c r="AA29" s="1363"/>
      <c r="AB29" s="1363"/>
      <c r="AC29" s="1363"/>
      <c r="AD29" s="1363"/>
      <c r="AE29" s="1363"/>
      <c r="AF29" s="1363"/>
      <c r="AG29" s="1363"/>
      <c r="AH29" s="1363"/>
      <c r="AJ29" s="1373"/>
    </row>
    <row r="30" spans="1:36">
      <c r="A30" s="1371" t="s">
        <v>373</v>
      </c>
      <c r="B30" s="1372">
        <f>1200879+2+446</f>
        <v>1201327</v>
      </c>
      <c r="C30" s="1379">
        <v>6</v>
      </c>
      <c r="D30" s="1371"/>
      <c r="E30" s="1380">
        <f>ROUND(C30*$B30,0)</f>
        <v>7207962</v>
      </c>
      <c r="F30" s="1379">
        <v>6</v>
      </c>
      <c r="G30" s="1371"/>
      <c r="H30" s="1380">
        <f>ROUND(F30*B30,0)</f>
        <v>7207962</v>
      </c>
      <c r="I30" s="1379">
        <f>$I$10</f>
        <v>7.91</v>
      </c>
      <c r="J30" s="1371"/>
      <c r="K30" s="1380">
        <f>ROUND(I30*$B30,0)</f>
        <v>9502497</v>
      </c>
      <c r="M30" s="1363"/>
      <c r="N30" s="1363"/>
      <c r="O30" s="1364"/>
      <c r="P30" s="1364"/>
      <c r="Q30" s="1364"/>
      <c r="R30" s="1363"/>
      <c r="S30" s="1363"/>
      <c r="T30" s="1365"/>
      <c r="U30" s="1365"/>
      <c r="V30" s="1365"/>
      <c r="W30" s="1363"/>
      <c r="X30" s="1363"/>
      <c r="Y30" s="1363"/>
      <c r="Z30" s="1363"/>
      <c r="AA30" s="1363"/>
      <c r="AB30" s="1363"/>
      <c r="AC30" s="1363"/>
      <c r="AD30" s="1363"/>
      <c r="AE30" s="1363"/>
      <c r="AF30" s="1363"/>
      <c r="AG30" s="1363"/>
      <c r="AH30" s="1363"/>
      <c r="AJ30" s="1373"/>
    </row>
    <row r="31" spans="1:36">
      <c r="A31" s="1386" t="s">
        <v>999</v>
      </c>
      <c r="B31" s="1387">
        <v>829393906.9408946</v>
      </c>
      <c r="C31" s="1388">
        <v>5.1929999999999996</v>
      </c>
      <c r="D31" s="1371" t="s">
        <v>377</v>
      </c>
      <c r="E31" s="1380">
        <f>ROUND(C31*$B31/100,0)</f>
        <v>43070426</v>
      </c>
      <c r="F31" s="1388">
        <v>5.9489999999999998</v>
      </c>
      <c r="G31" s="1371" t="s">
        <v>377</v>
      </c>
      <c r="H31" s="1380">
        <f>ROUND(B31*F31/100,0)</f>
        <v>49340644</v>
      </c>
      <c r="I31" s="1388">
        <f>$I$11</f>
        <v>6.6320000000000006</v>
      </c>
      <c r="J31" s="1371" t="s">
        <v>377</v>
      </c>
      <c r="K31" s="1380">
        <f>ROUND(I31*$B31/100,0)</f>
        <v>55005404</v>
      </c>
      <c r="M31" s="1363"/>
      <c r="N31" s="1363"/>
      <c r="O31" s="1364"/>
      <c r="P31" s="1364"/>
      <c r="Q31" s="1364"/>
      <c r="R31" s="1363"/>
      <c r="S31" s="1363"/>
      <c r="T31" s="1365"/>
      <c r="U31" s="1365"/>
      <c r="V31" s="1365"/>
      <c r="W31" s="1363"/>
      <c r="X31" s="1363"/>
      <c r="Y31" s="1363"/>
      <c r="Z31" s="1363"/>
      <c r="AA31" s="1363"/>
      <c r="AB31" s="1363"/>
      <c r="AC31" s="1363"/>
      <c r="AD31" s="1363"/>
      <c r="AE31" s="1363"/>
      <c r="AF31" s="1363"/>
      <c r="AG31" s="1363"/>
      <c r="AH31" s="1363"/>
      <c r="AJ31" s="1373"/>
    </row>
    <row r="32" spans="1:36">
      <c r="A32" s="1386" t="s">
        <v>1000</v>
      </c>
      <c r="B32" s="1387">
        <v>382638475.07401854</v>
      </c>
      <c r="C32" s="1388">
        <v>8.1929999999999996</v>
      </c>
      <c r="D32" s="1371" t="s">
        <v>377</v>
      </c>
      <c r="E32" s="1380">
        <f>ROUND(C32*$B32/100,0)</f>
        <v>31349570</v>
      </c>
      <c r="F32" s="1388">
        <v>9.4159999999999986</v>
      </c>
      <c r="G32" s="1371" t="s">
        <v>377</v>
      </c>
      <c r="H32" s="1380">
        <f>ROUND(B32*F32/100,0)</f>
        <v>36029239</v>
      </c>
      <c r="I32" s="1388">
        <f>$I$12</f>
        <v>9.5009999999999994</v>
      </c>
      <c r="J32" s="1371" t="s">
        <v>377</v>
      </c>
      <c r="K32" s="1380">
        <f>ROUND(I32*$B32/100,0)</f>
        <v>36354482</v>
      </c>
      <c r="M32" s="1363"/>
      <c r="N32" s="1363"/>
      <c r="O32" s="1364"/>
      <c r="P32" s="1364"/>
      <c r="Q32" s="1364"/>
      <c r="R32" s="1363"/>
      <c r="S32" s="1363"/>
      <c r="T32" s="1365"/>
      <c r="U32" s="1365"/>
      <c r="V32" s="1365"/>
      <c r="W32" s="1363"/>
      <c r="X32" s="1363"/>
      <c r="Y32" s="1363"/>
      <c r="Z32" s="1363"/>
      <c r="AA32" s="1363"/>
      <c r="AB32" s="1363"/>
      <c r="AC32" s="1363"/>
      <c r="AD32" s="1363"/>
      <c r="AE32" s="1363"/>
      <c r="AF32" s="1363"/>
      <c r="AG32" s="1363"/>
      <c r="AH32" s="1363"/>
      <c r="AJ32" s="1373"/>
    </row>
    <row r="33" spans="1:36">
      <c r="A33" s="1386" t="s">
        <v>378</v>
      </c>
      <c r="B33" s="1387">
        <v>324069535.74994028</v>
      </c>
      <c r="C33" s="1388">
        <v>8.1929999999999996</v>
      </c>
      <c r="D33" s="1371" t="s">
        <v>377</v>
      </c>
      <c r="E33" s="1380">
        <f>ROUND(C33*$B33/100,0)</f>
        <v>26551017</v>
      </c>
      <c r="F33" s="1388">
        <v>9.4159999999999986</v>
      </c>
      <c r="G33" s="1371" t="s">
        <v>377</v>
      </c>
      <c r="H33" s="1380">
        <f>ROUND(B33*F33/100,0)</f>
        <v>30514387</v>
      </c>
      <c r="I33" s="1388">
        <f>$I$13</f>
        <v>10.904999999999994</v>
      </c>
      <c r="J33" s="1371" t="s">
        <v>377</v>
      </c>
      <c r="K33" s="1380">
        <f>ROUND(I33*$B33/100,0)</f>
        <v>35339783</v>
      </c>
      <c r="M33" s="1363"/>
      <c r="N33" s="1363"/>
      <c r="O33" s="1364"/>
      <c r="P33" s="1364"/>
      <c r="Q33" s="1364"/>
      <c r="R33" s="1363"/>
      <c r="S33" s="1363"/>
      <c r="T33" s="1365"/>
      <c r="U33" s="1365"/>
      <c r="V33" s="1365"/>
      <c r="W33" s="1363"/>
      <c r="X33" s="1363"/>
      <c r="Y33" s="1363"/>
      <c r="Z33" s="1363"/>
      <c r="AA33" s="1363"/>
      <c r="AB33" s="1363"/>
      <c r="AC33" s="1363"/>
      <c r="AD33" s="1363"/>
      <c r="AE33" s="1363"/>
      <c r="AF33" s="1363"/>
      <c r="AG33" s="1363"/>
      <c r="AH33" s="1363"/>
      <c r="AJ33" s="1373"/>
    </row>
    <row r="34" spans="1:36">
      <c r="A34" s="1371" t="s">
        <v>380</v>
      </c>
      <c r="B34" s="1372">
        <v>0</v>
      </c>
      <c r="C34" s="1379">
        <v>1.6</v>
      </c>
      <c r="D34" s="1371"/>
      <c r="E34" s="1380">
        <f>ROUND(C34*$B34,0)</f>
        <v>0</v>
      </c>
      <c r="F34" s="1379">
        <v>1.65</v>
      </c>
      <c r="G34" s="1371"/>
      <c r="H34" s="1380">
        <v>0</v>
      </c>
      <c r="I34" s="1379">
        <f>$I$14</f>
        <v>1.65</v>
      </c>
      <c r="J34" s="1371"/>
      <c r="K34" s="1380">
        <f>ROUND(I34*$B34,0)</f>
        <v>0</v>
      </c>
      <c r="M34" s="1363"/>
      <c r="N34" s="1363"/>
      <c r="O34" s="1364"/>
      <c r="P34" s="1364"/>
      <c r="Q34" s="1364"/>
      <c r="R34" s="1363"/>
      <c r="S34" s="1363"/>
      <c r="T34" s="1365"/>
      <c r="U34" s="1365"/>
      <c r="V34" s="1365"/>
      <c r="W34" s="1363"/>
      <c r="X34" s="1363"/>
      <c r="Y34" s="1363"/>
      <c r="Z34" s="1363"/>
      <c r="AA34" s="1363"/>
      <c r="AB34" s="1363"/>
      <c r="AC34" s="1363"/>
      <c r="AD34" s="1363"/>
      <c r="AE34" s="1363"/>
      <c r="AF34" s="1363"/>
      <c r="AG34" s="1363"/>
      <c r="AH34" s="1363"/>
      <c r="AJ34" s="1373"/>
    </row>
    <row r="35" spans="1:36">
      <c r="A35" s="1395" t="s">
        <v>382</v>
      </c>
      <c r="B35" s="1372">
        <v>0</v>
      </c>
      <c r="C35" s="1379">
        <v>3.1</v>
      </c>
      <c r="D35" s="1395"/>
      <c r="E35" s="1380">
        <f>ROUND(C35*$B35,0)</f>
        <v>0</v>
      </c>
      <c r="F35" s="1379">
        <v>3.2</v>
      </c>
      <c r="G35" s="1395"/>
      <c r="H35" s="1380">
        <v>0</v>
      </c>
      <c r="I35" s="1379">
        <f>$I$15</f>
        <v>3.2</v>
      </c>
      <c r="J35" s="1395"/>
      <c r="K35" s="1380">
        <f>ROUND(I35*$B35,0)</f>
        <v>0</v>
      </c>
      <c r="M35" s="1363"/>
      <c r="N35" s="1363"/>
      <c r="O35" s="1364"/>
      <c r="P35" s="1364"/>
      <c r="Q35" s="1364"/>
      <c r="R35" s="1363"/>
      <c r="S35" s="1363"/>
      <c r="T35" s="1365"/>
      <c r="U35" s="1365"/>
      <c r="V35" s="1365"/>
      <c r="W35" s="1363"/>
      <c r="X35" s="1363"/>
      <c r="Y35" s="1363"/>
      <c r="Z35" s="1363"/>
      <c r="AA35" s="1363"/>
      <c r="AB35" s="1363"/>
      <c r="AC35" s="1363"/>
      <c r="AD35" s="1363"/>
      <c r="AE35" s="1363"/>
      <c r="AF35" s="1363"/>
      <c r="AG35" s="1363"/>
      <c r="AH35" s="1363"/>
      <c r="AJ35" s="1373"/>
    </row>
    <row r="36" spans="1:36">
      <c r="A36" s="1395" t="s">
        <v>383</v>
      </c>
      <c r="B36" s="1372">
        <v>0</v>
      </c>
      <c r="C36" s="1396">
        <v>-1.6</v>
      </c>
      <c r="D36" s="1395"/>
      <c r="E36" s="1380">
        <f>ROUND(C36*$B36,0)</f>
        <v>0</v>
      </c>
      <c r="F36" s="1396">
        <v>-1.65</v>
      </c>
      <c r="G36" s="1395"/>
      <c r="H36" s="1380">
        <v>0</v>
      </c>
      <c r="I36" s="1396">
        <f>-I34</f>
        <v>-1.65</v>
      </c>
      <c r="J36" s="1395"/>
      <c r="K36" s="1380">
        <f>ROUND(I36*$B36,0)</f>
        <v>0</v>
      </c>
      <c r="M36" s="1363"/>
      <c r="N36" s="1363"/>
      <c r="O36" s="1364"/>
      <c r="P36" s="1364"/>
      <c r="Q36" s="1364"/>
      <c r="R36" s="1363"/>
      <c r="S36" s="1363"/>
      <c r="T36" s="1365"/>
      <c r="U36" s="1365"/>
      <c r="V36" s="1365"/>
      <c r="W36" s="1363"/>
      <c r="X36" s="1363"/>
      <c r="Y36" s="1363"/>
      <c r="Z36" s="1363"/>
      <c r="AA36" s="1363"/>
      <c r="AB36" s="1363"/>
      <c r="AC36" s="1363"/>
      <c r="AD36" s="1363"/>
      <c r="AE36" s="1363"/>
      <c r="AF36" s="1363"/>
      <c r="AG36" s="1363"/>
      <c r="AH36" s="1363"/>
      <c r="AJ36" s="1373"/>
    </row>
    <row r="37" spans="1:36">
      <c r="A37" s="1397" t="s">
        <v>1001</v>
      </c>
      <c r="B37" s="1419">
        <f>B31</f>
        <v>829393906.9408946</v>
      </c>
      <c r="C37" s="1398"/>
      <c r="D37" s="1363"/>
      <c r="E37" s="1380"/>
      <c r="F37" s="1398"/>
      <c r="G37" s="1363"/>
      <c r="H37" s="1380"/>
      <c r="I37" s="1388">
        <f>I17</f>
        <v>0</v>
      </c>
      <c r="J37" s="1371" t="s">
        <v>377</v>
      </c>
      <c r="K37" s="1380">
        <f>I37*B37/100</f>
        <v>0</v>
      </c>
      <c r="M37" s="1373"/>
      <c r="O37" s="1399"/>
      <c r="P37" s="1362"/>
      <c r="Q37" s="1362"/>
      <c r="R37" s="1400"/>
      <c r="S37" s="1400"/>
      <c r="X37" s="1363"/>
      <c r="Y37" s="1363"/>
      <c r="Z37" s="1363"/>
      <c r="AA37" s="1363"/>
      <c r="AB37" s="1363"/>
      <c r="AC37" s="1363"/>
      <c r="AD37" s="1363"/>
      <c r="AE37" s="1363"/>
      <c r="AF37" s="1363"/>
      <c r="AG37" s="1363"/>
      <c r="AH37" s="1363"/>
      <c r="AJ37" s="1373"/>
    </row>
    <row r="38" spans="1:36">
      <c r="A38" s="1397" t="s">
        <v>1002</v>
      </c>
      <c r="B38" s="1419">
        <f>B32</f>
        <v>382638475.07401854</v>
      </c>
      <c r="C38" s="1398"/>
      <c r="D38" s="1363"/>
      <c r="E38" s="1380"/>
      <c r="F38" s="1398"/>
      <c r="G38" s="1363"/>
      <c r="H38" s="1380"/>
      <c r="I38" s="1388">
        <f>I18</f>
        <v>0</v>
      </c>
      <c r="J38" s="1371" t="s">
        <v>377</v>
      </c>
      <c r="K38" s="1380">
        <f>I38*B38/100</f>
        <v>0</v>
      </c>
      <c r="M38" s="1373"/>
      <c r="O38" s="1399"/>
      <c r="P38" s="1362"/>
      <c r="Q38" s="1362"/>
      <c r="R38" s="1400"/>
      <c r="S38" s="1400"/>
      <c r="X38" s="1363"/>
      <c r="Y38" s="1363"/>
      <c r="Z38" s="1363"/>
      <c r="AA38" s="1363"/>
      <c r="AB38" s="1363"/>
      <c r="AC38" s="1363"/>
      <c r="AD38" s="1363"/>
      <c r="AE38" s="1363"/>
      <c r="AF38" s="1363"/>
      <c r="AG38" s="1363"/>
      <c r="AH38" s="1363"/>
      <c r="AJ38" s="1373"/>
    </row>
    <row r="39" spans="1:36">
      <c r="A39" s="1397" t="s">
        <v>932</v>
      </c>
      <c r="B39" s="1419">
        <f>B33</f>
        <v>324069535.74994028</v>
      </c>
      <c r="C39" s="1398"/>
      <c r="D39" s="1363"/>
      <c r="E39" s="1380"/>
      <c r="F39" s="1398"/>
      <c r="G39" s="1363"/>
      <c r="H39" s="1380"/>
      <c r="I39" s="1388">
        <f>I19</f>
        <v>0</v>
      </c>
      <c r="J39" s="1371" t="s">
        <v>377</v>
      </c>
      <c r="K39" s="1380">
        <f>I39*B39/100</f>
        <v>0</v>
      </c>
      <c r="M39" s="1373"/>
      <c r="O39" s="1399"/>
      <c r="P39" s="1362"/>
      <c r="Q39" s="1362"/>
      <c r="R39" s="1400"/>
      <c r="S39" s="1400"/>
      <c r="X39" s="1363"/>
      <c r="Y39" s="1363"/>
      <c r="Z39" s="1363"/>
      <c r="AA39" s="1363"/>
      <c r="AB39" s="1363"/>
      <c r="AC39" s="1363"/>
      <c r="AD39" s="1363"/>
      <c r="AE39" s="1363"/>
      <c r="AF39" s="1363"/>
      <c r="AG39" s="1363"/>
      <c r="AH39" s="1363"/>
      <c r="AJ39" s="1373"/>
    </row>
    <row r="40" spans="1:36">
      <c r="A40" s="1371" t="s">
        <v>384</v>
      </c>
      <c r="B40" s="1372">
        <f>SUM(B31:B33)</f>
        <v>1536101917.7648535</v>
      </c>
      <c r="C40" s="1402"/>
      <c r="D40" s="1380"/>
      <c r="E40" s="1380">
        <f>SUM(E30:E36)</f>
        <v>108178975</v>
      </c>
      <c r="F40" s="1403"/>
      <c r="G40" s="1380"/>
      <c r="H40" s="1380">
        <f>SUM(H30:H36)</f>
        <v>123092232</v>
      </c>
      <c r="I40" s="1380"/>
      <c r="J40" s="1380"/>
      <c r="K40" s="1380">
        <f>SUM(K30:K38)</f>
        <v>136202166</v>
      </c>
      <c r="M40" s="1363"/>
      <c r="N40" s="1363"/>
      <c r="O40" s="1420"/>
      <c r="P40" s="1364"/>
      <c r="Q40" s="1364"/>
      <c r="R40" s="1363"/>
      <c r="S40" s="1363"/>
      <c r="T40" s="1365"/>
      <c r="U40" s="1365"/>
      <c r="V40" s="1365"/>
      <c r="W40" s="1363"/>
      <c r="X40" s="1363"/>
      <c r="Y40" s="1363"/>
      <c r="Z40" s="1363"/>
      <c r="AA40" s="1363"/>
      <c r="AB40" s="1363"/>
      <c r="AC40" s="1363"/>
      <c r="AD40" s="1363"/>
      <c r="AE40" s="1363"/>
      <c r="AF40" s="1363"/>
      <c r="AG40" s="1363"/>
      <c r="AH40" s="1363"/>
      <c r="AJ40" s="1373"/>
    </row>
    <row r="41" spans="1:36">
      <c r="A41" s="1371" t="s">
        <v>366</v>
      </c>
      <c r="B41" s="1421">
        <v>-98559.970767906168</v>
      </c>
      <c r="C41" s="1405"/>
      <c r="D41" s="1405"/>
      <c r="E41" s="1406" t="e">
        <f>#REF!</f>
        <v>#REF!</v>
      </c>
      <c r="F41" s="1405"/>
      <c r="G41" s="1405"/>
      <c r="H41" s="1404">
        <v>12440.360107517636</v>
      </c>
      <c r="I41" s="1405"/>
      <c r="J41" s="1405"/>
      <c r="K41" s="1406">
        <f>H41</f>
        <v>12440.360107517636</v>
      </c>
      <c r="M41" s="1422"/>
      <c r="N41" s="1422"/>
      <c r="O41" s="1423"/>
      <c r="P41" s="1364"/>
      <c r="Q41" s="1364"/>
      <c r="R41" s="1363"/>
      <c r="S41" s="1363"/>
      <c r="T41" s="1365"/>
      <c r="U41" s="1365"/>
      <c r="V41" s="1365"/>
      <c r="W41" s="1363"/>
      <c r="X41" s="1363"/>
      <c r="Y41" s="1363"/>
      <c r="Z41" s="1363"/>
      <c r="AA41" s="1363"/>
      <c r="AB41" s="1363"/>
      <c r="AC41" s="1363"/>
      <c r="AD41" s="1363"/>
      <c r="AE41" s="1363"/>
      <c r="AF41" s="1363"/>
      <c r="AG41" s="1363"/>
      <c r="AH41" s="1363"/>
      <c r="AJ41" s="1373"/>
    </row>
    <row r="42" spans="1:36" ht="15.75" thickBot="1">
      <c r="A42" s="1371" t="s">
        <v>385</v>
      </c>
      <c r="B42" s="1407">
        <f>B40+B41</f>
        <v>1536003357.7940855</v>
      </c>
      <c r="C42" s="1408"/>
      <c r="D42" s="1408"/>
      <c r="E42" s="1408" t="e">
        <f>E40+E41</f>
        <v>#REF!</v>
      </c>
      <c r="F42" s="1408"/>
      <c r="G42" s="1408"/>
      <c r="H42" s="1408">
        <f>SUM(H40:H41)</f>
        <v>123104672.36010751</v>
      </c>
      <c r="I42" s="1408"/>
      <c r="J42" s="1408"/>
      <c r="K42" s="1408">
        <f>K40+K41</f>
        <v>136214606.36010751</v>
      </c>
      <c r="M42" s="1424"/>
      <c r="N42" s="1424"/>
      <c r="O42" s="1412"/>
      <c r="P42" s="1364"/>
      <c r="Q42" s="1364"/>
      <c r="R42" s="1363"/>
      <c r="S42" s="1363"/>
      <c r="T42" s="1365"/>
      <c r="U42" s="1365"/>
      <c r="V42" s="1365"/>
      <c r="W42" s="1363"/>
      <c r="X42" s="1363"/>
      <c r="Y42" s="1363"/>
      <c r="Z42" s="1363"/>
      <c r="AA42" s="1363"/>
      <c r="AB42" s="1363"/>
      <c r="AC42" s="1363"/>
      <c r="AD42" s="1363"/>
      <c r="AE42" s="1363"/>
      <c r="AF42" s="1363"/>
      <c r="AG42" s="1363"/>
      <c r="AH42" s="1363"/>
      <c r="AJ42" s="1373"/>
    </row>
    <row r="43" spans="1:36" ht="15.75" thickTop="1">
      <c r="A43" s="1371"/>
      <c r="B43" s="1372"/>
      <c r="C43" s="1372"/>
      <c r="D43" s="1372"/>
      <c r="F43" s="1371" t="s">
        <v>31</v>
      </c>
      <c r="G43" s="1371"/>
      <c r="H43" s="1373" t="s">
        <v>31</v>
      </c>
      <c r="I43" s="1371" t="s">
        <v>31</v>
      </c>
      <c r="J43" s="1371"/>
      <c r="K43" s="1380" t="s">
        <v>31</v>
      </c>
      <c r="M43" s="1363"/>
      <c r="N43" s="1363"/>
      <c r="O43" s="1364"/>
      <c r="P43" s="1364"/>
      <c r="Q43" s="1364"/>
      <c r="R43" s="1363"/>
      <c r="S43" s="1363"/>
      <c r="T43" s="1365"/>
      <c r="U43" s="1365"/>
      <c r="V43" s="1365"/>
      <c r="W43" s="1363"/>
      <c r="X43" s="1363"/>
      <c r="Y43" s="1363"/>
      <c r="Z43" s="1363"/>
      <c r="AA43" s="1363"/>
      <c r="AB43" s="1363"/>
      <c r="AC43" s="1363"/>
      <c r="AD43" s="1363"/>
      <c r="AE43" s="1363"/>
      <c r="AF43" s="1363"/>
      <c r="AG43" s="1363"/>
      <c r="AH43" s="1363"/>
      <c r="AJ43" s="1373"/>
    </row>
    <row r="44" spans="1:36">
      <c r="A44" s="1370" t="s">
        <v>387</v>
      </c>
      <c r="B44" s="1371" t="s">
        <v>31</v>
      </c>
      <c r="C44" s="1372"/>
      <c r="D44" s="1372"/>
      <c r="E44" s="1371"/>
      <c r="F44" s="1372"/>
      <c r="G44" s="1371"/>
      <c r="H44" s="1371"/>
      <c r="I44" s="1372"/>
      <c r="J44" s="1371"/>
      <c r="K44" s="1371"/>
      <c r="M44" s="1363"/>
      <c r="N44" s="1363"/>
      <c r="O44" s="1364"/>
      <c r="P44" s="1364"/>
      <c r="Q44" s="1364"/>
      <c r="R44" s="1363"/>
      <c r="S44" s="1363"/>
      <c r="T44" s="1365"/>
      <c r="U44" s="1365"/>
      <c r="V44" s="1365"/>
      <c r="W44" s="1363"/>
      <c r="X44" s="1363"/>
      <c r="Y44" s="1363"/>
      <c r="Z44" s="1363"/>
      <c r="AA44" s="1363"/>
      <c r="AB44" s="1363"/>
      <c r="AC44" s="1363"/>
      <c r="AD44" s="1363"/>
      <c r="AE44" s="1363"/>
      <c r="AF44" s="1363"/>
      <c r="AG44" s="1363"/>
      <c r="AH44" s="1363"/>
      <c r="AJ44" s="1373"/>
    </row>
    <row r="45" spans="1:36">
      <c r="A45" s="1371" t="s">
        <v>333</v>
      </c>
      <c r="B45" s="1371"/>
      <c r="C45" s="1372"/>
      <c r="D45" s="1372"/>
      <c r="E45" s="1371"/>
      <c r="F45" s="1372"/>
      <c r="G45" s="1371"/>
      <c r="H45" s="1371"/>
      <c r="I45" s="1372"/>
      <c r="J45" s="1371"/>
      <c r="K45" s="1371"/>
      <c r="M45" s="1363"/>
      <c r="N45" s="1363"/>
      <c r="O45" s="1364"/>
      <c r="P45" s="1364"/>
      <c r="Q45" s="1364"/>
      <c r="R45" s="1363"/>
      <c r="S45" s="1363"/>
      <c r="T45" s="1365"/>
      <c r="U45" s="1365"/>
      <c r="V45" s="1365"/>
      <c r="W45" s="1363"/>
      <c r="X45" s="1363"/>
      <c r="Y45" s="1363"/>
      <c r="Z45" s="1363"/>
      <c r="AA45" s="1363"/>
      <c r="AB45" s="1363"/>
      <c r="AC45" s="1363"/>
      <c r="AD45" s="1363"/>
      <c r="AE45" s="1363"/>
      <c r="AF45" s="1363"/>
      <c r="AG45" s="1363"/>
      <c r="AH45" s="1363"/>
      <c r="AJ45" s="1373"/>
    </row>
    <row r="46" spans="1:36">
      <c r="A46" s="1376"/>
      <c r="B46" s="1371"/>
      <c r="C46" s="1372"/>
      <c r="D46" s="1372"/>
      <c r="E46" s="1371"/>
      <c r="F46" s="1372"/>
      <c r="G46" s="1371"/>
      <c r="H46" s="1371"/>
      <c r="I46" s="1372"/>
      <c r="J46" s="1371"/>
      <c r="K46" s="1371"/>
      <c r="M46" s="1363"/>
      <c r="N46" s="1363"/>
      <c r="O46" s="1364"/>
      <c r="P46" s="1364"/>
      <c r="Q46" s="1364"/>
      <c r="R46" s="1363"/>
      <c r="S46" s="1363"/>
      <c r="T46" s="1365"/>
      <c r="U46" s="1365"/>
      <c r="V46" s="1365"/>
      <c r="W46" s="1363"/>
      <c r="X46" s="1363"/>
      <c r="Y46" s="1363"/>
      <c r="Z46" s="1363"/>
      <c r="AA46" s="1363"/>
      <c r="AB46" s="1363"/>
      <c r="AC46" s="1363"/>
      <c r="AD46" s="1363"/>
      <c r="AE46" s="1363"/>
      <c r="AF46" s="1363"/>
      <c r="AG46" s="1363"/>
      <c r="AH46" s="1363"/>
      <c r="AJ46" s="1373"/>
    </row>
    <row r="47" spans="1:36">
      <c r="A47" s="1371" t="s">
        <v>373</v>
      </c>
      <c r="B47" s="1372">
        <v>48990.733333333301</v>
      </c>
      <c r="C47" s="1379">
        <v>6</v>
      </c>
      <c r="D47" s="1371"/>
      <c r="E47" s="1380">
        <f>ROUND(C47*$B47,0)</f>
        <v>293944</v>
      </c>
      <c r="F47" s="1379">
        <v>6</v>
      </c>
      <c r="G47" s="1371"/>
      <c r="H47" s="1380">
        <f>ROUND(F47*B47,0)</f>
        <v>293944</v>
      </c>
      <c r="I47" s="1379">
        <f>$I$10</f>
        <v>7.91</v>
      </c>
      <c r="J47" s="1371"/>
      <c r="K47" s="1380">
        <f>ROUND(I47*$B47,0)</f>
        <v>387517</v>
      </c>
      <c r="M47" s="1363"/>
      <c r="N47" s="1363"/>
      <c r="O47" s="1364"/>
      <c r="P47" s="1364"/>
      <c r="Q47" s="1364"/>
      <c r="R47" s="1363"/>
      <c r="S47" s="1363"/>
      <c r="T47" s="1365"/>
      <c r="U47" s="1365"/>
      <c r="V47" s="1365"/>
      <c r="W47" s="1363"/>
      <c r="X47" s="1363"/>
      <c r="Y47" s="1363"/>
      <c r="Z47" s="1363"/>
      <c r="AA47" s="1363"/>
      <c r="AB47" s="1363"/>
      <c r="AC47" s="1363"/>
      <c r="AD47" s="1363"/>
      <c r="AE47" s="1363"/>
      <c r="AF47" s="1363"/>
      <c r="AG47" s="1363"/>
      <c r="AH47" s="1363"/>
      <c r="AJ47" s="1373"/>
    </row>
    <row r="48" spans="1:36">
      <c r="A48" s="1386" t="s">
        <v>999</v>
      </c>
      <c r="B48" s="1387">
        <v>35125501.208241843</v>
      </c>
      <c r="C48" s="1388">
        <v>5.1929999999999996</v>
      </c>
      <c r="D48" s="1371" t="s">
        <v>377</v>
      </c>
      <c r="E48" s="1380">
        <f>ROUND(C48*$B48/100,0)</f>
        <v>1824067</v>
      </c>
      <c r="F48" s="1388">
        <v>5.9489999999999998</v>
      </c>
      <c r="G48" s="1371" t="s">
        <v>377</v>
      </c>
      <c r="H48" s="1380">
        <f>ROUND(B48*F48/100,0)</f>
        <v>2089616</v>
      </c>
      <c r="I48" s="1388">
        <f>$I$11</f>
        <v>6.6320000000000006</v>
      </c>
      <c r="J48" s="1371" t="s">
        <v>377</v>
      </c>
      <c r="K48" s="1380">
        <f>ROUND(I48*$B48/100,0)</f>
        <v>2329523</v>
      </c>
      <c r="M48" s="1363"/>
      <c r="N48" s="1363"/>
      <c r="O48" s="1364"/>
      <c r="P48" s="1364"/>
      <c r="Q48" s="1364"/>
      <c r="R48" s="1363"/>
      <c r="S48" s="1363"/>
      <c r="T48" s="1365"/>
      <c r="U48" s="1365"/>
      <c r="V48" s="1365"/>
      <c r="W48" s="1363"/>
      <c r="X48" s="1363"/>
      <c r="Y48" s="1363"/>
      <c r="Z48" s="1363"/>
      <c r="AA48" s="1363"/>
      <c r="AB48" s="1363"/>
      <c r="AC48" s="1363"/>
      <c r="AD48" s="1363"/>
      <c r="AE48" s="1363"/>
      <c r="AF48" s="1363"/>
      <c r="AG48" s="1363"/>
      <c r="AH48" s="1363"/>
      <c r="AJ48" s="1373"/>
    </row>
    <row r="49" spans="1:36">
      <c r="A49" s="1386" t="s">
        <v>1000</v>
      </c>
      <c r="B49" s="1387">
        <v>16071718.182650283</v>
      </c>
      <c r="C49" s="1388">
        <v>8.1929999999999996</v>
      </c>
      <c r="D49" s="1371" t="s">
        <v>377</v>
      </c>
      <c r="E49" s="1380">
        <f>ROUND(C49*$B49/100,0)</f>
        <v>1316756</v>
      </c>
      <c r="F49" s="1388">
        <v>9.4159999999999986</v>
      </c>
      <c r="G49" s="1371" t="s">
        <v>377</v>
      </c>
      <c r="H49" s="1380">
        <f>ROUND(B49*F49/100,0)</f>
        <v>1513313</v>
      </c>
      <c r="I49" s="1388">
        <f>$I$12</f>
        <v>9.5009999999999994</v>
      </c>
      <c r="J49" s="1371" t="s">
        <v>377</v>
      </c>
      <c r="K49" s="1380">
        <f>ROUND(I49*$B49/100,0)</f>
        <v>1526974</v>
      </c>
      <c r="M49" s="1363"/>
      <c r="N49" s="1363"/>
      <c r="O49" s="1364"/>
      <c r="P49" s="1364"/>
      <c r="Q49" s="1364"/>
      <c r="R49" s="1363"/>
      <c r="S49" s="1363"/>
      <c r="T49" s="1365"/>
      <c r="U49" s="1365"/>
      <c r="V49" s="1365"/>
      <c r="W49" s="1363"/>
      <c r="X49" s="1363"/>
      <c r="Y49" s="1363"/>
      <c r="Z49" s="1363"/>
      <c r="AA49" s="1363"/>
      <c r="AB49" s="1363"/>
      <c r="AC49" s="1363"/>
      <c r="AD49" s="1363"/>
      <c r="AE49" s="1363"/>
      <c r="AF49" s="1363"/>
      <c r="AG49" s="1363"/>
      <c r="AH49" s="1363"/>
      <c r="AJ49" s="1373"/>
    </row>
    <row r="50" spans="1:36">
      <c r="A50" s="1386" t="s">
        <v>378</v>
      </c>
      <c r="B50" s="1387">
        <v>11964942.955537746</v>
      </c>
      <c r="C50" s="1388">
        <v>8.1929999999999996</v>
      </c>
      <c r="D50" s="1371" t="s">
        <v>377</v>
      </c>
      <c r="E50" s="1380">
        <f>ROUND(C50*$B50/100,0)</f>
        <v>980288</v>
      </c>
      <c r="F50" s="1388">
        <v>9.4159999999999986</v>
      </c>
      <c r="G50" s="1371" t="s">
        <v>377</v>
      </c>
      <c r="H50" s="1380">
        <f>ROUND(B50*F50/100,0)</f>
        <v>1126619</v>
      </c>
      <c r="I50" s="1388">
        <f>$I$13</f>
        <v>10.904999999999994</v>
      </c>
      <c r="J50" s="1371" t="s">
        <v>377</v>
      </c>
      <c r="K50" s="1380">
        <f>ROUND(I50*$B50/100,0)</f>
        <v>1304777</v>
      </c>
      <c r="M50" s="1363"/>
      <c r="N50" s="1363"/>
      <c r="O50" s="1364"/>
      <c r="P50" s="1364"/>
      <c r="Q50" s="1364"/>
      <c r="R50" s="1363"/>
      <c r="S50" s="1363"/>
      <c r="T50" s="1365"/>
      <c r="U50" s="1365"/>
      <c r="V50" s="1365"/>
      <c r="W50" s="1363"/>
      <c r="X50" s="1363"/>
      <c r="Y50" s="1363"/>
      <c r="Z50" s="1363"/>
      <c r="AA50" s="1363"/>
      <c r="AB50" s="1363"/>
      <c r="AC50" s="1363"/>
      <c r="AD50" s="1363"/>
      <c r="AE50" s="1363"/>
      <c r="AF50" s="1363"/>
      <c r="AG50" s="1363"/>
      <c r="AH50" s="1363"/>
      <c r="AJ50" s="1373"/>
    </row>
    <row r="51" spans="1:36">
      <c r="A51" s="1371" t="s">
        <v>380</v>
      </c>
      <c r="B51" s="1372">
        <v>0</v>
      </c>
      <c r="C51" s="1379">
        <v>1.6</v>
      </c>
      <c r="D51" s="1371"/>
      <c r="E51" s="1380">
        <f>ROUND(C51*$B51,0)</f>
        <v>0</v>
      </c>
      <c r="F51" s="1379">
        <v>1.65</v>
      </c>
      <c r="G51" s="1371"/>
      <c r="H51" s="1380">
        <v>0</v>
      </c>
      <c r="I51" s="1379">
        <f>$I$14</f>
        <v>1.65</v>
      </c>
      <c r="J51" s="1371"/>
      <c r="K51" s="1380">
        <f>ROUND(I51*$B51,0)</f>
        <v>0</v>
      </c>
      <c r="M51" s="1363"/>
      <c r="N51" s="1363"/>
      <c r="O51" s="1364"/>
      <c r="P51" s="1364"/>
      <c r="Q51" s="1364"/>
      <c r="R51" s="1363"/>
      <c r="S51" s="1363"/>
      <c r="T51" s="1365"/>
      <c r="U51" s="1365"/>
      <c r="V51" s="1365"/>
      <c r="W51" s="1363"/>
      <c r="X51" s="1363"/>
      <c r="Y51" s="1363"/>
      <c r="Z51" s="1363"/>
      <c r="AA51" s="1363"/>
      <c r="AB51" s="1363"/>
      <c r="AC51" s="1363"/>
      <c r="AD51" s="1363"/>
      <c r="AE51" s="1363"/>
      <c r="AF51" s="1363"/>
      <c r="AG51" s="1363"/>
      <c r="AH51" s="1363"/>
      <c r="AJ51" s="1373"/>
    </row>
    <row r="52" spans="1:36">
      <c r="A52" s="1395" t="s">
        <v>382</v>
      </c>
      <c r="B52" s="1372">
        <v>0</v>
      </c>
      <c r="C52" s="1379">
        <v>3.1</v>
      </c>
      <c r="D52" s="1395"/>
      <c r="E52" s="1380">
        <f>ROUND(C52*$B52,0)</f>
        <v>0</v>
      </c>
      <c r="F52" s="1379">
        <v>3.2</v>
      </c>
      <c r="G52" s="1395"/>
      <c r="H52" s="1380">
        <v>0</v>
      </c>
      <c r="I52" s="1379">
        <f>$I$15</f>
        <v>3.2</v>
      </c>
      <c r="J52" s="1395"/>
      <c r="K52" s="1380">
        <f>ROUND(I52*$B52,0)</f>
        <v>0</v>
      </c>
      <c r="M52" s="1363"/>
      <c r="N52" s="1363"/>
      <c r="O52" s="1364"/>
      <c r="P52" s="1364"/>
      <c r="Q52" s="1364"/>
      <c r="R52" s="1363"/>
      <c r="S52" s="1363"/>
      <c r="T52" s="1365"/>
      <c r="U52" s="1365"/>
      <c r="V52" s="1365"/>
      <c r="W52" s="1363"/>
      <c r="X52" s="1363"/>
      <c r="Y52" s="1363"/>
      <c r="Z52" s="1363"/>
      <c r="AA52" s="1363"/>
      <c r="AB52" s="1363"/>
      <c r="AC52" s="1363"/>
      <c r="AD52" s="1363"/>
      <c r="AE52" s="1363"/>
      <c r="AF52" s="1363"/>
      <c r="AG52" s="1363"/>
      <c r="AH52" s="1363"/>
      <c r="AJ52" s="1373"/>
    </row>
    <row r="53" spans="1:36">
      <c r="A53" s="1395" t="s">
        <v>383</v>
      </c>
      <c r="B53" s="1372">
        <v>0</v>
      </c>
      <c r="C53" s="1396">
        <v>-1.6</v>
      </c>
      <c r="D53" s="1395"/>
      <c r="E53" s="1380">
        <f>ROUND(C53*$B53,0)</f>
        <v>0</v>
      </c>
      <c r="F53" s="1396">
        <v>-1.65</v>
      </c>
      <c r="G53" s="1395"/>
      <c r="H53" s="1380">
        <v>0</v>
      </c>
      <c r="I53" s="1396">
        <f>-I51</f>
        <v>-1.65</v>
      </c>
      <c r="J53" s="1395"/>
      <c r="K53" s="1380">
        <f>ROUND(I53*$B53,0)</f>
        <v>0</v>
      </c>
      <c r="M53" s="1363"/>
      <c r="N53" s="1363"/>
      <c r="O53" s="1364"/>
      <c r="P53" s="1364"/>
      <c r="Q53" s="1364"/>
      <c r="R53" s="1363"/>
      <c r="S53" s="1363"/>
      <c r="T53" s="1365"/>
      <c r="U53" s="1365"/>
      <c r="V53" s="1365"/>
      <c r="W53" s="1363"/>
      <c r="X53" s="1363"/>
      <c r="Y53" s="1363"/>
      <c r="Z53" s="1363"/>
      <c r="AA53" s="1363"/>
      <c r="AB53" s="1363"/>
      <c r="AC53" s="1363"/>
      <c r="AD53" s="1363"/>
      <c r="AE53" s="1363"/>
      <c r="AF53" s="1363"/>
      <c r="AG53" s="1363"/>
      <c r="AH53" s="1363"/>
      <c r="AJ53" s="1373"/>
    </row>
    <row r="54" spans="1:36">
      <c r="A54" s="1397" t="s">
        <v>1001</v>
      </c>
      <c r="B54" s="1419">
        <f>B48</f>
        <v>35125501.208241843</v>
      </c>
      <c r="C54" s="1398"/>
      <c r="D54" s="1363"/>
      <c r="E54" s="1380"/>
      <c r="F54" s="1398"/>
      <c r="G54" s="1363"/>
      <c r="H54" s="1380"/>
      <c r="I54" s="1388">
        <f>I37</f>
        <v>0</v>
      </c>
      <c r="J54" s="1371" t="s">
        <v>377</v>
      </c>
      <c r="K54" s="1380">
        <f>I54*B54/100</f>
        <v>0</v>
      </c>
      <c r="M54" s="1373"/>
      <c r="O54" s="1399"/>
      <c r="P54" s="1362"/>
      <c r="Q54" s="1362"/>
      <c r="R54" s="1400"/>
      <c r="S54" s="1400"/>
      <c r="X54" s="1363"/>
      <c r="Y54" s="1363"/>
      <c r="Z54" s="1363"/>
      <c r="AA54" s="1363"/>
      <c r="AB54" s="1363"/>
      <c r="AC54" s="1363"/>
      <c r="AD54" s="1363"/>
      <c r="AE54" s="1363"/>
      <c r="AF54" s="1363"/>
      <c r="AG54" s="1363"/>
      <c r="AH54" s="1363"/>
      <c r="AJ54" s="1373"/>
    </row>
    <row r="55" spans="1:36">
      <c r="A55" s="1397" t="s">
        <v>1002</v>
      </c>
      <c r="B55" s="1419">
        <f>B49</f>
        <v>16071718.182650283</v>
      </c>
      <c r="C55" s="1398"/>
      <c r="D55" s="1363"/>
      <c r="E55" s="1380"/>
      <c r="F55" s="1398"/>
      <c r="G55" s="1363"/>
      <c r="H55" s="1380"/>
      <c r="I55" s="1388">
        <f>I38</f>
        <v>0</v>
      </c>
      <c r="J55" s="1371" t="s">
        <v>377</v>
      </c>
      <c r="K55" s="1380">
        <f>I55*B55/100</f>
        <v>0</v>
      </c>
      <c r="M55" s="1373"/>
      <c r="O55" s="1399"/>
      <c r="P55" s="1362"/>
      <c r="Q55" s="1362"/>
      <c r="R55" s="1400"/>
      <c r="S55" s="1400"/>
      <c r="X55" s="1363"/>
      <c r="Y55" s="1363"/>
      <c r="Z55" s="1363"/>
      <c r="AA55" s="1363"/>
      <c r="AB55" s="1363"/>
      <c r="AC55" s="1363"/>
      <c r="AD55" s="1363"/>
      <c r="AE55" s="1363"/>
      <c r="AF55" s="1363"/>
      <c r="AG55" s="1363"/>
      <c r="AH55" s="1363"/>
      <c r="AJ55" s="1373"/>
    </row>
    <row r="56" spans="1:36">
      <c r="A56" s="1397" t="s">
        <v>932</v>
      </c>
      <c r="B56" s="1419">
        <f>B50</f>
        <v>11964942.955537746</v>
      </c>
      <c r="C56" s="1398"/>
      <c r="D56" s="1363"/>
      <c r="E56" s="1380"/>
      <c r="F56" s="1398"/>
      <c r="G56" s="1363"/>
      <c r="H56" s="1380"/>
      <c r="I56" s="1388">
        <f>I39</f>
        <v>0</v>
      </c>
      <c r="J56" s="1371" t="s">
        <v>377</v>
      </c>
      <c r="K56" s="1380">
        <f>I56*B56/100</f>
        <v>0</v>
      </c>
      <c r="M56" s="1373"/>
      <c r="O56" s="1399"/>
      <c r="P56" s="1362"/>
      <c r="Q56" s="1362"/>
      <c r="R56" s="1400"/>
      <c r="S56" s="1400"/>
      <c r="X56" s="1363"/>
      <c r="Y56" s="1363"/>
      <c r="Z56" s="1363"/>
      <c r="AA56" s="1363"/>
      <c r="AB56" s="1363"/>
      <c r="AC56" s="1363"/>
      <c r="AD56" s="1363"/>
      <c r="AE56" s="1363"/>
      <c r="AF56" s="1363"/>
      <c r="AG56" s="1363"/>
      <c r="AH56" s="1363"/>
      <c r="AJ56" s="1373"/>
    </row>
    <row r="57" spans="1:36">
      <c r="A57" s="1371" t="s">
        <v>384</v>
      </c>
      <c r="B57" s="1372">
        <f>SUM(B48:B50)</f>
        <v>63162162.34642987</v>
      </c>
      <c r="C57" s="1402"/>
      <c r="D57" s="1380"/>
      <c r="E57" s="1380">
        <f>SUM(E47:E53)</f>
        <v>4415055</v>
      </c>
      <c r="F57" s="1403"/>
      <c r="G57" s="1380"/>
      <c r="H57" s="1380">
        <f>SUM(H47:H53)</f>
        <v>5023492</v>
      </c>
      <c r="I57" s="1380"/>
      <c r="J57" s="1380"/>
      <c r="K57" s="1380">
        <f>SUM(K47:K55)</f>
        <v>5548791</v>
      </c>
      <c r="M57" s="1363"/>
      <c r="N57" s="1363"/>
      <c r="O57" s="1364"/>
      <c r="P57" s="1364"/>
      <c r="Q57" s="1364"/>
      <c r="R57" s="1363"/>
      <c r="S57" s="1363"/>
      <c r="T57" s="1365"/>
      <c r="U57" s="1365"/>
      <c r="V57" s="1365"/>
      <c r="W57" s="1363"/>
      <c r="X57" s="1363"/>
      <c r="Y57" s="1363"/>
      <c r="Z57" s="1363"/>
      <c r="AA57" s="1363"/>
      <c r="AB57" s="1363"/>
      <c r="AC57" s="1363"/>
      <c r="AD57" s="1363"/>
      <c r="AE57" s="1363"/>
      <c r="AF57" s="1363"/>
      <c r="AG57" s="1363"/>
      <c r="AH57" s="1363"/>
      <c r="AJ57" s="1373"/>
    </row>
    <row r="58" spans="1:36">
      <c r="A58" s="1371" t="s">
        <v>366</v>
      </c>
      <c r="B58" s="1421">
        <v>-4050.066849352972</v>
      </c>
      <c r="C58" s="1405"/>
      <c r="D58" s="1405"/>
      <c r="E58" s="1406" t="e">
        <f>#REF!</f>
        <v>#REF!</v>
      </c>
      <c r="F58" s="1405"/>
      <c r="G58" s="1405"/>
      <c r="H58" s="1404">
        <v>509.23332391723989</v>
      </c>
      <c r="I58" s="1405"/>
      <c r="J58" s="1405"/>
      <c r="K58" s="1406">
        <f>H58</f>
        <v>509.23332391723989</v>
      </c>
      <c r="M58" s="1422"/>
      <c r="N58" s="1422"/>
      <c r="O58" s="1423"/>
      <c r="P58" s="1364"/>
      <c r="Q58" s="1364"/>
      <c r="R58" s="1363"/>
      <c r="S58" s="1363"/>
      <c r="T58" s="1365"/>
      <c r="U58" s="1365"/>
      <c r="V58" s="1365"/>
      <c r="W58" s="1363"/>
      <c r="X58" s="1363"/>
      <c r="Y58" s="1363"/>
      <c r="Z58" s="1363"/>
      <c r="AA58" s="1363"/>
      <c r="AB58" s="1363"/>
      <c r="AC58" s="1363"/>
      <c r="AD58" s="1363"/>
      <c r="AE58" s="1363"/>
      <c r="AF58" s="1363"/>
      <c r="AG58" s="1363"/>
      <c r="AH58" s="1363"/>
      <c r="AJ58" s="1373"/>
    </row>
    <row r="59" spans="1:36" ht="15.75" thickBot="1">
      <c r="A59" s="1371" t="s">
        <v>385</v>
      </c>
      <c r="B59" s="1407">
        <f>B57+B58</f>
        <v>63158112.279580519</v>
      </c>
      <c r="C59" s="1408"/>
      <c r="D59" s="1408"/>
      <c r="E59" s="1408" t="e">
        <f>E57+E58</f>
        <v>#REF!</v>
      </c>
      <c r="F59" s="1408"/>
      <c r="G59" s="1408"/>
      <c r="H59" s="1408">
        <f>SUM(H57:H58)</f>
        <v>5024001.2333239168</v>
      </c>
      <c r="I59" s="1408"/>
      <c r="J59" s="1408"/>
      <c r="K59" s="1408">
        <f>K57+K58</f>
        <v>5549300.2333239168</v>
      </c>
      <c r="M59" s="1424"/>
      <c r="N59" s="1424"/>
      <c r="O59" s="1412"/>
      <c r="P59" s="1364"/>
      <c r="Q59" s="1364"/>
      <c r="R59" s="1363"/>
      <c r="S59" s="1363"/>
      <c r="T59" s="1365"/>
      <c r="U59" s="1365"/>
      <c r="V59" s="1365"/>
      <c r="W59" s="1363"/>
      <c r="X59" s="1363"/>
      <c r="Y59" s="1363"/>
      <c r="Z59" s="1363"/>
      <c r="AA59" s="1363"/>
      <c r="AB59" s="1363"/>
      <c r="AC59" s="1363"/>
      <c r="AD59" s="1363"/>
      <c r="AE59" s="1363"/>
      <c r="AF59" s="1363"/>
      <c r="AG59" s="1363"/>
      <c r="AH59" s="1363"/>
      <c r="AJ59" s="1373"/>
    </row>
    <row r="60" spans="1:36" ht="15.75" thickTop="1">
      <c r="A60" s="1371"/>
      <c r="B60" s="1433"/>
      <c r="C60" s="1420"/>
      <c r="D60" s="1420"/>
      <c r="E60" s="1420"/>
      <c r="F60" s="1420"/>
      <c r="G60" s="1420"/>
      <c r="H60" s="1420"/>
      <c r="I60" s="1420"/>
      <c r="J60" s="1420"/>
      <c r="K60" s="1420"/>
      <c r="M60" s="1424"/>
      <c r="N60" s="1424"/>
      <c r="O60" s="1412"/>
      <c r="P60" s="1364"/>
      <c r="Q60" s="1364"/>
      <c r="R60" s="1363"/>
      <c r="S60" s="1363"/>
      <c r="T60" s="1365"/>
      <c r="U60" s="1365"/>
      <c r="V60" s="1365"/>
      <c r="W60" s="1363"/>
      <c r="X60" s="1363"/>
      <c r="Y60" s="1363"/>
      <c r="Z60" s="1363"/>
      <c r="AA60" s="1363"/>
      <c r="AB60" s="1363"/>
      <c r="AC60" s="1363"/>
      <c r="AD60" s="1363"/>
      <c r="AE60" s="1363"/>
      <c r="AF60" s="1363"/>
      <c r="AG60" s="1363"/>
      <c r="AH60" s="1363"/>
      <c r="AJ60" s="1373"/>
    </row>
    <row r="61" spans="1:36">
      <c r="A61" s="1370" t="s">
        <v>388</v>
      </c>
      <c r="B61" s="1371"/>
      <c r="C61" s="1372"/>
      <c r="D61" s="1372"/>
      <c r="E61" s="1371"/>
      <c r="F61" s="1372"/>
      <c r="G61" s="1371"/>
      <c r="H61" s="1371"/>
      <c r="I61" s="1372"/>
      <c r="J61" s="1371"/>
      <c r="K61" s="1371"/>
      <c r="M61" s="1363"/>
      <c r="N61" s="1363"/>
      <c r="O61" s="1364"/>
      <c r="P61" s="1364"/>
      <c r="Q61" s="1364"/>
      <c r="R61" s="1363"/>
      <c r="S61" s="1363"/>
      <c r="T61" s="1365"/>
      <c r="U61" s="1365"/>
      <c r="V61" s="1365"/>
      <c r="W61" s="1363"/>
      <c r="X61" s="1363"/>
      <c r="Y61" s="1363"/>
      <c r="Z61" s="1363"/>
      <c r="AA61" s="1363"/>
      <c r="AB61" s="1363"/>
      <c r="AC61" s="1363"/>
      <c r="AD61" s="1363"/>
      <c r="AE61" s="1363"/>
      <c r="AF61" s="1363"/>
      <c r="AG61" s="1363"/>
      <c r="AH61" s="1363"/>
      <c r="AJ61" s="1373"/>
    </row>
    <row r="62" spans="1:36">
      <c r="A62" s="1371" t="s">
        <v>333</v>
      </c>
      <c r="B62" s="1371"/>
      <c r="C62" s="1372"/>
      <c r="D62" s="1372"/>
      <c r="E62" s="1371"/>
      <c r="F62" s="1372"/>
      <c r="G62" s="1371"/>
      <c r="H62" s="1371"/>
      <c r="I62" s="1372"/>
      <c r="J62" s="1371"/>
      <c r="K62" s="1371"/>
      <c r="M62" s="1363"/>
      <c r="N62" s="1363"/>
      <c r="O62" s="1364"/>
      <c r="P62" s="1364"/>
      <c r="Q62" s="1364"/>
      <c r="R62" s="1363"/>
      <c r="S62" s="1363"/>
      <c r="T62" s="1365"/>
      <c r="U62" s="1365"/>
      <c r="V62" s="1365"/>
      <c r="W62" s="1363"/>
      <c r="X62" s="1363"/>
      <c r="Y62" s="1363"/>
      <c r="Z62" s="1363"/>
      <c r="AA62" s="1363"/>
      <c r="AB62" s="1363"/>
      <c r="AC62" s="1363"/>
      <c r="AD62" s="1363"/>
      <c r="AE62" s="1363"/>
      <c r="AF62" s="1363"/>
      <c r="AG62" s="1363"/>
      <c r="AH62" s="1363"/>
      <c r="AJ62" s="1373"/>
    </row>
    <row r="63" spans="1:36">
      <c r="A63" s="1376"/>
      <c r="B63" s="1371"/>
      <c r="C63" s="1372"/>
      <c r="D63" s="1372"/>
      <c r="E63" s="1371"/>
      <c r="F63" s="1372"/>
      <c r="G63" s="1371"/>
      <c r="H63" s="1371"/>
      <c r="I63" s="1372"/>
      <c r="J63" s="1371"/>
      <c r="K63" s="1371"/>
      <c r="M63" s="1363"/>
      <c r="N63" s="1363"/>
      <c r="O63" s="1364"/>
      <c r="P63" s="1364"/>
      <c r="Q63" s="1364"/>
      <c r="R63" s="1363"/>
      <c r="S63" s="1363"/>
      <c r="T63" s="1365"/>
      <c r="U63" s="1365"/>
      <c r="V63" s="1365"/>
      <c r="W63" s="1363"/>
      <c r="X63" s="1363"/>
      <c r="Y63" s="1363"/>
      <c r="Z63" s="1363"/>
      <c r="AA63" s="1363"/>
      <c r="AB63" s="1363"/>
      <c r="AC63" s="1363"/>
      <c r="AD63" s="1363"/>
      <c r="AE63" s="1363"/>
      <c r="AF63" s="1363"/>
      <c r="AG63" s="1363"/>
      <c r="AH63" s="1363"/>
      <c r="AJ63" s="1373"/>
    </row>
    <row r="64" spans="1:36">
      <c r="A64" s="1371" t="s">
        <v>373</v>
      </c>
      <c r="B64" s="1372">
        <f>1028</f>
        <v>1028</v>
      </c>
      <c r="C64" s="1379">
        <v>6</v>
      </c>
      <c r="D64" s="1371"/>
      <c r="E64" s="1380">
        <f>ROUND(C64*$B64,0)</f>
        <v>6168</v>
      </c>
      <c r="F64" s="1379">
        <v>6</v>
      </c>
      <c r="G64" s="1371"/>
      <c r="H64" s="1380">
        <f>ROUND(F64*B64,0)</f>
        <v>6168</v>
      </c>
      <c r="I64" s="1379">
        <f>$I$10</f>
        <v>7.91</v>
      </c>
      <c r="J64" s="1371"/>
      <c r="K64" s="1380">
        <f>ROUND(I64*$B64,0)</f>
        <v>8131</v>
      </c>
      <c r="M64" s="1363"/>
      <c r="N64" s="1363"/>
      <c r="O64" s="1364"/>
      <c r="P64" s="1364"/>
      <c r="Q64" s="1364"/>
      <c r="R64" s="1363"/>
      <c r="S64" s="1363"/>
      <c r="T64" s="1365"/>
      <c r="U64" s="1365"/>
      <c r="V64" s="1365"/>
      <c r="W64" s="1363"/>
      <c r="X64" s="1363"/>
      <c r="Y64" s="1363"/>
      <c r="Z64" s="1363"/>
      <c r="AA64" s="1363"/>
      <c r="AB64" s="1363"/>
      <c r="AC64" s="1363"/>
      <c r="AD64" s="1363"/>
      <c r="AE64" s="1363"/>
      <c r="AF64" s="1363"/>
      <c r="AG64" s="1363"/>
      <c r="AH64" s="1363"/>
      <c r="AJ64" s="1373"/>
    </row>
    <row r="65" spans="1:36">
      <c r="A65" s="1386" t="s">
        <v>999</v>
      </c>
      <c r="B65" s="1387">
        <v>742880.97953570203</v>
      </c>
      <c r="C65" s="1388">
        <v>5.1929999999999996</v>
      </c>
      <c r="D65" s="1371" t="s">
        <v>377</v>
      </c>
      <c r="E65" s="1380">
        <f>ROUND(C65*$B65/100,0)</f>
        <v>38578</v>
      </c>
      <c r="F65" s="1388">
        <v>5.9489999999999998</v>
      </c>
      <c r="G65" s="1371" t="s">
        <v>377</v>
      </c>
      <c r="H65" s="1380">
        <f>ROUND(B65*F65/100,0)</f>
        <v>44194</v>
      </c>
      <c r="I65" s="1388">
        <f>$I$11</f>
        <v>6.6320000000000006</v>
      </c>
      <c r="J65" s="1371" t="s">
        <v>377</v>
      </c>
      <c r="K65" s="1380">
        <f>ROUND(I65*$B65/100,0)</f>
        <v>49268</v>
      </c>
      <c r="M65" s="1363"/>
      <c r="N65" s="1363"/>
      <c r="O65" s="1364"/>
      <c r="P65" s="1364"/>
      <c r="Q65" s="1364"/>
      <c r="R65" s="1363"/>
      <c r="S65" s="1363"/>
      <c r="T65" s="1365"/>
      <c r="U65" s="1365"/>
      <c r="V65" s="1365"/>
      <c r="W65" s="1363"/>
      <c r="X65" s="1363"/>
      <c r="Y65" s="1363"/>
      <c r="Z65" s="1363"/>
      <c r="AA65" s="1363"/>
      <c r="AB65" s="1363"/>
      <c r="AC65" s="1363"/>
      <c r="AD65" s="1363"/>
      <c r="AE65" s="1363"/>
      <c r="AF65" s="1363"/>
      <c r="AG65" s="1363"/>
      <c r="AH65" s="1363"/>
      <c r="AJ65" s="1373"/>
    </row>
    <row r="66" spans="1:36">
      <c r="A66" s="1386" t="s">
        <v>1000</v>
      </c>
      <c r="B66" s="1387">
        <v>446271.83688998607</v>
      </c>
      <c r="C66" s="1388">
        <v>8.1929999999999996</v>
      </c>
      <c r="D66" s="1371" t="s">
        <v>377</v>
      </c>
      <c r="E66" s="1380">
        <f>ROUND(C66*$B66/100,0)</f>
        <v>36563</v>
      </c>
      <c r="F66" s="1388">
        <v>9.4159999999999986</v>
      </c>
      <c r="G66" s="1371" t="s">
        <v>377</v>
      </c>
      <c r="H66" s="1380">
        <f>ROUND(B66*F66/100,0)</f>
        <v>42021</v>
      </c>
      <c r="I66" s="1388">
        <f>$I$12</f>
        <v>9.5009999999999994</v>
      </c>
      <c r="J66" s="1371" t="s">
        <v>377</v>
      </c>
      <c r="K66" s="1380">
        <f>ROUND(I66*$B66/100,0)</f>
        <v>42400</v>
      </c>
      <c r="M66" s="1363"/>
      <c r="N66" s="1363"/>
      <c r="O66" s="1364"/>
      <c r="P66" s="1364"/>
      <c r="Q66" s="1364"/>
      <c r="R66" s="1363"/>
      <c r="S66" s="1363"/>
      <c r="T66" s="1365"/>
      <c r="U66" s="1365"/>
      <c r="V66" s="1365"/>
      <c r="W66" s="1363"/>
      <c r="X66" s="1363"/>
      <c r="Y66" s="1363"/>
      <c r="Z66" s="1363"/>
      <c r="AA66" s="1363"/>
      <c r="AB66" s="1363"/>
      <c r="AC66" s="1363"/>
      <c r="AD66" s="1363"/>
      <c r="AE66" s="1363"/>
      <c r="AF66" s="1363"/>
      <c r="AG66" s="1363"/>
      <c r="AH66" s="1363"/>
      <c r="AJ66" s="1373"/>
    </row>
    <row r="67" spans="1:36">
      <c r="A67" s="1386" t="s">
        <v>378</v>
      </c>
      <c r="B67" s="1387">
        <v>1023950.7183553994</v>
      </c>
      <c r="C67" s="1388">
        <v>8.1929999999999996</v>
      </c>
      <c r="D67" s="1371" t="s">
        <v>377</v>
      </c>
      <c r="E67" s="1380">
        <f>ROUND(C67*$B67/100,0)</f>
        <v>83892</v>
      </c>
      <c r="F67" s="1388">
        <v>9.4159999999999986</v>
      </c>
      <c r="G67" s="1371" t="s">
        <v>377</v>
      </c>
      <c r="H67" s="1380">
        <f>ROUND(B67*F67/100,0)</f>
        <v>96415</v>
      </c>
      <c r="I67" s="1388">
        <f>$I$13</f>
        <v>10.904999999999994</v>
      </c>
      <c r="J67" s="1371" t="s">
        <v>377</v>
      </c>
      <c r="K67" s="1380">
        <f>ROUND(I67*$B67/100,0)</f>
        <v>111662</v>
      </c>
      <c r="M67" s="1363"/>
      <c r="N67" s="1363"/>
      <c r="O67" s="1364"/>
      <c r="P67" s="1364"/>
      <c r="Q67" s="1364"/>
      <c r="R67" s="1363"/>
      <c r="S67" s="1363"/>
      <c r="T67" s="1365"/>
      <c r="U67" s="1365"/>
      <c r="V67" s="1365"/>
      <c r="W67" s="1363"/>
      <c r="X67" s="1363"/>
      <c r="Y67" s="1363"/>
      <c r="Z67" s="1363"/>
      <c r="AA67" s="1363"/>
      <c r="AB67" s="1363"/>
      <c r="AC67" s="1363"/>
      <c r="AD67" s="1363"/>
      <c r="AE67" s="1363"/>
      <c r="AF67" s="1363"/>
      <c r="AG67" s="1363"/>
      <c r="AH67" s="1363"/>
      <c r="AJ67" s="1373"/>
    </row>
    <row r="68" spans="1:36">
      <c r="A68" s="1371" t="s">
        <v>380</v>
      </c>
      <c r="B68" s="1372">
        <f>4742</f>
        <v>4742</v>
      </c>
      <c r="C68" s="1379">
        <v>1.6</v>
      </c>
      <c r="D68" s="1371"/>
      <c r="E68" s="1380">
        <f>ROUND(C68*$B68,0)</f>
        <v>7587</v>
      </c>
      <c r="F68" s="1379">
        <v>1.65</v>
      </c>
      <c r="G68" s="1371"/>
      <c r="H68" s="1380">
        <f>ROUND(F68*B68,0)</f>
        <v>7824</v>
      </c>
      <c r="I68" s="1379">
        <f>$I$14</f>
        <v>1.65</v>
      </c>
      <c r="J68" s="1371"/>
      <c r="K68" s="1380">
        <f>ROUND(I68*$B68,0)</f>
        <v>7824</v>
      </c>
      <c r="M68" s="1363"/>
      <c r="N68" s="1363"/>
      <c r="O68" s="1364"/>
      <c r="P68" s="1364"/>
      <c r="Q68" s="1364"/>
      <c r="R68" s="1363"/>
      <c r="S68" s="1363"/>
      <c r="T68" s="1365"/>
      <c r="U68" s="1365"/>
      <c r="V68" s="1365"/>
      <c r="W68" s="1363"/>
      <c r="X68" s="1363"/>
      <c r="Y68" s="1363"/>
      <c r="Z68" s="1363"/>
      <c r="AA68" s="1363"/>
      <c r="AB68" s="1363"/>
      <c r="AC68" s="1363"/>
      <c r="AD68" s="1363"/>
      <c r="AE68" s="1363"/>
      <c r="AF68" s="1363"/>
      <c r="AG68" s="1363"/>
      <c r="AH68" s="1363"/>
      <c r="AJ68" s="1373"/>
    </row>
    <row r="69" spans="1:36">
      <c r="A69" s="1395" t="s">
        <v>382</v>
      </c>
      <c r="B69" s="1372">
        <f>638</f>
        <v>638</v>
      </c>
      <c r="C69" s="1379">
        <v>3.1</v>
      </c>
      <c r="D69" s="1395"/>
      <c r="E69" s="1380">
        <f>ROUND(C69*$B69,0)</f>
        <v>1978</v>
      </c>
      <c r="F69" s="1379">
        <v>3.2</v>
      </c>
      <c r="G69" s="1395"/>
      <c r="H69" s="1380">
        <f>ROUND(F69*B69,0)</f>
        <v>2042</v>
      </c>
      <c r="I69" s="1379">
        <f>$I$15</f>
        <v>3.2</v>
      </c>
      <c r="J69" s="1395"/>
      <c r="K69" s="1380">
        <f>ROUND(I69*$B69,0)</f>
        <v>2042</v>
      </c>
      <c r="M69" s="1363"/>
      <c r="N69" s="1363"/>
      <c r="O69" s="1364"/>
      <c r="P69" s="1364"/>
      <c r="Q69" s="1364"/>
      <c r="R69" s="1363"/>
      <c r="S69" s="1363"/>
      <c r="T69" s="1365"/>
      <c r="U69" s="1365"/>
      <c r="V69" s="1365"/>
      <c r="W69" s="1363"/>
      <c r="X69" s="1363"/>
      <c r="Y69" s="1363"/>
      <c r="Z69" s="1363"/>
      <c r="AA69" s="1363"/>
      <c r="AB69" s="1363"/>
      <c r="AC69" s="1363"/>
      <c r="AD69" s="1363"/>
      <c r="AE69" s="1363"/>
      <c r="AF69" s="1363"/>
      <c r="AG69" s="1363"/>
      <c r="AH69" s="1363"/>
      <c r="AJ69" s="1373"/>
    </row>
    <row r="70" spans="1:36">
      <c r="A70" s="1395" t="s">
        <v>383</v>
      </c>
      <c r="B70" s="1372">
        <v>52</v>
      </c>
      <c r="C70" s="1396">
        <v>-1.6</v>
      </c>
      <c r="D70" s="1395"/>
      <c r="E70" s="1380">
        <f>ROUND(C70*$B70,0)</f>
        <v>-83</v>
      </c>
      <c r="F70" s="1396">
        <v>-1.65</v>
      </c>
      <c r="G70" s="1395"/>
      <c r="H70" s="1380">
        <f>ROUND(F70*B70,0)</f>
        <v>-86</v>
      </c>
      <c r="I70" s="1396">
        <f>-I68</f>
        <v>-1.65</v>
      </c>
      <c r="J70" s="1395"/>
      <c r="K70" s="1380">
        <f>ROUND(I70*$B70,0)</f>
        <v>-86</v>
      </c>
      <c r="M70" s="1363"/>
      <c r="N70" s="1363"/>
      <c r="O70" s="1364"/>
      <c r="P70" s="1364"/>
      <c r="Q70" s="1364"/>
      <c r="R70" s="1363"/>
      <c r="S70" s="1363"/>
      <c r="T70" s="1365"/>
      <c r="U70" s="1365"/>
      <c r="V70" s="1365"/>
      <c r="W70" s="1363"/>
      <c r="X70" s="1363"/>
      <c r="Y70" s="1363"/>
      <c r="Z70" s="1363"/>
      <c r="AA70" s="1363"/>
      <c r="AB70" s="1363"/>
      <c r="AC70" s="1363"/>
      <c r="AD70" s="1363"/>
      <c r="AE70" s="1363"/>
      <c r="AF70" s="1363"/>
      <c r="AG70" s="1363"/>
      <c r="AH70" s="1363"/>
      <c r="AJ70" s="1373"/>
    </row>
    <row r="71" spans="1:36">
      <c r="A71" s="1397" t="s">
        <v>1001</v>
      </c>
      <c r="B71" s="1419">
        <f>B65</f>
        <v>742880.97953570203</v>
      </c>
      <c r="C71" s="1398"/>
      <c r="D71" s="1363"/>
      <c r="E71" s="1380"/>
      <c r="F71" s="1398"/>
      <c r="G71" s="1363"/>
      <c r="H71" s="1380"/>
      <c r="I71" s="1388">
        <f>I54</f>
        <v>0</v>
      </c>
      <c r="J71" s="1371" t="s">
        <v>377</v>
      </c>
      <c r="K71" s="1380">
        <f>I71*B71/100</f>
        <v>0</v>
      </c>
      <c r="M71" s="1373"/>
      <c r="O71" s="1399"/>
      <c r="P71" s="1362"/>
      <c r="Q71" s="1362"/>
      <c r="R71" s="1400"/>
      <c r="S71" s="1400"/>
      <c r="X71" s="1363"/>
      <c r="Y71" s="1363"/>
      <c r="Z71" s="1363"/>
      <c r="AA71" s="1363"/>
      <c r="AB71" s="1363"/>
      <c r="AC71" s="1363"/>
      <c r="AD71" s="1363"/>
      <c r="AE71" s="1363"/>
      <c r="AF71" s="1363"/>
      <c r="AG71" s="1363"/>
      <c r="AH71" s="1363"/>
      <c r="AJ71" s="1373"/>
    </row>
    <row r="72" spans="1:36">
      <c r="A72" s="1397" t="s">
        <v>1002</v>
      </c>
      <c r="B72" s="1419">
        <f>B66</f>
        <v>446271.83688998607</v>
      </c>
      <c r="C72" s="1398"/>
      <c r="D72" s="1363"/>
      <c r="E72" s="1380"/>
      <c r="F72" s="1398"/>
      <c r="G72" s="1363"/>
      <c r="H72" s="1380"/>
      <c r="I72" s="1388">
        <f>I55</f>
        <v>0</v>
      </c>
      <c r="J72" s="1371" t="s">
        <v>377</v>
      </c>
      <c r="K72" s="1380">
        <f>I72*B72/100</f>
        <v>0</v>
      </c>
      <c r="M72" s="1373"/>
      <c r="O72" s="1399"/>
      <c r="P72" s="1362"/>
      <c r="Q72" s="1362"/>
      <c r="R72" s="1400"/>
      <c r="S72" s="1400"/>
      <c r="X72" s="1363"/>
      <c r="Y72" s="1363"/>
      <c r="Z72" s="1363"/>
      <c r="AA72" s="1363"/>
      <c r="AB72" s="1363"/>
      <c r="AC72" s="1363"/>
      <c r="AD72" s="1363"/>
      <c r="AE72" s="1363"/>
      <c r="AF72" s="1363"/>
      <c r="AG72" s="1363"/>
      <c r="AH72" s="1363"/>
      <c r="AJ72" s="1373"/>
    </row>
    <row r="73" spans="1:36">
      <c r="A73" s="1397" t="s">
        <v>932</v>
      </c>
      <c r="B73" s="1419">
        <f>B67</f>
        <v>1023950.7183553994</v>
      </c>
      <c r="C73" s="1398"/>
      <c r="D73" s="1363"/>
      <c r="E73" s="1380"/>
      <c r="F73" s="1398"/>
      <c r="G73" s="1363"/>
      <c r="H73" s="1380"/>
      <c r="I73" s="1388">
        <f>I56</f>
        <v>0</v>
      </c>
      <c r="J73" s="1371" t="s">
        <v>377</v>
      </c>
      <c r="K73" s="1380">
        <f>I73*B73/100</f>
        <v>0</v>
      </c>
      <c r="M73" s="1373"/>
      <c r="O73" s="1399"/>
      <c r="P73" s="1362"/>
      <c r="Q73" s="1362"/>
      <c r="R73" s="1400"/>
      <c r="S73" s="1400"/>
      <c r="X73" s="1363"/>
      <c r="Y73" s="1363"/>
      <c r="Z73" s="1363"/>
      <c r="AA73" s="1363"/>
      <c r="AB73" s="1363"/>
      <c r="AC73" s="1363"/>
      <c r="AD73" s="1363"/>
      <c r="AE73" s="1363"/>
      <c r="AF73" s="1363"/>
      <c r="AG73" s="1363"/>
      <c r="AH73" s="1363"/>
      <c r="AJ73" s="1373"/>
    </row>
    <row r="74" spans="1:36">
      <c r="A74" s="1371" t="s">
        <v>384</v>
      </c>
      <c r="B74" s="1372">
        <f>SUM(B65:B67)</f>
        <v>2213103.5347810877</v>
      </c>
      <c r="C74" s="1402"/>
      <c r="D74" s="1380"/>
      <c r="E74" s="1380">
        <f>SUM(E64:E70)</f>
        <v>174683</v>
      </c>
      <c r="F74" s="1403"/>
      <c r="G74" s="1380"/>
      <c r="H74" s="1380">
        <f>SUM(H64:H70)</f>
        <v>198578</v>
      </c>
      <c r="I74" s="1380"/>
      <c r="J74" s="1380"/>
      <c r="K74" s="1380">
        <f>SUM(K64:K72)</f>
        <v>221241</v>
      </c>
      <c r="M74" s="1363"/>
      <c r="N74" s="1363"/>
      <c r="O74" s="1364"/>
      <c r="P74" s="1364"/>
      <c r="Q74" s="1364"/>
      <c r="R74" s="1363"/>
      <c r="S74" s="1363"/>
      <c r="T74" s="1365"/>
      <c r="U74" s="1365"/>
      <c r="V74" s="1365"/>
      <c r="W74" s="1363"/>
      <c r="X74" s="1363"/>
      <c r="Y74" s="1363"/>
      <c r="Z74" s="1363"/>
      <c r="AA74" s="1363"/>
      <c r="AB74" s="1363"/>
      <c r="AC74" s="1363"/>
      <c r="AD74" s="1363"/>
      <c r="AE74" s="1363"/>
      <c r="AF74" s="1363"/>
      <c r="AG74" s="1363"/>
      <c r="AH74" s="1363"/>
      <c r="AJ74" s="1373"/>
    </row>
    <row r="75" spans="1:36">
      <c r="A75" s="1371" t="s">
        <v>366</v>
      </c>
      <c r="B75" s="1421">
        <v>-141.94975056245792</v>
      </c>
      <c r="C75" s="1405"/>
      <c r="D75" s="1405"/>
      <c r="E75" s="1406" t="e">
        <f>#REF!</f>
        <v>#REF!</v>
      </c>
      <c r="F75" s="1405"/>
      <c r="G75" s="1405"/>
      <c r="H75" s="1406">
        <v>19.723602875558147</v>
      </c>
      <c r="I75" s="1405"/>
      <c r="J75" s="1405"/>
      <c r="K75" s="1406">
        <f>H75</f>
        <v>19.723602875558147</v>
      </c>
      <c r="M75" s="1422"/>
      <c r="N75" s="1422"/>
      <c r="O75" s="1423"/>
      <c r="P75" s="1364"/>
      <c r="Q75" s="1364"/>
      <c r="R75" s="1363"/>
      <c r="S75" s="1363"/>
      <c r="T75" s="1365"/>
      <c r="U75" s="1365"/>
      <c r="V75" s="1365"/>
      <c r="W75" s="1363"/>
      <c r="X75" s="1363"/>
      <c r="Y75" s="1363"/>
      <c r="Z75" s="1363"/>
      <c r="AA75" s="1363"/>
      <c r="AB75" s="1363"/>
      <c r="AC75" s="1363"/>
      <c r="AD75" s="1363"/>
      <c r="AE75" s="1363"/>
      <c r="AF75" s="1363"/>
      <c r="AG75" s="1363"/>
      <c r="AH75" s="1363"/>
      <c r="AJ75" s="1373"/>
    </row>
    <row r="76" spans="1:36" ht="15.75" thickBot="1">
      <c r="A76" s="1371" t="s">
        <v>385</v>
      </c>
      <c r="B76" s="1407">
        <f>B74+B75</f>
        <v>2212961.585030525</v>
      </c>
      <c r="C76" s="1408"/>
      <c r="D76" s="1408"/>
      <c r="E76" s="1408" t="e">
        <f>E74+E75</f>
        <v>#REF!</v>
      </c>
      <c r="F76" s="1408"/>
      <c r="G76" s="1408"/>
      <c r="H76" s="1408">
        <f>H74+H75</f>
        <v>198597.72360287557</v>
      </c>
      <c r="I76" s="1408"/>
      <c r="J76" s="1408"/>
      <c r="K76" s="1408">
        <f>K74+K75</f>
        <v>221260.72360287557</v>
      </c>
      <c r="M76" s="1424"/>
      <c r="N76" s="1424"/>
      <c r="O76" s="1412"/>
      <c r="P76" s="1364"/>
      <c r="Q76" s="1364"/>
      <c r="R76" s="1363"/>
      <c r="S76" s="1363"/>
      <c r="T76" s="1365"/>
      <c r="U76" s="1365"/>
      <c r="V76" s="1365"/>
      <c r="W76" s="1363"/>
      <c r="X76" s="1363"/>
      <c r="Y76" s="1363"/>
      <c r="Z76" s="1363"/>
      <c r="AA76" s="1363"/>
      <c r="AB76" s="1363"/>
      <c r="AC76" s="1363"/>
      <c r="AD76" s="1363"/>
      <c r="AE76" s="1363"/>
      <c r="AF76" s="1363"/>
      <c r="AG76" s="1363"/>
      <c r="AH76" s="1363"/>
      <c r="AJ76" s="1373"/>
    </row>
    <row r="77" spans="1:36" ht="15.75" thickTop="1">
      <c r="A77" s="1371"/>
      <c r="B77" s="1372"/>
      <c r="C77" s="1372"/>
      <c r="D77" s="1372"/>
      <c r="F77" s="1371" t="s">
        <v>31</v>
      </c>
      <c r="G77" s="1371"/>
      <c r="I77" s="1371" t="s">
        <v>31</v>
      </c>
      <c r="J77" s="1371"/>
      <c r="K77" s="1380" t="s">
        <v>31</v>
      </c>
      <c r="M77" s="1363"/>
      <c r="N77" s="1363"/>
      <c r="O77" s="1364"/>
      <c r="P77" s="1364"/>
      <c r="Q77" s="1364"/>
      <c r="R77" s="1363"/>
      <c r="S77" s="1363"/>
      <c r="T77" s="1365"/>
      <c r="U77" s="1365"/>
      <c r="V77" s="1365"/>
      <c r="W77" s="1363"/>
      <c r="X77" s="1363"/>
      <c r="Y77" s="1363"/>
      <c r="Z77" s="1363"/>
      <c r="AA77" s="1363"/>
      <c r="AB77" s="1363"/>
      <c r="AC77" s="1363"/>
      <c r="AD77" s="1363"/>
      <c r="AE77" s="1363"/>
      <c r="AF77" s="1363"/>
      <c r="AG77" s="1363"/>
      <c r="AH77" s="1363"/>
      <c r="AJ77" s="1373"/>
    </row>
    <row r="78" spans="1:36">
      <c r="A78" s="1370" t="s">
        <v>389</v>
      </c>
      <c r="B78" s="1371"/>
      <c r="C78" s="1372"/>
      <c r="D78" s="1372"/>
      <c r="E78" s="1371"/>
      <c r="F78" s="1372"/>
      <c r="G78" s="1371"/>
      <c r="H78" s="1371"/>
      <c r="I78" s="1372"/>
      <c r="J78" s="1371"/>
      <c r="K78" s="1371"/>
      <c r="M78" s="1363"/>
      <c r="N78" s="1363"/>
      <c r="O78" s="1364"/>
      <c r="P78" s="1364"/>
      <c r="Q78" s="1364"/>
      <c r="R78" s="1363"/>
      <c r="S78" s="1363"/>
      <c r="T78" s="1365"/>
      <c r="U78" s="1365"/>
      <c r="V78" s="1365"/>
      <c r="W78" s="1363"/>
      <c r="X78" s="1363"/>
      <c r="Y78" s="1363"/>
      <c r="Z78" s="1363"/>
      <c r="AA78" s="1363"/>
      <c r="AB78" s="1363"/>
      <c r="AC78" s="1363"/>
      <c r="AD78" s="1363"/>
      <c r="AE78" s="1363"/>
      <c r="AF78" s="1363"/>
      <c r="AG78" s="1363"/>
      <c r="AH78" s="1363"/>
      <c r="AJ78" s="1373"/>
    </row>
    <row r="79" spans="1:36">
      <c r="A79" s="1371" t="s">
        <v>333</v>
      </c>
      <c r="B79" s="1371"/>
      <c r="C79" s="1372"/>
      <c r="D79" s="1372"/>
      <c r="E79" s="1371"/>
      <c r="F79" s="1372"/>
      <c r="G79" s="1371"/>
      <c r="H79" s="1371"/>
      <c r="I79" s="1372"/>
      <c r="J79" s="1371"/>
      <c r="K79" s="1371"/>
      <c r="M79" s="1363"/>
      <c r="N79" s="1363"/>
      <c r="O79" s="1364"/>
      <c r="P79" s="1364"/>
      <c r="Q79" s="1364"/>
      <c r="R79" s="1363"/>
      <c r="S79" s="1363"/>
      <c r="T79" s="1365"/>
      <c r="U79" s="1365"/>
      <c r="V79" s="1365"/>
      <c r="W79" s="1363"/>
      <c r="X79" s="1363"/>
      <c r="Y79" s="1363"/>
      <c r="Z79" s="1363"/>
      <c r="AA79" s="1363"/>
      <c r="AB79" s="1363"/>
      <c r="AC79" s="1363"/>
      <c r="AD79" s="1363"/>
      <c r="AE79" s="1363"/>
      <c r="AF79" s="1363"/>
      <c r="AG79" s="1363"/>
      <c r="AH79" s="1363"/>
      <c r="AJ79" s="1373"/>
    </row>
    <row r="80" spans="1:36">
      <c r="A80" s="1376"/>
      <c r="B80" s="1371"/>
      <c r="C80" s="1372"/>
      <c r="D80" s="1372"/>
      <c r="E80" s="1371"/>
      <c r="F80" s="1372"/>
      <c r="G80" s="1371"/>
      <c r="H80" s="1371"/>
      <c r="I80" s="1372"/>
      <c r="J80" s="1371"/>
      <c r="K80" s="1371"/>
      <c r="M80" s="1363"/>
      <c r="N80" s="1363"/>
      <c r="O80" s="1364"/>
      <c r="P80" s="1364"/>
      <c r="Q80" s="1364"/>
      <c r="R80" s="1363"/>
      <c r="S80" s="1363"/>
      <c r="T80" s="1365"/>
      <c r="U80" s="1365"/>
      <c r="V80" s="1365"/>
      <c r="W80" s="1363"/>
      <c r="X80" s="1363"/>
      <c r="Y80" s="1363"/>
      <c r="Z80" s="1363"/>
      <c r="AA80" s="1363"/>
      <c r="AB80" s="1363"/>
      <c r="AC80" s="1363"/>
      <c r="AD80" s="1363"/>
      <c r="AE80" s="1363"/>
      <c r="AF80" s="1363"/>
      <c r="AG80" s="1363"/>
      <c r="AH80" s="1363"/>
      <c r="AJ80" s="1373"/>
    </row>
    <row r="81" spans="1:36">
      <c r="A81" s="1371" t="s">
        <v>373</v>
      </c>
      <c r="B81" s="1372">
        <v>218</v>
      </c>
      <c r="C81" s="1379">
        <v>6</v>
      </c>
      <c r="D81" s="1371"/>
      <c r="E81" s="1380">
        <f>ROUND(C81*$B81,0)</f>
        <v>1308</v>
      </c>
      <c r="F81" s="1379">
        <v>6</v>
      </c>
      <c r="G81" s="1371"/>
      <c r="H81" s="1380">
        <f>ROUND(F81*B81,0)</f>
        <v>1308</v>
      </c>
      <c r="I81" s="1379">
        <f>$I$10</f>
        <v>7.91</v>
      </c>
      <c r="J81" s="1371"/>
      <c r="K81" s="1380">
        <f>ROUND(I81*$B81,0)</f>
        <v>1724</v>
      </c>
      <c r="M81" s="1363"/>
      <c r="N81" s="1363"/>
      <c r="O81" s="1364"/>
      <c r="P81" s="1364"/>
      <c r="Q81" s="1364"/>
      <c r="R81" s="1363"/>
      <c r="S81" s="1363"/>
      <c r="T81" s="1365"/>
      <c r="U81" s="1365"/>
      <c r="V81" s="1365"/>
      <c r="W81" s="1363"/>
      <c r="X81" s="1363"/>
      <c r="Y81" s="1363"/>
      <c r="Z81" s="1363"/>
      <c r="AA81" s="1363"/>
      <c r="AB81" s="1363"/>
      <c r="AC81" s="1363"/>
      <c r="AD81" s="1363"/>
      <c r="AE81" s="1363"/>
      <c r="AF81" s="1363"/>
      <c r="AG81" s="1363"/>
      <c r="AH81" s="1363"/>
      <c r="AJ81" s="1373"/>
    </row>
    <row r="82" spans="1:36">
      <c r="A82" s="1386" t="s">
        <v>999</v>
      </c>
      <c r="B82" s="1387">
        <v>171930.33333333299</v>
      </c>
      <c r="C82" s="1388">
        <v>5.1929999999999996</v>
      </c>
      <c r="D82" s="1371" t="s">
        <v>377</v>
      </c>
      <c r="E82" s="1380">
        <f>ROUND(C82*$B82/100,0)</f>
        <v>8928</v>
      </c>
      <c r="F82" s="1388">
        <v>5.9489999999999998</v>
      </c>
      <c r="G82" s="1371" t="s">
        <v>377</v>
      </c>
      <c r="H82" s="1380">
        <f>ROUND(B82*F82/100,0)</f>
        <v>10228</v>
      </c>
      <c r="I82" s="1388">
        <f>$I$11</f>
        <v>6.6320000000000006</v>
      </c>
      <c r="J82" s="1371" t="s">
        <v>377</v>
      </c>
      <c r="K82" s="1380">
        <f>ROUND(I82*$B82/100,0)</f>
        <v>11402</v>
      </c>
      <c r="M82" s="1363"/>
      <c r="N82" s="1363"/>
      <c r="O82" s="1364"/>
      <c r="P82" s="1364"/>
      <c r="Q82" s="1364"/>
      <c r="R82" s="1363"/>
      <c r="S82" s="1363"/>
      <c r="T82" s="1365"/>
      <c r="U82" s="1365"/>
      <c r="V82" s="1365"/>
      <c r="W82" s="1363"/>
      <c r="X82" s="1363"/>
      <c r="Y82" s="1363"/>
      <c r="Z82" s="1363"/>
      <c r="AA82" s="1363"/>
      <c r="AB82" s="1363"/>
      <c r="AC82" s="1363"/>
      <c r="AD82" s="1363"/>
      <c r="AE82" s="1363"/>
      <c r="AF82" s="1363"/>
      <c r="AG82" s="1363"/>
      <c r="AH82" s="1363"/>
      <c r="AJ82" s="1373"/>
    </row>
    <row r="83" spans="1:36">
      <c r="A83" s="1386" t="s">
        <v>1000</v>
      </c>
      <c r="B83" s="1387">
        <v>117525.66666666701</v>
      </c>
      <c r="C83" s="1388">
        <v>8.1929999999999996</v>
      </c>
      <c r="D83" s="1371" t="s">
        <v>377</v>
      </c>
      <c r="E83" s="1380">
        <f>ROUND(C83*$B83/100,0)</f>
        <v>9629</v>
      </c>
      <c r="F83" s="1388">
        <v>9.4159999999999986</v>
      </c>
      <c r="G83" s="1371" t="s">
        <v>377</v>
      </c>
      <c r="H83" s="1380">
        <f>ROUND(B83*F83/100,0)</f>
        <v>11066</v>
      </c>
      <c r="I83" s="1388">
        <f>$I$12</f>
        <v>9.5009999999999994</v>
      </c>
      <c r="J83" s="1371" t="s">
        <v>377</v>
      </c>
      <c r="K83" s="1380">
        <f>ROUND(I83*$B83/100,0)</f>
        <v>11166</v>
      </c>
      <c r="M83" s="1363"/>
      <c r="N83" s="1363"/>
      <c r="O83" s="1364"/>
      <c r="P83" s="1364"/>
      <c r="Q83" s="1364"/>
      <c r="R83" s="1363"/>
      <c r="S83" s="1363"/>
      <c r="T83" s="1365"/>
      <c r="U83" s="1365"/>
      <c r="V83" s="1365"/>
      <c r="W83" s="1363"/>
      <c r="X83" s="1363"/>
      <c r="Y83" s="1363"/>
      <c r="Z83" s="1363"/>
      <c r="AA83" s="1363"/>
      <c r="AB83" s="1363"/>
      <c r="AC83" s="1363"/>
      <c r="AD83" s="1363"/>
      <c r="AE83" s="1363"/>
      <c r="AF83" s="1363"/>
      <c r="AG83" s="1363"/>
      <c r="AH83" s="1363"/>
      <c r="AJ83" s="1373"/>
    </row>
    <row r="84" spans="1:36">
      <c r="A84" s="1386" t="s">
        <v>378</v>
      </c>
      <c r="B84" s="1387">
        <v>143929</v>
      </c>
      <c r="C84" s="1388">
        <v>8.1929999999999996</v>
      </c>
      <c r="D84" s="1371" t="s">
        <v>377</v>
      </c>
      <c r="E84" s="1380">
        <f>ROUND(C84*$B84/100,0)</f>
        <v>11792</v>
      </c>
      <c r="F84" s="1388">
        <v>9.4159999999999986</v>
      </c>
      <c r="G84" s="1371" t="s">
        <v>377</v>
      </c>
      <c r="H84" s="1380">
        <f>ROUND(B84*F84/100,0)</f>
        <v>13552</v>
      </c>
      <c r="I84" s="1388">
        <f>$I$13</f>
        <v>10.904999999999994</v>
      </c>
      <c r="J84" s="1371" t="s">
        <v>377</v>
      </c>
      <c r="K84" s="1380">
        <f>ROUND(I84*$B84/100,0)</f>
        <v>15695</v>
      </c>
      <c r="M84" s="1363"/>
      <c r="N84" s="1363"/>
      <c r="O84" s="1364"/>
      <c r="P84" s="1364"/>
      <c r="Q84" s="1364"/>
      <c r="R84" s="1363"/>
      <c r="S84" s="1363"/>
      <c r="T84" s="1365"/>
      <c r="U84" s="1365"/>
      <c r="V84" s="1365"/>
      <c r="W84" s="1363"/>
      <c r="X84" s="1363"/>
      <c r="Y84" s="1363"/>
      <c r="Z84" s="1363"/>
      <c r="AA84" s="1363"/>
      <c r="AB84" s="1363"/>
      <c r="AC84" s="1363"/>
      <c r="AD84" s="1363"/>
      <c r="AE84" s="1363"/>
      <c r="AF84" s="1363"/>
      <c r="AG84" s="1363"/>
      <c r="AH84" s="1363"/>
      <c r="AJ84" s="1373"/>
    </row>
    <row r="85" spans="1:36">
      <c r="A85" s="1371" t="s">
        <v>380</v>
      </c>
      <c r="B85" s="1372">
        <v>815</v>
      </c>
      <c r="C85" s="1379">
        <v>1.6</v>
      </c>
      <c r="D85" s="1371"/>
      <c r="E85" s="1380">
        <f>ROUND(C85*$B85,0)</f>
        <v>1304</v>
      </c>
      <c r="F85" s="1379">
        <v>1.65</v>
      </c>
      <c r="G85" s="1371"/>
      <c r="H85" s="1380">
        <f>ROUND(F85*B85,0)</f>
        <v>1345</v>
      </c>
      <c r="I85" s="1379">
        <f>$I$14</f>
        <v>1.65</v>
      </c>
      <c r="J85" s="1371"/>
      <c r="K85" s="1380">
        <f>ROUND(I85*$B85,0)</f>
        <v>1345</v>
      </c>
      <c r="M85" s="1363"/>
      <c r="N85" s="1363"/>
      <c r="O85" s="1364"/>
      <c r="P85" s="1364"/>
      <c r="Q85" s="1364"/>
      <c r="R85" s="1363"/>
      <c r="S85" s="1363"/>
      <c r="T85" s="1365"/>
      <c r="U85" s="1365"/>
      <c r="V85" s="1365"/>
      <c r="W85" s="1363"/>
      <c r="X85" s="1363"/>
      <c r="Y85" s="1363"/>
      <c r="Z85" s="1363"/>
      <c r="AA85" s="1363"/>
      <c r="AB85" s="1363"/>
      <c r="AC85" s="1363"/>
      <c r="AD85" s="1363"/>
      <c r="AE85" s="1363"/>
      <c r="AF85" s="1363"/>
      <c r="AG85" s="1363"/>
      <c r="AH85" s="1363"/>
      <c r="AJ85" s="1373"/>
    </row>
    <row r="86" spans="1:36">
      <c r="A86" s="1395" t="s">
        <v>382</v>
      </c>
      <c r="B86" s="1372">
        <v>114</v>
      </c>
      <c r="C86" s="1379">
        <v>3.1</v>
      </c>
      <c r="D86" s="1395"/>
      <c r="E86" s="1380">
        <f>ROUND(C86*$B86,0)</f>
        <v>353</v>
      </c>
      <c r="F86" s="1379">
        <v>3.2</v>
      </c>
      <c r="G86" s="1395"/>
      <c r="H86" s="1380">
        <f>ROUND(F86*B86,0)</f>
        <v>365</v>
      </c>
      <c r="I86" s="1379">
        <f>$I$15</f>
        <v>3.2</v>
      </c>
      <c r="J86" s="1395"/>
      <c r="K86" s="1380">
        <f>ROUND(I86*$B86,0)</f>
        <v>365</v>
      </c>
      <c r="M86" s="1363"/>
      <c r="N86" s="1363"/>
      <c r="O86" s="1364"/>
      <c r="P86" s="1364"/>
      <c r="Q86" s="1364"/>
      <c r="R86" s="1363"/>
      <c r="S86" s="1363"/>
      <c r="T86" s="1365"/>
      <c r="U86" s="1365"/>
      <c r="V86" s="1365"/>
      <c r="W86" s="1363"/>
      <c r="X86" s="1363"/>
      <c r="Y86" s="1363"/>
      <c r="Z86" s="1363"/>
      <c r="AA86" s="1363"/>
      <c r="AB86" s="1363"/>
      <c r="AC86" s="1363"/>
      <c r="AD86" s="1363"/>
      <c r="AE86" s="1363"/>
      <c r="AF86" s="1363"/>
      <c r="AG86" s="1363"/>
      <c r="AH86" s="1363"/>
      <c r="AJ86" s="1373"/>
    </row>
    <row r="87" spans="1:36">
      <c r="A87" s="1395" t="s">
        <v>383</v>
      </c>
      <c r="B87" s="1372">
        <v>16</v>
      </c>
      <c r="C87" s="1396">
        <v>-1.6</v>
      </c>
      <c r="D87" s="1395"/>
      <c r="E87" s="1380">
        <f>ROUND(C87*$B87,0)</f>
        <v>-26</v>
      </c>
      <c r="F87" s="1396">
        <v>-1.65</v>
      </c>
      <c r="G87" s="1395"/>
      <c r="H87" s="1380">
        <f>ROUND(F87*B87,0)</f>
        <v>-26</v>
      </c>
      <c r="I87" s="1396">
        <f>-I85</f>
        <v>-1.65</v>
      </c>
      <c r="J87" s="1395"/>
      <c r="K87" s="1380">
        <f>ROUND(I87*$B87,0)</f>
        <v>-26</v>
      </c>
      <c r="M87" s="1363"/>
      <c r="N87" s="1363"/>
      <c r="O87" s="1364"/>
      <c r="P87" s="1364"/>
      <c r="Q87" s="1364"/>
      <c r="R87" s="1363"/>
      <c r="S87" s="1363"/>
      <c r="T87" s="1365"/>
      <c r="U87" s="1365"/>
      <c r="V87" s="1365"/>
      <c r="W87" s="1363"/>
      <c r="X87" s="1363"/>
      <c r="Y87" s="1363"/>
      <c r="Z87" s="1363"/>
      <c r="AA87" s="1363"/>
      <c r="AB87" s="1363"/>
      <c r="AC87" s="1363"/>
      <c r="AD87" s="1363"/>
      <c r="AE87" s="1363"/>
      <c r="AF87" s="1363"/>
      <c r="AG87" s="1363"/>
      <c r="AH87" s="1363"/>
      <c r="AJ87" s="1373"/>
    </row>
    <row r="88" spans="1:36">
      <c r="A88" s="1397" t="s">
        <v>1001</v>
      </c>
      <c r="B88" s="1419">
        <f>B82</f>
        <v>171930.33333333299</v>
      </c>
      <c r="C88" s="1398"/>
      <c r="D88" s="1363"/>
      <c r="E88" s="1380"/>
      <c r="F88" s="1398"/>
      <c r="G88" s="1363"/>
      <c r="H88" s="1380"/>
      <c r="I88" s="1388">
        <f>I71</f>
        <v>0</v>
      </c>
      <c r="J88" s="1371" t="s">
        <v>377</v>
      </c>
      <c r="K88" s="1380">
        <f>I88*B88/100</f>
        <v>0</v>
      </c>
      <c r="M88" s="1373"/>
      <c r="O88" s="1399"/>
      <c r="P88" s="1362"/>
      <c r="Q88" s="1362"/>
      <c r="R88" s="1400"/>
      <c r="S88" s="1400"/>
      <c r="X88" s="1363"/>
      <c r="Y88" s="1363"/>
      <c r="Z88" s="1363"/>
      <c r="AA88" s="1363"/>
      <c r="AB88" s="1363"/>
      <c r="AC88" s="1363"/>
      <c r="AD88" s="1363"/>
      <c r="AE88" s="1363"/>
      <c r="AF88" s="1363"/>
      <c r="AG88" s="1363"/>
      <c r="AH88" s="1363"/>
      <c r="AJ88" s="1373"/>
    </row>
    <row r="89" spans="1:36">
      <c r="A89" s="1397" t="s">
        <v>1002</v>
      </c>
      <c r="B89" s="1419">
        <f>B83</f>
        <v>117525.66666666701</v>
      </c>
      <c r="C89" s="1398"/>
      <c r="D89" s="1363"/>
      <c r="E89" s="1380"/>
      <c r="F89" s="1398"/>
      <c r="G89" s="1363"/>
      <c r="H89" s="1380"/>
      <c r="I89" s="1388">
        <f>I72</f>
        <v>0</v>
      </c>
      <c r="J89" s="1371" t="s">
        <v>377</v>
      </c>
      <c r="K89" s="1380">
        <f>I89*B89/100</f>
        <v>0</v>
      </c>
      <c r="M89" s="1373"/>
      <c r="O89" s="1399"/>
      <c r="P89" s="1362"/>
      <c r="Q89" s="1362"/>
      <c r="R89" s="1400"/>
      <c r="S89" s="1400"/>
      <c r="X89" s="1363"/>
      <c r="Y89" s="1363"/>
      <c r="Z89" s="1363"/>
      <c r="AA89" s="1363"/>
      <c r="AB89" s="1363"/>
      <c r="AC89" s="1363"/>
      <c r="AD89" s="1363"/>
      <c r="AE89" s="1363"/>
      <c r="AF89" s="1363"/>
      <c r="AG89" s="1363"/>
      <c r="AH89" s="1363"/>
      <c r="AJ89" s="1373"/>
    </row>
    <row r="90" spans="1:36">
      <c r="A90" s="1397" t="s">
        <v>932</v>
      </c>
      <c r="B90" s="1419">
        <f>B85</f>
        <v>815</v>
      </c>
      <c r="C90" s="1398"/>
      <c r="D90" s="1363"/>
      <c r="E90" s="1380"/>
      <c r="F90" s="1398"/>
      <c r="G90" s="1363"/>
      <c r="H90" s="1380"/>
      <c r="I90" s="1388">
        <f>I73</f>
        <v>0</v>
      </c>
      <c r="J90" s="1371" t="s">
        <v>377</v>
      </c>
      <c r="K90" s="1380">
        <f>I90*B90/100</f>
        <v>0</v>
      </c>
      <c r="M90" s="1373"/>
      <c r="O90" s="1399"/>
      <c r="P90" s="1362"/>
      <c r="Q90" s="1362"/>
      <c r="R90" s="1400"/>
      <c r="S90" s="1400"/>
      <c r="X90" s="1363"/>
      <c r="Y90" s="1363"/>
      <c r="Z90" s="1363"/>
      <c r="AA90" s="1363"/>
      <c r="AB90" s="1363"/>
      <c r="AC90" s="1363"/>
      <c r="AD90" s="1363"/>
      <c r="AE90" s="1363"/>
      <c r="AF90" s="1363"/>
      <c r="AG90" s="1363"/>
      <c r="AH90" s="1363"/>
      <c r="AJ90" s="1373"/>
    </row>
    <row r="91" spans="1:36">
      <c r="A91" s="1371" t="s">
        <v>384</v>
      </c>
      <c r="B91" s="1372">
        <f>SUM(B82:B84)</f>
        <v>433385</v>
      </c>
      <c r="C91" s="1402"/>
      <c r="D91" s="1380"/>
      <c r="E91" s="1380">
        <f>SUM(E81:E87)</f>
        <v>33288</v>
      </c>
      <c r="F91" s="1403"/>
      <c r="G91" s="1380"/>
      <c r="H91" s="1380">
        <f>SUM(H81:H87)</f>
        <v>37838</v>
      </c>
      <c r="I91" s="1380"/>
      <c r="J91" s="1380"/>
      <c r="K91" s="1380">
        <f>SUM(K81:K89)</f>
        <v>41671</v>
      </c>
      <c r="M91" s="1363"/>
      <c r="N91" s="1363"/>
      <c r="O91" s="1364"/>
      <c r="P91" s="1364"/>
      <c r="Q91" s="1364"/>
      <c r="R91" s="1363"/>
      <c r="S91" s="1363"/>
      <c r="T91" s="1365"/>
      <c r="U91" s="1365"/>
      <c r="V91" s="1365"/>
      <c r="W91" s="1363"/>
      <c r="X91" s="1363"/>
      <c r="Y91" s="1363"/>
      <c r="Z91" s="1363"/>
      <c r="AA91" s="1363"/>
      <c r="AB91" s="1363"/>
      <c r="AC91" s="1363"/>
      <c r="AD91" s="1363"/>
      <c r="AE91" s="1363"/>
      <c r="AF91" s="1363"/>
      <c r="AG91" s="1363"/>
      <c r="AH91" s="1363"/>
      <c r="AJ91" s="1373"/>
    </row>
    <row r="92" spans="1:36">
      <c r="A92" s="1371" t="s">
        <v>366</v>
      </c>
      <c r="B92" s="1421">
        <v>-27.758051490267285</v>
      </c>
      <c r="C92" s="1405"/>
      <c r="D92" s="1405"/>
      <c r="E92" s="1406" t="e">
        <f>#REF!</f>
        <v>#REF!</v>
      </c>
      <c r="F92" s="1405"/>
      <c r="G92" s="1405"/>
      <c r="H92" s="1406">
        <v>3.7869002045382243</v>
      </c>
      <c r="I92" s="1405"/>
      <c r="J92" s="1405"/>
      <c r="K92" s="1406">
        <f>H92</f>
        <v>3.7869002045382243</v>
      </c>
      <c r="M92" s="1422"/>
      <c r="N92" s="1422"/>
      <c r="O92" s="1423"/>
      <c r="P92" s="1364"/>
      <c r="Q92" s="1364"/>
      <c r="R92" s="1363"/>
      <c r="S92" s="1363"/>
      <c r="T92" s="1365"/>
      <c r="U92" s="1365"/>
      <c r="V92" s="1365"/>
      <c r="W92" s="1363"/>
      <c r="X92" s="1363"/>
      <c r="Y92" s="1363"/>
      <c r="Z92" s="1363"/>
      <c r="AA92" s="1363"/>
      <c r="AB92" s="1363"/>
      <c r="AC92" s="1363"/>
      <c r="AD92" s="1363"/>
      <c r="AE92" s="1363"/>
      <c r="AF92" s="1363"/>
      <c r="AG92" s="1363"/>
      <c r="AH92" s="1363"/>
      <c r="AJ92" s="1373"/>
    </row>
    <row r="93" spans="1:36" ht="15.75" thickBot="1">
      <c r="A93" s="1371" t="s">
        <v>385</v>
      </c>
      <c r="B93" s="1407">
        <f>B91+B92</f>
        <v>433357.24194850971</v>
      </c>
      <c r="C93" s="1408"/>
      <c r="D93" s="1408"/>
      <c r="E93" s="1408" t="e">
        <f>E91+E92</f>
        <v>#REF!</v>
      </c>
      <c r="F93" s="1408"/>
      <c r="G93" s="1408"/>
      <c r="H93" s="1408">
        <f>H91+H92</f>
        <v>37841.786900204541</v>
      </c>
      <c r="I93" s="1408"/>
      <c r="J93" s="1408"/>
      <c r="K93" s="1408">
        <f>K91+K92</f>
        <v>41674.786900204541</v>
      </c>
      <c r="M93" s="1424"/>
      <c r="N93" s="1424"/>
      <c r="O93" s="1412"/>
      <c r="P93" s="1364"/>
      <c r="Q93" s="1364"/>
      <c r="R93" s="1363"/>
      <c r="S93" s="1363"/>
      <c r="T93" s="1365"/>
      <c r="U93" s="1365"/>
      <c r="V93" s="1365"/>
      <c r="W93" s="1363"/>
      <c r="X93" s="1363"/>
      <c r="Y93" s="1363"/>
      <c r="Z93" s="1363"/>
      <c r="AA93" s="1363"/>
      <c r="AB93" s="1363"/>
      <c r="AC93" s="1363"/>
      <c r="AD93" s="1363"/>
      <c r="AE93" s="1363"/>
      <c r="AF93" s="1363"/>
      <c r="AG93" s="1363"/>
      <c r="AH93" s="1363"/>
      <c r="AJ93" s="1373"/>
    </row>
    <row r="94" spans="1:36" ht="15.75" thickTop="1">
      <c r="A94" s="1371"/>
      <c r="B94" s="1372"/>
      <c r="C94" s="1372"/>
      <c r="D94" s="1372"/>
      <c r="F94" s="1371" t="s">
        <v>31</v>
      </c>
      <c r="G94" s="1371"/>
      <c r="I94" s="1371" t="s">
        <v>31</v>
      </c>
      <c r="J94" s="1371"/>
      <c r="K94" s="1380" t="s">
        <v>31</v>
      </c>
      <c r="M94" s="1363"/>
      <c r="N94" s="1363"/>
      <c r="O94" s="1364"/>
      <c r="P94" s="1364"/>
      <c r="Q94" s="1364"/>
      <c r="R94" s="1363"/>
      <c r="S94" s="1363"/>
      <c r="T94" s="1365"/>
      <c r="U94" s="1365"/>
      <c r="V94" s="1365"/>
      <c r="W94" s="1363"/>
      <c r="X94" s="1363"/>
      <c r="Y94" s="1363"/>
      <c r="Z94" s="1363"/>
      <c r="AA94" s="1363"/>
      <c r="AB94" s="1363"/>
      <c r="AC94" s="1363"/>
      <c r="AD94" s="1363"/>
      <c r="AE94" s="1363"/>
      <c r="AF94" s="1363"/>
      <c r="AG94" s="1363"/>
      <c r="AH94" s="1363"/>
      <c r="AJ94" s="1373"/>
    </row>
    <row r="95" spans="1:36" s="1363" customFormat="1">
      <c r="A95" s="1425"/>
      <c r="B95" s="1426"/>
      <c r="C95" s="1420"/>
      <c r="D95" s="1420"/>
      <c r="E95" s="1426"/>
      <c r="F95" s="1420"/>
      <c r="G95" s="1426"/>
      <c r="H95" s="1426"/>
      <c r="I95" s="1420"/>
      <c r="J95" s="1426"/>
      <c r="K95" s="1426"/>
      <c r="O95" s="1364"/>
      <c r="P95" s="1364"/>
      <c r="Q95" s="1364"/>
      <c r="T95" s="1365"/>
      <c r="U95" s="1365"/>
      <c r="V95" s="1365"/>
      <c r="AJ95" s="1427"/>
    </row>
    <row r="96" spans="1:36" s="1363" customFormat="1">
      <c r="A96" s="1426"/>
      <c r="B96" s="1426"/>
      <c r="C96" s="1420"/>
      <c r="D96" s="1420"/>
      <c r="E96" s="1426"/>
      <c r="F96" s="1420"/>
      <c r="G96" s="1426"/>
      <c r="H96" s="1426"/>
      <c r="I96" s="1420"/>
      <c r="J96" s="1426"/>
      <c r="K96" s="1426"/>
      <c r="O96" s="1364"/>
      <c r="P96" s="1364"/>
      <c r="Q96" s="1364"/>
      <c r="T96" s="1365"/>
      <c r="U96" s="1365"/>
      <c r="V96" s="1365"/>
      <c r="AJ96" s="1427"/>
    </row>
    <row r="97" spans="1:43" s="1363" customFormat="1">
      <c r="A97" s="1426"/>
      <c r="B97" s="1426"/>
      <c r="C97" s="1420"/>
      <c r="D97" s="1420"/>
      <c r="E97" s="1426"/>
      <c r="F97" s="1420"/>
      <c r="G97" s="1426"/>
      <c r="H97" s="1426"/>
      <c r="I97" s="1420"/>
      <c r="J97" s="1426"/>
      <c r="K97" s="1426"/>
      <c r="O97" s="1364"/>
      <c r="P97" s="1364"/>
      <c r="Q97" s="1364"/>
      <c r="T97" s="1365"/>
      <c r="U97" s="1365"/>
      <c r="V97" s="1365"/>
      <c r="AJ97" s="1427"/>
    </row>
    <row r="98" spans="1:43" s="1363" customFormat="1">
      <c r="A98" s="1426"/>
      <c r="B98" s="1426"/>
      <c r="C98" s="1420"/>
      <c r="D98" s="1420"/>
      <c r="E98" s="1426"/>
      <c r="F98" s="1420"/>
      <c r="G98" s="1426"/>
      <c r="H98" s="1426"/>
      <c r="I98" s="1420"/>
      <c r="J98" s="1426"/>
      <c r="K98" s="1426"/>
      <c r="O98" s="1364"/>
      <c r="P98" s="1378"/>
      <c r="Q98" s="1378"/>
      <c r="T98" s="1365"/>
      <c r="U98" s="1365"/>
      <c r="V98" s="1365"/>
      <c r="AJ98" s="1427"/>
    </row>
    <row r="99" spans="1:43" s="1363" customFormat="1">
      <c r="A99" s="1426"/>
      <c r="B99" s="1428"/>
      <c r="C99" s="1429"/>
      <c r="D99" s="1420"/>
      <c r="E99" s="1420"/>
      <c r="F99" s="1429"/>
      <c r="G99" s="1426"/>
      <c r="H99" s="1420"/>
      <c r="I99" s="1429"/>
      <c r="J99" s="1426"/>
      <c r="K99" s="1420"/>
      <c r="M99" s="1427"/>
      <c r="O99" s="1364"/>
      <c r="P99" s="1417"/>
      <c r="Q99" s="1417"/>
      <c r="T99" s="1365"/>
      <c r="U99" s="1365"/>
      <c r="V99" s="1365"/>
      <c r="X99" s="1374"/>
      <c r="Y99" s="1374"/>
      <c r="AQ99" s="1427"/>
    </row>
    <row r="100" spans="1:43" s="1363" customFormat="1">
      <c r="A100" s="1426"/>
      <c r="B100" s="1428"/>
      <c r="C100" s="1429"/>
      <c r="D100" s="1420"/>
      <c r="E100" s="1420"/>
      <c r="F100" s="1429"/>
      <c r="G100" s="1426"/>
      <c r="H100" s="1420"/>
      <c r="I100" s="1429"/>
      <c r="J100" s="1426"/>
      <c r="K100" s="1420"/>
      <c r="M100" s="1427"/>
      <c r="N100" s="1427"/>
      <c r="O100" s="1364"/>
      <c r="P100" s="1417"/>
      <c r="Q100" s="1417"/>
      <c r="S100" s="1427"/>
      <c r="T100" s="1430"/>
      <c r="U100" s="1431"/>
      <c r="V100" s="1430"/>
      <c r="W100" s="1427"/>
      <c r="X100" s="1427"/>
      <c r="Y100" s="1432"/>
      <c r="Z100" s="1412"/>
      <c r="AA100" s="1427"/>
      <c r="AB100" s="1427"/>
      <c r="AQ100" s="1427"/>
    </row>
    <row r="101" spans="1:43" s="1363" customFormat="1">
      <c r="A101" s="1426"/>
      <c r="B101" s="1428"/>
      <c r="C101" s="1429"/>
      <c r="D101" s="1420"/>
      <c r="E101" s="1420"/>
      <c r="F101" s="1429"/>
      <c r="G101" s="1426"/>
      <c r="H101" s="1420"/>
      <c r="I101" s="1429"/>
      <c r="J101" s="1426"/>
      <c r="K101" s="1420"/>
      <c r="M101" s="1427"/>
      <c r="O101" s="1364"/>
      <c r="P101" s="1417"/>
      <c r="Q101" s="1417"/>
      <c r="S101" s="1427"/>
      <c r="T101" s="1430"/>
      <c r="U101" s="1431"/>
      <c r="V101" s="1430"/>
      <c r="W101" s="1427"/>
      <c r="X101" s="1427"/>
      <c r="Y101" s="1432"/>
      <c r="Z101" s="1412"/>
      <c r="AA101" s="1427"/>
      <c r="AB101" s="1427"/>
      <c r="AQ101" s="1427"/>
    </row>
    <row r="102" spans="1:43" s="1363" customFormat="1">
      <c r="A102" s="1426"/>
      <c r="B102" s="1433"/>
      <c r="C102" s="1420"/>
      <c r="D102" s="1420"/>
      <c r="E102" s="1426"/>
      <c r="F102" s="1420"/>
      <c r="G102" s="1426"/>
      <c r="H102" s="1426"/>
      <c r="I102" s="1420"/>
      <c r="J102" s="1426"/>
      <c r="K102" s="1426"/>
      <c r="O102" s="1364"/>
      <c r="P102" s="1434"/>
      <c r="Q102" s="1434"/>
      <c r="S102" s="1427"/>
      <c r="T102" s="1430"/>
      <c r="U102" s="1431"/>
      <c r="V102" s="1430"/>
      <c r="W102" s="1427"/>
      <c r="X102" s="1427"/>
      <c r="Y102" s="1432"/>
      <c r="Z102" s="1412"/>
      <c r="AA102" s="1427"/>
      <c r="AB102" s="1427"/>
      <c r="AQ102" s="1427"/>
    </row>
    <row r="103" spans="1:43" s="1363" customFormat="1">
      <c r="A103" s="1426"/>
      <c r="B103" s="1433"/>
      <c r="C103" s="1429"/>
      <c r="D103" s="1435"/>
      <c r="E103" s="1435"/>
      <c r="F103" s="1429"/>
      <c r="G103" s="1436"/>
      <c r="H103" s="1435"/>
      <c r="I103" s="1429"/>
      <c r="J103" s="1436"/>
      <c r="K103" s="1435"/>
      <c r="M103" s="1427"/>
      <c r="O103" s="1364"/>
      <c r="P103" s="1417"/>
      <c r="Q103" s="1417"/>
      <c r="S103" s="1427"/>
      <c r="T103" s="1430"/>
      <c r="U103" s="1431"/>
      <c r="V103" s="1430"/>
      <c r="W103" s="1427"/>
      <c r="X103" s="1427"/>
      <c r="Y103" s="1432"/>
      <c r="Z103" s="1412"/>
      <c r="AA103" s="1427"/>
      <c r="AB103" s="1427"/>
      <c r="AQ103" s="1427"/>
    </row>
    <row r="104" spans="1:43" s="1363" customFormat="1">
      <c r="A104" s="1426"/>
      <c r="B104" s="1433"/>
      <c r="C104" s="1429"/>
      <c r="D104" s="1437"/>
      <c r="E104" s="1435"/>
      <c r="F104" s="1429"/>
      <c r="G104" s="1438"/>
      <c r="H104" s="1435"/>
      <c r="I104" s="1429"/>
      <c r="J104" s="1438"/>
      <c r="K104" s="1435"/>
      <c r="M104" s="1427"/>
      <c r="O104" s="1364"/>
      <c r="P104" s="1417"/>
      <c r="Q104" s="1417"/>
      <c r="R104" s="1364"/>
      <c r="S104" s="1427"/>
      <c r="T104" s="1430"/>
      <c r="U104" s="1431"/>
      <c r="V104" s="1439"/>
      <c r="W104" s="1427"/>
      <c r="X104" s="1427"/>
      <c r="Y104" s="1440"/>
      <c r="AJ104" s="1427"/>
    </row>
    <row r="105" spans="1:43" s="1363" customFormat="1">
      <c r="A105" s="1426"/>
      <c r="B105" s="1433"/>
      <c r="C105" s="1429"/>
      <c r="D105" s="1437"/>
      <c r="E105" s="1435"/>
      <c r="F105" s="1429"/>
      <c r="G105" s="1438"/>
      <c r="H105" s="1435"/>
      <c r="I105" s="1429"/>
      <c r="J105" s="1438"/>
      <c r="K105" s="1435"/>
      <c r="M105" s="1427"/>
      <c r="O105" s="1364"/>
      <c r="P105" s="1417"/>
      <c r="Q105" s="1417"/>
      <c r="R105" s="1364"/>
      <c r="T105" s="1365"/>
      <c r="U105" s="1441"/>
      <c r="V105" s="1441"/>
      <c r="W105" s="1442"/>
      <c r="X105" s="1442"/>
      <c r="Y105" s="1442"/>
      <c r="AJ105" s="1427"/>
    </row>
    <row r="106" spans="1:43" s="1363" customFormat="1">
      <c r="A106" s="1426"/>
      <c r="B106" s="1433"/>
      <c r="C106" s="1429"/>
      <c r="D106" s="1435"/>
      <c r="E106" s="1435"/>
      <c r="F106" s="1429"/>
      <c r="G106" s="1436"/>
      <c r="H106" s="1435"/>
      <c r="I106" s="1429"/>
      <c r="J106" s="1436"/>
      <c r="K106" s="1435"/>
      <c r="O106" s="1364"/>
      <c r="P106" s="1434"/>
      <c r="Q106" s="1434"/>
      <c r="R106" s="1364"/>
      <c r="T106" s="1365"/>
      <c r="U106" s="1365"/>
      <c r="V106" s="1365"/>
      <c r="AJ106" s="1427"/>
    </row>
    <row r="107" spans="1:43" s="1363" customFormat="1">
      <c r="A107" s="1426"/>
      <c r="B107" s="1433"/>
      <c r="C107" s="1429"/>
      <c r="D107" s="1435"/>
      <c r="E107" s="1435"/>
      <c r="F107" s="1429"/>
      <c r="G107" s="1436"/>
      <c r="H107" s="1435"/>
      <c r="I107" s="1429"/>
      <c r="J107" s="1436"/>
      <c r="K107" s="1435"/>
      <c r="O107" s="1364"/>
      <c r="P107" s="1434"/>
      <c r="Q107" s="1434"/>
      <c r="R107" s="1364"/>
      <c r="T107" s="1365"/>
      <c r="U107" s="1365"/>
      <c r="V107" s="1365"/>
      <c r="AJ107" s="1427"/>
    </row>
    <row r="108" spans="1:43" s="1363" customFormat="1">
      <c r="A108" s="1426"/>
      <c r="B108" s="1433"/>
      <c r="C108" s="1429"/>
      <c r="D108" s="1436"/>
      <c r="E108" s="1435"/>
      <c r="F108" s="1429"/>
      <c r="G108" s="1436"/>
      <c r="H108" s="1435"/>
      <c r="I108" s="1429"/>
      <c r="J108" s="1436"/>
      <c r="K108" s="1435"/>
      <c r="M108" s="1427"/>
      <c r="O108" s="1364"/>
      <c r="P108" s="1417"/>
      <c r="Q108" s="1417"/>
      <c r="R108" s="1364"/>
      <c r="T108" s="1365"/>
      <c r="U108" s="1365"/>
      <c r="V108" s="1365"/>
      <c r="AJ108" s="1427"/>
    </row>
    <row r="109" spans="1:43" s="1363" customFormat="1">
      <c r="A109" s="1426"/>
      <c r="B109" s="1433"/>
      <c r="C109" s="1443"/>
      <c r="D109" s="1436"/>
      <c r="E109" s="1435"/>
      <c r="F109" s="1443"/>
      <c r="G109" s="1436"/>
      <c r="H109" s="1435"/>
      <c r="I109" s="1443"/>
      <c r="J109" s="1436"/>
      <c r="K109" s="1435"/>
      <c r="M109" s="1427"/>
      <c r="O109" s="1364"/>
      <c r="P109" s="1417"/>
      <c r="Q109" s="1417"/>
      <c r="R109" s="1364"/>
      <c r="S109" s="1444"/>
      <c r="T109" s="1445"/>
      <c r="U109" s="1445"/>
      <c r="V109" s="1445"/>
      <c r="W109" s="1444"/>
      <c r="X109" s="1444"/>
      <c r="AJ109" s="1427"/>
    </row>
    <row r="110" spans="1:43" s="1363" customFormat="1">
      <c r="A110" s="1426"/>
      <c r="B110" s="1433"/>
      <c r="C110" s="1443"/>
      <c r="D110" s="1436"/>
      <c r="E110" s="1435"/>
      <c r="F110" s="1443"/>
      <c r="G110" s="1436"/>
      <c r="H110" s="1435"/>
      <c r="I110" s="1443"/>
      <c r="J110" s="1436"/>
      <c r="K110" s="1435"/>
      <c r="M110" s="1427"/>
      <c r="N110" s="1446"/>
      <c r="O110" s="1364"/>
      <c r="P110" s="1417"/>
      <c r="Q110" s="1417"/>
      <c r="R110" s="1364"/>
      <c r="T110" s="1365"/>
      <c r="U110" s="1365"/>
      <c r="V110" s="1365"/>
      <c r="AJ110" s="1427"/>
    </row>
    <row r="111" spans="1:43" s="1363" customFormat="1">
      <c r="A111" s="1426"/>
      <c r="B111" s="1433"/>
      <c r="C111" s="1443"/>
      <c r="D111" s="1436"/>
      <c r="E111" s="1435"/>
      <c r="F111" s="1443"/>
      <c r="G111" s="1436"/>
      <c r="H111" s="1435"/>
      <c r="I111" s="1443"/>
      <c r="J111" s="1436"/>
      <c r="K111" s="1435"/>
      <c r="M111" s="1427"/>
      <c r="N111" s="1447"/>
      <c r="O111" s="1364"/>
      <c r="P111" s="1417"/>
      <c r="Q111" s="1417"/>
      <c r="R111" s="1364"/>
      <c r="S111" s="1427"/>
      <c r="T111" s="1431"/>
      <c r="U111" s="1365"/>
      <c r="V111" s="1365"/>
      <c r="AJ111" s="1427"/>
    </row>
    <row r="112" spans="1:43" s="1363" customFormat="1">
      <c r="A112" s="1426"/>
      <c r="B112" s="1433"/>
      <c r="C112" s="1448"/>
      <c r="D112" s="1435"/>
      <c r="E112" s="1435"/>
      <c r="F112" s="1448"/>
      <c r="G112" s="1436"/>
      <c r="H112" s="1435"/>
      <c r="I112" s="1448"/>
      <c r="J112" s="1436"/>
      <c r="K112" s="1435"/>
      <c r="M112" s="1427"/>
      <c r="O112" s="1364"/>
      <c r="P112" s="1417"/>
      <c r="Q112" s="1417"/>
      <c r="R112" s="1364"/>
      <c r="T112" s="1365"/>
      <c r="U112" s="1365"/>
      <c r="V112" s="1365"/>
      <c r="AJ112" s="1427"/>
    </row>
    <row r="113" spans="1:36" s="1363" customFormat="1">
      <c r="B113" s="1433"/>
      <c r="C113" s="1398"/>
      <c r="E113" s="1420"/>
      <c r="F113" s="1398"/>
      <c r="H113" s="1420"/>
      <c r="I113" s="1443"/>
      <c r="J113" s="1436"/>
      <c r="K113" s="1435"/>
      <c r="M113" s="1427"/>
      <c r="N113" s="1427"/>
      <c r="O113" s="1449"/>
      <c r="R113" s="1450"/>
      <c r="S113" s="1450"/>
      <c r="T113" s="1365"/>
      <c r="U113" s="1365"/>
      <c r="V113" s="1365"/>
      <c r="AJ113" s="1427"/>
    </row>
    <row r="114" spans="1:36" s="1363" customFormat="1">
      <c r="B114" s="1433"/>
      <c r="C114" s="1398"/>
      <c r="E114" s="1420"/>
      <c r="F114" s="1398"/>
      <c r="H114" s="1420"/>
      <c r="I114" s="1443"/>
      <c r="J114" s="1436"/>
      <c r="K114" s="1435"/>
      <c r="M114" s="1427"/>
      <c r="O114" s="1449"/>
      <c r="R114" s="1450"/>
      <c r="S114" s="1450"/>
      <c r="T114" s="1365"/>
      <c r="U114" s="1365"/>
      <c r="V114" s="1365"/>
      <c r="AJ114" s="1427"/>
    </row>
    <row r="115" spans="1:36" s="1363" customFormat="1">
      <c r="B115" s="1433"/>
      <c r="C115" s="1398"/>
      <c r="E115" s="1420"/>
      <c r="F115" s="1398"/>
      <c r="H115" s="1420"/>
      <c r="I115" s="1443"/>
      <c r="J115" s="1436"/>
      <c r="K115" s="1435"/>
      <c r="M115" s="1427"/>
      <c r="O115" s="1449"/>
      <c r="R115" s="1450"/>
      <c r="S115" s="1450"/>
      <c r="T115" s="1365"/>
      <c r="U115" s="1365"/>
      <c r="V115" s="1365"/>
      <c r="AJ115" s="1427"/>
    </row>
    <row r="116" spans="1:36" s="1363" customFormat="1">
      <c r="A116" s="1451"/>
      <c r="B116" s="1452"/>
      <c r="C116" s="1453"/>
      <c r="D116" s="1451"/>
      <c r="E116" s="1454"/>
      <c r="F116" s="1455"/>
      <c r="G116" s="1456"/>
      <c r="H116" s="1454"/>
      <c r="I116" s="1455"/>
      <c r="J116" s="1456"/>
      <c r="K116" s="1457"/>
      <c r="M116" s="1427"/>
      <c r="O116" s="1449"/>
      <c r="R116" s="1450"/>
      <c r="S116" s="1450"/>
      <c r="T116" s="1365"/>
      <c r="U116" s="1365"/>
      <c r="V116" s="1365"/>
      <c r="AJ116" s="1427"/>
    </row>
    <row r="117" spans="1:36" s="1363" customFormat="1">
      <c r="A117" s="1451"/>
      <c r="B117" s="1452"/>
      <c r="C117" s="1453"/>
      <c r="D117" s="1451"/>
      <c r="E117" s="1454"/>
      <c r="F117" s="1455"/>
      <c r="G117" s="1456"/>
      <c r="H117" s="1454"/>
      <c r="I117" s="1455"/>
      <c r="J117" s="1456"/>
      <c r="K117" s="1457"/>
      <c r="M117" s="1427"/>
      <c r="O117" s="1449"/>
      <c r="R117" s="1450"/>
      <c r="S117" s="1450"/>
      <c r="T117" s="1365"/>
      <c r="U117" s="1365"/>
      <c r="V117" s="1365"/>
      <c r="AJ117" s="1427"/>
    </row>
    <row r="118" spans="1:36" s="1363" customFormat="1">
      <c r="A118" s="1451"/>
      <c r="B118" s="1452"/>
      <c r="C118" s="1453"/>
      <c r="D118" s="1451"/>
      <c r="E118" s="1454"/>
      <c r="F118" s="1455"/>
      <c r="G118" s="1456"/>
      <c r="H118" s="1454"/>
      <c r="I118" s="1455"/>
      <c r="J118" s="1456"/>
      <c r="K118" s="1457"/>
      <c r="M118" s="1427"/>
      <c r="O118" s="1449"/>
      <c r="R118" s="1450"/>
      <c r="S118" s="1450"/>
      <c r="T118" s="1365"/>
      <c r="U118" s="1365"/>
      <c r="V118" s="1365"/>
      <c r="AJ118" s="1427"/>
    </row>
    <row r="119" spans="1:36" s="1363" customFormat="1">
      <c r="A119" s="1458"/>
      <c r="B119" s="1433"/>
      <c r="C119" s="1459"/>
      <c r="D119" s="1435"/>
      <c r="E119" s="1435"/>
      <c r="F119" s="1459"/>
      <c r="G119" s="1436"/>
      <c r="H119" s="1435"/>
      <c r="I119" s="1459"/>
      <c r="J119" s="1436"/>
      <c r="K119" s="1435"/>
      <c r="O119" s="1460"/>
      <c r="P119" s="1364"/>
      <c r="Q119" s="1364"/>
      <c r="T119" s="1365"/>
      <c r="U119" s="1365"/>
      <c r="V119" s="1365"/>
      <c r="AJ119" s="1427"/>
    </row>
    <row r="120" spans="1:36" s="1363" customFormat="1">
      <c r="A120" s="1426"/>
      <c r="B120" s="1433"/>
      <c r="C120" s="1461"/>
      <c r="D120" s="1435"/>
      <c r="E120" s="1435"/>
      <c r="F120" s="1461"/>
      <c r="G120" s="1435"/>
      <c r="H120" s="1435"/>
      <c r="I120" s="1461"/>
      <c r="J120" s="1435"/>
      <c r="K120" s="1435"/>
      <c r="M120" s="1427"/>
      <c r="O120" s="1364"/>
      <c r="P120" s="1364"/>
      <c r="Q120" s="1364"/>
      <c r="T120" s="1365"/>
      <c r="U120" s="1365"/>
      <c r="V120" s="1365"/>
      <c r="AJ120" s="1427"/>
    </row>
    <row r="121" spans="1:36" s="1363" customFormat="1">
      <c r="A121" s="1426"/>
      <c r="B121" s="1433"/>
      <c r="C121" s="1461"/>
      <c r="D121" s="1435"/>
      <c r="E121" s="1435"/>
      <c r="F121" s="1461"/>
      <c r="G121" s="1435"/>
      <c r="H121" s="1435"/>
      <c r="I121" s="1461"/>
      <c r="J121" s="1435"/>
      <c r="K121" s="1435"/>
      <c r="M121" s="1427"/>
      <c r="O121" s="1364"/>
      <c r="P121" s="1364"/>
      <c r="Q121" s="1364"/>
      <c r="T121" s="1365"/>
      <c r="U121" s="1365"/>
      <c r="V121" s="1365"/>
      <c r="AJ121" s="1427"/>
    </row>
    <row r="122" spans="1:36" s="1363" customFormat="1">
      <c r="A122" s="1426"/>
      <c r="B122" s="1433"/>
      <c r="C122" s="1461"/>
      <c r="D122" s="1435"/>
      <c r="E122" s="1435"/>
      <c r="F122" s="1461"/>
      <c r="G122" s="1435"/>
      <c r="H122" s="1435"/>
      <c r="I122" s="1461"/>
      <c r="J122" s="1435"/>
      <c r="K122" s="1435"/>
      <c r="M122" s="1427"/>
      <c r="O122" s="1364"/>
      <c r="P122" s="1364"/>
      <c r="Q122" s="1364"/>
      <c r="T122" s="1365"/>
      <c r="U122" s="1365"/>
      <c r="V122" s="1365"/>
      <c r="AJ122" s="1427"/>
    </row>
    <row r="123" spans="1:36" s="1363" customFormat="1">
      <c r="A123" s="1426"/>
      <c r="B123" s="1433"/>
      <c r="C123" s="1461"/>
      <c r="D123" s="1436"/>
      <c r="E123" s="1435"/>
      <c r="F123" s="1461"/>
      <c r="G123" s="1436"/>
      <c r="H123" s="1435"/>
      <c r="I123" s="1461"/>
      <c r="J123" s="1436"/>
      <c r="K123" s="1435"/>
      <c r="M123" s="1427"/>
      <c r="O123" s="1364"/>
      <c r="P123" s="1364"/>
      <c r="Q123" s="1364"/>
      <c r="T123" s="1365"/>
      <c r="U123" s="1365"/>
      <c r="V123" s="1365"/>
      <c r="AJ123" s="1427"/>
    </row>
    <row r="124" spans="1:36" s="1363" customFormat="1">
      <c r="A124" s="1426"/>
      <c r="B124" s="1433"/>
      <c r="C124" s="1462"/>
      <c r="D124" s="1436"/>
      <c r="E124" s="1435"/>
      <c r="F124" s="1462"/>
      <c r="G124" s="1436"/>
      <c r="H124" s="1435"/>
      <c r="I124" s="1462"/>
      <c r="J124" s="1436"/>
      <c r="K124" s="1435"/>
      <c r="M124" s="1427"/>
      <c r="O124" s="1364"/>
      <c r="P124" s="1364"/>
      <c r="Q124" s="1364"/>
      <c r="T124" s="1365"/>
      <c r="U124" s="1365"/>
      <c r="V124" s="1365"/>
      <c r="AJ124" s="1427"/>
    </row>
    <row r="125" spans="1:36" s="1363" customFormat="1">
      <c r="A125" s="1426"/>
      <c r="B125" s="1433"/>
      <c r="C125" s="1462"/>
      <c r="D125" s="1436"/>
      <c r="E125" s="1435"/>
      <c r="F125" s="1462"/>
      <c r="G125" s="1436"/>
      <c r="H125" s="1435"/>
      <c r="I125" s="1462"/>
      <c r="J125" s="1436"/>
      <c r="K125" s="1435"/>
      <c r="M125" s="1427"/>
      <c r="O125" s="1364"/>
      <c r="P125" s="1364"/>
      <c r="Q125" s="1364"/>
      <c r="T125" s="1365"/>
      <c r="U125" s="1365"/>
      <c r="V125" s="1365"/>
      <c r="AJ125" s="1427"/>
    </row>
    <row r="126" spans="1:36" s="1363" customFormat="1">
      <c r="A126" s="1426"/>
      <c r="B126" s="1433"/>
      <c r="C126" s="1462"/>
      <c r="D126" s="1436"/>
      <c r="E126" s="1435"/>
      <c r="F126" s="1462"/>
      <c r="G126" s="1436"/>
      <c r="H126" s="1435"/>
      <c r="I126" s="1462"/>
      <c r="J126" s="1436"/>
      <c r="K126" s="1435"/>
      <c r="M126" s="1427"/>
      <c r="O126" s="1364"/>
      <c r="P126" s="1364"/>
      <c r="Q126" s="1364"/>
      <c r="T126" s="1365"/>
      <c r="U126" s="1365"/>
      <c r="V126" s="1365"/>
      <c r="AJ126" s="1427"/>
    </row>
    <row r="127" spans="1:36" s="1363" customFormat="1">
      <c r="A127" s="1426"/>
      <c r="B127" s="1433"/>
      <c r="C127" s="1463"/>
      <c r="D127" s="1436"/>
      <c r="E127" s="1435"/>
      <c r="F127" s="1463"/>
      <c r="G127" s="1436"/>
      <c r="H127" s="1435"/>
      <c r="I127" s="1463"/>
      <c r="J127" s="1436"/>
      <c r="K127" s="1435"/>
      <c r="M127" s="1427"/>
      <c r="O127" s="1364"/>
      <c r="P127" s="1364"/>
      <c r="Q127" s="1364"/>
      <c r="T127" s="1365"/>
      <c r="U127" s="1365"/>
      <c r="V127" s="1365"/>
      <c r="AJ127" s="1427"/>
    </row>
    <row r="128" spans="1:36" s="1363" customFormat="1">
      <c r="A128" s="1426"/>
      <c r="B128" s="1433"/>
      <c r="C128" s="1464"/>
      <c r="D128" s="1435"/>
      <c r="E128" s="1435"/>
      <c r="F128" s="1464"/>
      <c r="G128" s="1436"/>
      <c r="H128" s="1435"/>
      <c r="I128" s="1464"/>
      <c r="J128" s="1436"/>
      <c r="K128" s="1435"/>
      <c r="M128" s="1427"/>
      <c r="O128" s="1364"/>
      <c r="P128" s="1364"/>
      <c r="Q128" s="1364"/>
      <c r="T128" s="1365"/>
      <c r="U128" s="1365"/>
      <c r="V128" s="1365"/>
      <c r="AJ128" s="1427"/>
    </row>
    <row r="129" spans="1:36" s="1363" customFormat="1">
      <c r="A129" s="1426"/>
      <c r="B129" s="1433"/>
      <c r="C129" s="1465"/>
      <c r="D129" s="1435"/>
      <c r="E129" s="1435"/>
      <c r="F129" s="1465"/>
      <c r="G129" s="1436"/>
      <c r="H129" s="1435"/>
      <c r="I129" s="1465"/>
      <c r="J129" s="1436"/>
      <c r="K129" s="1435"/>
      <c r="M129" s="1427"/>
      <c r="O129" s="1364"/>
      <c r="P129" s="1364"/>
      <c r="Q129" s="1364"/>
      <c r="R129" s="1466"/>
      <c r="S129" s="1466"/>
      <c r="T129" s="1365"/>
      <c r="U129" s="1365"/>
      <c r="V129" s="1365"/>
      <c r="AJ129" s="1427"/>
    </row>
    <row r="130" spans="1:36" s="1363" customFormat="1">
      <c r="B130" s="1433"/>
      <c r="C130" s="1398"/>
      <c r="E130" s="1420"/>
      <c r="F130" s="1398"/>
      <c r="H130" s="1420"/>
      <c r="I130" s="1443"/>
      <c r="J130" s="1436"/>
      <c r="K130" s="1435"/>
      <c r="M130" s="1427"/>
      <c r="O130" s="1449"/>
      <c r="R130" s="1450"/>
      <c r="S130" s="1450"/>
      <c r="T130" s="1365"/>
      <c r="U130" s="1365"/>
      <c r="V130" s="1365"/>
      <c r="AJ130" s="1427"/>
    </row>
    <row r="131" spans="1:36" s="1363" customFormat="1">
      <c r="B131" s="1433"/>
      <c r="C131" s="1398"/>
      <c r="E131" s="1420"/>
      <c r="F131" s="1398"/>
      <c r="H131" s="1420"/>
      <c r="I131" s="1443"/>
      <c r="J131" s="1436"/>
      <c r="K131" s="1435"/>
      <c r="M131" s="1427"/>
      <c r="O131" s="1449"/>
      <c r="R131" s="1450"/>
      <c r="S131" s="1450"/>
      <c r="T131" s="1365"/>
      <c r="U131" s="1365"/>
      <c r="V131" s="1365"/>
      <c r="AJ131" s="1427"/>
    </row>
    <row r="132" spans="1:36" s="1363" customFormat="1">
      <c r="B132" s="1433"/>
      <c r="C132" s="1398"/>
      <c r="E132" s="1420"/>
      <c r="F132" s="1398"/>
      <c r="H132" s="1420"/>
      <c r="I132" s="1443"/>
      <c r="J132" s="1436"/>
      <c r="K132" s="1435"/>
      <c r="M132" s="1427"/>
      <c r="O132" s="1449"/>
      <c r="R132" s="1450"/>
      <c r="S132" s="1450"/>
      <c r="T132" s="1365"/>
      <c r="U132" s="1365"/>
      <c r="V132" s="1365"/>
      <c r="AJ132" s="1427"/>
    </row>
    <row r="133" spans="1:36" s="1363" customFormat="1">
      <c r="A133" s="1426"/>
      <c r="B133" s="1433"/>
      <c r="C133" s="1448"/>
      <c r="D133" s="1420"/>
      <c r="E133" s="1435"/>
      <c r="F133" s="1448"/>
      <c r="G133" s="1436"/>
      <c r="H133" s="1435"/>
      <c r="I133" s="1448"/>
      <c r="J133" s="1436"/>
      <c r="K133" s="1435"/>
      <c r="M133" s="1427"/>
      <c r="O133" s="1364"/>
      <c r="P133" s="1364"/>
      <c r="Q133" s="1364"/>
      <c r="T133" s="1365"/>
      <c r="U133" s="1365"/>
      <c r="V133" s="1365"/>
      <c r="AJ133" s="1427"/>
    </row>
    <row r="134" spans="1:36" s="1363" customFormat="1">
      <c r="A134" s="1426"/>
      <c r="B134" s="1433"/>
      <c r="C134" s="1436"/>
      <c r="D134" s="1436"/>
      <c r="E134" s="1435"/>
      <c r="F134" s="1436"/>
      <c r="G134" s="1436"/>
      <c r="H134" s="1435"/>
      <c r="I134" s="1436"/>
      <c r="J134" s="1436"/>
      <c r="K134" s="1435"/>
      <c r="M134" s="1422"/>
      <c r="O134" s="1364"/>
      <c r="P134" s="1412"/>
      <c r="Q134" s="1412"/>
      <c r="T134" s="1365"/>
      <c r="U134" s="1365"/>
      <c r="V134" s="1365"/>
      <c r="AJ134" s="1427"/>
    </row>
    <row r="135" spans="1:36" s="1363" customFormat="1">
      <c r="A135" s="1426"/>
      <c r="B135" s="1433"/>
      <c r="C135" s="1467"/>
      <c r="D135" s="1468"/>
      <c r="E135" s="1435"/>
      <c r="F135" s="1469"/>
      <c r="G135" s="1426"/>
      <c r="H135" s="1435"/>
      <c r="I135" s="1470"/>
      <c r="J135" s="1426"/>
      <c r="K135" s="1435"/>
      <c r="M135" s="1424"/>
      <c r="O135" s="1427"/>
      <c r="P135" s="1417"/>
      <c r="Q135" s="1412"/>
      <c r="R135" s="1417"/>
      <c r="T135" s="1365"/>
      <c r="U135" s="1365"/>
      <c r="V135" s="1365"/>
      <c r="AJ135" s="1427"/>
    </row>
    <row r="136" spans="1:36" s="1363" customFormat="1">
      <c r="A136" s="1426"/>
      <c r="B136" s="1428"/>
      <c r="C136" s="1464"/>
      <c r="D136" s="1420"/>
      <c r="E136" s="1420"/>
      <c r="F136" s="1464"/>
      <c r="G136" s="1426"/>
      <c r="H136" s="1420"/>
      <c r="I136" s="1464"/>
      <c r="J136" s="1426"/>
      <c r="K136" s="1420"/>
      <c r="O136" s="1427"/>
      <c r="P136" s="1471"/>
      <c r="Q136" s="1471"/>
      <c r="T136" s="1365"/>
      <c r="U136" s="1365"/>
      <c r="V136" s="1365"/>
      <c r="AJ136" s="1427"/>
    </row>
    <row r="137" spans="1:36" s="1363" customFormat="1" hidden="1">
      <c r="A137" s="1426"/>
      <c r="B137" s="1428"/>
      <c r="C137" s="1464"/>
      <c r="D137" s="1420"/>
      <c r="E137" s="1420"/>
      <c r="F137" s="1464"/>
      <c r="G137" s="1426"/>
      <c r="H137" s="1420"/>
      <c r="I137" s="1464"/>
      <c r="J137" s="1426"/>
      <c r="O137" s="1364"/>
      <c r="P137" s="1364"/>
      <c r="Q137" s="1364"/>
      <c r="T137" s="1365"/>
      <c r="U137" s="1365"/>
      <c r="V137" s="1365"/>
      <c r="AJ137" s="1427"/>
    </row>
    <row r="138" spans="1:36" s="1363" customFormat="1" hidden="1">
      <c r="A138" s="1425"/>
      <c r="B138" s="1426"/>
      <c r="C138" s="1420"/>
      <c r="D138" s="1420"/>
      <c r="E138" s="1426"/>
      <c r="F138" s="1420"/>
      <c r="G138" s="1426"/>
      <c r="H138" s="1426"/>
      <c r="I138" s="1420"/>
      <c r="J138" s="1426"/>
      <c r="K138" s="1426"/>
      <c r="O138" s="1472"/>
      <c r="P138" s="1417"/>
      <c r="Q138" s="1417"/>
      <c r="T138" s="1365"/>
      <c r="U138" s="1365"/>
      <c r="V138" s="1365"/>
      <c r="AJ138" s="1427"/>
    </row>
    <row r="139" spans="1:36" s="1363" customFormat="1" hidden="1">
      <c r="A139" s="1426"/>
      <c r="B139" s="1426"/>
      <c r="C139" s="1420"/>
      <c r="D139" s="1420"/>
      <c r="E139" s="1426"/>
      <c r="F139" s="1420"/>
      <c r="G139" s="1426"/>
      <c r="H139" s="1426"/>
      <c r="I139" s="1420"/>
      <c r="J139" s="1426"/>
      <c r="K139" s="1426"/>
      <c r="M139" s="1427"/>
      <c r="N139" s="1427"/>
      <c r="O139" s="1364"/>
      <c r="P139" s="1364"/>
      <c r="Q139" s="1364"/>
      <c r="T139" s="1365"/>
      <c r="U139" s="1365"/>
      <c r="V139" s="1365"/>
      <c r="AJ139" s="1427"/>
    </row>
    <row r="140" spans="1:36" s="1363" customFormat="1" hidden="1">
      <c r="A140" s="1426"/>
      <c r="B140" s="1426"/>
      <c r="C140" s="1420"/>
      <c r="D140" s="1420"/>
      <c r="E140" s="1426"/>
      <c r="F140" s="1420"/>
      <c r="G140" s="1426"/>
      <c r="H140" s="1426"/>
      <c r="I140" s="1420"/>
      <c r="J140" s="1426"/>
      <c r="K140" s="1426"/>
      <c r="M140" s="1427"/>
      <c r="N140" s="1427"/>
      <c r="O140" s="1364"/>
      <c r="P140" s="1364"/>
      <c r="Q140" s="1364"/>
      <c r="T140" s="1365"/>
      <c r="U140" s="1365"/>
      <c r="V140" s="1365"/>
      <c r="AJ140" s="1427"/>
    </row>
    <row r="141" spans="1:36" s="1363" customFormat="1" hidden="1">
      <c r="A141" s="1426"/>
      <c r="B141" s="1433"/>
      <c r="C141" s="1420"/>
      <c r="D141" s="1420"/>
      <c r="E141" s="1426"/>
      <c r="F141" s="1420"/>
      <c r="G141" s="1426"/>
      <c r="H141" s="1426"/>
      <c r="I141" s="1420"/>
      <c r="J141" s="1426"/>
      <c r="K141" s="1426"/>
      <c r="O141" s="1364"/>
      <c r="P141" s="1364"/>
      <c r="Q141" s="1364"/>
      <c r="T141" s="1365"/>
      <c r="U141" s="1365"/>
      <c r="V141" s="1365"/>
      <c r="AJ141" s="1427"/>
    </row>
    <row r="142" spans="1:36" s="1363" customFormat="1" hidden="1">
      <c r="A142" s="1426"/>
      <c r="B142" s="1433"/>
      <c r="C142" s="1429"/>
      <c r="D142" s="1435"/>
      <c r="E142" s="1420"/>
      <c r="F142" s="1429"/>
      <c r="G142" s="1436"/>
      <c r="H142" s="1420"/>
      <c r="I142" s="1429"/>
      <c r="J142" s="1436"/>
      <c r="K142" s="1420"/>
      <c r="O142" s="1364"/>
      <c r="P142" s="1364"/>
      <c r="Q142" s="1364"/>
      <c r="T142" s="1365"/>
      <c r="U142" s="1365"/>
      <c r="V142" s="1365"/>
      <c r="AJ142" s="1427"/>
    </row>
    <row r="143" spans="1:36" s="1363" customFormat="1" hidden="1">
      <c r="A143" s="1426"/>
      <c r="B143" s="1433"/>
      <c r="C143" s="1429"/>
      <c r="D143" s="1437"/>
      <c r="E143" s="1420"/>
      <c r="F143" s="1429"/>
      <c r="G143" s="1438"/>
      <c r="H143" s="1420"/>
      <c r="I143" s="1429"/>
      <c r="J143" s="1438"/>
      <c r="K143" s="1420"/>
      <c r="O143" s="1364"/>
      <c r="P143" s="1364"/>
      <c r="Q143" s="1364"/>
      <c r="T143" s="1365"/>
      <c r="U143" s="1365"/>
      <c r="V143" s="1365"/>
      <c r="AJ143" s="1427"/>
    </row>
    <row r="144" spans="1:36" s="1363" customFormat="1" hidden="1">
      <c r="A144" s="1426"/>
      <c r="B144" s="1433"/>
      <c r="C144" s="1429"/>
      <c r="D144" s="1437"/>
      <c r="E144" s="1420"/>
      <c r="F144" s="1429"/>
      <c r="G144" s="1438"/>
      <c r="H144" s="1420"/>
      <c r="I144" s="1429"/>
      <c r="J144" s="1438"/>
      <c r="K144" s="1420"/>
      <c r="O144" s="1364"/>
      <c r="P144" s="1364"/>
      <c r="Q144" s="1364"/>
      <c r="T144" s="1365"/>
      <c r="U144" s="1365"/>
      <c r="V144" s="1365"/>
      <c r="AJ144" s="1427"/>
    </row>
    <row r="145" spans="1:36" s="1363" customFormat="1" hidden="1">
      <c r="A145" s="1426"/>
      <c r="B145" s="1433"/>
      <c r="C145" s="1429"/>
      <c r="D145" s="1435"/>
      <c r="E145" s="1420"/>
      <c r="F145" s="1429"/>
      <c r="G145" s="1436"/>
      <c r="H145" s="1420"/>
      <c r="I145" s="1429"/>
      <c r="J145" s="1436"/>
      <c r="K145" s="1420"/>
      <c r="O145" s="1364"/>
      <c r="P145" s="1364"/>
      <c r="Q145" s="1364"/>
      <c r="T145" s="1365"/>
      <c r="U145" s="1365"/>
      <c r="V145" s="1365"/>
      <c r="AJ145" s="1427"/>
    </row>
    <row r="146" spans="1:36" s="1363" customFormat="1" hidden="1">
      <c r="A146" s="1426"/>
      <c r="B146" s="1433"/>
      <c r="C146" s="1464"/>
      <c r="D146" s="1436"/>
      <c r="E146" s="1420"/>
      <c r="F146" s="1464"/>
      <c r="G146" s="1436"/>
      <c r="H146" s="1420"/>
      <c r="I146" s="1464"/>
      <c r="J146" s="1436"/>
      <c r="K146" s="1420"/>
      <c r="O146" s="1364"/>
      <c r="P146" s="1364"/>
      <c r="Q146" s="1364"/>
      <c r="T146" s="1365"/>
      <c r="U146" s="1365"/>
      <c r="V146" s="1365"/>
      <c r="AJ146" s="1427"/>
    </row>
    <row r="147" spans="1:36" s="1363" customFormat="1" hidden="1">
      <c r="A147" s="1426"/>
      <c r="B147" s="1433"/>
      <c r="C147" s="1443"/>
      <c r="D147" s="1436"/>
      <c r="E147" s="1420"/>
      <c r="F147" s="1443"/>
      <c r="G147" s="1436"/>
      <c r="H147" s="1420"/>
      <c r="I147" s="1443"/>
      <c r="J147" s="1436"/>
      <c r="K147" s="1420"/>
      <c r="O147" s="1364"/>
      <c r="P147" s="1364"/>
      <c r="Q147" s="1364"/>
      <c r="T147" s="1365"/>
      <c r="U147" s="1365"/>
      <c r="V147" s="1365"/>
      <c r="AJ147" s="1427"/>
    </row>
    <row r="148" spans="1:36" s="1363" customFormat="1" hidden="1">
      <c r="A148" s="1426"/>
      <c r="B148" s="1433"/>
      <c r="C148" s="1443"/>
      <c r="D148" s="1436"/>
      <c r="E148" s="1420"/>
      <c r="F148" s="1443"/>
      <c r="G148" s="1436"/>
      <c r="H148" s="1420"/>
      <c r="I148" s="1443"/>
      <c r="J148" s="1436"/>
      <c r="K148" s="1420"/>
      <c r="O148" s="1364"/>
      <c r="P148" s="1364"/>
      <c r="Q148" s="1364"/>
      <c r="T148" s="1365"/>
      <c r="U148" s="1365"/>
      <c r="V148" s="1365"/>
      <c r="AJ148" s="1427"/>
    </row>
    <row r="149" spans="1:36" s="1363" customFormat="1" hidden="1">
      <c r="A149" s="1426"/>
      <c r="B149" s="1433"/>
      <c r="C149" s="1443"/>
      <c r="D149" s="1436"/>
      <c r="E149" s="1420"/>
      <c r="F149" s="1443"/>
      <c r="G149" s="1436"/>
      <c r="H149" s="1420"/>
      <c r="I149" s="1443"/>
      <c r="J149" s="1436"/>
      <c r="K149" s="1420"/>
      <c r="O149" s="1364"/>
      <c r="P149" s="1364"/>
      <c r="Q149" s="1364"/>
      <c r="T149" s="1365"/>
      <c r="U149" s="1365"/>
      <c r="V149" s="1365"/>
      <c r="AJ149" s="1427"/>
    </row>
    <row r="150" spans="1:36" s="1363" customFormat="1" hidden="1">
      <c r="A150" s="1426"/>
      <c r="B150" s="1433"/>
      <c r="C150" s="1448"/>
      <c r="D150" s="1435"/>
      <c r="E150" s="1420"/>
      <c r="F150" s="1448"/>
      <c r="G150" s="1436"/>
      <c r="H150" s="1420"/>
      <c r="I150" s="1448"/>
      <c r="J150" s="1436"/>
      <c r="K150" s="1420"/>
      <c r="O150" s="1364"/>
      <c r="P150" s="1364"/>
      <c r="Q150" s="1364"/>
      <c r="T150" s="1365"/>
      <c r="U150" s="1365"/>
      <c r="V150" s="1365"/>
      <c r="AJ150" s="1427"/>
    </row>
    <row r="151" spans="1:36" s="1363" customFormat="1" hidden="1">
      <c r="B151" s="1433"/>
      <c r="C151" s="1398"/>
      <c r="E151" s="1420"/>
      <c r="F151" s="1398"/>
      <c r="H151" s="1420"/>
      <c r="I151" s="1443"/>
      <c r="J151" s="1436"/>
      <c r="K151" s="1420"/>
      <c r="M151" s="1427"/>
      <c r="O151" s="1449"/>
      <c r="R151" s="1450"/>
      <c r="S151" s="1450"/>
      <c r="T151" s="1365"/>
      <c r="U151" s="1365"/>
      <c r="V151" s="1365"/>
      <c r="AJ151" s="1427"/>
    </row>
    <row r="152" spans="1:36" s="1363" customFormat="1" hidden="1">
      <c r="B152" s="1433"/>
      <c r="C152" s="1398"/>
      <c r="E152" s="1420"/>
      <c r="F152" s="1398"/>
      <c r="H152" s="1420"/>
      <c r="I152" s="1443"/>
      <c r="J152" s="1436"/>
      <c r="K152" s="1420"/>
      <c r="M152" s="1427"/>
      <c r="O152" s="1449"/>
      <c r="R152" s="1450"/>
      <c r="S152" s="1450"/>
      <c r="T152" s="1365"/>
      <c r="U152" s="1365"/>
      <c r="V152" s="1365"/>
      <c r="AJ152" s="1427"/>
    </row>
    <row r="153" spans="1:36" s="1363" customFormat="1" hidden="1">
      <c r="B153" s="1433"/>
      <c r="C153" s="1398"/>
      <c r="E153" s="1420"/>
      <c r="F153" s="1398"/>
      <c r="H153" s="1420"/>
      <c r="I153" s="1443"/>
      <c r="J153" s="1436"/>
      <c r="K153" s="1420"/>
      <c r="M153" s="1427"/>
      <c r="O153" s="1449"/>
      <c r="R153" s="1450"/>
      <c r="S153" s="1450"/>
      <c r="T153" s="1365"/>
      <c r="U153" s="1365"/>
      <c r="V153" s="1365"/>
      <c r="AJ153" s="1427"/>
    </row>
    <row r="154" spans="1:36" s="1363" customFormat="1" hidden="1">
      <c r="A154" s="1458"/>
      <c r="B154" s="1433"/>
      <c r="C154" s="1459"/>
      <c r="D154" s="1435"/>
      <c r="E154" s="1420"/>
      <c r="F154" s="1459"/>
      <c r="G154" s="1436"/>
      <c r="H154" s="1420"/>
      <c r="I154" s="1459"/>
      <c r="J154" s="1436"/>
      <c r="K154" s="1420"/>
      <c r="O154" s="1364"/>
      <c r="P154" s="1364"/>
      <c r="Q154" s="1364"/>
      <c r="T154" s="1365"/>
      <c r="U154" s="1365"/>
      <c r="V154" s="1365"/>
      <c r="AJ154" s="1427"/>
    </row>
    <row r="155" spans="1:36" s="1363" customFormat="1" hidden="1">
      <c r="A155" s="1426"/>
      <c r="B155" s="1433"/>
      <c r="C155" s="1461"/>
      <c r="D155" s="1435"/>
      <c r="E155" s="1420"/>
      <c r="F155" s="1461"/>
      <c r="G155" s="1435"/>
      <c r="H155" s="1420"/>
      <c r="I155" s="1461"/>
      <c r="J155" s="1435"/>
      <c r="K155" s="1420"/>
      <c r="O155" s="1364"/>
      <c r="P155" s="1364"/>
      <c r="Q155" s="1364"/>
      <c r="T155" s="1365"/>
      <c r="U155" s="1365"/>
      <c r="V155" s="1365"/>
      <c r="AJ155" s="1427"/>
    </row>
    <row r="156" spans="1:36" s="1363" customFormat="1" hidden="1">
      <c r="A156" s="1426"/>
      <c r="B156" s="1433"/>
      <c r="C156" s="1461"/>
      <c r="D156" s="1435"/>
      <c r="E156" s="1420"/>
      <c r="F156" s="1461"/>
      <c r="G156" s="1435"/>
      <c r="H156" s="1420"/>
      <c r="I156" s="1461"/>
      <c r="J156" s="1435"/>
      <c r="K156" s="1420"/>
      <c r="O156" s="1364"/>
      <c r="P156" s="1364"/>
      <c r="Q156" s="1364"/>
      <c r="T156" s="1365"/>
      <c r="U156" s="1365"/>
      <c r="V156" s="1365"/>
      <c r="AJ156" s="1427"/>
    </row>
    <row r="157" spans="1:36" s="1363" customFormat="1" hidden="1">
      <c r="A157" s="1426"/>
      <c r="B157" s="1433"/>
      <c r="C157" s="1461"/>
      <c r="D157" s="1435"/>
      <c r="E157" s="1420"/>
      <c r="F157" s="1461"/>
      <c r="G157" s="1435"/>
      <c r="H157" s="1420"/>
      <c r="I157" s="1461"/>
      <c r="J157" s="1435"/>
      <c r="K157" s="1420"/>
      <c r="O157" s="1364"/>
      <c r="P157" s="1364"/>
      <c r="Q157" s="1364"/>
      <c r="T157" s="1365"/>
      <c r="U157" s="1365"/>
      <c r="V157" s="1365"/>
      <c r="AJ157" s="1427"/>
    </row>
    <row r="158" spans="1:36" s="1363" customFormat="1" hidden="1">
      <c r="A158" s="1426"/>
      <c r="B158" s="1433"/>
      <c r="C158" s="1461"/>
      <c r="D158" s="1436"/>
      <c r="E158" s="1420"/>
      <c r="F158" s="1461"/>
      <c r="G158" s="1436"/>
      <c r="H158" s="1420"/>
      <c r="I158" s="1461"/>
      <c r="J158" s="1436"/>
      <c r="K158" s="1420"/>
      <c r="O158" s="1364"/>
      <c r="P158" s="1364"/>
      <c r="Q158" s="1364"/>
      <c r="T158" s="1365"/>
      <c r="U158" s="1365"/>
      <c r="V158" s="1365"/>
      <c r="AJ158" s="1427"/>
    </row>
    <row r="159" spans="1:36" s="1363" customFormat="1" hidden="1">
      <c r="A159" s="1426"/>
      <c r="B159" s="1433"/>
      <c r="C159" s="1462"/>
      <c r="D159" s="1436"/>
      <c r="E159" s="1420"/>
      <c r="F159" s="1462"/>
      <c r="G159" s="1436"/>
      <c r="H159" s="1420"/>
      <c r="I159" s="1462"/>
      <c r="J159" s="1436"/>
      <c r="K159" s="1420"/>
      <c r="O159" s="1364"/>
      <c r="P159" s="1364"/>
      <c r="Q159" s="1364"/>
      <c r="T159" s="1365"/>
      <c r="U159" s="1365"/>
      <c r="V159" s="1365"/>
      <c r="AJ159" s="1427"/>
    </row>
    <row r="160" spans="1:36" s="1363" customFormat="1" hidden="1">
      <c r="A160" s="1426"/>
      <c r="B160" s="1433"/>
      <c r="C160" s="1462"/>
      <c r="D160" s="1436"/>
      <c r="E160" s="1420"/>
      <c r="F160" s="1462"/>
      <c r="G160" s="1436"/>
      <c r="H160" s="1420"/>
      <c r="I160" s="1462"/>
      <c r="J160" s="1436"/>
      <c r="K160" s="1420"/>
      <c r="O160" s="1364"/>
      <c r="P160" s="1364"/>
      <c r="Q160" s="1364"/>
      <c r="T160" s="1365"/>
      <c r="U160" s="1365"/>
      <c r="V160" s="1365"/>
      <c r="AJ160" s="1427"/>
    </row>
    <row r="161" spans="1:36" s="1363" customFormat="1" hidden="1">
      <c r="A161" s="1426"/>
      <c r="B161" s="1433"/>
      <c r="C161" s="1462"/>
      <c r="D161" s="1436"/>
      <c r="E161" s="1420"/>
      <c r="F161" s="1462"/>
      <c r="G161" s="1436"/>
      <c r="H161" s="1420"/>
      <c r="I161" s="1462"/>
      <c r="J161" s="1436"/>
      <c r="K161" s="1420"/>
      <c r="O161" s="1364"/>
      <c r="P161" s="1364"/>
      <c r="Q161" s="1364"/>
      <c r="T161" s="1365"/>
      <c r="U161" s="1365"/>
      <c r="V161" s="1365"/>
      <c r="AJ161" s="1427"/>
    </row>
    <row r="162" spans="1:36" s="1363" customFormat="1" hidden="1">
      <c r="A162" s="1426"/>
      <c r="B162" s="1433"/>
      <c r="C162" s="1463"/>
      <c r="D162" s="1436"/>
      <c r="E162" s="1420"/>
      <c r="F162" s="1463"/>
      <c r="G162" s="1436"/>
      <c r="H162" s="1420"/>
      <c r="I162" s="1463"/>
      <c r="J162" s="1436"/>
      <c r="K162" s="1420"/>
      <c r="O162" s="1364"/>
      <c r="P162" s="1364"/>
      <c r="Q162" s="1364"/>
      <c r="T162" s="1365"/>
      <c r="U162" s="1365"/>
      <c r="V162" s="1365"/>
      <c r="AJ162" s="1427"/>
    </row>
    <row r="163" spans="1:36" s="1363" customFormat="1" hidden="1">
      <c r="A163" s="1426"/>
      <c r="B163" s="1433"/>
      <c r="C163" s="1464"/>
      <c r="D163" s="1435"/>
      <c r="E163" s="1420"/>
      <c r="F163" s="1464"/>
      <c r="G163" s="1436"/>
      <c r="H163" s="1420"/>
      <c r="I163" s="1464"/>
      <c r="J163" s="1436"/>
      <c r="K163" s="1420"/>
      <c r="O163" s="1364"/>
      <c r="P163" s="1364"/>
      <c r="Q163" s="1364"/>
      <c r="T163" s="1365"/>
      <c r="U163" s="1365"/>
      <c r="V163" s="1365"/>
      <c r="AJ163" s="1427"/>
    </row>
    <row r="164" spans="1:36" s="1363" customFormat="1" hidden="1">
      <c r="A164" s="1426"/>
      <c r="B164" s="1433"/>
      <c r="C164" s="1465"/>
      <c r="D164" s="1435"/>
      <c r="E164" s="1420"/>
      <c r="F164" s="1465"/>
      <c r="G164" s="1436"/>
      <c r="H164" s="1420"/>
      <c r="I164" s="1465"/>
      <c r="J164" s="1436"/>
      <c r="K164" s="1420"/>
      <c r="O164" s="1364"/>
      <c r="P164" s="1364"/>
      <c r="Q164" s="1364"/>
      <c r="T164" s="1365"/>
      <c r="U164" s="1365"/>
      <c r="V164" s="1365"/>
      <c r="AJ164" s="1427"/>
    </row>
    <row r="165" spans="1:36" s="1363" customFormat="1" hidden="1">
      <c r="B165" s="1433"/>
      <c r="C165" s="1398"/>
      <c r="E165" s="1420"/>
      <c r="F165" s="1398"/>
      <c r="H165" s="1420"/>
      <c r="I165" s="1443"/>
      <c r="J165" s="1436"/>
      <c r="K165" s="1420"/>
      <c r="M165" s="1427"/>
      <c r="O165" s="1449"/>
      <c r="R165" s="1450"/>
      <c r="S165" s="1450"/>
      <c r="T165" s="1365"/>
      <c r="U165" s="1365"/>
      <c r="V165" s="1365"/>
      <c r="AJ165" s="1427"/>
    </row>
    <row r="166" spans="1:36" s="1363" customFormat="1" hidden="1">
      <c r="B166" s="1433"/>
      <c r="C166" s="1398"/>
      <c r="E166" s="1420"/>
      <c r="F166" s="1398"/>
      <c r="H166" s="1420"/>
      <c r="I166" s="1443"/>
      <c r="J166" s="1436"/>
      <c r="K166" s="1420"/>
      <c r="M166" s="1427"/>
      <c r="O166" s="1449"/>
      <c r="R166" s="1450"/>
      <c r="S166" s="1450"/>
      <c r="T166" s="1365"/>
      <c r="U166" s="1365"/>
      <c r="V166" s="1365"/>
      <c r="AJ166" s="1427"/>
    </row>
    <row r="167" spans="1:36" s="1363" customFormat="1" hidden="1">
      <c r="B167" s="1433"/>
      <c r="C167" s="1398"/>
      <c r="E167" s="1420"/>
      <c r="F167" s="1398"/>
      <c r="H167" s="1420"/>
      <c r="I167" s="1443"/>
      <c r="J167" s="1436"/>
      <c r="K167" s="1420"/>
      <c r="M167" s="1427"/>
      <c r="O167" s="1449"/>
      <c r="R167" s="1450"/>
      <c r="S167" s="1450"/>
      <c r="T167" s="1365"/>
      <c r="U167" s="1365"/>
      <c r="V167" s="1365"/>
      <c r="AJ167" s="1427"/>
    </row>
    <row r="168" spans="1:36" s="1363" customFormat="1" hidden="1">
      <c r="A168" s="1426"/>
      <c r="B168" s="1433"/>
      <c r="C168" s="1448"/>
      <c r="D168" s="1420"/>
      <c r="E168" s="1420"/>
      <c r="F168" s="1448"/>
      <c r="G168" s="1436"/>
      <c r="H168" s="1420"/>
      <c r="I168" s="1448"/>
      <c r="J168" s="1436"/>
      <c r="K168" s="1420"/>
      <c r="O168" s="1364"/>
      <c r="P168" s="1364"/>
      <c r="Q168" s="1364"/>
      <c r="T168" s="1365"/>
      <c r="U168" s="1365"/>
      <c r="V168" s="1365"/>
      <c r="AJ168" s="1427"/>
    </row>
    <row r="169" spans="1:36" s="1363" customFormat="1" hidden="1">
      <c r="A169" s="1426"/>
      <c r="B169" s="1433"/>
      <c r="C169" s="1436"/>
      <c r="D169" s="1436"/>
      <c r="E169" s="1435"/>
      <c r="F169" s="1436"/>
      <c r="G169" s="1436"/>
      <c r="H169" s="1435"/>
      <c r="I169" s="1436"/>
      <c r="J169" s="1436"/>
      <c r="K169" s="1435"/>
      <c r="M169" s="1422"/>
      <c r="N169" s="1422"/>
      <c r="O169" s="1423"/>
      <c r="P169" s="1364"/>
      <c r="Q169" s="1364"/>
      <c r="T169" s="1365"/>
      <c r="U169" s="1365"/>
      <c r="V169" s="1365"/>
      <c r="AJ169" s="1427"/>
    </row>
    <row r="170" spans="1:36" s="1363" customFormat="1" hidden="1">
      <c r="A170" s="1426"/>
      <c r="B170" s="1433"/>
      <c r="C170" s="1467"/>
      <c r="D170" s="1468"/>
      <c r="E170" s="1435"/>
      <c r="F170" s="1467"/>
      <c r="G170" s="1426"/>
      <c r="H170" s="1435"/>
      <c r="I170" s="1467"/>
      <c r="J170" s="1426"/>
      <c r="K170" s="1435"/>
      <c r="M170" s="1424"/>
      <c r="N170" s="1424"/>
      <c r="O170" s="1412"/>
      <c r="P170" s="1364"/>
      <c r="Q170" s="1364"/>
      <c r="T170" s="1365"/>
      <c r="U170" s="1365"/>
      <c r="V170" s="1365"/>
      <c r="AJ170" s="1427"/>
    </row>
    <row r="171" spans="1:36" s="1363" customFormat="1" hidden="1">
      <c r="A171" s="1426"/>
      <c r="B171" s="1428"/>
      <c r="C171" s="1464"/>
      <c r="D171" s="1420"/>
      <c r="E171" s="1420"/>
      <c r="F171" s="1464"/>
      <c r="G171" s="1426"/>
      <c r="H171" s="1420"/>
      <c r="I171" s="1464"/>
      <c r="J171" s="1426"/>
      <c r="K171" s="1420"/>
      <c r="O171" s="1364"/>
      <c r="P171" s="1364"/>
      <c r="Q171" s="1364"/>
      <c r="T171" s="1365"/>
      <c r="U171" s="1365"/>
      <c r="V171" s="1365"/>
      <c r="AJ171" s="1427"/>
    </row>
    <row r="172" spans="1:36" s="1363" customFormat="1" hidden="1">
      <c r="A172" s="1425"/>
      <c r="B172" s="1426"/>
      <c r="C172" s="1420"/>
      <c r="D172" s="1420"/>
      <c r="E172" s="1426"/>
      <c r="F172" s="1420"/>
      <c r="G172" s="1426"/>
      <c r="H172" s="1426"/>
      <c r="I172" s="1420"/>
      <c r="J172" s="1426"/>
      <c r="K172" s="1426"/>
      <c r="O172" s="1364"/>
      <c r="P172" s="1364"/>
      <c r="Q172" s="1364"/>
      <c r="T172" s="1365"/>
      <c r="U172" s="1365"/>
      <c r="V172" s="1365"/>
      <c r="AJ172" s="1427"/>
    </row>
    <row r="173" spans="1:36" s="1363" customFormat="1" hidden="1">
      <c r="A173" s="1426"/>
      <c r="B173" s="1426"/>
      <c r="C173" s="1420"/>
      <c r="D173" s="1420"/>
      <c r="E173" s="1426"/>
      <c r="F173" s="1420"/>
      <c r="G173" s="1426"/>
      <c r="H173" s="1426"/>
      <c r="I173" s="1420"/>
      <c r="J173" s="1426"/>
      <c r="K173" s="1426"/>
      <c r="O173" s="1364"/>
      <c r="P173" s="1364"/>
      <c r="Q173" s="1364"/>
      <c r="T173" s="1365"/>
      <c r="U173" s="1365"/>
      <c r="V173" s="1365"/>
      <c r="AJ173" s="1427"/>
    </row>
    <row r="174" spans="1:36" s="1363" customFormat="1" hidden="1">
      <c r="A174" s="1473"/>
      <c r="B174" s="1428"/>
      <c r="C174" s="1420"/>
      <c r="D174" s="1420"/>
      <c r="E174" s="1426"/>
      <c r="F174" s="1420"/>
      <c r="G174" s="1426"/>
      <c r="H174" s="1426"/>
      <c r="I174" s="1420"/>
      <c r="J174" s="1426"/>
      <c r="K174" s="1426"/>
      <c r="O174" s="1364"/>
      <c r="P174" s="1364"/>
      <c r="Q174" s="1364"/>
      <c r="T174" s="1365"/>
      <c r="U174" s="1365"/>
      <c r="V174" s="1365"/>
      <c r="AJ174" s="1427"/>
    </row>
    <row r="175" spans="1:36" s="1363" customFormat="1" hidden="1">
      <c r="A175" s="1426"/>
      <c r="B175" s="1433"/>
      <c r="C175" s="1420"/>
      <c r="D175" s="1420"/>
      <c r="E175" s="1426"/>
      <c r="F175" s="1420"/>
      <c r="G175" s="1426"/>
      <c r="H175" s="1426"/>
      <c r="I175" s="1420"/>
      <c r="J175" s="1426"/>
      <c r="K175" s="1426"/>
      <c r="O175" s="1364"/>
      <c r="P175" s="1364"/>
      <c r="Q175" s="1364"/>
      <c r="T175" s="1365"/>
      <c r="U175" s="1365"/>
      <c r="V175" s="1365"/>
      <c r="AJ175" s="1427"/>
    </row>
    <row r="176" spans="1:36" s="1363" customFormat="1" hidden="1">
      <c r="A176" s="1426"/>
      <c r="B176" s="1433"/>
      <c r="C176" s="1429"/>
      <c r="D176" s="1435"/>
      <c r="E176" s="1420"/>
      <c r="F176" s="1429"/>
      <c r="G176" s="1436"/>
      <c r="H176" s="1420"/>
      <c r="I176" s="1429"/>
      <c r="J176" s="1436"/>
      <c r="K176" s="1420"/>
      <c r="O176" s="1364"/>
      <c r="P176" s="1364"/>
      <c r="Q176" s="1364"/>
      <c r="T176" s="1365"/>
      <c r="U176" s="1365"/>
      <c r="V176" s="1365"/>
      <c r="AJ176" s="1427"/>
    </row>
    <row r="177" spans="1:36" s="1363" customFormat="1" hidden="1">
      <c r="A177" s="1426"/>
      <c r="B177" s="1433"/>
      <c r="C177" s="1429"/>
      <c r="D177" s="1437"/>
      <c r="E177" s="1420"/>
      <c r="F177" s="1429"/>
      <c r="G177" s="1438"/>
      <c r="H177" s="1420"/>
      <c r="I177" s="1429"/>
      <c r="J177" s="1438"/>
      <c r="K177" s="1420"/>
      <c r="O177" s="1364"/>
      <c r="P177" s="1364"/>
      <c r="Q177" s="1364"/>
      <c r="T177" s="1365"/>
      <c r="U177" s="1365"/>
      <c r="V177" s="1365"/>
      <c r="AJ177" s="1427"/>
    </row>
    <row r="178" spans="1:36" s="1363" customFormat="1" hidden="1">
      <c r="A178" s="1426"/>
      <c r="B178" s="1433"/>
      <c r="C178" s="1429"/>
      <c r="D178" s="1437"/>
      <c r="E178" s="1420"/>
      <c r="F178" s="1429"/>
      <c r="G178" s="1438"/>
      <c r="H178" s="1420"/>
      <c r="I178" s="1429"/>
      <c r="J178" s="1438"/>
      <c r="K178" s="1420"/>
      <c r="O178" s="1364"/>
      <c r="P178" s="1364"/>
      <c r="Q178" s="1364"/>
      <c r="T178" s="1365"/>
      <c r="U178" s="1365"/>
      <c r="V178" s="1365"/>
      <c r="AJ178" s="1427"/>
    </row>
    <row r="179" spans="1:36" s="1363" customFormat="1" hidden="1">
      <c r="A179" s="1426"/>
      <c r="B179" s="1433"/>
      <c r="C179" s="1429"/>
      <c r="D179" s="1435"/>
      <c r="E179" s="1420"/>
      <c r="F179" s="1429"/>
      <c r="G179" s="1436"/>
      <c r="H179" s="1420"/>
      <c r="I179" s="1429"/>
      <c r="J179" s="1436"/>
      <c r="K179" s="1420"/>
      <c r="O179" s="1364"/>
      <c r="P179" s="1364"/>
      <c r="Q179" s="1364"/>
      <c r="T179" s="1365"/>
      <c r="U179" s="1365"/>
      <c r="V179" s="1365"/>
      <c r="AJ179" s="1427"/>
    </row>
    <row r="180" spans="1:36" s="1363" customFormat="1" hidden="1">
      <c r="A180" s="1426"/>
      <c r="B180" s="1433"/>
      <c r="C180" s="1464"/>
      <c r="D180" s="1436"/>
      <c r="E180" s="1420"/>
      <c r="F180" s="1464"/>
      <c r="G180" s="1436"/>
      <c r="H180" s="1420"/>
      <c r="I180" s="1464"/>
      <c r="J180" s="1436"/>
      <c r="K180" s="1420"/>
      <c r="O180" s="1364"/>
      <c r="P180" s="1364"/>
      <c r="Q180" s="1364"/>
      <c r="T180" s="1365"/>
      <c r="U180" s="1365"/>
      <c r="V180" s="1365"/>
      <c r="AJ180" s="1427"/>
    </row>
    <row r="181" spans="1:36" s="1363" customFormat="1" hidden="1">
      <c r="A181" s="1426"/>
      <c r="B181" s="1433"/>
      <c r="C181" s="1443"/>
      <c r="D181" s="1436"/>
      <c r="E181" s="1420"/>
      <c r="F181" s="1443"/>
      <c r="G181" s="1436"/>
      <c r="H181" s="1420"/>
      <c r="I181" s="1443"/>
      <c r="J181" s="1436"/>
      <c r="K181" s="1420"/>
      <c r="M181" s="1449"/>
      <c r="N181" s="1449"/>
      <c r="O181" s="1364"/>
      <c r="P181" s="1364"/>
      <c r="Q181" s="1364"/>
      <c r="T181" s="1365"/>
      <c r="U181" s="1365"/>
      <c r="V181" s="1365"/>
      <c r="AJ181" s="1427"/>
    </row>
    <row r="182" spans="1:36" s="1363" customFormat="1" hidden="1">
      <c r="A182" s="1426"/>
      <c r="B182" s="1433"/>
      <c r="C182" s="1443"/>
      <c r="D182" s="1436"/>
      <c r="E182" s="1420"/>
      <c r="F182" s="1443"/>
      <c r="G182" s="1436"/>
      <c r="H182" s="1420"/>
      <c r="I182" s="1443"/>
      <c r="J182" s="1436"/>
      <c r="K182" s="1420"/>
      <c r="M182" s="1449"/>
      <c r="N182" s="1449"/>
      <c r="O182" s="1364"/>
      <c r="P182" s="1364"/>
      <c r="Q182" s="1364"/>
      <c r="T182" s="1365"/>
      <c r="U182" s="1365"/>
      <c r="V182" s="1365"/>
      <c r="AJ182" s="1427"/>
    </row>
    <row r="183" spans="1:36" s="1363" customFormat="1" hidden="1">
      <c r="A183" s="1426"/>
      <c r="B183" s="1433"/>
      <c r="C183" s="1443"/>
      <c r="D183" s="1436"/>
      <c r="E183" s="1420"/>
      <c r="F183" s="1443"/>
      <c r="G183" s="1436"/>
      <c r="H183" s="1420"/>
      <c r="I183" s="1443"/>
      <c r="J183" s="1436"/>
      <c r="K183" s="1420"/>
      <c r="M183" s="1449"/>
      <c r="N183" s="1449"/>
      <c r="O183" s="1364"/>
      <c r="P183" s="1364"/>
      <c r="Q183" s="1364"/>
      <c r="T183" s="1365"/>
      <c r="U183" s="1365"/>
      <c r="V183" s="1365"/>
      <c r="AJ183" s="1427"/>
    </row>
    <row r="184" spans="1:36" s="1363" customFormat="1" hidden="1">
      <c r="A184" s="1426"/>
      <c r="B184" s="1433"/>
      <c r="C184" s="1448"/>
      <c r="D184" s="1435"/>
      <c r="E184" s="1420"/>
      <c r="F184" s="1448"/>
      <c r="G184" s="1436"/>
      <c r="H184" s="1420"/>
      <c r="I184" s="1448"/>
      <c r="J184" s="1436"/>
      <c r="K184" s="1420"/>
      <c r="O184" s="1364"/>
      <c r="P184" s="1364"/>
      <c r="Q184" s="1364"/>
      <c r="T184" s="1365"/>
      <c r="U184" s="1365"/>
      <c r="V184" s="1365"/>
      <c r="AJ184" s="1427"/>
    </row>
    <row r="185" spans="1:36" s="1363" customFormat="1" hidden="1">
      <c r="B185" s="1474"/>
      <c r="C185" s="1398"/>
      <c r="E185" s="1420"/>
      <c r="F185" s="1398"/>
      <c r="H185" s="1420"/>
      <c r="I185" s="1443"/>
      <c r="J185" s="1436"/>
      <c r="K185" s="1420"/>
      <c r="M185" s="1427"/>
      <c r="O185" s="1449"/>
      <c r="R185" s="1450"/>
      <c r="S185" s="1450"/>
      <c r="T185" s="1365"/>
      <c r="U185" s="1365"/>
      <c r="V185" s="1365"/>
      <c r="AJ185" s="1427"/>
    </row>
    <row r="186" spans="1:36" s="1363" customFormat="1" hidden="1">
      <c r="B186" s="1474"/>
      <c r="C186" s="1398"/>
      <c r="E186" s="1420"/>
      <c r="F186" s="1398"/>
      <c r="H186" s="1420"/>
      <c r="I186" s="1443"/>
      <c r="J186" s="1436"/>
      <c r="K186" s="1420"/>
      <c r="M186" s="1427"/>
      <c r="O186" s="1449"/>
      <c r="R186" s="1450"/>
      <c r="S186" s="1450"/>
      <c r="T186" s="1365"/>
      <c r="U186" s="1365"/>
      <c r="V186" s="1365"/>
      <c r="AJ186" s="1427"/>
    </row>
    <row r="187" spans="1:36" s="1363" customFormat="1" hidden="1">
      <c r="B187" s="1474"/>
      <c r="C187" s="1398"/>
      <c r="E187" s="1420"/>
      <c r="F187" s="1398"/>
      <c r="H187" s="1420"/>
      <c r="I187" s="1443"/>
      <c r="J187" s="1436"/>
      <c r="K187" s="1420"/>
      <c r="M187" s="1427"/>
      <c r="O187" s="1449"/>
      <c r="R187" s="1450"/>
      <c r="S187" s="1450"/>
      <c r="T187" s="1365"/>
      <c r="U187" s="1365"/>
      <c r="V187" s="1365"/>
      <c r="AJ187" s="1427"/>
    </row>
    <row r="188" spans="1:36" s="1363" customFormat="1" hidden="1">
      <c r="A188" s="1458"/>
      <c r="B188" s="1433"/>
      <c r="C188" s="1459"/>
      <c r="D188" s="1435"/>
      <c r="E188" s="1420"/>
      <c r="F188" s="1459"/>
      <c r="G188" s="1436"/>
      <c r="H188" s="1420"/>
      <c r="I188" s="1459"/>
      <c r="J188" s="1436"/>
      <c r="K188" s="1420"/>
      <c r="O188" s="1364"/>
      <c r="P188" s="1364"/>
      <c r="Q188" s="1364"/>
      <c r="T188" s="1365"/>
      <c r="U188" s="1365"/>
      <c r="V188" s="1365"/>
      <c r="AJ188" s="1427"/>
    </row>
    <row r="189" spans="1:36" s="1363" customFormat="1" hidden="1">
      <c r="A189" s="1426"/>
      <c r="B189" s="1433"/>
      <c r="C189" s="1461"/>
      <c r="D189" s="1435"/>
      <c r="E189" s="1420"/>
      <c r="F189" s="1461"/>
      <c r="G189" s="1435"/>
      <c r="H189" s="1420"/>
      <c r="I189" s="1461"/>
      <c r="J189" s="1435"/>
      <c r="K189" s="1420"/>
      <c r="O189" s="1364"/>
      <c r="P189" s="1364"/>
      <c r="Q189" s="1364"/>
      <c r="T189" s="1365"/>
      <c r="U189" s="1365"/>
      <c r="V189" s="1365"/>
      <c r="AJ189" s="1427"/>
    </row>
    <row r="190" spans="1:36" s="1363" customFormat="1" hidden="1">
      <c r="A190" s="1426"/>
      <c r="B190" s="1433"/>
      <c r="C190" s="1461"/>
      <c r="D190" s="1435"/>
      <c r="E190" s="1420"/>
      <c r="F190" s="1461"/>
      <c r="G190" s="1435"/>
      <c r="H190" s="1420"/>
      <c r="I190" s="1461"/>
      <c r="J190" s="1435"/>
      <c r="K190" s="1420"/>
      <c r="O190" s="1364"/>
      <c r="P190" s="1364"/>
      <c r="Q190" s="1364"/>
      <c r="T190" s="1365"/>
      <c r="U190" s="1365"/>
      <c r="V190" s="1365"/>
      <c r="AJ190" s="1427"/>
    </row>
    <row r="191" spans="1:36" s="1363" customFormat="1" hidden="1">
      <c r="A191" s="1426"/>
      <c r="B191" s="1433"/>
      <c r="C191" s="1461"/>
      <c r="D191" s="1435"/>
      <c r="E191" s="1420"/>
      <c r="F191" s="1461"/>
      <c r="G191" s="1435"/>
      <c r="H191" s="1420"/>
      <c r="I191" s="1461"/>
      <c r="J191" s="1435"/>
      <c r="K191" s="1420"/>
      <c r="O191" s="1364"/>
      <c r="P191" s="1364"/>
      <c r="Q191" s="1364"/>
      <c r="T191" s="1365"/>
      <c r="U191" s="1365"/>
      <c r="V191" s="1365"/>
      <c r="AJ191" s="1427"/>
    </row>
    <row r="192" spans="1:36" s="1363" customFormat="1" hidden="1">
      <c r="A192" s="1426"/>
      <c r="B192" s="1433"/>
      <c r="C192" s="1461"/>
      <c r="D192" s="1436"/>
      <c r="E192" s="1420"/>
      <c r="F192" s="1461"/>
      <c r="G192" s="1436"/>
      <c r="H192" s="1420"/>
      <c r="I192" s="1461"/>
      <c r="J192" s="1436"/>
      <c r="K192" s="1420"/>
      <c r="O192" s="1364"/>
      <c r="P192" s="1364"/>
      <c r="Q192" s="1364"/>
      <c r="T192" s="1365"/>
      <c r="U192" s="1365"/>
      <c r="V192" s="1365"/>
      <c r="AJ192" s="1427"/>
    </row>
    <row r="193" spans="1:36" s="1363" customFormat="1" hidden="1">
      <c r="A193" s="1426"/>
      <c r="B193" s="1433"/>
      <c r="C193" s="1462"/>
      <c r="D193" s="1436"/>
      <c r="E193" s="1420"/>
      <c r="F193" s="1462"/>
      <c r="G193" s="1436"/>
      <c r="H193" s="1420"/>
      <c r="I193" s="1462"/>
      <c r="J193" s="1436"/>
      <c r="K193" s="1420"/>
      <c r="O193" s="1364"/>
      <c r="P193" s="1364"/>
      <c r="Q193" s="1364"/>
      <c r="T193" s="1365"/>
      <c r="U193" s="1365"/>
      <c r="V193" s="1365"/>
      <c r="AJ193" s="1427"/>
    </row>
    <row r="194" spans="1:36" s="1363" customFormat="1" hidden="1">
      <c r="A194" s="1426"/>
      <c r="B194" s="1433"/>
      <c r="C194" s="1462"/>
      <c r="D194" s="1436"/>
      <c r="E194" s="1420"/>
      <c r="F194" s="1462"/>
      <c r="G194" s="1436"/>
      <c r="H194" s="1420"/>
      <c r="I194" s="1462"/>
      <c r="J194" s="1436"/>
      <c r="K194" s="1420"/>
      <c r="O194" s="1364"/>
      <c r="P194" s="1364"/>
      <c r="Q194" s="1364"/>
      <c r="T194" s="1365"/>
      <c r="U194" s="1365"/>
      <c r="V194" s="1365"/>
      <c r="AJ194" s="1427"/>
    </row>
    <row r="195" spans="1:36" s="1363" customFormat="1" hidden="1">
      <c r="A195" s="1426"/>
      <c r="B195" s="1433"/>
      <c r="C195" s="1462"/>
      <c r="D195" s="1436"/>
      <c r="E195" s="1420"/>
      <c r="F195" s="1462"/>
      <c r="G195" s="1436"/>
      <c r="H195" s="1420"/>
      <c r="I195" s="1462"/>
      <c r="J195" s="1436"/>
      <c r="K195" s="1420"/>
      <c r="O195" s="1364"/>
      <c r="P195" s="1364"/>
      <c r="Q195" s="1364"/>
      <c r="T195" s="1365"/>
      <c r="U195" s="1365"/>
      <c r="V195" s="1365"/>
      <c r="AJ195" s="1427"/>
    </row>
    <row r="196" spans="1:36" s="1363" customFormat="1" hidden="1">
      <c r="A196" s="1426"/>
      <c r="B196" s="1433"/>
      <c r="C196" s="1463"/>
      <c r="D196" s="1436"/>
      <c r="E196" s="1420"/>
      <c r="F196" s="1463"/>
      <c r="G196" s="1436"/>
      <c r="H196" s="1420"/>
      <c r="I196" s="1463"/>
      <c r="J196" s="1436"/>
      <c r="K196" s="1420"/>
      <c r="O196" s="1364"/>
      <c r="P196" s="1364"/>
      <c r="Q196" s="1364"/>
      <c r="T196" s="1365"/>
      <c r="U196" s="1365"/>
      <c r="V196" s="1365"/>
      <c r="AJ196" s="1427"/>
    </row>
    <row r="197" spans="1:36" s="1363" customFormat="1" hidden="1">
      <c r="A197" s="1426"/>
      <c r="B197" s="1433"/>
      <c r="C197" s="1464"/>
      <c r="D197" s="1435"/>
      <c r="E197" s="1420"/>
      <c r="F197" s="1464"/>
      <c r="G197" s="1436"/>
      <c r="H197" s="1420"/>
      <c r="I197" s="1464"/>
      <c r="J197" s="1436"/>
      <c r="K197" s="1420"/>
      <c r="O197" s="1364"/>
      <c r="P197" s="1364"/>
      <c r="Q197" s="1364"/>
      <c r="T197" s="1365"/>
      <c r="U197" s="1365"/>
      <c r="V197" s="1365"/>
      <c r="AJ197" s="1427"/>
    </row>
    <row r="198" spans="1:36" s="1363" customFormat="1" hidden="1">
      <c r="A198" s="1426"/>
      <c r="B198" s="1433"/>
      <c r="C198" s="1465"/>
      <c r="D198" s="1435"/>
      <c r="E198" s="1420"/>
      <c r="F198" s="1465"/>
      <c r="G198" s="1436"/>
      <c r="H198" s="1420"/>
      <c r="I198" s="1465"/>
      <c r="J198" s="1436"/>
      <c r="K198" s="1420"/>
      <c r="O198" s="1364"/>
      <c r="P198" s="1364"/>
      <c r="Q198" s="1364"/>
      <c r="T198" s="1365"/>
      <c r="U198" s="1365"/>
      <c r="V198" s="1365"/>
      <c r="AJ198" s="1427"/>
    </row>
    <row r="199" spans="1:36" s="1363" customFormat="1" hidden="1">
      <c r="B199" s="1474"/>
      <c r="C199" s="1398"/>
      <c r="E199" s="1420"/>
      <c r="F199" s="1398"/>
      <c r="H199" s="1420"/>
      <c r="I199" s="1443"/>
      <c r="J199" s="1436"/>
      <c r="K199" s="1420"/>
      <c r="M199" s="1427"/>
      <c r="O199" s="1449"/>
      <c r="R199" s="1450"/>
      <c r="S199" s="1450"/>
      <c r="T199" s="1365"/>
      <c r="U199" s="1365"/>
      <c r="V199" s="1365"/>
      <c r="AJ199" s="1427"/>
    </row>
    <row r="200" spans="1:36" s="1363" customFormat="1" hidden="1">
      <c r="B200" s="1474"/>
      <c r="C200" s="1398"/>
      <c r="E200" s="1420"/>
      <c r="F200" s="1398"/>
      <c r="H200" s="1420"/>
      <c r="I200" s="1443"/>
      <c r="J200" s="1436"/>
      <c r="K200" s="1420"/>
      <c r="M200" s="1427"/>
      <c r="O200" s="1449"/>
      <c r="R200" s="1450"/>
      <c r="S200" s="1450"/>
      <c r="T200" s="1365"/>
      <c r="U200" s="1365"/>
      <c r="V200" s="1365"/>
      <c r="AJ200" s="1427"/>
    </row>
    <row r="201" spans="1:36" s="1363" customFormat="1" hidden="1">
      <c r="B201" s="1474"/>
      <c r="C201" s="1398"/>
      <c r="E201" s="1420"/>
      <c r="F201" s="1398"/>
      <c r="H201" s="1420"/>
      <c r="I201" s="1443"/>
      <c r="J201" s="1436"/>
      <c r="K201" s="1420"/>
      <c r="M201" s="1427"/>
      <c r="O201" s="1449"/>
      <c r="R201" s="1450"/>
      <c r="S201" s="1450"/>
      <c r="T201" s="1365"/>
      <c r="U201" s="1365"/>
      <c r="V201" s="1365"/>
      <c r="AJ201" s="1427"/>
    </row>
    <row r="202" spans="1:36" s="1363" customFormat="1" hidden="1">
      <c r="A202" s="1426"/>
      <c r="B202" s="1433"/>
      <c r="C202" s="1448"/>
      <c r="D202" s="1420"/>
      <c r="E202" s="1420"/>
      <c r="F202" s="1448"/>
      <c r="G202" s="1436"/>
      <c r="H202" s="1420"/>
      <c r="I202" s="1448"/>
      <c r="J202" s="1436"/>
      <c r="K202" s="1420"/>
      <c r="M202" s="1427"/>
      <c r="N202" s="1427"/>
      <c r="O202" s="1364"/>
      <c r="P202" s="1364"/>
      <c r="Q202" s="1364"/>
      <c r="T202" s="1365"/>
      <c r="U202" s="1365"/>
      <c r="V202" s="1365"/>
      <c r="AJ202" s="1427"/>
    </row>
    <row r="203" spans="1:36" s="1363" customFormat="1" hidden="1">
      <c r="A203" s="1426"/>
      <c r="B203" s="1433"/>
      <c r="C203" s="1436"/>
      <c r="D203" s="1436"/>
      <c r="E203" s="1435"/>
      <c r="F203" s="1436"/>
      <c r="G203" s="1436"/>
      <c r="H203" s="1435"/>
      <c r="I203" s="1436"/>
      <c r="J203" s="1436"/>
      <c r="K203" s="1435"/>
      <c r="M203" s="1422"/>
      <c r="N203" s="1422"/>
      <c r="O203" s="1423"/>
      <c r="P203" s="1364"/>
      <c r="Q203" s="1364"/>
      <c r="T203" s="1365"/>
      <c r="U203" s="1365"/>
      <c r="V203" s="1365"/>
      <c r="AJ203" s="1427"/>
    </row>
    <row r="204" spans="1:36" s="1363" customFormat="1" hidden="1">
      <c r="A204" s="1426"/>
      <c r="B204" s="1433"/>
      <c r="C204" s="1467"/>
      <c r="D204" s="1468"/>
      <c r="E204" s="1435"/>
      <c r="F204" s="1467"/>
      <c r="G204" s="1426"/>
      <c r="H204" s="1435"/>
      <c r="I204" s="1467"/>
      <c r="J204" s="1426"/>
      <c r="K204" s="1435"/>
      <c r="M204" s="1424"/>
      <c r="N204" s="1424"/>
      <c r="O204" s="1412"/>
      <c r="P204" s="1364"/>
      <c r="Q204" s="1364"/>
      <c r="T204" s="1365"/>
      <c r="U204" s="1365"/>
      <c r="V204" s="1365"/>
      <c r="AJ204" s="1427"/>
    </row>
    <row r="205" spans="1:36" s="1363" customFormat="1" hidden="1">
      <c r="A205" s="1426"/>
      <c r="B205" s="1428"/>
      <c r="C205" s="1464"/>
      <c r="D205" s="1420"/>
      <c r="E205" s="1420"/>
      <c r="F205" s="1464"/>
      <c r="G205" s="1426"/>
      <c r="H205" s="1420"/>
      <c r="I205" s="1464"/>
      <c r="J205" s="1426"/>
      <c r="K205" s="1420"/>
      <c r="O205" s="1364"/>
      <c r="P205" s="1364"/>
      <c r="Q205" s="1364"/>
      <c r="T205" s="1365"/>
      <c r="U205" s="1365"/>
      <c r="V205" s="1365"/>
      <c r="AJ205" s="1427"/>
    </row>
    <row r="206" spans="1:36" s="1363" customFormat="1" hidden="1">
      <c r="A206" s="1426"/>
      <c r="B206" s="1428"/>
      <c r="C206" s="1464"/>
      <c r="D206" s="1420"/>
      <c r="E206" s="1420"/>
      <c r="F206" s="1464"/>
      <c r="G206" s="1426"/>
      <c r="H206" s="1420"/>
      <c r="I206" s="1464"/>
      <c r="J206" s="1426"/>
      <c r="K206" s="1420"/>
      <c r="O206" s="1364"/>
      <c r="P206" s="1364"/>
      <c r="Q206" s="1364"/>
      <c r="T206" s="1365"/>
      <c r="U206" s="1365"/>
      <c r="V206" s="1365"/>
      <c r="AJ206" s="1427"/>
    </row>
    <row r="207" spans="1:36" s="1363" customFormat="1" hidden="1">
      <c r="A207" s="1425"/>
      <c r="B207" s="1426"/>
      <c r="C207" s="1420"/>
      <c r="D207" s="1420"/>
      <c r="E207" s="1426"/>
      <c r="F207" s="1420"/>
      <c r="G207" s="1426"/>
      <c r="H207" s="1426"/>
      <c r="I207" s="1420"/>
      <c r="J207" s="1426"/>
      <c r="K207" s="1426"/>
      <c r="O207" s="1364"/>
      <c r="P207" s="1364"/>
      <c r="Q207" s="1364"/>
      <c r="T207" s="1365"/>
      <c r="U207" s="1365"/>
      <c r="V207" s="1365"/>
      <c r="AJ207" s="1427"/>
    </row>
    <row r="208" spans="1:36" s="1363" customFormat="1" hidden="1">
      <c r="A208" s="1426"/>
      <c r="B208" s="1426"/>
      <c r="C208" s="1420"/>
      <c r="D208" s="1420"/>
      <c r="E208" s="1426"/>
      <c r="F208" s="1420"/>
      <c r="G208" s="1426"/>
      <c r="H208" s="1426"/>
      <c r="I208" s="1420"/>
      <c r="J208" s="1426"/>
      <c r="K208" s="1426"/>
      <c r="O208" s="1364"/>
      <c r="P208" s="1364"/>
      <c r="Q208" s="1364"/>
      <c r="T208" s="1365"/>
      <c r="U208" s="1365"/>
      <c r="V208" s="1365"/>
      <c r="AJ208" s="1427"/>
    </row>
    <row r="209" spans="1:36" s="1363" customFormat="1" hidden="1">
      <c r="A209" s="1473"/>
      <c r="B209" s="1428"/>
      <c r="C209" s="1420"/>
      <c r="D209" s="1420"/>
      <c r="E209" s="1426"/>
      <c r="F209" s="1420"/>
      <c r="G209" s="1426"/>
      <c r="H209" s="1426"/>
      <c r="I209" s="1420"/>
      <c r="J209" s="1426"/>
      <c r="K209" s="1426"/>
      <c r="O209" s="1364"/>
      <c r="P209" s="1364"/>
      <c r="Q209" s="1364"/>
      <c r="T209" s="1365"/>
      <c r="U209" s="1365"/>
      <c r="V209" s="1365"/>
      <c r="AJ209" s="1427"/>
    </row>
    <row r="210" spans="1:36" s="1363" customFormat="1" hidden="1">
      <c r="A210" s="1426"/>
      <c r="B210" s="1433"/>
      <c r="C210" s="1420"/>
      <c r="D210" s="1420"/>
      <c r="E210" s="1426"/>
      <c r="F210" s="1420"/>
      <c r="G210" s="1426"/>
      <c r="H210" s="1426"/>
      <c r="I210" s="1420"/>
      <c r="J210" s="1426"/>
      <c r="K210" s="1426"/>
      <c r="O210" s="1364"/>
      <c r="P210" s="1364"/>
      <c r="Q210" s="1364"/>
      <c r="T210" s="1365"/>
      <c r="U210" s="1365"/>
      <c r="V210" s="1365"/>
      <c r="AJ210" s="1427"/>
    </row>
    <row r="211" spans="1:36" s="1363" customFormat="1" hidden="1">
      <c r="A211" s="1426"/>
      <c r="B211" s="1433"/>
      <c r="C211" s="1429"/>
      <c r="D211" s="1435"/>
      <c r="E211" s="1420"/>
      <c r="F211" s="1429"/>
      <c r="G211" s="1436"/>
      <c r="H211" s="1420"/>
      <c r="I211" s="1429"/>
      <c r="J211" s="1436"/>
      <c r="K211" s="1420"/>
      <c r="O211" s="1364"/>
      <c r="P211" s="1364"/>
      <c r="Q211" s="1364"/>
      <c r="T211" s="1365"/>
      <c r="U211" s="1365"/>
      <c r="V211" s="1365"/>
      <c r="AJ211" s="1427"/>
    </row>
    <row r="212" spans="1:36" s="1363" customFormat="1" hidden="1">
      <c r="A212" s="1426"/>
      <c r="B212" s="1433"/>
      <c r="C212" s="1429"/>
      <c r="D212" s="1437"/>
      <c r="E212" s="1420"/>
      <c r="F212" s="1429"/>
      <c r="G212" s="1438"/>
      <c r="H212" s="1420"/>
      <c r="I212" s="1429"/>
      <c r="J212" s="1438"/>
      <c r="K212" s="1420"/>
      <c r="O212" s="1364"/>
      <c r="P212" s="1364"/>
      <c r="Q212" s="1364"/>
      <c r="T212" s="1365"/>
      <c r="U212" s="1365"/>
      <c r="V212" s="1365"/>
      <c r="AJ212" s="1427"/>
    </row>
    <row r="213" spans="1:36" s="1363" customFormat="1" hidden="1">
      <c r="A213" s="1426"/>
      <c r="B213" s="1433"/>
      <c r="C213" s="1429"/>
      <c r="D213" s="1437"/>
      <c r="E213" s="1420"/>
      <c r="F213" s="1429"/>
      <c r="G213" s="1438"/>
      <c r="H213" s="1420"/>
      <c r="I213" s="1429"/>
      <c r="J213" s="1438"/>
      <c r="K213" s="1420"/>
      <c r="O213" s="1364"/>
      <c r="P213" s="1364"/>
      <c r="Q213" s="1364"/>
      <c r="T213" s="1365"/>
      <c r="U213" s="1365"/>
      <c r="V213" s="1365"/>
      <c r="AJ213" s="1427"/>
    </row>
    <row r="214" spans="1:36" s="1363" customFormat="1" hidden="1">
      <c r="A214" s="1426"/>
      <c r="B214" s="1433"/>
      <c r="C214" s="1429"/>
      <c r="D214" s="1435"/>
      <c r="E214" s="1420"/>
      <c r="F214" s="1429"/>
      <c r="G214" s="1436"/>
      <c r="H214" s="1420"/>
      <c r="I214" s="1429"/>
      <c r="J214" s="1436"/>
      <c r="K214" s="1420"/>
      <c r="O214" s="1364"/>
      <c r="P214" s="1364"/>
      <c r="Q214" s="1364"/>
      <c r="T214" s="1365"/>
      <c r="U214" s="1365"/>
      <c r="V214" s="1365"/>
      <c r="AJ214" s="1427"/>
    </row>
    <row r="215" spans="1:36" s="1363" customFormat="1" hidden="1">
      <c r="A215" s="1426"/>
      <c r="B215" s="1433"/>
      <c r="C215" s="1464"/>
      <c r="D215" s="1436"/>
      <c r="E215" s="1420"/>
      <c r="F215" s="1464"/>
      <c r="G215" s="1436"/>
      <c r="H215" s="1420"/>
      <c r="I215" s="1464"/>
      <c r="J215" s="1436"/>
      <c r="K215" s="1420"/>
      <c r="O215" s="1364"/>
      <c r="P215" s="1364"/>
      <c r="Q215" s="1364"/>
      <c r="T215" s="1365"/>
      <c r="U215" s="1365"/>
      <c r="V215" s="1365"/>
      <c r="AJ215" s="1427"/>
    </row>
    <row r="216" spans="1:36" s="1363" customFormat="1" hidden="1">
      <c r="A216" s="1426"/>
      <c r="B216" s="1433"/>
      <c r="C216" s="1443"/>
      <c r="D216" s="1436"/>
      <c r="E216" s="1420"/>
      <c r="F216" s="1443"/>
      <c r="G216" s="1436"/>
      <c r="H216" s="1420"/>
      <c r="I216" s="1443"/>
      <c r="J216" s="1436"/>
      <c r="K216" s="1420"/>
      <c r="M216" s="1449"/>
      <c r="N216" s="1449"/>
      <c r="O216" s="1364"/>
      <c r="P216" s="1364"/>
      <c r="Q216" s="1364"/>
      <c r="T216" s="1365"/>
      <c r="U216" s="1365"/>
      <c r="V216" s="1365"/>
      <c r="AJ216" s="1427"/>
    </row>
    <row r="217" spans="1:36" s="1363" customFormat="1" hidden="1">
      <c r="A217" s="1426"/>
      <c r="B217" s="1433"/>
      <c r="C217" s="1443"/>
      <c r="D217" s="1436"/>
      <c r="E217" s="1420"/>
      <c r="F217" s="1443"/>
      <c r="G217" s="1436"/>
      <c r="H217" s="1420"/>
      <c r="I217" s="1443"/>
      <c r="J217" s="1436"/>
      <c r="K217" s="1420"/>
      <c r="M217" s="1449"/>
      <c r="N217" s="1449"/>
      <c r="O217" s="1364"/>
      <c r="P217" s="1364"/>
      <c r="Q217" s="1364"/>
      <c r="T217" s="1365"/>
      <c r="U217" s="1365"/>
      <c r="V217" s="1365"/>
      <c r="AJ217" s="1427"/>
    </row>
    <row r="218" spans="1:36" s="1363" customFormat="1" hidden="1">
      <c r="A218" s="1426"/>
      <c r="B218" s="1433"/>
      <c r="C218" s="1443"/>
      <c r="D218" s="1436"/>
      <c r="E218" s="1420"/>
      <c r="F218" s="1443"/>
      <c r="G218" s="1436"/>
      <c r="H218" s="1420"/>
      <c r="I218" s="1443"/>
      <c r="J218" s="1436"/>
      <c r="K218" s="1420"/>
      <c r="M218" s="1449"/>
      <c r="N218" s="1449"/>
      <c r="O218" s="1364"/>
      <c r="P218" s="1364"/>
      <c r="Q218" s="1364"/>
      <c r="T218" s="1365"/>
      <c r="U218" s="1365"/>
      <c r="V218" s="1365"/>
      <c r="AJ218" s="1427"/>
    </row>
    <row r="219" spans="1:36" s="1363" customFormat="1" hidden="1">
      <c r="A219" s="1426"/>
      <c r="B219" s="1433"/>
      <c r="C219" s="1448"/>
      <c r="D219" s="1435"/>
      <c r="E219" s="1420"/>
      <c r="F219" s="1448"/>
      <c r="G219" s="1436"/>
      <c r="H219" s="1420"/>
      <c r="I219" s="1448"/>
      <c r="J219" s="1436"/>
      <c r="K219" s="1420"/>
      <c r="O219" s="1364"/>
      <c r="P219" s="1364"/>
      <c r="Q219" s="1364"/>
      <c r="T219" s="1365"/>
      <c r="U219" s="1365"/>
      <c r="V219" s="1365"/>
      <c r="AJ219" s="1427"/>
    </row>
    <row r="220" spans="1:36" s="1363" customFormat="1" hidden="1">
      <c r="B220" s="1474"/>
      <c r="C220" s="1398"/>
      <c r="E220" s="1420"/>
      <c r="F220" s="1398"/>
      <c r="H220" s="1420"/>
      <c r="I220" s="1443"/>
      <c r="J220" s="1436"/>
      <c r="K220" s="1420"/>
      <c r="M220" s="1427"/>
      <c r="O220" s="1449"/>
      <c r="R220" s="1450"/>
      <c r="S220" s="1450"/>
      <c r="T220" s="1365"/>
      <c r="U220" s="1365"/>
      <c r="V220" s="1365"/>
      <c r="AJ220" s="1427"/>
    </row>
    <row r="221" spans="1:36" s="1363" customFormat="1" hidden="1">
      <c r="B221" s="1474"/>
      <c r="C221" s="1398"/>
      <c r="E221" s="1420"/>
      <c r="F221" s="1398"/>
      <c r="H221" s="1420"/>
      <c r="I221" s="1443"/>
      <c r="J221" s="1436"/>
      <c r="K221" s="1420"/>
      <c r="M221" s="1427"/>
      <c r="O221" s="1449"/>
      <c r="R221" s="1450"/>
      <c r="S221" s="1450"/>
      <c r="T221" s="1365"/>
      <c r="U221" s="1365"/>
      <c r="V221" s="1365"/>
      <c r="AJ221" s="1427"/>
    </row>
    <row r="222" spans="1:36" s="1363" customFormat="1" hidden="1">
      <c r="B222" s="1474"/>
      <c r="C222" s="1398"/>
      <c r="E222" s="1420"/>
      <c r="F222" s="1398"/>
      <c r="H222" s="1420"/>
      <c r="I222" s="1443"/>
      <c r="J222" s="1436"/>
      <c r="K222" s="1420"/>
      <c r="M222" s="1427"/>
      <c r="O222" s="1449"/>
      <c r="R222" s="1450"/>
      <c r="S222" s="1450"/>
      <c r="T222" s="1365"/>
      <c r="U222" s="1365"/>
      <c r="V222" s="1365"/>
      <c r="AJ222" s="1427"/>
    </row>
    <row r="223" spans="1:36" s="1363" customFormat="1" hidden="1">
      <c r="A223" s="1458"/>
      <c r="B223" s="1433"/>
      <c r="C223" s="1459"/>
      <c r="D223" s="1435"/>
      <c r="E223" s="1420"/>
      <c r="F223" s="1459"/>
      <c r="G223" s="1436"/>
      <c r="H223" s="1420"/>
      <c r="I223" s="1459"/>
      <c r="J223" s="1436"/>
      <c r="K223" s="1420"/>
      <c r="O223" s="1364"/>
      <c r="P223" s="1364"/>
      <c r="Q223" s="1364"/>
      <c r="T223" s="1365"/>
      <c r="U223" s="1365"/>
      <c r="V223" s="1365"/>
      <c r="AJ223" s="1427"/>
    </row>
    <row r="224" spans="1:36" s="1363" customFormat="1" hidden="1">
      <c r="A224" s="1426"/>
      <c r="B224" s="1433"/>
      <c r="C224" s="1461"/>
      <c r="D224" s="1435"/>
      <c r="E224" s="1420"/>
      <c r="F224" s="1461"/>
      <c r="G224" s="1435"/>
      <c r="H224" s="1420"/>
      <c r="I224" s="1461"/>
      <c r="J224" s="1435"/>
      <c r="K224" s="1420"/>
      <c r="O224" s="1364"/>
      <c r="P224" s="1364"/>
      <c r="Q224" s="1364"/>
      <c r="T224" s="1365"/>
      <c r="U224" s="1365"/>
      <c r="V224" s="1365"/>
      <c r="AJ224" s="1427"/>
    </row>
    <row r="225" spans="1:36" s="1363" customFormat="1" hidden="1">
      <c r="A225" s="1426"/>
      <c r="B225" s="1433"/>
      <c r="C225" s="1461"/>
      <c r="D225" s="1435"/>
      <c r="E225" s="1420"/>
      <c r="F225" s="1461"/>
      <c r="G225" s="1435"/>
      <c r="H225" s="1420"/>
      <c r="I225" s="1461"/>
      <c r="J225" s="1435"/>
      <c r="K225" s="1420"/>
      <c r="O225" s="1364"/>
      <c r="P225" s="1364"/>
      <c r="Q225" s="1364"/>
      <c r="T225" s="1365"/>
      <c r="U225" s="1365"/>
      <c r="V225" s="1365"/>
      <c r="AJ225" s="1427"/>
    </row>
    <row r="226" spans="1:36" s="1363" customFormat="1" hidden="1">
      <c r="A226" s="1426"/>
      <c r="B226" s="1433"/>
      <c r="C226" s="1461"/>
      <c r="D226" s="1435"/>
      <c r="E226" s="1420"/>
      <c r="F226" s="1461"/>
      <c r="G226" s="1435"/>
      <c r="H226" s="1420"/>
      <c r="I226" s="1461"/>
      <c r="J226" s="1435"/>
      <c r="K226" s="1420"/>
      <c r="O226" s="1364"/>
      <c r="P226" s="1364"/>
      <c r="Q226" s="1364"/>
      <c r="T226" s="1365"/>
      <c r="U226" s="1365"/>
      <c r="V226" s="1365"/>
      <c r="AJ226" s="1427"/>
    </row>
    <row r="227" spans="1:36" s="1363" customFormat="1" hidden="1">
      <c r="A227" s="1426"/>
      <c r="B227" s="1433"/>
      <c r="C227" s="1461"/>
      <c r="D227" s="1436"/>
      <c r="E227" s="1420"/>
      <c r="F227" s="1461"/>
      <c r="G227" s="1436"/>
      <c r="H227" s="1420"/>
      <c r="I227" s="1461"/>
      <c r="J227" s="1436"/>
      <c r="K227" s="1420"/>
      <c r="O227" s="1364"/>
      <c r="P227" s="1364"/>
      <c r="Q227" s="1364"/>
      <c r="T227" s="1365"/>
      <c r="U227" s="1365"/>
      <c r="V227" s="1365"/>
      <c r="AJ227" s="1427"/>
    </row>
    <row r="228" spans="1:36" s="1363" customFormat="1" hidden="1">
      <c r="A228" s="1426"/>
      <c r="B228" s="1433"/>
      <c r="C228" s="1462"/>
      <c r="D228" s="1436"/>
      <c r="E228" s="1420"/>
      <c r="F228" s="1462"/>
      <c r="G228" s="1436"/>
      <c r="H228" s="1420"/>
      <c r="I228" s="1462"/>
      <c r="J228" s="1436"/>
      <c r="K228" s="1420"/>
      <c r="O228" s="1364"/>
      <c r="P228" s="1364"/>
      <c r="Q228" s="1364"/>
      <c r="T228" s="1365"/>
      <c r="U228" s="1365"/>
      <c r="V228" s="1365"/>
      <c r="AJ228" s="1427"/>
    </row>
    <row r="229" spans="1:36" s="1363" customFormat="1" hidden="1">
      <c r="A229" s="1426"/>
      <c r="B229" s="1433"/>
      <c r="C229" s="1462"/>
      <c r="D229" s="1436"/>
      <c r="E229" s="1420"/>
      <c r="F229" s="1462"/>
      <c r="G229" s="1436"/>
      <c r="H229" s="1420"/>
      <c r="I229" s="1462"/>
      <c r="J229" s="1436"/>
      <c r="K229" s="1420"/>
      <c r="O229" s="1364"/>
      <c r="P229" s="1364"/>
      <c r="Q229" s="1364"/>
      <c r="T229" s="1365"/>
      <c r="U229" s="1365"/>
      <c r="V229" s="1365"/>
      <c r="AJ229" s="1427"/>
    </row>
    <row r="230" spans="1:36" s="1363" customFormat="1" hidden="1">
      <c r="A230" s="1426"/>
      <c r="B230" s="1433"/>
      <c r="C230" s="1462"/>
      <c r="D230" s="1436"/>
      <c r="E230" s="1420"/>
      <c r="F230" s="1462"/>
      <c r="G230" s="1436"/>
      <c r="H230" s="1420"/>
      <c r="I230" s="1462"/>
      <c r="J230" s="1436"/>
      <c r="K230" s="1420"/>
      <c r="O230" s="1364"/>
      <c r="P230" s="1364"/>
      <c r="Q230" s="1364"/>
      <c r="T230" s="1365"/>
      <c r="U230" s="1365"/>
      <c r="V230" s="1365"/>
      <c r="AJ230" s="1427"/>
    </row>
    <row r="231" spans="1:36" s="1363" customFormat="1" hidden="1">
      <c r="A231" s="1426"/>
      <c r="B231" s="1433"/>
      <c r="C231" s="1463"/>
      <c r="D231" s="1436"/>
      <c r="E231" s="1420"/>
      <c r="F231" s="1463"/>
      <c r="G231" s="1436"/>
      <c r="H231" s="1420"/>
      <c r="I231" s="1463"/>
      <c r="J231" s="1436"/>
      <c r="K231" s="1420"/>
      <c r="O231" s="1364"/>
      <c r="P231" s="1364"/>
      <c r="Q231" s="1364"/>
      <c r="T231" s="1365"/>
      <c r="U231" s="1365"/>
      <c r="V231" s="1365"/>
      <c r="AJ231" s="1427"/>
    </row>
    <row r="232" spans="1:36" s="1363" customFormat="1" hidden="1">
      <c r="A232" s="1426"/>
      <c r="B232" s="1433"/>
      <c r="C232" s="1464"/>
      <c r="D232" s="1435"/>
      <c r="E232" s="1420"/>
      <c r="F232" s="1464"/>
      <c r="G232" s="1436"/>
      <c r="H232" s="1420"/>
      <c r="I232" s="1464"/>
      <c r="J232" s="1436"/>
      <c r="K232" s="1420"/>
      <c r="O232" s="1364"/>
      <c r="P232" s="1364"/>
      <c r="Q232" s="1364"/>
      <c r="T232" s="1365"/>
      <c r="U232" s="1365"/>
      <c r="V232" s="1365"/>
      <c r="AJ232" s="1427"/>
    </row>
    <row r="233" spans="1:36" s="1363" customFormat="1" hidden="1">
      <c r="A233" s="1426"/>
      <c r="B233" s="1433"/>
      <c r="C233" s="1465"/>
      <c r="D233" s="1435"/>
      <c r="E233" s="1420"/>
      <c r="F233" s="1465"/>
      <c r="G233" s="1436"/>
      <c r="H233" s="1420"/>
      <c r="I233" s="1465"/>
      <c r="J233" s="1436"/>
      <c r="K233" s="1420"/>
      <c r="O233" s="1364"/>
      <c r="P233" s="1364"/>
      <c r="Q233" s="1364"/>
      <c r="T233" s="1365"/>
      <c r="U233" s="1365"/>
      <c r="V233" s="1365"/>
      <c r="AJ233" s="1427"/>
    </row>
    <row r="234" spans="1:36" s="1363" customFormat="1" hidden="1">
      <c r="B234" s="1474"/>
      <c r="C234" s="1398"/>
      <c r="E234" s="1420"/>
      <c r="F234" s="1398"/>
      <c r="H234" s="1420"/>
      <c r="I234" s="1443"/>
      <c r="J234" s="1436"/>
      <c r="K234" s="1420"/>
      <c r="M234" s="1427"/>
      <c r="O234" s="1449"/>
      <c r="R234" s="1450"/>
      <c r="S234" s="1450"/>
      <c r="T234" s="1365"/>
      <c r="U234" s="1365"/>
      <c r="V234" s="1365"/>
      <c r="AJ234" s="1427"/>
    </row>
    <row r="235" spans="1:36" s="1363" customFormat="1" hidden="1">
      <c r="B235" s="1474"/>
      <c r="C235" s="1398"/>
      <c r="E235" s="1420"/>
      <c r="F235" s="1398"/>
      <c r="H235" s="1420"/>
      <c r="I235" s="1443"/>
      <c r="J235" s="1436"/>
      <c r="K235" s="1420"/>
      <c r="M235" s="1427"/>
      <c r="O235" s="1449"/>
      <c r="R235" s="1450"/>
      <c r="S235" s="1450"/>
      <c r="T235" s="1365"/>
      <c r="U235" s="1365"/>
      <c r="V235" s="1365"/>
      <c r="AJ235" s="1427"/>
    </row>
    <row r="236" spans="1:36" s="1363" customFormat="1" hidden="1">
      <c r="B236" s="1474"/>
      <c r="C236" s="1398"/>
      <c r="E236" s="1420"/>
      <c r="F236" s="1398"/>
      <c r="H236" s="1420"/>
      <c r="I236" s="1443"/>
      <c r="J236" s="1436"/>
      <c r="K236" s="1420"/>
      <c r="M236" s="1427"/>
      <c r="O236" s="1449"/>
      <c r="R236" s="1450"/>
      <c r="S236" s="1450"/>
      <c r="T236" s="1365"/>
      <c r="U236" s="1365"/>
      <c r="V236" s="1365"/>
      <c r="AJ236" s="1427"/>
    </row>
    <row r="237" spans="1:36" s="1363" customFormat="1" hidden="1">
      <c r="A237" s="1426"/>
      <c r="B237" s="1433"/>
      <c r="C237" s="1448"/>
      <c r="D237" s="1420"/>
      <c r="E237" s="1420"/>
      <c r="F237" s="1448"/>
      <c r="G237" s="1436"/>
      <c r="H237" s="1420"/>
      <c r="I237" s="1448"/>
      <c r="J237" s="1436"/>
      <c r="K237" s="1420"/>
      <c r="M237" s="1427"/>
      <c r="N237" s="1427"/>
      <c r="O237" s="1364"/>
      <c r="P237" s="1364"/>
      <c r="Q237" s="1364"/>
      <c r="T237" s="1365"/>
      <c r="U237" s="1365"/>
      <c r="V237" s="1365"/>
      <c r="AJ237" s="1427"/>
    </row>
    <row r="238" spans="1:36" s="1363" customFormat="1" hidden="1">
      <c r="A238" s="1426"/>
      <c r="B238" s="1433"/>
      <c r="C238" s="1436"/>
      <c r="D238" s="1436"/>
      <c r="E238" s="1435"/>
      <c r="F238" s="1436"/>
      <c r="G238" s="1436"/>
      <c r="H238" s="1435"/>
      <c r="I238" s="1436"/>
      <c r="J238" s="1436"/>
      <c r="K238" s="1435"/>
      <c r="M238" s="1422"/>
      <c r="N238" s="1422"/>
      <c r="O238" s="1423"/>
      <c r="P238" s="1364"/>
      <c r="Q238" s="1364"/>
      <c r="T238" s="1365"/>
      <c r="U238" s="1365"/>
      <c r="V238" s="1365"/>
      <c r="AJ238" s="1427"/>
    </row>
    <row r="239" spans="1:36" s="1363" customFormat="1" hidden="1">
      <c r="A239" s="1426"/>
      <c r="B239" s="1433"/>
      <c r="C239" s="1467"/>
      <c r="D239" s="1468"/>
      <c r="E239" s="1435"/>
      <c r="F239" s="1467"/>
      <c r="G239" s="1426"/>
      <c r="H239" s="1435"/>
      <c r="I239" s="1467"/>
      <c r="J239" s="1426"/>
      <c r="K239" s="1435"/>
      <c r="M239" s="1424"/>
      <c r="N239" s="1424"/>
      <c r="O239" s="1412"/>
      <c r="P239" s="1364"/>
      <c r="Q239" s="1364"/>
      <c r="T239" s="1365"/>
      <c r="U239" s="1365"/>
      <c r="V239" s="1365"/>
      <c r="AJ239" s="1427"/>
    </row>
    <row r="240" spans="1:36" s="1363" customFormat="1" hidden="1">
      <c r="A240" s="1426"/>
      <c r="B240" s="1428"/>
      <c r="C240" s="1464"/>
      <c r="D240" s="1420"/>
      <c r="E240" s="1420"/>
      <c r="F240" s="1464"/>
      <c r="G240" s="1426"/>
      <c r="H240" s="1420"/>
      <c r="I240" s="1464"/>
      <c r="J240" s="1426"/>
      <c r="K240" s="1420"/>
      <c r="O240" s="1364"/>
      <c r="P240" s="1364"/>
      <c r="Q240" s="1364"/>
      <c r="T240" s="1365"/>
      <c r="U240" s="1365"/>
      <c r="V240" s="1365"/>
      <c r="AJ240" s="1427"/>
    </row>
    <row r="241" spans="1:36" s="1363" customFormat="1" hidden="1">
      <c r="A241" s="1425"/>
      <c r="B241" s="1426"/>
      <c r="C241" s="1420"/>
      <c r="D241" s="1420"/>
      <c r="E241" s="1426"/>
      <c r="F241" s="1420"/>
      <c r="G241" s="1426"/>
      <c r="H241" s="1426"/>
      <c r="I241" s="1420"/>
      <c r="J241" s="1426"/>
      <c r="K241" s="1426"/>
      <c r="O241" s="1364"/>
      <c r="P241" s="1364"/>
      <c r="Q241" s="1364"/>
      <c r="T241" s="1365"/>
      <c r="U241" s="1365"/>
      <c r="V241" s="1365"/>
      <c r="AJ241" s="1427"/>
    </row>
    <row r="242" spans="1:36" s="1363" customFormat="1" hidden="1">
      <c r="A242" s="1426"/>
      <c r="B242" s="1428"/>
      <c r="C242" s="1420"/>
      <c r="D242" s="1420"/>
      <c r="E242" s="1426"/>
      <c r="F242" s="1420"/>
      <c r="G242" s="1426"/>
      <c r="H242" s="1426"/>
      <c r="I242" s="1420"/>
      <c r="J242" s="1426"/>
      <c r="K242" s="1426"/>
      <c r="O242" s="1364"/>
      <c r="P242" s="1364"/>
      <c r="Q242" s="1364"/>
      <c r="T242" s="1365"/>
      <c r="U242" s="1365"/>
      <c r="V242" s="1365"/>
      <c r="AJ242" s="1427"/>
    </row>
    <row r="243" spans="1:36" s="1363" customFormat="1" hidden="1">
      <c r="A243" s="1426"/>
      <c r="B243" s="1426"/>
      <c r="C243" s="1420"/>
      <c r="D243" s="1420"/>
      <c r="E243" s="1426"/>
      <c r="F243" s="1420"/>
      <c r="G243" s="1426"/>
      <c r="H243" s="1426"/>
      <c r="I243" s="1420"/>
      <c r="J243" s="1426"/>
      <c r="K243" s="1426"/>
      <c r="O243" s="1364"/>
      <c r="P243" s="1364"/>
      <c r="Q243" s="1364"/>
      <c r="T243" s="1365"/>
      <c r="U243" s="1365"/>
      <c r="V243" s="1365"/>
      <c r="AJ243" s="1427"/>
    </row>
    <row r="244" spans="1:36" s="1363" customFormat="1" hidden="1">
      <c r="A244" s="1426"/>
      <c r="B244" s="1433"/>
      <c r="C244" s="1420"/>
      <c r="D244" s="1420"/>
      <c r="E244" s="1426"/>
      <c r="F244" s="1420"/>
      <c r="G244" s="1426"/>
      <c r="H244" s="1426"/>
      <c r="I244" s="1420"/>
      <c r="J244" s="1426"/>
      <c r="K244" s="1426"/>
      <c r="O244" s="1364"/>
      <c r="P244" s="1364"/>
      <c r="Q244" s="1364"/>
      <c r="T244" s="1365"/>
      <c r="U244" s="1365"/>
      <c r="V244" s="1365"/>
      <c r="AJ244" s="1427"/>
    </row>
    <row r="245" spans="1:36" s="1363" customFormat="1" hidden="1">
      <c r="A245" s="1426"/>
      <c r="B245" s="1433"/>
      <c r="C245" s="1429"/>
      <c r="D245" s="1435"/>
      <c r="E245" s="1420"/>
      <c r="F245" s="1429"/>
      <c r="G245" s="1436"/>
      <c r="H245" s="1420"/>
      <c r="I245" s="1429"/>
      <c r="J245" s="1436"/>
      <c r="K245" s="1420"/>
      <c r="O245" s="1364"/>
      <c r="P245" s="1364"/>
      <c r="Q245" s="1364"/>
      <c r="T245" s="1365"/>
      <c r="U245" s="1365"/>
      <c r="V245" s="1365"/>
      <c r="AJ245" s="1427"/>
    </row>
    <row r="246" spans="1:36" s="1363" customFormat="1" hidden="1">
      <c r="A246" s="1426"/>
      <c r="B246" s="1433"/>
      <c r="C246" s="1429"/>
      <c r="D246" s="1437"/>
      <c r="E246" s="1420"/>
      <c r="F246" s="1429"/>
      <c r="G246" s="1438"/>
      <c r="H246" s="1420"/>
      <c r="I246" s="1429"/>
      <c r="J246" s="1438"/>
      <c r="K246" s="1420"/>
      <c r="O246" s="1364"/>
      <c r="P246" s="1364"/>
      <c r="Q246" s="1364"/>
      <c r="T246" s="1365"/>
      <c r="U246" s="1365"/>
      <c r="V246" s="1365"/>
      <c r="AJ246" s="1427"/>
    </row>
    <row r="247" spans="1:36" s="1363" customFormat="1" hidden="1">
      <c r="A247" s="1426"/>
      <c r="B247" s="1433"/>
      <c r="C247" s="1429"/>
      <c r="D247" s="1437"/>
      <c r="E247" s="1420"/>
      <c r="F247" s="1429"/>
      <c r="G247" s="1438"/>
      <c r="H247" s="1420"/>
      <c r="I247" s="1429"/>
      <c r="J247" s="1438"/>
      <c r="K247" s="1420"/>
      <c r="O247" s="1364"/>
      <c r="P247" s="1364"/>
      <c r="Q247" s="1364"/>
      <c r="T247" s="1365"/>
      <c r="U247" s="1365"/>
      <c r="V247" s="1365"/>
      <c r="AJ247" s="1427"/>
    </row>
    <row r="248" spans="1:36" s="1363" customFormat="1" hidden="1">
      <c r="A248" s="1426"/>
      <c r="B248" s="1433"/>
      <c r="C248" s="1429"/>
      <c r="D248" s="1435"/>
      <c r="E248" s="1420"/>
      <c r="F248" s="1429"/>
      <c r="G248" s="1436"/>
      <c r="H248" s="1420"/>
      <c r="I248" s="1429"/>
      <c r="J248" s="1436"/>
      <c r="K248" s="1420"/>
      <c r="O248" s="1364"/>
      <c r="P248" s="1364"/>
      <c r="Q248" s="1364"/>
      <c r="T248" s="1365"/>
      <c r="U248" s="1365"/>
      <c r="V248" s="1365"/>
      <c r="AJ248" s="1427"/>
    </row>
    <row r="249" spans="1:36" s="1363" customFormat="1" hidden="1">
      <c r="A249" s="1426"/>
      <c r="B249" s="1433"/>
      <c r="C249" s="1464"/>
      <c r="D249" s="1436"/>
      <c r="E249" s="1420"/>
      <c r="F249" s="1464"/>
      <c r="G249" s="1436"/>
      <c r="H249" s="1420"/>
      <c r="I249" s="1464"/>
      <c r="J249" s="1436"/>
      <c r="K249" s="1420"/>
      <c r="O249" s="1364"/>
      <c r="P249" s="1364"/>
      <c r="Q249" s="1364"/>
      <c r="T249" s="1365"/>
      <c r="U249" s="1365"/>
      <c r="V249" s="1365"/>
      <c r="AJ249" s="1427"/>
    </row>
    <row r="250" spans="1:36" s="1363" customFormat="1" hidden="1">
      <c r="A250" s="1426"/>
      <c r="B250" s="1433"/>
      <c r="C250" s="1443"/>
      <c r="D250" s="1436"/>
      <c r="E250" s="1420"/>
      <c r="F250" s="1443"/>
      <c r="G250" s="1436"/>
      <c r="H250" s="1420"/>
      <c r="I250" s="1443"/>
      <c r="J250" s="1436"/>
      <c r="K250" s="1420"/>
      <c r="O250" s="1364"/>
      <c r="P250" s="1364"/>
      <c r="Q250" s="1364"/>
      <c r="T250" s="1365"/>
      <c r="U250" s="1365"/>
      <c r="V250" s="1365"/>
      <c r="AJ250" s="1427"/>
    </row>
    <row r="251" spans="1:36" s="1363" customFormat="1" hidden="1">
      <c r="A251" s="1426"/>
      <c r="B251" s="1433"/>
      <c r="C251" s="1443"/>
      <c r="D251" s="1436"/>
      <c r="E251" s="1420"/>
      <c r="F251" s="1443"/>
      <c r="G251" s="1436"/>
      <c r="H251" s="1420"/>
      <c r="I251" s="1443"/>
      <c r="J251" s="1436"/>
      <c r="K251" s="1420"/>
      <c r="O251" s="1364"/>
      <c r="P251" s="1364"/>
      <c r="Q251" s="1364"/>
      <c r="T251" s="1365"/>
      <c r="U251" s="1365"/>
      <c r="V251" s="1365"/>
      <c r="AJ251" s="1427"/>
    </row>
    <row r="252" spans="1:36" s="1363" customFormat="1" hidden="1">
      <c r="A252" s="1426"/>
      <c r="B252" s="1433"/>
      <c r="C252" s="1443"/>
      <c r="D252" s="1436"/>
      <c r="E252" s="1420"/>
      <c r="F252" s="1443"/>
      <c r="G252" s="1436"/>
      <c r="H252" s="1420"/>
      <c r="I252" s="1443"/>
      <c r="J252" s="1436"/>
      <c r="K252" s="1420"/>
      <c r="O252" s="1364"/>
      <c r="P252" s="1364"/>
      <c r="Q252" s="1364"/>
      <c r="T252" s="1365"/>
      <c r="U252" s="1365"/>
      <c r="V252" s="1365"/>
      <c r="AJ252" s="1427"/>
    </row>
    <row r="253" spans="1:36" s="1363" customFormat="1" hidden="1">
      <c r="A253" s="1426"/>
      <c r="B253" s="1433"/>
      <c r="C253" s="1448"/>
      <c r="D253" s="1435"/>
      <c r="E253" s="1420"/>
      <c r="F253" s="1448"/>
      <c r="G253" s="1436"/>
      <c r="H253" s="1420"/>
      <c r="I253" s="1448"/>
      <c r="J253" s="1436"/>
      <c r="K253" s="1420"/>
      <c r="O253" s="1364"/>
      <c r="P253" s="1364"/>
      <c r="Q253" s="1364"/>
      <c r="T253" s="1365"/>
      <c r="U253" s="1365"/>
      <c r="V253" s="1365"/>
      <c r="AJ253" s="1427"/>
    </row>
    <row r="254" spans="1:36" s="1363" customFormat="1" hidden="1">
      <c r="B254" s="1474"/>
      <c r="C254" s="1398"/>
      <c r="E254" s="1420"/>
      <c r="F254" s="1398"/>
      <c r="H254" s="1420"/>
      <c r="I254" s="1443"/>
      <c r="J254" s="1436"/>
      <c r="K254" s="1420"/>
      <c r="M254" s="1427"/>
      <c r="O254" s="1449"/>
      <c r="R254" s="1450"/>
      <c r="S254" s="1450"/>
      <c r="T254" s="1365"/>
      <c r="U254" s="1365"/>
      <c r="V254" s="1365"/>
      <c r="AJ254" s="1427"/>
    </row>
    <row r="255" spans="1:36" s="1363" customFormat="1" hidden="1">
      <c r="B255" s="1474"/>
      <c r="C255" s="1398"/>
      <c r="E255" s="1420"/>
      <c r="F255" s="1398"/>
      <c r="H255" s="1420"/>
      <c r="I255" s="1443"/>
      <c r="J255" s="1436"/>
      <c r="K255" s="1420"/>
      <c r="M255" s="1427"/>
      <c r="O255" s="1449"/>
      <c r="R255" s="1450"/>
      <c r="S255" s="1450"/>
      <c r="T255" s="1365"/>
      <c r="U255" s="1365"/>
      <c r="V255" s="1365"/>
      <c r="AJ255" s="1427"/>
    </row>
    <row r="256" spans="1:36" s="1363" customFormat="1" hidden="1">
      <c r="B256" s="1474"/>
      <c r="C256" s="1398"/>
      <c r="E256" s="1420"/>
      <c r="F256" s="1398"/>
      <c r="H256" s="1420"/>
      <c r="I256" s="1443"/>
      <c r="J256" s="1436"/>
      <c r="K256" s="1420"/>
      <c r="M256" s="1427"/>
      <c r="O256" s="1449"/>
      <c r="R256" s="1450"/>
      <c r="S256" s="1450"/>
      <c r="T256" s="1365"/>
      <c r="U256" s="1365"/>
      <c r="V256" s="1365"/>
      <c r="AJ256" s="1427"/>
    </row>
    <row r="257" spans="1:36" s="1363" customFormat="1" hidden="1">
      <c r="A257" s="1458"/>
      <c r="B257" s="1433"/>
      <c r="C257" s="1459"/>
      <c r="D257" s="1435"/>
      <c r="E257" s="1420"/>
      <c r="F257" s="1459"/>
      <c r="G257" s="1436"/>
      <c r="H257" s="1420"/>
      <c r="I257" s="1459"/>
      <c r="J257" s="1436"/>
      <c r="K257" s="1420"/>
      <c r="O257" s="1364"/>
      <c r="P257" s="1364"/>
      <c r="Q257" s="1364"/>
      <c r="T257" s="1365"/>
      <c r="U257" s="1365"/>
      <c r="V257" s="1365"/>
      <c r="AJ257" s="1427"/>
    </row>
    <row r="258" spans="1:36" s="1363" customFormat="1" hidden="1">
      <c r="A258" s="1426"/>
      <c r="B258" s="1433"/>
      <c r="C258" s="1461"/>
      <c r="D258" s="1435"/>
      <c r="E258" s="1420"/>
      <c r="F258" s="1461"/>
      <c r="G258" s="1435"/>
      <c r="H258" s="1420"/>
      <c r="I258" s="1461"/>
      <c r="J258" s="1435"/>
      <c r="K258" s="1420"/>
      <c r="O258" s="1364"/>
      <c r="P258" s="1364"/>
      <c r="Q258" s="1364"/>
      <c r="T258" s="1365"/>
      <c r="U258" s="1365"/>
      <c r="V258" s="1365"/>
      <c r="AJ258" s="1427"/>
    </row>
    <row r="259" spans="1:36" s="1363" customFormat="1" hidden="1">
      <c r="A259" s="1426"/>
      <c r="B259" s="1433"/>
      <c r="C259" s="1461"/>
      <c r="D259" s="1435"/>
      <c r="E259" s="1420"/>
      <c r="F259" s="1461"/>
      <c r="G259" s="1435"/>
      <c r="H259" s="1420"/>
      <c r="I259" s="1461"/>
      <c r="J259" s="1435"/>
      <c r="K259" s="1420"/>
      <c r="O259" s="1364"/>
      <c r="P259" s="1364"/>
      <c r="Q259" s="1364"/>
      <c r="T259" s="1365"/>
      <c r="U259" s="1365"/>
      <c r="V259" s="1365"/>
      <c r="AJ259" s="1427"/>
    </row>
    <row r="260" spans="1:36" s="1363" customFormat="1" hidden="1">
      <c r="A260" s="1426"/>
      <c r="B260" s="1433"/>
      <c r="C260" s="1461"/>
      <c r="D260" s="1435"/>
      <c r="E260" s="1420"/>
      <c r="F260" s="1461"/>
      <c r="G260" s="1435"/>
      <c r="H260" s="1420"/>
      <c r="I260" s="1461"/>
      <c r="J260" s="1435"/>
      <c r="K260" s="1420"/>
      <c r="O260" s="1364"/>
      <c r="P260" s="1364"/>
      <c r="Q260" s="1364"/>
      <c r="T260" s="1365"/>
      <c r="U260" s="1365"/>
      <c r="V260" s="1365"/>
      <c r="AJ260" s="1427"/>
    </row>
    <row r="261" spans="1:36" s="1363" customFormat="1" hidden="1">
      <c r="A261" s="1426"/>
      <c r="B261" s="1433"/>
      <c r="C261" s="1461"/>
      <c r="D261" s="1436"/>
      <c r="E261" s="1420"/>
      <c r="F261" s="1461"/>
      <c r="G261" s="1436"/>
      <c r="H261" s="1420"/>
      <c r="I261" s="1461"/>
      <c r="J261" s="1436"/>
      <c r="K261" s="1420"/>
      <c r="O261" s="1364"/>
      <c r="P261" s="1364"/>
      <c r="Q261" s="1364"/>
      <c r="T261" s="1365"/>
      <c r="U261" s="1365"/>
      <c r="V261" s="1365"/>
      <c r="AJ261" s="1427"/>
    </row>
    <row r="262" spans="1:36" s="1363" customFormat="1" hidden="1">
      <c r="A262" s="1426"/>
      <c r="B262" s="1433"/>
      <c r="C262" s="1462"/>
      <c r="D262" s="1436"/>
      <c r="E262" s="1420"/>
      <c r="F262" s="1462"/>
      <c r="G262" s="1436"/>
      <c r="H262" s="1420"/>
      <c r="I262" s="1462"/>
      <c r="J262" s="1436"/>
      <c r="K262" s="1420"/>
      <c r="O262" s="1364"/>
      <c r="P262" s="1364"/>
      <c r="Q262" s="1364"/>
      <c r="T262" s="1365"/>
      <c r="U262" s="1365"/>
      <c r="V262" s="1365"/>
      <c r="AJ262" s="1427"/>
    </row>
    <row r="263" spans="1:36" s="1363" customFormat="1" hidden="1">
      <c r="A263" s="1426"/>
      <c r="B263" s="1433"/>
      <c r="C263" s="1462"/>
      <c r="D263" s="1436"/>
      <c r="E263" s="1420"/>
      <c r="F263" s="1462"/>
      <c r="G263" s="1436"/>
      <c r="H263" s="1420"/>
      <c r="I263" s="1462"/>
      <c r="J263" s="1436"/>
      <c r="K263" s="1420"/>
      <c r="O263" s="1364"/>
      <c r="P263" s="1364"/>
      <c r="Q263" s="1364"/>
      <c r="T263" s="1365"/>
      <c r="U263" s="1365"/>
      <c r="V263" s="1365"/>
      <c r="AJ263" s="1427"/>
    </row>
    <row r="264" spans="1:36" s="1363" customFormat="1" hidden="1">
      <c r="A264" s="1426"/>
      <c r="B264" s="1433"/>
      <c r="C264" s="1462"/>
      <c r="D264" s="1436"/>
      <c r="E264" s="1420"/>
      <c r="F264" s="1462"/>
      <c r="G264" s="1436"/>
      <c r="H264" s="1420"/>
      <c r="I264" s="1462"/>
      <c r="J264" s="1436"/>
      <c r="K264" s="1420"/>
      <c r="O264" s="1364"/>
      <c r="P264" s="1364"/>
      <c r="Q264" s="1364"/>
      <c r="T264" s="1365"/>
      <c r="U264" s="1365"/>
      <c r="V264" s="1365"/>
      <c r="AJ264" s="1427"/>
    </row>
    <row r="265" spans="1:36" s="1363" customFormat="1" hidden="1">
      <c r="A265" s="1426"/>
      <c r="B265" s="1433"/>
      <c r="C265" s="1463"/>
      <c r="D265" s="1436"/>
      <c r="E265" s="1420"/>
      <c r="F265" s="1463"/>
      <c r="G265" s="1436"/>
      <c r="H265" s="1420"/>
      <c r="I265" s="1463"/>
      <c r="J265" s="1436"/>
      <c r="K265" s="1420"/>
      <c r="O265" s="1364"/>
      <c r="P265" s="1364"/>
      <c r="Q265" s="1364"/>
      <c r="T265" s="1365"/>
      <c r="U265" s="1365"/>
      <c r="V265" s="1365"/>
      <c r="AJ265" s="1427"/>
    </row>
    <row r="266" spans="1:36" s="1363" customFormat="1" hidden="1">
      <c r="A266" s="1426"/>
      <c r="B266" s="1433"/>
      <c r="C266" s="1464"/>
      <c r="D266" s="1435"/>
      <c r="E266" s="1420"/>
      <c r="F266" s="1464"/>
      <c r="G266" s="1436"/>
      <c r="H266" s="1420"/>
      <c r="I266" s="1464"/>
      <c r="J266" s="1436"/>
      <c r="K266" s="1420"/>
      <c r="O266" s="1364"/>
      <c r="P266" s="1364"/>
      <c r="Q266" s="1364"/>
      <c r="T266" s="1365"/>
      <c r="U266" s="1365"/>
      <c r="V266" s="1365"/>
      <c r="AJ266" s="1427"/>
    </row>
    <row r="267" spans="1:36" s="1363" customFormat="1" hidden="1">
      <c r="A267" s="1426"/>
      <c r="B267" s="1433"/>
      <c r="C267" s="1465"/>
      <c r="D267" s="1435"/>
      <c r="E267" s="1420"/>
      <c r="F267" s="1465"/>
      <c r="G267" s="1436"/>
      <c r="H267" s="1420"/>
      <c r="I267" s="1465"/>
      <c r="J267" s="1436"/>
      <c r="K267" s="1420"/>
      <c r="O267" s="1364"/>
      <c r="P267" s="1364"/>
      <c r="Q267" s="1364"/>
      <c r="T267" s="1365"/>
      <c r="U267" s="1365"/>
      <c r="V267" s="1365"/>
      <c r="AJ267" s="1427"/>
    </row>
    <row r="268" spans="1:36" s="1363" customFormat="1" hidden="1">
      <c r="B268" s="1474"/>
      <c r="C268" s="1398"/>
      <c r="E268" s="1420"/>
      <c r="F268" s="1398"/>
      <c r="H268" s="1420"/>
      <c r="I268" s="1443"/>
      <c r="J268" s="1436"/>
      <c r="K268" s="1420"/>
      <c r="M268" s="1427"/>
      <c r="O268" s="1449"/>
      <c r="R268" s="1450"/>
      <c r="S268" s="1450"/>
      <c r="T268" s="1365"/>
      <c r="U268" s="1365"/>
      <c r="V268" s="1365"/>
      <c r="AJ268" s="1427"/>
    </row>
    <row r="269" spans="1:36" s="1363" customFormat="1" hidden="1">
      <c r="B269" s="1474"/>
      <c r="C269" s="1398"/>
      <c r="E269" s="1420"/>
      <c r="F269" s="1398"/>
      <c r="H269" s="1420"/>
      <c r="I269" s="1443"/>
      <c r="J269" s="1436"/>
      <c r="K269" s="1420"/>
      <c r="M269" s="1427"/>
      <c r="O269" s="1449"/>
      <c r="R269" s="1450"/>
      <c r="S269" s="1450"/>
      <c r="T269" s="1365"/>
      <c r="U269" s="1365"/>
      <c r="V269" s="1365"/>
      <c r="AJ269" s="1427"/>
    </row>
    <row r="270" spans="1:36" s="1363" customFormat="1" hidden="1">
      <c r="B270" s="1474"/>
      <c r="C270" s="1398"/>
      <c r="E270" s="1420"/>
      <c r="F270" s="1398"/>
      <c r="H270" s="1420"/>
      <c r="I270" s="1443"/>
      <c r="J270" s="1436"/>
      <c r="K270" s="1420"/>
      <c r="M270" s="1427"/>
      <c r="O270" s="1449"/>
      <c r="R270" s="1450"/>
      <c r="S270" s="1450"/>
      <c r="T270" s="1365"/>
      <c r="U270" s="1365"/>
      <c r="V270" s="1365"/>
      <c r="AJ270" s="1427"/>
    </row>
    <row r="271" spans="1:36" s="1363" customFormat="1" hidden="1">
      <c r="A271" s="1426"/>
      <c r="B271" s="1433"/>
      <c r="C271" s="1448"/>
      <c r="D271" s="1420"/>
      <c r="E271" s="1420"/>
      <c r="F271" s="1448"/>
      <c r="G271" s="1436"/>
      <c r="H271" s="1420"/>
      <c r="I271" s="1448"/>
      <c r="J271" s="1436"/>
      <c r="K271" s="1420"/>
      <c r="O271" s="1364"/>
      <c r="P271" s="1364"/>
      <c r="Q271" s="1364"/>
      <c r="T271" s="1365"/>
      <c r="U271" s="1365"/>
      <c r="V271" s="1365"/>
      <c r="AJ271" s="1427"/>
    </row>
    <row r="272" spans="1:36" s="1363" customFormat="1" hidden="1">
      <c r="A272" s="1426"/>
      <c r="B272" s="1433"/>
      <c r="C272" s="1436"/>
      <c r="D272" s="1436"/>
      <c r="E272" s="1435"/>
      <c r="F272" s="1436"/>
      <c r="G272" s="1436"/>
      <c r="H272" s="1435"/>
      <c r="I272" s="1436"/>
      <c r="J272" s="1436"/>
      <c r="K272" s="1435"/>
      <c r="M272" s="1422"/>
      <c r="N272" s="1422"/>
      <c r="O272" s="1423"/>
      <c r="P272" s="1364"/>
      <c r="Q272" s="1364"/>
      <c r="T272" s="1365"/>
      <c r="U272" s="1365"/>
      <c r="V272" s="1365"/>
      <c r="AJ272" s="1427"/>
    </row>
    <row r="273" spans="1:36" s="1363" customFormat="1" hidden="1">
      <c r="A273" s="1426"/>
      <c r="B273" s="1433"/>
      <c r="C273" s="1467"/>
      <c r="D273" s="1468"/>
      <c r="E273" s="1435"/>
      <c r="F273" s="1467"/>
      <c r="G273" s="1426"/>
      <c r="H273" s="1435"/>
      <c r="I273" s="1467"/>
      <c r="J273" s="1426"/>
      <c r="K273" s="1435"/>
      <c r="M273" s="1424"/>
      <c r="N273" s="1424"/>
      <c r="O273" s="1412"/>
      <c r="P273" s="1364"/>
      <c r="Q273" s="1364"/>
      <c r="T273" s="1365"/>
      <c r="U273" s="1365"/>
      <c r="V273" s="1365"/>
      <c r="AJ273" s="1427"/>
    </row>
    <row r="274" spans="1:36" s="1363" customFormat="1" hidden="1">
      <c r="A274" s="1426"/>
      <c r="B274" s="1433"/>
      <c r="C274" s="1467"/>
      <c r="D274" s="1468"/>
      <c r="E274" s="1435"/>
      <c r="F274" s="1467"/>
      <c r="G274" s="1426"/>
      <c r="H274" s="1435"/>
      <c r="I274" s="1467"/>
      <c r="J274" s="1426"/>
      <c r="K274" s="1435"/>
      <c r="O274" s="1364"/>
      <c r="P274" s="1364"/>
      <c r="Q274" s="1364"/>
      <c r="T274" s="1365"/>
      <c r="U274" s="1365"/>
      <c r="V274" s="1365"/>
      <c r="AJ274" s="1427"/>
    </row>
    <row r="275" spans="1:36" s="1363" customFormat="1" hidden="1">
      <c r="A275" s="1425"/>
      <c r="B275" s="1426"/>
      <c r="C275" s="1420"/>
      <c r="D275" s="1420"/>
      <c r="E275" s="1426"/>
      <c r="F275" s="1420"/>
      <c r="G275" s="1426"/>
      <c r="H275" s="1426"/>
      <c r="I275" s="1420"/>
      <c r="J275" s="1426"/>
      <c r="K275" s="1426"/>
      <c r="O275" s="1364"/>
      <c r="P275" s="1364"/>
      <c r="Q275" s="1364"/>
      <c r="T275" s="1365"/>
      <c r="U275" s="1365"/>
      <c r="V275" s="1365"/>
      <c r="AJ275" s="1427"/>
    </row>
    <row r="276" spans="1:36" s="1363" customFormat="1" hidden="1">
      <c r="A276" s="1426"/>
      <c r="B276" s="1426"/>
      <c r="C276" s="1420"/>
      <c r="D276" s="1420"/>
      <c r="E276" s="1426"/>
      <c r="F276" s="1420"/>
      <c r="G276" s="1426"/>
      <c r="H276" s="1426"/>
      <c r="I276" s="1420"/>
      <c r="J276" s="1426"/>
      <c r="K276" s="1426"/>
      <c r="O276" s="1364"/>
      <c r="P276" s="1364"/>
      <c r="Q276" s="1364"/>
      <c r="T276" s="1365"/>
      <c r="U276" s="1365"/>
      <c r="V276" s="1365"/>
      <c r="AJ276" s="1427"/>
    </row>
    <row r="277" spans="1:36" s="1363" customFormat="1" hidden="1">
      <c r="A277" s="1426"/>
      <c r="B277" s="1426"/>
      <c r="C277" s="1420"/>
      <c r="D277" s="1420"/>
      <c r="E277" s="1426"/>
      <c r="F277" s="1420"/>
      <c r="G277" s="1426"/>
      <c r="H277" s="1426"/>
      <c r="I277" s="1420"/>
      <c r="J277" s="1426"/>
      <c r="K277" s="1426"/>
      <c r="O277" s="1364"/>
      <c r="P277" s="1364"/>
      <c r="Q277" s="1364"/>
      <c r="T277" s="1365"/>
      <c r="U277" s="1365"/>
      <c r="V277" s="1365"/>
      <c r="AJ277" s="1427"/>
    </row>
    <row r="278" spans="1:36" s="1363" customFormat="1" hidden="1">
      <c r="A278" s="1426"/>
      <c r="B278" s="1433"/>
      <c r="C278" s="1420"/>
      <c r="D278" s="1420"/>
      <c r="E278" s="1426"/>
      <c r="F278" s="1420"/>
      <c r="G278" s="1426"/>
      <c r="H278" s="1426"/>
      <c r="I278" s="1420"/>
      <c r="J278" s="1426"/>
      <c r="K278" s="1426"/>
      <c r="O278" s="1364"/>
      <c r="P278" s="1364"/>
      <c r="Q278" s="1364"/>
      <c r="T278" s="1365"/>
      <c r="U278" s="1365"/>
      <c r="V278" s="1365"/>
      <c r="AJ278" s="1427"/>
    </row>
    <row r="279" spans="1:36" s="1363" customFormat="1" hidden="1">
      <c r="A279" s="1426"/>
      <c r="B279" s="1433"/>
      <c r="C279" s="1429"/>
      <c r="D279" s="1435"/>
      <c r="E279" s="1420"/>
      <c r="F279" s="1429"/>
      <c r="G279" s="1436"/>
      <c r="H279" s="1420"/>
      <c r="I279" s="1429"/>
      <c r="J279" s="1436"/>
      <c r="K279" s="1420"/>
      <c r="O279" s="1364"/>
      <c r="P279" s="1364"/>
      <c r="Q279" s="1364"/>
      <c r="T279" s="1365"/>
      <c r="U279" s="1365"/>
      <c r="V279" s="1365"/>
      <c r="AJ279" s="1427"/>
    </row>
    <row r="280" spans="1:36" s="1363" customFormat="1" hidden="1">
      <c r="A280" s="1426"/>
      <c r="B280" s="1433"/>
      <c r="C280" s="1429"/>
      <c r="D280" s="1437"/>
      <c r="E280" s="1420"/>
      <c r="F280" s="1429"/>
      <c r="G280" s="1438"/>
      <c r="H280" s="1420"/>
      <c r="I280" s="1429"/>
      <c r="J280" s="1438"/>
      <c r="K280" s="1420"/>
      <c r="O280" s="1364"/>
      <c r="P280" s="1364"/>
      <c r="Q280" s="1364"/>
      <c r="T280" s="1365"/>
      <c r="U280" s="1365"/>
      <c r="V280" s="1365"/>
      <c r="AJ280" s="1427"/>
    </row>
    <row r="281" spans="1:36" s="1363" customFormat="1" hidden="1">
      <c r="A281" s="1426"/>
      <c r="B281" s="1433"/>
      <c r="C281" s="1429"/>
      <c r="D281" s="1437"/>
      <c r="E281" s="1420"/>
      <c r="F281" s="1429"/>
      <c r="G281" s="1438"/>
      <c r="H281" s="1420"/>
      <c r="I281" s="1429"/>
      <c r="J281" s="1438"/>
      <c r="K281" s="1420"/>
      <c r="O281" s="1364"/>
      <c r="P281" s="1364"/>
      <c r="Q281" s="1364"/>
      <c r="T281" s="1365"/>
      <c r="U281" s="1365"/>
      <c r="V281" s="1365"/>
      <c r="AJ281" s="1427"/>
    </row>
    <row r="282" spans="1:36" s="1363" customFormat="1" hidden="1">
      <c r="A282" s="1426"/>
      <c r="B282" s="1433"/>
      <c r="C282" s="1429"/>
      <c r="D282" s="1435"/>
      <c r="E282" s="1420"/>
      <c r="F282" s="1429"/>
      <c r="G282" s="1436"/>
      <c r="H282" s="1420"/>
      <c r="I282" s="1429"/>
      <c r="J282" s="1436"/>
      <c r="K282" s="1420"/>
      <c r="O282" s="1364"/>
      <c r="P282" s="1364"/>
      <c r="Q282" s="1364"/>
      <c r="T282" s="1365"/>
      <c r="U282" s="1365"/>
      <c r="V282" s="1365"/>
      <c r="AJ282" s="1427"/>
    </row>
    <row r="283" spans="1:36" s="1363" customFormat="1" hidden="1">
      <c r="A283" s="1426"/>
      <c r="B283" s="1433"/>
      <c r="C283" s="1429"/>
      <c r="D283" s="1435"/>
      <c r="E283" s="1420"/>
      <c r="F283" s="1429"/>
      <c r="G283" s="1436"/>
      <c r="H283" s="1420"/>
      <c r="I283" s="1429"/>
      <c r="J283" s="1436"/>
      <c r="K283" s="1420"/>
      <c r="O283" s="1364"/>
      <c r="P283" s="1364"/>
      <c r="Q283" s="1364"/>
      <c r="T283" s="1365"/>
      <c r="U283" s="1365"/>
      <c r="V283" s="1365"/>
      <c r="AJ283" s="1427"/>
    </row>
    <row r="284" spans="1:36" s="1363" customFormat="1" hidden="1">
      <c r="A284" s="1426"/>
      <c r="B284" s="1433"/>
      <c r="C284" s="1464"/>
      <c r="D284" s="1436"/>
      <c r="E284" s="1420"/>
      <c r="F284" s="1464"/>
      <c r="G284" s="1436"/>
      <c r="H284" s="1420"/>
      <c r="I284" s="1464"/>
      <c r="J284" s="1436"/>
      <c r="K284" s="1420"/>
      <c r="O284" s="1364"/>
      <c r="P284" s="1364"/>
      <c r="Q284" s="1364"/>
      <c r="T284" s="1365"/>
      <c r="U284" s="1365"/>
      <c r="V284" s="1365"/>
      <c r="AJ284" s="1427"/>
    </row>
    <row r="285" spans="1:36" s="1363" customFormat="1" hidden="1">
      <c r="A285" s="1426"/>
      <c r="B285" s="1433"/>
      <c r="C285" s="1443"/>
      <c r="D285" s="1436"/>
      <c r="E285" s="1420"/>
      <c r="F285" s="1443"/>
      <c r="G285" s="1436"/>
      <c r="H285" s="1420"/>
      <c r="I285" s="1443"/>
      <c r="J285" s="1436"/>
      <c r="K285" s="1420"/>
      <c r="O285" s="1364"/>
      <c r="P285" s="1364"/>
      <c r="Q285" s="1364"/>
      <c r="T285" s="1365"/>
      <c r="U285" s="1365"/>
      <c r="V285" s="1365"/>
      <c r="AJ285" s="1427"/>
    </row>
    <row r="286" spans="1:36" s="1363" customFormat="1" hidden="1">
      <c r="A286" s="1426"/>
      <c r="B286" s="1433"/>
      <c r="C286" s="1443"/>
      <c r="D286" s="1436"/>
      <c r="E286" s="1420"/>
      <c r="F286" s="1443"/>
      <c r="G286" s="1436"/>
      <c r="H286" s="1420"/>
      <c r="I286" s="1443"/>
      <c r="J286" s="1436"/>
      <c r="K286" s="1420"/>
      <c r="O286" s="1364"/>
      <c r="P286" s="1364"/>
      <c r="Q286" s="1364"/>
      <c r="T286" s="1365"/>
      <c r="U286" s="1365"/>
      <c r="V286" s="1365"/>
      <c r="AJ286" s="1427"/>
    </row>
    <row r="287" spans="1:36" s="1363" customFormat="1" hidden="1">
      <c r="A287" s="1426"/>
      <c r="B287" s="1433"/>
      <c r="C287" s="1443"/>
      <c r="D287" s="1436"/>
      <c r="E287" s="1420"/>
      <c r="F287" s="1443"/>
      <c r="G287" s="1436"/>
      <c r="H287" s="1420"/>
      <c r="I287" s="1443"/>
      <c r="J287" s="1436"/>
      <c r="K287" s="1420"/>
      <c r="O287" s="1364"/>
      <c r="P287" s="1364"/>
      <c r="Q287" s="1364"/>
      <c r="T287" s="1365"/>
      <c r="U287" s="1365"/>
      <c r="V287" s="1365"/>
      <c r="AJ287" s="1427"/>
    </row>
    <row r="288" spans="1:36" s="1363" customFormat="1" hidden="1">
      <c r="A288" s="1426"/>
      <c r="B288" s="1433"/>
      <c r="C288" s="1448"/>
      <c r="D288" s="1435"/>
      <c r="E288" s="1420"/>
      <c r="F288" s="1448"/>
      <c r="G288" s="1436"/>
      <c r="H288" s="1420"/>
      <c r="I288" s="1448"/>
      <c r="J288" s="1436"/>
      <c r="K288" s="1420"/>
      <c r="O288" s="1364"/>
      <c r="P288" s="1364"/>
      <c r="Q288" s="1364"/>
      <c r="T288" s="1365"/>
      <c r="U288" s="1365"/>
      <c r="V288" s="1365"/>
      <c r="AJ288" s="1427"/>
    </row>
    <row r="289" spans="1:36" s="1363" customFormat="1" hidden="1">
      <c r="B289" s="1433"/>
      <c r="C289" s="1398"/>
      <c r="E289" s="1420"/>
      <c r="F289" s="1398"/>
      <c r="H289" s="1420"/>
      <c r="I289" s="1443"/>
      <c r="J289" s="1436"/>
      <c r="K289" s="1420"/>
      <c r="M289" s="1427"/>
      <c r="O289" s="1449"/>
      <c r="R289" s="1450"/>
      <c r="S289" s="1450"/>
      <c r="T289" s="1365"/>
      <c r="U289" s="1365"/>
      <c r="V289" s="1365"/>
      <c r="AJ289" s="1427"/>
    </row>
    <row r="290" spans="1:36" s="1363" customFormat="1" hidden="1">
      <c r="B290" s="1433"/>
      <c r="C290" s="1398"/>
      <c r="E290" s="1420"/>
      <c r="F290" s="1398"/>
      <c r="H290" s="1420"/>
      <c r="I290" s="1443"/>
      <c r="J290" s="1436"/>
      <c r="K290" s="1420"/>
      <c r="M290" s="1427"/>
      <c r="O290" s="1449"/>
      <c r="R290" s="1450"/>
      <c r="S290" s="1450"/>
      <c r="T290" s="1365"/>
      <c r="U290" s="1365"/>
      <c r="V290" s="1365"/>
      <c r="AJ290" s="1427"/>
    </row>
    <row r="291" spans="1:36" s="1363" customFormat="1" hidden="1">
      <c r="B291" s="1433"/>
      <c r="C291" s="1398"/>
      <c r="E291" s="1420"/>
      <c r="F291" s="1398"/>
      <c r="H291" s="1420"/>
      <c r="I291" s="1443"/>
      <c r="J291" s="1436"/>
      <c r="K291" s="1420"/>
      <c r="M291" s="1427"/>
      <c r="O291" s="1449"/>
      <c r="R291" s="1450"/>
      <c r="S291" s="1450"/>
      <c r="T291" s="1365"/>
      <c r="U291" s="1365"/>
      <c r="V291" s="1365"/>
      <c r="AJ291" s="1427"/>
    </row>
    <row r="292" spans="1:36" s="1363" customFormat="1" hidden="1">
      <c r="A292" s="1458"/>
      <c r="B292" s="1433"/>
      <c r="C292" s="1459"/>
      <c r="D292" s="1435"/>
      <c r="E292" s="1420"/>
      <c r="F292" s="1459"/>
      <c r="G292" s="1436"/>
      <c r="H292" s="1420"/>
      <c r="I292" s="1459"/>
      <c r="J292" s="1436"/>
      <c r="K292" s="1420"/>
      <c r="O292" s="1364"/>
      <c r="P292" s="1364"/>
      <c r="Q292" s="1364"/>
      <c r="T292" s="1365"/>
      <c r="U292" s="1365"/>
      <c r="V292" s="1365"/>
      <c r="AJ292" s="1427"/>
    </row>
    <row r="293" spans="1:36" s="1363" customFormat="1" hidden="1">
      <c r="A293" s="1426"/>
      <c r="B293" s="1433"/>
      <c r="C293" s="1461"/>
      <c r="D293" s="1435"/>
      <c r="E293" s="1420"/>
      <c r="F293" s="1461"/>
      <c r="G293" s="1435"/>
      <c r="H293" s="1420"/>
      <c r="I293" s="1461"/>
      <c r="J293" s="1435"/>
      <c r="K293" s="1420"/>
      <c r="O293" s="1364"/>
      <c r="P293" s="1364"/>
      <c r="Q293" s="1364"/>
      <c r="T293" s="1365"/>
      <c r="U293" s="1365"/>
      <c r="V293" s="1365"/>
      <c r="AJ293" s="1427"/>
    </row>
    <row r="294" spans="1:36" s="1363" customFormat="1" hidden="1">
      <c r="A294" s="1426"/>
      <c r="B294" s="1433"/>
      <c r="C294" s="1461"/>
      <c r="D294" s="1435"/>
      <c r="E294" s="1420"/>
      <c r="F294" s="1461"/>
      <c r="G294" s="1435"/>
      <c r="H294" s="1420"/>
      <c r="I294" s="1461"/>
      <c r="J294" s="1435"/>
      <c r="K294" s="1420"/>
      <c r="O294" s="1364"/>
      <c r="P294" s="1364"/>
      <c r="Q294" s="1364"/>
      <c r="T294" s="1365"/>
      <c r="U294" s="1365"/>
      <c r="V294" s="1365"/>
      <c r="AJ294" s="1427"/>
    </row>
    <row r="295" spans="1:36" s="1363" customFormat="1" hidden="1">
      <c r="A295" s="1426"/>
      <c r="B295" s="1433"/>
      <c r="C295" s="1461"/>
      <c r="D295" s="1435"/>
      <c r="E295" s="1420"/>
      <c r="F295" s="1461"/>
      <c r="G295" s="1435"/>
      <c r="H295" s="1420"/>
      <c r="I295" s="1461"/>
      <c r="J295" s="1435"/>
      <c r="K295" s="1420"/>
      <c r="O295" s="1364"/>
      <c r="P295" s="1364"/>
      <c r="Q295" s="1364"/>
      <c r="T295" s="1365"/>
      <c r="U295" s="1365"/>
      <c r="V295" s="1365"/>
      <c r="AJ295" s="1427"/>
    </row>
    <row r="296" spans="1:36" s="1363" customFormat="1" hidden="1">
      <c r="A296" s="1426"/>
      <c r="B296" s="1433"/>
      <c r="C296" s="1461"/>
      <c r="D296" s="1436"/>
      <c r="E296" s="1420"/>
      <c r="F296" s="1461"/>
      <c r="G296" s="1436"/>
      <c r="H296" s="1420"/>
      <c r="I296" s="1461"/>
      <c r="J296" s="1436"/>
      <c r="K296" s="1420"/>
      <c r="O296" s="1364"/>
      <c r="P296" s="1364"/>
      <c r="Q296" s="1364"/>
      <c r="T296" s="1365"/>
      <c r="U296" s="1365"/>
      <c r="V296" s="1365"/>
      <c r="AJ296" s="1427"/>
    </row>
    <row r="297" spans="1:36" s="1363" customFormat="1" hidden="1">
      <c r="A297" s="1426"/>
      <c r="B297" s="1433"/>
      <c r="C297" s="1462"/>
      <c r="D297" s="1436"/>
      <c r="E297" s="1420"/>
      <c r="F297" s="1462"/>
      <c r="G297" s="1436"/>
      <c r="H297" s="1420"/>
      <c r="I297" s="1462"/>
      <c r="J297" s="1436"/>
      <c r="K297" s="1420"/>
      <c r="O297" s="1364"/>
      <c r="P297" s="1364"/>
      <c r="Q297" s="1364"/>
      <c r="T297" s="1365"/>
      <c r="U297" s="1365"/>
      <c r="V297" s="1365"/>
      <c r="AJ297" s="1427"/>
    </row>
    <row r="298" spans="1:36" s="1363" customFormat="1" hidden="1">
      <c r="A298" s="1426"/>
      <c r="B298" s="1433"/>
      <c r="C298" s="1462"/>
      <c r="D298" s="1436"/>
      <c r="E298" s="1420"/>
      <c r="F298" s="1462"/>
      <c r="G298" s="1436"/>
      <c r="H298" s="1420"/>
      <c r="I298" s="1462"/>
      <c r="J298" s="1436"/>
      <c r="K298" s="1420"/>
      <c r="O298" s="1364"/>
      <c r="P298" s="1364"/>
      <c r="Q298" s="1364"/>
      <c r="T298" s="1365"/>
      <c r="U298" s="1365"/>
      <c r="V298" s="1365"/>
      <c r="AJ298" s="1427"/>
    </row>
    <row r="299" spans="1:36" s="1363" customFormat="1" hidden="1">
      <c r="A299" s="1426"/>
      <c r="B299" s="1433"/>
      <c r="C299" s="1462"/>
      <c r="D299" s="1436"/>
      <c r="E299" s="1420"/>
      <c r="F299" s="1462"/>
      <c r="G299" s="1436"/>
      <c r="H299" s="1420"/>
      <c r="I299" s="1462"/>
      <c r="J299" s="1436"/>
      <c r="K299" s="1420"/>
      <c r="O299" s="1364"/>
      <c r="P299" s="1364"/>
      <c r="Q299" s="1364"/>
      <c r="T299" s="1365"/>
      <c r="U299" s="1365"/>
      <c r="V299" s="1365"/>
      <c r="AJ299" s="1427"/>
    </row>
    <row r="300" spans="1:36" s="1363" customFormat="1" hidden="1">
      <c r="A300" s="1426"/>
      <c r="B300" s="1433"/>
      <c r="C300" s="1463"/>
      <c r="D300" s="1436"/>
      <c r="E300" s="1420"/>
      <c r="F300" s="1463"/>
      <c r="G300" s="1436"/>
      <c r="H300" s="1420"/>
      <c r="I300" s="1463"/>
      <c r="J300" s="1436"/>
      <c r="K300" s="1420"/>
      <c r="O300" s="1364"/>
      <c r="P300" s="1364"/>
      <c r="Q300" s="1364"/>
      <c r="T300" s="1365"/>
      <c r="U300" s="1365"/>
      <c r="V300" s="1365"/>
      <c r="AJ300" s="1427"/>
    </row>
    <row r="301" spans="1:36" s="1363" customFormat="1" hidden="1">
      <c r="A301" s="1426"/>
      <c r="B301" s="1433"/>
      <c r="C301" s="1464"/>
      <c r="D301" s="1435"/>
      <c r="E301" s="1420"/>
      <c r="F301" s="1464"/>
      <c r="G301" s="1436"/>
      <c r="H301" s="1420"/>
      <c r="I301" s="1464"/>
      <c r="J301" s="1436"/>
      <c r="K301" s="1420"/>
      <c r="O301" s="1364"/>
      <c r="P301" s="1364"/>
      <c r="Q301" s="1364"/>
      <c r="T301" s="1365"/>
      <c r="U301" s="1365"/>
      <c r="V301" s="1365"/>
      <c r="AJ301" s="1427"/>
    </row>
    <row r="302" spans="1:36" s="1363" customFormat="1" hidden="1">
      <c r="A302" s="1426"/>
      <c r="B302" s="1433"/>
      <c r="C302" s="1465"/>
      <c r="D302" s="1435"/>
      <c r="E302" s="1420"/>
      <c r="F302" s="1465"/>
      <c r="G302" s="1436"/>
      <c r="H302" s="1420"/>
      <c r="I302" s="1465"/>
      <c r="J302" s="1436"/>
      <c r="K302" s="1420"/>
      <c r="O302" s="1364"/>
      <c r="P302" s="1364"/>
      <c r="Q302" s="1364"/>
      <c r="T302" s="1365"/>
      <c r="U302" s="1365"/>
      <c r="V302" s="1365"/>
      <c r="AJ302" s="1427"/>
    </row>
    <row r="303" spans="1:36" s="1363" customFormat="1" hidden="1">
      <c r="B303" s="1433"/>
      <c r="C303" s="1398"/>
      <c r="E303" s="1420"/>
      <c r="F303" s="1398"/>
      <c r="H303" s="1420"/>
      <c r="I303" s="1443"/>
      <c r="J303" s="1436"/>
      <c r="K303" s="1420"/>
      <c r="M303" s="1427"/>
      <c r="O303" s="1449"/>
      <c r="R303" s="1450"/>
      <c r="S303" s="1450"/>
      <c r="T303" s="1365"/>
      <c r="U303" s="1365"/>
      <c r="V303" s="1365"/>
      <c r="AJ303" s="1427"/>
    </row>
    <row r="304" spans="1:36" s="1363" customFormat="1" hidden="1">
      <c r="B304" s="1433"/>
      <c r="C304" s="1398"/>
      <c r="E304" s="1420"/>
      <c r="F304" s="1398"/>
      <c r="H304" s="1420"/>
      <c r="I304" s="1443"/>
      <c r="J304" s="1436"/>
      <c r="K304" s="1420"/>
      <c r="M304" s="1427"/>
      <c r="O304" s="1449"/>
      <c r="R304" s="1450"/>
      <c r="S304" s="1450"/>
      <c r="T304" s="1365"/>
      <c r="U304" s="1365"/>
      <c r="V304" s="1365"/>
      <c r="AJ304" s="1427"/>
    </row>
    <row r="305" spans="1:36" s="1363" customFormat="1" hidden="1">
      <c r="B305" s="1433"/>
      <c r="C305" s="1398"/>
      <c r="E305" s="1420"/>
      <c r="F305" s="1398"/>
      <c r="H305" s="1420"/>
      <c r="I305" s="1443"/>
      <c r="J305" s="1436"/>
      <c r="K305" s="1420"/>
      <c r="M305" s="1427"/>
      <c r="O305" s="1449"/>
      <c r="R305" s="1450"/>
      <c r="S305" s="1450"/>
      <c r="T305" s="1365"/>
      <c r="U305" s="1365"/>
      <c r="V305" s="1365"/>
      <c r="AJ305" s="1427"/>
    </row>
    <row r="306" spans="1:36" s="1363" customFormat="1" hidden="1">
      <c r="A306" s="1426"/>
      <c r="B306" s="1433"/>
      <c r="C306" s="1448"/>
      <c r="D306" s="1420"/>
      <c r="E306" s="1420"/>
      <c r="F306" s="1448"/>
      <c r="G306" s="1436"/>
      <c r="H306" s="1420"/>
      <c r="I306" s="1448"/>
      <c r="J306" s="1436"/>
      <c r="K306" s="1420"/>
      <c r="O306" s="1364"/>
      <c r="P306" s="1364"/>
      <c r="Q306" s="1364"/>
      <c r="T306" s="1365"/>
      <c r="U306" s="1365"/>
      <c r="V306" s="1365"/>
      <c r="AJ306" s="1427"/>
    </row>
    <row r="307" spans="1:36" s="1363" customFormat="1" hidden="1">
      <c r="A307" s="1426"/>
      <c r="B307" s="1433"/>
      <c r="C307" s="1436"/>
      <c r="D307" s="1436"/>
      <c r="E307" s="1435"/>
      <c r="F307" s="1436"/>
      <c r="G307" s="1436"/>
      <c r="H307" s="1435"/>
      <c r="I307" s="1436"/>
      <c r="J307" s="1436"/>
      <c r="K307" s="1435"/>
      <c r="M307" s="1422"/>
      <c r="N307" s="1422"/>
      <c r="O307" s="1423"/>
      <c r="P307" s="1364"/>
      <c r="Q307" s="1364"/>
      <c r="T307" s="1365"/>
      <c r="U307" s="1365"/>
      <c r="V307" s="1365"/>
      <c r="AJ307" s="1427"/>
    </row>
    <row r="308" spans="1:36" s="1363" customFormat="1" hidden="1">
      <c r="A308" s="1426"/>
      <c r="B308" s="1433"/>
      <c r="C308" s="1467"/>
      <c r="D308" s="1468"/>
      <c r="E308" s="1435"/>
      <c r="F308" s="1467"/>
      <c r="G308" s="1426"/>
      <c r="H308" s="1435"/>
      <c r="I308" s="1467"/>
      <c r="J308" s="1426"/>
      <c r="K308" s="1435"/>
      <c r="M308" s="1424"/>
      <c r="N308" s="1424"/>
      <c r="O308" s="1412"/>
      <c r="P308" s="1364"/>
      <c r="Q308" s="1364"/>
      <c r="T308" s="1365"/>
      <c r="U308" s="1365"/>
      <c r="V308" s="1365"/>
      <c r="AJ308" s="1427"/>
    </row>
    <row r="309" spans="1:36" s="1363" customFormat="1" hidden="1">
      <c r="A309" s="1426"/>
      <c r="B309" s="1428"/>
      <c r="C309" s="1464"/>
      <c r="D309" s="1420"/>
      <c r="E309" s="1420"/>
      <c r="F309" s="1464"/>
      <c r="G309" s="1426"/>
      <c r="H309" s="1420"/>
      <c r="I309" s="1464"/>
      <c r="J309" s="1426"/>
      <c r="K309" s="1420"/>
      <c r="O309" s="1364"/>
      <c r="P309" s="1364"/>
      <c r="Q309" s="1364"/>
      <c r="T309" s="1365"/>
      <c r="U309" s="1365"/>
      <c r="V309" s="1365"/>
      <c r="AJ309" s="1427"/>
    </row>
    <row r="310" spans="1:36" s="1363" customFormat="1" hidden="1">
      <c r="A310" s="1425"/>
      <c r="B310" s="1426"/>
      <c r="C310" s="1420"/>
      <c r="D310" s="1420"/>
      <c r="E310" s="1426"/>
      <c r="F310" s="1420"/>
      <c r="G310" s="1426"/>
      <c r="H310" s="1426"/>
      <c r="I310" s="1420"/>
      <c r="J310" s="1426"/>
      <c r="K310" s="1426"/>
      <c r="O310" s="1364"/>
      <c r="P310" s="1364"/>
      <c r="Q310" s="1364"/>
      <c r="T310" s="1365"/>
      <c r="U310" s="1365"/>
      <c r="V310" s="1365"/>
      <c r="AJ310" s="1427"/>
    </row>
    <row r="311" spans="1:36" s="1363" customFormat="1" hidden="1">
      <c r="A311" s="1426"/>
      <c r="B311" s="1426"/>
      <c r="C311" s="1420"/>
      <c r="D311" s="1420"/>
      <c r="E311" s="1426"/>
      <c r="F311" s="1420"/>
      <c r="G311" s="1426"/>
      <c r="H311" s="1426"/>
      <c r="I311" s="1420"/>
      <c r="J311" s="1426"/>
      <c r="K311" s="1426"/>
      <c r="O311" s="1364"/>
      <c r="P311" s="1364"/>
      <c r="Q311" s="1364"/>
      <c r="T311" s="1365"/>
      <c r="U311" s="1365"/>
      <c r="V311" s="1365"/>
      <c r="AJ311" s="1427"/>
    </row>
    <row r="312" spans="1:36" s="1363" customFormat="1" hidden="1">
      <c r="A312" s="1426"/>
      <c r="B312" s="1426"/>
      <c r="C312" s="1420"/>
      <c r="D312" s="1420"/>
      <c r="E312" s="1426"/>
      <c r="F312" s="1420"/>
      <c r="G312" s="1426"/>
      <c r="H312" s="1426"/>
      <c r="I312" s="1420"/>
      <c r="J312" s="1426"/>
      <c r="K312" s="1426"/>
      <c r="O312" s="1364"/>
      <c r="P312" s="1364"/>
      <c r="Q312" s="1364"/>
      <c r="T312" s="1365"/>
      <c r="U312" s="1365"/>
      <c r="V312" s="1365"/>
      <c r="AJ312" s="1427"/>
    </row>
    <row r="313" spans="1:36" s="1363" customFormat="1" hidden="1">
      <c r="A313" s="1426"/>
      <c r="B313" s="1433"/>
      <c r="C313" s="1420"/>
      <c r="D313" s="1420"/>
      <c r="E313" s="1426"/>
      <c r="F313" s="1420"/>
      <c r="G313" s="1426"/>
      <c r="H313" s="1426"/>
      <c r="I313" s="1420"/>
      <c r="J313" s="1426"/>
      <c r="K313" s="1426"/>
      <c r="O313" s="1364"/>
      <c r="P313" s="1364"/>
      <c r="Q313" s="1364"/>
      <c r="T313" s="1365"/>
      <c r="U313" s="1365"/>
      <c r="V313" s="1365"/>
      <c r="AJ313" s="1427"/>
    </row>
    <row r="314" spans="1:36" s="1363" customFormat="1" hidden="1">
      <c r="A314" s="1426"/>
      <c r="B314" s="1433"/>
      <c r="C314" s="1429"/>
      <c r="D314" s="1435"/>
      <c r="E314" s="1420"/>
      <c r="F314" s="1429"/>
      <c r="G314" s="1436"/>
      <c r="H314" s="1420"/>
      <c r="I314" s="1429"/>
      <c r="J314" s="1436"/>
      <c r="K314" s="1420"/>
      <c r="O314" s="1364"/>
      <c r="P314" s="1364"/>
      <c r="Q314" s="1364"/>
      <c r="T314" s="1365"/>
      <c r="U314" s="1365"/>
      <c r="V314" s="1365"/>
      <c r="AJ314" s="1427"/>
    </row>
    <row r="315" spans="1:36" s="1363" customFormat="1" hidden="1">
      <c r="A315" s="1426"/>
      <c r="B315" s="1433"/>
      <c r="C315" s="1429"/>
      <c r="D315" s="1437"/>
      <c r="E315" s="1420"/>
      <c r="F315" s="1429"/>
      <c r="G315" s="1438"/>
      <c r="H315" s="1420"/>
      <c r="I315" s="1429"/>
      <c r="J315" s="1438"/>
      <c r="K315" s="1420"/>
      <c r="O315" s="1364"/>
      <c r="P315" s="1364"/>
      <c r="Q315" s="1364"/>
      <c r="T315" s="1365"/>
      <c r="U315" s="1365"/>
      <c r="V315" s="1365"/>
      <c r="AJ315" s="1427"/>
    </row>
    <row r="316" spans="1:36" s="1363" customFormat="1" hidden="1">
      <c r="A316" s="1426"/>
      <c r="B316" s="1433"/>
      <c r="C316" s="1429"/>
      <c r="D316" s="1437"/>
      <c r="E316" s="1420"/>
      <c r="F316" s="1429"/>
      <c r="G316" s="1438"/>
      <c r="H316" s="1420"/>
      <c r="I316" s="1429"/>
      <c r="J316" s="1438"/>
      <c r="K316" s="1420"/>
      <c r="O316" s="1364"/>
      <c r="P316" s="1364"/>
      <c r="Q316" s="1364"/>
      <c r="T316" s="1365"/>
      <c r="U316" s="1365"/>
      <c r="V316" s="1365"/>
      <c r="AJ316" s="1427"/>
    </row>
    <row r="317" spans="1:36" s="1363" customFormat="1" hidden="1">
      <c r="A317" s="1426"/>
      <c r="B317" s="1433"/>
      <c r="C317" s="1429"/>
      <c r="D317" s="1435"/>
      <c r="E317" s="1420"/>
      <c r="F317" s="1429"/>
      <c r="G317" s="1436"/>
      <c r="H317" s="1420"/>
      <c r="I317" s="1429"/>
      <c r="J317" s="1436"/>
      <c r="K317" s="1420"/>
      <c r="O317" s="1364"/>
      <c r="P317" s="1364"/>
      <c r="Q317" s="1364"/>
      <c r="T317" s="1365"/>
      <c r="U317" s="1365"/>
      <c r="V317" s="1365"/>
      <c r="AJ317" s="1427"/>
    </row>
    <row r="318" spans="1:36" s="1363" customFormat="1" hidden="1">
      <c r="A318" s="1426"/>
      <c r="B318" s="1433"/>
      <c r="C318" s="1429"/>
      <c r="D318" s="1435"/>
      <c r="E318" s="1420"/>
      <c r="F318" s="1429"/>
      <c r="G318" s="1436"/>
      <c r="H318" s="1420"/>
      <c r="I318" s="1429"/>
      <c r="J318" s="1436"/>
      <c r="K318" s="1420"/>
      <c r="O318" s="1364"/>
      <c r="P318" s="1364"/>
      <c r="Q318" s="1364"/>
      <c r="T318" s="1365"/>
      <c r="U318" s="1365"/>
      <c r="V318" s="1365"/>
      <c r="AJ318" s="1427"/>
    </row>
    <row r="319" spans="1:36" s="1363" customFormat="1" hidden="1">
      <c r="A319" s="1426"/>
      <c r="B319" s="1433"/>
      <c r="C319" s="1464"/>
      <c r="D319" s="1436"/>
      <c r="E319" s="1420"/>
      <c r="F319" s="1464"/>
      <c r="G319" s="1436"/>
      <c r="H319" s="1420"/>
      <c r="I319" s="1464"/>
      <c r="J319" s="1436"/>
      <c r="K319" s="1420"/>
      <c r="O319" s="1364"/>
      <c r="P319" s="1364"/>
      <c r="Q319" s="1364"/>
      <c r="T319" s="1365"/>
      <c r="U319" s="1365"/>
      <c r="V319" s="1365"/>
      <c r="AJ319" s="1427"/>
    </row>
    <row r="320" spans="1:36" s="1363" customFormat="1" hidden="1">
      <c r="A320" s="1426"/>
      <c r="B320" s="1433"/>
      <c r="C320" s="1443"/>
      <c r="D320" s="1436"/>
      <c r="E320" s="1420"/>
      <c r="F320" s="1443"/>
      <c r="G320" s="1436"/>
      <c r="H320" s="1420"/>
      <c r="I320" s="1443"/>
      <c r="J320" s="1436"/>
      <c r="K320" s="1420"/>
      <c r="O320" s="1364"/>
      <c r="P320" s="1364"/>
      <c r="Q320" s="1364"/>
      <c r="T320" s="1365"/>
      <c r="U320" s="1365"/>
      <c r="V320" s="1365"/>
      <c r="AJ320" s="1427"/>
    </row>
    <row r="321" spans="1:36" s="1363" customFormat="1" hidden="1">
      <c r="A321" s="1426"/>
      <c r="B321" s="1433"/>
      <c r="C321" s="1443"/>
      <c r="D321" s="1436"/>
      <c r="E321" s="1420"/>
      <c r="F321" s="1443"/>
      <c r="G321" s="1436"/>
      <c r="H321" s="1420"/>
      <c r="I321" s="1443"/>
      <c r="J321" s="1436"/>
      <c r="K321" s="1420"/>
      <c r="O321" s="1364"/>
      <c r="P321" s="1364"/>
      <c r="Q321" s="1364"/>
      <c r="T321" s="1365"/>
      <c r="U321" s="1365"/>
      <c r="V321" s="1365"/>
      <c r="AJ321" s="1427"/>
    </row>
    <row r="322" spans="1:36" s="1363" customFormat="1" hidden="1">
      <c r="A322" s="1426"/>
      <c r="B322" s="1433"/>
      <c r="C322" s="1443"/>
      <c r="D322" s="1436"/>
      <c r="E322" s="1420"/>
      <c r="F322" s="1443"/>
      <c r="G322" s="1436"/>
      <c r="H322" s="1420"/>
      <c r="I322" s="1443"/>
      <c r="J322" s="1436"/>
      <c r="K322" s="1420"/>
      <c r="O322" s="1364"/>
      <c r="P322" s="1364"/>
      <c r="Q322" s="1364"/>
      <c r="T322" s="1365"/>
      <c r="U322" s="1365"/>
      <c r="V322" s="1365"/>
      <c r="AJ322" s="1427"/>
    </row>
    <row r="323" spans="1:36" s="1363" customFormat="1" hidden="1">
      <c r="A323" s="1426"/>
      <c r="B323" s="1433"/>
      <c r="C323" s="1448"/>
      <c r="D323" s="1435"/>
      <c r="E323" s="1420"/>
      <c r="F323" s="1448"/>
      <c r="G323" s="1436"/>
      <c r="H323" s="1420"/>
      <c r="I323" s="1448"/>
      <c r="J323" s="1436"/>
      <c r="K323" s="1420"/>
      <c r="O323" s="1364"/>
      <c r="P323" s="1364"/>
      <c r="Q323" s="1364"/>
      <c r="T323" s="1365"/>
      <c r="U323" s="1365"/>
      <c r="V323" s="1365"/>
      <c r="AJ323" s="1427"/>
    </row>
    <row r="324" spans="1:36" s="1363" customFormat="1" hidden="1">
      <c r="B324" s="1474"/>
      <c r="C324" s="1398"/>
      <c r="E324" s="1420"/>
      <c r="F324" s="1398"/>
      <c r="H324" s="1420"/>
      <c r="I324" s="1443"/>
      <c r="J324" s="1436"/>
      <c r="K324" s="1420"/>
      <c r="M324" s="1427"/>
      <c r="O324" s="1449"/>
      <c r="R324" s="1450"/>
      <c r="S324" s="1450"/>
      <c r="T324" s="1365"/>
      <c r="U324" s="1365"/>
      <c r="V324" s="1365"/>
      <c r="AJ324" s="1427"/>
    </row>
    <row r="325" spans="1:36" s="1363" customFormat="1" hidden="1">
      <c r="B325" s="1474"/>
      <c r="C325" s="1398"/>
      <c r="E325" s="1420"/>
      <c r="F325" s="1398"/>
      <c r="H325" s="1420"/>
      <c r="I325" s="1443"/>
      <c r="J325" s="1436"/>
      <c r="K325" s="1420"/>
      <c r="M325" s="1427"/>
      <c r="O325" s="1449"/>
      <c r="R325" s="1450"/>
      <c r="S325" s="1450"/>
      <c r="T325" s="1365"/>
      <c r="U325" s="1365"/>
      <c r="V325" s="1365"/>
      <c r="AJ325" s="1427"/>
    </row>
    <row r="326" spans="1:36" s="1363" customFormat="1" hidden="1">
      <c r="B326" s="1474"/>
      <c r="C326" s="1398"/>
      <c r="E326" s="1420"/>
      <c r="F326" s="1398"/>
      <c r="H326" s="1420"/>
      <c r="I326" s="1443"/>
      <c r="J326" s="1436"/>
      <c r="K326" s="1420"/>
      <c r="M326" s="1427"/>
      <c r="O326" s="1449"/>
      <c r="R326" s="1450"/>
      <c r="S326" s="1450"/>
      <c r="T326" s="1365"/>
      <c r="U326" s="1365"/>
      <c r="V326" s="1365"/>
      <c r="AJ326" s="1427"/>
    </row>
    <row r="327" spans="1:36" s="1363" customFormat="1" hidden="1">
      <c r="A327" s="1458"/>
      <c r="B327" s="1433"/>
      <c r="C327" s="1459"/>
      <c r="D327" s="1435"/>
      <c r="E327" s="1420"/>
      <c r="F327" s="1459"/>
      <c r="G327" s="1436"/>
      <c r="H327" s="1420"/>
      <c r="I327" s="1459"/>
      <c r="J327" s="1436"/>
      <c r="K327" s="1420"/>
      <c r="O327" s="1364"/>
      <c r="P327" s="1364"/>
      <c r="Q327" s="1364"/>
      <c r="T327" s="1365"/>
      <c r="U327" s="1365"/>
      <c r="V327" s="1365"/>
      <c r="AJ327" s="1427"/>
    </row>
    <row r="328" spans="1:36" s="1363" customFormat="1" hidden="1">
      <c r="A328" s="1426"/>
      <c r="B328" s="1433"/>
      <c r="C328" s="1461"/>
      <c r="D328" s="1435"/>
      <c r="E328" s="1420"/>
      <c r="F328" s="1461"/>
      <c r="G328" s="1435"/>
      <c r="H328" s="1420"/>
      <c r="I328" s="1461"/>
      <c r="J328" s="1435"/>
      <c r="K328" s="1420"/>
      <c r="O328" s="1364"/>
      <c r="P328" s="1364"/>
      <c r="Q328" s="1364"/>
      <c r="T328" s="1365"/>
      <c r="U328" s="1365"/>
      <c r="V328" s="1365"/>
      <c r="AJ328" s="1427"/>
    </row>
    <row r="329" spans="1:36" s="1363" customFormat="1" hidden="1">
      <c r="A329" s="1426"/>
      <c r="B329" s="1433"/>
      <c r="C329" s="1461"/>
      <c r="D329" s="1435"/>
      <c r="E329" s="1420"/>
      <c r="F329" s="1461"/>
      <c r="G329" s="1435"/>
      <c r="H329" s="1420"/>
      <c r="I329" s="1461"/>
      <c r="J329" s="1435"/>
      <c r="K329" s="1420"/>
      <c r="O329" s="1364"/>
      <c r="P329" s="1364"/>
      <c r="Q329" s="1364"/>
      <c r="T329" s="1365"/>
      <c r="U329" s="1365"/>
      <c r="V329" s="1365"/>
      <c r="AJ329" s="1427"/>
    </row>
    <row r="330" spans="1:36" s="1363" customFormat="1" hidden="1">
      <c r="A330" s="1426"/>
      <c r="B330" s="1433"/>
      <c r="C330" s="1461"/>
      <c r="D330" s="1435"/>
      <c r="E330" s="1420"/>
      <c r="F330" s="1461"/>
      <c r="G330" s="1435"/>
      <c r="H330" s="1420"/>
      <c r="I330" s="1461"/>
      <c r="J330" s="1435"/>
      <c r="K330" s="1420"/>
      <c r="O330" s="1364"/>
      <c r="P330" s="1364"/>
      <c r="Q330" s="1364"/>
      <c r="T330" s="1365"/>
      <c r="U330" s="1365"/>
      <c r="V330" s="1365"/>
      <c r="AJ330" s="1427"/>
    </row>
    <row r="331" spans="1:36" s="1363" customFormat="1" hidden="1">
      <c r="A331" s="1426"/>
      <c r="B331" s="1433"/>
      <c r="C331" s="1461"/>
      <c r="D331" s="1436"/>
      <c r="E331" s="1420"/>
      <c r="F331" s="1461"/>
      <c r="G331" s="1436"/>
      <c r="H331" s="1420"/>
      <c r="I331" s="1461"/>
      <c r="J331" s="1436"/>
      <c r="K331" s="1420"/>
      <c r="O331" s="1364"/>
      <c r="P331" s="1364"/>
      <c r="Q331" s="1364"/>
      <c r="T331" s="1365"/>
      <c r="U331" s="1365"/>
      <c r="V331" s="1365"/>
      <c r="AJ331" s="1427"/>
    </row>
    <row r="332" spans="1:36" s="1363" customFormat="1" hidden="1">
      <c r="A332" s="1426"/>
      <c r="B332" s="1433"/>
      <c r="C332" s="1462"/>
      <c r="D332" s="1436"/>
      <c r="E332" s="1420"/>
      <c r="F332" s="1462"/>
      <c r="G332" s="1436"/>
      <c r="H332" s="1420"/>
      <c r="I332" s="1462"/>
      <c r="J332" s="1436"/>
      <c r="K332" s="1420"/>
      <c r="O332" s="1364"/>
      <c r="P332" s="1364"/>
      <c r="Q332" s="1364"/>
      <c r="T332" s="1365"/>
      <c r="U332" s="1365"/>
      <c r="V332" s="1365"/>
      <c r="AJ332" s="1427"/>
    </row>
    <row r="333" spans="1:36" s="1363" customFormat="1" hidden="1">
      <c r="A333" s="1426"/>
      <c r="B333" s="1433"/>
      <c r="C333" s="1462"/>
      <c r="D333" s="1436"/>
      <c r="E333" s="1420"/>
      <c r="F333" s="1462"/>
      <c r="G333" s="1436"/>
      <c r="H333" s="1420"/>
      <c r="I333" s="1462"/>
      <c r="J333" s="1436"/>
      <c r="K333" s="1420"/>
      <c r="O333" s="1364"/>
      <c r="P333" s="1364"/>
      <c r="Q333" s="1364"/>
      <c r="T333" s="1365"/>
      <c r="U333" s="1365"/>
      <c r="V333" s="1365"/>
      <c r="AJ333" s="1427"/>
    </row>
    <row r="334" spans="1:36" s="1363" customFormat="1" hidden="1">
      <c r="A334" s="1426"/>
      <c r="B334" s="1433"/>
      <c r="C334" s="1462"/>
      <c r="D334" s="1436"/>
      <c r="E334" s="1420"/>
      <c r="F334" s="1462"/>
      <c r="G334" s="1436"/>
      <c r="H334" s="1420"/>
      <c r="I334" s="1462"/>
      <c r="J334" s="1436"/>
      <c r="K334" s="1420"/>
      <c r="O334" s="1364"/>
      <c r="P334" s="1364"/>
      <c r="Q334" s="1364"/>
      <c r="T334" s="1365"/>
      <c r="U334" s="1365"/>
      <c r="V334" s="1365"/>
      <c r="AJ334" s="1427"/>
    </row>
    <row r="335" spans="1:36" s="1363" customFormat="1" hidden="1">
      <c r="A335" s="1426"/>
      <c r="B335" s="1433"/>
      <c r="C335" s="1463"/>
      <c r="D335" s="1436"/>
      <c r="E335" s="1420"/>
      <c r="F335" s="1463"/>
      <c r="G335" s="1436"/>
      <c r="H335" s="1420"/>
      <c r="I335" s="1463"/>
      <c r="J335" s="1436"/>
      <c r="K335" s="1420"/>
      <c r="O335" s="1364"/>
      <c r="P335" s="1364"/>
      <c r="Q335" s="1364"/>
      <c r="T335" s="1365"/>
      <c r="U335" s="1365"/>
      <c r="V335" s="1365"/>
      <c r="AJ335" s="1427"/>
    </row>
    <row r="336" spans="1:36" s="1363" customFormat="1" hidden="1">
      <c r="A336" s="1426"/>
      <c r="B336" s="1433"/>
      <c r="C336" s="1464"/>
      <c r="D336" s="1435"/>
      <c r="E336" s="1420"/>
      <c r="F336" s="1464"/>
      <c r="G336" s="1436"/>
      <c r="H336" s="1420"/>
      <c r="I336" s="1464"/>
      <c r="J336" s="1436"/>
      <c r="K336" s="1420"/>
      <c r="O336" s="1364"/>
      <c r="P336" s="1364"/>
      <c r="Q336" s="1364"/>
      <c r="T336" s="1365"/>
      <c r="U336" s="1365"/>
      <c r="V336" s="1365"/>
      <c r="AJ336" s="1427"/>
    </row>
    <row r="337" spans="1:36" s="1363" customFormat="1" hidden="1">
      <c r="A337" s="1426"/>
      <c r="B337" s="1433"/>
      <c r="C337" s="1465"/>
      <c r="D337" s="1435"/>
      <c r="E337" s="1420"/>
      <c r="F337" s="1465"/>
      <c r="G337" s="1436"/>
      <c r="H337" s="1420"/>
      <c r="I337" s="1465"/>
      <c r="J337" s="1436"/>
      <c r="K337" s="1420"/>
      <c r="O337" s="1364"/>
      <c r="P337" s="1364"/>
      <c r="Q337" s="1364"/>
      <c r="T337" s="1365"/>
      <c r="U337" s="1365"/>
      <c r="V337" s="1365"/>
      <c r="AJ337" s="1427"/>
    </row>
    <row r="338" spans="1:36" s="1363" customFormat="1" hidden="1">
      <c r="B338" s="1474"/>
      <c r="C338" s="1398"/>
      <c r="E338" s="1420"/>
      <c r="F338" s="1398"/>
      <c r="H338" s="1420"/>
      <c r="I338" s="1443"/>
      <c r="J338" s="1436"/>
      <c r="K338" s="1420"/>
      <c r="M338" s="1427"/>
      <c r="O338" s="1449"/>
      <c r="R338" s="1450"/>
      <c r="S338" s="1450"/>
      <c r="T338" s="1365"/>
      <c r="U338" s="1365"/>
      <c r="V338" s="1365"/>
      <c r="AJ338" s="1427"/>
    </row>
    <row r="339" spans="1:36" s="1363" customFormat="1" hidden="1">
      <c r="B339" s="1474"/>
      <c r="C339" s="1398"/>
      <c r="E339" s="1420"/>
      <c r="F339" s="1398"/>
      <c r="H339" s="1420"/>
      <c r="I339" s="1443"/>
      <c r="J339" s="1436"/>
      <c r="K339" s="1420"/>
      <c r="M339" s="1427"/>
      <c r="O339" s="1449"/>
      <c r="R339" s="1450"/>
      <c r="S339" s="1450"/>
      <c r="T339" s="1365"/>
      <c r="U339" s="1365"/>
      <c r="V339" s="1365"/>
      <c r="AJ339" s="1427"/>
    </row>
    <row r="340" spans="1:36" s="1363" customFormat="1" hidden="1">
      <c r="B340" s="1474"/>
      <c r="C340" s="1398"/>
      <c r="E340" s="1420"/>
      <c r="F340" s="1398"/>
      <c r="H340" s="1420"/>
      <c r="I340" s="1443"/>
      <c r="J340" s="1436"/>
      <c r="K340" s="1420"/>
      <c r="M340" s="1427"/>
      <c r="O340" s="1449"/>
      <c r="R340" s="1450"/>
      <c r="S340" s="1450"/>
      <c r="T340" s="1365"/>
      <c r="U340" s="1365"/>
      <c r="V340" s="1365"/>
      <c r="AJ340" s="1427"/>
    </row>
    <row r="341" spans="1:36" s="1363" customFormat="1" hidden="1">
      <c r="A341" s="1426"/>
      <c r="B341" s="1433"/>
      <c r="C341" s="1448"/>
      <c r="D341" s="1420"/>
      <c r="E341" s="1420"/>
      <c r="F341" s="1448"/>
      <c r="G341" s="1436"/>
      <c r="H341" s="1420"/>
      <c r="I341" s="1448"/>
      <c r="J341" s="1436"/>
      <c r="K341" s="1420"/>
      <c r="O341" s="1364"/>
      <c r="P341" s="1364"/>
      <c r="Q341" s="1364"/>
      <c r="T341" s="1365"/>
      <c r="U341" s="1365"/>
      <c r="V341" s="1365"/>
      <c r="AJ341" s="1427"/>
    </row>
    <row r="342" spans="1:36" s="1363" customFormat="1" hidden="1">
      <c r="A342" s="1426"/>
      <c r="B342" s="1433"/>
      <c r="C342" s="1436"/>
      <c r="D342" s="1436"/>
      <c r="E342" s="1435"/>
      <c r="F342" s="1436"/>
      <c r="G342" s="1436"/>
      <c r="H342" s="1435"/>
      <c r="I342" s="1436"/>
      <c r="J342" s="1436"/>
      <c r="K342" s="1435"/>
      <c r="M342" s="1422"/>
      <c r="N342" s="1422"/>
      <c r="O342" s="1423"/>
      <c r="P342" s="1364"/>
      <c r="Q342" s="1364"/>
      <c r="T342" s="1365"/>
      <c r="U342" s="1365"/>
      <c r="V342" s="1365"/>
      <c r="AJ342" s="1427"/>
    </row>
    <row r="343" spans="1:36" s="1363" customFormat="1" hidden="1">
      <c r="A343" s="1426"/>
      <c r="B343" s="1433"/>
      <c r="C343" s="1467"/>
      <c r="D343" s="1468"/>
      <c r="E343" s="1435"/>
      <c r="F343" s="1467"/>
      <c r="G343" s="1426"/>
      <c r="H343" s="1435"/>
      <c r="I343" s="1467"/>
      <c r="J343" s="1426"/>
      <c r="K343" s="1435"/>
      <c r="M343" s="1424"/>
      <c r="N343" s="1424"/>
      <c r="O343" s="1412"/>
      <c r="P343" s="1364"/>
      <c r="Q343" s="1364"/>
      <c r="T343" s="1365"/>
      <c r="U343" s="1365"/>
      <c r="V343" s="1365"/>
      <c r="AJ343" s="1427"/>
    </row>
    <row r="344" spans="1:36" s="1363" customFormat="1" hidden="1">
      <c r="A344" s="1426"/>
      <c r="B344" s="1428"/>
      <c r="C344" s="1464"/>
      <c r="D344" s="1420"/>
      <c r="E344" s="1420"/>
      <c r="F344" s="1464"/>
      <c r="G344" s="1426"/>
      <c r="H344" s="1420"/>
      <c r="I344" s="1464"/>
      <c r="J344" s="1426"/>
      <c r="K344" s="1420"/>
      <c r="O344" s="1364"/>
      <c r="P344" s="1364"/>
      <c r="Q344" s="1364"/>
      <c r="T344" s="1365"/>
      <c r="U344" s="1365"/>
      <c r="V344" s="1365"/>
      <c r="AJ344" s="1427"/>
    </row>
    <row r="345" spans="1:36" s="1363" customFormat="1" hidden="1">
      <c r="A345" s="1425"/>
      <c r="B345" s="1426"/>
      <c r="C345" s="1420"/>
      <c r="D345" s="1420"/>
      <c r="E345" s="1426"/>
      <c r="F345" s="1420"/>
      <c r="G345" s="1426"/>
      <c r="H345" s="1426"/>
      <c r="I345" s="1420"/>
      <c r="J345" s="1426"/>
      <c r="K345" s="1426"/>
      <c r="O345" s="1364"/>
      <c r="P345" s="1364"/>
      <c r="Q345" s="1364"/>
      <c r="T345" s="1365"/>
      <c r="U345" s="1365"/>
      <c r="V345" s="1365"/>
      <c r="AJ345" s="1427"/>
    </row>
    <row r="346" spans="1:36" s="1363" customFormat="1" hidden="1">
      <c r="A346" s="1426"/>
      <c r="B346" s="1426"/>
      <c r="C346" s="1420"/>
      <c r="D346" s="1420"/>
      <c r="E346" s="1426"/>
      <c r="F346" s="1420"/>
      <c r="G346" s="1426"/>
      <c r="H346" s="1426"/>
      <c r="I346" s="1420"/>
      <c r="J346" s="1426"/>
      <c r="K346" s="1426"/>
      <c r="O346" s="1364"/>
      <c r="P346" s="1364"/>
      <c r="Q346" s="1364"/>
      <c r="T346" s="1365"/>
      <c r="U346" s="1365"/>
      <c r="V346" s="1365"/>
      <c r="AJ346" s="1427"/>
    </row>
    <row r="347" spans="1:36" s="1363" customFormat="1" hidden="1">
      <c r="A347" s="1426"/>
      <c r="B347" s="1426"/>
      <c r="C347" s="1420"/>
      <c r="D347" s="1420"/>
      <c r="E347" s="1426"/>
      <c r="F347" s="1420"/>
      <c r="G347" s="1426"/>
      <c r="H347" s="1426"/>
      <c r="I347" s="1420"/>
      <c r="J347" s="1426"/>
      <c r="K347" s="1426"/>
      <c r="O347" s="1364"/>
      <c r="P347" s="1364"/>
      <c r="Q347" s="1364"/>
      <c r="T347" s="1365"/>
      <c r="U347" s="1365"/>
      <c r="V347" s="1365"/>
      <c r="AJ347" s="1427"/>
    </row>
    <row r="348" spans="1:36" s="1363" customFormat="1" hidden="1">
      <c r="A348" s="1426"/>
      <c r="B348" s="1433"/>
      <c r="C348" s="1420"/>
      <c r="D348" s="1420"/>
      <c r="E348" s="1426"/>
      <c r="F348" s="1420"/>
      <c r="G348" s="1426"/>
      <c r="H348" s="1426"/>
      <c r="I348" s="1420"/>
      <c r="J348" s="1426"/>
      <c r="K348" s="1426"/>
      <c r="O348" s="1364"/>
      <c r="P348" s="1364"/>
      <c r="Q348" s="1364"/>
      <c r="T348" s="1365"/>
      <c r="U348" s="1365"/>
      <c r="V348" s="1365"/>
      <c r="AJ348" s="1427"/>
    </row>
    <row r="349" spans="1:36" s="1363" customFormat="1" hidden="1">
      <c r="A349" s="1426"/>
      <c r="B349" s="1433"/>
      <c r="C349" s="1429"/>
      <c r="D349" s="1435"/>
      <c r="E349" s="1420"/>
      <c r="F349" s="1429"/>
      <c r="G349" s="1436"/>
      <c r="H349" s="1420"/>
      <c r="I349" s="1429"/>
      <c r="J349" s="1436"/>
      <c r="K349" s="1420"/>
      <c r="O349" s="1364"/>
      <c r="P349" s="1364"/>
      <c r="Q349" s="1364"/>
      <c r="T349" s="1365"/>
      <c r="U349" s="1365"/>
      <c r="V349" s="1365"/>
      <c r="AJ349" s="1427"/>
    </row>
    <row r="350" spans="1:36" s="1363" customFormat="1" hidden="1">
      <c r="A350" s="1426"/>
      <c r="B350" s="1433"/>
      <c r="C350" s="1429"/>
      <c r="D350" s="1437"/>
      <c r="E350" s="1420"/>
      <c r="F350" s="1429"/>
      <c r="G350" s="1438"/>
      <c r="H350" s="1420"/>
      <c r="I350" s="1429"/>
      <c r="J350" s="1438"/>
      <c r="K350" s="1420"/>
      <c r="O350" s="1364"/>
      <c r="P350" s="1364"/>
      <c r="Q350" s="1364"/>
      <c r="T350" s="1365"/>
      <c r="U350" s="1365"/>
      <c r="V350" s="1365"/>
      <c r="AJ350" s="1427"/>
    </row>
    <row r="351" spans="1:36" s="1363" customFormat="1" hidden="1">
      <c r="A351" s="1426"/>
      <c r="B351" s="1433"/>
      <c r="C351" s="1429"/>
      <c r="D351" s="1437"/>
      <c r="E351" s="1420"/>
      <c r="F351" s="1429"/>
      <c r="G351" s="1438"/>
      <c r="H351" s="1420"/>
      <c r="I351" s="1429"/>
      <c r="J351" s="1438"/>
      <c r="K351" s="1420"/>
      <c r="O351" s="1364"/>
      <c r="P351" s="1364"/>
      <c r="Q351" s="1364"/>
      <c r="T351" s="1365"/>
      <c r="U351" s="1365"/>
      <c r="V351" s="1365"/>
      <c r="AJ351" s="1427"/>
    </row>
    <row r="352" spans="1:36" s="1363" customFormat="1" hidden="1">
      <c r="A352" s="1426"/>
      <c r="B352" s="1433"/>
      <c r="C352" s="1429"/>
      <c r="D352" s="1435"/>
      <c r="E352" s="1420"/>
      <c r="F352" s="1429"/>
      <c r="G352" s="1436"/>
      <c r="H352" s="1420"/>
      <c r="I352" s="1429"/>
      <c r="J352" s="1436"/>
      <c r="K352" s="1420"/>
      <c r="O352" s="1364"/>
      <c r="P352" s="1364"/>
      <c r="Q352" s="1364"/>
      <c r="T352" s="1365"/>
      <c r="U352" s="1365"/>
      <c r="V352" s="1365"/>
      <c r="AJ352" s="1427"/>
    </row>
    <row r="353" spans="1:36" s="1363" customFormat="1" hidden="1">
      <c r="A353" s="1426"/>
      <c r="B353" s="1433"/>
      <c r="C353" s="1429"/>
      <c r="D353" s="1435"/>
      <c r="E353" s="1420"/>
      <c r="F353" s="1429"/>
      <c r="G353" s="1436"/>
      <c r="H353" s="1420"/>
      <c r="I353" s="1429"/>
      <c r="J353" s="1436"/>
      <c r="K353" s="1420"/>
      <c r="O353" s="1364"/>
      <c r="P353" s="1364"/>
      <c r="Q353" s="1364"/>
      <c r="T353" s="1365"/>
      <c r="U353" s="1365"/>
      <c r="V353" s="1365"/>
      <c r="AJ353" s="1427"/>
    </row>
    <row r="354" spans="1:36" s="1363" customFormat="1" hidden="1">
      <c r="A354" s="1426"/>
      <c r="B354" s="1433"/>
      <c r="C354" s="1464"/>
      <c r="D354" s="1436"/>
      <c r="E354" s="1420"/>
      <c r="F354" s="1464"/>
      <c r="G354" s="1436"/>
      <c r="H354" s="1420"/>
      <c r="I354" s="1464"/>
      <c r="J354" s="1436"/>
      <c r="K354" s="1420"/>
      <c r="O354" s="1364"/>
      <c r="P354" s="1364"/>
      <c r="Q354" s="1364"/>
      <c r="T354" s="1365"/>
      <c r="U354" s="1365"/>
      <c r="V354" s="1365"/>
      <c r="AJ354" s="1427"/>
    </row>
    <row r="355" spans="1:36" s="1363" customFormat="1" hidden="1">
      <c r="A355" s="1426"/>
      <c r="B355" s="1433"/>
      <c r="C355" s="1443"/>
      <c r="D355" s="1436"/>
      <c r="E355" s="1420"/>
      <c r="F355" s="1443"/>
      <c r="G355" s="1436"/>
      <c r="H355" s="1420"/>
      <c r="I355" s="1443"/>
      <c r="J355" s="1436"/>
      <c r="K355" s="1420"/>
      <c r="O355" s="1364"/>
      <c r="P355" s="1364"/>
      <c r="Q355" s="1364"/>
      <c r="T355" s="1365"/>
      <c r="U355" s="1365"/>
      <c r="V355" s="1365"/>
      <c r="AJ355" s="1427"/>
    </row>
    <row r="356" spans="1:36" s="1363" customFormat="1" hidden="1">
      <c r="A356" s="1426"/>
      <c r="B356" s="1433"/>
      <c r="C356" s="1443"/>
      <c r="D356" s="1436"/>
      <c r="E356" s="1420"/>
      <c r="F356" s="1443"/>
      <c r="G356" s="1436"/>
      <c r="H356" s="1420"/>
      <c r="I356" s="1443"/>
      <c r="J356" s="1436"/>
      <c r="K356" s="1420"/>
      <c r="O356" s="1364"/>
      <c r="P356" s="1364"/>
      <c r="Q356" s="1364"/>
      <c r="T356" s="1365"/>
      <c r="U356" s="1365"/>
      <c r="V356" s="1365"/>
      <c r="AJ356" s="1427"/>
    </row>
    <row r="357" spans="1:36" s="1363" customFormat="1" hidden="1">
      <c r="A357" s="1426"/>
      <c r="B357" s="1433"/>
      <c r="C357" s="1443"/>
      <c r="D357" s="1436"/>
      <c r="E357" s="1420"/>
      <c r="F357" s="1443"/>
      <c r="G357" s="1436"/>
      <c r="H357" s="1420"/>
      <c r="I357" s="1443"/>
      <c r="J357" s="1436"/>
      <c r="K357" s="1420"/>
      <c r="O357" s="1364"/>
      <c r="P357" s="1364"/>
      <c r="Q357" s="1364"/>
      <c r="T357" s="1365"/>
      <c r="U357" s="1365"/>
      <c r="V357" s="1365"/>
      <c r="AJ357" s="1427"/>
    </row>
    <row r="358" spans="1:36" s="1363" customFormat="1" hidden="1">
      <c r="A358" s="1426"/>
      <c r="B358" s="1433"/>
      <c r="C358" s="1448"/>
      <c r="D358" s="1435"/>
      <c r="E358" s="1420"/>
      <c r="F358" s="1448"/>
      <c r="G358" s="1436"/>
      <c r="H358" s="1420"/>
      <c r="I358" s="1448"/>
      <c r="J358" s="1436"/>
      <c r="K358" s="1420"/>
      <c r="O358" s="1364"/>
      <c r="P358" s="1364"/>
      <c r="Q358" s="1364"/>
      <c r="T358" s="1365"/>
      <c r="U358" s="1365"/>
      <c r="V358" s="1365"/>
      <c r="AJ358" s="1427"/>
    </row>
    <row r="359" spans="1:36" s="1363" customFormat="1" hidden="1">
      <c r="B359" s="1474"/>
      <c r="C359" s="1398"/>
      <c r="E359" s="1420"/>
      <c r="F359" s="1398"/>
      <c r="H359" s="1420"/>
      <c r="I359" s="1443"/>
      <c r="J359" s="1436"/>
      <c r="K359" s="1420"/>
      <c r="M359" s="1427"/>
      <c r="O359" s="1449"/>
      <c r="R359" s="1450"/>
      <c r="S359" s="1450"/>
      <c r="T359" s="1365"/>
      <c r="U359" s="1365"/>
      <c r="V359" s="1365"/>
      <c r="AJ359" s="1427"/>
    </row>
    <row r="360" spans="1:36" s="1363" customFormat="1" hidden="1">
      <c r="B360" s="1474"/>
      <c r="C360" s="1398"/>
      <c r="E360" s="1420"/>
      <c r="F360" s="1398"/>
      <c r="H360" s="1420"/>
      <c r="I360" s="1443"/>
      <c r="J360" s="1436"/>
      <c r="K360" s="1420"/>
      <c r="M360" s="1427"/>
      <c r="O360" s="1449"/>
      <c r="R360" s="1450"/>
      <c r="S360" s="1450"/>
      <c r="T360" s="1365"/>
      <c r="U360" s="1365"/>
      <c r="V360" s="1365"/>
      <c r="AJ360" s="1427"/>
    </row>
    <row r="361" spans="1:36" s="1363" customFormat="1" hidden="1">
      <c r="B361" s="1474"/>
      <c r="C361" s="1398"/>
      <c r="E361" s="1420"/>
      <c r="F361" s="1398"/>
      <c r="H361" s="1420"/>
      <c r="I361" s="1443"/>
      <c r="J361" s="1436"/>
      <c r="K361" s="1420"/>
      <c r="M361" s="1427"/>
      <c r="O361" s="1449"/>
      <c r="R361" s="1450"/>
      <c r="S361" s="1450"/>
      <c r="T361" s="1365"/>
      <c r="U361" s="1365"/>
      <c r="V361" s="1365"/>
      <c r="AJ361" s="1427"/>
    </row>
    <row r="362" spans="1:36" s="1363" customFormat="1" hidden="1">
      <c r="A362" s="1458"/>
      <c r="B362" s="1433"/>
      <c r="C362" s="1459"/>
      <c r="D362" s="1435"/>
      <c r="E362" s="1420"/>
      <c r="F362" s="1459"/>
      <c r="G362" s="1436"/>
      <c r="H362" s="1420"/>
      <c r="I362" s="1459"/>
      <c r="J362" s="1436"/>
      <c r="K362" s="1420"/>
      <c r="O362" s="1364"/>
      <c r="P362" s="1364"/>
      <c r="Q362" s="1364"/>
      <c r="T362" s="1365"/>
      <c r="U362" s="1365"/>
      <c r="V362" s="1365"/>
      <c r="AJ362" s="1427"/>
    </row>
    <row r="363" spans="1:36" s="1363" customFormat="1" hidden="1">
      <c r="A363" s="1426"/>
      <c r="B363" s="1433"/>
      <c r="C363" s="1461"/>
      <c r="D363" s="1435"/>
      <c r="E363" s="1420"/>
      <c r="F363" s="1461"/>
      <c r="G363" s="1435"/>
      <c r="H363" s="1420"/>
      <c r="I363" s="1461"/>
      <c r="J363" s="1435"/>
      <c r="K363" s="1420"/>
      <c r="O363" s="1364"/>
      <c r="P363" s="1364"/>
      <c r="Q363" s="1364"/>
      <c r="T363" s="1365"/>
      <c r="U363" s="1365"/>
      <c r="V363" s="1365"/>
      <c r="AJ363" s="1427"/>
    </row>
    <row r="364" spans="1:36" s="1363" customFormat="1" hidden="1">
      <c r="A364" s="1426"/>
      <c r="B364" s="1433"/>
      <c r="C364" s="1461"/>
      <c r="D364" s="1435"/>
      <c r="E364" s="1420"/>
      <c r="F364" s="1461"/>
      <c r="G364" s="1435"/>
      <c r="H364" s="1420"/>
      <c r="I364" s="1461"/>
      <c r="J364" s="1435"/>
      <c r="K364" s="1420"/>
      <c r="O364" s="1364"/>
      <c r="P364" s="1364"/>
      <c r="Q364" s="1364"/>
      <c r="T364" s="1365"/>
      <c r="U364" s="1365"/>
      <c r="V364" s="1365"/>
      <c r="AJ364" s="1427"/>
    </row>
    <row r="365" spans="1:36" s="1363" customFormat="1" hidden="1">
      <c r="A365" s="1426"/>
      <c r="B365" s="1433"/>
      <c r="C365" s="1461"/>
      <c r="D365" s="1435"/>
      <c r="E365" s="1420"/>
      <c r="F365" s="1461"/>
      <c r="G365" s="1435"/>
      <c r="H365" s="1420"/>
      <c r="I365" s="1461"/>
      <c r="J365" s="1435"/>
      <c r="K365" s="1420"/>
      <c r="O365" s="1364"/>
      <c r="P365" s="1364"/>
      <c r="Q365" s="1364"/>
      <c r="T365" s="1365"/>
      <c r="U365" s="1365"/>
      <c r="V365" s="1365"/>
      <c r="AJ365" s="1427"/>
    </row>
    <row r="366" spans="1:36" s="1363" customFormat="1" hidden="1">
      <c r="A366" s="1426"/>
      <c r="B366" s="1433"/>
      <c r="C366" s="1461"/>
      <c r="D366" s="1436"/>
      <c r="E366" s="1420"/>
      <c r="F366" s="1461"/>
      <c r="G366" s="1436"/>
      <c r="H366" s="1420"/>
      <c r="I366" s="1461"/>
      <c r="J366" s="1436"/>
      <c r="K366" s="1420"/>
      <c r="O366" s="1364"/>
      <c r="P366" s="1364"/>
      <c r="Q366" s="1364"/>
      <c r="T366" s="1365"/>
      <c r="U366" s="1365"/>
      <c r="V366" s="1365"/>
      <c r="AJ366" s="1427"/>
    </row>
    <row r="367" spans="1:36" s="1363" customFormat="1" hidden="1">
      <c r="A367" s="1426"/>
      <c r="B367" s="1433"/>
      <c r="C367" s="1462"/>
      <c r="D367" s="1436"/>
      <c r="E367" s="1420"/>
      <c r="F367" s="1462"/>
      <c r="G367" s="1436"/>
      <c r="H367" s="1420"/>
      <c r="I367" s="1462"/>
      <c r="J367" s="1436"/>
      <c r="K367" s="1420"/>
      <c r="O367" s="1364"/>
      <c r="P367" s="1364"/>
      <c r="Q367" s="1364"/>
      <c r="T367" s="1365"/>
      <c r="U367" s="1365"/>
      <c r="V367" s="1365"/>
      <c r="AJ367" s="1427"/>
    </row>
    <row r="368" spans="1:36" s="1363" customFormat="1" hidden="1">
      <c r="A368" s="1426"/>
      <c r="B368" s="1433"/>
      <c r="C368" s="1462"/>
      <c r="D368" s="1436"/>
      <c r="E368" s="1420"/>
      <c r="F368" s="1462"/>
      <c r="G368" s="1436"/>
      <c r="H368" s="1420"/>
      <c r="I368" s="1462"/>
      <c r="J368" s="1436"/>
      <c r="K368" s="1420"/>
      <c r="O368" s="1364"/>
      <c r="P368" s="1364"/>
      <c r="Q368" s="1364"/>
      <c r="T368" s="1365"/>
      <c r="U368" s="1365"/>
      <c r="V368" s="1365"/>
      <c r="AJ368" s="1427"/>
    </row>
    <row r="369" spans="1:36" s="1363" customFormat="1" hidden="1">
      <c r="A369" s="1426"/>
      <c r="B369" s="1433"/>
      <c r="C369" s="1462"/>
      <c r="D369" s="1436"/>
      <c r="E369" s="1420"/>
      <c r="F369" s="1462"/>
      <c r="G369" s="1436"/>
      <c r="H369" s="1420"/>
      <c r="I369" s="1462"/>
      <c r="J369" s="1436"/>
      <c r="K369" s="1420"/>
      <c r="O369" s="1364"/>
      <c r="P369" s="1364"/>
      <c r="Q369" s="1364"/>
      <c r="T369" s="1365"/>
      <c r="U369" s="1365"/>
      <c r="V369" s="1365"/>
      <c r="AJ369" s="1427"/>
    </row>
    <row r="370" spans="1:36" s="1363" customFormat="1" hidden="1">
      <c r="A370" s="1426"/>
      <c r="B370" s="1433"/>
      <c r="C370" s="1463"/>
      <c r="D370" s="1436"/>
      <c r="E370" s="1420"/>
      <c r="F370" s="1463"/>
      <c r="G370" s="1436"/>
      <c r="H370" s="1420"/>
      <c r="I370" s="1463"/>
      <c r="J370" s="1436"/>
      <c r="K370" s="1420"/>
      <c r="O370" s="1364"/>
      <c r="P370" s="1364"/>
      <c r="Q370" s="1364"/>
      <c r="T370" s="1365"/>
      <c r="U370" s="1365"/>
      <c r="V370" s="1365"/>
      <c r="AJ370" s="1427"/>
    </row>
    <row r="371" spans="1:36" s="1363" customFormat="1" hidden="1">
      <c r="A371" s="1426"/>
      <c r="B371" s="1433"/>
      <c r="C371" s="1464"/>
      <c r="D371" s="1435"/>
      <c r="E371" s="1420"/>
      <c r="F371" s="1464"/>
      <c r="G371" s="1436"/>
      <c r="H371" s="1420"/>
      <c r="I371" s="1464"/>
      <c r="J371" s="1436"/>
      <c r="K371" s="1420"/>
      <c r="O371" s="1364"/>
      <c r="P371" s="1364"/>
      <c r="Q371" s="1364"/>
      <c r="T371" s="1365"/>
      <c r="U371" s="1365"/>
      <c r="V371" s="1365"/>
      <c r="AJ371" s="1427"/>
    </row>
    <row r="372" spans="1:36" s="1363" customFormat="1" hidden="1">
      <c r="A372" s="1426"/>
      <c r="B372" s="1433"/>
      <c r="C372" s="1465"/>
      <c r="D372" s="1435"/>
      <c r="E372" s="1420"/>
      <c r="F372" s="1465"/>
      <c r="G372" s="1436"/>
      <c r="H372" s="1420"/>
      <c r="I372" s="1465"/>
      <c r="J372" s="1436"/>
      <c r="K372" s="1420"/>
      <c r="O372" s="1364"/>
      <c r="P372" s="1364"/>
      <c r="Q372" s="1364"/>
      <c r="T372" s="1365"/>
      <c r="U372" s="1365"/>
      <c r="V372" s="1365"/>
      <c r="AJ372" s="1427"/>
    </row>
    <row r="373" spans="1:36" s="1363" customFormat="1" hidden="1">
      <c r="B373" s="1474"/>
      <c r="C373" s="1398"/>
      <c r="E373" s="1420"/>
      <c r="F373" s="1398"/>
      <c r="H373" s="1420"/>
      <c r="I373" s="1443"/>
      <c r="J373" s="1436"/>
      <c r="K373" s="1420"/>
      <c r="M373" s="1427"/>
      <c r="O373" s="1449"/>
      <c r="R373" s="1450"/>
      <c r="S373" s="1450"/>
      <c r="T373" s="1365"/>
      <c r="U373" s="1365"/>
      <c r="V373" s="1365"/>
      <c r="AJ373" s="1427"/>
    </row>
    <row r="374" spans="1:36" s="1363" customFormat="1" hidden="1">
      <c r="B374" s="1474"/>
      <c r="C374" s="1398"/>
      <c r="E374" s="1420"/>
      <c r="F374" s="1398"/>
      <c r="H374" s="1420"/>
      <c r="I374" s="1443"/>
      <c r="J374" s="1436"/>
      <c r="K374" s="1420"/>
      <c r="M374" s="1427"/>
      <c r="O374" s="1449"/>
      <c r="R374" s="1450"/>
      <c r="S374" s="1450"/>
      <c r="T374" s="1365"/>
      <c r="U374" s="1365"/>
      <c r="V374" s="1365"/>
      <c r="AJ374" s="1427"/>
    </row>
    <row r="375" spans="1:36" s="1363" customFormat="1" hidden="1">
      <c r="B375" s="1474"/>
      <c r="C375" s="1398"/>
      <c r="E375" s="1420"/>
      <c r="F375" s="1398"/>
      <c r="H375" s="1420"/>
      <c r="I375" s="1443"/>
      <c r="J375" s="1436"/>
      <c r="K375" s="1420"/>
      <c r="M375" s="1427"/>
      <c r="O375" s="1449"/>
      <c r="R375" s="1450"/>
      <c r="S375" s="1450"/>
      <c r="T375" s="1365"/>
      <c r="U375" s="1365"/>
      <c r="V375" s="1365"/>
      <c r="AJ375" s="1427"/>
    </row>
    <row r="376" spans="1:36" s="1363" customFormat="1" hidden="1">
      <c r="A376" s="1426"/>
      <c r="B376" s="1433"/>
      <c r="C376" s="1448"/>
      <c r="D376" s="1420"/>
      <c r="E376" s="1420"/>
      <c r="F376" s="1448"/>
      <c r="G376" s="1436"/>
      <c r="H376" s="1420"/>
      <c r="I376" s="1448"/>
      <c r="J376" s="1436"/>
      <c r="K376" s="1420"/>
      <c r="O376" s="1364"/>
      <c r="P376" s="1364"/>
      <c r="Q376" s="1364"/>
      <c r="T376" s="1365"/>
      <c r="U376" s="1365"/>
      <c r="V376" s="1365"/>
      <c r="AJ376" s="1427"/>
    </row>
    <row r="377" spans="1:36" s="1363" customFormat="1" hidden="1">
      <c r="A377" s="1426"/>
      <c r="B377" s="1433"/>
      <c r="C377" s="1436"/>
      <c r="D377" s="1436"/>
      <c r="E377" s="1435"/>
      <c r="F377" s="1436"/>
      <c r="G377" s="1436"/>
      <c r="H377" s="1435"/>
      <c r="I377" s="1436"/>
      <c r="J377" s="1436"/>
      <c r="K377" s="1435"/>
      <c r="M377" s="1422"/>
      <c r="N377" s="1422"/>
      <c r="O377" s="1423"/>
      <c r="P377" s="1364"/>
      <c r="Q377" s="1364"/>
      <c r="T377" s="1365"/>
      <c r="U377" s="1365"/>
      <c r="V377" s="1365"/>
      <c r="AJ377" s="1427"/>
    </row>
    <row r="378" spans="1:36" s="1363" customFormat="1" hidden="1">
      <c r="A378" s="1426"/>
      <c r="B378" s="1433"/>
      <c r="C378" s="1467"/>
      <c r="D378" s="1468"/>
      <c r="E378" s="1435"/>
      <c r="F378" s="1467"/>
      <c r="G378" s="1426"/>
      <c r="H378" s="1435"/>
      <c r="I378" s="1467"/>
      <c r="J378" s="1426"/>
      <c r="K378" s="1435"/>
      <c r="M378" s="1424"/>
      <c r="N378" s="1424"/>
      <c r="O378" s="1412"/>
      <c r="P378" s="1364"/>
      <c r="Q378" s="1364"/>
      <c r="T378" s="1365"/>
      <c r="U378" s="1365"/>
      <c r="V378" s="1365"/>
      <c r="AJ378" s="1427"/>
    </row>
    <row r="379" spans="1:36" s="1363" customFormat="1" hidden="1">
      <c r="A379" s="1426"/>
      <c r="B379" s="1428"/>
      <c r="C379" s="1464"/>
      <c r="D379" s="1420"/>
      <c r="E379" s="1420"/>
      <c r="F379" s="1464"/>
      <c r="G379" s="1426"/>
      <c r="H379" s="1420"/>
      <c r="I379" s="1461"/>
      <c r="J379" s="1426"/>
      <c r="K379" s="1420"/>
      <c r="O379" s="1364"/>
      <c r="P379" s="1364"/>
      <c r="Q379" s="1364"/>
      <c r="T379" s="1365"/>
      <c r="U379" s="1365"/>
      <c r="V379" s="1365"/>
      <c r="AJ379" s="1427"/>
    </row>
    <row r="380" spans="1:36" s="1363" customFormat="1" hidden="1">
      <c r="A380" s="1426"/>
      <c r="B380" s="1428"/>
      <c r="C380" s="1464"/>
      <c r="D380" s="1420"/>
      <c r="E380" s="1420"/>
      <c r="F380" s="1464"/>
      <c r="G380" s="1426"/>
      <c r="H380" s="1420"/>
      <c r="I380" s="1461"/>
      <c r="J380" s="1426"/>
      <c r="K380" s="1420"/>
      <c r="O380" s="1364"/>
      <c r="P380" s="1364"/>
      <c r="Q380" s="1364"/>
      <c r="T380" s="1365"/>
      <c r="U380" s="1365"/>
      <c r="V380" s="1365"/>
      <c r="AJ380" s="1427"/>
    </row>
    <row r="381" spans="1:36" s="1363" customFormat="1" hidden="1">
      <c r="A381" s="1425"/>
      <c r="B381" s="1426"/>
      <c r="C381" s="1420"/>
      <c r="D381" s="1420"/>
      <c r="E381" s="1426"/>
      <c r="F381" s="1420"/>
      <c r="G381" s="1426"/>
      <c r="H381" s="1426"/>
      <c r="I381" s="1420"/>
      <c r="J381" s="1426"/>
      <c r="K381" s="1426"/>
      <c r="O381" s="1364"/>
      <c r="P381" s="1364"/>
      <c r="Q381" s="1364"/>
      <c r="T381" s="1365"/>
      <c r="U381" s="1365"/>
      <c r="V381" s="1365"/>
      <c r="AJ381" s="1427"/>
    </row>
    <row r="382" spans="1:36" s="1363" customFormat="1" hidden="1">
      <c r="A382" s="1426"/>
      <c r="B382" s="1426"/>
      <c r="C382" s="1420"/>
      <c r="D382" s="1420"/>
      <c r="E382" s="1426"/>
      <c r="F382" s="1420"/>
      <c r="G382" s="1426"/>
      <c r="H382" s="1426"/>
      <c r="I382" s="1420"/>
      <c r="J382" s="1426"/>
      <c r="K382" s="1426"/>
      <c r="O382" s="1364"/>
      <c r="P382" s="1364"/>
      <c r="Q382" s="1364"/>
      <c r="T382" s="1365"/>
      <c r="U382" s="1365"/>
      <c r="V382" s="1365"/>
    </row>
    <row r="383" spans="1:36" s="1363" customFormat="1" hidden="1">
      <c r="A383" s="1426"/>
      <c r="B383" s="1426"/>
      <c r="C383" s="1420"/>
      <c r="D383" s="1420"/>
      <c r="E383" s="1426"/>
      <c r="F383" s="1420"/>
      <c r="G383" s="1426"/>
      <c r="H383" s="1426"/>
      <c r="I383" s="1420"/>
      <c r="J383" s="1426"/>
      <c r="K383" s="1426"/>
      <c r="O383" s="1364"/>
      <c r="P383" s="1364"/>
      <c r="Q383" s="1364"/>
      <c r="T383" s="1365"/>
      <c r="U383" s="1365"/>
      <c r="V383" s="1365"/>
    </row>
    <row r="384" spans="1:36" s="1363" customFormat="1" hidden="1">
      <c r="A384" s="1426"/>
      <c r="B384" s="1433"/>
      <c r="C384" s="1420"/>
      <c r="D384" s="1420"/>
      <c r="E384" s="1426"/>
      <c r="F384" s="1420"/>
      <c r="G384" s="1426"/>
      <c r="H384" s="1426"/>
      <c r="I384" s="1420"/>
      <c r="J384" s="1426"/>
      <c r="K384" s="1426"/>
      <c r="O384" s="1364"/>
      <c r="P384" s="1364"/>
      <c r="Q384" s="1364"/>
      <c r="T384" s="1365"/>
      <c r="U384" s="1365"/>
      <c r="V384" s="1365"/>
    </row>
    <row r="385" spans="1:36" s="1363" customFormat="1" hidden="1">
      <c r="A385" s="1426"/>
      <c r="B385" s="1433"/>
      <c r="C385" s="1429"/>
      <c r="D385" s="1435"/>
      <c r="E385" s="1420"/>
      <c r="F385" s="1429"/>
      <c r="G385" s="1436"/>
      <c r="H385" s="1420"/>
      <c r="I385" s="1429"/>
      <c r="J385" s="1436"/>
      <c r="K385" s="1420"/>
      <c r="O385" s="1364"/>
      <c r="P385" s="1364"/>
      <c r="Q385" s="1364"/>
      <c r="T385" s="1365"/>
      <c r="U385" s="1365"/>
      <c r="V385" s="1365"/>
    </row>
    <row r="386" spans="1:36" s="1363" customFormat="1" hidden="1">
      <c r="A386" s="1426"/>
      <c r="B386" s="1433"/>
      <c r="C386" s="1429"/>
      <c r="D386" s="1437"/>
      <c r="E386" s="1420"/>
      <c r="F386" s="1429"/>
      <c r="G386" s="1438"/>
      <c r="H386" s="1420"/>
      <c r="I386" s="1429"/>
      <c r="J386" s="1438"/>
      <c r="K386" s="1420"/>
      <c r="O386" s="1364"/>
      <c r="P386" s="1364"/>
      <c r="Q386" s="1364"/>
      <c r="T386" s="1365"/>
      <c r="U386" s="1365"/>
      <c r="V386" s="1365"/>
    </row>
    <row r="387" spans="1:36" s="1363" customFormat="1" hidden="1">
      <c r="A387" s="1426"/>
      <c r="B387" s="1433"/>
      <c r="C387" s="1429"/>
      <c r="D387" s="1437"/>
      <c r="E387" s="1420"/>
      <c r="F387" s="1429"/>
      <c r="G387" s="1438"/>
      <c r="H387" s="1420"/>
      <c r="I387" s="1429"/>
      <c r="J387" s="1438"/>
      <c r="K387" s="1420"/>
      <c r="O387" s="1364"/>
      <c r="P387" s="1364"/>
      <c r="Q387" s="1364"/>
      <c r="T387" s="1365"/>
      <c r="U387" s="1365"/>
      <c r="V387" s="1365"/>
    </row>
    <row r="388" spans="1:36" s="1363" customFormat="1" hidden="1">
      <c r="A388" s="1426"/>
      <c r="B388" s="1433"/>
      <c r="C388" s="1429"/>
      <c r="D388" s="1435"/>
      <c r="E388" s="1420"/>
      <c r="F388" s="1429"/>
      <c r="G388" s="1436"/>
      <c r="H388" s="1420"/>
      <c r="I388" s="1429"/>
      <c r="J388" s="1436"/>
      <c r="K388" s="1420"/>
      <c r="O388" s="1364"/>
      <c r="P388" s="1364"/>
      <c r="Q388" s="1364"/>
      <c r="T388" s="1365"/>
      <c r="U388" s="1365"/>
      <c r="V388" s="1365"/>
    </row>
    <row r="389" spans="1:36" s="1363" customFormat="1" hidden="1">
      <c r="A389" s="1426"/>
      <c r="B389" s="1433"/>
      <c r="C389" s="1429"/>
      <c r="D389" s="1435"/>
      <c r="E389" s="1420"/>
      <c r="F389" s="1429"/>
      <c r="G389" s="1436"/>
      <c r="H389" s="1420"/>
      <c r="I389" s="1429"/>
      <c r="J389" s="1436"/>
      <c r="K389" s="1420"/>
      <c r="O389" s="1364"/>
      <c r="P389" s="1364"/>
      <c r="Q389" s="1364"/>
      <c r="T389" s="1365"/>
      <c r="U389" s="1365"/>
      <c r="V389" s="1365"/>
    </row>
    <row r="390" spans="1:36" s="1363" customFormat="1" hidden="1">
      <c r="A390" s="1426"/>
      <c r="B390" s="1433"/>
      <c r="C390" s="1464"/>
      <c r="D390" s="1436"/>
      <c r="E390" s="1420"/>
      <c r="F390" s="1464"/>
      <c r="G390" s="1436"/>
      <c r="H390" s="1420"/>
      <c r="I390" s="1464"/>
      <c r="J390" s="1436"/>
      <c r="K390" s="1420"/>
      <c r="O390" s="1364"/>
      <c r="P390" s="1364"/>
      <c r="Q390" s="1364"/>
      <c r="T390" s="1365"/>
      <c r="U390" s="1365"/>
      <c r="V390" s="1365"/>
    </row>
    <row r="391" spans="1:36" s="1363" customFormat="1" hidden="1">
      <c r="A391" s="1426"/>
      <c r="B391" s="1433"/>
      <c r="C391" s="1443"/>
      <c r="D391" s="1436"/>
      <c r="E391" s="1420"/>
      <c r="F391" s="1443"/>
      <c r="G391" s="1436"/>
      <c r="H391" s="1420"/>
      <c r="I391" s="1443"/>
      <c r="J391" s="1436"/>
      <c r="K391" s="1420"/>
      <c r="O391" s="1364"/>
      <c r="P391" s="1364"/>
      <c r="Q391" s="1364"/>
      <c r="T391" s="1365"/>
      <c r="U391" s="1365"/>
      <c r="V391" s="1365"/>
    </row>
    <row r="392" spans="1:36" s="1363" customFormat="1" hidden="1">
      <c r="A392" s="1426"/>
      <c r="B392" s="1433"/>
      <c r="C392" s="1443"/>
      <c r="D392" s="1436"/>
      <c r="E392" s="1420"/>
      <c r="F392" s="1443"/>
      <c r="G392" s="1436"/>
      <c r="H392" s="1420"/>
      <c r="I392" s="1443"/>
      <c r="J392" s="1436"/>
      <c r="K392" s="1420"/>
      <c r="O392" s="1364"/>
      <c r="P392" s="1364"/>
      <c r="Q392" s="1364"/>
      <c r="T392" s="1365"/>
      <c r="U392" s="1365"/>
      <c r="V392" s="1365"/>
    </row>
    <row r="393" spans="1:36" s="1363" customFormat="1" hidden="1">
      <c r="A393" s="1426"/>
      <c r="B393" s="1433"/>
      <c r="C393" s="1443"/>
      <c r="D393" s="1436"/>
      <c r="E393" s="1420"/>
      <c r="F393" s="1443"/>
      <c r="G393" s="1436"/>
      <c r="H393" s="1420"/>
      <c r="I393" s="1443"/>
      <c r="J393" s="1436"/>
      <c r="K393" s="1420"/>
      <c r="O393" s="1364"/>
      <c r="P393" s="1364"/>
      <c r="Q393" s="1364"/>
      <c r="T393" s="1365"/>
      <c r="U393" s="1365"/>
      <c r="V393" s="1365"/>
    </row>
    <row r="394" spans="1:36" s="1363" customFormat="1" hidden="1">
      <c r="A394" s="1426"/>
      <c r="B394" s="1433"/>
      <c r="C394" s="1448"/>
      <c r="D394" s="1435"/>
      <c r="E394" s="1420"/>
      <c r="F394" s="1448"/>
      <c r="G394" s="1436"/>
      <c r="H394" s="1420"/>
      <c r="I394" s="1448"/>
      <c r="J394" s="1436"/>
      <c r="K394" s="1420"/>
      <c r="O394" s="1364"/>
      <c r="P394" s="1364"/>
      <c r="Q394" s="1364"/>
      <c r="T394" s="1365"/>
      <c r="U394" s="1365"/>
      <c r="V394" s="1365"/>
    </row>
    <row r="395" spans="1:36" s="1363" customFormat="1" hidden="1">
      <c r="B395" s="1433"/>
      <c r="C395" s="1398"/>
      <c r="E395" s="1420"/>
      <c r="F395" s="1398"/>
      <c r="H395" s="1420"/>
      <c r="I395" s="1443"/>
      <c r="J395" s="1436"/>
      <c r="K395" s="1420"/>
      <c r="M395" s="1427"/>
      <c r="O395" s="1449"/>
      <c r="R395" s="1450"/>
      <c r="S395" s="1450"/>
      <c r="T395" s="1365"/>
      <c r="U395" s="1365"/>
      <c r="V395" s="1365"/>
      <c r="AJ395" s="1427"/>
    </row>
    <row r="396" spans="1:36" s="1363" customFormat="1" hidden="1">
      <c r="B396" s="1433"/>
      <c r="C396" s="1398"/>
      <c r="E396" s="1420"/>
      <c r="F396" s="1398"/>
      <c r="H396" s="1420"/>
      <c r="I396" s="1443"/>
      <c r="J396" s="1436"/>
      <c r="K396" s="1420"/>
      <c r="M396" s="1427"/>
      <c r="O396" s="1449"/>
      <c r="R396" s="1450"/>
      <c r="S396" s="1450"/>
      <c r="T396" s="1365"/>
      <c r="U396" s="1365"/>
      <c r="V396" s="1365"/>
      <c r="AJ396" s="1427"/>
    </row>
    <row r="397" spans="1:36" s="1363" customFormat="1" hidden="1">
      <c r="B397" s="1433"/>
      <c r="C397" s="1398"/>
      <c r="E397" s="1420"/>
      <c r="F397" s="1398"/>
      <c r="H397" s="1420"/>
      <c r="I397" s="1443"/>
      <c r="J397" s="1436"/>
      <c r="K397" s="1420"/>
      <c r="M397" s="1427"/>
      <c r="O397" s="1449"/>
      <c r="R397" s="1450"/>
      <c r="S397" s="1450"/>
      <c r="T397" s="1365"/>
      <c r="U397" s="1365"/>
      <c r="V397" s="1365"/>
      <c r="AJ397" s="1427"/>
    </row>
    <row r="398" spans="1:36" s="1363" customFormat="1" hidden="1">
      <c r="A398" s="1458"/>
      <c r="B398" s="1433"/>
      <c r="C398" s="1459"/>
      <c r="D398" s="1435"/>
      <c r="E398" s="1420"/>
      <c r="F398" s="1459"/>
      <c r="G398" s="1436"/>
      <c r="H398" s="1420"/>
      <c r="I398" s="1459"/>
      <c r="J398" s="1436"/>
      <c r="K398" s="1420"/>
      <c r="O398" s="1364"/>
      <c r="P398" s="1364"/>
      <c r="Q398" s="1364"/>
      <c r="T398" s="1365"/>
      <c r="U398" s="1365"/>
      <c r="V398" s="1365"/>
    </row>
    <row r="399" spans="1:36" s="1363" customFormat="1" hidden="1">
      <c r="A399" s="1426"/>
      <c r="B399" s="1433"/>
      <c r="C399" s="1461"/>
      <c r="D399" s="1435"/>
      <c r="E399" s="1420"/>
      <c r="F399" s="1461"/>
      <c r="G399" s="1435"/>
      <c r="H399" s="1420"/>
      <c r="I399" s="1461"/>
      <c r="J399" s="1435"/>
      <c r="K399" s="1420"/>
      <c r="O399" s="1364"/>
      <c r="P399" s="1364"/>
      <c r="Q399" s="1364"/>
      <c r="T399" s="1365"/>
      <c r="U399" s="1365"/>
      <c r="V399" s="1365"/>
    </row>
    <row r="400" spans="1:36" s="1363" customFormat="1" hidden="1">
      <c r="A400" s="1426"/>
      <c r="B400" s="1433"/>
      <c r="C400" s="1461"/>
      <c r="D400" s="1435"/>
      <c r="E400" s="1420"/>
      <c r="F400" s="1461"/>
      <c r="G400" s="1435"/>
      <c r="H400" s="1420"/>
      <c r="I400" s="1461"/>
      <c r="J400" s="1435"/>
      <c r="K400" s="1420"/>
      <c r="O400" s="1364"/>
      <c r="P400" s="1364"/>
      <c r="Q400" s="1364"/>
      <c r="T400" s="1365"/>
      <c r="U400" s="1365"/>
      <c r="V400" s="1365"/>
    </row>
    <row r="401" spans="1:36" s="1363" customFormat="1" hidden="1">
      <c r="A401" s="1426"/>
      <c r="B401" s="1433"/>
      <c r="C401" s="1461"/>
      <c r="D401" s="1435"/>
      <c r="E401" s="1420"/>
      <c r="F401" s="1461"/>
      <c r="G401" s="1435"/>
      <c r="H401" s="1420"/>
      <c r="I401" s="1461"/>
      <c r="J401" s="1435"/>
      <c r="K401" s="1420"/>
      <c r="O401" s="1364"/>
      <c r="P401" s="1364"/>
      <c r="Q401" s="1364"/>
      <c r="T401" s="1365"/>
      <c r="U401" s="1365"/>
      <c r="V401" s="1365"/>
    </row>
    <row r="402" spans="1:36" s="1363" customFormat="1" hidden="1">
      <c r="A402" s="1426"/>
      <c r="B402" s="1433"/>
      <c r="C402" s="1461"/>
      <c r="D402" s="1436"/>
      <c r="E402" s="1420"/>
      <c r="F402" s="1461"/>
      <c r="G402" s="1436"/>
      <c r="H402" s="1420"/>
      <c r="I402" s="1461"/>
      <c r="J402" s="1436"/>
      <c r="K402" s="1420"/>
      <c r="O402" s="1364"/>
      <c r="P402" s="1364"/>
      <c r="Q402" s="1364"/>
      <c r="T402" s="1365"/>
      <c r="U402" s="1365"/>
      <c r="V402" s="1365"/>
    </row>
    <row r="403" spans="1:36" s="1363" customFormat="1" hidden="1">
      <c r="A403" s="1426"/>
      <c r="B403" s="1433"/>
      <c r="C403" s="1462"/>
      <c r="D403" s="1436"/>
      <c r="E403" s="1420"/>
      <c r="F403" s="1462"/>
      <c r="G403" s="1436"/>
      <c r="H403" s="1420"/>
      <c r="I403" s="1462"/>
      <c r="J403" s="1436"/>
      <c r="K403" s="1420"/>
      <c r="O403" s="1364"/>
      <c r="P403" s="1364"/>
      <c r="Q403" s="1364"/>
      <c r="T403" s="1365"/>
      <c r="U403" s="1365"/>
      <c r="V403" s="1365"/>
    </row>
    <row r="404" spans="1:36" s="1363" customFormat="1" hidden="1">
      <c r="A404" s="1426"/>
      <c r="B404" s="1433"/>
      <c r="C404" s="1462"/>
      <c r="D404" s="1436"/>
      <c r="E404" s="1420"/>
      <c r="F404" s="1462"/>
      <c r="G404" s="1436"/>
      <c r="H404" s="1420"/>
      <c r="I404" s="1462"/>
      <c r="J404" s="1436"/>
      <c r="K404" s="1420"/>
      <c r="O404" s="1364"/>
      <c r="P404" s="1364"/>
      <c r="Q404" s="1364"/>
      <c r="T404" s="1365"/>
      <c r="U404" s="1365"/>
      <c r="V404" s="1365"/>
    </row>
    <row r="405" spans="1:36" s="1363" customFormat="1" hidden="1">
      <c r="A405" s="1426"/>
      <c r="B405" s="1433"/>
      <c r="C405" s="1462"/>
      <c r="D405" s="1436"/>
      <c r="E405" s="1420"/>
      <c r="F405" s="1462"/>
      <c r="G405" s="1436"/>
      <c r="H405" s="1420"/>
      <c r="I405" s="1462"/>
      <c r="J405" s="1436"/>
      <c r="K405" s="1420"/>
      <c r="O405" s="1364"/>
      <c r="P405" s="1364"/>
      <c r="Q405" s="1364"/>
      <c r="T405" s="1365"/>
      <c r="U405" s="1365"/>
      <c r="V405" s="1365"/>
    </row>
    <row r="406" spans="1:36" s="1363" customFormat="1" hidden="1">
      <c r="A406" s="1426"/>
      <c r="B406" s="1433"/>
      <c r="C406" s="1463"/>
      <c r="D406" s="1436"/>
      <c r="E406" s="1420"/>
      <c r="F406" s="1463"/>
      <c r="G406" s="1436"/>
      <c r="H406" s="1420"/>
      <c r="I406" s="1463"/>
      <c r="J406" s="1436"/>
      <c r="K406" s="1420"/>
      <c r="O406" s="1364"/>
      <c r="P406" s="1364"/>
      <c r="Q406" s="1364"/>
      <c r="T406" s="1365"/>
      <c r="U406" s="1365"/>
      <c r="V406" s="1365"/>
    </row>
    <row r="407" spans="1:36" s="1363" customFormat="1" hidden="1">
      <c r="A407" s="1426"/>
      <c r="B407" s="1433"/>
      <c r="C407" s="1464"/>
      <c r="D407" s="1435"/>
      <c r="E407" s="1420"/>
      <c r="F407" s="1464"/>
      <c r="G407" s="1436"/>
      <c r="H407" s="1420"/>
      <c r="I407" s="1464"/>
      <c r="J407" s="1436"/>
      <c r="K407" s="1420"/>
      <c r="O407" s="1364"/>
      <c r="P407" s="1364"/>
      <c r="Q407" s="1364"/>
      <c r="T407" s="1365"/>
      <c r="U407" s="1365"/>
      <c r="V407" s="1365"/>
    </row>
    <row r="408" spans="1:36" s="1363" customFormat="1" hidden="1">
      <c r="A408" s="1426"/>
      <c r="B408" s="1433"/>
      <c r="C408" s="1465"/>
      <c r="D408" s="1435"/>
      <c r="E408" s="1420"/>
      <c r="F408" s="1465"/>
      <c r="G408" s="1436"/>
      <c r="H408" s="1420"/>
      <c r="I408" s="1465"/>
      <c r="J408" s="1436"/>
      <c r="K408" s="1420"/>
      <c r="O408" s="1364"/>
      <c r="P408" s="1364"/>
      <c r="Q408" s="1364"/>
      <c r="T408" s="1365"/>
      <c r="U408" s="1365"/>
      <c r="V408" s="1365"/>
    </row>
    <row r="409" spans="1:36" s="1363" customFormat="1" hidden="1">
      <c r="B409" s="1474"/>
      <c r="C409" s="1398"/>
      <c r="E409" s="1420"/>
      <c r="F409" s="1398"/>
      <c r="H409" s="1420"/>
      <c r="I409" s="1443"/>
      <c r="J409" s="1436"/>
      <c r="K409" s="1420"/>
      <c r="M409" s="1427"/>
      <c r="O409" s="1449"/>
      <c r="R409" s="1450"/>
      <c r="S409" s="1450"/>
      <c r="T409" s="1365"/>
      <c r="U409" s="1365"/>
      <c r="V409" s="1365"/>
      <c r="AJ409" s="1427"/>
    </row>
    <row r="410" spans="1:36" s="1363" customFormat="1" hidden="1">
      <c r="B410" s="1474"/>
      <c r="C410" s="1398"/>
      <c r="E410" s="1420"/>
      <c r="F410" s="1398"/>
      <c r="H410" s="1420"/>
      <c r="I410" s="1443"/>
      <c r="J410" s="1436"/>
      <c r="K410" s="1420"/>
      <c r="M410" s="1427"/>
      <c r="O410" s="1449"/>
      <c r="R410" s="1450"/>
      <c r="S410" s="1450"/>
      <c r="T410" s="1365"/>
      <c r="U410" s="1365"/>
      <c r="V410" s="1365"/>
      <c r="AJ410" s="1427"/>
    </row>
    <row r="411" spans="1:36" s="1363" customFormat="1" hidden="1">
      <c r="B411" s="1474"/>
      <c r="C411" s="1398"/>
      <c r="E411" s="1420"/>
      <c r="F411" s="1398"/>
      <c r="H411" s="1420"/>
      <c r="I411" s="1443"/>
      <c r="J411" s="1436"/>
      <c r="K411" s="1420"/>
      <c r="M411" s="1427"/>
      <c r="O411" s="1449"/>
      <c r="R411" s="1450"/>
      <c r="S411" s="1450"/>
      <c r="T411" s="1365"/>
      <c r="U411" s="1365"/>
      <c r="V411" s="1365"/>
      <c r="AJ411" s="1427"/>
    </row>
    <row r="412" spans="1:36" s="1363" customFormat="1" hidden="1">
      <c r="A412" s="1426"/>
      <c r="B412" s="1433"/>
      <c r="C412" s="1448"/>
      <c r="D412" s="1420"/>
      <c r="E412" s="1420"/>
      <c r="F412" s="1437"/>
      <c r="G412" s="1436"/>
      <c r="H412" s="1420"/>
      <c r="I412" s="1420"/>
      <c r="J412" s="1436"/>
      <c r="K412" s="1420"/>
      <c r="O412" s="1364"/>
      <c r="P412" s="1364"/>
      <c r="Q412" s="1364"/>
      <c r="T412" s="1365"/>
      <c r="U412" s="1365"/>
      <c r="V412" s="1365"/>
    </row>
    <row r="413" spans="1:36" s="1363" customFormat="1" hidden="1">
      <c r="A413" s="1426"/>
      <c r="B413" s="1433"/>
      <c r="C413" s="1436"/>
      <c r="D413" s="1436"/>
      <c r="E413" s="1435"/>
      <c r="F413" s="1436"/>
      <c r="G413" s="1436"/>
      <c r="H413" s="1435"/>
      <c r="I413" s="1436"/>
      <c r="J413" s="1436"/>
      <c r="K413" s="1435"/>
      <c r="M413" s="1422"/>
      <c r="N413" s="1422"/>
      <c r="O413" s="1423"/>
      <c r="P413" s="1364"/>
      <c r="Q413" s="1364"/>
      <c r="T413" s="1365"/>
      <c r="U413" s="1365"/>
      <c r="V413" s="1365"/>
    </row>
    <row r="414" spans="1:36" s="1363" customFormat="1" hidden="1">
      <c r="A414" s="1426"/>
      <c r="B414" s="1433"/>
      <c r="C414" s="1467"/>
      <c r="D414" s="1468"/>
      <c r="E414" s="1435"/>
      <c r="F414" s="1467"/>
      <c r="G414" s="1426"/>
      <c r="H414" s="1435"/>
      <c r="I414" s="1467"/>
      <c r="J414" s="1426"/>
      <c r="K414" s="1435"/>
      <c r="M414" s="1424"/>
      <c r="N414" s="1424"/>
      <c r="O414" s="1412"/>
      <c r="P414" s="1364"/>
      <c r="Q414" s="1364"/>
      <c r="T414" s="1365"/>
      <c r="U414" s="1365"/>
      <c r="V414" s="1365"/>
    </row>
    <row r="415" spans="1:36" s="1363" customFormat="1" hidden="1">
      <c r="A415" s="1426"/>
      <c r="B415" s="1428"/>
      <c r="C415" s="1464"/>
      <c r="D415" s="1420"/>
      <c r="E415" s="1420"/>
      <c r="F415" s="1464"/>
      <c r="G415" s="1426"/>
      <c r="H415" s="1420"/>
      <c r="I415" s="1461"/>
      <c r="J415" s="1426"/>
      <c r="K415" s="1420"/>
      <c r="O415" s="1364"/>
      <c r="P415" s="1364"/>
      <c r="Q415" s="1364"/>
      <c r="T415" s="1365"/>
      <c r="U415" s="1365"/>
      <c r="V415" s="1365"/>
    </row>
    <row r="416" spans="1:36" s="1363" customFormat="1" hidden="1">
      <c r="A416" s="1425"/>
      <c r="B416" s="1426"/>
      <c r="C416" s="1420"/>
      <c r="D416" s="1420"/>
      <c r="E416" s="1426"/>
      <c r="F416" s="1420"/>
      <c r="G416" s="1426"/>
      <c r="H416" s="1426"/>
      <c r="I416" s="1420"/>
      <c r="J416" s="1426"/>
      <c r="K416" s="1426"/>
      <c r="O416" s="1364"/>
      <c r="P416" s="1364"/>
      <c r="Q416" s="1364"/>
      <c r="T416" s="1365"/>
      <c r="U416" s="1365"/>
      <c r="V416" s="1365"/>
    </row>
    <row r="417" spans="1:36" s="1363" customFormat="1" hidden="1">
      <c r="A417" s="1426"/>
      <c r="B417" s="1426"/>
      <c r="C417" s="1420"/>
      <c r="D417" s="1420"/>
      <c r="E417" s="1426"/>
      <c r="F417" s="1420"/>
      <c r="G417" s="1426"/>
      <c r="H417" s="1426"/>
      <c r="I417" s="1420"/>
      <c r="J417" s="1426"/>
      <c r="K417" s="1426"/>
      <c r="O417" s="1364"/>
      <c r="P417" s="1364"/>
      <c r="Q417" s="1364"/>
      <c r="T417" s="1365"/>
      <c r="U417" s="1365"/>
      <c r="V417" s="1365"/>
    </row>
    <row r="418" spans="1:36" s="1363" customFormat="1" hidden="1">
      <c r="A418" s="1426"/>
      <c r="B418" s="1426"/>
      <c r="C418" s="1420"/>
      <c r="D418" s="1420"/>
      <c r="E418" s="1426"/>
      <c r="F418" s="1420"/>
      <c r="G418" s="1426"/>
      <c r="H418" s="1426"/>
      <c r="I418" s="1420"/>
      <c r="J418" s="1426"/>
      <c r="K418" s="1426"/>
      <c r="O418" s="1364"/>
      <c r="P418" s="1364"/>
      <c r="Q418" s="1364"/>
      <c r="T418" s="1365"/>
      <c r="U418" s="1365"/>
      <c r="V418" s="1365"/>
    </row>
    <row r="419" spans="1:36" s="1363" customFormat="1" hidden="1">
      <c r="A419" s="1426"/>
      <c r="B419" s="1433"/>
      <c r="C419" s="1420"/>
      <c r="D419" s="1420"/>
      <c r="E419" s="1426"/>
      <c r="F419" s="1420"/>
      <c r="G419" s="1426"/>
      <c r="H419" s="1426"/>
      <c r="I419" s="1420"/>
      <c r="J419" s="1426"/>
      <c r="K419" s="1426"/>
      <c r="O419" s="1364"/>
      <c r="P419" s="1364"/>
      <c r="Q419" s="1364"/>
      <c r="T419" s="1365"/>
      <c r="U419" s="1365"/>
      <c r="V419" s="1365"/>
    </row>
    <row r="420" spans="1:36" s="1363" customFormat="1" hidden="1">
      <c r="A420" s="1426"/>
      <c r="B420" s="1433"/>
      <c r="C420" s="1429"/>
      <c r="D420" s="1435"/>
      <c r="E420" s="1420"/>
      <c r="F420" s="1429"/>
      <c r="G420" s="1436"/>
      <c r="H420" s="1420"/>
      <c r="I420" s="1429"/>
      <c r="J420" s="1436"/>
      <c r="K420" s="1420"/>
      <c r="O420" s="1364"/>
      <c r="P420" s="1364"/>
      <c r="Q420" s="1364"/>
      <c r="T420" s="1365"/>
      <c r="U420" s="1365"/>
      <c r="V420" s="1365"/>
    </row>
    <row r="421" spans="1:36" s="1363" customFormat="1" hidden="1">
      <c r="A421" s="1426"/>
      <c r="B421" s="1433"/>
      <c r="C421" s="1429"/>
      <c r="D421" s="1437"/>
      <c r="E421" s="1420"/>
      <c r="F421" s="1429"/>
      <c r="G421" s="1438"/>
      <c r="H421" s="1420"/>
      <c r="I421" s="1429"/>
      <c r="J421" s="1438"/>
      <c r="K421" s="1420"/>
      <c r="O421" s="1364"/>
      <c r="P421" s="1364"/>
      <c r="Q421" s="1364"/>
      <c r="T421" s="1365"/>
      <c r="U421" s="1365"/>
      <c r="V421" s="1365"/>
    </row>
    <row r="422" spans="1:36" s="1363" customFormat="1" hidden="1">
      <c r="A422" s="1426"/>
      <c r="B422" s="1433"/>
      <c r="C422" s="1429"/>
      <c r="D422" s="1437"/>
      <c r="E422" s="1420"/>
      <c r="F422" s="1429"/>
      <c r="G422" s="1438"/>
      <c r="H422" s="1420"/>
      <c r="I422" s="1429"/>
      <c r="J422" s="1438"/>
      <c r="K422" s="1420"/>
      <c r="O422" s="1364"/>
      <c r="P422" s="1364"/>
      <c r="Q422" s="1364"/>
      <c r="T422" s="1365"/>
      <c r="U422" s="1365"/>
      <c r="V422" s="1365"/>
    </row>
    <row r="423" spans="1:36" s="1363" customFormat="1" hidden="1">
      <c r="A423" s="1426"/>
      <c r="B423" s="1433"/>
      <c r="C423" s="1429"/>
      <c r="D423" s="1435"/>
      <c r="E423" s="1420"/>
      <c r="F423" s="1429"/>
      <c r="G423" s="1436"/>
      <c r="H423" s="1420"/>
      <c r="I423" s="1429"/>
      <c r="J423" s="1436"/>
      <c r="K423" s="1420"/>
      <c r="O423" s="1364"/>
      <c r="P423" s="1364"/>
      <c r="Q423" s="1364"/>
      <c r="T423" s="1365"/>
      <c r="U423" s="1365"/>
      <c r="V423" s="1365"/>
    </row>
    <row r="424" spans="1:36" s="1363" customFormat="1" hidden="1">
      <c r="A424" s="1426"/>
      <c r="B424" s="1433"/>
      <c r="C424" s="1429"/>
      <c r="D424" s="1435"/>
      <c r="E424" s="1420"/>
      <c r="F424" s="1429"/>
      <c r="G424" s="1436"/>
      <c r="H424" s="1420"/>
      <c r="I424" s="1429"/>
      <c r="J424" s="1436"/>
      <c r="K424" s="1420"/>
      <c r="O424" s="1364"/>
      <c r="P424" s="1364"/>
      <c r="Q424" s="1364"/>
      <c r="T424" s="1365"/>
      <c r="U424" s="1365"/>
      <c r="V424" s="1365"/>
    </row>
    <row r="425" spans="1:36" s="1363" customFormat="1" hidden="1">
      <c r="A425" s="1426"/>
      <c r="B425" s="1433"/>
      <c r="C425" s="1464"/>
      <c r="D425" s="1436"/>
      <c r="E425" s="1420"/>
      <c r="F425" s="1464"/>
      <c r="G425" s="1436"/>
      <c r="H425" s="1420"/>
      <c r="I425" s="1464"/>
      <c r="J425" s="1436"/>
      <c r="K425" s="1420"/>
      <c r="O425" s="1364"/>
      <c r="P425" s="1364"/>
      <c r="Q425" s="1364"/>
      <c r="T425" s="1365"/>
      <c r="U425" s="1365"/>
      <c r="V425" s="1365"/>
    </row>
    <row r="426" spans="1:36" s="1363" customFormat="1" hidden="1">
      <c r="A426" s="1426"/>
      <c r="B426" s="1433"/>
      <c r="C426" s="1443"/>
      <c r="D426" s="1436"/>
      <c r="E426" s="1420"/>
      <c r="F426" s="1443"/>
      <c r="G426" s="1436"/>
      <c r="H426" s="1420"/>
      <c r="I426" s="1443"/>
      <c r="J426" s="1436"/>
      <c r="K426" s="1420"/>
      <c r="O426" s="1364"/>
      <c r="P426" s="1364"/>
      <c r="Q426" s="1364"/>
      <c r="T426" s="1365"/>
      <c r="U426" s="1365"/>
      <c r="V426" s="1365"/>
    </row>
    <row r="427" spans="1:36" s="1363" customFormat="1" hidden="1">
      <c r="A427" s="1426"/>
      <c r="B427" s="1433"/>
      <c r="C427" s="1443"/>
      <c r="D427" s="1436"/>
      <c r="E427" s="1420"/>
      <c r="F427" s="1443"/>
      <c r="G427" s="1436"/>
      <c r="H427" s="1420"/>
      <c r="I427" s="1443"/>
      <c r="J427" s="1436"/>
      <c r="K427" s="1420"/>
      <c r="O427" s="1364"/>
      <c r="P427" s="1364"/>
      <c r="Q427" s="1364"/>
      <c r="T427" s="1365"/>
      <c r="U427" s="1365"/>
      <c r="V427" s="1365"/>
    </row>
    <row r="428" spans="1:36" s="1363" customFormat="1" hidden="1">
      <c r="A428" s="1426"/>
      <c r="B428" s="1433"/>
      <c r="C428" s="1443"/>
      <c r="D428" s="1436"/>
      <c r="E428" s="1420"/>
      <c r="F428" s="1443"/>
      <c r="G428" s="1436"/>
      <c r="H428" s="1420"/>
      <c r="I428" s="1443"/>
      <c r="J428" s="1436"/>
      <c r="K428" s="1420"/>
      <c r="O428" s="1364"/>
      <c r="P428" s="1364"/>
      <c r="Q428" s="1364"/>
      <c r="T428" s="1365"/>
      <c r="U428" s="1365"/>
      <c r="V428" s="1365"/>
    </row>
    <row r="429" spans="1:36" s="1363" customFormat="1" hidden="1">
      <c r="A429" s="1426"/>
      <c r="B429" s="1433"/>
      <c r="C429" s="1448"/>
      <c r="D429" s="1435"/>
      <c r="E429" s="1420"/>
      <c r="F429" s="1448"/>
      <c r="G429" s="1436"/>
      <c r="H429" s="1420"/>
      <c r="I429" s="1448"/>
      <c r="J429" s="1436"/>
      <c r="K429" s="1420"/>
      <c r="O429" s="1364"/>
      <c r="P429" s="1364"/>
      <c r="Q429" s="1364"/>
      <c r="T429" s="1365"/>
      <c r="U429" s="1365"/>
      <c r="V429" s="1365"/>
    </row>
    <row r="430" spans="1:36" s="1363" customFormat="1" hidden="1">
      <c r="B430" s="1474"/>
      <c r="C430" s="1398"/>
      <c r="E430" s="1420"/>
      <c r="F430" s="1398"/>
      <c r="H430" s="1420"/>
      <c r="I430" s="1443"/>
      <c r="J430" s="1436"/>
      <c r="K430" s="1420"/>
      <c r="M430" s="1427"/>
      <c r="O430" s="1449"/>
      <c r="R430" s="1450"/>
      <c r="S430" s="1450"/>
      <c r="T430" s="1365"/>
      <c r="U430" s="1365"/>
      <c r="V430" s="1365"/>
      <c r="AJ430" s="1427"/>
    </row>
    <row r="431" spans="1:36" s="1363" customFormat="1" hidden="1">
      <c r="B431" s="1474"/>
      <c r="C431" s="1398"/>
      <c r="E431" s="1420"/>
      <c r="F431" s="1398"/>
      <c r="H431" s="1420"/>
      <c r="I431" s="1443"/>
      <c r="J431" s="1436"/>
      <c r="K431" s="1420"/>
      <c r="M431" s="1427"/>
      <c r="O431" s="1449"/>
      <c r="R431" s="1450"/>
      <c r="S431" s="1450"/>
      <c r="T431" s="1365"/>
      <c r="U431" s="1365"/>
      <c r="V431" s="1365"/>
      <c r="AJ431" s="1427"/>
    </row>
    <row r="432" spans="1:36" s="1363" customFormat="1" hidden="1">
      <c r="B432" s="1474"/>
      <c r="C432" s="1398"/>
      <c r="E432" s="1420"/>
      <c r="F432" s="1398"/>
      <c r="H432" s="1420"/>
      <c r="I432" s="1443"/>
      <c r="J432" s="1436"/>
      <c r="K432" s="1420"/>
      <c r="M432" s="1427"/>
      <c r="O432" s="1449"/>
      <c r="R432" s="1450"/>
      <c r="S432" s="1450"/>
      <c r="T432" s="1365"/>
      <c r="U432" s="1365"/>
      <c r="V432" s="1365"/>
      <c r="AJ432" s="1427"/>
    </row>
    <row r="433" spans="1:36" s="1363" customFormat="1" hidden="1">
      <c r="A433" s="1458"/>
      <c r="B433" s="1433"/>
      <c r="C433" s="1459"/>
      <c r="D433" s="1435"/>
      <c r="E433" s="1420"/>
      <c r="F433" s="1459"/>
      <c r="G433" s="1436"/>
      <c r="H433" s="1420"/>
      <c r="I433" s="1459"/>
      <c r="J433" s="1436"/>
      <c r="K433" s="1420"/>
      <c r="O433" s="1364"/>
      <c r="P433" s="1364"/>
      <c r="Q433" s="1364"/>
      <c r="T433" s="1365"/>
      <c r="U433" s="1365"/>
      <c r="V433" s="1365"/>
    </row>
    <row r="434" spans="1:36" s="1363" customFormat="1" hidden="1">
      <c r="A434" s="1426"/>
      <c r="B434" s="1433"/>
      <c r="C434" s="1461"/>
      <c r="D434" s="1435"/>
      <c r="E434" s="1420"/>
      <c r="F434" s="1461"/>
      <c r="G434" s="1435"/>
      <c r="H434" s="1420"/>
      <c r="I434" s="1461"/>
      <c r="J434" s="1435"/>
      <c r="K434" s="1420"/>
      <c r="O434" s="1364"/>
      <c r="P434" s="1364"/>
      <c r="Q434" s="1364"/>
      <c r="T434" s="1365"/>
      <c r="U434" s="1365"/>
      <c r="V434" s="1365"/>
    </row>
    <row r="435" spans="1:36" s="1363" customFormat="1" hidden="1">
      <c r="A435" s="1426"/>
      <c r="B435" s="1433"/>
      <c r="C435" s="1461"/>
      <c r="D435" s="1435"/>
      <c r="E435" s="1420"/>
      <c r="F435" s="1461"/>
      <c r="G435" s="1435"/>
      <c r="H435" s="1420"/>
      <c r="I435" s="1461"/>
      <c r="J435" s="1435"/>
      <c r="K435" s="1420"/>
      <c r="O435" s="1364"/>
      <c r="P435" s="1364"/>
      <c r="Q435" s="1364"/>
      <c r="T435" s="1365"/>
      <c r="U435" s="1365"/>
      <c r="V435" s="1365"/>
    </row>
    <row r="436" spans="1:36" s="1363" customFormat="1" hidden="1">
      <c r="A436" s="1426"/>
      <c r="B436" s="1433"/>
      <c r="C436" s="1461"/>
      <c r="D436" s="1435"/>
      <c r="E436" s="1420"/>
      <c r="F436" s="1461"/>
      <c r="G436" s="1435"/>
      <c r="H436" s="1420"/>
      <c r="I436" s="1461"/>
      <c r="J436" s="1435"/>
      <c r="K436" s="1420"/>
      <c r="O436" s="1364"/>
      <c r="P436" s="1364"/>
      <c r="Q436" s="1364"/>
      <c r="T436" s="1365"/>
      <c r="U436" s="1365"/>
      <c r="V436" s="1365"/>
    </row>
    <row r="437" spans="1:36" s="1363" customFormat="1" hidden="1">
      <c r="A437" s="1426"/>
      <c r="B437" s="1433"/>
      <c r="C437" s="1461"/>
      <c r="D437" s="1436"/>
      <c r="E437" s="1420"/>
      <c r="F437" s="1461"/>
      <c r="G437" s="1436"/>
      <c r="H437" s="1420"/>
      <c r="I437" s="1461"/>
      <c r="J437" s="1436"/>
      <c r="K437" s="1420"/>
      <c r="O437" s="1364"/>
      <c r="P437" s="1364"/>
      <c r="Q437" s="1364"/>
      <c r="T437" s="1365"/>
      <c r="U437" s="1365"/>
      <c r="V437" s="1365"/>
    </row>
    <row r="438" spans="1:36" s="1363" customFormat="1" hidden="1">
      <c r="A438" s="1426"/>
      <c r="B438" s="1433"/>
      <c r="C438" s="1462"/>
      <c r="D438" s="1436"/>
      <c r="E438" s="1420"/>
      <c r="F438" s="1462"/>
      <c r="G438" s="1436"/>
      <c r="H438" s="1420"/>
      <c r="I438" s="1462"/>
      <c r="J438" s="1436"/>
      <c r="K438" s="1420"/>
      <c r="O438" s="1364"/>
      <c r="P438" s="1364"/>
      <c r="Q438" s="1364"/>
      <c r="T438" s="1365"/>
      <c r="U438" s="1365"/>
      <c r="V438" s="1365"/>
    </row>
    <row r="439" spans="1:36" s="1363" customFormat="1" hidden="1">
      <c r="A439" s="1426"/>
      <c r="B439" s="1433"/>
      <c r="C439" s="1462"/>
      <c r="D439" s="1436"/>
      <c r="E439" s="1420"/>
      <c r="F439" s="1462"/>
      <c r="G439" s="1436"/>
      <c r="H439" s="1420"/>
      <c r="I439" s="1462"/>
      <c r="J439" s="1436"/>
      <c r="K439" s="1420"/>
      <c r="O439" s="1364"/>
      <c r="P439" s="1364"/>
      <c r="Q439" s="1364"/>
      <c r="T439" s="1365"/>
      <c r="U439" s="1365"/>
      <c r="V439" s="1365"/>
    </row>
    <row r="440" spans="1:36" s="1363" customFormat="1" hidden="1">
      <c r="A440" s="1426"/>
      <c r="B440" s="1433"/>
      <c r="C440" s="1462"/>
      <c r="D440" s="1436"/>
      <c r="E440" s="1420"/>
      <c r="F440" s="1462"/>
      <c r="G440" s="1436"/>
      <c r="H440" s="1420"/>
      <c r="I440" s="1462"/>
      <c r="J440" s="1436"/>
      <c r="K440" s="1420"/>
      <c r="O440" s="1364"/>
      <c r="P440" s="1364"/>
      <c r="Q440" s="1364"/>
      <c r="T440" s="1365"/>
      <c r="U440" s="1365"/>
      <c r="V440" s="1365"/>
    </row>
    <row r="441" spans="1:36" s="1363" customFormat="1" hidden="1">
      <c r="A441" s="1426"/>
      <c r="B441" s="1433"/>
      <c r="C441" s="1463"/>
      <c r="D441" s="1436"/>
      <c r="E441" s="1420"/>
      <c r="F441" s="1463"/>
      <c r="G441" s="1436"/>
      <c r="H441" s="1420"/>
      <c r="I441" s="1463"/>
      <c r="J441" s="1436"/>
      <c r="K441" s="1420"/>
      <c r="O441" s="1364"/>
      <c r="P441" s="1364"/>
      <c r="Q441" s="1364"/>
      <c r="T441" s="1365"/>
      <c r="U441" s="1365"/>
      <c r="V441" s="1365"/>
    </row>
    <row r="442" spans="1:36" s="1363" customFormat="1" hidden="1">
      <c r="A442" s="1426"/>
      <c r="B442" s="1433"/>
      <c r="C442" s="1464"/>
      <c r="D442" s="1435"/>
      <c r="E442" s="1420"/>
      <c r="F442" s="1464"/>
      <c r="G442" s="1436"/>
      <c r="H442" s="1420"/>
      <c r="I442" s="1464"/>
      <c r="J442" s="1436"/>
      <c r="K442" s="1420"/>
      <c r="O442" s="1364"/>
      <c r="P442" s="1364"/>
      <c r="Q442" s="1364"/>
      <c r="T442" s="1365"/>
      <c r="U442" s="1365"/>
      <c r="V442" s="1365"/>
    </row>
    <row r="443" spans="1:36" s="1363" customFormat="1" hidden="1">
      <c r="A443" s="1426"/>
      <c r="B443" s="1433"/>
      <c r="C443" s="1465"/>
      <c r="D443" s="1435"/>
      <c r="E443" s="1420"/>
      <c r="F443" s="1465"/>
      <c r="G443" s="1436"/>
      <c r="H443" s="1420"/>
      <c r="I443" s="1465"/>
      <c r="J443" s="1436"/>
      <c r="K443" s="1420"/>
      <c r="O443" s="1364"/>
      <c r="P443" s="1364"/>
      <c r="Q443" s="1364"/>
      <c r="T443" s="1365"/>
      <c r="U443" s="1365"/>
      <c r="V443" s="1365"/>
    </row>
    <row r="444" spans="1:36" s="1363" customFormat="1" hidden="1">
      <c r="B444" s="1474"/>
      <c r="C444" s="1398"/>
      <c r="E444" s="1420"/>
      <c r="F444" s="1398"/>
      <c r="H444" s="1420"/>
      <c r="I444" s="1443"/>
      <c r="J444" s="1436"/>
      <c r="K444" s="1420"/>
      <c r="M444" s="1427"/>
      <c r="O444" s="1449"/>
      <c r="R444" s="1450"/>
      <c r="S444" s="1450"/>
      <c r="T444" s="1365"/>
      <c r="U444" s="1365"/>
      <c r="V444" s="1365"/>
      <c r="AJ444" s="1427"/>
    </row>
    <row r="445" spans="1:36" s="1363" customFormat="1" hidden="1">
      <c r="B445" s="1474"/>
      <c r="C445" s="1398"/>
      <c r="E445" s="1420"/>
      <c r="F445" s="1398"/>
      <c r="H445" s="1420"/>
      <c r="I445" s="1443"/>
      <c r="J445" s="1436"/>
      <c r="K445" s="1420"/>
      <c r="M445" s="1427"/>
      <c r="O445" s="1449"/>
      <c r="R445" s="1450"/>
      <c r="S445" s="1450"/>
      <c r="T445" s="1365"/>
      <c r="U445" s="1365"/>
      <c r="V445" s="1365"/>
      <c r="AJ445" s="1427"/>
    </row>
    <row r="446" spans="1:36" s="1363" customFormat="1" hidden="1">
      <c r="B446" s="1474"/>
      <c r="C446" s="1398"/>
      <c r="E446" s="1420"/>
      <c r="F446" s="1398"/>
      <c r="H446" s="1420"/>
      <c r="I446" s="1443"/>
      <c r="J446" s="1436"/>
      <c r="K446" s="1420"/>
      <c r="M446" s="1427"/>
      <c r="O446" s="1449"/>
      <c r="R446" s="1450"/>
      <c r="S446" s="1450"/>
      <c r="T446" s="1365"/>
      <c r="U446" s="1365"/>
      <c r="V446" s="1365"/>
      <c r="AJ446" s="1427"/>
    </row>
    <row r="447" spans="1:36" s="1363" customFormat="1" hidden="1">
      <c r="A447" s="1426"/>
      <c r="B447" s="1433"/>
      <c r="C447" s="1448"/>
      <c r="D447" s="1420"/>
      <c r="E447" s="1420"/>
      <c r="F447" s="1448"/>
      <c r="G447" s="1436"/>
      <c r="H447" s="1420"/>
      <c r="I447" s="1448"/>
      <c r="J447" s="1436"/>
      <c r="K447" s="1420"/>
      <c r="O447" s="1364"/>
      <c r="P447" s="1364"/>
      <c r="Q447" s="1364"/>
      <c r="T447" s="1365"/>
      <c r="U447" s="1365"/>
      <c r="V447" s="1365"/>
    </row>
    <row r="448" spans="1:36" s="1363" customFormat="1" hidden="1">
      <c r="A448" s="1426"/>
      <c r="B448" s="1433"/>
      <c r="C448" s="1436"/>
      <c r="D448" s="1436"/>
      <c r="E448" s="1435"/>
      <c r="F448" s="1436"/>
      <c r="G448" s="1436"/>
      <c r="H448" s="1435"/>
      <c r="I448" s="1436"/>
      <c r="J448" s="1436"/>
      <c r="K448" s="1435"/>
      <c r="M448" s="1422"/>
      <c r="N448" s="1422"/>
      <c r="O448" s="1423"/>
      <c r="P448" s="1364"/>
      <c r="Q448" s="1364"/>
      <c r="T448" s="1365"/>
      <c r="U448" s="1365"/>
      <c r="V448" s="1365"/>
    </row>
    <row r="449" spans="1:22" s="1363" customFormat="1" hidden="1">
      <c r="A449" s="1426"/>
      <c r="B449" s="1433"/>
      <c r="C449" s="1467"/>
      <c r="D449" s="1468"/>
      <c r="E449" s="1435"/>
      <c r="F449" s="1467"/>
      <c r="G449" s="1426"/>
      <c r="H449" s="1435"/>
      <c r="I449" s="1467"/>
      <c r="J449" s="1426"/>
      <c r="K449" s="1435"/>
      <c r="M449" s="1424"/>
      <c r="N449" s="1424"/>
      <c r="O449" s="1412"/>
      <c r="P449" s="1364"/>
      <c r="Q449" s="1364"/>
      <c r="T449" s="1365"/>
      <c r="U449" s="1365"/>
      <c r="V449" s="1365"/>
    </row>
    <row r="450" spans="1:22" s="1363" customFormat="1" hidden="1">
      <c r="A450" s="1426"/>
      <c r="B450" s="1428"/>
      <c r="C450" s="1464"/>
      <c r="D450" s="1420"/>
      <c r="E450" s="1420"/>
      <c r="F450" s="1464"/>
      <c r="G450" s="1426"/>
      <c r="H450" s="1420"/>
      <c r="I450" s="1461"/>
      <c r="J450" s="1426"/>
      <c r="K450" s="1420"/>
      <c r="O450" s="1364"/>
      <c r="P450" s="1364"/>
      <c r="Q450" s="1364"/>
      <c r="T450" s="1365"/>
      <c r="U450" s="1365"/>
      <c r="V450" s="1365"/>
    </row>
    <row r="451" spans="1:22" s="1363" customFormat="1" hidden="1">
      <c r="A451" s="1425"/>
      <c r="B451" s="1426"/>
      <c r="C451" s="1420"/>
      <c r="D451" s="1420"/>
      <c r="E451" s="1426"/>
      <c r="F451" s="1420"/>
      <c r="G451" s="1426"/>
      <c r="H451" s="1426"/>
      <c r="I451" s="1420"/>
      <c r="J451" s="1426"/>
      <c r="K451" s="1426"/>
      <c r="O451" s="1364"/>
      <c r="P451" s="1364"/>
      <c r="Q451" s="1364"/>
      <c r="T451" s="1365"/>
      <c r="U451" s="1365"/>
      <c r="V451" s="1365"/>
    </row>
    <row r="452" spans="1:22" s="1363" customFormat="1" hidden="1">
      <c r="A452" s="1426"/>
      <c r="B452" s="1426"/>
      <c r="C452" s="1420"/>
      <c r="D452" s="1420"/>
      <c r="E452" s="1426"/>
      <c r="F452" s="1420"/>
      <c r="G452" s="1426"/>
      <c r="H452" s="1426"/>
      <c r="I452" s="1420"/>
      <c r="J452" s="1426"/>
      <c r="K452" s="1426"/>
      <c r="O452" s="1364"/>
      <c r="P452" s="1364"/>
      <c r="Q452" s="1364"/>
      <c r="T452" s="1365"/>
      <c r="U452" s="1365"/>
      <c r="V452" s="1365"/>
    </row>
    <row r="453" spans="1:22" s="1363" customFormat="1" hidden="1">
      <c r="A453" s="1426"/>
      <c r="B453" s="1426"/>
      <c r="C453" s="1420"/>
      <c r="D453" s="1420"/>
      <c r="E453" s="1426"/>
      <c r="F453" s="1420"/>
      <c r="G453" s="1426"/>
      <c r="H453" s="1426"/>
      <c r="I453" s="1420"/>
      <c r="J453" s="1426"/>
      <c r="K453" s="1426"/>
      <c r="O453" s="1364"/>
      <c r="P453" s="1364"/>
      <c r="Q453" s="1364"/>
      <c r="T453" s="1365"/>
      <c r="U453" s="1365"/>
      <c r="V453" s="1365"/>
    </row>
    <row r="454" spans="1:22" s="1363" customFormat="1" hidden="1">
      <c r="A454" s="1426"/>
      <c r="B454" s="1433"/>
      <c r="C454" s="1420"/>
      <c r="D454" s="1420"/>
      <c r="E454" s="1426"/>
      <c r="F454" s="1420"/>
      <c r="G454" s="1426"/>
      <c r="H454" s="1426"/>
      <c r="I454" s="1420"/>
      <c r="J454" s="1426"/>
      <c r="K454" s="1426"/>
      <c r="O454" s="1364"/>
      <c r="P454" s="1364"/>
      <c r="Q454" s="1364"/>
      <c r="T454" s="1365"/>
      <c r="U454" s="1365"/>
      <c r="V454" s="1365"/>
    </row>
    <row r="455" spans="1:22" s="1363" customFormat="1" hidden="1">
      <c r="A455" s="1426"/>
      <c r="B455" s="1433"/>
      <c r="C455" s="1429"/>
      <c r="D455" s="1435"/>
      <c r="E455" s="1420"/>
      <c r="F455" s="1429"/>
      <c r="G455" s="1436"/>
      <c r="H455" s="1420"/>
      <c r="I455" s="1429"/>
      <c r="J455" s="1436"/>
      <c r="K455" s="1420"/>
      <c r="O455" s="1364"/>
      <c r="P455" s="1364"/>
      <c r="Q455" s="1364"/>
      <c r="T455" s="1365"/>
      <c r="U455" s="1365"/>
      <c r="V455" s="1365"/>
    </row>
    <row r="456" spans="1:22" s="1363" customFormat="1" hidden="1">
      <c r="A456" s="1426"/>
      <c r="B456" s="1433"/>
      <c r="C456" s="1429"/>
      <c r="D456" s="1437"/>
      <c r="E456" s="1420"/>
      <c r="F456" s="1429"/>
      <c r="G456" s="1438"/>
      <c r="H456" s="1420"/>
      <c r="I456" s="1429"/>
      <c r="J456" s="1438"/>
      <c r="K456" s="1420"/>
      <c r="O456" s="1364"/>
      <c r="P456" s="1364"/>
      <c r="Q456" s="1364"/>
      <c r="T456" s="1365"/>
      <c r="U456" s="1365"/>
      <c r="V456" s="1365"/>
    </row>
    <row r="457" spans="1:22" s="1363" customFormat="1" hidden="1">
      <c r="A457" s="1426"/>
      <c r="B457" s="1433"/>
      <c r="C457" s="1429"/>
      <c r="D457" s="1437"/>
      <c r="E457" s="1420"/>
      <c r="F457" s="1429"/>
      <c r="G457" s="1438"/>
      <c r="H457" s="1420"/>
      <c r="I457" s="1429"/>
      <c r="J457" s="1438"/>
      <c r="K457" s="1420"/>
      <c r="O457" s="1364"/>
      <c r="P457" s="1364"/>
      <c r="Q457" s="1364"/>
      <c r="T457" s="1365"/>
      <c r="U457" s="1365"/>
      <c r="V457" s="1365"/>
    </row>
    <row r="458" spans="1:22" s="1363" customFormat="1" hidden="1">
      <c r="A458" s="1426"/>
      <c r="B458" s="1433"/>
      <c r="C458" s="1429"/>
      <c r="D458" s="1435"/>
      <c r="E458" s="1420"/>
      <c r="F458" s="1429"/>
      <c r="G458" s="1436"/>
      <c r="H458" s="1420"/>
      <c r="I458" s="1429"/>
      <c r="J458" s="1436"/>
      <c r="K458" s="1420"/>
      <c r="O458" s="1364"/>
      <c r="P458" s="1364"/>
      <c r="Q458" s="1364"/>
      <c r="T458" s="1365"/>
      <c r="U458" s="1365"/>
      <c r="V458" s="1365"/>
    </row>
    <row r="459" spans="1:22" s="1363" customFormat="1" hidden="1">
      <c r="A459" s="1426"/>
      <c r="B459" s="1433"/>
      <c r="C459" s="1429"/>
      <c r="D459" s="1435"/>
      <c r="E459" s="1420"/>
      <c r="F459" s="1429"/>
      <c r="G459" s="1436"/>
      <c r="H459" s="1420"/>
      <c r="I459" s="1429"/>
      <c r="J459" s="1436"/>
      <c r="K459" s="1420"/>
      <c r="O459" s="1364"/>
      <c r="P459" s="1364"/>
      <c r="Q459" s="1364"/>
      <c r="T459" s="1365"/>
      <c r="U459" s="1365"/>
      <c r="V459" s="1365"/>
    </row>
    <row r="460" spans="1:22" s="1363" customFormat="1" hidden="1">
      <c r="A460" s="1426"/>
      <c r="B460" s="1433"/>
      <c r="C460" s="1464"/>
      <c r="D460" s="1436"/>
      <c r="E460" s="1420"/>
      <c r="F460" s="1464"/>
      <c r="G460" s="1436"/>
      <c r="H460" s="1420"/>
      <c r="I460" s="1464"/>
      <c r="J460" s="1436"/>
      <c r="K460" s="1420"/>
      <c r="O460" s="1364"/>
      <c r="P460" s="1364"/>
      <c r="Q460" s="1364"/>
      <c r="T460" s="1365"/>
      <c r="U460" s="1365"/>
      <c r="V460" s="1365"/>
    </row>
    <row r="461" spans="1:22" s="1363" customFormat="1" hidden="1">
      <c r="A461" s="1426"/>
      <c r="B461" s="1433"/>
      <c r="C461" s="1443"/>
      <c r="D461" s="1436"/>
      <c r="E461" s="1420"/>
      <c r="F461" s="1443"/>
      <c r="G461" s="1436"/>
      <c r="H461" s="1420"/>
      <c r="I461" s="1443"/>
      <c r="J461" s="1436"/>
      <c r="K461" s="1420"/>
      <c r="O461" s="1364"/>
      <c r="P461" s="1364"/>
      <c r="Q461" s="1364"/>
      <c r="T461" s="1365"/>
      <c r="U461" s="1365"/>
      <c r="V461" s="1365"/>
    </row>
    <row r="462" spans="1:22" s="1363" customFormat="1" hidden="1">
      <c r="A462" s="1426"/>
      <c r="B462" s="1433"/>
      <c r="C462" s="1443"/>
      <c r="D462" s="1436"/>
      <c r="E462" s="1420"/>
      <c r="F462" s="1443"/>
      <c r="G462" s="1436"/>
      <c r="H462" s="1420"/>
      <c r="I462" s="1443"/>
      <c r="J462" s="1436"/>
      <c r="K462" s="1420"/>
      <c r="O462" s="1364"/>
      <c r="P462" s="1364"/>
      <c r="Q462" s="1364"/>
      <c r="T462" s="1365"/>
      <c r="U462" s="1365"/>
      <c r="V462" s="1365"/>
    </row>
    <row r="463" spans="1:22" s="1363" customFormat="1" hidden="1">
      <c r="A463" s="1426"/>
      <c r="B463" s="1433"/>
      <c r="C463" s="1443"/>
      <c r="D463" s="1436"/>
      <c r="E463" s="1420"/>
      <c r="F463" s="1443"/>
      <c r="G463" s="1436"/>
      <c r="H463" s="1420"/>
      <c r="I463" s="1443"/>
      <c r="J463" s="1436"/>
      <c r="K463" s="1420"/>
      <c r="O463" s="1364"/>
      <c r="P463" s="1364"/>
      <c r="Q463" s="1364"/>
      <c r="T463" s="1365"/>
      <c r="U463" s="1365"/>
      <c r="V463" s="1365"/>
    </row>
    <row r="464" spans="1:22" s="1363" customFormat="1" hidden="1">
      <c r="A464" s="1426"/>
      <c r="B464" s="1433"/>
      <c r="C464" s="1448"/>
      <c r="D464" s="1435"/>
      <c r="E464" s="1420"/>
      <c r="F464" s="1448"/>
      <c r="G464" s="1436"/>
      <c r="H464" s="1420"/>
      <c r="I464" s="1448"/>
      <c r="J464" s="1436"/>
      <c r="K464" s="1420"/>
      <c r="O464" s="1364"/>
      <c r="P464" s="1364"/>
      <c r="Q464" s="1364"/>
      <c r="T464" s="1365"/>
      <c r="U464" s="1365"/>
      <c r="V464" s="1365"/>
    </row>
    <row r="465" spans="1:36" s="1363" customFormat="1" hidden="1">
      <c r="B465" s="1474"/>
      <c r="C465" s="1398"/>
      <c r="E465" s="1420"/>
      <c r="F465" s="1398"/>
      <c r="H465" s="1420"/>
      <c r="I465" s="1443"/>
      <c r="J465" s="1436"/>
      <c r="K465" s="1420"/>
      <c r="M465" s="1427"/>
      <c r="O465" s="1449"/>
      <c r="R465" s="1450"/>
      <c r="S465" s="1450"/>
      <c r="T465" s="1365"/>
      <c r="U465" s="1365"/>
      <c r="V465" s="1365"/>
      <c r="AJ465" s="1427"/>
    </row>
    <row r="466" spans="1:36" s="1363" customFormat="1" hidden="1">
      <c r="B466" s="1474"/>
      <c r="C466" s="1398"/>
      <c r="E466" s="1420"/>
      <c r="F466" s="1398"/>
      <c r="H466" s="1420"/>
      <c r="I466" s="1443"/>
      <c r="J466" s="1436"/>
      <c r="K466" s="1420"/>
      <c r="M466" s="1427"/>
      <c r="O466" s="1449"/>
      <c r="R466" s="1450"/>
      <c r="S466" s="1450"/>
      <c r="T466" s="1365"/>
      <c r="U466" s="1365"/>
      <c r="V466" s="1365"/>
      <c r="AJ466" s="1427"/>
    </row>
    <row r="467" spans="1:36" s="1363" customFormat="1" hidden="1">
      <c r="B467" s="1474"/>
      <c r="C467" s="1398"/>
      <c r="E467" s="1420"/>
      <c r="F467" s="1398"/>
      <c r="H467" s="1420"/>
      <c r="I467" s="1443"/>
      <c r="J467" s="1436"/>
      <c r="K467" s="1420"/>
      <c r="M467" s="1427"/>
      <c r="O467" s="1449"/>
      <c r="R467" s="1450"/>
      <c r="S467" s="1450"/>
      <c r="T467" s="1365"/>
      <c r="U467" s="1365"/>
      <c r="V467" s="1365"/>
      <c r="AJ467" s="1427"/>
    </row>
    <row r="468" spans="1:36" s="1363" customFormat="1" hidden="1">
      <c r="A468" s="1458"/>
      <c r="B468" s="1433"/>
      <c r="C468" s="1459"/>
      <c r="D468" s="1435"/>
      <c r="E468" s="1420"/>
      <c r="F468" s="1459"/>
      <c r="G468" s="1436"/>
      <c r="H468" s="1420"/>
      <c r="I468" s="1459"/>
      <c r="J468" s="1436"/>
      <c r="K468" s="1420"/>
      <c r="O468" s="1364"/>
      <c r="P468" s="1364"/>
      <c r="Q468" s="1364"/>
      <c r="T468" s="1365"/>
      <c r="U468" s="1365"/>
      <c r="V468" s="1365"/>
    </row>
    <row r="469" spans="1:36" s="1363" customFormat="1" hidden="1">
      <c r="A469" s="1426"/>
      <c r="B469" s="1433"/>
      <c r="C469" s="1461"/>
      <c r="D469" s="1435"/>
      <c r="E469" s="1420"/>
      <c r="F469" s="1461"/>
      <c r="G469" s="1435"/>
      <c r="H469" s="1420"/>
      <c r="I469" s="1461"/>
      <c r="J469" s="1435"/>
      <c r="K469" s="1420"/>
      <c r="O469" s="1364"/>
      <c r="P469" s="1364"/>
      <c r="Q469" s="1364"/>
      <c r="T469" s="1365"/>
      <c r="U469" s="1365"/>
      <c r="V469" s="1365"/>
    </row>
    <row r="470" spans="1:36" s="1363" customFormat="1" hidden="1">
      <c r="A470" s="1426"/>
      <c r="B470" s="1433"/>
      <c r="C470" s="1461"/>
      <c r="D470" s="1435"/>
      <c r="E470" s="1420"/>
      <c r="F470" s="1461"/>
      <c r="G470" s="1435"/>
      <c r="H470" s="1420"/>
      <c r="I470" s="1461"/>
      <c r="J470" s="1435"/>
      <c r="K470" s="1420"/>
      <c r="O470" s="1364"/>
      <c r="P470" s="1364"/>
      <c r="Q470" s="1364"/>
      <c r="T470" s="1365"/>
      <c r="U470" s="1365"/>
      <c r="V470" s="1365"/>
    </row>
    <row r="471" spans="1:36" s="1363" customFormat="1" hidden="1">
      <c r="A471" s="1426"/>
      <c r="B471" s="1433"/>
      <c r="C471" s="1461"/>
      <c r="D471" s="1435"/>
      <c r="E471" s="1420"/>
      <c r="F471" s="1461"/>
      <c r="G471" s="1435"/>
      <c r="H471" s="1420"/>
      <c r="I471" s="1461"/>
      <c r="J471" s="1435"/>
      <c r="K471" s="1420"/>
      <c r="O471" s="1364"/>
      <c r="P471" s="1364"/>
      <c r="Q471" s="1364"/>
      <c r="T471" s="1365"/>
      <c r="U471" s="1365"/>
      <c r="V471" s="1365"/>
    </row>
    <row r="472" spans="1:36" s="1363" customFormat="1" hidden="1">
      <c r="A472" s="1426"/>
      <c r="B472" s="1433"/>
      <c r="C472" s="1461"/>
      <c r="D472" s="1436"/>
      <c r="E472" s="1420"/>
      <c r="F472" s="1461"/>
      <c r="G472" s="1436"/>
      <c r="H472" s="1420"/>
      <c r="I472" s="1461"/>
      <c r="J472" s="1436"/>
      <c r="K472" s="1420"/>
      <c r="O472" s="1364"/>
      <c r="P472" s="1364"/>
      <c r="Q472" s="1364"/>
      <c r="T472" s="1365"/>
      <c r="U472" s="1365"/>
      <c r="V472" s="1365"/>
    </row>
    <row r="473" spans="1:36" s="1363" customFormat="1" hidden="1">
      <c r="A473" s="1426"/>
      <c r="B473" s="1433"/>
      <c r="C473" s="1462"/>
      <c r="D473" s="1436"/>
      <c r="E473" s="1420"/>
      <c r="F473" s="1462"/>
      <c r="G473" s="1436"/>
      <c r="H473" s="1420"/>
      <c r="I473" s="1462"/>
      <c r="J473" s="1436"/>
      <c r="K473" s="1420"/>
      <c r="O473" s="1364"/>
      <c r="P473" s="1364"/>
      <c r="Q473" s="1364"/>
      <c r="T473" s="1365"/>
      <c r="U473" s="1365"/>
      <c r="V473" s="1365"/>
    </row>
    <row r="474" spans="1:36" s="1363" customFormat="1" hidden="1">
      <c r="A474" s="1426"/>
      <c r="B474" s="1433"/>
      <c r="C474" s="1462"/>
      <c r="D474" s="1436"/>
      <c r="E474" s="1420"/>
      <c r="F474" s="1462"/>
      <c r="G474" s="1436"/>
      <c r="H474" s="1420"/>
      <c r="I474" s="1462"/>
      <c r="J474" s="1436"/>
      <c r="K474" s="1420"/>
      <c r="O474" s="1364"/>
      <c r="P474" s="1364"/>
      <c r="Q474" s="1364"/>
      <c r="T474" s="1365"/>
      <c r="U474" s="1365"/>
      <c r="V474" s="1365"/>
    </row>
    <row r="475" spans="1:36" s="1363" customFormat="1" hidden="1">
      <c r="A475" s="1426"/>
      <c r="B475" s="1433"/>
      <c r="C475" s="1462"/>
      <c r="D475" s="1436"/>
      <c r="E475" s="1420"/>
      <c r="F475" s="1462"/>
      <c r="G475" s="1436"/>
      <c r="H475" s="1420"/>
      <c r="I475" s="1462"/>
      <c r="J475" s="1436"/>
      <c r="K475" s="1420"/>
      <c r="O475" s="1364"/>
      <c r="P475" s="1364"/>
      <c r="Q475" s="1364"/>
      <c r="T475" s="1365"/>
      <c r="U475" s="1365"/>
      <c r="V475" s="1365"/>
    </row>
    <row r="476" spans="1:36" s="1363" customFormat="1" hidden="1">
      <c r="A476" s="1426"/>
      <c r="B476" s="1433"/>
      <c r="C476" s="1463"/>
      <c r="D476" s="1436"/>
      <c r="E476" s="1420"/>
      <c r="F476" s="1463"/>
      <c r="G476" s="1436"/>
      <c r="H476" s="1420"/>
      <c r="I476" s="1463"/>
      <c r="J476" s="1436"/>
      <c r="K476" s="1420"/>
      <c r="O476" s="1364"/>
      <c r="P476" s="1364"/>
      <c r="Q476" s="1364"/>
      <c r="T476" s="1365"/>
      <c r="U476" s="1365"/>
      <c r="V476" s="1365"/>
    </row>
    <row r="477" spans="1:36" s="1363" customFormat="1" hidden="1">
      <c r="A477" s="1426"/>
      <c r="B477" s="1433"/>
      <c r="C477" s="1464"/>
      <c r="D477" s="1435"/>
      <c r="E477" s="1420"/>
      <c r="F477" s="1464"/>
      <c r="G477" s="1436"/>
      <c r="H477" s="1420"/>
      <c r="I477" s="1464"/>
      <c r="J477" s="1436"/>
      <c r="K477" s="1420"/>
      <c r="O477" s="1364"/>
      <c r="P477" s="1364"/>
      <c r="Q477" s="1364"/>
      <c r="T477" s="1365"/>
      <c r="U477" s="1365"/>
      <c r="V477" s="1365"/>
    </row>
    <row r="478" spans="1:36" s="1363" customFormat="1" hidden="1">
      <c r="A478" s="1426"/>
      <c r="B478" s="1433"/>
      <c r="C478" s="1465"/>
      <c r="D478" s="1435"/>
      <c r="E478" s="1420"/>
      <c r="F478" s="1465"/>
      <c r="G478" s="1436"/>
      <c r="H478" s="1420"/>
      <c r="I478" s="1465"/>
      <c r="J478" s="1436"/>
      <c r="K478" s="1420"/>
      <c r="O478" s="1364"/>
      <c r="P478" s="1364"/>
      <c r="Q478" s="1364"/>
      <c r="T478" s="1365"/>
      <c r="U478" s="1365"/>
      <c r="V478" s="1365"/>
    </row>
    <row r="479" spans="1:36" s="1363" customFormat="1" hidden="1">
      <c r="B479" s="1474"/>
      <c r="C479" s="1398"/>
      <c r="E479" s="1420"/>
      <c r="F479" s="1398"/>
      <c r="H479" s="1420"/>
      <c r="I479" s="1443"/>
      <c r="J479" s="1436"/>
      <c r="K479" s="1420"/>
      <c r="M479" s="1427"/>
      <c r="O479" s="1449"/>
      <c r="R479" s="1450"/>
      <c r="S479" s="1450"/>
      <c r="T479" s="1365"/>
      <c r="U479" s="1365"/>
      <c r="V479" s="1365"/>
      <c r="AJ479" s="1427"/>
    </row>
    <row r="480" spans="1:36" s="1363" customFormat="1" hidden="1">
      <c r="B480" s="1474"/>
      <c r="C480" s="1398"/>
      <c r="E480" s="1420"/>
      <c r="F480" s="1398"/>
      <c r="H480" s="1420"/>
      <c r="I480" s="1443"/>
      <c r="J480" s="1436"/>
      <c r="K480" s="1420"/>
      <c r="M480" s="1427"/>
      <c r="O480" s="1449"/>
      <c r="R480" s="1450"/>
      <c r="S480" s="1450"/>
      <c r="T480" s="1365"/>
      <c r="U480" s="1365"/>
      <c r="V480" s="1365"/>
      <c r="AJ480" s="1427"/>
    </row>
    <row r="481" spans="1:36" s="1363" customFormat="1" hidden="1">
      <c r="B481" s="1474"/>
      <c r="C481" s="1398"/>
      <c r="E481" s="1420"/>
      <c r="F481" s="1398"/>
      <c r="H481" s="1420"/>
      <c r="I481" s="1443"/>
      <c r="J481" s="1436"/>
      <c r="K481" s="1420"/>
      <c r="M481" s="1427"/>
      <c r="O481" s="1449"/>
      <c r="R481" s="1450"/>
      <c r="S481" s="1450"/>
      <c r="T481" s="1365"/>
      <c r="U481" s="1365"/>
      <c r="V481" s="1365"/>
      <c r="AJ481" s="1427"/>
    </row>
    <row r="482" spans="1:36" s="1363" customFormat="1" hidden="1">
      <c r="A482" s="1426"/>
      <c r="B482" s="1433"/>
      <c r="C482" s="1448"/>
      <c r="D482" s="1420"/>
      <c r="E482" s="1420"/>
      <c r="F482" s="1448"/>
      <c r="G482" s="1436"/>
      <c r="H482" s="1420"/>
      <c r="I482" s="1448"/>
      <c r="J482" s="1436"/>
      <c r="K482" s="1420"/>
      <c r="O482" s="1364"/>
      <c r="P482" s="1364"/>
      <c r="Q482" s="1364"/>
      <c r="T482" s="1365"/>
      <c r="U482" s="1365"/>
      <c r="V482" s="1365"/>
    </row>
    <row r="483" spans="1:36" s="1363" customFormat="1" hidden="1">
      <c r="A483" s="1426"/>
      <c r="B483" s="1433"/>
      <c r="C483" s="1436"/>
      <c r="D483" s="1436"/>
      <c r="E483" s="1435"/>
      <c r="F483" s="1436"/>
      <c r="G483" s="1436"/>
      <c r="H483" s="1435"/>
      <c r="I483" s="1436"/>
      <c r="J483" s="1436"/>
      <c r="K483" s="1435"/>
      <c r="M483" s="1422"/>
      <c r="N483" s="1422"/>
      <c r="O483" s="1423"/>
      <c r="P483" s="1364"/>
      <c r="Q483" s="1364"/>
      <c r="T483" s="1365"/>
      <c r="U483" s="1365"/>
      <c r="V483" s="1365"/>
    </row>
    <row r="484" spans="1:36" s="1363" customFormat="1" hidden="1">
      <c r="A484" s="1426"/>
      <c r="B484" s="1433"/>
      <c r="C484" s="1467"/>
      <c r="D484" s="1468"/>
      <c r="E484" s="1435"/>
      <c r="F484" s="1467"/>
      <c r="G484" s="1426"/>
      <c r="H484" s="1435"/>
      <c r="I484" s="1467"/>
      <c r="J484" s="1426"/>
      <c r="K484" s="1435"/>
      <c r="M484" s="1424"/>
      <c r="N484" s="1424"/>
      <c r="O484" s="1412"/>
      <c r="P484" s="1364"/>
      <c r="Q484" s="1364"/>
      <c r="T484" s="1365"/>
      <c r="U484" s="1365"/>
      <c r="V484" s="1365"/>
    </row>
    <row r="485" spans="1:36" s="1363" customFormat="1" hidden="1">
      <c r="A485" s="1426"/>
      <c r="B485" s="1428"/>
      <c r="C485" s="1464"/>
      <c r="D485" s="1420"/>
      <c r="E485" s="1420"/>
      <c r="F485" s="1464"/>
      <c r="G485" s="1426"/>
      <c r="H485" s="1420"/>
      <c r="I485" s="1461"/>
      <c r="J485" s="1426"/>
      <c r="K485" s="1420"/>
      <c r="O485" s="1364"/>
      <c r="P485" s="1364"/>
      <c r="Q485" s="1364"/>
      <c r="T485" s="1365"/>
      <c r="U485" s="1365"/>
      <c r="V485" s="1365"/>
    </row>
    <row r="486" spans="1:36" s="1363" customFormat="1" hidden="1">
      <c r="A486" s="1426"/>
      <c r="B486" s="1428"/>
      <c r="C486" s="1464"/>
      <c r="D486" s="1420"/>
      <c r="E486" s="1420"/>
      <c r="F486" s="1464"/>
      <c r="G486" s="1426"/>
      <c r="H486" s="1420"/>
      <c r="I486" s="1461"/>
      <c r="J486" s="1426"/>
      <c r="K486" s="1420"/>
      <c r="O486" s="1364"/>
      <c r="P486" s="1364"/>
      <c r="Q486" s="1364"/>
      <c r="T486" s="1365"/>
      <c r="U486" s="1365"/>
      <c r="V486" s="1365"/>
    </row>
    <row r="487" spans="1:36" s="1363" customFormat="1">
      <c r="A487" s="1425"/>
      <c r="B487" s="1475"/>
      <c r="C487" s="1420"/>
      <c r="D487" s="1420"/>
      <c r="E487" s="1426"/>
      <c r="F487" s="1420"/>
      <c r="G487" s="1426"/>
      <c r="H487" s="1426"/>
      <c r="I487" s="1420"/>
      <c r="J487" s="1426"/>
      <c r="K487" s="1420"/>
      <c r="O487" s="1364"/>
      <c r="P487" s="1364"/>
      <c r="Q487" s="1364"/>
      <c r="T487" s="1365"/>
      <c r="U487" s="1365"/>
      <c r="V487" s="1365"/>
    </row>
    <row r="488" spans="1:36" s="1363" customFormat="1">
      <c r="A488" s="1436"/>
      <c r="B488" s="1426"/>
      <c r="C488" s="1420"/>
      <c r="D488" s="1420"/>
      <c r="E488" s="1426"/>
      <c r="F488" s="1420"/>
      <c r="G488" s="1426"/>
      <c r="H488" s="1426"/>
      <c r="I488" s="1420"/>
      <c r="J488" s="1426"/>
      <c r="K488" s="1426"/>
      <c r="O488" s="1364"/>
      <c r="P488" s="1364"/>
      <c r="Q488" s="1364"/>
      <c r="T488" s="1365"/>
      <c r="U488" s="1365"/>
      <c r="V488" s="1365"/>
    </row>
    <row r="489" spans="1:36" s="1363" customFormat="1">
      <c r="A489" s="1436"/>
      <c r="B489" s="1426"/>
      <c r="C489" s="1420"/>
      <c r="D489" s="1420"/>
      <c r="E489" s="1426"/>
      <c r="F489" s="1420"/>
      <c r="G489" s="1426"/>
      <c r="H489" s="1426"/>
      <c r="I489" s="1420"/>
      <c r="J489" s="1426"/>
      <c r="K489" s="1426"/>
      <c r="O489" s="1364"/>
      <c r="P489" s="1364"/>
      <c r="Q489" s="1364"/>
      <c r="T489" s="1365"/>
      <c r="U489" s="1365"/>
      <c r="V489" s="1365"/>
    </row>
    <row r="490" spans="1:36" s="1363" customFormat="1">
      <c r="A490" s="1436"/>
      <c r="B490" s="1433"/>
      <c r="C490" s="1420"/>
      <c r="D490" s="1420"/>
      <c r="E490" s="1426"/>
      <c r="F490" s="1420"/>
      <c r="G490" s="1426"/>
      <c r="H490" s="1426"/>
      <c r="I490" s="1420"/>
      <c r="J490" s="1426"/>
      <c r="K490" s="1426"/>
      <c r="O490" s="1364"/>
      <c r="P490" s="1364"/>
      <c r="Q490" s="1364"/>
      <c r="T490" s="1365"/>
      <c r="U490" s="1365"/>
      <c r="V490" s="1365"/>
    </row>
    <row r="491" spans="1:36" s="1363" customFormat="1">
      <c r="A491" s="1436"/>
      <c r="B491" s="1433"/>
      <c r="C491" s="1476"/>
      <c r="D491" s="1436"/>
      <c r="E491" s="1435"/>
      <c r="F491" s="1476"/>
      <c r="G491" s="1436"/>
      <c r="H491" s="1435"/>
      <c r="I491" s="1476"/>
      <c r="J491" s="1436"/>
      <c r="K491" s="1435"/>
      <c r="O491" s="1364"/>
      <c r="P491" s="1364"/>
      <c r="Q491" s="1364"/>
      <c r="T491" s="1365"/>
      <c r="U491" s="1365"/>
      <c r="V491" s="1365"/>
    </row>
    <row r="492" spans="1:36" s="1363" customFormat="1">
      <c r="A492" s="1436"/>
      <c r="B492" s="1433"/>
      <c r="C492" s="1476"/>
      <c r="D492" s="1436"/>
      <c r="E492" s="1435"/>
      <c r="F492" s="1476"/>
      <c r="G492" s="1436"/>
      <c r="H492" s="1435"/>
      <c r="I492" s="1476"/>
      <c r="J492" s="1436"/>
      <c r="K492" s="1435"/>
      <c r="O492" s="1364"/>
      <c r="P492" s="1364"/>
      <c r="Q492" s="1364"/>
      <c r="T492" s="1365"/>
      <c r="U492" s="1365"/>
      <c r="V492" s="1365"/>
    </row>
    <row r="493" spans="1:36" s="1363" customFormat="1">
      <c r="A493" s="1436"/>
      <c r="B493" s="1433"/>
      <c r="C493" s="1476"/>
      <c r="D493" s="1438"/>
      <c r="E493" s="1435"/>
      <c r="F493" s="1476"/>
      <c r="G493" s="1438"/>
      <c r="H493" s="1435"/>
      <c r="I493" s="1476"/>
      <c r="J493" s="1438"/>
      <c r="K493" s="1435"/>
      <c r="O493" s="1364"/>
      <c r="P493" s="1364"/>
      <c r="Q493" s="1364"/>
      <c r="T493" s="1365"/>
      <c r="U493" s="1365"/>
      <c r="V493" s="1365"/>
    </row>
    <row r="494" spans="1:36" s="1363" customFormat="1">
      <c r="A494" s="1436"/>
      <c r="B494" s="1433"/>
      <c r="C494" s="1476"/>
      <c r="D494" s="1436"/>
      <c r="E494" s="1435"/>
      <c r="F494" s="1476"/>
      <c r="G494" s="1436"/>
      <c r="H494" s="1435"/>
      <c r="I494" s="1476"/>
      <c r="J494" s="1436"/>
      <c r="K494" s="1435"/>
      <c r="O494" s="1364"/>
      <c r="P494" s="1364"/>
      <c r="Q494" s="1364"/>
      <c r="T494" s="1365"/>
      <c r="U494" s="1365"/>
      <c r="V494" s="1365"/>
    </row>
    <row r="495" spans="1:36" s="1363" customFormat="1">
      <c r="A495" s="1436"/>
      <c r="B495" s="1433"/>
      <c r="C495" s="1476"/>
      <c r="D495" s="1436"/>
      <c r="E495" s="1435"/>
      <c r="F495" s="1476"/>
      <c r="G495" s="1436"/>
      <c r="H495" s="1435"/>
      <c r="I495" s="1476"/>
      <c r="J495" s="1436"/>
      <c r="K495" s="1435"/>
      <c r="O495" s="1364"/>
      <c r="P495" s="1364"/>
      <c r="Q495" s="1364"/>
      <c r="T495" s="1365"/>
      <c r="U495" s="1365"/>
      <c r="V495" s="1365"/>
    </row>
    <row r="496" spans="1:36" s="1363" customFormat="1">
      <c r="A496" s="1436"/>
      <c r="B496" s="1433"/>
      <c r="C496" s="1476"/>
      <c r="D496" s="1436"/>
      <c r="E496" s="1435"/>
      <c r="F496" s="1476"/>
      <c r="G496" s="1436"/>
      <c r="H496" s="1435"/>
      <c r="I496" s="1476"/>
      <c r="J496" s="1436"/>
      <c r="K496" s="1435"/>
      <c r="O496" s="1364"/>
      <c r="P496" s="1364"/>
      <c r="Q496" s="1364"/>
      <c r="T496" s="1365"/>
      <c r="U496" s="1365"/>
      <c r="V496" s="1365"/>
    </row>
    <row r="497" spans="1:36" s="1363" customFormat="1">
      <c r="A497" s="1436"/>
      <c r="B497" s="1433"/>
      <c r="C497" s="1476"/>
      <c r="D497" s="1436"/>
      <c r="E497" s="1435"/>
      <c r="F497" s="1476"/>
      <c r="G497" s="1436"/>
      <c r="H497" s="1435"/>
      <c r="I497" s="1476"/>
      <c r="J497" s="1436"/>
      <c r="K497" s="1435"/>
      <c r="O497" s="1364"/>
      <c r="P497" s="1364"/>
      <c r="Q497" s="1364"/>
      <c r="T497" s="1365"/>
      <c r="U497" s="1365"/>
      <c r="V497" s="1365"/>
    </row>
    <row r="498" spans="1:36" s="1363" customFormat="1">
      <c r="A498" s="1436"/>
      <c r="B498" s="1433"/>
      <c r="C498" s="1476"/>
      <c r="D498" s="1436"/>
      <c r="E498" s="1435"/>
      <c r="F498" s="1476"/>
      <c r="G498" s="1436"/>
      <c r="H498" s="1435"/>
      <c r="I498" s="1476"/>
      <c r="J498" s="1436"/>
      <c r="K498" s="1435"/>
      <c r="O498" s="1364"/>
      <c r="P498" s="1364"/>
      <c r="Q498" s="1364"/>
      <c r="T498" s="1365"/>
      <c r="U498" s="1365"/>
      <c r="V498" s="1365"/>
    </row>
    <row r="499" spans="1:36" s="1363" customFormat="1">
      <c r="A499" s="1436"/>
      <c r="B499" s="1433"/>
      <c r="C499" s="1477"/>
      <c r="D499" s="1435"/>
      <c r="E499" s="1435"/>
      <c r="F499" s="1477"/>
      <c r="G499" s="1435"/>
      <c r="H499" s="1435"/>
      <c r="I499" s="1477"/>
      <c r="J499" s="1435"/>
      <c r="K499" s="1435"/>
      <c r="O499" s="1364"/>
      <c r="P499" s="1364"/>
      <c r="Q499" s="1364"/>
      <c r="T499" s="1365"/>
      <c r="U499" s="1365"/>
      <c r="V499" s="1365"/>
    </row>
    <row r="500" spans="1:36" s="1363" customFormat="1">
      <c r="A500" s="1436"/>
      <c r="B500" s="1433"/>
      <c r="C500" s="1462"/>
      <c r="D500" s="1435"/>
      <c r="E500" s="1435"/>
      <c r="F500" s="1462"/>
      <c r="G500" s="1435"/>
      <c r="H500" s="1435"/>
      <c r="I500" s="1462"/>
      <c r="J500" s="1435"/>
      <c r="K500" s="1435"/>
      <c r="O500" s="1364"/>
      <c r="P500" s="1364"/>
      <c r="Q500" s="1364"/>
      <c r="T500" s="1365"/>
      <c r="U500" s="1365"/>
      <c r="V500" s="1365"/>
    </row>
    <row r="501" spans="1:36" s="1363" customFormat="1">
      <c r="A501" s="1436"/>
      <c r="B501" s="1433"/>
      <c r="C501" s="1462"/>
      <c r="D501" s="1435"/>
      <c r="E501" s="1435"/>
      <c r="F501" s="1462"/>
      <c r="G501" s="1435"/>
      <c r="H501" s="1435"/>
      <c r="I501" s="1462"/>
      <c r="J501" s="1435"/>
      <c r="K501" s="1435"/>
      <c r="O501" s="1364"/>
      <c r="P501" s="1364"/>
      <c r="Q501" s="1364"/>
      <c r="T501" s="1365"/>
      <c r="U501" s="1365"/>
      <c r="V501" s="1365"/>
    </row>
    <row r="502" spans="1:36" s="1363" customFormat="1">
      <c r="A502" s="1436"/>
      <c r="B502" s="1433"/>
      <c r="C502" s="1478"/>
      <c r="D502" s="1435"/>
      <c r="E502" s="1435"/>
      <c r="F502" s="1478"/>
      <c r="G502" s="1435"/>
      <c r="H502" s="1435"/>
      <c r="I502" s="1478"/>
      <c r="J502" s="1435"/>
      <c r="K502" s="1435"/>
      <c r="O502" s="1364"/>
      <c r="P502" s="1364"/>
      <c r="Q502" s="1364"/>
      <c r="T502" s="1365"/>
      <c r="U502" s="1365"/>
      <c r="V502" s="1365"/>
    </row>
    <row r="503" spans="1:36" s="1363" customFormat="1">
      <c r="A503" s="1436"/>
      <c r="B503" s="1433"/>
      <c r="C503" s="1479"/>
      <c r="D503" s="1435"/>
      <c r="E503" s="1435"/>
      <c r="F503" s="1479"/>
      <c r="G503" s="1435"/>
      <c r="H503" s="1435"/>
      <c r="I503" s="1479"/>
      <c r="J503" s="1435"/>
      <c r="K503" s="1435"/>
      <c r="O503" s="1364"/>
      <c r="P503" s="1364"/>
      <c r="Q503" s="1364"/>
      <c r="T503" s="1365"/>
      <c r="U503" s="1365"/>
      <c r="V503" s="1365"/>
    </row>
    <row r="504" spans="1:36" s="1363" customFormat="1">
      <c r="B504" s="1474"/>
      <c r="C504" s="1398"/>
      <c r="E504" s="1420"/>
      <c r="F504" s="1398"/>
      <c r="H504" s="1420"/>
      <c r="I504" s="1443"/>
      <c r="J504" s="1435"/>
      <c r="K504" s="1435"/>
      <c r="M504" s="1427"/>
      <c r="O504" s="1449"/>
      <c r="R504" s="1450"/>
      <c r="S504" s="1450"/>
      <c r="T504" s="1365"/>
      <c r="U504" s="1365"/>
      <c r="V504" s="1365"/>
      <c r="AJ504" s="1427"/>
    </row>
    <row r="505" spans="1:36" s="1363" customFormat="1">
      <c r="B505" s="1474"/>
      <c r="C505" s="1398"/>
      <c r="E505" s="1420"/>
      <c r="F505" s="1398"/>
      <c r="H505" s="1420"/>
      <c r="I505" s="1443"/>
      <c r="K505" s="1435"/>
      <c r="M505" s="1427"/>
      <c r="O505" s="1449"/>
      <c r="R505" s="1450"/>
      <c r="S505" s="1450"/>
      <c r="T505" s="1365"/>
      <c r="U505" s="1365"/>
      <c r="V505" s="1365"/>
      <c r="AJ505" s="1427"/>
    </row>
    <row r="506" spans="1:36" s="1363" customFormat="1">
      <c r="A506" s="1480"/>
      <c r="B506" s="1433"/>
      <c r="C506" s="1459"/>
      <c r="D506" s="1481"/>
      <c r="E506" s="1481"/>
      <c r="F506" s="1459"/>
      <c r="G506" s="1481"/>
      <c r="H506" s="1481"/>
      <c r="I506" s="1459"/>
      <c r="J506" s="1481"/>
      <c r="K506" s="1420"/>
      <c r="O506" s="1364"/>
      <c r="P506" s="1364"/>
      <c r="Q506" s="1364"/>
      <c r="T506" s="1365"/>
      <c r="U506" s="1365"/>
      <c r="V506" s="1365"/>
    </row>
    <row r="507" spans="1:36" s="1363" customFormat="1">
      <c r="A507" s="1436"/>
      <c r="B507" s="1433"/>
      <c r="C507" s="1476"/>
      <c r="D507" s="1436"/>
      <c r="E507" s="1435"/>
      <c r="F507" s="1476"/>
      <c r="G507" s="1436"/>
      <c r="H507" s="1435"/>
      <c r="I507" s="1476"/>
      <c r="J507" s="1436"/>
      <c r="K507" s="1435"/>
      <c r="O507" s="1364"/>
      <c r="P507" s="1364"/>
      <c r="Q507" s="1364"/>
      <c r="T507" s="1365"/>
      <c r="U507" s="1365"/>
      <c r="V507" s="1365"/>
    </row>
    <row r="508" spans="1:36" s="1363" customFormat="1">
      <c r="A508" s="1436"/>
      <c r="B508" s="1433"/>
      <c r="C508" s="1476"/>
      <c r="D508" s="1436"/>
      <c r="E508" s="1435"/>
      <c r="F508" s="1476"/>
      <c r="G508" s="1436"/>
      <c r="H508" s="1435"/>
      <c r="I508" s="1476"/>
      <c r="J508" s="1436"/>
      <c r="K508" s="1435"/>
      <c r="O508" s="1364"/>
      <c r="P508" s="1364"/>
      <c r="Q508" s="1364"/>
      <c r="T508" s="1365"/>
      <c r="U508" s="1365"/>
      <c r="V508" s="1365"/>
    </row>
    <row r="509" spans="1:36" s="1363" customFormat="1">
      <c r="A509" s="1436"/>
      <c r="B509" s="1433"/>
      <c r="C509" s="1476"/>
      <c r="D509" s="1438"/>
      <c r="E509" s="1435"/>
      <c r="F509" s="1476"/>
      <c r="G509" s="1438"/>
      <c r="H509" s="1435"/>
      <c r="I509" s="1476"/>
      <c r="J509" s="1438"/>
      <c r="K509" s="1435"/>
      <c r="O509" s="1364"/>
      <c r="P509" s="1364"/>
      <c r="Q509" s="1364"/>
      <c r="T509" s="1365"/>
      <c r="U509" s="1365"/>
      <c r="V509" s="1365"/>
    </row>
    <row r="510" spans="1:36" s="1363" customFormat="1">
      <c r="A510" s="1436"/>
      <c r="B510" s="1433"/>
      <c r="C510" s="1476"/>
      <c r="D510" s="1436"/>
      <c r="E510" s="1435"/>
      <c r="F510" s="1476"/>
      <c r="G510" s="1436"/>
      <c r="H510" s="1435"/>
      <c r="I510" s="1476"/>
      <c r="J510" s="1436"/>
      <c r="K510" s="1435"/>
      <c r="O510" s="1364"/>
      <c r="P510" s="1364"/>
      <c r="Q510" s="1364"/>
      <c r="T510" s="1365"/>
      <c r="U510" s="1365"/>
      <c r="V510" s="1365"/>
    </row>
    <row r="511" spans="1:36" s="1363" customFormat="1">
      <c r="A511" s="1436"/>
      <c r="B511" s="1433"/>
      <c r="C511" s="1476"/>
      <c r="D511" s="1436"/>
      <c r="E511" s="1435"/>
      <c r="F511" s="1476"/>
      <c r="G511" s="1436"/>
      <c r="H511" s="1435"/>
      <c r="I511" s="1476"/>
      <c r="J511" s="1436"/>
      <c r="K511" s="1435"/>
      <c r="O511" s="1364"/>
      <c r="P511" s="1364"/>
      <c r="Q511" s="1364"/>
      <c r="T511" s="1365"/>
      <c r="U511" s="1365"/>
      <c r="V511" s="1365"/>
    </row>
    <row r="512" spans="1:36" s="1363" customFormat="1">
      <c r="A512" s="1436"/>
      <c r="B512" s="1433"/>
      <c r="C512" s="1476"/>
      <c r="D512" s="1436"/>
      <c r="E512" s="1435"/>
      <c r="F512" s="1476"/>
      <c r="G512" s="1436"/>
      <c r="H512" s="1435"/>
      <c r="I512" s="1476"/>
      <c r="J512" s="1436"/>
      <c r="K512" s="1435"/>
      <c r="O512" s="1364"/>
      <c r="P512" s="1364"/>
      <c r="Q512" s="1364"/>
      <c r="T512" s="1365"/>
      <c r="U512" s="1365"/>
      <c r="V512" s="1365"/>
    </row>
    <row r="513" spans="1:36" s="1363" customFormat="1">
      <c r="A513" s="1436"/>
      <c r="B513" s="1433"/>
      <c r="C513" s="1462"/>
      <c r="D513" s="1435"/>
      <c r="E513" s="1435"/>
      <c r="F513" s="1461"/>
      <c r="G513" s="1435"/>
      <c r="H513" s="1435"/>
      <c r="I513" s="1476"/>
      <c r="J513" s="1435"/>
      <c r="K513" s="1435"/>
      <c r="O513" s="1364"/>
      <c r="P513" s="1364"/>
      <c r="Q513" s="1364"/>
      <c r="T513" s="1365"/>
      <c r="U513" s="1365"/>
      <c r="V513" s="1365"/>
    </row>
    <row r="514" spans="1:36" s="1363" customFormat="1">
      <c r="A514" s="1436"/>
      <c r="B514" s="1433"/>
      <c r="C514" s="1462"/>
      <c r="D514" s="1435"/>
      <c r="E514" s="1435"/>
      <c r="F514" s="1482"/>
      <c r="G514" s="1435"/>
      <c r="H514" s="1435"/>
      <c r="I514" s="1483"/>
      <c r="J514" s="1435"/>
      <c r="K514" s="1435"/>
      <c r="O514" s="1364"/>
      <c r="P514" s="1364"/>
      <c r="Q514" s="1364"/>
      <c r="T514" s="1365"/>
      <c r="U514" s="1365"/>
      <c r="V514" s="1365"/>
    </row>
    <row r="515" spans="1:36" s="1363" customFormat="1">
      <c r="A515" s="1436"/>
      <c r="B515" s="1433"/>
      <c r="C515" s="1478"/>
      <c r="D515" s="1435"/>
      <c r="E515" s="1435"/>
      <c r="F515" s="1482"/>
      <c r="G515" s="1435"/>
      <c r="H515" s="1435"/>
      <c r="I515" s="1483"/>
      <c r="J515" s="1435"/>
      <c r="K515" s="1435"/>
      <c r="O515" s="1364"/>
      <c r="P515" s="1364"/>
      <c r="Q515" s="1364"/>
      <c r="T515" s="1365"/>
      <c r="U515" s="1365"/>
      <c r="V515" s="1365"/>
    </row>
    <row r="516" spans="1:36" s="1363" customFormat="1">
      <c r="A516" s="1436"/>
      <c r="B516" s="1433"/>
      <c r="C516" s="1484"/>
      <c r="D516" s="1435"/>
      <c r="E516" s="1435"/>
      <c r="F516" s="1484"/>
      <c r="G516" s="1435"/>
      <c r="H516" s="1435"/>
      <c r="I516" s="1484"/>
      <c r="J516" s="1435"/>
      <c r="K516" s="1435"/>
      <c r="O516" s="1364"/>
      <c r="P516" s="1364"/>
      <c r="Q516" s="1364"/>
      <c r="T516" s="1365"/>
      <c r="U516" s="1365"/>
      <c r="V516" s="1365"/>
    </row>
    <row r="517" spans="1:36" s="1363" customFormat="1">
      <c r="A517" s="1436"/>
      <c r="B517" s="1433"/>
      <c r="C517" s="1461"/>
      <c r="D517" s="1481"/>
      <c r="E517" s="1435"/>
      <c r="F517" s="1461"/>
      <c r="G517" s="1485"/>
      <c r="H517" s="1435"/>
      <c r="I517" s="1461"/>
      <c r="J517" s="1485"/>
      <c r="K517" s="1435"/>
      <c r="O517" s="1364"/>
      <c r="P517" s="1364"/>
      <c r="Q517" s="1364"/>
      <c r="T517" s="1365"/>
      <c r="U517" s="1365"/>
      <c r="V517" s="1365"/>
    </row>
    <row r="518" spans="1:36" s="1363" customFormat="1">
      <c r="A518" s="1436"/>
      <c r="B518" s="1433"/>
      <c r="C518" s="1463"/>
      <c r="D518" s="1435"/>
      <c r="E518" s="1435"/>
      <c r="F518" s="1463"/>
      <c r="G518" s="1435"/>
      <c r="H518" s="1435"/>
      <c r="I518" s="1463"/>
      <c r="J518" s="1435"/>
      <c r="K518" s="1435"/>
      <c r="O518" s="1364"/>
      <c r="P518" s="1364"/>
      <c r="Q518" s="1364"/>
      <c r="T518" s="1365"/>
      <c r="U518" s="1365"/>
      <c r="V518" s="1365"/>
    </row>
    <row r="519" spans="1:36" s="1363" customFormat="1">
      <c r="A519" s="1436"/>
      <c r="B519" s="1433"/>
      <c r="C519" s="1461"/>
      <c r="D519" s="1435"/>
      <c r="E519" s="1435"/>
      <c r="F519" s="1461"/>
      <c r="G519" s="1435"/>
      <c r="H519" s="1435"/>
      <c r="I519" s="1476"/>
      <c r="J519" s="1435"/>
      <c r="K519" s="1435"/>
      <c r="O519" s="1364"/>
      <c r="P519" s="1364"/>
      <c r="Q519" s="1364"/>
      <c r="T519" s="1365"/>
      <c r="U519" s="1365"/>
      <c r="V519" s="1365"/>
    </row>
    <row r="520" spans="1:36" s="1363" customFormat="1">
      <c r="A520" s="1436"/>
      <c r="B520" s="1433"/>
      <c r="C520" s="1461"/>
      <c r="D520" s="1435"/>
      <c r="E520" s="1435"/>
      <c r="F520" s="1461"/>
      <c r="G520" s="1435"/>
      <c r="H520" s="1435"/>
      <c r="I520" s="1476"/>
      <c r="J520" s="1435"/>
      <c r="K520" s="1435"/>
      <c r="O520" s="1364"/>
      <c r="P520" s="1364"/>
      <c r="Q520" s="1364"/>
      <c r="T520" s="1365"/>
      <c r="U520" s="1365"/>
      <c r="V520" s="1365"/>
    </row>
    <row r="521" spans="1:36" s="1363" customFormat="1">
      <c r="B521" s="1433"/>
      <c r="C521" s="1462"/>
      <c r="D521" s="1435"/>
      <c r="E521" s="1435"/>
      <c r="F521" s="1462"/>
      <c r="G521" s="1435"/>
      <c r="H521" s="1435"/>
      <c r="I521" s="1462"/>
      <c r="J521" s="1435"/>
      <c r="K521" s="1435"/>
      <c r="O521" s="1364"/>
      <c r="P521" s="1364"/>
      <c r="Q521" s="1364"/>
      <c r="T521" s="1365"/>
      <c r="U521" s="1365"/>
      <c r="V521" s="1365"/>
    </row>
    <row r="522" spans="1:36" s="1363" customFormat="1">
      <c r="B522" s="1474"/>
      <c r="C522" s="1398"/>
      <c r="E522" s="1420"/>
      <c r="F522" s="1398"/>
      <c r="H522" s="1420"/>
      <c r="I522" s="1443"/>
      <c r="J522" s="1436"/>
      <c r="K522" s="1435"/>
      <c r="M522" s="1427"/>
      <c r="O522" s="1449"/>
      <c r="R522" s="1450"/>
      <c r="S522" s="1450"/>
      <c r="T522" s="1365"/>
      <c r="U522" s="1365"/>
      <c r="V522" s="1365"/>
      <c r="AJ522" s="1427"/>
    </row>
    <row r="523" spans="1:36" s="1363" customFormat="1">
      <c r="B523" s="1474"/>
      <c r="C523" s="1398"/>
      <c r="E523" s="1420"/>
      <c r="F523" s="1398"/>
      <c r="H523" s="1420"/>
      <c r="I523" s="1443"/>
      <c r="J523" s="1436"/>
      <c r="K523" s="1435"/>
      <c r="M523" s="1427"/>
      <c r="O523" s="1449"/>
      <c r="R523" s="1450"/>
      <c r="S523" s="1450"/>
      <c r="T523" s="1365"/>
      <c r="U523" s="1365"/>
      <c r="V523" s="1365"/>
      <c r="AJ523" s="1427"/>
    </row>
    <row r="524" spans="1:36" s="1363" customFormat="1">
      <c r="A524" s="1426"/>
      <c r="B524" s="1433"/>
      <c r="C524" s="1448"/>
      <c r="D524" s="1420"/>
      <c r="E524" s="1420"/>
      <c r="F524" s="1448"/>
      <c r="G524" s="1436"/>
      <c r="H524" s="1420"/>
      <c r="I524" s="1448"/>
      <c r="J524" s="1436"/>
      <c r="K524" s="1420"/>
      <c r="O524" s="1364"/>
      <c r="P524" s="1364"/>
      <c r="Q524" s="1364"/>
      <c r="T524" s="1365"/>
      <c r="U524" s="1365"/>
      <c r="V524" s="1365"/>
    </row>
    <row r="525" spans="1:36" s="1363" customFormat="1">
      <c r="A525" s="1426"/>
      <c r="B525" s="1433"/>
      <c r="C525" s="1436"/>
      <c r="D525" s="1436"/>
      <c r="E525" s="1420"/>
      <c r="F525" s="1436"/>
      <c r="G525" s="1436"/>
      <c r="H525" s="1420"/>
      <c r="I525" s="1436"/>
      <c r="J525" s="1436"/>
      <c r="K525" s="1420"/>
      <c r="M525" s="1422"/>
      <c r="N525" s="1422"/>
      <c r="O525" s="1423"/>
      <c r="P525" s="1364"/>
      <c r="Q525" s="1364"/>
      <c r="T525" s="1365"/>
      <c r="U525" s="1365"/>
      <c r="V525" s="1365"/>
    </row>
    <row r="526" spans="1:36" s="1363" customFormat="1">
      <c r="A526" s="1426"/>
      <c r="B526" s="1428"/>
      <c r="C526" s="1467"/>
      <c r="D526" s="1468"/>
      <c r="E526" s="1435"/>
      <c r="F526" s="1467"/>
      <c r="G526" s="1426"/>
      <c r="H526" s="1435"/>
      <c r="I526" s="1467"/>
      <c r="J526" s="1426"/>
      <c r="K526" s="1435"/>
      <c r="M526" s="1424"/>
      <c r="N526" s="1424"/>
      <c r="O526" s="1412"/>
      <c r="P526" s="1364"/>
      <c r="Q526" s="1364"/>
      <c r="T526" s="1365"/>
      <c r="U526" s="1365"/>
      <c r="V526" s="1365"/>
    </row>
    <row r="527" spans="1:36" s="1363" customFormat="1">
      <c r="A527" s="1426"/>
      <c r="B527" s="1428"/>
      <c r="C527" s="1464"/>
      <c r="D527" s="1420"/>
      <c r="E527" s="1420"/>
      <c r="F527" s="1464"/>
      <c r="G527" s="1426"/>
      <c r="H527" s="1420"/>
      <c r="I527" s="1464"/>
      <c r="J527" s="1426"/>
      <c r="K527" s="1420"/>
      <c r="O527" s="1364"/>
      <c r="P527" s="1364"/>
      <c r="Q527" s="1364"/>
      <c r="T527" s="1365"/>
      <c r="U527" s="1365"/>
      <c r="V527" s="1365"/>
    </row>
    <row r="528" spans="1:36" s="1363" customFormat="1">
      <c r="A528" s="1425"/>
      <c r="B528" s="1426"/>
      <c r="C528" s="1420"/>
      <c r="D528" s="1420"/>
      <c r="E528" s="1426"/>
      <c r="F528" s="1420"/>
      <c r="G528" s="1426"/>
      <c r="H528" s="1426"/>
      <c r="I528" s="1420"/>
      <c r="J528" s="1426"/>
      <c r="K528" s="1426"/>
      <c r="O528" s="1364"/>
      <c r="P528" s="1364"/>
      <c r="Q528" s="1364"/>
      <c r="T528" s="1365"/>
      <c r="U528" s="1365"/>
      <c r="V528" s="1365"/>
    </row>
    <row r="529" spans="1:28" s="1363" customFormat="1">
      <c r="A529" s="1436"/>
      <c r="B529" s="1426"/>
      <c r="C529" s="1420"/>
      <c r="D529" s="1420"/>
      <c r="E529" s="1426"/>
      <c r="F529" s="1420"/>
      <c r="G529" s="1426"/>
      <c r="H529" s="1426"/>
      <c r="I529" s="1420"/>
      <c r="J529" s="1426"/>
      <c r="K529" s="1426"/>
      <c r="O529" s="1364"/>
      <c r="P529" s="1364"/>
      <c r="Q529" s="1364"/>
      <c r="T529" s="1365"/>
      <c r="U529" s="1365"/>
      <c r="V529" s="1365"/>
    </row>
    <row r="530" spans="1:28" s="1363" customFormat="1">
      <c r="A530" s="1436"/>
      <c r="B530" s="1426"/>
      <c r="C530" s="1420"/>
      <c r="D530" s="1420"/>
      <c r="E530" s="1426"/>
      <c r="F530" s="1420"/>
      <c r="G530" s="1426"/>
      <c r="H530" s="1426"/>
      <c r="I530" s="1420"/>
      <c r="J530" s="1426"/>
      <c r="K530" s="1426"/>
      <c r="O530" s="1364"/>
      <c r="P530" s="1364"/>
      <c r="Q530" s="1364"/>
      <c r="T530" s="1365"/>
      <c r="U530" s="1365"/>
      <c r="V530" s="1365"/>
    </row>
    <row r="531" spans="1:28" s="1363" customFormat="1">
      <c r="A531" s="1436"/>
      <c r="B531" s="1433"/>
      <c r="C531" s="1420"/>
      <c r="D531" s="1420"/>
      <c r="E531" s="1426"/>
      <c r="F531" s="1420"/>
      <c r="G531" s="1426"/>
      <c r="H531" s="1426"/>
      <c r="I531" s="1420"/>
      <c r="J531" s="1426"/>
      <c r="K531" s="1426"/>
      <c r="O531" s="1364"/>
      <c r="P531" s="1365"/>
      <c r="Q531" s="1365"/>
      <c r="T531" s="1365"/>
      <c r="U531" s="1365"/>
      <c r="V531" s="1365"/>
    </row>
    <row r="532" spans="1:28" s="1363" customFormat="1">
      <c r="A532" s="1436"/>
      <c r="B532" s="1433"/>
      <c r="C532" s="1429"/>
      <c r="D532" s="1436"/>
      <c r="E532" s="1435"/>
      <c r="F532" s="1429"/>
      <c r="G532" s="1436"/>
      <c r="H532" s="1435"/>
      <c r="I532" s="1429"/>
      <c r="J532" s="1436"/>
      <c r="K532" s="1435"/>
      <c r="M532" s="1427"/>
      <c r="O532" s="1364"/>
      <c r="P532" s="1417"/>
      <c r="Q532" s="1417"/>
      <c r="T532" s="1365"/>
      <c r="U532" s="1365"/>
      <c r="V532" s="1365"/>
      <c r="Y532" s="1374"/>
      <c r="Z532" s="1374"/>
    </row>
    <row r="533" spans="1:28" s="1363" customFormat="1">
      <c r="A533" s="1436"/>
      <c r="B533" s="1433"/>
      <c r="C533" s="1429"/>
      <c r="D533" s="1436"/>
      <c r="E533" s="1435"/>
      <c r="F533" s="1429"/>
      <c r="G533" s="1436"/>
      <c r="H533" s="1435"/>
      <c r="I533" s="1429"/>
      <c r="J533" s="1436"/>
      <c r="K533" s="1435"/>
      <c r="M533" s="1427"/>
      <c r="O533" s="1364"/>
      <c r="P533" s="1417"/>
      <c r="Q533" s="1417"/>
      <c r="S533" s="1427"/>
      <c r="T533" s="1486"/>
      <c r="U533" s="1431"/>
      <c r="V533" s="1486"/>
      <c r="W533" s="1427"/>
      <c r="X533" s="1427"/>
      <c r="Y533" s="1487"/>
      <c r="Z533" s="1487"/>
      <c r="AB533" s="1412"/>
    </row>
    <row r="534" spans="1:28" s="1363" customFormat="1">
      <c r="A534" s="1436"/>
      <c r="B534" s="1433"/>
      <c r="C534" s="1429"/>
      <c r="D534" s="1438"/>
      <c r="E534" s="1435"/>
      <c r="F534" s="1429"/>
      <c r="G534" s="1438"/>
      <c r="H534" s="1435"/>
      <c r="I534" s="1429"/>
      <c r="J534" s="1438"/>
      <c r="K534" s="1435"/>
      <c r="M534" s="1427"/>
      <c r="O534" s="1364"/>
      <c r="P534" s="1417"/>
      <c r="Q534" s="1417"/>
      <c r="S534" s="1427"/>
      <c r="T534" s="1486"/>
      <c r="U534" s="1431"/>
      <c r="V534" s="1486"/>
      <c r="W534" s="1427"/>
      <c r="X534" s="1427"/>
      <c r="Y534" s="1487"/>
      <c r="Z534" s="1487"/>
      <c r="AB534" s="1412"/>
    </row>
    <row r="535" spans="1:28" s="1363" customFormat="1">
      <c r="A535" s="1436"/>
      <c r="B535" s="1433"/>
      <c r="C535" s="1429"/>
      <c r="D535" s="1436"/>
      <c r="E535" s="1435"/>
      <c r="F535" s="1429"/>
      <c r="G535" s="1436"/>
      <c r="H535" s="1435"/>
      <c r="I535" s="1429"/>
      <c r="J535" s="1436"/>
      <c r="K535" s="1435"/>
      <c r="O535" s="1364"/>
      <c r="P535" s="1364"/>
      <c r="Q535" s="1364"/>
      <c r="S535" s="1427"/>
      <c r="T535" s="1486"/>
      <c r="U535" s="1431"/>
      <c r="V535" s="1486"/>
      <c r="W535" s="1427"/>
      <c r="X535" s="1427"/>
      <c r="Y535" s="1487"/>
      <c r="Z535" s="1487"/>
      <c r="AB535" s="1412"/>
    </row>
    <row r="536" spans="1:28" s="1363" customFormat="1">
      <c r="A536" s="1436"/>
      <c r="B536" s="1433"/>
      <c r="C536" s="1429"/>
      <c r="D536" s="1436"/>
      <c r="E536" s="1435"/>
      <c r="F536" s="1429"/>
      <c r="G536" s="1436"/>
      <c r="H536" s="1435"/>
      <c r="I536" s="1429"/>
      <c r="J536" s="1436"/>
      <c r="K536" s="1435"/>
      <c r="M536" s="1427"/>
      <c r="O536" s="1364"/>
      <c r="P536" s="1417"/>
      <c r="Q536" s="1417"/>
      <c r="S536" s="1427"/>
      <c r="T536" s="1439"/>
      <c r="U536" s="1431"/>
      <c r="V536" s="1439"/>
      <c r="W536" s="1427"/>
      <c r="X536" s="1427"/>
      <c r="Y536" s="1440"/>
      <c r="Z536" s="1440"/>
    </row>
    <row r="537" spans="1:28" s="1363" customFormat="1">
      <c r="A537" s="1436"/>
      <c r="B537" s="1433"/>
      <c r="C537" s="1429"/>
      <c r="D537" s="1436"/>
      <c r="E537" s="1435"/>
      <c r="F537" s="1429"/>
      <c r="G537" s="1436"/>
      <c r="H537" s="1435"/>
      <c r="I537" s="1429"/>
      <c r="J537" s="1436"/>
      <c r="K537" s="1435"/>
      <c r="M537" s="1427"/>
      <c r="O537" s="1364"/>
      <c r="P537" s="1417"/>
      <c r="Q537" s="1417"/>
      <c r="S537" s="1427"/>
      <c r="T537" s="1431"/>
      <c r="U537" s="1365"/>
      <c r="V537" s="1365"/>
    </row>
    <row r="538" spans="1:28" s="1363" customFormat="1">
      <c r="A538" s="1436"/>
      <c r="B538" s="1433"/>
      <c r="C538" s="1476"/>
      <c r="D538" s="1436"/>
      <c r="E538" s="1435"/>
      <c r="F538" s="1476"/>
      <c r="G538" s="1436"/>
      <c r="H538" s="1435"/>
      <c r="I538" s="1476"/>
      <c r="J538" s="1436"/>
      <c r="K538" s="1435"/>
      <c r="O538" s="1364"/>
      <c r="P538" s="1364"/>
      <c r="Q538" s="1364"/>
      <c r="R538" s="1364"/>
      <c r="T538" s="1365"/>
      <c r="U538" s="1365"/>
      <c r="V538" s="1365"/>
    </row>
    <row r="539" spans="1:28" s="1363" customFormat="1">
      <c r="A539" s="1436"/>
      <c r="B539" s="1433"/>
      <c r="C539" s="1429"/>
      <c r="D539" s="1436"/>
      <c r="E539" s="1435"/>
      <c r="F539" s="1429"/>
      <c r="G539" s="1436"/>
      <c r="H539" s="1435"/>
      <c r="I539" s="1429"/>
      <c r="J539" s="1436"/>
      <c r="K539" s="1435"/>
      <c r="M539" s="1427"/>
      <c r="O539" s="1364"/>
      <c r="P539" s="1417"/>
      <c r="Q539" s="1417"/>
      <c r="R539" s="1364"/>
      <c r="T539" s="1365"/>
      <c r="U539" s="1365"/>
      <c r="V539" s="1365"/>
    </row>
    <row r="540" spans="1:28" s="1363" customFormat="1">
      <c r="A540" s="1436"/>
      <c r="B540" s="1433"/>
      <c r="C540" s="1488"/>
      <c r="D540" s="1436"/>
      <c r="E540" s="1435"/>
      <c r="F540" s="1488"/>
      <c r="G540" s="1436"/>
      <c r="H540" s="1435"/>
      <c r="I540" s="1488"/>
      <c r="J540" s="1436"/>
      <c r="K540" s="1435"/>
      <c r="M540" s="1427"/>
      <c r="O540" s="1364"/>
      <c r="P540" s="1417"/>
      <c r="Q540" s="1417"/>
      <c r="R540" s="1364"/>
      <c r="T540" s="1365"/>
      <c r="U540" s="1365"/>
      <c r="V540" s="1365"/>
    </row>
    <row r="541" spans="1:28" s="1363" customFormat="1">
      <c r="A541" s="1436"/>
      <c r="B541" s="1433"/>
      <c r="C541" s="1429"/>
      <c r="D541" s="1436"/>
      <c r="E541" s="1435"/>
      <c r="F541" s="1429"/>
      <c r="G541" s="1436"/>
      <c r="H541" s="1435"/>
      <c r="I541" s="1429"/>
      <c r="J541" s="1436"/>
      <c r="K541" s="1435"/>
      <c r="O541" s="1364"/>
      <c r="P541" s="1364"/>
      <c r="Q541" s="1364"/>
      <c r="R541" s="1364"/>
      <c r="T541" s="1365"/>
      <c r="U541" s="1365"/>
      <c r="V541" s="1365"/>
    </row>
    <row r="542" spans="1:28" s="1363" customFormat="1">
      <c r="A542" s="1436"/>
      <c r="B542" s="1433"/>
      <c r="C542" s="1489"/>
      <c r="D542" s="1436"/>
      <c r="E542" s="1435"/>
      <c r="F542" s="1489"/>
      <c r="G542" s="1436"/>
      <c r="H542" s="1435"/>
      <c r="I542" s="1489"/>
      <c r="J542" s="1436"/>
      <c r="K542" s="1435"/>
      <c r="M542" s="1427"/>
      <c r="O542" s="1364"/>
      <c r="P542" s="1417"/>
      <c r="Q542" s="1417"/>
      <c r="R542" s="1364"/>
      <c r="T542" s="1365"/>
      <c r="U542" s="1365"/>
      <c r="V542" s="1365"/>
    </row>
    <row r="543" spans="1:28" s="1363" customFormat="1">
      <c r="A543" s="1436"/>
      <c r="B543" s="1433"/>
      <c r="C543" s="1489"/>
      <c r="D543" s="1436"/>
      <c r="E543" s="1435"/>
      <c r="F543" s="1489"/>
      <c r="G543" s="1436"/>
      <c r="H543" s="1435"/>
      <c r="I543" s="1489"/>
      <c r="J543" s="1436"/>
      <c r="K543" s="1435"/>
      <c r="M543" s="1427"/>
      <c r="O543" s="1364"/>
      <c r="P543" s="1417"/>
      <c r="Q543" s="1417"/>
      <c r="R543" s="1364"/>
      <c r="T543" s="1365"/>
      <c r="U543" s="1365"/>
      <c r="V543" s="1365"/>
    </row>
    <row r="544" spans="1:28" s="1363" customFormat="1">
      <c r="A544" s="1436"/>
      <c r="B544" s="1433"/>
      <c r="C544" s="1490"/>
      <c r="D544" s="1436"/>
      <c r="E544" s="1435"/>
      <c r="F544" s="1490"/>
      <c r="G544" s="1436"/>
      <c r="H544" s="1435"/>
      <c r="I544" s="1490"/>
      <c r="J544" s="1436"/>
      <c r="K544" s="1435"/>
      <c r="M544" s="1427"/>
      <c r="O544" s="1364"/>
      <c r="P544" s="1417"/>
      <c r="Q544" s="1417"/>
      <c r="R544" s="1364"/>
      <c r="T544" s="1365"/>
      <c r="U544" s="1365"/>
      <c r="V544" s="1365"/>
    </row>
    <row r="545" spans="1:36" s="1363" customFormat="1">
      <c r="B545" s="1433"/>
      <c r="C545" s="1398"/>
      <c r="E545" s="1420"/>
      <c r="F545" s="1398"/>
      <c r="H545" s="1420"/>
      <c r="I545" s="1443"/>
      <c r="J545" s="1435"/>
      <c r="K545" s="1435"/>
      <c r="M545" s="1427"/>
      <c r="N545" s="1427"/>
      <c r="O545" s="1449"/>
      <c r="R545" s="1450"/>
      <c r="S545" s="1450"/>
      <c r="T545" s="1365"/>
      <c r="U545" s="1365"/>
      <c r="V545" s="1365"/>
      <c r="AJ545" s="1427"/>
    </row>
    <row r="546" spans="1:36" s="1363" customFormat="1">
      <c r="B546" s="1433"/>
      <c r="C546" s="1398"/>
      <c r="E546" s="1420"/>
      <c r="F546" s="1398"/>
      <c r="H546" s="1420"/>
      <c r="I546" s="1443"/>
      <c r="J546" s="1435"/>
      <c r="K546" s="1435"/>
      <c r="M546" s="1427"/>
      <c r="O546" s="1449"/>
      <c r="R546" s="1450"/>
      <c r="S546" s="1450"/>
      <c r="T546" s="1365"/>
      <c r="U546" s="1365"/>
      <c r="V546" s="1365"/>
      <c r="AJ546" s="1427"/>
    </row>
    <row r="547" spans="1:36" s="1363" customFormat="1">
      <c r="A547" s="1451"/>
      <c r="B547" s="1452"/>
      <c r="C547" s="1453"/>
      <c r="D547" s="1451"/>
      <c r="E547" s="1454"/>
      <c r="F547" s="1491"/>
      <c r="G547" s="1456"/>
      <c r="H547" s="1454"/>
      <c r="I547" s="1491"/>
      <c r="J547" s="1456"/>
      <c r="K547" s="1457"/>
      <c r="M547" s="1427"/>
      <c r="O547" s="1449"/>
      <c r="P547" s="1417"/>
      <c r="R547" s="1450"/>
      <c r="S547" s="1450"/>
      <c r="T547" s="1365"/>
      <c r="U547" s="1365"/>
      <c r="V547" s="1365"/>
      <c r="AJ547" s="1427"/>
    </row>
    <row r="548" spans="1:36" s="1363" customFormat="1">
      <c r="A548" s="1451"/>
      <c r="B548" s="1452"/>
      <c r="C548" s="1453"/>
      <c r="D548" s="1451"/>
      <c r="E548" s="1454"/>
      <c r="F548" s="1491"/>
      <c r="G548" s="1456"/>
      <c r="H548" s="1454"/>
      <c r="I548" s="1491"/>
      <c r="J548" s="1456"/>
      <c r="K548" s="1457"/>
      <c r="M548" s="1427"/>
      <c r="O548" s="1449"/>
      <c r="P548" s="1417"/>
      <c r="R548" s="1450"/>
      <c r="S548" s="1450"/>
      <c r="T548" s="1365"/>
      <c r="U548" s="1365"/>
      <c r="V548" s="1365"/>
      <c r="AJ548" s="1427"/>
    </row>
    <row r="549" spans="1:36" s="1363" customFormat="1">
      <c r="A549" s="1480"/>
      <c r="B549" s="1433"/>
      <c r="C549" s="1459"/>
      <c r="D549" s="1420"/>
      <c r="E549" s="1435"/>
      <c r="F549" s="1459"/>
      <c r="G549" s="1426"/>
      <c r="H549" s="1435"/>
      <c r="I549" s="1459"/>
      <c r="J549" s="1426"/>
      <c r="K549" s="1435"/>
      <c r="O549" s="1364"/>
      <c r="P549" s="1364"/>
      <c r="Q549" s="1364"/>
      <c r="T549" s="1365"/>
      <c r="U549" s="1365"/>
      <c r="V549" s="1365"/>
    </row>
    <row r="550" spans="1:36" s="1363" customFormat="1">
      <c r="A550" s="1436"/>
      <c r="B550" s="1433"/>
      <c r="C550" s="1476"/>
      <c r="D550" s="1485"/>
      <c r="E550" s="1435"/>
      <c r="F550" s="1476"/>
      <c r="G550" s="1425"/>
      <c r="H550" s="1435"/>
      <c r="I550" s="1476"/>
      <c r="J550" s="1425"/>
      <c r="K550" s="1435"/>
      <c r="M550" s="1427"/>
      <c r="O550" s="1364"/>
      <c r="P550" s="1364"/>
      <c r="Q550" s="1364"/>
      <c r="T550" s="1365"/>
      <c r="U550" s="1365"/>
      <c r="V550" s="1365"/>
    </row>
    <row r="551" spans="1:36" s="1363" customFormat="1">
      <c r="A551" s="1436"/>
      <c r="B551" s="1433"/>
      <c r="C551" s="1476"/>
      <c r="D551" s="1485"/>
      <c r="E551" s="1435"/>
      <c r="F551" s="1476"/>
      <c r="G551" s="1425"/>
      <c r="H551" s="1435"/>
      <c r="I551" s="1476"/>
      <c r="J551" s="1425"/>
      <c r="K551" s="1435"/>
      <c r="M551" s="1427"/>
      <c r="O551" s="1492"/>
      <c r="P551" s="1364"/>
      <c r="Q551" s="1364"/>
      <c r="T551" s="1365"/>
      <c r="U551" s="1365"/>
      <c r="V551" s="1365"/>
    </row>
    <row r="552" spans="1:36" s="1363" customFormat="1">
      <c r="A552" s="1436"/>
      <c r="B552" s="1433"/>
      <c r="C552" s="1476"/>
      <c r="D552" s="1493"/>
      <c r="E552" s="1435"/>
      <c r="F552" s="1476"/>
      <c r="G552" s="1494"/>
      <c r="H552" s="1435"/>
      <c r="I552" s="1476"/>
      <c r="J552" s="1494"/>
      <c r="K552" s="1435"/>
      <c r="M552" s="1427"/>
      <c r="O552" s="1492"/>
      <c r="P552" s="1364"/>
      <c r="Q552" s="1364"/>
      <c r="T552" s="1365"/>
      <c r="U552" s="1365"/>
      <c r="V552" s="1365"/>
    </row>
    <row r="553" spans="1:36" s="1363" customFormat="1">
      <c r="A553" s="1436"/>
      <c r="B553" s="1433"/>
      <c r="C553" s="1476"/>
      <c r="D553" s="1485"/>
      <c r="E553" s="1435"/>
      <c r="F553" s="1476"/>
      <c r="G553" s="1425"/>
      <c r="H553" s="1435"/>
      <c r="I553" s="1476"/>
      <c r="J553" s="1425"/>
      <c r="K553" s="1435"/>
      <c r="M553" s="1427"/>
      <c r="O553" s="1364"/>
      <c r="P553" s="1364"/>
      <c r="Q553" s="1364"/>
      <c r="T553" s="1365"/>
      <c r="U553" s="1365"/>
      <c r="V553" s="1365"/>
    </row>
    <row r="554" spans="1:36" s="1363" customFormat="1">
      <c r="A554" s="1436"/>
      <c r="B554" s="1433"/>
      <c r="C554" s="1476"/>
      <c r="D554" s="1485"/>
      <c r="E554" s="1435"/>
      <c r="F554" s="1476"/>
      <c r="G554" s="1425"/>
      <c r="H554" s="1435"/>
      <c r="I554" s="1476"/>
      <c r="J554" s="1425"/>
      <c r="K554" s="1435"/>
      <c r="M554" s="1427"/>
      <c r="O554" s="1364"/>
      <c r="P554" s="1364"/>
      <c r="Q554" s="1364"/>
      <c r="T554" s="1365"/>
      <c r="U554" s="1365"/>
      <c r="V554" s="1365"/>
    </row>
    <row r="555" spans="1:36" s="1363" customFormat="1">
      <c r="A555" s="1436"/>
      <c r="B555" s="1433"/>
      <c r="C555" s="1476"/>
      <c r="D555" s="1485"/>
      <c r="E555" s="1435"/>
      <c r="F555" s="1476"/>
      <c r="G555" s="1425"/>
      <c r="H555" s="1435"/>
      <c r="I555" s="1476"/>
      <c r="J555" s="1425"/>
      <c r="K555" s="1435"/>
      <c r="M555" s="1427"/>
      <c r="O555" s="1364"/>
      <c r="P555" s="1364"/>
      <c r="Q555" s="1364"/>
      <c r="T555" s="1365"/>
      <c r="U555" s="1365"/>
      <c r="V555" s="1365"/>
    </row>
    <row r="556" spans="1:36" s="1363" customFormat="1">
      <c r="A556" s="1436"/>
      <c r="B556" s="1433"/>
      <c r="C556" s="1476"/>
      <c r="D556" s="1485"/>
      <c r="E556" s="1435"/>
      <c r="F556" s="1476"/>
      <c r="G556" s="1425"/>
      <c r="H556" s="1435"/>
      <c r="I556" s="1476"/>
      <c r="J556" s="1425"/>
      <c r="K556" s="1435"/>
      <c r="M556" s="1427"/>
      <c r="O556" s="1364"/>
      <c r="P556" s="1364"/>
      <c r="Q556" s="1364"/>
      <c r="T556" s="1365"/>
      <c r="U556" s="1365"/>
      <c r="V556" s="1365"/>
    </row>
    <row r="557" spans="1:36" s="1363" customFormat="1">
      <c r="A557" s="1436"/>
      <c r="B557" s="1433"/>
      <c r="C557" s="1483"/>
      <c r="D557" s="1435"/>
      <c r="E557" s="1435"/>
      <c r="F557" s="1483"/>
      <c r="G557" s="1436"/>
      <c r="H557" s="1435"/>
      <c r="I557" s="1483"/>
      <c r="J557" s="1436"/>
      <c r="K557" s="1435"/>
      <c r="M557" s="1427"/>
      <c r="O557" s="1364"/>
      <c r="P557" s="1364"/>
      <c r="Q557" s="1364"/>
      <c r="T557" s="1365"/>
      <c r="U557" s="1365"/>
      <c r="V557" s="1365"/>
    </row>
    <row r="558" spans="1:36" s="1363" customFormat="1">
      <c r="A558" s="1436"/>
      <c r="B558" s="1433"/>
      <c r="C558" s="1483"/>
      <c r="D558" s="1435"/>
      <c r="E558" s="1435"/>
      <c r="F558" s="1483"/>
      <c r="G558" s="1436"/>
      <c r="H558" s="1435"/>
      <c r="I558" s="1483"/>
      <c r="J558" s="1436"/>
      <c r="K558" s="1435"/>
      <c r="M558" s="1427"/>
      <c r="O558" s="1364"/>
      <c r="P558" s="1364"/>
      <c r="Q558" s="1364"/>
      <c r="T558" s="1365"/>
      <c r="U558" s="1365"/>
      <c r="V558" s="1365"/>
    </row>
    <row r="559" spans="1:36" s="1363" customFormat="1">
      <c r="A559" s="1436"/>
      <c r="B559" s="1433"/>
      <c r="C559" s="1495"/>
      <c r="D559" s="1435"/>
      <c r="E559" s="1435"/>
      <c r="F559" s="1495"/>
      <c r="G559" s="1436"/>
      <c r="H559" s="1435"/>
      <c r="I559" s="1495"/>
      <c r="J559" s="1436"/>
      <c r="K559" s="1435"/>
      <c r="M559" s="1427"/>
      <c r="O559" s="1364"/>
      <c r="P559" s="1364"/>
      <c r="Q559" s="1364"/>
      <c r="T559" s="1365"/>
      <c r="U559" s="1365"/>
      <c r="V559" s="1365"/>
    </row>
    <row r="560" spans="1:36" s="1363" customFormat="1">
      <c r="A560" s="1436"/>
      <c r="B560" s="1433"/>
      <c r="C560" s="1429"/>
      <c r="D560" s="1485"/>
      <c r="E560" s="1435"/>
      <c r="F560" s="1429"/>
      <c r="G560" s="1426"/>
      <c r="H560" s="1435"/>
      <c r="I560" s="1429"/>
      <c r="J560" s="1426"/>
      <c r="K560" s="1435"/>
      <c r="M560" s="1427"/>
      <c r="O560" s="1364"/>
      <c r="P560" s="1364"/>
      <c r="Q560" s="1364"/>
      <c r="T560" s="1365"/>
      <c r="U560" s="1365"/>
      <c r="V560" s="1365"/>
    </row>
    <row r="561" spans="1:36" s="1363" customFormat="1">
      <c r="A561" s="1436"/>
      <c r="B561" s="1433"/>
      <c r="C561" s="1465"/>
      <c r="D561" s="1435"/>
      <c r="E561" s="1435"/>
      <c r="F561" s="1465"/>
      <c r="G561" s="1435"/>
      <c r="H561" s="1435"/>
      <c r="I561" s="1465"/>
      <c r="J561" s="1435"/>
      <c r="K561" s="1435"/>
      <c r="M561" s="1427"/>
      <c r="O561" s="1364"/>
      <c r="P561" s="1364"/>
      <c r="Q561" s="1364"/>
      <c r="T561" s="1365"/>
      <c r="U561" s="1365"/>
      <c r="V561" s="1365"/>
    </row>
    <row r="562" spans="1:36" s="1363" customFormat="1">
      <c r="B562" s="1433"/>
      <c r="C562" s="1398"/>
      <c r="E562" s="1420"/>
      <c r="F562" s="1398"/>
      <c r="H562" s="1420"/>
      <c r="I562" s="1443"/>
      <c r="J562" s="1435"/>
      <c r="K562" s="1435"/>
      <c r="M562" s="1427"/>
      <c r="O562" s="1449"/>
      <c r="R562" s="1450"/>
      <c r="S562" s="1450"/>
      <c r="T562" s="1365"/>
      <c r="U562" s="1365"/>
      <c r="V562" s="1365"/>
      <c r="AJ562" s="1427"/>
    </row>
    <row r="563" spans="1:36" s="1363" customFormat="1">
      <c r="B563" s="1433"/>
      <c r="C563" s="1398"/>
      <c r="E563" s="1420"/>
      <c r="F563" s="1398"/>
      <c r="H563" s="1420"/>
      <c r="I563" s="1443"/>
      <c r="J563" s="1435"/>
      <c r="K563" s="1435"/>
      <c r="M563" s="1427"/>
      <c r="O563" s="1449"/>
      <c r="R563" s="1450"/>
      <c r="S563" s="1450"/>
      <c r="T563" s="1365"/>
      <c r="U563" s="1365"/>
      <c r="V563" s="1365"/>
      <c r="AJ563" s="1427"/>
    </row>
    <row r="564" spans="1:36" s="1363" customFormat="1">
      <c r="A564" s="1426"/>
      <c r="B564" s="1433"/>
      <c r="C564" s="1448"/>
      <c r="D564" s="1420"/>
      <c r="E564" s="1420"/>
      <c r="F564" s="1437"/>
      <c r="G564" s="1426"/>
      <c r="H564" s="1420"/>
      <c r="I564" s="1420"/>
      <c r="J564" s="1426"/>
      <c r="K564" s="1420"/>
      <c r="M564" s="1427"/>
      <c r="O564" s="1364"/>
      <c r="P564" s="1496"/>
      <c r="Q564" s="1496"/>
      <c r="T564" s="1365"/>
      <c r="U564" s="1365"/>
      <c r="V564" s="1365"/>
    </row>
    <row r="565" spans="1:36" s="1363" customFormat="1">
      <c r="A565" s="1426"/>
      <c r="B565" s="1433"/>
      <c r="C565" s="1436"/>
      <c r="D565" s="1436"/>
      <c r="E565" s="1420"/>
      <c r="F565" s="1436"/>
      <c r="G565" s="1436"/>
      <c r="H565" s="1420"/>
      <c r="I565" s="1436"/>
      <c r="J565" s="1436"/>
      <c r="K565" s="1420"/>
      <c r="M565" s="1422"/>
      <c r="N565" s="1422"/>
      <c r="O565" s="1423"/>
      <c r="P565" s="1364"/>
      <c r="Q565" s="1364"/>
      <c r="T565" s="1365"/>
      <c r="U565" s="1365"/>
      <c r="V565" s="1365"/>
    </row>
    <row r="566" spans="1:36" s="1363" customFormat="1">
      <c r="A566" s="1426"/>
      <c r="B566" s="1428"/>
      <c r="C566" s="1467"/>
      <c r="D566" s="1468"/>
      <c r="E566" s="1435"/>
      <c r="F566" s="1467"/>
      <c r="G566" s="1426"/>
      <c r="H566" s="1435"/>
      <c r="I566" s="1467"/>
      <c r="J566" s="1426"/>
      <c r="K566" s="1435"/>
      <c r="M566" s="1424"/>
      <c r="O566" s="1474"/>
      <c r="P566" s="1417"/>
      <c r="Q566" s="1412"/>
      <c r="R566" s="1417"/>
      <c r="T566" s="1365"/>
      <c r="U566" s="1365"/>
      <c r="V566" s="1365"/>
    </row>
    <row r="567" spans="1:36" s="1363" customFormat="1">
      <c r="A567" s="1426"/>
      <c r="B567" s="1428"/>
      <c r="C567" s="1464"/>
      <c r="D567" s="1420"/>
      <c r="E567" s="1420"/>
      <c r="F567" s="1464"/>
      <c r="G567" s="1426"/>
      <c r="H567" s="1420"/>
      <c r="I567" s="1461"/>
      <c r="J567" s="1426"/>
      <c r="K567" s="1420"/>
      <c r="O567" s="1427"/>
      <c r="P567" s="1471"/>
      <c r="Q567" s="1471"/>
      <c r="T567" s="1365"/>
      <c r="U567" s="1365"/>
      <c r="V567" s="1365"/>
    </row>
    <row r="568" spans="1:36" s="1363" customFormat="1" hidden="1">
      <c r="A568" s="1425"/>
      <c r="B568" s="1426"/>
      <c r="C568" s="1420"/>
      <c r="D568" s="1420"/>
      <c r="E568" s="1426"/>
      <c r="F568" s="1420"/>
      <c r="G568" s="1426"/>
      <c r="H568" s="1426"/>
      <c r="I568" s="1420"/>
      <c r="J568" s="1426"/>
      <c r="K568" s="1426"/>
      <c r="O568" s="1364"/>
      <c r="P568" s="1364"/>
      <c r="Q568" s="1364"/>
      <c r="T568" s="1365"/>
      <c r="U568" s="1365"/>
      <c r="V568" s="1365"/>
    </row>
    <row r="569" spans="1:36" s="1363" customFormat="1" hidden="1">
      <c r="A569" s="1436"/>
      <c r="B569" s="1426"/>
      <c r="C569" s="1420"/>
      <c r="D569" s="1420"/>
      <c r="E569" s="1426"/>
      <c r="F569" s="1420"/>
      <c r="G569" s="1426"/>
      <c r="H569" s="1426"/>
      <c r="I569" s="1420"/>
      <c r="J569" s="1426"/>
      <c r="K569" s="1426"/>
      <c r="O569" s="1471"/>
      <c r="P569" s="1364"/>
      <c r="Q569" s="1364"/>
      <c r="T569" s="1365"/>
      <c r="U569" s="1365"/>
      <c r="V569" s="1365"/>
    </row>
    <row r="570" spans="1:36" s="1363" customFormat="1" hidden="1">
      <c r="A570" s="1436"/>
      <c r="B570" s="1426"/>
      <c r="C570" s="1420"/>
      <c r="D570" s="1420"/>
      <c r="E570" s="1426"/>
      <c r="F570" s="1420"/>
      <c r="G570" s="1426"/>
      <c r="H570" s="1426"/>
      <c r="I570" s="1420"/>
      <c r="J570" s="1426"/>
      <c r="K570" s="1426"/>
      <c r="O570" s="1364"/>
      <c r="P570" s="1364"/>
      <c r="Q570" s="1364"/>
      <c r="T570" s="1365"/>
      <c r="U570" s="1365"/>
      <c r="V570" s="1365"/>
    </row>
    <row r="571" spans="1:36" s="1363" customFormat="1" hidden="1">
      <c r="A571" s="1436"/>
      <c r="B571" s="1433"/>
      <c r="C571" s="1420"/>
      <c r="D571" s="1420"/>
      <c r="E571" s="1426"/>
      <c r="F571" s="1420"/>
      <c r="G571" s="1426"/>
      <c r="H571" s="1426"/>
      <c r="I571" s="1420"/>
      <c r="J571" s="1426"/>
      <c r="K571" s="1426"/>
      <c r="O571" s="1364"/>
      <c r="P571" s="1364"/>
      <c r="Q571" s="1364"/>
      <c r="T571" s="1365"/>
      <c r="U571" s="1365"/>
      <c r="V571" s="1365"/>
    </row>
    <row r="572" spans="1:36" s="1363" customFormat="1" hidden="1">
      <c r="A572" s="1436"/>
      <c r="B572" s="1433"/>
      <c r="C572" s="1429"/>
      <c r="D572" s="1436"/>
      <c r="E572" s="1435"/>
      <c r="F572" s="1429"/>
      <c r="G572" s="1436"/>
      <c r="H572" s="1435"/>
      <c r="I572" s="1429"/>
      <c r="J572" s="1436"/>
      <c r="K572" s="1435"/>
      <c r="O572" s="1364"/>
      <c r="P572" s="1364"/>
      <c r="Q572" s="1364"/>
      <c r="T572" s="1365"/>
      <c r="U572" s="1365"/>
      <c r="V572" s="1365"/>
    </row>
    <row r="573" spans="1:36" s="1363" customFormat="1" hidden="1">
      <c r="A573" s="1436"/>
      <c r="B573" s="1433"/>
      <c r="C573" s="1429"/>
      <c r="D573" s="1436"/>
      <c r="E573" s="1435"/>
      <c r="F573" s="1429"/>
      <c r="G573" s="1436"/>
      <c r="H573" s="1435"/>
      <c r="I573" s="1429"/>
      <c r="J573" s="1436"/>
      <c r="K573" s="1435"/>
      <c r="O573" s="1364"/>
      <c r="P573" s="1364"/>
      <c r="Q573" s="1364"/>
      <c r="T573" s="1365"/>
      <c r="U573" s="1365"/>
      <c r="V573" s="1365"/>
    </row>
    <row r="574" spans="1:36" s="1363" customFormat="1" hidden="1">
      <c r="A574" s="1436"/>
      <c r="B574" s="1433"/>
      <c r="C574" s="1429"/>
      <c r="D574" s="1438"/>
      <c r="E574" s="1435"/>
      <c r="F574" s="1429"/>
      <c r="G574" s="1438"/>
      <c r="H574" s="1435"/>
      <c r="I574" s="1429"/>
      <c r="J574" s="1438"/>
      <c r="K574" s="1435"/>
      <c r="O574" s="1364"/>
      <c r="P574" s="1364"/>
      <c r="Q574" s="1364"/>
      <c r="T574" s="1365"/>
      <c r="U574" s="1365"/>
      <c r="V574" s="1365"/>
    </row>
    <row r="575" spans="1:36" s="1363" customFormat="1" hidden="1">
      <c r="A575" s="1436"/>
      <c r="B575" s="1433"/>
      <c r="C575" s="1429"/>
      <c r="D575" s="1436"/>
      <c r="E575" s="1435"/>
      <c r="F575" s="1429"/>
      <c r="G575" s="1436"/>
      <c r="H575" s="1435"/>
      <c r="I575" s="1429"/>
      <c r="J575" s="1436"/>
      <c r="K575" s="1435"/>
      <c r="O575" s="1364"/>
      <c r="P575" s="1364"/>
      <c r="Q575" s="1364"/>
      <c r="T575" s="1365"/>
      <c r="U575" s="1365"/>
      <c r="V575" s="1365"/>
    </row>
    <row r="576" spans="1:36" s="1363" customFormat="1" hidden="1">
      <c r="A576" s="1436"/>
      <c r="B576" s="1433"/>
      <c r="C576" s="1429"/>
      <c r="D576" s="1436"/>
      <c r="E576" s="1435"/>
      <c r="F576" s="1429"/>
      <c r="G576" s="1436"/>
      <c r="H576" s="1435"/>
      <c r="I576" s="1429"/>
      <c r="J576" s="1436"/>
      <c r="K576" s="1435"/>
      <c r="O576" s="1364"/>
      <c r="P576" s="1364"/>
      <c r="Q576" s="1364"/>
      <c r="T576" s="1365"/>
      <c r="U576" s="1365"/>
      <c r="V576" s="1365"/>
    </row>
    <row r="577" spans="1:36" s="1363" customFormat="1" hidden="1">
      <c r="A577" s="1436"/>
      <c r="B577" s="1433"/>
      <c r="C577" s="1429"/>
      <c r="D577" s="1436"/>
      <c r="E577" s="1435"/>
      <c r="F577" s="1429"/>
      <c r="G577" s="1436"/>
      <c r="H577" s="1435"/>
      <c r="I577" s="1429"/>
      <c r="J577" s="1436"/>
      <c r="K577" s="1435"/>
      <c r="O577" s="1364"/>
      <c r="P577" s="1364"/>
      <c r="Q577" s="1364"/>
      <c r="T577" s="1365"/>
      <c r="U577" s="1365"/>
      <c r="V577" s="1365"/>
    </row>
    <row r="578" spans="1:36" s="1363" customFormat="1" hidden="1">
      <c r="A578" s="1436"/>
      <c r="B578" s="1433"/>
      <c r="C578" s="1476"/>
      <c r="D578" s="1436"/>
      <c r="E578" s="1435"/>
      <c r="F578" s="1476"/>
      <c r="G578" s="1436"/>
      <c r="H578" s="1435"/>
      <c r="I578" s="1476"/>
      <c r="J578" s="1436"/>
      <c r="K578" s="1435"/>
      <c r="O578" s="1364"/>
      <c r="P578" s="1364"/>
      <c r="Q578" s="1364"/>
      <c r="T578" s="1365"/>
      <c r="U578" s="1365"/>
      <c r="V578" s="1365"/>
    </row>
    <row r="579" spans="1:36" s="1363" customFormat="1" hidden="1">
      <c r="A579" s="1436"/>
      <c r="B579" s="1433"/>
      <c r="C579" s="1429"/>
      <c r="D579" s="1436"/>
      <c r="E579" s="1435"/>
      <c r="F579" s="1429"/>
      <c r="G579" s="1436"/>
      <c r="H579" s="1435"/>
      <c r="I579" s="1429"/>
      <c r="J579" s="1436"/>
      <c r="K579" s="1435"/>
      <c r="O579" s="1364"/>
      <c r="P579" s="1364"/>
      <c r="Q579" s="1364"/>
      <c r="T579" s="1365"/>
      <c r="U579" s="1365"/>
      <c r="V579" s="1365"/>
    </row>
    <row r="580" spans="1:36" s="1363" customFormat="1" hidden="1">
      <c r="A580" s="1436"/>
      <c r="B580" s="1433"/>
      <c r="C580" s="1488"/>
      <c r="D580" s="1436"/>
      <c r="E580" s="1435"/>
      <c r="F580" s="1488"/>
      <c r="G580" s="1436"/>
      <c r="H580" s="1435"/>
      <c r="I580" s="1488"/>
      <c r="J580" s="1436"/>
      <c r="K580" s="1435"/>
      <c r="O580" s="1364"/>
      <c r="P580" s="1364"/>
      <c r="Q580" s="1364"/>
      <c r="T580" s="1365"/>
      <c r="U580" s="1365"/>
      <c r="V580" s="1365"/>
    </row>
    <row r="581" spans="1:36" s="1363" customFormat="1" hidden="1">
      <c r="A581" s="1436"/>
      <c r="B581" s="1433"/>
      <c r="C581" s="1429"/>
      <c r="D581" s="1436"/>
      <c r="E581" s="1435"/>
      <c r="F581" s="1429"/>
      <c r="G581" s="1436"/>
      <c r="H581" s="1435"/>
      <c r="I581" s="1429"/>
      <c r="J581" s="1436"/>
      <c r="K581" s="1435"/>
      <c r="O581" s="1364"/>
      <c r="P581" s="1364"/>
      <c r="Q581" s="1364"/>
      <c r="T581" s="1365"/>
      <c r="U581" s="1365"/>
      <c r="V581" s="1365"/>
    </row>
    <row r="582" spans="1:36" s="1363" customFormat="1" hidden="1">
      <c r="A582" s="1436"/>
      <c r="B582" s="1433"/>
      <c r="C582" s="1497"/>
      <c r="D582" s="1436"/>
      <c r="E582" s="1435"/>
      <c r="F582" s="1498"/>
      <c r="G582" s="1436"/>
      <c r="H582" s="1435"/>
      <c r="I582" s="1489"/>
      <c r="J582" s="1436"/>
      <c r="K582" s="1435"/>
      <c r="O582" s="1364"/>
      <c r="P582" s="1364"/>
      <c r="Q582" s="1364"/>
      <c r="T582" s="1365"/>
      <c r="U582" s="1365"/>
      <c r="V582" s="1365"/>
    </row>
    <row r="583" spans="1:36" s="1363" customFormat="1" hidden="1">
      <c r="A583" s="1436"/>
      <c r="B583" s="1433"/>
      <c r="C583" s="1497"/>
      <c r="D583" s="1436"/>
      <c r="E583" s="1435"/>
      <c r="F583" s="1498"/>
      <c r="G583" s="1436"/>
      <c r="H583" s="1435"/>
      <c r="I583" s="1489"/>
      <c r="J583" s="1436"/>
      <c r="K583" s="1435"/>
      <c r="O583" s="1364"/>
      <c r="P583" s="1364"/>
      <c r="Q583" s="1364"/>
      <c r="T583" s="1365"/>
      <c r="U583" s="1365"/>
      <c r="V583" s="1365"/>
    </row>
    <row r="584" spans="1:36" s="1363" customFormat="1" hidden="1">
      <c r="A584" s="1436"/>
      <c r="B584" s="1433"/>
      <c r="C584" s="1465"/>
      <c r="D584" s="1436"/>
      <c r="E584" s="1435"/>
      <c r="F584" s="1499"/>
      <c r="G584" s="1436"/>
      <c r="H584" s="1435"/>
      <c r="I584" s="1500"/>
      <c r="J584" s="1436"/>
      <c r="K584" s="1435"/>
      <c r="O584" s="1364"/>
      <c r="P584" s="1364"/>
      <c r="Q584" s="1364"/>
      <c r="T584" s="1365"/>
      <c r="U584" s="1365"/>
      <c r="V584" s="1365"/>
    </row>
    <row r="585" spans="1:36" s="1363" customFormat="1" hidden="1">
      <c r="B585" s="1474"/>
      <c r="C585" s="1398"/>
      <c r="E585" s="1420"/>
      <c r="F585" s="1398"/>
      <c r="H585" s="1420"/>
      <c r="I585" s="1443"/>
      <c r="J585" s="1435"/>
      <c r="K585" s="1435"/>
      <c r="M585" s="1427"/>
      <c r="O585" s="1364"/>
      <c r="P585" s="1427"/>
      <c r="Q585" s="1364"/>
      <c r="R585" s="1450"/>
      <c r="S585" s="1450"/>
      <c r="T585" s="1365"/>
      <c r="U585" s="1365"/>
      <c r="V585" s="1365"/>
      <c r="AJ585" s="1427"/>
    </row>
    <row r="586" spans="1:36" s="1363" customFormat="1" hidden="1">
      <c r="B586" s="1474"/>
      <c r="C586" s="1398"/>
      <c r="E586" s="1420"/>
      <c r="F586" s="1398"/>
      <c r="H586" s="1420"/>
      <c r="I586" s="1443"/>
      <c r="J586" s="1435"/>
      <c r="K586" s="1435"/>
      <c r="M586" s="1427"/>
      <c r="O586" s="1364"/>
      <c r="P586" s="1427"/>
      <c r="Q586" s="1364"/>
      <c r="R586" s="1450"/>
      <c r="S586" s="1450"/>
      <c r="T586" s="1365"/>
      <c r="U586" s="1365"/>
      <c r="V586" s="1365"/>
      <c r="AJ586" s="1427"/>
    </row>
    <row r="587" spans="1:36" s="1363" customFormat="1" hidden="1">
      <c r="A587" s="1480"/>
      <c r="B587" s="1433"/>
      <c r="C587" s="1459"/>
      <c r="D587" s="1420"/>
      <c r="E587" s="1435"/>
      <c r="F587" s="1459"/>
      <c r="G587" s="1426"/>
      <c r="H587" s="1435"/>
      <c r="I587" s="1459"/>
      <c r="J587" s="1426"/>
      <c r="K587" s="1435"/>
      <c r="O587" s="1364"/>
      <c r="P587" s="1427"/>
      <c r="Q587" s="1364"/>
      <c r="T587" s="1365"/>
      <c r="U587" s="1365"/>
      <c r="V587" s="1365"/>
    </row>
    <row r="588" spans="1:36" s="1363" customFormat="1" hidden="1">
      <c r="A588" s="1436"/>
      <c r="B588" s="1433"/>
      <c r="C588" s="1476"/>
      <c r="D588" s="1485"/>
      <c r="E588" s="1435"/>
      <c r="F588" s="1476"/>
      <c r="G588" s="1425"/>
      <c r="H588" s="1435"/>
      <c r="I588" s="1476"/>
      <c r="J588" s="1425"/>
      <c r="K588" s="1435"/>
      <c r="O588" s="1364"/>
      <c r="P588" s="1427"/>
      <c r="Q588" s="1364"/>
      <c r="T588" s="1365"/>
      <c r="U588" s="1365"/>
      <c r="V588" s="1365"/>
    </row>
    <row r="589" spans="1:36" s="1363" customFormat="1" hidden="1">
      <c r="A589" s="1436"/>
      <c r="B589" s="1433"/>
      <c r="C589" s="1476"/>
      <c r="D589" s="1485"/>
      <c r="E589" s="1435"/>
      <c r="F589" s="1476"/>
      <c r="G589" s="1425"/>
      <c r="H589" s="1435"/>
      <c r="I589" s="1476"/>
      <c r="J589" s="1425"/>
      <c r="K589" s="1435"/>
      <c r="O589" s="1364"/>
      <c r="P589" s="1427"/>
      <c r="Q589" s="1364"/>
      <c r="T589" s="1365"/>
      <c r="U589" s="1365"/>
      <c r="V589" s="1365"/>
    </row>
    <row r="590" spans="1:36" s="1363" customFormat="1" hidden="1">
      <c r="A590" s="1436"/>
      <c r="B590" s="1433"/>
      <c r="C590" s="1476"/>
      <c r="D590" s="1493"/>
      <c r="E590" s="1435"/>
      <c r="F590" s="1476"/>
      <c r="G590" s="1494"/>
      <c r="H590" s="1435"/>
      <c r="I590" s="1476"/>
      <c r="J590" s="1494"/>
      <c r="K590" s="1435"/>
      <c r="O590" s="1364"/>
      <c r="P590" s="1427"/>
      <c r="Q590" s="1364"/>
      <c r="T590" s="1365"/>
      <c r="U590" s="1365"/>
      <c r="V590" s="1365"/>
    </row>
    <row r="591" spans="1:36" s="1363" customFormat="1" hidden="1">
      <c r="A591" s="1436"/>
      <c r="B591" s="1433"/>
      <c r="C591" s="1476"/>
      <c r="D591" s="1485"/>
      <c r="E591" s="1435"/>
      <c r="F591" s="1476"/>
      <c r="G591" s="1425"/>
      <c r="H591" s="1435"/>
      <c r="I591" s="1476"/>
      <c r="J591" s="1425"/>
      <c r="K591" s="1435"/>
      <c r="O591" s="1364"/>
      <c r="P591" s="1427"/>
      <c r="Q591" s="1364"/>
      <c r="T591" s="1365"/>
      <c r="U591" s="1365"/>
      <c r="V591" s="1365"/>
    </row>
    <row r="592" spans="1:36" s="1363" customFormat="1" hidden="1">
      <c r="A592" s="1436"/>
      <c r="B592" s="1433"/>
      <c r="C592" s="1476"/>
      <c r="D592" s="1485"/>
      <c r="E592" s="1435"/>
      <c r="F592" s="1476"/>
      <c r="G592" s="1425"/>
      <c r="H592" s="1435"/>
      <c r="I592" s="1476"/>
      <c r="J592" s="1425"/>
      <c r="K592" s="1435"/>
      <c r="O592" s="1364"/>
      <c r="P592" s="1427"/>
      <c r="Q592" s="1364"/>
      <c r="T592" s="1365"/>
      <c r="U592" s="1365"/>
      <c r="V592" s="1365"/>
    </row>
    <row r="593" spans="1:36" s="1363" customFormat="1" hidden="1">
      <c r="A593" s="1436"/>
      <c r="B593" s="1433"/>
      <c r="C593" s="1476"/>
      <c r="D593" s="1485"/>
      <c r="E593" s="1435"/>
      <c r="F593" s="1476"/>
      <c r="G593" s="1425"/>
      <c r="H593" s="1435"/>
      <c r="I593" s="1476"/>
      <c r="J593" s="1425"/>
      <c r="K593" s="1435"/>
      <c r="O593" s="1364"/>
      <c r="P593" s="1427"/>
      <c r="Q593" s="1364"/>
      <c r="T593" s="1365"/>
      <c r="U593" s="1365"/>
      <c r="V593" s="1365"/>
    </row>
    <row r="594" spans="1:36" s="1363" customFormat="1" hidden="1">
      <c r="A594" s="1436"/>
      <c r="B594" s="1433"/>
      <c r="C594" s="1476"/>
      <c r="D594" s="1485"/>
      <c r="E594" s="1435"/>
      <c r="F594" s="1476"/>
      <c r="G594" s="1425"/>
      <c r="H594" s="1435"/>
      <c r="I594" s="1476"/>
      <c r="J594" s="1425"/>
      <c r="K594" s="1435"/>
      <c r="O594" s="1364"/>
      <c r="P594" s="1427"/>
      <c r="Q594" s="1364"/>
      <c r="T594" s="1365"/>
      <c r="U594" s="1365"/>
      <c r="V594" s="1365"/>
    </row>
    <row r="595" spans="1:36" s="1363" customFormat="1" hidden="1">
      <c r="A595" s="1436"/>
      <c r="B595" s="1433"/>
      <c r="C595" s="1483"/>
      <c r="D595" s="1435"/>
      <c r="E595" s="1435"/>
      <c r="F595" s="1483"/>
      <c r="G595" s="1436"/>
      <c r="H595" s="1435"/>
      <c r="I595" s="1483"/>
      <c r="J595" s="1436"/>
      <c r="K595" s="1435"/>
      <c r="M595" s="1427"/>
      <c r="O595" s="1364"/>
      <c r="P595" s="1427"/>
      <c r="Q595" s="1364"/>
      <c r="T595" s="1365"/>
      <c r="U595" s="1365"/>
      <c r="V595" s="1365"/>
    </row>
    <row r="596" spans="1:36" s="1363" customFormat="1" hidden="1">
      <c r="A596" s="1436"/>
      <c r="B596" s="1433"/>
      <c r="C596" s="1483"/>
      <c r="D596" s="1435"/>
      <c r="E596" s="1435"/>
      <c r="F596" s="1483"/>
      <c r="G596" s="1436"/>
      <c r="H596" s="1435"/>
      <c r="I596" s="1483"/>
      <c r="J596" s="1436"/>
      <c r="K596" s="1435"/>
      <c r="O596" s="1364"/>
      <c r="P596" s="1427"/>
      <c r="Q596" s="1364"/>
      <c r="T596" s="1365"/>
      <c r="U596" s="1365"/>
      <c r="V596" s="1365"/>
    </row>
    <row r="597" spans="1:36" s="1363" customFormat="1" hidden="1">
      <c r="A597" s="1436"/>
      <c r="B597" s="1433"/>
      <c r="C597" s="1495"/>
      <c r="D597" s="1435"/>
      <c r="E597" s="1435"/>
      <c r="F597" s="1495"/>
      <c r="G597" s="1436"/>
      <c r="H597" s="1435"/>
      <c r="I597" s="1495"/>
      <c r="J597" s="1436"/>
      <c r="K597" s="1435"/>
      <c r="O597" s="1364"/>
      <c r="P597" s="1427"/>
      <c r="Q597" s="1364"/>
      <c r="T597" s="1365"/>
      <c r="U597" s="1365"/>
      <c r="V597" s="1365"/>
    </row>
    <row r="598" spans="1:36" s="1363" customFormat="1" hidden="1">
      <c r="A598" s="1436"/>
      <c r="B598" s="1433"/>
      <c r="C598" s="1429"/>
      <c r="D598" s="1485"/>
      <c r="E598" s="1435"/>
      <c r="F598" s="1429"/>
      <c r="G598" s="1426"/>
      <c r="H598" s="1435"/>
      <c r="I598" s="1429"/>
      <c r="J598" s="1426"/>
      <c r="K598" s="1435"/>
      <c r="O598" s="1364"/>
      <c r="Q598" s="1449"/>
      <c r="T598" s="1365"/>
      <c r="U598" s="1365"/>
      <c r="V598" s="1365"/>
    </row>
    <row r="599" spans="1:36" s="1363" customFormat="1" hidden="1">
      <c r="A599" s="1436"/>
      <c r="B599" s="1433"/>
      <c r="C599" s="1465"/>
      <c r="D599" s="1435"/>
      <c r="E599" s="1435"/>
      <c r="F599" s="1465"/>
      <c r="G599" s="1435"/>
      <c r="H599" s="1435"/>
      <c r="I599" s="1465"/>
      <c r="J599" s="1435"/>
      <c r="K599" s="1435"/>
      <c r="O599" s="1364"/>
      <c r="Q599" s="1449"/>
      <c r="T599" s="1365"/>
      <c r="U599" s="1365"/>
      <c r="V599" s="1365"/>
    </row>
    <row r="600" spans="1:36" s="1363" customFormat="1" hidden="1">
      <c r="B600" s="1474"/>
      <c r="C600" s="1398"/>
      <c r="E600" s="1420"/>
      <c r="F600" s="1398"/>
      <c r="H600" s="1420"/>
      <c r="I600" s="1443"/>
      <c r="J600" s="1435"/>
      <c r="K600" s="1435"/>
      <c r="M600" s="1427"/>
      <c r="O600" s="1364"/>
      <c r="P600" s="1427"/>
      <c r="Q600" s="1364"/>
      <c r="R600" s="1450"/>
      <c r="S600" s="1450"/>
      <c r="T600" s="1365"/>
      <c r="U600" s="1365"/>
      <c r="V600" s="1365"/>
      <c r="AJ600" s="1427"/>
    </row>
    <row r="601" spans="1:36" s="1363" customFormat="1" hidden="1">
      <c r="B601" s="1474"/>
      <c r="C601" s="1398"/>
      <c r="E601" s="1420"/>
      <c r="F601" s="1398"/>
      <c r="H601" s="1420"/>
      <c r="I601" s="1443"/>
      <c r="J601" s="1435"/>
      <c r="K601" s="1435"/>
      <c r="M601" s="1427"/>
      <c r="O601" s="1364"/>
      <c r="P601" s="1427"/>
      <c r="Q601" s="1364"/>
      <c r="R601" s="1450"/>
      <c r="S601" s="1450"/>
      <c r="T601" s="1365"/>
      <c r="U601" s="1365"/>
      <c r="V601" s="1365"/>
      <c r="AJ601" s="1427"/>
    </row>
    <row r="602" spans="1:36" s="1363" customFormat="1" hidden="1">
      <c r="A602" s="1426"/>
      <c r="B602" s="1433"/>
      <c r="C602" s="1448"/>
      <c r="D602" s="1420"/>
      <c r="E602" s="1420"/>
      <c r="F602" s="1448"/>
      <c r="G602" s="1426"/>
      <c r="H602" s="1420"/>
      <c r="I602" s="1448"/>
      <c r="J602" s="1426"/>
      <c r="K602" s="1420"/>
      <c r="O602" s="1364"/>
      <c r="P602" s="1427"/>
      <c r="Q602" s="1364"/>
      <c r="T602" s="1365"/>
      <c r="U602" s="1365"/>
      <c r="V602" s="1365"/>
    </row>
    <row r="603" spans="1:36" s="1363" customFormat="1" hidden="1">
      <c r="A603" s="1426"/>
      <c r="B603" s="1433"/>
      <c r="C603" s="1436"/>
      <c r="D603" s="1436"/>
      <c r="E603" s="1420"/>
      <c r="F603" s="1436"/>
      <c r="G603" s="1436"/>
      <c r="H603" s="1420"/>
      <c r="I603" s="1436"/>
      <c r="J603" s="1436"/>
      <c r="K603" s="1420"/>
      <c r="M603" s="1422"/>
      <c r="N603" s="1422"/>
      <c r="O603" s="1423"/>
      <c r="P603" s="1427"/>
      <c r="Q603" s="1364"/>
      <c r="T603" s="1365"/>
      <c r="U603" s="1365"/>
      <c r="V603" s="1365"/>
    </row>
    <row r="604" spans="1:36" s="1363" customFormat="1" hidden="1">
      <c r="A604" s="1426"/>
      <c r="B604" s="1428"/>
      <c r="C604" s="1467"/>
      <c r="D604" s="1468"/>
      <c r="E604" s="1435"/>
      <c r="F604" s="1467"/>
      <c r="G604" s="1426"/>
      <c r="H604" s="1435"/>
      <c r="I604" s="1467"/>
      <c r="J604" s="1426"/>
      <c r="K604" s="1435"/>
      <c r="M604" s="1424"/>
      <c r="N604" s="1424"/>
      <c r="O604" s="1412"/>
      <c r="P604" s="1427"/>
      <c r="Q604" s="1364"/>
      <c r="T604" s="1365"/>
      <c r="U604" s="1365"/>
      <c r="V604" s="1365"/>
    </row>
    <row r="605" spans="1:36" s="1363" customFormat="1" hidden="1">
      <c r="A605" s="1426"/>
      <c r="B605" s="1428"/>
      <c r="C605" s="1464"/>
      <c r="D605" s="1420"/>
      <c r="E605" s="1420"/>
      <c r="F605" s="1464"/>
      <c r="G605" s="1426"/>
      <c r="H605" s="1420"/>
      <c r="I605" s="1461"/>
      <c r="J605" s="1426"/>
      <c r="K605" s="1420"/>
      <c r="O605" s="1364"/>
      <c r="P605" s="1427"/>
      <c r="Q605" s="1364"/>
      <c r="T605" s="1365"/>
      <c r="U605" s="1365"/>
      <c r="V605" s="1365"/>
    </row>
    <row r="606" spans="1:36" s="1363" customFormat="1" hidden="1">
      <c r="A606" s="1425"/>
      <c r="B606" s="1426"/>
      <c r="C606" s="1420"/>
      <c r="D606" s="1420"/>
      <c r="E606" s="1426"/>
      <c r="F606" s="1420"/>
      <c r="G606" s="1426"/>
      <c r="H606" s="1426"/>
      <c r="I606" s="1420"/>
      <c r="J606" s="1426"/>
      <c r="K606" s="1426"/>
      <c r="O606" s="1364"/>
      <c r="P606" s="1427"/>
      <c r="Q606" s="1364"/>
      <c r="T606" s="1365"/>
      <c r="U606" s="1365"/>
      <c r="V606" s="1365"/>
    </row>
    <row r="607" spans="1:36" s="1363" customFormat="1" hidden="1">
      <c r="A607" s="1436"/>
      <c r="B607" s="1426"/>
      <c r="C607" s="1420"/>
      <c r="D607" s="1420"/>
      <c r="E607" s="1426"/>
      <c r="F607" s="1420"/>
      <c r="G607" s="1426"/>
      <c r="H607" s="1426"/>
      <c r="I607" s="1420"/>
      <c r="J607" s="1426"/>
      <c r="K607" s="1426"/>
      <c r="O607" s="1364"/>
      <c r="P607" s="1427"/>
      <c r="Q607" s="1364"/>
      <c r="T607" s="1365"/>
      <c r="U607" s="1365"/>
      <c r="V607" s="1365"/>
    </row>
    <row r="608" spans="1:36" s="1363" customFormat="1" hidden="1">
      <c r="A608" s="1436"/>
      <c r="B608" s="1426"/>
      <c r="C608" s="1420"/>
      <c r="D608" s="1420"/>
      <c r="E608" s="1426"/>
      <c r="F608" s="1420"/>
      <c r="G608" s="1426"/>
      <c r="H608" s="1426"/>
      <c r="I608" s="1420"/>
      <c r="J608" s="1426"/>
      <c r="K608" s="1426"/>
      <c r="O608" s="1364"/>
      <c r="P608" s="1427"/>
      <c r="Q608" s="1364"/>
      <c r="T608" s="1365"/>
      <c r="U608" s="1365"/>
      <c r="V608" s="1365"/>
    </row>
    <row r="609" spans="1:36" s="1363" customFormat="1" hidden="1">
      <c r="A609" s="1436"/>
      <c r="B609" s="1433"/>
      <c r="C609" s="1420"/>
      <c r="D609" s="1420"/>
      <c r="E609" s="1426"/>
      <c r="F609" s="1420"/>
      <c r="G609" s="1426"/>
      <c r="H609" s="1426"/>
      <c r="I609" s="1420"/>
      <c r="J609" s="1426"/>
      <c r="K609" s="1426"/>
      <c r="O609" s="1364"/>
      <c r="P609" s="1427"/>
      <c r="Q609" s="1364"/>
      <c r="T609" s="1365"/>
      <c r="U609" s="1365"/>
      <c r="V609" s="1365"/>
    </row>
    <row r="610" spans="1:36" s="1363" customFormat="1" hidden="1">
      <c r="A610" s="1436"/>
      <c r="B610" s="1433"/>
      <c r="C610" s="1429"/>
      <c r="D610" s="1436"/>
      <c r="E610" s="1435"/>
      <c r="F610" s="1429"/>
      <c r="G610" s="1436"/>
      <c r="H610" s="1435"/>
      <c r="I610" s="1429"/>
      <c r="J610" s="1436"/>
      <c r="K610" s="1435"/>
      <c r="O610" s="1364"/>
      <c r="P610" s="1427"/>
      <c r="Q610" s="1364"/>
      <c r="T610" s="1365"/>
      <c r="U610" s="1365"/>
      <c r="V610" s="1365"/>
    </row>
    <row r="611" spans="1:36" s="1363" customFormat="1" hidden="1">
      <c r="A611" s="1436"/>
      <c r="B611" s="1433"/>
      <c r="C611" s="1429"/>
      <c r="D611" s="1436"/>
      <c r="E611" s="1435"/>
      <c r="F611" s="1429"/>
      <c r="G611" s="1436"/>
      <c r="H611" s="1435"/>
      <c r="I611" s="1429"/>
      <c r="J611" s="1436"/>
      <c r="K611" s="1435"/>
      <c r="O611" s="1364"/>
      <c r="P611" s="1427"/>
      <c r="Q611" s="1364"/>
      <c r="T611" s="1365"/>
      <c r="U611" s="1365"/>
      <c r="V611" s="1365"/>
    </row>
    <row r="612" spans="1:36" s="1363" customFormat="1" hidden="1">
      <c r="A612" s="1436"/>
      <c r="B612" s="1433"/>
      <c r="C612" s="1429"/>
      <c r="D612" s="1438"/>
      <c r="E612" s="1435"/>
      <c r="F612" s="1429"/>
      <c r="G612" s="1438"/>
      <c r="H612" s="1435"/>
      <c r="I612" s="1429"/>
      <c r="J612" s="1438"/>
      <c r="K612" s="1435"/>
      <c r="O612" s="1364"/>
      <c r="P612" s="1427"/>
      <c r="Q612" s="1364"/>
      <c r="T612" s="1365"/>
      <c r="U612" s="1365"/>
      <c r="V612" s="1365"/>
    </row>
    <row r="613" spans="1:36" s="1363" customFormat="1" hidden="1">
      <c r="A613" s="1436"/>
      <c r="B613" s="1433"/>
      <c r="C613" s="1429"/>
      <c r="D613" s="1436"/>
      <c r="E613" s="1435"/>
      <c r="F613" s="1429"/>
      <c r="G613" s="1436"/>
      <c r="H613" s="1435"/>
      <c r="I613" s="1429"/>
      <c r="J613" s="1436"/>
      <c r="K613" s="1435"/>
      <c r="O613" s="1364"/>
      <c r="Q613" s="1449"/>
      <c r="T613" s="1365"/>
      <c r="U613" s="1365"/>
      <c r="V613" s="1365"/>
    </row>
    <row r="614" spans="1:36" s="1363" customFormat="1" hidden="1">
      <c r="A614" s="1436"/>
      <c r="B614" s="1433"/>
      <c r="C614" s="1429"/>
      <c r="D614" s="1436"/>
      <c r="E614" s="1435"/>
      <c r="F614" s="1429"/>
      <c r="G614" s="1436"/>
      <c r="H614" s="1435"/>
      <c r="I614" s="1429"/>
      <c r="J614" s="1436"/>
      <c r="K614" s="1435"/>
      <c r="O614" s="1364"/>
      <c r="Q614" s="1449"/>
      <c r="T614" s="1365"/>
      <c r="U614" s="1365"/>
      <c r="V614" s="1365"/>
    </row>
    <row r="615" spans="1:36" s="1363" customFormat="1" hidden="1">
      <c r="A615" s="1436"/>
      <c r="B615" s="1433"/>
      <c r="C615" s="1429"/>
      <c r="D615" s="1436"/>
      <c r="E615" s="1435"/>
      <c r="F615" s="1429"/>
      <c r="G615" s="1436"/>
      <c r="H615" s="1435"/>
      <c r="I615" s="1429"/>
      <c r="J615" s="1436"/>
      <c r="K615" s="1435"/>
      <c r="O615" s="1364"/>
      <c r="P615" s="1427"/>
      <c r="Q615" s="1364"/>
      <c r="T615" s="1365"/>
      <c r="U615" s="1365"/>
      <c r="V615" s="1365"/>
    </row>
    <row r="616" spans="1:36" s="1363" customFormat="1" hidden="1">
      <c r="A616" s="1436"/>
      <c r="B616" s="1433"/>
      <c r="C616" s="1476"/>
      <c r="D616" s="1436"/>
      <c r="E616" s="1435"/>
      <c r="F616" s="1476"/>
      <c r="G616" s="1436"/>
      <c r="H616" s="1435"/>
      <c r="I616" s="1476"/>
      <c r="J616" s="1436"/>
      <c r="K616" s="1435"/>
      <c r="O616" s="1364"/>
      <c r="P616" s="1364"/>
      <c r="Q616" s="1364"/>
      <c r="T616" s="1365"/>
      <c r="U616" s="1365"/>
      <c r="V616" s="1365"/>
    </row>
    <row r="617" spans="1:36" s="1363" customFormat="1" hidden="1">
      <c r="A617" s="1436"/>
      <c r="B617" s="1433"/>
      <c r="C617" s="1429"/>
      <c r="D617" s="1436"/>
      <c r="E617" s="1435"/>
      <c r="F617" s="1429"/>
      <c r="G617" s="1436"/>
      <c r="H617" s="1435"/>
      <c r="I617" s="1429"/>
      <c r="J617" s="1436"/>
      <c r="K617" s="1435"/>
      <c r="O617" s="1364"/>
      <c r="P617" s="1364"/>
      <c r="Q617" s="1364"/>
      <c r="T617" s="1365"/>
      <c r="U617" s="1365"/>
      <c r="V617" s="1365"/>
    </row>
    <row r="618" spans="1:36" s="1363" customFormat="1" hidden="1">
      <c r="A618" s="1436"/>
      <c r="B618" s="1433"/>
      <c r="C618" s="1488"/>
      <c r="D618" s="1436"/>
      <c r="E618" s="1435"/>
      <c r="F618" s="1488"/>
      <c r="G618" s="1436"/>
      <c r="H618" s="1435"/>
      <c r="I618" s="1488"/>
      <c r="J618" s="1436"/>
      <c r="K618" s="1435"/>
      <c r="O618" s="1364"/>
      <c r="P618" s="1364"/>
      <c r="Q618" s="1364"/>
      <c r="T618" s="1365"/>
      <c r="U618" s="1365"/>
      <c r="V618" s="1365"/>
    </row>
    <row r="619" spans="1:36" s="1363" customFormat="1" hidden="1">
      <c r="A619" s="1436"/>
      <c r="B619" s="1433"/>
      <c r="C619" s="1429"/>
      <c r="D619" s="1436"/>
      <c r="E619" s="1435"/>
      <c r="F619" s="1429"/>
      <c r="G619" s="1436"/>
      <c r="H619" s="1435"/>
      <c r="I619" s="1429"/>
      <c r="J619" s="1436"/>
      <c r="K619" s="1435"/>
      <c r="O619" s="1364"/>
      <c r="P619" s="1364"/>
      <c r="Q619" s="1364"/>
      <c r="T619" s="1365"/>
      <c r="U619" s="1365"/>
      <c r="V619" s="1365"/>
    </row>
    <row r="620" spans="1:36" s="1363" customFormat="1" hidden="1">
      <c r="A620" s="1436"/>
      <c r="B620" s="1433"/>
      <c r="C620" s="1497"/>
      <c r="D620" s="1436"/>
      <c r="E620" s="1435"/>
      <c r="F620" s="1498"/>
      <c r="G620" s="1436"/>
      <c r="H620" s="1435"/>
      <c r="I620" s="1489"/>
      <c r="J620" s="1436"/>
      <c r="K620" s="1435"/>
      <c r="O620" s="1364"/>
      <c r="P620" s="1364"/>
      <c r="Q620" s="1364"/>
      <c r="T620" s="1365"/>
      <c r="U620" s="1365"/>
      <c r="V620" s="1365"/>
    </row>
    <row r="621" spans="1:36" s="1363" customFormat="1" hidden="1">
      <c r="A621" s="1436"/>
      <c r="B621" s="1433"/>
      <c r="C621" s="1497"/>
      <c r="D621" s="1436"/>
      <c r="E621" s="1435"/>
      <c r="F621" s="1498"/>
      <c r="G621" s="1436"/>
      <c r="H621" s="1435"/>
      <c r="I621" s="1489"/>
      <c r="J621" s="1436"/>
      <c r="K621" s="1435"/>
      <c r="O621" s="1364"/>
      <c r="P621" s="1364"/>
      <c r="Q621" s="1364"/>
      <c r="T621" s="1365"/>
      <c r="U621" s="1365"/>
      <c r="V621" s="1365"/>
    </row>
    <row r="622" spans="1:36" s="1363" customFormat="1" hidden="1">
      <c r="A622" s="1436"/>
      <c r="B622" s="1433"/>
      <c r="C622" s="1465"/>
      <c r="D622" s="1436"/>
      <c r="E622" s="1435"/>
      <c r="F622" s="1499"/>
      <c r="G622" s="1436"/>
      <c r="H622" s="1435"/>
      <c r="I622" s="1500"/>
      <c r="J622" s="1436"/>
      <c r="K622" s="1435"/>
      <c r="O622" s="1364"/>
      <c r="P622" s="1364"/>
      <c r="Q622" s="1364"/>
      <c r="T622" s="1365"/>
      <c r="U622" s="1365"/>
      <c r="V622" s="1365"/>
    </row>
    <row r="623" spans="1:36" s="1363" customFormat="1" hidden="1">
      <c r="B623" s="1474"/>
      <c r="C623" s="1398"/>
      <c r="E623" s="1420"/>
      <c r="F623" s="1398"/>
      <c r="H623" s="1420"/>
      <c r="I623" s="1443"/>
      <c r="J623" s="1435"/>
      <c r="K623" s="1435"/>
      <c r="M623" s="1427"/>
      <c r="O623" s="1449"/>
      <c r="R623" s="1450"/>
      <c r="S623" s="1450"/>
      <c r="T623" s="1365"/>
      <c r="U623" s="1365"/>
      <c r="V623" s="1365"/>
      <c r="AJ623" s="1427"/>
    </row>
    <row r="624" spans="1:36" s="1363" customFormat="1" hidden="1">
      <c r="B624" s="1474"/>
      <c r="C624" s="1398"/>
      <c r="E624" s="1420"/>
      <c r="F624" s="1398"/>
      <c r="H624" s="1420"/>
      <c r="I624" s="1443"/>
      <c r="J624" s="1435"/>
      <c r="K624" s="1435"/>
      <c r="M624" s="1427"/>
      <c r="O624" s="1449"/>
      <c r="R624" s="1450"/>
      <c r="S624" s="1450"/>
      <c r="T624" s="1365"/>
      <c r="U624" s="1365"/>
      <c r="V624" s="1365"/>
      <c r="AJ624" s="1427"/>
    </row>
    <row r="625" spans="1:36" s="1363" customFormat="1" hidden="1">
      <c r="A625" s="1480"/>
      <c r="B625" s="1433"/>
      <c r="C625" s="1459"/>
      <c r="D625" s="1420"/>
      <c r="E625" s="1435"/>
      <c r="F625" s="1459"/>
      <c r="G625" s="1426"/>
      <c r="H625" s="1435"/>
      <c r="I625" s="1459"/>
      <c r="J625" s="1426"/>
      <c r="K625" s="1435"/>
      <c r="O625" s="1364"/>
      <c r="P625" s="1364"/>
      <c r="Q625" s="1364"/>
      <c r="T625" s="1365"/>
      <c r="U625" s="1365"/>
      <c r="V625" s="1365"/>
    </row>
    <row r="626" spans="1:36" s="1363" customFormat="1" hidden="1">
      <c r="A626" s="1436"/>
      <c r="B626" s="1433"/>
      <c r="C626" s="1476"/>
      <c r="D626" s="1485"/>
      <c r="E626" s="1435"/>
      <c r="F626" s="1476"/>
      <c r="G626" s="1425"/>
      <c r="H626" s="1435"/>
      <c r="I626" s="1476"/>
      <c r="J626" s="1425"/>
      <c r="K626" s="1435"/>
      <c r="O626" s="1364"/>
      <c r="P626" s="1364"/>
      <c r="Q626" s="1364"/>
      <c r="T626" s="1365"/>
      <c r="U626" s="1365"/>
      <c r="V626" s="1365"/>
    </row>
    <row r="627" spans="1:36" s="1363" customFormat="1" hidden="1">
      <c r="A627" s="1436"/>
      <c r="B627" s="1433"/>
      <c r="C627" s="1476"/>
      <c r="D627" s="1485"/>
      <c r="E627" s="1435"/>
      <c r="F627" s="1476"/>
      <c r="G627" s="1425"/>
      <c r="H627" s="1435"/>
      <c r="I627" s="1476"/>
      <c r="J627" s="1425"/>
      <c r="K627" s="1435"/>
      <c r="O627" s="1364"/>
      <c r="P627" s="1364"/>
      <c r="Q627" s="1364"/>
      <c r="T627" s="1365"/>
      <c r="U627" s="1365"/>
      <c r="V627" s="1365"/>
    </row>
    <row r="628" spans="1:36" s="1363" customFormat="1" hidden="1">
      <c r="A628" s="1436"/>
      <c r="B628" s="1433"/>
      <c r="C628" s="1476"/>
      <c r="D628" s="1493"/>
      <c r="E628" s="1435"/>
      <c r="F628" s="1476"/>
      <c r="G628" s="1494"/>
      <c r="H628" s="1435"/>
      <c r="I628" s="1476"/>
      <c r="J628" s="1494"/>
      <c r="K628" s="1435"/>
      <c r="O628" s="1364"/>
      <c r="P628" s="1364"/>
      <c r="Q628" s="1364"/>
      <c r="T628" s="1365"/>
      <c r="U628" s="1365"/>
      <c r="V628" s="1365"/>
    </row>
    <row r="629" spans="1:36" s="1363" customFormat="1" hidden="1">
      <c r="A629" s="1436"/>
      <c r="B629" s="1433"/>
      <c r="C629" s="1476"/>
      <c r="D629" s="1485"/>
      <c r="E629" s="1435"/>
      <c r="F629" s="1476"/>
      <c r="G629" s="1425"/>
      <c r="H629" s="1435"/>
      <c r="I629" s="1476"/>
      <c r="J629" s="1425"/>
      <c r="K629" s="1435"/>
      <c r="O629" s="1364"/>
      <c r="P629" s="1364"/>
      <c r="Q629" s="1364"/>
      <c r="T629" s="1365"/>
      <c r="U629" s="1365"/>
      <c r="V629" s="1365"/>
    </row>
    <row r="630" spans="1:36" s="1363" customFormat="1" hidden="1">
      <c r="A630" s="1436"/>
      <c r="B630" s="1433"/>
      <c r="C630" s="1476"/>
      <c r="D630" s="1485"/>
      <c r="E630" s="1435"/>
      <c r="F630" s="1476"/>
      <c r="G630" s="1425"/>
      <c r="H630" s="1435"/>
      <c r="I630" s="1476"/>
      <c r="J630" s="1425"/>
      <c r="K630" s="1435"/>
      <c r="O630" s="1364"/>
      <c r="P630" s="1364"/>
      <c r="Q630" s="1364"/>
      <c r="T630" s="1365"/>
      <c r="U630" s="1365"/>
      <c r="V630" s="1365"/>
    </row>
    <row r="631" spans="1:36" s="1363" customFormat="1" hidden="1">
      <c r="A631" s="1436"/>
      <c r="B631" s="1433"/>
      <c r="C631" s="1476"/>
      <c r="D631" s="1485"/>
      <c r="E631" s="1435"/>
      <c r="F631" s="1476"/>
      <c r="G631" s="1425"/>
      <c r="H631" s="1435"/>
      <c r="I631" s="1476"/>
      <c r="J631" s="1425"/>
      <c r="K631" s="1435"/>
      <c r="O631" s="1364"/>
      <c r="P631" s="1364"/>
      <c r="Q631" s="1364"/>
      <c r="T631" s="1365"/>
      <c r="U631" s="1365"/>
      <c r="V631" s="1365"/>
    </row>
    <row r="632" spans="1:36" s="1363" customFormat="1" hidden="1">
      <c r="A632" s="1436"/>
      <c r="B632" s="1433"/>
      <c r="C632" s="1476"/>
      <c r="D632" s="1485"/>
      <c r="E632" s="1435"/>
      <c r="F632" s="1476"/>
      <c r="G632" s="1425"/>
      <c r="H632" s="1435"/>
      <c r="I632" s="1476"/>
      <c r="J632" s="1425"/>
      <c r="K632" s="1435"/>
      <c r="O632" s="1364"/>
      <c r="P632" s="1364"/>
      <c r="Q632" s="1364"/>
      <c r="T632" s="1365"/>
      <c r="U632" s="1365"/>
      <c r="V632" s="1365"/>
    </row>
    <row r="633" spans="1:36" s="1363" customFormat="1" hidden="1">
      <c r="A633" s="1436"/>
      <c r="B633" s="1433"/>
      <c r="C633" s="1483"/>
      <c r="D633" s="1435"/>
      <c r="E633" s="1435"/>
      <c r="F633" s="1483"/>
      <c r="G633" s="1436"/>
      <c r="H633" s="1435"/>
      <c r="I633" s="1483"/>
      <c r="J633" s="1436"/>
      <c r="K633" s="1435"/>
      <c r="O633" s="1364"/>
      <c r="P633" s="1364"/>
      <c r="Q633" s="1364"/>
      <c r="T633" s="1365"/>
      <c r="U633" s="1365"/>
      <c r="V633" s="1365"/>
    </row>
    <row r="634" spans="1:36" s="1363" customFormat="1" hidden="1">
      <c r="A634" s="1436"/>
      <c r="B634" s="1433"/>
      <c r="C634" s="1483"/>
      <c r="D634" s="1435"/>
      <c r="E634" s="1435"/>
      <c r="F634" s="1483"/>
      <c r="G634" s="1436"/>
      <c r="H634" s="1435"/>
      <c r="I634" s="1483"/>
      <c r="J634" s="1436"/>
      <c r="K634" s="1435"/>
      <c r="O634" s="1364"/>
      <c r="P634" s="1364"/>
      <c r="Q634" s="1364"/>
      <c r="T634" s="1365"/>
      <c r="U634" s="1365"/>
      <c r="V634" s="1365"/>
    </row>
    <row r="635" spans="1:36" s="1363" customFormat="1" hidden="1">
      <c r="A635" s="1436"/>
      <c r="B635" s="1433"/>
      <c r="C635" s="1495"/>
      <c r="D635" s="1435"/>
      <c r="E635" s="1435"/>
      <c r="F635" s="1495"/>
      <c r="G635" s="1436"/>
      <c r="H635" s="1435"/>
      <c r="I635" s="1495"/>
      <c r="J635" s="1436"/>
      <c r="K635" s="1435"/>
      <c r="O635" s="1364"/>
      <c r="P635" s="1364"/>
      <c r="Q635" s="1364"/>
      <c r="T635" s="1365"/>
      <c r="U635" s="1365"/>
      <c r="V635" s="1365"/>
    </row>
    <row r="636" spans="1:36" s="1363" customFormat="1" hidden="1">
      <c r="A636" s="1436"/>
      <c r="B636" s="1433"/>
      <c r="C636" s="1429"/>
      <c r="D636" s="1485"/>
      <c r="E636" s="1435"/>
      <c r="F636" s="1429"/>
      <c r="G636" s="1426"/>
      <c r="H636" s="1435"/>
      <c r="I636" s="1429"/>
      <c r="J636" s="1426"/>
      <c r="K636" s="1435"/>
      <c r="O636" s="1364"/>
      <c r="P636" s="1364"/>
      <c r="Q636" s="1364"/>
      <c r="T636" s="1365"/>
      <c r="U636" s="1365"/>
      <c r="V636" s="1365"/>
    </row>
    <row r="637" spans="1:36" s="1363" customFormat="1" hidden="1">
      <c r="A637" s="1436"/>
      <c r="B637" s="1433"/>
      <c r="C637" s="1465"/>
      <c r="D637" s="1435"/>
      <c r="E637" s="1435"/>
      <c r="F637" s="1465"/>
      <c r="G637" s="1435"/>
      <c r="H637" s="1435"/>
      <c r="I637" s="1465"/>
      <c r="J637" s="1435"/>
      <c r="K637" s="1435"/>
      <c r="O637" s="1364"/>
      <c r="P637" s="1364"/>
      <c r="Q637" s="1364"/>
      <c r="T637" s="1365"/>
      <c r="U637" s="1365"/>
      <c r="V637" s="1365"/>
    </row>
    <row r="638" spans="1:36" s="1363" customFormat="1" hidden="1">
      <c r="B638" s="1474"/>
      <c r="C638" s="1398"/>
      <c r="E638" s="1420"/>
      <c r="F638" s="1398"/>
      <c r="H638" s="1420"/>
      <c r="I638" s="1443"/>
      <c r="J638" s="1435"/>
      <c r="K638" s="1435"/>
      <c r="M638" s="1427"/>
      <c r="O638" s="1449"/>
      <c r="R638" s="1450"/>
      <c r="S638" s="1450"/>
      <c r="T638" s="1365"/>
      <c r="U638" s="1365"/>
      <c r="V638" s="1365"/>
      <c r="AJ638" s="1427"/>
    </row>
    <row r="639" spans="1:36" s="1363" customFormat="1" hidden="1">
      <c r="B639" s="1474"/>
      <c r="C639" s="1398"/>
      <c r="E639" s="1420"/>
      <c r="F639" s="1398"/>
      <c r="H639" s="1420"/>
      <c r="I639" s="1443"/>
      <c r="J639" s="1435"/>
      <c r="K639" s="1435"/>
      <c r="M639" s="1427"/>
      <c r="O639" s="1449"/>
      <c r="R639" s="1450"/>
      <c r="S639" s="1450"/>
      <c r="T639" s="1365"/>
      <c r="U639" s="1365"/>
      <c r="V639" s="1365"/>
      <c r="AJ639" s="1427"/>
    </row>
    <row r="640" spans="1:36" s="1363" customFormat="1" hidden="1">
      <c r="A640" s="1426"/>
      <c r="B640" s="1433"/>
      <c r="C640" s="1448"/>
      <c r="D640" s="1420"/>
      <c r="E640" s="1420"/>
      <c r="F640" s="1448"/>
      <c r="G640" s="1426"/>
      <c r="H640" s="1420"/>
      <c r="I640" s="1448"/>
      <c r="J640" s="1426"/>
      <c r="K640" s="1420"/>
      <c r="O640" s="1364"/>
      <c r="P640" s="1364"/>
      <c r="Q640" s="1364"/>
      <c r="T640" s="1365"/>
      <c r="U640" s="1365"/>
      <c r="V640" s="1365"/>
    </row>
    <row r="641" spans="1:26" s="1363" customFormat="1" hidden="1">
      <c r="A641" s="1426"/>
      <c r="B641" s="1433"/>
      <c r="C641" s="1436"/>
      <c r="D641" s="1436"/>
      <c r="E641" s="1420"/>
      <c r="F641" s="1436"/>
      <c r="G641" s="1436"/>
      <c r="H641" s="1420"/>
      <c r="I641" s="1436"/>
      <c r="J641" s="1436"/>
      <c r="K641" s="1420"/>
      <c r="M641" s="1422"/>
      <c r="N641" s="1422"/>
      <c r="O641" s="1423"/>
      <c r="P641" s="1364"/>
      <c r="Q641" s="1364"/>
      <c r="T641" s="1365"/>
      <c r="U641" s="1365"/>
      <c r="V641" s="1365"/>
    </row>
    <row r="642" spans="1:26" s="1363" customFormat="1" hidden="1">
      <c r="A642" s="1426"/>
      <c r="B642" s="1428"/>
      <c r="C642" s="1467"/>
      <c r="D642" s="1468"/>
      <c r="E642" s="1435"/>
      <c r="F642" s="1467"/>
      <c r="G642" s="1426"/>
      <c r="H642" s="1435"/>
      <c r="I642" s="1467"/>
      <c r="J642" s="1426"/>
      <c r="K642" s="1435"/>
      <c r="M642" s="1424"/>
      <c r="N642" s="1424"/>
      <c r="O642" s="1412"/>
      <c r="P642" s="1364"/>
      <c r="Q642" s="1364"/>
      <c r="T642" s="1365"/>
      <c r="U642" s="1365"/>
      <c r="V642" s="1365"/>
    </row>
    <row r="643" spans="1:26" s="1363" customFormat="1" hidden="1">
      <c r="A643" s="1501"/>
      <c r="B643" s="1501"/>
      <c r="C643" s="1428"/>
      <c r="D643" s="1428"/>
      <c r="E643" s="1502"/>
      <c r="F643" s="1426"/>
      <c r="G643" s="1501"/>
      <c r="H643" s="1502"/>
      <c r="I643" s="1501"/>
      <c r="J643" s="1501"/>
      <c r="K643" s="1501"/>
      <c r="O643" s="1364"/>
      <c r="P643" s="1364"/>
      <c r="Q643" s="1364"/>
      <c r="T643" s="1365"/>
      <c r="U643" s="1365"/>
      <c r="V643" s="1365"/>
    </row>
    <row r="644" spans="1:26" s="1363" customFormat="1">
      <c r="A644" s="1425"/>
      <c r="B644" s="1428"/>
      <c r="C644" s="1464"/>
      <c r="D644" s="1420"/>
      <c r="E644" s="1420"/>
      <c r="F644" s="1464"/>
      <c r="G644" s="1426"/>
      <c r="H644" s="1420"/>
      <c r="I644" s="1464"/>
      <c r="J644" s="1426"/>
      <c r="K644" s="1420"/>
      <c r="O644" s="1364"/>
      <c r="P644" s="1364"/>
      <c r="Q644" s="1364"/>
      <c r="T644" s="1365"/>
      <c r="U644" s="1365"/>
      <c r="V644" s="1365"/>
    </row>
    <row r="645" spans="1:26" s="1363" customFormat="1">
      <c r="A645" s="1436"/>
      <c r="B645" s="1428"/>
      <c r="C645" s="1464"/>
      <c r="D645" s="1420"/>
      <c r="E645" s="1420"/>
      <c r="F645" s="1464"/>
      <c r="G645" s="1426"/>
      <c r="H645" s="1420"/>
      <c r="I645" s="1464"/>
      <c r="J645" s="1426"/>
      <c r="K645" s="1420"/>
      <c r="O645" s="1364"/>
      <c r="P645" s="1364"/>
      <c r="Q645" s="1364"/>
      <c r="T645" s="1365"/>
      <c r="U645" s="1365"/>
      <c r="V645" s="1365"/>
    </row>
    <row r="646" spans="1:26" s="1363" customFormat="1">
      <c r="A646" s="1436"/>
      <c r="B646" s="1428"/>
      <c r="C646" s="1464"/>
      <c r="D646" s="1420"/>
      <c r="E646" s="1503"/>
      <c r="F646" s="1464"/>
      <c r="G646" s="1426"/>
      <c r="H646" s="1503"/>
      <c r="I646" s="1464"/>
      <c r="J646" s="1426"/>
      <c r="K646" s="1504"/>
      <c r="O646" s="1364"/>
      <c r="P646" s="1364"/>
      <c r="Q646" s="1364"/>
      <c r="T646" s="1365"/>
      <c r="U646" s="1365"/>
      <c r="V646" s="1365"/>
    </row>
    <row r="647" spans="1:26" s="1363" customFormat="1">
      <c r="A647" s="1436"/>
      <c r="B647" s="1433"/>
      <c r="C647" s="1420"/>
      <c r="D647" s="1420"/>
      <c r="E647" s="1426"/>
      <c r="F647" s="1420"/>
      <c r="G647" s="1426"/>
      <c r="H647" s="1426"/>
      <c r="I647" s="1420"/>
      <c r="J647" s="1426"/>
      <c r="K647" s="1426"/>
      <c r="O647" s="1364"/>
      <c r="T647" s="1365"/>
      <c r="U647" s="1365"/>
      <c r="V647" s="1365"/>
    </row>
    <row r="648" spans="1:26" s="1363" customFormat="1">
      <c r="A648" s="1436"/>
      <c r="B648" s="1433"/>
      <c r="C648" s="1464"/>
      <c r="D648" s="1437"/>
      <c r="E648" s="1435"/>
      <c r="F648" s="1464"/>
      <c r="G648" s="1437"/>
      <c r="H648" s="1435"/>
      <c r="I648" s="1464"/>
      <c r="J648" s="1437"/>
      <c r="K648" s="1435"/>
      <c r="M648" s="1427"/>
      <c r="O648" s="1364"/>
      <c r="P648" s="1417"/>
      <c r="Q648" s="1417"/>
      <c r="T648" s="1365"/>
      <c r="U648" s="1365"/>
      <c r="V648" s="1365"/>
    </row>
    <row r="649" spans="1:26" s="1363" customFormat="1">
      <c r="A649" s="1436"/>
      <c r="B649" s="1433"/>
      <c r="C649" s="1464"/>
      <c r="D649" s="1437"/>
      <c r="E649" s="1435"/>
      <c r="F649" s="1464"/>
      <c r="G649" s="1437"/>
      <c r="H649" s="1435"/>
      <c r="I649" s="1464"/>
      <c r="J649" s="1437"/>
      <c r="K649" s="1435"/>
      <c r="O649" s="1364"/>
      <c r="P649" s="1364"/>
      <c r="Q649" s="1364"/>
      <c r="S649" s="1427"/>
      <c r="T649" s="1505"/>
      <c r="U649" s="1431"/>
      <c r="V649" s="1505"/>
      <c r="W649" s="1427"/>
      <c r="X649" s="1427"/>
      <c r="Y649" s="1412"/>
    </row>
    <row r="650" spans="1:26" s="1363" customFormat="1">
      <c r="A650" s="1436"/>
      <c r="B650" s="1433"/>
      <c r="C650" s="1464"/>
      <c r="D650" s="1437"/>
      <c r="E650" s="1435"/>
      <c r="F650" s="1464"/>
      <c r="G650" s="1437"/>
      <c r="H650" s="1435"/>
      <c r="I650" s="1464"/>
      <c r="J650" s="1437"/>
      <c r="K650" s="1435"/>
      <c r="M650" s="1427"/>
      <c r="N650" s="1374"/>
      <c r="O650" s="1364"/>
      <c r="P650" s="1378"/>
      <c r="Q650" s="1378"/>
      <c r="S650" s="1427"/>
      <c r="T650" s="1505"/>
      <c r="U650" s="1431"/>
      <c r="V650" s="1505"/>
      <c r="W650" s="1427"/>
      <c r="X650" s="1427"/>
      <c r="Y650" s="1412"/>
    </row>
    <row r="651" spans="1:26" s="1363" customFormat="1">
      <c r="A651" s="1436"/>
      <c r="B651" s="1433"/>
      <c r="C651" s="1464"/>
      <c r="D651" s="1437"/>
      <c r="E651" s="1435"/>
      <c r="F651" s="1464"/>
      <c r="G651" s="1437"/>
      <c r="H651" s="1435"/>
      <c r="I651" s="1464"/>
      <c r="J651" s="1437"/>
      <c r="K651" s="1435"/>
      <c r="M651" s="1427"/>
      <c r="N651" s="1364"/>
      <c r="O651" s="1364"/>
      <c r="P651" s="1417"/>
      <c r="Q651" s="1417"/>
      <c r="R651" s="1446"/>
      <c r="S651" s="1427"/>
      <c r="T651" s="1506"/>
      <c r="U651" s="1431"/>
      <c r="V651" s="1506"/>
      <c r="W651" s="1427"/>
      <c r="X651" s="1427"/>
      <c r="Y651" s="1434"/>
    </row>
    <row r="652" spans="1:26" s="1363" customFormat="1">
      <c r="A652" s="1436"/>
      <c r="B652" s="1433"/>
      <c r="C652" s="1464"/>
      <c r="D652" s="1437"/>
      <c r="E652" s="1435"/>
      <c r="F652" s="1464"/>
      <c r="G652" s="1437"/>
      <c r="H652" s="1435"/>
      <c r="I652" s="1464"/>
      <c r="J652" s="1437"/>
      <c r="K652" s="1435"/>
      <c r="M652" s="1427"/>
      <c r="N652" s="1364"/>
      <c r="O652" s="1364"/>
      <c r="P652" s="1417"/>
      <c r="Q652" s="1417"/>
      <c r="S652" s="1427"/>
      <c r="T652" s="1431"/>
      <c r="U652" s="1365"/>
      <c r="V652" s="1365"/>
    </row>
    <row r="653" spans="1:26" s="1363" customFormat="1">
      <c r="A653" s="1436"/>
      <c r="B653" s="1433"/>
      <c r="C653" s="1464"/>
      <c r="D653" s="1437"/>
      <c r="E653" s="1435"/>
      <c r="F653" s="1464"/>
      <c r="G653" s="1437"/>
      <c r="H653" s="1435"/>
      <c r="I653" s="1464"/>
      <c r="J653" s="1437"/>
      <c r="K653" s="1435"/>
      <c r="M653" s="1364"/>
      <c r="N653" s="1364"/>
      <c r="O653" s="1364"/>
      <c r="P653" s="1434"/>
      <c r="Q653" s="1434"/>
      <c r="R653" s="1364"/>
      <c r="T653" s="1365"/>
      <c r="U653" s="1365"/>
      <c r="V653" s="1365"/>
      <c r="Y653" s="1446"/>
      <c r="Z653" s="1446"/>
    </row>
    <row r="654" spans="1:26" s="1363" customFormat="1">
      <c r="A654" s="1436"/>
      <c r="B654" s="1433"/>
      <c r="C654" s="1464"/>
      <c r="D654" s="1437"/>
      <c r="E654" s="1435"/>
      <c r="F654" s="1464"/>
      <c r="G654" s="1437"/>
      <c r="H654" s="1435"/>
      <c r="I654" s="1464"/>
      <c r="J654" s="1437"/>
      <c r="K654" s="1435"/>
      <c r="M654" s="1364"/>
      <c r="N654" s="1364"/>
      <c r="O654" s="1364"/>
      <c r="P654" s="1364"/>
      <c r="Q654" s="1364"/>
      <c r="R654" s="1364"/>
      <c r="T654" s="1365"/>
      <c r="U654" s="1365"/>
      <c r="V654" s="1365"/>
    </row>
    <row r="655" spans="1:26" s="1363" customFormat="1">
      <c r="A655" s="1436"/>
      <c r="B655" s="1433"/>
      <c r="C655" s="1464"/>
      <c r="D655" s="1435"/>
      <c r="E655" s="1435"/>
      <c r="F655" s="1464"/>
      <c r="G655" s="1435"/>
      <c r="H655" s="1435"/>
      <c r="I655" s="1464"/>
      <c r="J655" s="1435"/>
      <c r="K655" s="1461"/>
      <c r="M655" s="1364"/>
      <c r="N655" s="1364"/>
      <c r="O655" s="1364"/>
      <c r="P655" s="1434"/>
      <c r="Q655" s="1434"/>
      <c r="R655" s="1466"/>
      <c r="T655" s="1365"/>
      <c r="U655" s="1365"/>
      <c r="V655" s="1365"/>
    </row>
    <row r="656" spans="1:26" s="1363" customFormat="1">
      <c r="A656" s="1436"/>
      <c r="B656" s="1433"/>
      <c r="C656" s="1464"/>
      <c r="D656" s="1437"/>
      <c r="E656" s="1435"/>
      <c r="F656" s="1464"/>
      <c r="G656" s="1437"/>
      <c r="H656" s="1435"/>
      <c r="I656" s="1464"/>
      <c r="J656" s="1437"/>
      <c r="K656" s="1435"/>
      <c r="M656" s="1364"/>
      <c r="N656" s="1364"/>
      <c r="O656" s="1364"/>
      <c r="P656" s="1434"/>
      <c r="Q656" s="1434"/>
      <c r="R656" s="1364"/>
      <c r="T656" s="1365"/>
      <c r="U656" s="1365"/>
      <c r="V656" s="1365"/>
    </row>
    <row r="657" spans="1:36" s="1363" customFormat="1">
      <c r="A657" s="1436"/>
      <c r="B657" s="1433"/>
      <c r="C657" s="1464"/>
      <c r="D657" s="1437"/>
      <c r="E657" s="1435"/>
      <c r="F657" s="1464"/>
      <c r="G657" s="1437"/>
      <c r="H657" s="1435"/>
      <c r="I657" s="1464"/>
      <c r="J657" s="1437"/>
      <c r="K657" s="1435"/>
      <c r="M657" s="1427"/>
      <c r="N657" s="1507"/>
      <c r="O657" s="1364"/>
      <c r="P657" s="1417"/>
      <c r="Q657" s="1417"/>
      <c r="R657" s="1364"/>
      <c r="T657" s="1365"/>
      <c r="U657" s="1365"/>
      <c r="V657" s="1365"/>
    </row>
    <row r="658" spans="1:36" s="1363" customFormat="1">
      <c r="A658" s="1436"/>
      <c r="B658" s="1433"/>
      <c r="C658" s="1464"/>
      <c r="D658" s="1437"/>
      <c r="E658" s="1435"/>
      <c r="F658" s="1464"/>
      <c r="G658" s="1437"/>
      <c r="H658" s="1435"/>
      <c r="I658" s="1464"/>
      <c r="J658" s="1437"/>
      <c r="K658" s="1435"/>
      <c r="M658" s="1507"/>
      <c r="N658" s="1507"/>
      <c r="O658" s="1364"/>
      <c r="P658" s="1434"/>
      <c r="Q658" s="1434"/>
      <c r="R658" s="1364"/>
      <c r="T658" s="1365"/>
      <c r="U658" s="1365"/>
      <c r="V658" s="1365"/>
    </row>
    <row r="659" spans="1:36" s="1363" customFormat="1">
      <c r="A659" s="1436"/>
      <c r="B659" s="1433"/>
      <c r="C659" s="1464"/>
      <c r="D659" s="1437"/>
      <c r="E659" s="1435"/>
      <c r="F659" s="1464"/>
      <c r="G659" s="1437"/>
      <c r="H659" s="1435"/>
      <c r="I659" s="1464"/>
      <c r="J659" s="1437"/>
      <c r="K659" s="1435"/>
      <c r="M659" s="1427"/>
      <c r="N659" s="1507"/>
      <c r="O659" s="1364"/>
      <c r="P659" s="1417"/>
      <c r="Q659" s="1417"/>
      <c r="R659" s="1364"/>
      <c r="T659" s="1365"/>
      <c r="U659" s="1365"/>
      <c r="V659" s="1365"/>
    </row>
    <row r="660" spans="1:36" s="1363" customFormat="1">
      <c r="A660" s="1436"/>
      <c r="B660" s="1433"/>
      <c r="C660" s="1464"/>
      <c r="D660" s="1437"/>
      <c r="E660" s="1435"/>
      <c r="F660" s="1464"/>
      <c r="G660" s="1437"/>
      <c r="H660" s="1435"/>
      <c r="I660" s="1464"/>
      <c r="J660" s="1437"/>
      <c r="K660" s="1435"/>
      <c r="M660" s="1427"/>
      <c r="N660" s="1507"/>
      <c r="O660" s="1364"/>
      <c r="P660" s="1417"/>
      <c r="Q660" s="1417"/>
      <c r="R660" s="1364"/>
      <c r="T660" s="1365"/>
      <c r="U660" s="1431"/>
      <c r="V660" s="1431"/>
      <c r="W660" s="1427"/>
      <c r="X660" s="1427"/>
      <c r="Y660" s="1427"/>
      <c r="Z660" s="1412"/>
    </row>
    <row r="661" spans="1:36" s="1363" customFormat="1">
      <c r="A661" s="1436"/>
      <c r="B661" s="1433"/>
      <c r="C661" s="1464"/>
      <c r="D661" s="1437"/>
      <c r="E661" s="1435"/>
      <c r="F661" s="1464"/>
      <c r="G661" s="1437"/>
      <c r="H661" s="1435"/>
      <c r="I661" s="1464"/>
      <c r="J661" s="1437"/>
      <c r="K661" s="1435"/>
      <c r="M661" s="1427"/>
      <c r="N661" s="1507"/>
      <c r="O661" s="1364"/>
      <c r="P661" s="1417"/>
      <c r="Q661" s="1417"/>
      <c r="R661" s="1364"/>
      <c r="T661" s="1365"/>
      <c r="U661" s="1365"/>
      <c r="V661" s="1365"/>
    </row>
    <row r="662" spans="1:36" s="1363" customFormat="1">
      <c r="A662" s="1436"/>
      <c r="B662" s="1433"/>
      <c r="C662" s="1464"/>
      <c r="D662" s="1437"/>
      <c r="E662" s="1435"/>
      <c r="F662" s="1464"/>
      <c r="G662" s="1437"/>
      <c r="H662" s="1435"/>
      <c r="I662" s="1464"/>
      <c r="J662" s="1437"/>
      <c r="K662" s="1435"/>
      <c r="M662" s="1427"/>
      <c r="N662" s="1364"/>
      <c r="O662" s="1364"/>
      <c r="P662" s="1417"/>
      <c r="Q662" s="1417"/>
      <c r="R662" s="1364"/>
      <c r="T662" s="1365"/>
      <c r="U662" s="1365"/>
      <c r="V662" s="1365"/>
    </row>
    <row r="663" spans="1:36" s="1363" customFormat="1">
      <c r="A663" s="1436"/>
      <c r="B663" s="1433"/>
      <c r="C663" s="1464"/>
      <c r="D663" s="1437"/>
      <c r="E663" s="1435"/>
      <c r="F663" s="1464"/>
      <c r="G663" s="1437"/>
      <c r="H663" s="1435"/>
      <c r="I663" s="1464"/>
      <c r="J663" s="1437"/>
      <c r="K663" s="1435"/>
      <c r="M663" s="1427"/>
      <c r="N663" s="1364"/>
      <c r="O663" s="1364"/>
      <c r="P663" s="1417"/>
      <c r="Q663" s="1417"/>
      <c r="R663" s="1364"/>
      <c r="T663" s="1365"/>
      <c r="U663" s="1365"/>
      <c r="V663" s="1365"/>
    </row>
    <row r="664" spans="1:36" s="1363" customFormat="1">
      <c r="A664" s="1436"/>
      <c r="B664" s="1433"/>
      <c r="C664" s="1464"/>
      <c r="D664" s="1437"/>
      <c r="E664" s="1435"/>
      <c r="F664" s="1464"/>
      <c r="G664" s="1437"/>
      <c r="H664" s="1435"/>
      <c r="I664" s="1464"/>
      <c r="J664" s="1437"/>
      <c r="K664" s="1435"/>
      <c r="M664" s="1364"/>
      <c r="N664" s="1364"/>
      <c r="O664" s="1364"/>
      <c r="R664" s="1364"/>
      <c r="T664" s="1365"/>
      <c r="U664" s="1365"/>
      <c r="V664" s="1365"/>
    </row>
    <row r="665" spans="1:36" s="1363" customFormat="1">
      <c r="A665" s="1436"/>
      <c r="B665" s="1433"/>
      <c r="C665" s="1461"/>
      <c r="D665" s="1437"/>
      <c r="E665" s="1435"/>
      <c r="F665" s="1461"/>
      <c r="G665" s="1437"/>
      <c r="H665" s="1435"/>
      <c r="I665" s="1461"/>
      <c r="J665" s="1437"/>
      <c r="K665" s="1435"/>
      <c r="M665" s="1427"/>
      <c r="N665" s="1364"/>
      <c r="O665" s="1364"/>
      <c r="R665" s="1364"/>
      <c r="T665" s="1365"/>
      <c r="U665" s="1365"/>
      <c r="V665" s="1365"/>
    </row>
    <row r="666" spans="1:36" s="1363" customFormat="1">
      <c r="A666" s="1436"/>
      <c r="B666" s="1433"/>
      <c r="C666" s="1461"/>
      <c r="D666" s="1437"/>
      <c r="E666" s="1435"/>
      <c r="F666" s="1461"/>
      <c r="G666" s="1437"/>
      <c r="H666" s="1435"/>
      <c r="I666" s="1461"/>
      <c r="J666" s="1437"/>
      <c r="K666" s="1435"/>
      <c r="M666" s="1427"/>
      <c r="N666" s="1364"/>
      <c r="O666" s="1364"/>
      <c r="R666" s="1364"/>
      <c r="T666" s="1365"/>
      <c r="U666" s="1365"/>
      <c r="V666" s="1365"/>
    </row>
    <row r="667" spans="1:36" s="1363" customFormat="1">
      <c r="A667" s="1436"/>
      <c r="B667" s="1433"/>
      <c r="C667" s="1464"/>
      <c r="D667" s="1435"/>
      <c r="E667" s="1435"/>
      <c r="F667" s="1464"/>
      <c r="G667" s="1435"/>
      <c r="H667" s="1435"/>
      <c r="I667" s="1464"/>
      <c r="J667" s="1435"/>
      <c r="K667" s="1435"/>
      <c r="M667" s="1364"/>
      <c r="N667" s="1364"/>
      <c r="O667" s="1364"/>
      <c r="R667" s="1364"/>
      <c r="T667" s="1365"/>
      <c r="U667" s="1365"/>
      <c r="V667" s="1365"/>
    </row>
    <row r="668" spans="1:36" s="1363" customFormat="1">
      <c r="A668" s="1436"/>
      <c r="B668" s="1433"/>
      <c r="C668" s="1508"/>
      <c r="D668" s="1435"/>
      <c r="E668" s="1435"/>
      <c r="F668" s="1508"/>
      <c r="G668" s="1435"/>
      <c r="H668" s="1435"/>
      <c r="I668" s="1508"/>
      <c r="J668" s="1435"/>
      <c r="K668" s="1435"/>
      <c r="M668" s="1427"/>
      <c r="N668" s="1509"/>
      <c r="O668" s="1364"/>
      <c r="P668" s="1417"/>
      <c r="Q668" s="1417"/>
      <c r="R668" s="1364"/>
      <c r="T668" s="1365"/>
      <c r="U668" s="1365"/>
      <c r="V668" s="1365"/>
    </row>
    <row r="669" spans="1:36" s="1363" customFormat="1">
      <c r="A669" s="1436"/>
      <c r="B669" s="1433"/>
      <c r="C669" s="1510"/>
      <c r="D669" s="1436"/>
      <c r="E669" s="1435"/>
      <c r="F669" s="1510"/>
      <c r="G669" s="1436"/>
      <c r="H669" s="1435"/>
      <c r="I669" s="1510"/>
      <c r="J669" s="1436"/>
      <c r="K669" s="1435"/>
      <c r="M669" s="1427"/>
      <c r="O669" s="1364"/>
      <c r="P669" s="1417"/>
      <c r="Q669" s="1417"/>
      <c r="R669" s="1364"/>
      <c r="T669" s="1365"/>
      <c r="U669" s="1365"/>
      <c r="V669" s="1365"/>
    </row>
    <row r="670" spans="1:36" s="1363" customFormat="1">
      <c r="B670" s="1433"/>
      <c r="C670" s="1398"/>
      <c r="E670" s="1420"/>
      <c r="F670" s="1398"/>
      <c r="H670" s="1420"/>
      <c r="I670" s="1443"/>
      <c r="J670" s="1436"/>
      <c r="K670" s="1435"/>
      <c r="M670" s="1427"/>
      <c r="N670" s="1427"/>
      <c r="O670" s="1449"/>
      <c r="R670" s="1450"/>
      <c r="S670" s="1450"/>
      <c r="T670" s="1365"/>
      <c r="U670" s="1365"/>
      <c r="V670" s="1365"/>
      <c r="AJ670" s="1427"/>
    </row>
    <row r="671" spans="1:36" s="1363" customFormat="1">
      <c r="A671" s="1451"/>
      <c r="B671" s="1452"/>
      <c r="C671" s="1453"/>
      <c r="D671" s="1451"/>
      <c r="E671" s="1454"/>
      <c r="F671" s="1511"/>
      <c r="G671" s="1456"/>
      <c r="H671" s="1454"/>
      <c r="I671" s="1455"/>
      <c r="J671" s="1456"/>
      <c r="K671" s="1457"/>
      <c r="M671" s="1427"/>
      <c r="N671" s="1427"/>
      <c r="O671" s="1449"/>
      <c r="P671" s="1417"/>
      <c r="R671" s="1450"/>
      <c r="S671" s="1450"/>
      <c r="T671" s="1365"/>
      <c r="U671" s="1365"/>
      <c r="V671" s="1365"/>
      <c r="AJ671" s="1427"/>
    </row>
    <row r="672" spans="1:36" s="1363" customFormat="1">
      <c r="A672" s="1480"/>
      <c r="B672" s="1433"/>
      <c r="C672" s="1459"/>
      <c r="D672" s="1420"/>
      <c r="E672" s="1435"/>
      <c r="F672" s="1459"/>
      <c r="G672" s="1426"/>
      <c r="H672" s="1435"/>
      <c r="I672" s="1459"/>
      <c r="J672" s="1426"/>
      <c r="K672" s="1435"/>
      <c r="O672" s="1364"/>
      <c r="P672" s="1364"/>
      <c r="Q672" s="1364"/>
      <c r="T672" s="1365"/>
      <c r="U672" s="1365"/>
      <c r="V672" s="1365"/>
    </row>
    <row r="673" spans="1:22" s="1363" customFormat="1">
      <c r="A673" s="1436"/>
      <c r="B673" s="1433"/>
      <c r="C673" s="1503"/>
      <c r="D673" s="1437"/>
      <c r="E673" s="1435"/>
      <c r="F673" s="1503"/>
      <c r="G673" s="1437"/>
      <c r="H673" s="1435"/>
      <c r="I673" s="1503"/>
      <c r="J673" s="1437"/>
      <c r="K673" s="1435"/>
      <c r="M673" s="1427"/>
      <c r="O673" s="1364"/>
      <c r="P673" s="1364"/>
      <c r="Q673" s="1364"/>
      <c r="T673" s="1365"/>
      <c r="U673" s="1365"/>
      <c r="V673" s="1365"/>
    </row>
    <row r="674" spans="1:22" s="1363" customFormat="1">
      <c r="A674" s="1436"/>
      <c r="B674" s="1433"/>
      <c r="C674" s="1503"/>
      <c r="D674" s="1437"/>
      <c r="E674" s="1435"/>
      <c r="F674" s="1503"/>
      <c r="G674" s="1437"/>
      <c r="H674" s="1435"/>
      <c r="I674" s="1503"/>
      <c r="J674" s="1437"/>
      <c r="K674" s="1435"/>
      <c r="O674" s="1364"/>
      <c r="P674" s="1364"/>
      <c r="Q674" s="1364"/>
      <c r="T674" s="1365"/>
      <c r="U674" s="1365"/>
      <c r="V674" s="1365"/>
    </row>
    <row r="675" spans="1:22" s="1363" customFormat="1">
      <c r="A675" s="1436"/>
      <c r="B675" s="1433"/>
      <c r="C675" s="1503"/>
      <c r="D675" s="1437"/>
      <c r="E675" s="1435"/>
      <c r="F675" s="1503"/>
      <c r="G675" s="1437"/>
      <c r="H675" s="1435"/>
      <c r="I675" s="1503"/>
      <c r="J675" s="1437"/>
      <c r="K675" s="1435"/>
      <c r="M675" s="1427"/>
      <c r="O675" s="1364"/>
      <c r="P675" s="1364"/>
      <c r="Q675" s="1364"/>
      <c r="T675" s="1365"/>
      <c r="U675" s="1365"/>
      <c r="V675" s="1365"/>
    </row>
    <row r="676" spans="1:22" s="1363" customFormat="1">
      <c r="A676" s="1436"/>
      <c r="B676" s="1433"/>
      <c r="C676" s="1503"/>
      <c r="D676" s="1437"/>
      <c r="E676" s="1435"/>
      <c r="F676" s="1503"/>
      <c r="G676" s="1437"/>
      <c r="H676" s="1435"/>
      <c r="I676" s="1503"/>
      <c r="J676" s="1437"/>
      <c r="K676" s="1435"/>
      <c r="M676" s="1427"/>
      <c r="O676" s="1364"/>
      <c r="P676" s="1364"/>
      <c r="Q676" s="1364"/>
      <c r="T676" s="1365"/>
      <c r="U676" s="1365"/>
      <c r="V676" s="1365"/>
    </row>
    <row r="677" spans="1:22" s="1363" customFormat="1">
      <c r="A677" s="1436"/>
      <c r="B677" s="1433"/>
      <c r="C677" s="1503"/>
      <c r="D677" s="1437"/>
      <c r="E677" s="1435"/>
      <c r="F677" s="1503"/>
      <c r="G677" s="1437"/>
      <c r="H677" s="1435"/>
      <c r="I677" s="1503"/>
      <c r="J677" s="1437"/>
      <c r="K677" s="1435"/>
      <c r="M677" s="1427"/>
      <c r="O677" s="1364"/>
      <c r="P677" s="1364"/>
      <c r="Q677" s="1364"/>
      <c r="T677" s="1365"/>
      <c r="U677" s="1365"/>
      <c r="V677" s="1365"/>
    </row>
    <row r="678" spans="1:22" s="1363" customFormat="1">
      <c r="A678" s="1436"/>
      <c r="B678" s="1433"/>
      <c r="C678" s="1503"/>
      <c r="D678" s="1437"/>
      <c r="E678" s="1435"/>
      <c r="F678" s="1503"/>
      <c r="G678" s="1437"/>
      <c r="H678" s="1435"/>
      <c r="I678" s="1503"/>
      <c r="J678" s="1437"/>
      <c r="K678" s="1435"/>
      <c r="M678" s="1427"/>
      <c r="O678" s="1364"/>
      <c r="P678" s="1364"/>
      <c r="Q678" s="1364"/>
      <c r="T678" s="1365"/>
      <c r="U678" s="1365"/>
      <c r="V678" s="1365"/>
    </row>
    <row r="679" spans="1:22" s="1363" customFormat="1">
      <c r="A679" s="1436"/>
      <c r="B679" s="1433"/>
      <c r="C679" s="1503"/>
      <c r="D679" s="1437"/>
      <c r="E679" s="1435"/>
      <c r="F679" s="1503"/>
      <c r="G679" s="1437"/>
      <c r="H679" s="1435"/>
      <c r="I679" s="1503"/>
      <c r="J679" s="1437"/>
      <c r="K679" s="1435"/>
      <c r="O679" s="1364"/>
      <c r="P679" s="1364"/>
      <c r="Q679" s="1364"/>
      <c r="T679" s="1365"/>
      <c r="U679" s="1365"/>
      <c r="V679" s="1365"/>
    </row>
    <row r="680" spans="1:22" s="1363" customFormat="1">
      <c r="A680" s="1436"/>
      <c r="B680" s="1433"/>
      <c r="C680" s="1503"/>
      <c r="D680" s="1437"/>
      <c r="E680" s="1435"/>
      <c r="F680" s="1503"/>
      <c r="G680" s="1437"/>
      <c r="H680" s="1435"/>
      <c r="I680" s="1503"/>
      <c r="J680" s="1437"/>
      <c r="K680" s="1435"/>
      <c r="M680" s="1427"/>
      <c r="O680" s="1364"/>
      <c r="P680" s="1364"/>
      <c r="Q680" s="1364"/>
      <c r="T680" s="1365"/>
      <c r="U680" s="1365"/>
      <c r="V680" s="1365"/>
    </row>
    <row r="681" spans="1:22" s="1363" customFormat="1">
      <c r="A681" s="1436"/>
      <c r="B681" s="1433"/>
      <c r="C681" s="1503"/>
      <c r="D681" s="1437"/>
      <c r="E681" s="1435"/>
      <c r="F681" s="1503"/>
      <c r="G681" s="1437"/>
      <c r="H681" s="1435"/>
      <c r="I681" s="1503"/>
      <c r="J681" s="1437"/>
      <c r="K681" s="1435"/>
      <c r="M681" s="1427"/>
      <c r="O681" s="1364"/>
      <c r="P681" s="1364"/>
      <c r="Q681" s="1364"/>
      <c r="T681" s="1365"/>
      <c r="U681" s="1365"/>
      <c r="V681" s="1365"/>
    </row>
    <row r="682" spans="1:22" s="1363" customFormat="1">
      <c r="A682" s="1436"/>
      <c r="B682" s="1433"/>
      <c r="C682" s="1503"/>
      <c r="D682" s="1437"/>
      <c r="E682" s="1435"/>
      <c r="F682" s="1503"/>
      <c r="G682" s="1437"/>
      <c r="H682" s="1435"/>
      <c r="I682" s="1503"/>
      <c r="J682" s="1437"/>
      <c r="K682" s="1435"/>
      <c r="M682" s="1427"/>
      <c r="O682" s="1364"/>
      <c r="P682" s="1364"/>
      <c r="Q682" s="1364"/>
      <c r="T682" s="1365"/>
      <c r="U682" s="1365"/>
      <c r="V682" s="1365"/>
    </row>
    <row r="683" spans="1:22" s="1363" customFormat="1">
      <c r="A683" s="1436"/>
      <c r="B683" s="1433"/>
      <c r="C683" s="1461"/>
      <c r="D683" s="1437"/>
      <c r="E683" s="1435"/>
      <c r="F683" s="1461"/>
      <c r="G683" s="1437"/>
      <c r="H683" s="1435"/>
      <c r="I683" s="1461"/>
      <c r="J683" s="1437"/>
      <c r="K683" s="1435"/>
      <c r="M683" s="1427"/>
      <c r="O683" s="1364"/>
      <c r="P683" s="1364"/>
      <c r="Q683" s="1364"/>
      <c r="T683" s="1365"/>
      <c r="U683" s="1365"/>
      <c r="V683" s="1365"/>
    </row>
    <row r="684" spans="1:22" s="1363" customFormat="1">
      <c r="A684" s="1436"/>
      <c r="B684" s="1433"/>
      <c r="C684" s="1461"/>
      <c r="D684" s="1437"/>
      <c r="E684" s="1435"/>
      <c r="F684" s="1461"/>
      <c r="G684" s="1437"/>
      <c r="H684" s="1435"/>
      <c r="I684" s="1461"/>
      <c r="J684" s="1437"/>
      <c r="K684" s="1435"/>
      <c r="M684" s="1427"/>
      <c r="O684" s="1364"/>
      <c r="P684" s="1364"/>
      <c r="Q684" s="1364"/>
      <c r="T684" s="1365"/>
      <c r="U684" s="1365"/>
      <c r="V684" s="1365"/>
    </row>
    <row r="685" spans="1:22" s="1363" customFormat="1">
      <c r="A685" s="1436"/>
      <c r="B685" s="1433"/>
      <c r="C685" s="1464"/>
      <c r="D685" s="1437"/>
      <c r="E685" s="1435"/>
      <c r="F685" s="1464"/>
      <c r="G685" s="1437"/>
      <c r="H685" s="1435"/>
      <c r="I685" s="1464"/>
      <c r="J685" s="1437"/>
      <c r="K685" s="1435"/>
      <c r="O685" s="1364"/>
      <c r="P685" s="1364"/>
      <c r="Q685" s="1364"/>
      <c r="T685" s="1365"/>
      <c r="U685" s="1365"/>
      <c r="V685" s="1365"/>
    </row>
    <row r="686" spans="1:22" s="1363" customFormat="1">
      <c r="A686" s="1436"/>
      <c r="B686" s="1433"/>
      <c r="C686" s="1461"/>
      <c r="D686" s="1437"/>
      <c r="E686" s="1435"/>
      <c r="F686" s="1461"/>
      <c r="G686" s="1437"/>
      <c r="H686" s="1435"/>
      <c r="I686" s="1461"/>
      <c r="J686" s="1437"/>
      <c r="K686" s="1435"/>
      <c r="M686" s="1427"/>
      <c r="O686" s="1364"/>
      <c r="P686" s="1364"/>
      <c r="Q686" s="1364"/>
      <c r="T686" s="1365"/>
      <c r="U686" s="1365"/>
      <c r="V686" s="1365"/>
    </row>
    <row r="687" spans="1:22" s="1363" customFormat="1">
      <c r="A687" s="1436"/>
      <c r="B687" s="1433"/>
      <c r="C687" s="1461"/>
      <c r="D687" s="1437"/>
      <c r="E687" s="1435"/>
      <c r="F687" s="1461"/>
      <c r="G687" s="1437"/>
      <c r="H687" s="1435"/>
      <c r="I687" s="1461"/>
      <c r="J687" s="1437"/>
      <c r="K687" s="1435"/>
      <c r="M687" s="1427"/>
      <c r="O687" s="1364"/>
      <c r="P687" s="1364"/>
      <c r="Q687" s="1364"/>
      <c r="T687" s="1365"/>
      <c r="U687" s="1365"/>
      <c r="V687" s="1365"/>
    </row>
    <row r="688" spans="1:22" s="1363" customFormat="1">
      <c r="A688" s="1436"/>
      <c r="B688" s="1433"/>
      <c r="C688" s="1503"/>
      <c r="D688" s="1435"/>
      <c r="E688" s="1435"/>
      <c r="F688" s="1503"/>
      <c r="G688" s="1435"/>
      <c r="H688" s="1435"/>
      <c r="I688" s="1503"/>
      <c r="J688" s="1435"/>
      <c r="K688" s="1435"/>
      <c r="O688" s="1364"/>
      <c r="P688" s="1364"/>
      <c r="Q688" s="1364"/>
      <c r="T688" s="1365"/>
      <c r="U688" s="1365"/>
      <c r="V688" s="1365"/>
    </row>
    <row r="689" spans="1:36" s="1363" customFormat="1">
      <c r="A689" s="1436"/>
      <c r="B689" s="1433"/>
      <c r="C689" s="1512"/>
      <c r="D689" s="1435"/>
      <c r="E689" s="1435"/>
      <c r="F689" s="1512"/>
      <c r="G689" s="1435"/>
      <c r="H689" s="1435"/>
      <c r="I689" s="1512"/>
      <c r="J689" s="1435"/>
      <c r="K689" s="1435"/>
      <c r="M689" s="1427"/>
      <c r="O689" s="1364"/>
      <c r="P689" s="1364"/>
      <c r="Q689" s="1364"/>
      <c r="T689" s="1365"/>
      <c r="U689" s="1365"/>
      <c r="V689" s="1365"/>
    </row>
    <row r="690" spans="1:36" s="1363" customFormat="1">
      <c r="A690" s="1436"/>
      <c r="B690" s="1433"/>
      <c r="C690" s="1495"/>
      <c r="D690" s="1435"/>
      <c r="E690" s="1435"/>
      <c r="F690" s="1495"/>
      <c r="G690" s="1436"/>
      <c r="H690" s="1435"/>
      <c r="I690" s="1495"/>
      <c r="J690" s="1436"/>
      <c r="K690" s="1435"/>
      <c r="M690" s="1427"/>
      <c r="O690" s="1364"/>
      <c r="P690" s="1364"/>
      <c r="Q690" s="1364"/>
      <c r="T690" s="1365"/>
      <c r="U690" s="1365"/>
      <c r="V690" s="1365"/>
    </row>
    <row r="691" spans="1:36" s="1363" customFormat="1">
      <c r="A691" s="1436"/>
      <c r="B691" s="1433"/>
      <c r="C691" s="1464"/>
      <c r="D691" s="1485"/>
      <c r="E691" s="1435"/>
      <c r="F691" s="1464"/>
      <c r="G691" s="1426"/>
      <c r="H691" s="1435"/>
      <c r="I691" s="1464"/>
      <c r="J691" s="1426"/>
      <c r="K691" s="1435"/>
      <c r="M691" s="1427"/>
      <c r="O691" s="1364"/>
      <c r="P691" s="1364"/>
      <c r="Q691" s="1364"/>
      <c r="T691" s="1365"/>
      <c r="U691" s="1365"/>
      <c r="V691" s="1365"/>
    </row>
    <row r="692" spans="1:36" s="1363" customFormat="1">
      <c r="A692" s="1436"/>
      <c r="B692" s="1433"/>
      <c r="C692" s="1510"/>
      <c r="D692" s="1435"/>
      <c r="E692" s="1435"/>
      <c r="F692" s="1510"/>
      <c r="G692" s="1435"/>
      <c r="H692" s="1435"/>
      <c r="I692" s="1513"/>
      <c r="J692" s="1435"/>
      <c r="K692" s="1435"/>
      <c r="M692" s="1427"/>
      <c r="O692" s="1364"/>
      <c r="P692" s="1364"/>
      <c r="Q692" s="1364"/>
      <c r="T692" s="1365"/>
      <c r="U692" s="1365"/>
      <c r="V692" s="1365"/>
    </row>
    <row r="693" spans="1:36" s="1363" customFormat="1">
      <c r="B693" s="1433"/>
      <c r="C693" s="1398"/>
      <c r="E693" s="1420"/>
      <c r="F693" s="1398"/>
      <c r="H693" s="1420"/>
      <c r="I693" s="1443"/>
      <c r="J693" s="1435"/>
      <c r="K693" s="1435"/>
      <c r="M693" s="1427"/>
      <c r="O693" s="1449"/>
      <c r="R693" s="1450"/>
      <c r="S693" s="1450"/>
      <c r="T693" s="1365"/>
      <c r="U693" s="1365"/>
      <c r="V693" s="1365"/>
      <c r="AJ693" s="1427"/>
    </row>
    <row r="694" spans="1:36" s="1363" customFormat="1">
      <c r="A694" s="1426"/>
      <c r="B694" s="1433"/>
      <c r="C694" s="1448"/>
      <c r="D694" s="1420"/>
      <c r="E694" s="1420"/>
      <c r="F694" s="1437"/>
      <c r="G694" s="1436"/>
      <c r="H694" s="1420"/>
      <c r="I694" s="1420"/>
      <c r="J694" s="1436"/>
      <c r="K694" s="1420"/>
      <c r="M694" s="1427"/>
      <c r="O694" s="1364"/>
      <c r="P694" s="1471"/>
      <c r="Q694" s="1471"/>
      <c r="T694" s="1365"/>
      <c r="U694" s="1365"/>
      <c r="V694" s="1365"/>
    </row>
    <row r="695" spans="1:36" s="1363" customFormat="1" ht="14.25" customHeight="1">
      <c r="A695" s="1426"/>
      <c r="B695" s="1433"/>
      <c r="C695" s="1436"/>
      <c r="D695" s="1436"/>
      <c r="E695" s="1420"/>
      <c r="F695" s="1436"/>
      <c r="G695" s="1436"/>
      <c r="H695" s="1420"/>
      <c r="I695" s="1436"/>
      <c r="J695" s="1436"/>
      <c r="K695" s="1420"/>
      <c r="O695" s="1364"/>
      <c r="P695" s="1364"/>
      <c r="Q695" s="1364"/>
      <c r="T695" s="1365"/>
      <c r="U695" s="1365"/>
      <c r="V695" s="1365"/>
    </row>
    <row r="696" spans="1:36" s="1363" customFormat="1" ht="17.25" customHeight="1">
      <c r="A696" s="1426"/>
      <c r="B696" s="1428"/>
      <c r="C696" s="1467"/>
      <c r="D696" s="1468"/>
      <c r="E696" s="1435"/>
      <c r="F696" s="1467"/>
      <c r="G696" s="1426"/>
      <c r="H696" s="1435"/>
      <c r="I696" s="1467"/>
      <c r="J696" s="1426"/>
      <c r="K696" s="1435"/>
      <c r="O696" s="1427"/>
      <c r="P696" s="1417"/>
      <c r="Q696" s="1412"/>
      <c r="R696" s="1434"/>
      <c r="S696" s="1434"/>
      <c r="T696" s="1365"/>
      <c r="U696" s="1365"/>
      <c r="V696" s="1365"/>
    </row>
    <row r="697" spans="1:36" s="1363" customFormat="1">
      <c r="A697" s="1426"/>
      <c r="B697" s="1428"/>
      <c r="C697" s="1467"/>
      <c r="D697" s="1468"/>
      <c r="E697" s="1435"/>
      <c r="F697" s="1467"/>
      <c r="G697" s="1426"/>
      <c r="H697" s="1435"/>
      <c r="I697" s="1467"/>
      <c r="J697" s="1426"/>
      <c r="K697" s="1435"/>
      <c r="O697" s="1427"/>
      <c r="P697" s="1416"/>
      <c r="Q697" s="1416"/>
      <c r="T697" s="1365"/>
      <c r="U697" s="1365"/>
      <c r="V697" s="1365"/>
    </row>
    <row r="698" spans="1:36" s="1363" customFormat="1" hidden="1">
      <c r="A698" s="1425"/>
      <c r="B698" s="1428"/>
      <c r="C698" s="1464"/>
      <c r="D698" s="1420"/>
      <c r="E698" s="1420"/>
      <c r="F698" s="1464"/>
      <c r="G698" s="1426"/>
      <c r="H698" s="1420"/>
      <c r="I698" s="1464"/>
      <c r="J698" s="1426"/>
      <c r="K698" s="1420"/>
      <c r="O698" s="1364"/>
      <c r="P698" s="1364"/>
      <c r="Q698" s="1364"/>
      <c r="T698" s="1365"/>
      <c r="U698" s="1365"/>
      <c r="V698" s="1365"/>
    </row>
    <row r="699" spans="1:36" s="1363" customFormat="1" hidden="1">
      <c r="A699" s="1436"/>
      <c r="B699" s="1428"/>
      <c r="C699" s="1464"/>
      <c r="D699" s="1420"/>
      <c r="E699" s="1420"/>
      <c r="F699" s="1464"/>
      <c r="G699" s="1426"/>
      <c r="H699" s="1420"/>
      <c r="I699" s="1464"/>
      <c r="J699" s="1426"/>
      <c r="K699" s="1420"/>
      <c r="M699" s="1427"/>
      <c r="N699" s="1427"/>
      <c r="O699" s="1472"/>
      <c r="P699" s="1412"/>
      <c r="Q699" s="1412"/>
      <c r="T699" s="1365"/>
      <c r="U699" s="1365"/>
      <c r="V699" s="1365"/>
    </row>
    <row r="700" spans="1:36" s="1363" customFormat="1" hidden="1">
      <c r="A700" s="1436"/>
      <c r="B700" s="1428"/>
      <c r="C700" s="1464"/>
      <c r="D700" s="1420"/>
      <c r="E700" s="1503"/>
      <c r="F700" s="1464"/>
      <c r="G700" s="1426"/>
      <c r="H700" s="1503"/>
      <c r="I700" s="1464"/>
      <c r="J700" s="1426"/>
      <c r="K700" s="1504"/>
      <c r="O700" s="1364"/>
      <c r="P700" s="1364"/>
      <c r="Q700" s="1364"/>
      <c r="T700" s="1365"/>
      <c r="U700" s="1365"/>
      <c r="V700" s="1365"/>
    </row>
    <row r="701" spans="1:36" s="1363" customFormat="1" hidden="1">
      <c r="A701" s="1436"/>
      <c r="B701" s="1433"/>
      <c r="C701" s="1420"/>
      <c r="D701" s="1420"/>
      <c r="E701" s="1426"/>
      <c r="F701" s="1420"/>
      <c r="G701" s="1426"/>
      <c r="H701" s="1426"/>
      <c r="I701" s="1420"/>
      <c r="J701" s="1426"/>
      <c r="K701" s="1426"/>
      <c r="O701" s="1364"/>
      <c r="P701" s="1364"/>
      <c r="Q701" s="1364"/>
      <c r="T701" s="1365"/>
      <c r="U701" s="1365"/>
      <c r="V701" s="1365"/>
    </row>
    <row r="702" spans="1:36" s="1363" customFormat="1" hidden="1">
      <c r="A702" s="1436"/>
      <c r="B702" s="1433"/>
      <c r="C702" s="1464"/>
      <c r="D702" s="1437"/>
      <c r="E702" s="1435"/>
      <c r="F702" s="1464"/>
      <c r="G702" s="1437"/>
      <c r="H702" s="1435"/>
      <c r="I702" s="1464"/>
      <c r="J702" s="1437"/>
      <c r="K702" s="1435"/>
      <c r="O702" s="1364"/>
      <c r="P702" s="1364"/>
      <c r="Q702" s="1364"/>
      <c r="T702" s="1365"/>
      <c r="U702" s="1365"/>
      <c r="V702" s="1365"/>
    </row>
    <row r="703" spans="1:36" s="1363" customFormat="1" hidden="1">
      <c r="A703" s="1436"/>
      <c r="B703" s="1433"/>
      <c r="C703" s="1464"/>
      <c r="D703" s="1437"/>
      <c r="E703" s="1435"/>
      <c r="F703" s="1464"/>
      <c r="G703" s="1437"/>
      <c r="H703" s="1435"/>
      <c r="I703" s="1464"/>
      <c r="J703" s="1437"/>
      <c r="K703" s="1435"/>
      <c r="O703" s="1364"/>
      <c r="P703" s="1364"/>
      <c r="Q703" s="1364"/>
      <c r="T703" s="1365"/>
      <c r="U703" s="1365"/>
      <c r="V703" s="1365"/>
    </row>
    <row r="704" spans="1:36" s="1363" customFormat="1" hidden="1">
      <c r="A704" s="1436"/>
      <c r="B704" s="1433"/>
      <c r="C704" s="1464"/>
      <c r="D704" s="1437"/>
      <c r="E704" s="1435"/>
      <c r="F704" s="1464"/>
      <c r="G704" s="1437"/>
      <c r="H704" s="1435"/>
      <c r="I704" s="1464"/>
      <c r="J704" s="1437"/>
      <c r="K704" s="1435"/>
      <c r="O704" s="1364"/>
      <c r="P704" s="1364"/>
      <c r="Q704" s="1364"/>
      <c r="T704" s="1365"/>
      <c r="U704" s="1365"/>
      <c r="V704" s="1365"/>
    </row>
    <row r="705" spans="1:22" s="1363" customFormat="1" hidden="1">
      <c r="A705" s="1436"/>
      <c r="B705" s="1433"/>
      <c r="C705" s="1464"/>
      <c r="D705" s="1437"/>
      <c r="E705" s="1435"/>
      <c r="F705" s="1464"/>
      <c r="G705" s="1437"/>
      <c r="H705" s="1435"/>
      <c r="I705" s="1464"/>
      <c r="J705" s="1437"/>
      <c r="K705" s="1435"/>
      <c r="O705" s="1364"/>
      <c r="P705" s="1364"/>
      <c r="Q705" s="1364"/>
      <c r="T705" s="1365"/>
      <c r="U705" s="1365"/>
      <c r="V705" s="1365"/>
    </row>
    <row r="706" spans="1:22" s="1363" customFormat="1" hidden="1">
      <c r="A706" s="1436"/>
      <c r="B706" s="1433"/>
      <c r="C706" s="1464"/>
      <c r="D706" s="1437"/>
      <c r="E706" s="1435"/>
      <c r="F706" s="1464"/>
      <c r="G706" s="1437"/>
      <c r="H706" s="1435"/>
      <c r="I706" s="1464"/>
      <c r="J706" s="1437"/>
      <c r="K706" s="1435"/>
      <c r="O706" s="1364"/>
      <c r="P706" s="1364"/>
      <c r="Q706" s="1364"/>
      <c r="T706" s="1365"/>
      <c r="U706" s="1365"/>
      <c r="V706" s="1365"/>
    </row>
    <row r="707" spans="1:22" s="1363" customFormat="1" hidden="1">
      <c r="A707" s="1436"/>
      <c r="B707" s="1433"/>
      <c r="C707" s="1464"/>
      <c r="D707" s="1437"/>
      <c r="E707" s="1435"/>
      <c r="F707" s="1464"/>
      <c r="G707" s="1437"/>
      <c r="H707" s="1435"/>
      <c r="I707" s="1464"/>
      <c r="J707" s="1437"/>
      <c r="K707" s="1435"/>
      <c r="O707" s="1364"/>
      <c r="P707" s="1364"/>
      <c r="Q707" s="1364"/>
      <c r="T707" s="1365"/>
      <c r="U707" s="1365"/>
      <c r="V707" s="1365"/>
    </row>
    <row r="708" spans="1:22" s="1363" customFormat="1" hidden="1">
      <c r="A708" s="1436"/>
      <c r="B708" s="1433"/>
      <c r="C708" s="1464"/>
      <c r="D708" s="1435"/>
      <c r="E708" s="1435"/>
      <c r="F708" s="1464"/>
      <c r="G708" s="1435"/>
      <c r="H708" s="1435"/>
      <c r="I708" s="1464"/>
      <c r="J708" s="1435"/>
      <c r="K708" s="1435"/>
      <c r="O708" s="1364"/>
      <c r="P708" s="1364"/>
      <c r="Q708" s="1364"/>
      <c r="T708" s="1365"/>
      <c r="U708" s="1365"/>
      <c r="V708" s="1365"/>
    </row>
    <row r="709" spans="1:22" s="1363" customFormat="1" hidden="1">
      <c r="A709" s="1436"/>
      <c r="B709" s="1433"/>
      <c r="C709" s="1464"/>
      <c r="D709" s="1435"/>
      <c r="E709" s="1435"/>
      <c r="F709" s="1464"/>
      <c r="G709" s="1435"/>
      <c r="H709" s="1435"/>
      <c r="I709" s="1464"/>
      <c r="J709" s="1435"/>
      <c r="K709" s="1435"/>
      <c r="O709" s="1364"/>
      <c r="P709" s="1364"/>
      <c r="Q709" s="1364"/>
      <c r="T709" s="1365"/>
      <c r="U709" s="1365"/>
      <c r="V709" s="1365"/>
    </row>
    <row r="710" spans="1:22" s="1363" customFormat="1" hidden="1">
      <c r="A710" s="1436"/>
      <c r="B710" s="1433"/>
      <c r="C710" s="1464"/>
      <c r="D710" s="1437"/>
      <c r="E710" s="1435"/>
      <c r="F710" s="1464"/>
      <c r="G710" s="1437"/>
      <c r="H710" s="1435"/>
      <c r="I710" s="1464"/>
      <c r="J710" s="1437"/>
      <c r="K710" s="1435"/>
      <c r="O710" s="1364"/>
      <c r="P710" s="1364"/>
      <c r="Q710" s="1364"/>
      <c r="T710" s="1365"/>
      <c r="U710" s="1365"/>
      <c r="V710" s="1365"/>
    </row>
    <row r="711" spans="1:22" s="1363" customFormat="1" hidden="1">
      <c r="A711" s="1436"/>
      <c r="B711" s="1433"/>
      <c r="C711" s="1464"/>
      <c r="D711" s="1437"/>
      <c r="E711" s="1435"/>
      <c r="F711" s="1464"/>
      <c r="G711" s="1437"/>
      <c r="H711" s="1435"/>
      <c r="I711" s="1464"/>
      <c r="J711" s="1437"/>
      <c r="K711" s="1435"/>
      <c r="O711" s="1364"/>
      <c r="P711" s="1364"/>
      <c r="Q711" s="1364"/>
      <c r="T711" s="1365"/>
      <c r="U711" s="1365"/>
      <c r="V711" s="1365"/>
    </row>
    <row r="712" spans="1:22" s="1363" customFormat="1" hidden="1">
      <c r="A712" s="1436"/>
      <c r="B712" s="1433"/>
      <c r="C712" s="1464"/>
      <c r="D712" s="1437"/>
      <c r="E712" s="1435"/>
      <c r="F712" s="1464"/>
      <c r="G712" s="1437"/>
      <c r="H712" s="1435"/>
      <c r="I712" s="1464"/>
      <c r="J712" s="1437"/>
      <c r="K712" s="1435"/>
      <c r="O712" s="1364"/>
      <c r="P712" s="1364"/>
      <c r="Q712" s="1364"/>
      <c r="T712" s="1365"/>
      <c r="U712" s="1365"/>
      <c r="V712" s="1365"/>
    </row>
    <row r="713" spans="1:22" s="1363" customFormat="1" hidden="1">
      <c r="A713" s="1436"/>
      <c r="B713" s="1433"/>
      <c r="C713" s="1464"/>
      <c r="D713" s="1437"/>
      <c r="E713" s="1435"/>
      <c r="F713" s="1464"/>
      <c r="G713" s="1437"/>
      <c r="H713" s="1435"/>
      <c r="I713" s="1464"/>
      <c r="J713" s="1437"/>
      <c r="K713" s="1435"/>
      <c r="O713" s="1364"/>
      <c r="P713" s="1364"/>
      <c r="Q713" s="1364"/>
      <c r="T713" s="1365"/>
      <c r="U713" s="1365"/>
      <c r="V713" s="1365"/>
    </row>
    <row r="714" spans="1:22" s="1363" customFormat="1" hidden="1">
      <c r="A714" s="1436"/>
      <c r="B714" s="1433"/>
      <c r="C714" s="1464"/>
      <c r="D714" s="1437"/>
      <c r="E714" s="1435"/>
      <c r="F714" s="1464"/>
      <c r="G714" s="1437"/>
      <c r="H714" s="1435"/>
      <c r="I714" s="1464"/>
      <c r="J714" s="1437"/>
      <c r="K714" s="1435"/>
      <c r="O714" s="1364"/>
      <c r="P714" s="1364"/>
      <c r="Q714" s="1364"/>
      <c r="T714" s="1365"/>
      <c r="U714" s="1365"/>
      <c r="V714" s="1365"/>
    </row>
    <row r="715" spans="1:22" s="1363" customFormat="1" hidden="1">
      <c r="A715" s="1436"/>
      <c r="B715" s="1433"/>
      <c r="C715" s="1464"/>
      <c r="D715" s="1437"/>
      <c r="E715" s="1435"/>
      <c r="F715" s="1464"/>
      <c r="G715" s="1437"/>
      <c r="H715" s="1435"/>
      <c r="I715" s="1464"/>
      <c r="J715" s="1437"/>
      <c r="K715" s="1435"/>
      <c r="O715" s="1364"/>
      <c r="P715" s="1364"/>
      <c r="Q715" s="1364"/>
      <c r="T715" s="1365"/>
      <c r="U715" s="1365"/>
      <c r="V715" s="1365"/>
    </row>
    <row r="716" spans="1:22" s="1363" customFormat="1" hidden="1">
      <c r="A716" s="1436"/>
      <c r="B716" s="1433"/>
      <c r="C716" s="1464"/>
      <c r="D716" s="1437"/>
      <c r="E716" s="1435"/>
      <c r="F716" s="1464"/>
      <c r="G716" s="1437"/>
      <c r="H716" s="1435"/>
      <c r="I716" s="1464"/>
      <c r="J716" s="1437"/>
      <c r="K716" s="1435"/>
      <c r="O716" s="1364"/>
      <c r="P716" s="1364"/>
      <c r="Q716" s="1364"/>
      <c r="T716" s="1365"/>
      <c r="U716" s="1365"/>
      <c r="V716" s="1365"/>
    </row>
    <row r="717" spans="1:22" s="1363" customFormat="1" hidden="1">
      <c r="A717" s="1436"/>
      <c r="B717" s="1433"/>
      <c r="C717" s="1464"/>
      <c r="D717" s="1437"/>
      <c r="E717" s="1435"/>
      <c r="F717" s="1464"/>
      <c r="G717" s="1437"/>
      <c r="H717" s="1435"/>
      <c r="I717" s="1464"/>
      <c r="J717" s="1437"/>
      <c r="K717" s="1435"/>
      <c r="O717" s="1364"/>
      <c r="P717" s="1364"/>
      <c r="Q717" s="1364"/>
      <c r="T717" s="1365"/>
      <c r="U717" s="1365"/>
      <c r="V717" s="1365"/>
    </row>
    <row r="718" spans="1:22" s="1363" customFormat="1" hidden="1">
      <c r="A718" s="1436"/>
      <c r="B718" s="1433"/>
      <c r="C718" s="1464"/>
      <c r="D718" s="1437"/>
      <c r="E718" s="1435"/>
      <c r="F718" s="1464"/>
      <c r="G718" s="1437"/>
      <c r="H718" s="1435"/>
      <c r="I718" s="1464"/>
      <c r="J718" s="1437"/>
      <c r="K718" s="1435"/>
      <c r="O718" s="1364"/>
      <c r="P718" s="1364"/>
      <c r="Q718" s="1364"/>
      <c r="T718" s="1365"/>
      <c r="U718" s="1365"/>
      <c r="V718" s="1365"/>
    </row>
    <row r="719" spans="1:22" s="1363" customFormat="1" hidden="1">
      <c r="A719" s="1436"/>
      <c r="B719" s="1433"/>
      <c r="C719" s="1461"/>
      <c r="D719" s="1437"/>
      <c r="E719" s="1435"/>
      <c r="F719" s="1461"/>
      <c r="G719" s="1437"/>
      <c r="H719" s="1435"/>
      <c r="I719" s="1461"/>
      <c r="J719" s="1437"/>
      <c r="K719" s="1435"/>
      <c r="O719" s="1364"/>
      <c r="P719" s="1364"/>
      <c r="Q719" s="1364"/>
      <c r="T719" s="1365"/>
      <c r="U719" s="1365"/>
      <c r="V719" s="1365"/>
    </row>
    <row r="720" spans="1:22" s="1363" customFormat="1" hidden="1">
      <c r="A720" s="1436"/>
      <c r="B720" s="1433"/>
      <c r="C720" s="1461"/>
      <c r="D720" s="1437"/>
      <c r="E720" s="1435"/>
      <c r="F720" s="1461"/>
      <c r="G720" s="1437"/>
      <c r="H720" s="1435"/>
      <c r="I720" s="1461"/>
      <c r="J720" s="1437"/>
      <c r="K720" s="1435"/>
      <c r="O720" s="1364"/>
      <c r="P720" s="1364"/>
      <c r="Q720" s="1364"/>
      <c r="T720" s="1365"/>
      <c r="U720" s="1365"/>
      <c r="V720" s="1365"/>
    </row>
    <row r="721" spans="1:36" s="1363" customFormat="1" hidden="1">
      <c r="A721" s="1436"/>
      <c r="B721" s="1433"/>
      <c r="C721" s="1464"/>
      <c r="D721" s="1435"/>
      <c r="E721" s="1435"/>
      <c r="F721" s="1464"/>
      <c r="G721" s="1435"/>
      <c r="H721" s="1435"/>
      <c r="I721" s="1464"/>
      <c r="J721" s="1435"/>
      <c r="K721" s="1435"/>
      <c r="O721" s="1364"/>
      <c r="P721" s="1364"/>
      <c r="Q721" s="1364"/>
      <c r="T721" s="1365"/>
      <c r="U721" s="1365"/>
      <c r="V721" s="1365"/>
    </row>
    <row r="722" spans="1:36" s="1363" customFormat="1" hidden="1">
      <c r="A722" s="1436"/>
      <c r="B722" s="1433"/>
      <c r="C722" s="1514"/>
      <c r="D722" s="1435"/>
      <c r="E722" s="1435"/>
      <c r="F722" s="1514"/>
      <c r="G722" s="1435"/>
      <c r="H722" s="1435"/>
      <c r="I722" s="1514"/>
      <c r="J722" s="1435"/>
      <c r="K722" s="1435"/>
      <c r="O722" s="1364"/>
      <c r="P722" s="1364"/>
      <c r="Q722" s="1364"/>
      <c r="T722" s="1365"/>
      <c r="U722" s="1365"/>
      <c r="V722" s="1365"/>
    </row>
    <row r="723" spans="1:36" s="1363" customFormat="1" hidden="1">
      <c r="A723" s="1436"/>
      <c r="B723" s="1433"/>
      <c r="C723" s="1465"/>
      <c r="D723" s="1436"/>
      <c r="E723" s="1435"/>
      <c r="F723" s="1465"/>
      <c r="G723" s="1436"/>
      <c r="H723" s="1435"/>
      <c r="I723" s="1465"/>
      <c r="J723" s="1436"/>
      <c r="K723" s="1435"/>
      <c r="O723" s="1364"/>
      <c r="P723" s="1364"/>
      <c r="Q723" s="1364"/>
      <c r="T723" s="1365"/>
      <c r="U723" s="1365"/>
      <c r="V723" s="1365"/>
    </row>
    <row r="724" spans="1:36" s="1363" customFormat="1" hidden="1">
      <c r="B724" s="1474"/>
      <c r="C724" s="1398"/>
      <c r="E724" s="1420"/>
      <c r="F724" s="1398"/>
      <c r="H724" s="1420"/>
      <c r="I724" s="1443"/>
      <c r="J724" s="1435"/>
      <c r="K724" s="1435"/>
      <c r="M724" s="1427"/>
      <c r="O724" s="1449"/>
      <c r="R724" s="1450"/>
      <c r="S724" s="1450"/>
      <c r="T724" s="1365"/>
      <c r="U724" s="1365"/>
      <c r="V724" s="1365"/>
      <c r="AJ724" s="1427"/>
    </row>
    <row r="725" spans="1:36" s="1363" customFormat="1" hidden="1">
      <c r="A725" s="1480"/>
      <c r="B725" s="1433"/>
      <c r="C725" s="1459"/>
      <c r="D725" s="1420"/>
      <c r="E725" s="1435"/>
      <c r="F725" s="1459"/>
      <c r="G725" s="1426"/>
      <c r="H725" s="1435"/>
      <c r="I725" s="1459"/>
      <c r="J725" s="1426"/>
      <c r="K725" s="1435"/>
      <c r="O725" s="1364"/>
      <c r="P725" s="1364"/>
      <c r="Q725" s="1364"/>
      <c r="T725" s="1365"/>
      <c r="U725" s="1365"/>
      <c r="V725" s="1365"/>
    </row>
    <row r="726" spans="1:36" s="1363" customFormat="1" hidden="1">
      <c r="A726" s="1436"/>
      <c r="B726" s="1433"/>
      <c r="C726" s="1503"/>
      <c r="D726" s="1437"/>
      <c r="E726" s="1435"/>
      <c r="F726" s="1503"/>
      <c r="G726" s="1437"/>
      <c r="H726" s="1435"/>
      <c r="I726" s="1503"/>
      <c r="J726" s="1437"/>
      <c r="K726" s="1435"/>
      <c r="O726" s="1364"/>
      <c r="P726" s="1364"/>
      <c r="Q726" s="1364"/>
      <c r="T726" s="1365"/>
      <c r="U726" s="1365"/>
      <c r="V726" s="1365"/>
    </row>
    <row r="727" spans="1:36" s="1363" customFormat="1" hidden="1">
      <c r="A727" s="1436"/>
      <c r="B727" s="1433"/>
      <c r="C727" s="1503"/>
      <c r="D727" s="1437"/>
      <c r="E727" s="1435"/>
      <c r="F727" s="1503"/>
      <c r="G727" s="1437"/>
      <c r="H727" s="1435"/>
      <c r="I727" s="1503"/>
      <c r="J727" s="1437"/>
      <c r="K727" s="1435"/>
      <c r="O727" s="1364"/>
      <c r="P727" s="1364"/>
      <c r="Q727" s="1364"/>
      <c r="T727" s="1365"/>
      <c r="U727" s="1365"/>
      <c r="V727" s="1365"/>
    </row>
    <row r="728" spans="1:36" s="1363" customFormat="1" hidden="1">
      <c r="A728" s="1436"/>
      <c r="B728" s="1433"/>
      <c r="C728" s="1503"/>
      <c r="D728" s="1437"/>
      <c r="E728" s="1435"/>
      <c r="F728" s="1503"/>
      <c r="G728" s="1437"/>
      <c r="H728" s="1435"/>
      <c r="I728" s="1503"/>
      <c r="J728" s="1437"/>
      <c r="K728" s="1435"/>
      <c r="O728" s="1364"/>
      <c r="P728" s="1364"/>
      <c r="Q728" s="1364"/>
      <c r="T728" s="1365"/>
      <c r="U728" s="1365"/>
      <c r="V728" s="1365"/>
    </row>
    <row r="729" spans="1:36" s="1363" customFormat="1" hidden="1">
      <c r="A729" s="1436"/>
      <c r="B729" s="1433"/>
      <c r="C729" s="1503"/>
      <c r="D729" s="1437"/>
      <c r="E729" s="1435"/>
      <c r="F729" s="1503"/>
      <c r="G729" s="1437"/>
      <c r="H729" s="1435"/>
      <c r="I729" s="1503"/>
      <c r="J729" s="1437"/>
      <c r="K729" s="1435"/>
      <c r="O729" s="1364"/>
      <c r="P729" s="1364"/>
      <c r="Q729" s="1364"/>
      <c r="T729" s="1365"/>
      <c r="U729" s="1365"/>
      <c r="V729" s="1365"/>
    </row>
    <row r="730" spans="1:36" s="1363" customFormat="1" hidden="1">
      <c r="A730" s="1436"/>
      <c r="B730" s="1433"/>
      <c r="C730" s="1503"/>
      <c r="D730" s="1437"/>
      <c r="E730" s="1435"/>
      <c r="F730" s="1503"/>
      <c r="G730" s="1437"/>
      <c r="H730" s="1435"/>
      <c r="I730" s="1503"/>
      <c r="J730" s="1437"/>
      <c r="K730" s="1435"/>
      <c r="O730" s="1364"/>
      <c r="P730" s="1364"/>
      <c r="Q730" s="1364"/>
      <c r="T730" s="1365"/>
      <c r="U730" s="1365"/>
      <c r="V730" s="1365"/>
    </row>
    <row r="731" spans="1:36" s="1363" customFormat="1" hidden="1">
      <c r="A731" s="1436"/>
      <c r="B731" s="1433"/>
      <c r="C731" s="1503"/>
      <c r="D731" s="1437"/>
      <c r="E731" s="1435"/>
      <c r="F731" s="1503"/>
      <c r="G731" s="1437"/>
      <c r="H731" s="1435"/>
      <c r="I731" s="1503"/>
      <c r="J731" s="1437"/>
      <c r="K731" s="1435"/>
      <c r="O731" s="1364"/>
      <c r="P731" s="1364"/>
      <c r="Q731" s="1364"/>
      <c r="T731" s="1365"/>
      <c r="U731" s="1365"/>
      <c r="V731" s="1365"/>
    </row>
    <row r="732" spans="1:36" s="1363" customFormat="1" hidden="1">
      <c r="A732" s="1436"/>
      <c r="B732" s="1433"/>
      <c r="C732" s="1503"/>
      <c r="D732" s="1437"/>
      <c r="E732" s="1435"/>
      <c r="F732" s="1503"/>
      <c r="G732" s="1437"/>
      <c r="H732" s="1435"/>
      <c r="I732" s="1503"/>
      <c r="J732" s="1437"/>
      <c r="K732" s="1435"/>
      <c r="O732" s="1364"/>
      <c r="P732" s="1364"/>
      <c r="Q732" s="1364"/>
      <c r="T732" s="1365"/>
      <c r="U732" s="1365"/>
      <c r="V732" s="1365"/>
    </row>
    <row r="733" spans="1:36" s="1363" customFormat="1" hidden="1">
      <c r="A733" s="1436"/>
      <c r="B733" s="1433"/>
      <c r="C733" s="1503"/>
      <c r="D733" s="1437"/>
      <c r="E733" s="1435"/>
      <c r="F733" s="1503"/>
      <c r="G733" s="1437"/>
      <c r="H733" s="1435"/>
      <c r="I733" s="1503"/>
      <c r="J733" s="1437"/>
      <c r="K733" s="1435"/>
      <c r="O733" s="1364"/>
      <c r="P733" s="1364"/>
      <c r="Q733" s="1364"/>
      <c r="T733" s="1365"/>
      <c r="U733" s="1365"/>
      <c r="V733" s="1365"/>
    </row>
    <row r="734" spans="1:36" s="1363" customFormat="1" hidden="1">
      <c r="A734" s="1436"/>
      <c r="B734" s="1433"/>
      <c r="C734" s="1503"/>
      <c r="D734" s="1437"/>
      <c r="E734" s="1435"/>
      <c r="F734" s="1503"/>
      <c r="G734" s="1437"/>
      <c r="H734" s="1435"/>
      <c r="I734" s="1503"/>
      <c r="J734" s="1437"/>
      <c r="K734" s="1435"/>
      <c r="O734" s="1364"/>
      <c r="P734" s="1364"/>
      <c r="Q734" s="1364"/>
      <c r="T734" s="1365"/>
      <c r="U734" s="1365"/>
      <c r="V734" s="1365"/>
    </row>
    <row r="735" spans="1:36" s="1363" customFormat="1" hidden="1">
      <c r="A735" s="1436"/>
      <c r="B735" s="1433"/>
      <c r="C735" s="1503"/>
      <c r="D735" s="1437"/>
      <c r="E735" s="1435"/>
      <c r="F735" s="1503"/>
      <c r="G735" s="1437"/>
      <c r="H735" s="1435"/>
      <c r="I735" s="1503"/>
      <c r="J735" s="1437"/>
      <c r="K735" s="1435"/>
      <c r="O735" s="1364"/>
      <c r="P735" s="1364"/>
      <c r="Q735" s="1364"/>
      <c r="T735" s="1365"/>
      <c r="U735" s="1365"/>
      <c r="V735" s="1365"/>
    </row>
    <row r="736" spans="1:36" s="1363" customFormat="1" hidden="1">
      <c r="A736" s="1436"/>
      <c r="B736" s="1433"/>
      <c r="C736" s="1461"/>
      <c r="D736" s="1437"/>
      <c r="E736" s="1435"/>
      <c r="F736" s="1461"/>
      <c r="G736" s="1437"/>
      <c r="H736" s="1435"/>
      <c r="I736" s="1461"/>
      <c r="J736" s="1437"/>
      <c r="K736" s="1435"/>
      <c r="O736" s="1364"/>
      <c r="P736" s="1364"/>
      <c r="Q736" s="1364"/>
      <c r="T736" s="1365"/>
      <c r="U736" s="1365"/>
      <c r="V736" s="1365"/>
    </row>
    <row r="737" spans="1:36" s="1363" customFormat="1" hidden="1">
      <c r="A737" s="1436"/>
      <c r="B737" s="1433"/>
      <c r="C737" s="1461"/>
      <c r="D737" s="1437"/>
      <c r="E737" s="1435"/>
      <c r="F737" s="1461"/>
      <c r="G737" s="1437"/>
      <c r="H737" s="1435"/>
      <c r="I737" s="1461"/>
      <c r="J737" s="1437"/>
      <c r="K737" s="1435"/>
      <c r="O737" s="1364"/>
      <c r="P737" s="1364"/>
      <c r="Q737" s="1364"/>
      <c r="T737" s="1365"/>
      <c r="U737" s="1365"/>
      <c r="V737" s="1365"/>
    </row>
    <row r="738" spans="1:36" s="1363" customFormat="1" hidden="1">
      <c r="A738" s="1436"/>
      <c r="B738" s="1433"/>
      <c r="C738" s="1464"/>
      <c r="D738" s="1437"/>
      <c r="E738" s="1435"/>
      <c r="F738" s="1464"/>
      <c r="G738" s="1437"/>
      <c r="H738" s="1435"/>
      <c r="I738" s="1464"/>
      <c r="J738" s="1437"/>
      <c r="K738" s="1435"/>
      <c r="O738" s="1364"/>
      <c r="P738" s="1364"/>
      <c r="Q738" s="1364"/>
      <c r="T738" s="1365"/>
      <c r="U738" s="1365"/>
      <c r="V738" s="1365"/>
    </row>
    <row r="739" spans="1:36" s="1363" customFormat="1" hidden="1">
      <c r="A739" s="1436"/>
      <c r="B739" s="1433"/>
      <c r="C739" s="1461"/>
      <c r="D739" s="1437"/>
      <c r="E739" s="1435"/>
      <c r="F739" s="1461"/>
      <c r="G739" s="1437"/>
      <c r="H739" s="1435"/>
      <c r="I739" s="1461"/>
      <c r="J739" s="1437"/>
      <c r="K739" s="1435"/>
      <c r="O739" s="1364"/>
      <c r="P739" s="1364"/>
      <c r="Q739" s="1364"/>
      <c r="T739" s="1365"/>
      <c r="U739" s="1365"/>
      <c r="V739" s="1365"/>
    </row>
    <row r="740" spans="1:36" s="1363" customFormat="1" hidden="1">
      <c r="A740" s="1436"/>
      <c r="B740" s="1433"/>
      <c r="C740" s="1461"/>
      <c r="D740" s="1437"/>
      <c r="E740" s="1435"/>
      <c r="F740" s="1461"/>
      <c r="G740" s="1437"/>
      <c r="H740" s="1435"/>
      <c r="I740" s="1461"/>
      <c r="J740" s="1437"/>
      <c r="K740" s="1435"/>
      <c r="O740" s="1364"/>
      <c r="P740" s="1364"/>
      <c r="Q740" s="1364"/>
      <c r="T740" s="1365"/>
      <c r="U740" s="1365"/>
      <c r="V740" s="1365"/>
    </row>
    <row r="741" spans="1:36" s="1363" customFormat="1" hidden="1">
      <c r="A741" s="1436"/>
      <c r="B741" s="1433"/>
      <c r="C741" s="1503"/>
      <c r="D741" s="1435"/>
      <c r="E741" s="1435"/>
      <c r="F741" s="1503"/>
      <c r="G741" s="1435"/>
      <c r="H741" s="1435"/>
      <c r="I741" s="1503"/>
      <c r="J741" s="1435"/>
      <c r="K741" s="1435"/>
      <c r="O741" s="1364"/>
      <c r="P741" s="1364"/>
      <c r="Q741" s="1364"/>
      <c r="T741" s="1365"/>
      <c r="U741" s="1365"/>
      <c r="V741" s="1365"/>
    </row>
    <row r="742" spans="1:36" s="1363" customFormat="1" hidden="1">
      <c r="A742" s="1436"/>
      <c r="B742" s="1433"/>
      <c r="C742" s="1512"/>
      <c r="D742" s="1435"/>
      <c r="E742" s="1435"/>
      <c r="F742" s="1512"/>
      <c r="G742" s="1435"/>
      <c r="H742" s="1435"/>
      <c r="I742" s="1512"/>
      <c r="J742" s="1435"/>
      <c r="K742" s="1435"/>
      <c r="O742" s="1364"/>
      <c r="P742" s="1364"/>
      <c r="Q742" s="1364"/>
      <c r="T742" s="1365"/>
      <c r="U742" s="1365"/>
      <c r="V742" s="1365"/>
    </row>
    <row r="743" spans="1:36" s="1363" customFormat="1" hidden="1">
      <c r="A743" s="1436"/>
      <c r="B743" s="1433"/>
      <c r="C743" s="1495"/>
      <c r="D743" s="1435"/>
      <c r="E743" s="1435"/>
      <c r="F743" s="1495"/>
      <c r="G743" s="1436"/>
      <c r="H743" s="1435"/>
      <c r="I743" s="1495"/>
      <c r="J743" s="1436"/>
      <c r="K743" s="1435"/>
      <c r="O743" s="1364"/>
      <c r="P743" s="1364"/>
      <c r="Q743" s="1364"/>
      <c r="T743" s="1365"/>
      <c r="U743" s="1365"/>
      <c r="V743" s="1365"/>
    </row>
    <row r="744" spans="1:36" s="1363" customFormat="1" hidden="1">
      <c r="A744" s="1436"/>
      <c r="B744" s="1433"/>
      <c r="C744" s="1429"/>
      <c r="D744" s="1485"/>
      <c r="E744" s="1435"/>
      <c r="F744" s="1429"/>
      <c r="G744" s="1426"/>
      <c r="H744" s="1435"/>
      <c r="I744" s="1429"/>
      <c r="J744" s="1426"/>
      <c r="K744" s="1435"/>
      <c r="O744" s="1364"/>
      <c r="P744" s="1364"/>
      <c r="Q744" s="1364"/>
      <c r="T744" s="1365"/>
      <c r="U744" s="1365"/>
      <c r="V744" s="1365"/>
    </row>
    <row r="745" spans="1:36" s="1363" customFormat="1" hidden="1">
      <c r="A745" s="1436"/>
      <c r="B745" s="1433"/>
      <c r="C745" s="1465"/>
      <c r="D745" s="1435"/>
      <c r="E745" s="1435"/>
      <c r="F745" s="1465"/>
      <c r="G745" s="1435"/>
      <c r="H745" s="1435"/>
      <c r="I745" s="1465"/>
      <c r="J745" s="1435"/>
      <c r="K745" s="1435"/>
      <c r="O745" s="1364"/>
      <c r="P745" s="1364"/>
      <c r="Q745" s="1364"/>
      <c r="T745" s="1365"/>
      <c r="U745" s="1365"/>
      <c r="V745" s="1365"/>
    </row>
    <row r="746" spans="1:36" s="1363" customFormat="1" hidden="1">
      <c r="B746" s="1474"/>
      <c r="C746" s="1398"/>
      <c r="E746" s="1420"/>
      <c r="F746" s="1398"/>
      <c r="H746" s="1420"/>
      <c r="I746" s="1443"/>
      <c r="J746" s="1435"/>
      <c r="K746" s="1435"/>
      <c r="M746" s="1427"/>
      <c r="O746" s="1449"/>
      <c r="R746" s="1450"/>
      <c r="S746" s="1450"/>
      <c r="T746" s="1365"/>
      <c r="U746" s="1365"/>
      <c r="V746" s="1365"/>
      <c r="AJ746" s="1427"/>
    </row>
    <row r="747" spans="1:36" s="1363" customFormat="1" hidden="1">
      <c r="A747" s="1426"/>
      <c r="B747" s="1433"/>
      <c r="C747" s="1448"/>
      <c r="D747" s="1420"/>
      <c r="E747" s="1420"/>
      <c r="F747" s="1448"/>
      <c r="G747" s="1436"/>
      <c r="H747" s="1420"/>
      <c r="I747" s="1448"/>
      <c r="J747" s="1436"/>
      <c r="K747" s="1420"/>
      <c r="O747" s="1364"/>
      <c r="P747" s="1364"/>
      <c r="Q747" s="1364"/>
      <c r="T747" s="1365"/>
      <c r="U747" s="1365"/>
      <c r="V747" s="1365"/>
    </row>
    <row r="748" spans="1:36" s="1363" customFormat="1" hidden="1">
      <c r="A748" s="1426"/>
      <c r="B748" s="1433"/>
      <c r="C748" s="1436"/>
      <c r="D748" s="1436"/>
      <c r="E748" s="1420"/>
      <c r="F748" s="1436"/>
      <c r="G748" s="1436"/>
      <c r="H748" s="1420"/>
      <c r="I748" s="1436"/>
      <c r="J748" s="1436"/>
      <c r="K748" s="1420"/>
      <c r="M748" s="1422"/>
      <c r="N748" s="1422"/>
      <c r="O748" s="1423"/>
      <c r="P748" s="1364"/>
      <c r="Q748" s="1364"/>
      <c r="T748" s="1365"/>
      <c r="U748" s="1365"/>
      <c r="V748" s="1365"/>
    </row>
    <row r="749" spans="1:36" s="1363" customFormat="1" hidden="1">
      <c r="A749" s="1426"/>
      <c r="B749" s="1428"/>
      <c r="C749" s="1467"/>
      <c r="D749" s="1468"/>
      <c r="E749" s="1435"/>
      <c r="F749" s="1467"/>
      <c r="G749" s="1426"/>
      <c r="H749" s="1435"/>
      <c r="I749" s="1467"/>
      <c r="J749" s="1426"/>
      <c r="K749" s="1435"/>
      <c r="M749" s="1424"/>
      <c r="N749" s="1424"/>
      <c r="O749" s="1412"/>
      <c r="P749" s="1364"/>
      <c r="Q749" s="1364"/>
      <c r="T749" s="1365"/>
      <c r="U749" s="1365"/>
      <c r="V749" s="1365"/>
    </row>
    <row r="750" spans="1:36" s="1363" customFormat="1" hidden="1">
      <c r="A750" s="1426"/>
      <c r="B750" s="1428"/>
      <c r="C750" s="1467"/>
      <c r="D750" s="1468"/>
      <c r="E750" s="1435"/>
      <c r="F750" s="1467"/>
      <c r="G750" s="1426"/>
      <c r="H750" s="1435"/>
      <c r="I750" s="1467"/>
      <c r="J750" s="1426"/>
      <c r="K750" s="1435"/>
      <c r="O750" s="1364"/>
      <c r="P750" s="1364"/>
      <c r="Q750" s="1364"/>
      <c r="T750" s="1365"/>
      <c r="U750" s="1365"/>
      <c r="V750" s="1365"/>
    </row>
    <row r="751" spans="1:36" s="1363" customFormat="1" hidden="1">
      <c r="A751" s="1425"/>
      <c r="B751" s="1428"/>
      <c r="C751" s="1464"/>
      <c r="D751" s="1420"/>
      <c r="E751" s="1420"/>
      <c r="F751" s="1464"/>
      <c r="G751" s="1426"/>
      <c r="H751" s="1420"/>
      <c r="I751" s="1464"/>
      <c r="J751" s="1426"/>
      <c r="K751" s="1420"/>
      <c r="O751" s="1364"/>
      <c r="P751" s="1364"/>
      <c r="Q751" s="1364"/>
      <c r="T751" s="1365"/>
      <c r="U751" s="1365"/>
      <c r="V751" s="1365"/>
    </row>
    <row r="752" spans="1:36" s="1363" customFormat="1" hidden="1">
      <c r="A752" s="1436"/>
      <c r="B752" s="1428"/>
      <c r="C752" s="1464"/>
      <c r="D752" s="1420"/>
      <c r="E752" s="1420"/>
      <c r="F752" s="1464"/>
      <c r="G752" s="1426"/>
      <c r="H752" s="1420"/>
      <c r="I752" s="1464"/>
      <c r="J752" s="1426"/>
      <c r="K752" s="1420"/>
      <c r="O752" s="1364"/>
      <c r="P752" s="1364"/>
      <c r="Q752" s="1364"/>
      <c r="T752" s="1365"/>
      <c r="U752" s="1365"/>
      <c r="V752" s="1365"/>
    </row>
    <row r="753" spans="1:22" s="1363" customFormat="1" hidden="1">
      <c r="A753" s="1436"/>
      <c r="B753" s="1428"/>
      <c r="C753" s="1464"/>
      <c r="D753" s="1420"/>
      <c r="E753" s="1503"/>
      <c r="F753" s="1464"/>
      <c r="G753" s="1426"/>
      <c r="H753" s="1503"/>
      <c r="I753" s="1464"/>
      <c r="J753" s="1426"/>
      <c r="K753" s="1504"/>
      <c r="O753" s="1364"/>
      <c r="P753" s="1364"/>
      <c r="Q753" s="1364"/>
      <c r="T753" s="1365"/>
      <c r="U753" s="1365"/>
      <c r="V753" s="1365"/>
    </row>
    <row r="754" spans="1:22" s="1363" customFormat="1" hidden="1">
      <c r="A754" s="1436"/>
      <c r="B754" s="1433"/>
      <c r="C754" s="1420"/>
      <c r="D754" s="1420"/>
      <c r="E754" s="1426"/>
      <c r="F754" s="1420"/>
      <c r="G754" s="1426"/>
      <c r="H754" s="1426"/>
      <c r="I754" s="1420"/>
      <c r="J754" s="1426"/>
      <c r="K754" s="1426"/>
      <c r="O754" s="1364"/>
      <c r="P754" s="1364"/>
      <c r="Q754" s="1364"/>
      <c r="T754" s="1365"/>
      <c r="U754" s="1365"/>
      <c r="V754" s="1365"/>
    </row>
    <row r="755" spans="1:22" s="1363" customFormat="1" hidden="1">
      <c r="A755" s="1436"/>
      <c r="B755" s="1433"/>
      <c r="C755" s="1464"/>
      <c r="D755" s="1437"/>
      <c r="E755" s="1435"/>
      <c r="F755" s="1464"/>
      <c r="G755" s="1437"/>
      <c r="H755" s="1435"/>
      <c r="I755" s="1464"/>
      <c r="J755" s="1437"/>
      <c r="K755" s="1435"/>
      <c r="O755" s="1364"/>
      <c r="P755" s="1364"/>
      <c r="Q755" s="1364"/>
      <c r="T755" s="1365"/>
      <c r="U755" s="1365"/>
      <c r="V755" s="1365"/>
    </row>
    <row r="756" spans="1:22" s="1363" customFormat="1" hidden="1">
      <c r="A756" s="1436"/>
      <c r="B756" s="1433"/>
      <c r="C756" s="1464"/>
      <c r="D756" s="1437"/>
      <c r="E756" s="1435"/>
      <c r="F756" s="1464"/>
      <c r="G756" s="1437"/>
      <c r="H756" s="1435"/>
      <c r="I756" s="1464"/>
      <c r="J756" s="1437"/>
      <c r="K756" s="1435"/>
      <c r="O756" s="1364"/>
      <c r="P756" s="1364"/>
      <c r="Q756" s="1364"/>
      <c r="T756" s="1365"/>
      <c r="U756" s="1365"/>
      <c r="V756" s="1365"/>
    </row>
    <row r="757" spans="1:22" s="1363" customFormat="1" hidden="1">
      <c r="A757" s="1436"/>
      <c r="B757" s="1433"/>
      <c r="C757" s="1464"/>
      <c r="D757" s="1437"/>
      <c r="E757" s="1435"/>
      <c r="F757" s="1464"/>
      <c r="G757" s="1437"/>
      <c r="H757" s="1435"/>
      <c r="I757" s="1464"/>
      <c r="J757" s="1437"/>
      <c r="K757" s="1435"/>
      <c r="O757" s="1364"/>
      <c r="P757" s="1364"/>
      <c r="Q757" s="1364"/>
      <c r="T757" s="1365"/>
      <c r="U757" s="1365"/>
      <c r="V757" s="1365"/>
    </row>
    <row r="758" spans="1:22" s="1363" customFormat="1" hidden="1">
      <c r="A758" s="1436"/>
      <c r="B758" s="1433"/>
      <c r="C758" s="1464"/>
      <c r="D758" s="1437"/>
      <c r="E758" s="1435"/>
      <c r="F758" s="1464"/>
      <c r="G758" s="1437"/>
      <c r="H758" s="1435"/>
      <c r="I758" s="1464"/>
      <c r="J758" s="1437"/>
      <c r="K758" s="1435"/>
      <c r="O758" s="1364"/>
      <c r="P758" s="1364"/>
      <c r="Q758" s="1364"/>
      <c r="T758" s="1365"/>
      <c r="U758" s="1365"/>
      <c r="V758" s="1365"/>
    </row>
    <row r="759" spans="1:22" s="1363" customFormat="1" hidden="1">
      <c r="A759" s="1436"/>
      <c r="B759" s="1433"/>
      <c r="C759" s="1464"/>
      <c r="D759" s="1437"/>
      <c r="E759" s="1435"/>
      <c r="F759" s="1464"/>
      <c r="G759" s="1437"/>
      <c r="H759" s="1435"/>
      <c r="I759" s="1464"/>
      <c r="J759" s="1437"/>
      <c r="K759" s="1435"/>
      <c r="O759" s="1364"/>
      <c r="P759" s="1364"/>
      <c r="Q759" s="1364"/>
      <c r="T759" s="1365"/>
      <c r="U759" s="1365"/>
      <c r="V759" s="1365"/>
    </row>
    <row r="760" spans="1:22" s="1363" customFormat="1" hidden="1">
      <c r="A760" s="1436"/>
      <c r="B760" s="1433"/>
      <c r="C760" s="1464"/>
      <c r="D760" s="1437"/>
      <c r="E760" s="1435"/>
      <c r="F760" s="1464"/>
      <c r="G760" s="1437"/>
      <c r="H760" s="1435"/>
      <c r="I760" s="1464"/>
      <c r="J760" s="1437"/>
      <c r="K760" s="1435"/>
      <c r="O760" s="1364"/>
      <c r="P760" s="1364"/>
      <c r="Q760" s="1364"/>
      <c r="T760" s="1365"/>
      <c r="U760" s="1365"/>
      <c r="V760" s="1365"/>
    </row>
    <row r="761" spans="1:22" s="1363" customFormat="1" hidden="1">
      <c r="A761" s="1436"/>
      <c r="B761" s="1433"/>
      <c r="C761" s="1464"/>
      <c r="D761" s="1435"/>
      <c r="E761" s="1435"/>
      <c r="F761" s="1464"/>
      <c r="G761" s="1435"/>
      <c r="H761" s="1435"/>
      <c r="I761" s="1464"/>
      <c r="J761" s="1435"/>
      <c r="K761" s="1435"/>
      <c r="O761" s="1364"/>
      <c r="P761" s="1364"/>
      <c r="Q761" s="1364"/>
      <c r="T761" s="1365"/>
      <c r="U761" s="1365"/>
      <c r="V761" s="1365"/>
    </row>
    <row r="762" spans="1:22" s="1363" customFormat="1" hidden="1">
      <c r="A762" s="1436"/>
      <c r="B762" s="1433"/>
      <c r="C762" s="1464"/>
      <c r="D762" s="1435"/>
      <c r="E762" s="1435"/>
      <c r="F762" s="1464"/>
      <c r="G762" s="1435"/>
      <c r="H762" s="1435"/>
      <c r="I762" s="1464"/>
      <c r="J762" s="1435"/>
      <c r="K762" s="1435"/>
      <c r="O762" s="1364"/>
      <c r="P762" s="1364"/>
      <c r="Q762" s="1364"/>
      <c r="T762" s="1365"/>
      <c r="U762" s="1365"/>
      <c r="V762" s="1365"/>
    </row>
    <row r="763" spans="1:22" s="1363" customFormat="1" hidden="1">
      <c r="A763" s="1436"/>
      <c r="B763" s="1433"/>
      <c r="C763" s="1464"/>
      <c r="D763" s="1437"/>
      <c r="E763" s="1435"/>
      <c r="F763" s="1464"/>
      <c r="G763" s="1437"/>
      <c r="H763" s="1435"/>
      <c r="I763" s="1464"/>
      <c r="J763" s="1437"/>
      <c r="K763" s="1435"/>
      <c r="O763" s="1364"/>
      <c r="P763" s="1364"/>
      <c r="Q763" s="1364"/>
      <c r="T763" s="1365"/>
      <c r="U763" s="1365"/>
      <c r="V763" s="1365"/>
    </row>
    <row r="764" spans="1:22" s="1363" customFormat="1" hidden="1">
      <c r="A764" s="1436"/>
      <c r="B764" s="1433"/>
      <c r="C764" s="1464"/>
      <c r="D764" s="1437"/>
      <c r="E764" s="1435"/>
      <c r="F764" s="1464"/>
      <c r="G764" s="1437"/>
      <c r="H764" s="1435"/>
      <c r="I764" s="1464"/>
      <c r="J764" s="1437"/>
      <c r="K764" s="1435"/>
      <c r="O764" s="1364"/>
      <c r="P764" s="1364"/>
      <c r="Q764" s="1364"/>
      <c r="T764" s="1365"/>
      <c r="U764" s="1365"/>
      <c r="V764" s="1365"/>
    </row>
    <row r="765" spans="1:22" s="1363" customFormat="1" hidden="1">
      <c r="A765" s="1436"/>
      <c r="B765" s="1433"/>
      <c r="C765" s="1464"/>
      <c r="D765" s="1437"/>
      <c r="E765" s="1435"/>
      <c r="F765" s="1464"/>
      <c r="G765" s="1437"/>
      <c r="H765" s="1435"/>
      <c r="I765" s="1464"/>
      <c r="J765" s="1437"/>
      <c r="K765" s="1435"/>
      <c r="O765" s="1364"/>
      <c r="P765" s="1364"/>
      <c r="Q765" s="1364"/>
      <c r="T765" s="1365"/>
      <c r="U765" s="1365"/>
      <c r="V765" s="1365"/>
    </row>
    <row r="766" spans="1:22" s="1363" customFormat="1" hidden="1">
      <c r="A766" s="1436"/>
      <c r="B766" s="1433"/>
      <c r="C766" s="1464"/>
      <c r="D766" s="1437"/>
      <c r="E766" s="1435"/>
      <c r="F766" s="1464"/>
      <c r="G766" s="1437"/>
      <c r="H766" s="1435"/>
      <c r="I766" s="1464"/>
      <c r="J766" s="1437"/>
      <c r="K766" s="1435"/>
      <c r="O766" s="1364"/>
      <c r="P766" s="1364"/>
      <c r="Q766" s="1364"/>
      <c r="T766" s="1365"/>
      <c r="U766" s="1365"/>
      <c r="V766" s="1365"/>
    </row>
    <row r="767" spans="1:22" s="1363" customFormat="1" hidden="1">
      <c r="A767" s="1436"/>
      <c r="B767" s="1433"/>
      <c r="C767" s="1464"/>
      <c r="D767" s="1437"/>
      <c r="E767" s="1435"/>
      <c r="F767" s="1464"/>
      <c r="G767" s="1437"/>
      <c r="H767" s="1435"/>
      <c r="I767" s="1464"/>
      <c r="J767" s="1437"/>
      <c r="K767" s="1435"/>
      <c r="O767" s="1364"/>
      <c r="P767" s="1364"/>
      <c r="Q767" s="1364"/>
      <c r="T767" s="1365"/>
      <c r="U767" s="1365"/>
      <c r="V767" s="1365"/>
    </row>
    <row r="768" spans="1:22" s="1363" customFormat="1" hidden="1">
      <c r="A768" s="1436"/>
      <c r="B768" s="1433"/>
      <c r="C768" s="1464"/>
      <c r="D768" s="1437"/>
      <c r="E768" s="1435"/>
      <c r="F768" s="1464"/>
      <c r="G768" s="1437"/>
      <c r="H768" s="1435"/>
      <c r="I768" s="1464"/>
      <c r="J768" s="1437"/>
      <c r="K768" s="1435"/>
      <c r="O768" s="1364"/>
      <c r="P768" s="1364"/>
      <c r="Q768" s="1364"/>
      <c r="T768" s="1365"/>
      <c r="U768" s="1365"/>
      <c r="V768" s="1365"/>
    </row>
    <row r="769" spans="1:36" s="1363" customFormat="1" hidden="1">
      <c r="A769" s="1436"/>
      <c r="B769" s="1433"/>
      <c r="C769" s="1464"/>
      <c r="D769" s="1437"/>
      <c r="E769" s="1435"/>
      <c r="F769" s="1464"/>
      <c r="G769" s="1437"/>
      <c r="H769" s="1435"/>
      <c r="I769" s="1464"/>
      <c r="J769" s="1437"/>
      <c r="K769" s="1435"/>
      <c r="O769" s="1364"/>
      <c r="P769" s="1364"/>
      <c r="Q769" s="1364"/>
      <c r="T769" s="1365"/>
      <c r="U769" s="1365"/>
      <c r="V769" s="1365"/>
    </row>
    <row r="770" spans="1:36" s="1363" customFormat="1" hidden="1">
      <c r="A770" s="1436"/>
      <c r="B770" s="1433"/>
      <c r="C770" s="1464"/>
      <c r="D770" s="1437"/>
      <c r="E770" s="1435"/>
      <c r="F770" s="1464"/>
      <c r="G770" s="1437"/>
      <c r="H770" s="1435"/>
      <c r="I770" s="1464"/>
      <c r="J770" s="1437"/>
      <c r="K770" s="1435"/>
      <c r="O770" s="1364"/>
      <c r="P770" s="1364"/>
      <c r="Q770" s="1364"/>
      <c r="T770" s="1365"/>
      <c r="U770" s="1365"/>
      <c r="V770" s="1365"/>
    </row>
    <row r="771" spans="1:36" s="1363" customFormat="1" hidden="1">
      <c r="A771" s="1436"/>
      <c r="B771" s="1433"/>
      <c r="C771" s="1464"/>
      <c r="D771" s="1437"/>
      <c r="E771" s="1435"/>
      <c r="F771" s="1464"/>
      <c r="G771" s="1437"/>
      <c r="H771" s="1435"/>
      <c r="I771" s="1464"/>
      <c r="J771" s="1437"/>
      <c r="K771" s="1435"/>
      <c r="O771" s="1364"/>
      <c r="P771" s="1364"/>
      <c r="Q771" s="1364"/>
      <c r="T771" s="1365"/>
      <c r="U771" s="1365"/>
      <c r="V771" s="1365"/>
    </row>
    <row r="772" spans="1:36" s="1363" customFormat="1" hidden="1">
      <c r="A772" s="1436"/>
      <c r="B772" s="1433"/>
      <c r="C772" s="1461"/>
      <c r="D772" s="1437"/>
      <c r="E772" s="1435"/>
      <c r="F772" s="1461"/>
      <c r="G772" s="1437"/>
      <c r="H772" s="1435"/>
      <c r="I772" s="1461"/>
      <c r="J772" s="1437"/>
      <c r="K772" s="1435"/>
      <c r="O772" s="1364"/>
      <c r="P772" s="1364"/>
      <c r="Q772" s="1364"/>
      <c r="T772" s="1365"/>
      <c r="U772" s="1365"/>
      <c r="V772" s="1365"/>
    </row>
    <row r="773" spans="1:36" s="1363" customFormat="1" hidden="1">
      <c r="A773" s="1436"/>
      <c r="B773" s="1433"/>
      <c r="C773" s="1461"/>
      <c r="D773" s="1437"/>
      <c r="E773" s="1435"/>
      <c r="F773" s="1461"/>
      <c r="G773" s="1437"/>
      <c r="H773" s="1435"/>
      <c r="I773" s="1461"/>
      <c r="J773" s="1437"/>
      <c r="K773" s="1435"/>
      <c r="O773" s="1364"/>
      <c r="P773" s="1364"/>
      <c r="Q773" s="1364"/>
      <c r="T773" s="1365"/>
      <c r="U773" s="1365"/>
      <c r="V773" s="1365"/>
    </row>
    <row r="774" spans="1:36" s="1363" customFormat="1" hidden="1">
      <c r="A774" s="1436"/>
      <c r="B774" s="1433"/>
      <c r="C774" s="1464"/>
      <c r="D774" s="1435"/>
      <c r="E774" s="1435"/>
      <c r="F774" s="1464"/>
      <c r="G774" s="1435"/>
      <c r="H774" s="1435"/>
      <c r="I774" s="1464"/>
      <c r="J774" s="1435"/>
      <c r="K774" s="1435"/>
      <c r="O774" s="1364"/>
      <c r="P774" s="1364"/>
      <c r="Q774" s="1364"/>
      <c r="T774" s="1365"/>
      <c r="U774" s="1365"/>
      <c r="V774" s="1365"/>
    </row>
    <row r="775" spans="1:36" s="1363" customFormat="1" hidden="1">
      <c r="A775" s="1436"/>
      <c r="B775" s="1433"/>
      <c r="C775" s="1514"/>
      <c r="D775" s="1435"/>
      <c r="E775" s="1435"/>
      <c r="F775" s="1514"/>
      <c r="G775" s="1435"/>
      <c r="H775" s="1435"/>
      <c r="I775" s="1514"/>
      <c r="J775" s="1435"/>
      <c r="K775" s="1435"/>
      <c r="O775" s="1364"/>
      <c r="P775" s="1364"/>
      <c r="Q775" s="1364"/>
      <c r="T775" s="1365"/>
      <c r="U775" s="1365"/>
      <c r="V775" s="1365"/>
    </row>
    <row r="776" spans="1:36" s="1363" customFormat="1" hidden="1">
      <c r="A776" s="1436"/>
      <c r="B776" s="1433"/>
      <c r="C776" s="1465"/>
      <c r="D776" s="1436"/>
      <c r="E776" s="1435"/>
      <c r="F776" s="1465"/>
      <c r="G776" s="1436"/>
      <c r="H776" s="1435"/>
      <c r="I776" s="1465"/>
      <c r="J776" s="1436"/>
      <c r="K776" s="1435"/>
      <c r="O776" s="1364"/>
      <c r="P776" s="1364"/>
      <c r="Q776" s="1364"/>
      <c r="T776" s="1365"/>
      <c r="U776" s="1365"/>
      <c r="V776" s="1365"/>
    </row>
    <row r="777" spans="1:36" s="1363" customFormat="1" hidden="1">
      <c r="B777" s="1474"/>
      <c r="C777" s="1398"/>
      <c r="E777" s="1420"/>
      <c r="F777" s="1398"/>
      <c r="H777" s="1420"/>
      <c r="I777" s="1514"/>
      <c r="J777" s="1435"/>
      <c r="K777" s="1435"/>
      <c r="M777" s="1427"/>
      <c r="O777" s="1449"/>
      <c r="R777" s="1450"/>
      <c r="S777" s="1450"/>
      <c r="T777" s="1365"/>
      <c r="U777" s="1365"/>
      <c r="V777" s="1365"/>
      <c r="AJ777" s="1427"/>
    </row>
    <row r="778" spans="1:36" s="1363" customFormat="1" hidden="1">
      <c r="A778" s="1480"/>
      <c r="B778" s="1433"/>
      <c r="C778" s="1459"/>
      <c r="D778" s="1420"/>
      <c r="E778" s="1435"/>
      <c r="F778" s="1459"/>
      <c r="G778" s="1426"/>
      <c r="H778" s="1435"/>
      <c r="I778" s="1459"/>
      <c r="J778" s="1426"/>
      <c r="K778" s="1435"/>
      <c r="O778" s="1364"/>
      <c r="P778" s="1364"/>
      <c r="Q778" s="1364"/>
      <c r="T778" s="1365"/>
      <c r="U778" s="1365"/>
      <c r="V778" s="1365"/>
    </row>
    <row r="779" spans="1:36" s="1363" customFormat="1" hidden="1">
      <c r="A779" s="1436"/>
      <c r="B779" s="1433"/>
      <c r="C779" s="1503"/>
      <c r="D779" s="1437"/>
      <c r="E779" s="1435"/>
      <c r="F779" s="1503"/>
      <c r="G779" s="1437"/>
      <c r="H779" s="1435"/>
      <c r="I779" s="1503"/>
      <c r="J779" s="1437"/>
      <c r="K779" s="1435"/>
      <c r="O779" s="1364"/>
      <c r="P779" s="1364"/>
      <c r="Q779" s="1364"/>
      <c r="T779" s="1365"/>
      <c r="U779" s="1365"/>
      <c r="V779" s="1365"/>
    </row>
    <row r="780" spans="1:36" s="1363" customFormat="1" hidden="1">
      <c r="A780" s="1436"/>
      <c r="B780" s="1433"/>
      <c r="C780" s="1503"/>
      <c r="D780" s="1437"/>
      <c r="E780" s="1435"/>
      <c r="F780" s="1503"/>
      <c r="G780" s="1437"/>
      <c r="H780" s="1435"/>
      <c r="I780" s="1503"/>
      <c r="J780" s="1437"/>
      <c r="K780" s="1435"/>
      <c r="O780" s="1364"/>
      <c r="P780" s="1364"/>
      <c r="Q780" s="1364"/>
      <c r="T780" s="1365"/>
      <c r="U780" s="1365"/>
      <c r="V780" s="1365"/>
    </row>
    <row r="781" spans="1:36" s="1363" customFormat="1" hidden="1">
      <c r="A781" s="1436"/>
      <c r="B781" s="1433"/>
      <c r="C781" s="1503"/>
      <c r="D781" s="1437"/>
      <c r="E781" s="1435"/>
      <c r="F781" s="1503"/>
      <c r="G781" s="1437"/>
      <c r="H781" s="1435"/>
      <c r="I781" s="1503"/>
      <c r="J781" s="1437"/>
      <c r="K781" s="1435"/>
      <c r="O781" s="1364"/>
      <c r="P781" s="1364"/>
      <c r="Q781" s="1364"/>
      <c r="T781" s="1365"/>
      <c r="U781" s="1365"/>
      <c r="V781" s="1365"/>
    </row>
    <row r="782" spans="1:36" s="1363" customFormat="1" hidden="1">
      <c r="A782" s="1436"/>
      <c r="B782" s="1433"/>
      <c r="C782" s="1503"/>
      <c r="D782" s="1437"/>
      <c r="E782" s="1435"/>
      <c r="F782" s="1503"/>
      <c r="G782" s="1437"/>
      <c r="H782" s="1435"/>
      <c r="I782" s="1503"/>
      <c r="J782" s="1437"/>
      <c r="K782" s="1435"/>
      <c r="O782" s="1364"/>
      <c r="P782" s="1364"/>
      <c r="Q782" s="1364"/>
      <c r="T782" s="1365"/>
      <c r="U782" s="1365"/>
      <c r="V782" s="1365"/>
    </row>
    <row r="783" spans="1:36" s="1363" customFormat="1" hidden="1">
      <c r="A783" s="1436"/>
      <c r="B783" s="1433"/>
      <c r="C783" s="1503"/>
      <c r="D783" s="1437"/>
      <c r="E783" s="1435"/>
      <c r="F783" s="1503"/>
      <c r="G783" s="1437"/>
      <c r="H783" s="1435"/>
      <c r="I783" s="1503"/>
      <c r="J783" s="1437"/>
      <c r="K783" s="1435"/>
      <c r="O783" s="1364"/>
      <c r="P783" s="1364"/>
      <c r="Q783" s="1364"/>
      <c r="T783" s="1365"/>
      <c r="U783" s="1365"/>
      <c r="V783" s="1365"/>
    </row>
    <row r="784" spans="1:36" s="1363" customFormat="1" hidden="1">
      <c r="A784" s="1436"/>
      <c r="B784" s="1433"/>
      <c r="C784" s="1503"/>
      <c r="D784" s="1437"/>
      <c r="E784" s="1435"/>
      <c r="F784" s="1503"/>
      <c r="G784" s="1437"/>
      <c r="H784" s="1435"/>
      <c r="I784" s="1503"/>
      <c r="J784" s="1437"/>
      <c r="K784" s="1435"/>
      <c r="O784" s="1364"/>
      <c r="P784" s="1364"/>
      <c r="Q784" s="1364"/>
      <c r="T784" s="1365"/>
      <c r="U784" s="1365"/>
      <c r="V784" s="1365"/>
    </row>
    <row r="785" spans="1:36" s="1363" customFormat="1" hidden="1">
      <c r="A785" s="1436"/>
      <c r="B785" s="1433"/>
      <c r="C785" s="1503"/>
      <c r="D785" s="1437"/>
      <c r="E785" s="1435"/>
      <c r="F785" s="1503"/>
      <c r="G785" s="1437"/>
      <c r="H785" s="1435"/>
      <c r="I785" s="1503"/>
      <c r="J785" s="1437"/>
      <c r="K785" s="1435"/>
      <c r="O785" s="1364"/>
      <c r="P785" s="1364"/>
      <c r="Q785" s="1364"/>
      <c r="T785" s="1365"/>
      <c r="U785" s="1365"/>
      <c r="V785" s="1365"/>
    </row>
    <row r="786" spans="1:36" s="1363" customFormat="1" hidden="1">
      <c r="A786" s="1436"/>
      <c r="B786" s="1433"/>
      <c r="C786" s="1503"/>
      <c r="D786" s="1437"/>
      <c r="E786" s="1435"/>
      <c r="F786" s="1503"/>
      <c r="G786" s="1437"/>
      <c r="H786" s="1435"/>
      <c r="I786" s="1503"/>
      <c r="J786" s="1437"/>
      <c r="K786" s="1435"/>
      <c r="O786" s="1364"/>
      <c r="P786" s="1364"/>
      <c r="Q786" s="1364"/>
      <c r="T786" s="1365"/>
      <c r="U786" s="1365"/>
      <c r="V786" s="1365"/>
    </row>
    <row r="787" spans="1:36" s="1363" customFormat="1" hidden="1">
      <c r="A787" s="1436"/>
      <c r="B787" s="1433"/>
      <c r="C787" s="1503"/>
      <c r="D787" s="1437"/>
      <c r="E787" s="1435"/>
      <c r="F787" s="1503"/>
      <c r="G787" s="1437"/>
      <c r="H787" s="1435"/>
      <c r="I787" s="1503"/>
      <c r="J787" s="1437"/>
      <c r="K787" s="1435"/>
      <c r="O787" s="1364"/>
      <c r="P787" s="1364"/>
      <c r="Q787" s="1364"/>
      <c r="T787" s="1365"/>
      <c r="U787" s="1365"/>
      <c r="V787" s="1365"/>
    </row>
    <row r="788" spans="1:36" s="1363" customFormat="1" hidden="1">
      <c r="A788" s="1436"/>
      <c r="B788" s="1433"/>
      <c r="C788" s="1503"/>
      <c r="D788" s="1437"/>
      <c r="E788" s="1435"/>
      <c r="F788" s="1503"/>
      <c r="G788" s="1437"/>
      <c r="H788" s="1435"/>
      <c r="I788" s="1503"/>
      <c r="J788" s="1437"/>
      <c r="K788" s="1435"/>
      <c r="O788" s="1364"/>
      <c r="P788" s="1364"/>
      <c r="Q788" s="1364"/>
      <c r="T788" s="1365"/>
      <c r="U788" s="1365"/>
      <c r="V788" s="1365"/>
    </row>
    <row r="789" spans="1:36" s="1363" customFormat="1" hidden="1">
      <c r="A789" s="1436"/>
      <c r="B789" s="1433"/>
      <c r="C789" s="1461"/>
      <c r="D789" s="1437"/>
      <c r="E789" s="1435"/>
      <c r="F789" s="1461"/>
      <c r="G789" s="1437"/>
      <c r="H789" s="1435"/>
      <c r="I789" s="1461"/>
      <c r="J789" s="1437"/>
      <c r="K789" s="1435"/>
      <c r="O789" s="1364"/>
      <c r="P789" s="1364"/>
      <c r="Q789" s="1364"/>
      <c r="T789" s="1365"/>
      <c r="U789" s="1365"/>
      <c r="V789" s="1365"/>
    </row>
    <row r="790" spans="1:36" s="1363" customFormat="1" hidden="1">
      <c r="A790" s="1436"/>
      <c r="B790" s="1433"/>
      <c r="C790" s="1461"/>
      <c r="D790" s="1437"/>
      <c r="E790" s="1435"/>
      <c r="F790" s="1461"/>
      <c r="G790" s="1437"/>
      <c r="H790" s="1435"/>
      <c r="I790" s="1461"/>
      <c r="J790" s="1437"/>
      <c r="K790" s="1435"/>
      <c r="O790" s="1364"/>
      <c r="P790" s="1364"/>
      <c r="Q790" s="1364"/>
      <c r="T790" s="1365"/>
      <c r="U790" s="1365"/>
      <c r="V790" s="1365"/>
    </row>
    <row r="791" spans="1:36" s="1363" customFormat="1" hidden="1">
      <c r="A791" s="1436"/>
      <c r="B791" s="1433"/>
      <c r="C791" s="1464"/>
      <c r="D791" s="1437"/>
      <c r="E791" s="1435"/>
      <c r="F791" s="1464"/>
      <c r="G791" s="1437"/>
      <c r="H791" s="1435"/>
      <c r="I791" s="1464"/>
      <c r="J791" s="1437"/>
      <c r="K791" s="1435"/>
      <c r="O791" s="1364"/>
      <c r="P791" s="1364"/>
      <c r="Q791" s="1364"/>
      <c r="T791" s="1365"/>
      <c r="U791" s="1365"/>
      <c r="V791" s="1365"/>
    </row>
    <row r="792" spans="1:36" s="1363" customFormat="1" hidden="1">
      <c r="A792" s="1436"/>
      <c r="B792" s="1433"/>
      <c r="C792" s="1461"/>
      <c r="D792" s="1437"/>
      <c r="E792" s="1435"/>
      <c r="F792" s="1461"/>
      <c r="G792" s="1437"/>
      <c r="H792" s="1435"/>
      <c r="I792" s="1461"/>
      <c r="J792" s="1437"/>
      <c r="K792" s="1435"/>
      <c r="O792" s="1364"/>
      <c r="P792" s="1364"/>
      <c r="Q792" s="1364"/>
      <c r="T792" s="1365"/>
      <c r="U792" s="1365"/>
      <c r="V792" s="1365"/>
    </row>
    <row r="793" spans="1:36" s="1363" customFormat="1" hidden="1">
      <c r="A793" s="1436"/>
      <c r="B793" s="1433"/>
      <c r="C793" s="1461"/>
      <c r="D793" s="1437"/>
      <c r="E793" s="1435"/>
      <c r="F793" s="1461"/>
      <c r="G793" s="1437"/>
      <c r="H793" s="1435"/>
      <c r="I793" s="1461"/>
      <c r="J793" s="1437"/>
      <c r="K793" s="1435"/>
      <c r="O793" s="1364"/>
      <c r="P793" s="1364"/>
      <c r="Q793" s="1364"/>
      <c r="T793" s="1365"/>
      <c r="U793" s="1365"/>
      <c r="V793" s="1365"/>
    </row>
    <row r="794" spans="1:36" s="1363" customFormat="1" hidden="1">
      <c r="A794" s="1436"/>
      <c r="B794" s="1433"/>
      <c r="C794" s="1503"/>
      <c r="D794" s="1435"/>
      <c r="E794" s="1435"/>
      <c r="F794" s="1503"/>
      <c r="G794" s="1435"/>
      <c r="H794" s="1435"/>
      <c r="I794" s="1503"/>
      <c r="J794" s="1435"/>
      <c r="K794" s="1435"/>
      <c r="O794" s="1364"/>
      <c r="P794" s="1364"/>
      <c r="Q794" s="1364"/>
      <c r="T794" s="1365"/>
      <c r="U794" s="1365"/>
      <c r="V794" s="1365"/>
    </row>
    <row r="795" spans="1:36" s="1363" customFormat="1" hidden="1">
      <c r="A795" s="1436"/>
      <c r="B795" s="1433"/>
      <c r="C795" s="1512"/>
      <c r="D795" s="1435"/>
      <c r="E795" s="1435"/>
      <c r="F795" s="1512"/>
      <c r="G795" s="1435"/>
      <c r="H795" s="1435"/>
      <c r="I795" s="1512"/>
      <c r="J795" s="1435"/>
      <c r="K795" s="1435"/>
      <c r="O795" s="1364"/>
      <c r="P795" s="1364"/>
      <c r="Q795" s="1364"/>
      <c r="T795" s="1365"/>
      <c r="U795" s="1365"/>
      <c r="V795" s="1365"/>
    </row>
    <row r="796" spans="1:36" s="1363" customFormat="1" hidden="1">
      <c r="A796" s="1436"/>
      <c r="B796" s="1433"/>
      <c r="C796" s="1495"/>
      <c r="D796" s="1435"/>
      <c r="E796" s="1435"/>
      <c r="F796" s="1495"/>
      <c r="G796" s="1436"/>
      <c r="H796" s="1435"/>
      <c r="I796" s="1495"/>
      <c r="J796" s="1436"/>
      <c r="K796" s="1435"/>
      <c r="O796" s="1364"/>
      <c r="P796" s="1364"/>
      <c r="Q796" s="1364"/>
      <c r="T796" s="1365"/>
      <c r="U796" s="1365"/>
      <c r="V796" s="1365"/>
    </row>
    <row r="797" spans="1:36" s="1363" customFormat="1" hidden="1">
      <c r="A797" s="1436"/>
      <c r="B797" s="1433"/>
      <c r="C797" s="1429"/>
      <c r="D797" s="1485"/>
      <c r="E797" s="1435"/>
      <c r="F797" s="1429"/>
      <c r="G797" s="1426"/>
      <c r="H797" s="1435"/>
      <c r="I797" s="1429"/>
      <c r="J797" s="1426"/>
      <c r="K797" s="1435"/>
      <c r="O797" s="1364"/>
      <c r="P797" s="1364"/>
      <c r="Q797" s="1364"/>
      <c r="T797" s="1365"/>
      <c r="U797" s="1365"/>
      <c r="V797" s="1365"/>
    </row>
    <row r="798" spans="1:36" s="1363" customFormat="1" hidden="1">
      <c r="A798" s="1436"/>
      <c r="B798" s="1433"/>
      <c r="C798" s="1465"/>
      <c r="D798" s="1435"/>
      <c r="E798" s="1435"/>
      <c r="F798" s="1465"/>
      <c r="G798" s="1435"/>
      <c r="H798" s="1435"/>
      <c r="I798" s="1465"/>
      <c r="J798" s="1435"/>
      <c r="K798" s="1435"/>
      <c r="O798" s="1364"/>
      <c r="P798" s="1364"/>
      <c r="Q798" s="1364"/>
      <c r="T798" s="1365"/>
      <c r="U798" s="1365"/>
      <c r="V798" s="1365"/>
    </row>
    <row r="799" spans="1:36" s="1363" customFormat="1" hidden="1">
      <c r="B799" s="1474"/>
      <c r="C799" s="1398"/>
      <c r="E799" s="1420"/>
      <c r="F799" s="1398"/>
      <c r="H799" s="1420"/>
      <c r="I799" s="1514"/>
      <c r="J799" s="1435"/>
      <c r="K799" s="1435"/>
      <c r="M799" s="1427"/>
      <c r="O799" s="1449"/>
      <c r="R799" s="1450"/>
      <c r="S799" s="1450"/>
      <c r="T799" s="1365"/>
      <c r="U799" s="1365"/>
      <c r="V799" s="1365"/>
      <c r="AJ799" s="1427"/>
    </row>
    <row r="800" spans="1:36" s="1363" customFormat="1" hidden="1">
      <c r="A800" s="1426"/>
      <c r="B800" s="1433"/>
      <c r="C800" s="1448"/>
      <c r="D800" s="1420"/>
      <c r="E800" s="1420"/>
      <c r="F800" s="1448"/>
      <c r="G800" s="1436"/>
      <c r="H800" s="1420"/>
      <c r="I800" s="1448"/>
      <c r="J800" s="1436"/>
      <c r="K800" s="1420"/>
      <c r="O800" s="1364"/>
      <c r="P800" s="1364"/>
      <c r="Q800" s="1364"/>
      <c r="T800" s="1365"/>
      <c r="U800" s="1365"/>
      <c r="V800" s="1365"/>
    </row>
    <row r="801" spans="1:22" s="1363" customFormat="1" hidden="1">
      <c r="A801" s="1426"/>
      <c r="B801" s="1433"/>
      <c r="C801" s="1436"/>
      <c r="D801" s="1436"/>
      <c r="E801" s="1420"/>
      <c r="F801" s="1436"/>
      <c r="G801" s="1436"/>
      <c r="H801" s="1420"/>
      <c r="I801" s="1436"/>
      <c r="J801" s="1436"/>
      <c r="K801" s="1420"/>
      <c r="M801" s="1422"/>
      <c r="N801" s="1422"/>
      <c r="O801" s="1423"/>
      <c r="P801" s="1364"/>
      <c r="Q801" s="1364"/>
      <c r="T801" s="1365"/>
      <c r="U801" s="1365"/>
      <c r="V801" s="1365"/>
    </row>
    <row r="802" spans="1:22" s="1363" customFormat="1" hidden="1">
      <c r="A802" s="1426"/>
      <c r="B802" s="1428"/>
      <c r="C802" s="1467"/>
      <c r="D802" s="1468"/>
      <c r="E802" s="1435"/>
      <c r="F802" s="1467"/>
      <c r="G802" s="1426"/>
      <c r="H802" s="1435"/>
      <c r="I802" s="1467"/>
      <c r="J802" s="1426"/>
      <c r="K802" s="1435"/>
      <c r="M802" s="1424"/>
      <c r="N802" s="1424"/>
      <c r="O802" s="1412"/>
      <c r="P802" s="1364"/>
      <c r="Q802" s="1364"/>
      <c r="T802" s="1365"/>
      <c r="U802" s="1365"/>
      <c r="V802" s="1365"/>
    </row>
    <row r="803" spans="1:22" s="1363" customFormat="1" hidden="1">
      <c r="A803" s="1501"/>
      <c r="B803" s="1501"/>
      <c r="C803" s="1428"/>
      <c r="D803" s="1428"/>
      <c r="E803" s="1502"/>
      <c r="F803" s="1426"/>
      <c r="G803" s="1501"/>
      <c r="H803" s="1502"/>
      <c r="I803" s="1501"/>
      <c r="J803" s="1501"/>
      <c r="K803" s="1501"/>
      <c r="O803" s="1364"/>
      <c r="P803" s="1364"/>
      <c r="Q803" s="1364"/>
      <c r="T803" s="1365"/>
      <c r="U803" s="1365"/>
      <c r="V803" s="1365"/>
    </row>
    <row r="804" spans="1:22" s="1363" customFormat="1">
      <c r="A804" s="1425"/>
      <c r="B804" s="1426"/>
      <c r="C804" s="1420"/>
      <c r="D804" s="1420"/>
      <c r="E804" s="1426"/>
      <c r="F804" s="1420"/>
      <c r="G804" s="1426"/>
      <c r="H804" s="1426"/>
      <c r="I804" s="1420"/>
      <c r="J804" s="1426"/>
      <c r="K804" s="1426"/>
      <c r="O804" s="1364"/>
      <c r="P804" s="1364"/>
      <c r="Q804" s="1364"/>
      <c r="T804" s="1365"/>
      <c r="U804" s="1365"/>
      <c r="V804" s="1365"/>
    </row>
    <row r="805" spans="1:22" s="1363" customFormat="1">
      <c r="A805" s="1436"/>
      <c r="B805" s="1426"/>
      <c r="C805" s="1420"/>
      <c r="D805" s="1420"/>
      <c r="E805" s="1426"/>
      <c r="F805" s="1420"/>
      <c r="G805" s="1426"/>
      <c r="H805" s="1426"/>
      <c r="I805" s="1420"/>
      <c r="J805" s="1426"/>
      <c r="K805" s="1426"/>
      <c r="O805" s="1364"/>
      <c r="P805" s="1364"/>
      <c r="Q805" s="1364"/>
      <c r="T805" s="1365"/>
      <c r="U805" s="1365"/>
      <c r="V805" s="1365"/>
    </row>
    <row r="806" spans="1:22" s="1363" customFormat="1">
      <c r="A806" s="1436"/>
      <c r="B806" s="1426"/>
      <c r="C806" s="1420"/>
      <c r="D806" s="1420"/>
      <c r="E806" s="1426"/>
      <c r="F806" s="1420"/>
      <c r="G806" s="1426"/>
      <c r="H806" s="1426"/>
      <c r="I806" s="1420"/>
      <c r="J806" s="1426"/>
      <c r="K806" s="1426"/>
      <c r="O806" s="1364"/>
      <c r="P806" s="1364"/>
      <c r="Q806" s="1364"/>
      <c r="T806" s="1365"/>
      <c r="U806" s="1365"/>
      <c r="V806" s="1365"/>
    </row>
    <row r="807" spans="1:22" s="1363" customFormat="1">
      <c r="A807" s="1436"/>
      <c r="B807" s="1433"/>
      <c r="C807" s="1420"/>
      <c r="D807" s="1420"/>
      <c r="E807" s="1426"/>
      <c r="F807" s="1420"/>
      <c r="G807" s="1426"/>
      <c r="H807" s="1426"/>
      <c r="I807" s="1420"/>
      <c r="J807" s="1426"/>
      <c r="K807" s="1426"/>
      <c r="O807" s="1364"/>
      <c r="P807" s="1364"/>
      <c r="Q807" s="1364"/>
      <c r="T807" s="1365"/>
      <c r="U807" s="1365"/>
      <c r="V807" s="1365"/>
    </row>
    <row r="808" spans="1:22" s="1363" customFormat="1">
      <c r="A808" s="1436"/>
      <c r="B808" s="1433"/>
      <c r="C808" s="1503"/>
      <c r="D808" s="1464"/>
      <c r="E808" s="1420"/>
      <c r="F808" s="1503"/>
      <c r="G808" s="1435"/>
      <c r="H808" s="1420"/>
      <c r="I808" s="1503"/>
      <c r="J808" s="1435"/>
      <c r="K808" s="1420"/>
      <c r="M808" s="1427"/>
      <c r="O808" s="1417"/>
      <c r="P808" s="1364"/>
      <c r="Q808" s="1364"/>
      <c r="T808" s="1365"/>
      <c r="U808" s="1365"/>
      <c r="V808" s="1365"/>
    </row>
    <row r="809" spans="1:22" s="1363" customFormat="1">
      <c r="A809" s="1436"/>
      <c r="B809" s="1433"/>
      <c r="C809" s="1503"/>
      <c r="D809" s="1464"/>
      <c r="E809" s="1420"/>
      <c r="F809" s="1503"/>
      <c r="G809" s="1437"/>
      <c r="H809" s="1420"/>
      <c r="I809" s="1503"/>
      <c r="J809" s="1437"/>
      <c r="K809" s="1420"/>
      <c r="M809" s="1427"/>
      <c r="O809" s="1417"/>
      <c r="P809" s="1364"/>
      <c r="Q809" s="1364"/>
      <c r="T809" s="1365"/>
      <c r="U809" s="1365"/>
      <c r="V809" s="1365"/>
    </row>
    <row r="810" spans="1:22" s="1363" customFormat="1">
      <c r="A810" s="1436"/>
      <c r="B810" s="1433"/>
      <c r="C810" s="1503"/>
      <c r="D810" s="1464"/>
      <c r="E810" s="1420"/>
      <c r="F810" s="1503"/>
      <c r="G810" s="1435"/>
      <c r="H810" s="1420"/>
      <c r="I810" s="1503"/>
      <c r="J810" s="1435"/>
      <c r="K810" s="1420"/>
      <c r="O810" s="1364"/>
      <c r="P810" s="1364"/>
      <c r="Q810" s="1364"/>
      <c r="T810" s="1365"/>
      <c r="U810" s="1365"/>
      <c r="V810" s="1365"/>
    </row>
    <row r="811" spans="1:22" s="1363" customFormat="1">
      <c r="A811" s="1436"/>
      <c r="B811" s="1433"/>
      <c r="C811" s="1503"/>
      <c r="D811" s="1464"/>
      <c r="E811" s="1420"/>
      <c r="F811" s="1503"/>
      <c r="G811" s="1435"/>
      <c r="H811" s="1420"/>
      <c r="I811" s="1503"/>
      <c r="J811" s="1435"/>
      <c r="K811" s="1420"/>
      <c r="M811" s="1427"/>
      <c r="O811" s="1417"/>
      <c r="P811" s="1364"/>
      <c r="Q811" s="1364"/>
      <c r="T811" s="1365"/>
      <c r="U811" s="1365"/>
      <c r="V811" s="1365"/>
    </row>
    <row r="812" spans="1:22" s="1363" customFormat="1">
      <c r="A812" s="1436"/>
      <c r="B812" s="1433"/>
      <c r="C812" s="1503"/>
      <c r="D812" s="1464"/>
      <c r="E812" s="1420"/>
      <c r="F812" s="1503"/>
      <c r="G812" s="1435"/>
      <c r="H812" s="1420"/>
      <c r="I812" s="1503"/>
      <c r="J812" s="1435"/>
      <c r="K812" s="1420"/>
      <c r="M812" s="1427"/>
      <c r="O812" s="1364"/>
      <c r="P812" s="1364"/>
      <c r="Q812" s="1364"/>
      <c r="T812" s="1365"/>
      <c r="U812" s="1365"/>
      <c r="V812" s="1365"/>
    </row>
    <row r="813" spans="1:22" s="1363" customFormat="1">
      <c r="A813" s="1436"/>
      <c r="B813" s="1433"/>
      <c r="C813" s="1503"/>
      <c r="D813" s="1464"/>
      <c r="E813" s="1420"/>
      <c r="F813" s="1503"/>
      <c r="G813" s="1435"/>
      <c r="H813" s="1420"/>
      <c r="I813" s="1503"/>
      <c r="J813" s="1435"/>
      <c r="K813" s="1420"/>
      <c r="M813" s="1427"/>
      <c r="O813" s="1364"/>
      <c r="P813" s="1364"/>
      <c r="Q813" s="1364"/>
      <c r="T813" s="1365"/>
      <c r="U813" s="1365"/>
      <c r="V813" s="1365"/>
    </row>
    <row r="814" spans="1:22" s="1363" customFormat="1">
      <c r="A814" s="1436"/>
      <c r="B814" s="1433"/>
      <c r="C814" s="1503"/>
      <c r="D814" s="1464"/>
      <c r="E814" s="1420"/>
      <c r="F814" s="1503"/>
      <c r="G814" s="1435"/>
      <c r="H814" s="1420"/>
      <c r="I814" s="1503"/>
      <c r="J814" s="1435"/>
      <c r="K814" s="1420"/>
      <c r="O814" s="1364"/>
      <c r="P814" s="1364"/>
      <c r="Q814" s="1364"/>
      <c r="T814" s="1365"/>
      <c r="U814" s="1365"/>
      <c r="V814" s="1365"/>
    </row>
    <row r="815" spans="1:22" s="1363" customFormat="1">
      <c r="A815" s="1436"/>
      <c r="B815" s="1433"/>
      <c r="C815" s="1515"/>
      <c r="D815" s="1435"/>
      <c r="E815" s="1420"/>
      <c r="F815" s="1515"/>
      <c r="G815" s="1435"/>
      <c r="H815" s="1420"/>
      <c r="I815" s="1515"/>
      <c r="J815" s="1435"/>
      <c r="K815" s="1420"/>
      <c r="M815" s="1427"/>
      <c r="O815" s="1364"/>
      <c r="P815" s="1364"/>
      <c r="Q815" s="1364"/>
      <c r="T815" s="1365"/>
      <c r="U815" s="1365"/>
      <c r="V815" s="1365"/>
    </row>
    <row r="816" spans="1:22" s="1363" customFormat="1">
      <c r="A816" s="1436"/>
      <c r="B816" s="1433"/>
      <c r="C816" s="1503"/>
      <c r="D816" s="1435"/>
      <c r="E816" s="1420"/>
      <c r="F816" s="1503"/>
      <c r="G816" s="1435"/>
      <c r="H816" s="1420"/>
      <c r="I816" s="1503"/>
      <c r="J816" s="1435"/>
      <c r="K816" s="1420"/>
      <c r="M816" s="1427"/>
      <c r="N816" s="1433"/>
      <c r="O816" s="1364"/>
      <c r="P816" s="1364"/>
      <c r="Q816" s="1364"/>
      <c r="T816" s="1365"/>
      <c r="U816" s="1365"/>
      <c r="V816" s="1365"/>
    </row>
    <row r="817" spans="1:36" s="1363" customFormat="1">
      <c r="A817" s="1436"/>
      <c r="B817" s="1433"/>
      <c r="C817" s="1516"/>
      <c r="D817" s="1435"/>
      <c r="E817" s="1420"/>
      <c r="F817" s="1516"/>
      <c r="G817" s="1435"/>
      <c r="H817" s="1420"/>
      <c r="I817" s="1516"/>
      <c r="J817" s="1435"/>
      <c r="K817" s="1420"/>
      <c r="M817" s="1427"/>
      <c r="N817" s="1433"/>
      <c r="O817" s="1364"/>
      <c r="P817" s="1364"/>
      <c r="Q817" s="1364"/>
      <c r="T817" s="1365"/>
      <c r="U817" s="1365"/>
      <c r="V817" s="1365"/>
    </row>
    <row r="818" spans="1:36" s="1363" customFormat="1">
      <c r="A818" s="1436"/>
      <c r="B818" s="1433"/>
      <c r="C818" s="1517"/>
      <c r="D818" s="1435"/>
      <c r="E818" s="1435"/>
      <c r="F818" s="1461"/>
      <c r="G818" s="1435"/>
      <c r="H818" s="1435"/>
      <c r="I818" s="1461"/>
      <c r="J818" s="1435"/>
      <c r="K818" s="1435"/>
      <c r="M818" s="1427"/>
      <c r="O818" s="1364"/>
      <c r="P818" s="1364"/>
      <c r="Q818" s="1364"/>
      <c r="T818" s="1365"/>
      <c r="U818" s="1365"/>
      <c r="V818" s="1365"/>
    </row>
    <row r="819" spans="1:36" s="1363" customFormat="1">
      <c r="A819" s="1436"/>
      <c r="B819" s="1433"/>
      <c r="C819" s="1461"/>
      <c r="D819" s="1435"/>
      <c r="E819" s="1435"/>
      <c r="F819" s="1461"/>
      <c r="G819" s="1435"/>
      <c r="H819" s="1435"/>
      <c r="I819" s="1461"/>
      <c r="J819" s="1435"/>
      <c r="K819" s="1435"/>
      <c r="M819" s="1427"/>
      <c r="O819" s="1364"/>
      <c r="P819" s="1364"/>
      <c r="Q819" s="1364"/>
      <c r="T819" s="1365"/>
      <c r="U819" s="1365"/>
      <c r="V819" s="1365"/>
    </row>
    <row r="820" spans="1:36" s="1363" customFormat="1">
      <c r="B820" s="1433"/>
      <c r="C820" s="1447"/>
      <c r="D820" s="1435"/>
      <c r="E820" s="1435"/>
      <c r="F820" s="1447"/>
      <c r="G820" s="1435"/>
      <c r="H820" s="1435"/>
      <c r="I820" s="1447"/>
      <c r="J820" s="1435"/>
      <c r="K820" s="1435"/>
      <c r="M820" s="1427"/>
      <c r="O820" s="1364"/>
      <c r="P820" s="1364"/>
      <c r="Q820" s="1364"/>
      <c r="T820" s="1365"/>
      <c r="U820" s="1365"/>
      <c r="V820" s="1365"/>
    </row>
    <row r="821" spans="1:36" s="1363" customFormat="1">
      <c r="B821" s="1474"/>
      <c r="C821" s="1398"/>
      <c r="E821" s="1420"/>
      <c r="F821" s="1398"/>
      <c r="H821" s="1420"/>
      <c r="I821" s="1515"/>
      <c r="J821" s="1435"/>
      <c r="K821" s="1420"/>
      <c r="M821" s="1427"/>
      <c r="O821" s="1449"/>
      <c r="R821" s="1450"/>
      <c r="S821" s="1450"/>
      <c r="T821" s="1365"/>
      <c r="U821" s="1365"/>
      <c r="V821" s="1365"/>
      <c r="AJ821" s="1427"/>
    </row>
    <row r="822" spans="1:36" s="1363" customFormat="1">
      <c r="A822" s="1426"/>
      <c r="B822" s="1433"/>
      <c r="C822" s="1448"/>
      <c r="D822" s="1420"/>
      <c r="E822" s="1420"/>
      <c r="F822" s="1448"/>
      <c r="G822" s="1426"/>
      <c r="H822" s="1420"/>
      <c r="I822" s="1448"/>
      <c r="J822" s="1426"/>
      <c r="K822" s="1420"/>
      <c r="M822" s="1427"/>
      <c r="O822" s="1364"/>
      <c r="P822" s="1364"/>
      <c r="Q822" s="1364"/>
      <c r="T822" s="1365"/>
      <c r="U822" s="1365"/>
      <c r="V822" s="1365"/>
    </row>
    <row r="823" spans="1:36" s="1363" customFormat="1">
      <c r="A823" s="1426"/>
      <c r="B823" s="1433"/>
      <c r="C823" s="1436"/>
      <c r="D823" s="1436"/>
      <c r="E823" s="1435"/>
      <c r="F823" s="1436"/>
      <c r="G823" s="1436"/>
      <c r="H823" s="1435"/>
      <c r="I823" s="1436"/>
      <c r="J823" s="1436"/>
      <c r="K823" s="1435"/>
      <c r="O823" s="1364"/>
      <c r="P823" s="1364"/>
      <c r="Q823" s="1364"/>
      <c r="T823" s="1365"/>
      <c r="U823" s="1365"/>
      <c r="V823" s="1365"/>
    </row>
    <row r="824" spans="1:36" s="1363" customFormat="1">
      <c r="A824" s="1426"/>
      <c r="B824" s="1428"/>
      <c r="C824" s="1467"/>
      <c r="D824" s="1468"/>
      <c r="E824" s="1435"/>
      <c r="F824" s="1467"/>
      <c r="G824" s="1426"/>
      <c r="H824" s="1435"/>
      <c r="I824" s="1467"/>
      <c r="J824" s="1426"/>
      <c r="K824" s="1435"/>
      <c r="O824" s="1427"/>
      <c r="P824" s="1417"/>
      <c r="Q824" s="1412"/>
      <c r="T824" s="1365"/>
      <c r="U824" s="1365"/>
      <c r="V824" s="1365"/>
    </row>
    <row r="825" spans="1:36" s="1363" customFormat="1">
      <c r="A825" s="1426"/>
      <c r="B825" s="1428"/>
      <c r="C825" s="1464"/>
      <c r="D825" s="1420"/>
      <c r="E825" s="1420"/>
      <c r="F825" s="1464"/>
      <c r="G825" s="1426"/>
      <c r="H825" s="1420"/>
      <c r="I825" s="1464"/>
      <c r="J825" s="1426"/>
      <c r="K825" s="1503"/>
      <c r="O825" s="1427"/>
      <c r="P825" s="1417"/>
      <c r="Q825" s="1417"/>
      <c r="T825" s="1365"/>
      <c r="U825" s="1365"/>
      <c r="V825" s="1365"/>
    </row>
    <row r="826" spans="1:36" s="1363" customFormat="1">
      <c r="A826" s="1425"/>
      <c r="B826" s="1426"/>
      <c r="C826" s="1420"/>
      <c r="D826" s="1420"/>
      <c r="E826" s="1426"/>
      <c r="F826" s="1420"/>
      <c r="G826" s="1426"/>
      <c r="H826" s="1426"/>
      <c r="I826" s="1420"/>
      <c r="J826" s="1426"/>
      <c r="K826" s="1426"/>
      <c r="O826" s="1364"/>
      <c r="P826" s="1364"/>
      <c r="Q826" s="1364"/>
      <c r="T826" s="1365"/>
      <c r="U826" s="1365"/>
      <c r="V826" s="1365"/>
    </row>
    <row r="827" spans="1:36" s="1363" customFormat="1">
      <c r="A827" s="1436"/>
      <c r="B827" s="1426"/>
      <c r="C827" s="1420"/>
      <c r="D827" s="1420"/>
      <c r="E827" s="1426"/>
      <c r="F827" s="1420"/>
      <c r="G827" s="1426"/>
      <c r="H827" s="1426"/>
      <c r="I827" s="1420"/>
      <c r="J827" s="1426"/>
      <c r="K827" s="1426"/>
      <c r="O827" s="1364"/>
      <c r="P827" s="1364"/>
      <c r="Q827" s="1364"/>
      <c r="T827" s="1365"/>
      <c r="U827" s="1365"/>
      <c r="V827" s="1365"/>
    </row>
    <row r="828" spans="1:36" s="1363" customFormat="1">
      <c r="A828" s="1436"/>
      <c r="B828" s="1426"/>
      <c r="C828" s="1420"/>
      <c r="D828" s="1420"/>
      <c r="E828" s="1426"/>
      <c r="F828" s="1420"/>
      <c r="G828" s="1426"/>
      <c r="H828" s="1426"/>
      <c r="I828" s="1420"/>
      <c r="J828" s="1426"/>
      <c r="K828" s="1426"/>
      <c r="O828" s="1364"/>
      <c r="P828" s="1364"/>
      <c r="Q828" s="1364"/>
      <c r="T828" s="1365"/>
      <c r="U828" s="1365"/>
      <c r="V828" s="1365"/>
    </row>
    <row r="829" spans="1:36" s="1363" customFormat="1">
      <c r="A829" s="1436"/>
      <c r="B829" s="1433"/>
      <c r="C829" s="1420"/>
      <c r="D829" s="1420"/>
      <c r="E829" s="1426"/>
      <c r="F829" s="1420"/>
      <c r="G829" s="1426"/>
      <c r="H829" s="1426"/>
      <c r="I829" s="1420"/>
      <c r="J829" s="1426"/>
      <c r="K829" s="1426"/>
      <c r="O829" s="1364"/>
      <c r="P829" s="1364"/>
      <c r="Q829" s="1364"/>
      <c r="T829" s="1365"/>
      <c r="U829" s="1365"/>
      <c r="V829" s="1365"/>
    </row>
    <row r="830" spans="1:36" s="1363" customFormat="1">
      <c r="A830" s="1436"/>
      <c r="B830" s="1433"/>
      <c r="C830" s="1464"/>
      <c r="D830" s="1464"/>
      <c r="E830" s="1420"/>
      <c r="F830" s="1464"/>
      <c r="G830" s="1435"/>
      <c r="H830" s="1420"/>
      <c r="I830" s="1464"/>
      <c r="J830" s="1435"/>
      <c r="K830" s="1420"/>
      <c r="M830" s="1427"/>
      <c r="O830" s="1417"/>
      <c r="T830" s="1365"/>
      <c r="U830" s="1365"/>
      <c r="V830" s="1365"/>
      <c r="Y830" s="1446"/>
      <c r="Z830" s="1446"/>
    </row>
    <row r="831" spans="1:36" s="1363" customFormat="1">
      <c r="A831" s="1436"/>
      <c r="B831" s="1433"/>
      <c r="C831" s="1464"/>
      <c r="D831" s="1464"/>
      <c r="E831" s="1420"/>
      <c r="F831" s="1464"/>
      <c r="G831" s="1437"/>
      <c r="H831" s="1420"/>
      <c r="I831" s="1464"/>
      <c r="J831" s="1437"/>
      <c r="K831" s="1420"/>
      <c r="M831" s="1427"/>
      <c r="O831" s="1417"/>
      <c r="R831" s="1518"/>
      <c r="S831" s="1518"/>
      <c r="T831" s="1519"/>
      <c r="U831" s="1519"/>
      <c r="V831" s="1519"/>
      <c r="W831" s="1518"/>
      <c r="X831" s="1412"/>
      <c r="Y831" s="1446"/>
      <c r="Z831" s="1446"/>
    </row>
    <row r="832" spans="1:36" s="1363" customFormat="1">
      <c r="A832" s="1436"/>
      <c r="B832" s="1433"/>
      <c r="C832" s="1464"/>
      <c r="D832" s="1464"/>
      <c r="E832" s="1420"/>
      <c r="F832" s="1464"/>
      <c r="G832" s="1435"/>
      <c r="H832" s="1420"/>
      <c r="I832" s="1464"/>
      <c r="J832" s="1435"/>
      <c r="K832" s="1420"/>
      <c r="O832" s="1434"/>
      <c r="R832" s="1518"/>
      <c r="S832" s="1518"/>
      <c r="T832" s="1519"/>
      <c r="U832" s="1519"/>
      <c r="V832" s="1519"/>
      <c r="W832" s="1518"/>
      <c r="X832" s="1412"/>
    </row>
    <row r="833" spans="1:36" s="1363" customFormat="1">
      <c r="A833" s="1436"/>
      <c r="B833" s="1433"/>
      <c r="C833" s="1464"/>
      <c r="D833" s="1464"/>
      <c r="E833" s="1420"/>
      <c r="F833" s="1464"/>
      <c r="G833" s="1435"/>
      <c r="H833" s="1420"/>
      <c r="I833" s="1464"/>
      <c r="J833" s="1435"/>
      <c r="K833" s="1420"/>
      <c r="M833" s="1427"/>
      <c r="O833" s="1417"/>
      <c r="R833" s="1518"/>
      <c r="S833" s="1518"/>
      <c r="T833" s="1519"/>
      <c r="U833" s="1519"/>
      <c r="V833" s="1519"/>
      <c r="W833" s="1518"/>
      <c r="X833" s="1412"/>
    </row>
    <row r="834" spans="1:36" s="1363" customFormat="1">
      <c r="A834" s="1436"/>
      <c r="B834" s="1433"/>
      <c r="C834" s="1464"/>
      <c r="D834" s="1464"/>
      <c r="E834" s="1420"/>
      <c r="F834" s="1464"/>
      <c r="G834" s="1435"/>
      <c r="H834" s="1420"/>
      <c r="I834" s="1464"/>
      <c r="J834" s="1435"/>
      <c r="K834" s="1420"/>
      <c r="M834" s="1427"/>
      <c r="O834" s="1417"/>
      <c r="R834" s="1518"/>
      <c r="S834" s="1518"/>
      <c r="T834" s="1519"/>
      <c r="U834" s="1519"/>
      <c r="V834" s="1519"/>
      <c r="W834" s="1518"/>
      <c r="X834" s="1412"/>
    </row>
    <row r="835" spans="1:36" s="1363" customFormat="1">
      <c r="A835" s="1436"/>
      <c r="B835" s="1433"/>
      <c r="C835" s="1464"/>
      <c r="D835" s="1464"/>
      <c r="E835" s="1420"/>
      <c r="F835" s="1464"/>
      <c r="G835" s="1435"/>
      <c r="H835" s="1420"/>
      <c r="I835" s="1464"/>
      <c r="J835" s="1435"/>
      <c r="K835" s="1420"/>
      <c r="M835" s="1427"/>
      <c r="O835" s="1417"/>
      <c r="R835" s="1518"/>
      <c r="S835" s="1518"/>
      <c r="T835" s="1519"/>
      <c r="U835" s="1519"/>
      <c r="V835" s="1519"/>
      <c r="W835" s="1518"/>
      <c r="X835" s="1412"/>
    </row>
    <row r="836" spans="1:36" s="1363" customFormat="1">
      <c r="A836" s="1436"/>
      <c r="B836" s="1433"/>
      <c r="C836" s="1464"/>
      <c r="D836" s="1464"/>
      <c r="E836" s="1420"/>
      <c r="F836" s="1464"/>
      <c r="G836" s="1435"/>
      <c r="H836" s="1420"/>
      <c r="I836" s="1464"/>
      <c r="J836" s="1435"/>
      <c r="K836" s="1420"/>
      <c r="O836" s="1434"/>
      <c r="P836" s="1364"/>
      <c r="Q836" s="1364"/>
      <c r="T836" s="1365"/>
      <c r="U836" s="1365"/>
      <c r="V836" s="1365"/>
    </row>
    <row r="837" spans="1:36" s="1363" customFormat="1">
      <c r="A837" s="1436"/>
      <c r="B837" s="1433"/>
      <c r="C837" s="1508"/>
      <c r="D837" s="1435"/>
      <c r="E837" s="1420"/>
      <c r="F837" s="1520"/>
      <c r="G837" s="1435"/>
      <c r="H837" s="1420"/>
      <c r="I837" s="1521"/>
      <c r="J837" s="1435"/>
      <c r="K837" s="1420"/>
      <c r="M837" s="1427"/>
      <c r="O837" s="1417"/>
      <c r="P837" s="1364"/>
      <c r="Q837" s="1364"/>
      <c r="T837" s="1365"/>
      <c r="U837" s="1365"/>
      <c r="V837" s="1365"/>
    </row>
    <row r="838" spans="1:36" s="1363" customFormat="1">
      <c r="A838" s="1436"/>
      <c r="B838" s="1433"/>
      <c r="C838" s="1464"/>
      <c r="D838" s="1435"/>
      <c r="E838" s="1420"/>
      <c r="F838" s="1464"/>
      <c r="G838" s="1435"/>
      <c r="H838" s="1420"/>
      <c r="I838" s="1464"/>
      <c r="J838" s="1435"/>
      <c r="K838" s="1420"/>
      <c r="M838" s="1427"/>
      <c r="N838" s="1434"/>
      <c r="O838" s="1417"/>
      <c r="P838" s="1364"/>
      <c r="Q838" s="1364"/>
      <c r="T838" s="1365"/>
      <c r="U838" s="1365"/>
      <c r="V838" s="1365"/>
    </row>
    <row r="839" spans="1:36" s="1363" customFormat="1">
      <c r="B839" s="1433"/>
      <c r="C839" s="1398"/>
      <c r="E839" s="1420"/>
      <c r="F839" s="1398"/>
      <c r="H839" s="1420"/>
      <c r="I839" s="1398"/>
      <c r="K839" s="1420"/>
      <c r="M839" s="1427"/>
      <c r="O839" s="1449"/>
      <c r="R839" s="1450"/>
      <c r="S839" s="1450"/>
      <c r="T839" s="1365"/>
      <c r="U839" s="1365"/>
      <c r="V839" s="1365"/>
      <c r="AJ839" s="1427"/>
    </row>
    <row r="840" spans="1:36" s="1363" customFormat="1">
      <c r="A840" s="1426"/>
      <c r="B840" s="1433"/>
      <c r="C840" s="1448"/>
      <c r="D840" s="1420"/>
      <c r="E840" s="1420"/>
      <c r="F840" s="1437"/>
      <c r="G840" s="1426"/>
      <c r="H840" s="1420"/>
      <c r="I840" s="1420"/>
      <c r="J840" s="1426"/>
      <c r="K840" s="1420"/>
      <c r="M840" s="1427"/>
      <c r="O840" s="1364"/>
      <c r="P840" s="1364"/>
      <c r="Q840" s="1364"/>
      <c r="T840" s="1365"/>
      <c r="U840" s="1365"/>
      <c r="V840" s="1365"/>
    </row>
    <row r="841" spans="1:36" s="1363" customFormat="1">
      <c r="A841" s="1426"/>
      <c r="B841" s="1433"/>
      <c r="C841" s="1436"/>
      <c r="D841" s="1436"/>
      <c r="E841" s="1420"/>
      <c r="F841" s="1436"/>
      <c r="G841" s="1436"/>
      <c r="H841" s="1420"/>
      <c r="I841" s="1436"/>
      <c r="J841" s="1436"/>
      <c r="K841" s="1420"/>
      <c r="O841" s="1364"/>
      <c r="P841" s="1364"/>
      <c r="Q841" s="1364"/>
      <c r="R841" s="1471"/>
      <c r="S841" s="1471"/>
      <c r="T841" s="1365"/>
      <c r="U841" s="1365"/>
      <c r="V841" s="1365"/>
    </row>
    <row r="842" spans="1:36" s="1363" customFormat="1">
      <c r="A842" s="1426"/>
      <c r="B842" s="1433"/>
      <c r="C842" s="1467"/>
      <c r="D842" s="1468"/>
      <c r="E842" s="1420"/>
      <c r="F842" s="1467"/>
      <c r="G842" s="1426"/>
      <c r="H842" s="1420"/>
      <c r="I842" s="1467"/>
      <c r="J842" s="1426"/>
      <c r="K842" s="1420"/>
      <c r="O842" s="1427"/>
      <c r="P842" s="1417"/>
      <c r="Q842" s="1412"/>
      <c r="T842" s="1365"/>
      <c r="U842" s="1365"/>
      <c r="V842" s="1365"/>
    </row>
    <row r="843" spans="1:36" s="1363" customFormat="1">
      <c r="A843" s="1426"/>
      <c r="B843" s="1428"/>
      <c r="C843" s="1464"/>
      <c r="D843" s="1420"/>
      <c r="E843" s="1420"/>
      <c r="F843" s="1464"/>
      <c r="G843" s="1426"/>
      <c r="H843" s="1420"/>
      <c r="I843" s="1461"/>
      <c r="J843" s="1426"/>
      <c r="K843" s="1420"/>
      <c r="O843" s="1427"/>
      <c r="P843" s="1471"/>
      <c r="Q843" s="1471"/>
      <c r="T843" s="1365"/>
      <c r="U843" s="1365"/>
      <c r="V843" s="1365"/>
    </row>
    <row r="844" spans="1:36" s="1363" customFormat="1">
      <c r="A844" s="1426"/>
      <c r="B844" s="1428"/>
      <c r="C844" s="1464"/>
      <c r="D844" s="1420"/>
      <c r="E844" s="1420"/>
      <c r="F844" s="1464"/>
      <c r="G844" s="1426"/>
      <c r="H844" s="1420"/>
      <c r="I844" s="1464"/>
      <c r="J844" s="1426"/>
      <c r="K844" s="1503"/>
      <c r="O844" s="1364"/>
      <c r="P844" s="1364"/>
      <c r="Q844" s="1364"/>
      <c r="T844" s="1365"/>
      <c r="U844" s="1365"/>
      <c r="V844" s="1365"/>
    </row>
    <row r="845" spans="1:36" s="1363" customFormat="1">
      <c r="A845" s="1425"/>
      <c r="B845" s="1426"/>
      <c r="C845" s="1420"/>
      <c r="D845" s="1420"/>
      <c r="E845" s="1426"/>
      <c r="F845" s="1420"/>
      <c r="G845" s="1426"/>
      <c r="H845" s="1426"/>
      <c r="I845" s="1420"/>
      <c r="J845" s="1426"/>
      <c r="K845" s="1426"/>
      <c r="M845" s="1427"/>
      <c r="N845" s="1427"/>
      <c r="O845" s="1364"/>
      <c r="P845" s="1364"/>
      <c r="Q845" s="1364"/>
      <c r="T845" s="1365"/>
      <c r="U845" s="1365"/>
      <c r="V845" s="1365"/>
    </row>
    <row r="846" spans="1:36" s="1363" customFormat="1">
      <c r="A846" s="1436"/>
      <c r="B846" s="1426"/>
      <c r="C846" s="1420"/>
      <c r="D846" s="1420"/>
      <c r="E846" s="1426"/>
      <c r="F846" s="1420"/>
      <c r="G846" s="1426"/>
      <c r="H846" s="1426"/>
      <c r="I846" s="1420"/>
      <c r="J846" s="1426"/>
      <c r="K846" s="1426"/>
      <c r="O846" s="1364"/>
      <c r="P846" s="1364"/>
      <c r="Q846" s="1364"/>
      <c r="T846" s="1365"/>
      <c r="U846" s="1365"/>
      <c r="V846" s="1365"/>
    </row>
    <row r="847" spans="1:36" s="1363" customFormat="1">
      <c r="A847" s="1436"/>
      <c r="B847" s="1426"/>
      <c r="C847" s="1420"/>
      <c r="D847" s="1420"/>
      <c r="E847" s="1426"/>
      <c r="F847" s="1420"/>
      <c r="G847" s="1426"/>
      <c r="H847" s="1426"/>
      <c r="I847" s="1420"/>
      <c r="J847" s="1426"/>
      <c r="K847" s="1426"/>
      <c r="O847" s="1364"/>
      <c r="P847" s="1364"/>
      <c r="Q847" s="1364"/>
      <c r="T847" s="1365"/>
      <c r="U847" s="1365"/>
      <c r="V847" s="1365"/>
    </row>
    <row r="848" spans="1:36" s="1363" customFormat="1">
      <c r="A848" s="1436"/>
      <c r="B848" s="1433"/>
      <c r="C848" s="1420"/>
      <c r="D848" s="1420"/>
      <c r="E848" s="1426"/>
      <c r="F848" s="1420"/>
      <c r="G848" s="1426"/>
      <c r="H848" s="1426"/>
      <c r="I848" s="1420"/>
      <c r="J848" s="1426"/>
      <c r="K848" s="1426"/>
      <c r="O848" s="1364"/>
      <c r="R848" s="1364"/>
      <c r="T848" s="1365"/>
      <c r="U848" s="1365"/>
      <c r="V848" s="1365"/>
      <c r="Z848" s="1365"/>
    </row>
    <row r="849" spans="1:36" s="1363" customFormat="1">
      <c r="A849" s="1436"/>
      <c r="B849" s="1433"/>
      <c r="C849" s="1464"/>
      <c r="D849" s="1464"/>
      <c r="E849" s="1420"/>
      <c r="F849" s="1522"/>
      <c r="G849" s="1435"/>
      <c r="H849" s="1420"/>
      <c r="J849" s="1435"/>
      <c r="K849" s="1420"/>
      <c r="O849" s="1464"/>
      <c r="P849" s="1417"/>
      <c r="Q849" s="1417"/>
      <c r="T849" s="1519"/>
      <c r="U849" s="1505"/>
      <c r="V849" s="1519"/>
      <c r="W849" s="1412"/>
      <c r="X849" s="1518"/>
      <c r="Y849" s="1518"/>
      <c r="Z849" s="1487"/>
    </row>
    <row r="850" spans="1:36" s="1363" customFormat="1">
      <c r="A850" s="1436"/>
      <c r="B850" s="1433"/>
      <c r="C850" s="1464"/>
      <c r="D850" s="1464"/>
      <c r="E850" s="1420"/>
      <c r="F850" s="1522"/>
      <c r="G850" s="1437"/>
      <c r="H850" s="1420"/>
      <c r="J850" s="1437"/>
      <c r="K850" s="1420"/>
      <c r="O850" s="1464"/>
      <c r="P850" s="1417"/>
      <c r="Q850" s="1417"/>
      <c r="T850" s="1519"/>
      <c r="U850" s="1505"/>
      <c r="V850" s="1519"/>
      <c r="W850" s="1412"/>
      <c r="X850" s="1518"/>
      <c r="Y850" s="1518"/>
      <c r="Z850" s="1487"/>
    </row>
    <row r="851" spans="1:36" s="1363" customFormat="1">
      <c r="A851" s="1436"/>
      <c r="B851" s="1433"/>
      <c r="C851" s="1464"/>
      <c r="D851" s="1464"/>
      <c r="E851" s="1420"/>
      <c r="F851" s="1522"/>
      <c r="G851" s="1435"/>
      <c r="H851" s="1420"/>
      <c r="J851" s="1435"/>
      <c r="K851" s="1420"/>
      <c r="O851" s="1464"/>
      <c r="P851" s="1434"/>
      <c r="Q851" s="1434"/>
      <c r="T851" s="1519"/>
      <c r="U851" s="1505"/>
      <c r="V851" s="1519"/>
      <c r="W851" s="1412"/>
      <c r="X851" s="1518"/>
      <c r="Y851" s="1518"/>
      <c r="Z851" s="1487"/>
    </row>
    <row r="852" spans="1:36" s="1363" customFormat="1">
      <c r="A852" s="1436"/>
      <c r="B852" s="1433"/>
      <c r="C852" s="1464"/>
      <c r="D852" s="1464"/>
      <c r="E852" s="1420"/>
      <c r="F852" s="1522"/>
      <c r="G852" s="1435"/>
      <c r="H852" s="1420"/>
      <c r="J852" s="1435"/>
      <c r="K852" s="1420"/>
      <c r="O852" s="1464"/>
      <c r="P852" s="1417"/>
      <c r="Q852" s="1417"/>
      <c r="T852" s="1519"/>
      <c r="U852" s="1505"/>
      <c r="V852" s="1519"/>
      <c r="W852" s="1412"/>
      <c r="X852" s="1518"/>
      <c r="Y852" s="1518"/>
      <c r="Z852" s="1487"/>
    </row>
    <row r="853" spans="1:36" s="1363" customFormat="1">
      <c r="A853" s="1436"/>
      <c r="B853" s="1433"/>
      <c r="C853" s="1464"/>
      <c r="D853" s="1464"/>
      <c r="E853" s="1420"/>
      <c r="F853" s="1522"/>
      <c r="G853" s="1435"/>
      <c r="H853" s="1420"/>
      <c r="J853" s="1435"/>
      <c r="K853" s="1420"/>
      <c r="O853" s="1464"/>
      <c r="P853" s="1417"/>
      <c r="Q853" s="1417"/>
      <c r="T853" s="1519"/>
      <c r="U853" s="1505"/>
      <c r="V853" s="1519"/>
      <c r="W853" s="1412"/>
      <c r="X853" s="1518"/>
      <c r="Y853" s="1518"/>
      <c r="Z853" s="1487"/>
    </row>
    <row r="854" spans="1:36" s="1363" customFormat="1">
      <c r="A854" s="1436"/>
      <c r="B854" s="1433"/>
      <c r="C854" s="1433"/>
      <c r="D854" s="1433"/>
      <c r="E854" s="1433"/>
      <c r="F854" s="1522"/>
      <c r="G854" s="1435"/>
      <c r="H854" s="1420"/>
      <c r="J854" s="1435"/>
      <c r="K854" s="1420"/>
      <c r="O854" s="1464"/>
      <c r="P854" s="1417"/>
      <c r="Q854" s="1417"/>
      <c r="S854" s="1364"/>
      <c r="T854" s="1523"/>
      <c r="U854" s="1486"/>
      <c r="V854" s="1523"/>
      <c r="W854" s="1487"/>
      <c r="X854" s="1524"/>
      <c r="Y854" s="1364"/>
      <c r="Z854" s="1487"/>
    </row>
    <row r="855" spans="1:36" s="1363" customFormat="1">
      <c r="A855" s="1436"/>
      <c r="B855" s="1433"/>
      <c r="C855" s="1464"/>
      <c r="D855" s="1464"/>
      <c r="E855" s="1420"/>
      <c r="F855" s="1522"/>
      <c r="G855" s="1435"/>
      <c r="H855" s="1420"/>
      <c r="J855" s="1435"/>
      <c r="K855" s="1420"/>
      <c r="O855" s="1464"/>
      <c r="P855" s="1434"/>
      <c r="Q855" s="1434"/>
      <c r="S855" s="1364"/>
      <c r="T855" s="1365"/>
      <c r="U855" s="1365"/>
      <c r="V855" s="1431"/>
    </row>
    <row r="856" spans="1:36" s="1363" customFormat="1">
      <c r="A856" s="1436"/>
      <c r="B856" s="1433"/>
      <c r="C856" s="1521"/>
      <c r="D856" s="1435"/>
      <c r="E856" s="1420"/>
      <c r="F856" s="1522"/>
      <c r="G856" s="1435"/>
      <c r="H856" s="1420"/>
      <c r="J856" s="1435"/>
      <c r="K856" s="1420"/>
      <c r="O856" s="1521"/>
      <c r="P856" s="1417"/>
      <c r="Q856" s="1417"/>
      <c r="S856" s="1364"/>
      <c r="T856" s="1365"/>
      <c r="U856" s="1365"/>
      <c r="V856" s="1523"/>
    </row>
    <row r="857" spans="1:36" s="1363" customFormat="1">
      <c r="A857" s="1436"/>
      <c r="B857" s="1433"/>
      <c r="C857" s="1464"/>
      <c r="D857" s="1435"/>
      <c r="E857" s="1420"/>
      <c r="F857" s="1522"/>
      <c r="G857" s="1435"/>
      <c r="H857" s="1420"/>
      <c r="J857" s="1435"/>
      <c r="K857" s="1420"/>
      <c r="O857" s="1464"/>
      <c r="P857" s="1417"/>
      <c r="Q857" s="1417"/>
      <c r="S857" s="1364"/>
      <c r="T857" s="1365"/>
      <c r="U857" s="1365"/>
      <c r="V857" s="1365"/>
    </row>
    <row r="858" spans="1:36" s="1363" customFormat="1">
      <c r="B858" s="1474"/>
      <c r="C858" s="1398"/>
      <c r="E858" s="1420"/>
      <c r="F858" s="1398"/>
      <c r="H858" s="1420"/>
      <c r="I858" s="1398"/>
      <c r="K858" s="1420"/>
      <c r="M858" s="1427"/>
      <c r="O858" s="1449"/>
      <c r="R858" s="1450"/>
      <c r="S858" s="1450"/>
      <c r="T858" s="1365"/>
      <c r="U858" s="1365"/>
      <c r="V858" s="1365"/>
      <c r="AJ858" s="1427"/>
    </row>
    <row r="859" spans="1:36" s="1363" customFormat="1">
      <c r="A859" s="1426"/>
      <c r="B859" s="1433"/>
      <c r="C859" s="1448"/>
      <c r="D859" s="1420"/>
      <c r="E859" s="1420"/>
      <c r="F859" s="1437"/>
      <c r="G859" s="1426"/>
      <c r="H859" s="1420"/>
      <c r="I859" s="1420"/>
      <c r="J859" s="1426"/>
      <c r="K859" s="1420"/>
      <c r="O859" s="1364"/>
      <c r="P859" s="1364"/>
      <c r="Q859" s="1364"/>
      <c r="T859" s="1365"/>
      <c r="U859" s="1365"/>
      <c r="V859" s="1365"/>
    </row>
    <row r="860" spans="1:36" s="1363" customFormat="1">
      <c r="A860" s="1426"/>
      <c r="B860" s="1433"/>
      <c r="C860" s="1436"/>
      <c r="D860" s="1436"/>
      <c r="E860" s="1420"/>
      <c r="F860" s="1436"/>
      <c r="G860" s="1436"/>
      <c r="H860" s="1420"/>
      <c r="I860" s="1436"/>
      <c r="J860" s="1436"/>
      <c r="K860" s="1420"/>
      <c r="M860" s="1422"/>
      <c r="N860" s="1422"/>
      <c r="O860" s="1423"/>
      <c r="P860" s="1364"/>
      <c r="Q860" s="1364"/>
      <c r="T860" s="1365"/>
      <c r="U860" s="1365"/>
      <c r="V860" s="1365"/>
    </row>
    <row r="861" spans="1:36" s="1363" customFormat="1">
      <c r="A861" s="1426"/>
      <c r="B861" s="1433"/>
      <c r="C861" s="1467"/>
      <c r="D861" s="1468"/>
      <c r="E861" s="1420"/>
      <c r="F861" s="1467"/>
      <c r="G861" s="1426"/>
      <c r="H861" s="1420"/>
      <c r="I861" s="1467"/>
      <c r="J861" s="1426"/>
      <c r="K861" s="1420"/>
      <c r="M861" s="1424"/>
      <c r="O861" s="1427"/>
      <c r="P861" s="1417"/>
      <c r="Q861" s="1412"/>
      <c r="R861" s="1364"/>
      <c r="T861" s="1365"/>
      <c r="U861" s="1365"/>
      <c r="V861" s="1365"/>
    </row>
    <row r="862" spans="1:36" s="1363" customFormat="1">
      <c r="A862" s="1426"/>
      <c r="B862" s="1433"/>
      <c r="C862" s="1467"/>
      <c r="D862" s="1468"/>
      <c r="E862" s="1420"/>
      <c r="F862" s="1467"/>
      <c r="G862" s="1426"/>
      <c r="H862" s="1420"/>
      <c r="I862" s="1467"/>
      <c r="J862" s="1426"/>
      <c r="K862" s="1420"/>
      <c r="M862" s="1424"/>
      <c r="N862" s="1412"/>
      <c r="O862" s="1424"/>
      <c r="P862" s="1364"/>
      <c r="Q862" s="1364"/>
      <c r="T862" s="1365"/>
      <c r="U862" s="1365"/>
      <c r="V862" s="1365"/>
    </row>
    <row r="863" spans="1:36" s="1363" customFormat="1">
      <c r="A863" s="1425"/>
      <c r="B863" s="1426"/>
      <c r="C863" s="1420"/>
      <c r="D863" s="1420"/>
      <c r="E863" s="1426"/>
      <c r="F863" s="1420"/>
      <c r="G863" s="1426"/>
      <c r="H863" s="1426"/>
      <c r="I863" s="1420"/>
      <c r="J863" s="1426"/>
      <c r="O863" s="1364"/>
      <c r="P863" s="1364"/>
      <c r="Q863" s="1364"/>
      <c r="T863" s="1365"/>
      <c r="U863" s="1365"/>
      <c r="V863" s="1365"/>
    </row>
    <row r="864" spans="1:36" s="1363" customFormat="1">
      <c r="A864" s="1436"/>
      <c r="B864" s="1426"/>
      <c r="C864" s="1420"/>
      <c r="D864" s="1420"/>
      <c r="E864" s="1426"/>
      <c r="F864" s="1420"/>
      <c r="G864" s="1426"/>
      <c r="H864" s="1426"/>
      <c r="I864" s="1420"/>
      <c r="J864" s="1426"/>
      <c r="K864" s="1426"/>
      <c r="N864" s="1420"/>
      <c r="O864" s="1364"/>
      <c r="P864" s="1417"/>
      <c r="Q864" s="1364"/>
      <c r="T864" s="1365"/>
      <c r="U864" s="1365"/>
      <c r="V864" s="1365"/>
    </row>
    <row r="865" spans="1:36" s="1363" customFormat="1">
      <c r="A865" s="1436"/>
      <c r="B865" s="1426"/>
      <c r="C865" s="1420"/>
      <c r="D865" s="1420"/>
      <c r="E865" s="1426"/>
      <c r="F865" s="1420"/>
      <c r="G865" s="1426"/>
      <c r="H865" s="1426"/>
      <c r="I865" s="1420"/>
      <c r="J865" s="1426"/>
      <c r="K865" s="1426"/>
      <c r="O865" s="1364"/>
      <c r="P865" s="1364"/>
      <c r="Q865" s="1364"/>
      <c r="T865" s="1365"/>
      <c r="U865" s="1365"/>
      <c r="V865" s="1365"/>
    </row>
    <row r="866" spans="1:36" s="1363" customFormat="1">
      <c r="A866" s="1436"/>
      <c r="B866" s="1433"/>
      <c r="C866" s="1420"/>
      <c r="D866" s="1420"/>
      <c r="E866" s="1426"/>
      <c r="F866" s="1420"/>
      <c r="G866" s="1426"/>
      <c r="H866" s="1426"/>
      <c r="I866" s="1420"/>
      <c r="J866" s="1426"/>
      <c r="K866" s="1426"/>
      <c r="O866" s="1364"/>
      <c r="P866" s="1364"/>
      <c r="Q866" s="1364"/>
      <c r="T866" s="1365"/>
      <c r="U866" s="1365"/>
      <c r="V866" s="1365"/>
    </row>
    <row r="867" spans="1:36" s="1363" customFormat="1">
      <c r="A867" s="1436"/>
      <c r="B867" s="1433"/>
      <c r="C867" s="1464"/>
      <c r="D867" s="1464"/>
      <c r="E867" s="1420"/>
      <c r="F867" s="1464"/>
      <c r="G867" s="1435"/>
      <c r="H867" s="1420"/>
      <c r="I867" s="1464"/>
      <c r="J867" s="1435"/>
      <c r="K867" s="1420"/>
      <c r="O867" s="1364"/>
      <c r="P867" s="1417"/>
      <c r="Q867" s="1412"/>
      <c r="T867" s="1365"/>
      <c r="U867" s="1365"/>
      <c r="V867" s="1365"/>
    </row>
    <row r="868" spans="1:36" s="1363" customFormat="1">
      <c r="A868" s="1436"/>
      <c r="B868" s="1433"/>
      <c r="C868" s="1464"/>
      <c r="D868" s="1464"/>
      <c r="E868" s="1420"/>
      <c r="F868" s="1464"/>
      <c r="G868" s="1437"/>
      <c r="H868" s="1420"/>
      <c r="I868" s="1464"/>
      <c r="J868" s="1437"/>
      <c r="K868" s="1420"/>
      <c r="O868" s="1364"/>
      <c r="P868" s="1417"/>
      <c r="Q868" s="1412"/>
      <c r="T868" s="1365"/>
      <c r="U868" s="1365"/>
      <c r="V868" s="1365"/>
    </row>
    <row r="869" spans="1:36" s="1363" customFormat="1">
      <c r="A869" s="1436"/>
      <c r="B869" s="1433"/>
      <c r="C869" s="1464"/>
      <c r="D869" s="1464"/>
      <c r="E869" s="1420"/>
      <c r="F869" s="1464"/>
      <c r="G869" s="1435"/>
      <c r="H869" s="1420"/>
      <c r="I869" s="1464"/>
      <c r="J869" s="1435"/>
      <c r="K869" s="1420"/>
      <c r="O869" s="1364"/>
      <c r="P869" s="1377"/>
      <c r="Q869" s="1364"/>
      <c r="T869" s="1365"/>
      <c r="U869" s="1365"/>
      <c r="V869" s="1365"/>
    </row>
    <row r="870" spans="1:36" s="1363" customFormat="1">
      <c r="A870" s="1436"/>
      <c r="B870" s="1433"/>
      <c r="C870" s="1464"/>
      <c r="D870" s="1464"/>
      <c r="E870" s="1420"/>
      <c r="F870" s="1464"/>
      <c r="G870" s="1435"/>
      <c r="H870" s="1420"/>
      <c r="I870" s="1464"/>
      <c r="J870" s="1435"/>
      <c r="K870" s="1420"/>
      <c r="O870" s="1364"/>
      <c r="P870" s="1417"/>
      <c r="Q870" s="1412"/>
      <c r="T870" s="1365"/>
      <c r="U870" s="1365"/>
      <c r="V870" s="1365"/>
    </row>
    <row r="871" spans="1:36" s="1363" customFormat="1">
      <c r="A871" s="1436"/>
      <c r="B871" s="1433"/>
      <c r="C871" s="1464"/>
      <c r="D871" s="1464"/>
      <c r="E871" s="1420"/>
      <c r="F871" s="1464"/>
      <c r="G871" s="1435"/>
      <c r="H871" s="1420"/>
      <c r="I871" s="1464"/>
      <c r="J871" s="1435"/>
      <c r="K871" s="1420"/>
      <c r="O871" s="1364"/>
      <c r="P871" s="1417"/>
      <c r="Q871" s="1412"/>
      <c r="T871" s="1365"/>
      <c r="U871" s="1365"/>
      <c r="V871" s="1365"/>
    </row>
    <row r="872" spans="1:36" s="1363" customFormat="1">
      <c r="A872" s="1436"/>
      <c r="B872" s="1433"/>
      <c r="C872" s="1464"/>
      <c r="D872" s="1464"/>
      <c r="E872" s="1420"/>
      <c r="F872" s="1464"/>
      <c r="G872" s="1435"/>
      <c r="H872" s="1420"/>
      <c r="I872" s="1464"/>
      <c r="J872" s="1435"/>
      <c r="K872" s="1420"/>
      <c r="O872" s="1364"/>
      <c r="P872" s="1417"/>
      <c r="Q872" s="1412"/>
      <c r="T872" s="1365"/>
      <c r="U872" s="1365"/>
      <c r="V872" s="1365"/>
    </row>
    <row r="873" spans="1:36" s="1363" customFormat="1">
      <c r="A873" s="1436"/>
      <c r="B873" s="1433"/>
      <c r="C873" s="1464"/>
      <c r="D873" s="1464"/>
      <c r="E873" s="1420"/>
      <c r="F873" s="1464"/>
      <c r="G873" s="1435"/>
      <c r="H873" s="1420"/>
      <c r="I873" s="1464"/>
      <c r="J873" s="1435"/>
      <c r="K873" s="1420"/>
      <c r="O873" s="1364"/>
      <c r="P873" s="1377"/>
      <c r="Q873" s="1364"/>
      <c r="T873" s="1365"/>
      <c r="U873" s="1365"/>
      <c r="V873" s="1365"/>
    </row>
    <row r="874" spans="1:36" s="1363" customFormat="1">
      <c r="A874" s="1436"/>
      <c r="B874" s="1433"/>
      <c r="C874" s="1521"/>
      <c r="D874" s="1435"/>
      <c r="E874" s="1420"/>
      <c r="F874" s="1521"/>
      <c r="G874" s="1435"/>
      <c r="H874" s="1420"/>
      <c r="I874" s="1521"/>
      <c r="J874" s="1435"/>
      <c r="K874" s="1420"/>
      <c r="O874" s="1364"/>
      <c r="P874" s="1417"/>
      <c r="Q874" s="1412"/>
      <c r="T874" s="1365"/>
      <c r="U874" s="1365"/>
      <c r="V874" s="1365"/>
    </row>
    <row r="875" spans="1:36" s="1363" customFormat="1">
      <c r="A875" s="1436"/>
      <c r="B875" s="1433"/>
      <c r="C875" s="1464"/>
      <c r="D875" s="1435"/>
      <c r="E875" s="1420"/>
      <c r="F875" s="1464"/>
      <c r="G875" s="1435"/>
      <c r="H875" s="1420"/>
      <c r="I875" s="1464"/>
      <c r="J875" s="1435"/>
      <c r="K875" s="1420"/>
      <c r="O875" s="1364"/>
      <c r="P875" s="1417"/>
      <c r="Q875" s="1412"/>
      <c r="T875" s="1365"/>
      <c r="U875" s="1365"/>
      <c r="V875" s="1365"/>
    </row>
    <row r="876" spans="1:36" s="1363" customFormat="1">
      <c r="B876" s="1433"/>
      <c r="C876" s="1398"/>
      <c r="E876" s="1420"/>
      <c r="F876" s="1398"/>
      <c r="H876" s="1420"/>
      <c r="I876" s="1443"/>
      <c r="J876" s="1435"/>
      <c r="K876" s="1420"/>
      <c r="M876" s="1427"/>
      <c r="N876" s="1427"/>
      <c r="O876" s="1449"/>
      <c r="R876" s="1450"/>
      <c r="S876" s="1450"/>
      <c r="T876" s="1365"/>
      <c r="U876" s="1365"/>
      <c r="V876" s="1365"/>
      <c r="AJ876" s="1427"/>
    </row>
    <row r="877" spans="1:36" s="1363" customFormat="1">
      <c r="A877" s="1451"/>
      <c r="B877" s="1452"/>
      <c r="C877" s="1453"/>
      <c r="D877" s="1451"/>
      <c r="E877" s="1454"/>
      <c r="F877" s="1525"/>
      <c r="G877" s="1457"/>
      <c r="H877" s="1454"/>
      <c r="I877" s="1455"/>
      <c r="J877" s="1457"/>
      <c r="K877" s="1454"/>
      <c r="M877" s="1427"/>
      <c r="N877" s="1427"/>
      <c r="O877" s="1449"/>
      <c r="P877" s="1417"/>
      <c r="R877" s="1450"/>
      <c r="S877" s="1450"/>
      <c r="T877" s="1365"/>
      <c r="U877" s="1365"/>
      <c r="V877" s="1365"/>
      <c r="AJ877" s="1427"/>
    </row>
    <row r="878" spans="1:36" s="1363" customFormat="1">
      <c r="A878" s="1426"/>
      <c r="B878" s="1433"/>
      <c r="C878" s="1448"/>
      <c r="D878" s="1420"/>
      <c r="E878" s="1420"/>
      <c r="F878" s="1448"/>
      <c r="G878" s="1426"/>
      <c r="H878" s="1420"/>
      <c r="I878" s="1448"/>
      <c r="J878" s="1426"/>
      <c r="K878" s="1420"/>
      <c r="O878" s="1364"/>
      <c r="P878" s="1364"/>
      <c r="Q878" s="1364"/>
      <c r="T878" s="1365"/>
      <c r="U878" s="1365"/>
      <c r="V878" s="1365"/>
    </row>
    <row r="879" spans="1:36" s="1363" customFormat="1">
      <c r="A879" s="1426"/>
      <c r="B879" s="1433"/>
      <c r="C879" s="1436"/>
      <c r="D879" s="1436"/>
      <c r="E879" s="1435"/>
      <c r="F879" s="1436"/>
      <c r="G879" s="1436"/>
      <c r="H879" s="1433"/>
      <c r="I879" s="1436"/>
      <c r="J879" s="1436"/>
      <c r="K879" s="1435"/>
      <c r="M879" s="1422"/>
      <c r="N879" s="1422"/>
      <c r="O879" s="1423"/>
      <c r="P879" s="1364"/>
      <c r="Q879" s="1364"/>
      <c r="T879" s="1365"/>
      <c r="U879" s="1365"/>
      <c r="V879" s="1365"/>
    </row>
    <row r="880" spans="1:36" s="1363" customFormat="1" ht="18" customHeight="1">
      <c r="A880" s="1426"/>
      <c r="B880" s="1428"/>
      <c r="C880" s="1467"/>
      <c r="D880" s="1468"/>
      <c r="E880" s="1435"/>
      <c r="F880" s="1467"/>
      <c r="G880" s="1426"/>
      <c r="H880" s="1435"/>
      <c r="I880" s="1467"/>
      <c r="J880" s="1426"/>
      <c r="K880" s="1435"/>
      <c r="M880" s="1424"/>
      <c r="O880" s="1364"/>
      <c r="P880" s="1364"/>
      <c r="Q880" s="1364"/>
      <c r="R880" s="1412"/>
      <c r="T880" s="1365"/>
      <c r="U880" s="1365"/>
      <c r="V880" s="1365"/>
    </row>
    <row r="881" spans="1:36" s="1363" customFormat="1">
      <c r="A881" s="1426"/>
      <c r="B881" s="1428"/>
      <c r="C881" s="1464"/>
      <c r="D881" s="1420"/>
      <c r="E881" s="1420"/>
      <c r="F881" s="1464"/>
      <c r="G881" s="1426"/>
      <c r="H881" s="1420"/>
      <c r="I881" s="1464"/>
      <c r="J881" s="1426"/>
      <c r="K881" s="1503"/>
      <c r="O881" s="1364"/>
      <c r="P881" s="1364"/>
      <c r="Q881" s="1364"/>
      <c r="T881" s="1365"/>
      <c r="U881" s="1365"/>
      <c r="V881" s="1365"/>
    </row>
    <row r="882" spans="1:36" s="1363" customFormat="1" hidden="1">
      <c r="A882" s="1426"/>
      <c r="B882" s="1428"/>
      <c r="C882" s="1464"/>
      <c r="D882" s="1420"/>
      <c r="E882" s="1420"/>
      <c r="F882" s="1464"/>
      <c r="G882" s="1426"/>
      <c r="H882" s="1420"/>
      <c r="I882" s="1464"/>
      <c r="J882" s="1426"/>
      <c r="K882" s="1503"/>
      <c r="O882" s="1364"/>
      <c r="P882" s="1364"/>
      <c r="Q882" s="1364"/>
      <c r="T882" s="1365"/>
      <c r="U882" s="1365"/>
      <c r="V882" s="1365"/>
    </row>
    <row r="883" spans="1:36" s="1363" customFormat="1" hidden="1">
      <c r="A883" s="1425"/>
      <c r="B883" s="1426"/>
      <c r="C883" s="1420"/>
      <c r="D883" s="1420"/>
      <c r="E883" s="1426"/>
      <c r="F883" s="1420"/>
      <c r="G883" s="1426"/>
      <c r="H883" s="1426"/>
      <c r="I883" s="1420"/>
      <c r="J883" s="1426"/>
      <c r="K883" s="1426"/>
      <c r="O883" s="1364"/>
      <c r="P883" s="1364"/>
      <c r="Q883" s="1364"/>
      <c r="T883" s="1365"/>
      <c r="U883" s="1365"/>
      <c r="V883" s="1365"/>
    </row>
    <row r="884" spans="1:36" s="1363" customFormat="1" hidden="1">
      <c r="A884" s="1436"/>
      <c r="B884" s="1426"/>
      <c r="C884" s="1420"/>
      <c r="D884" s="1420"/>
      <c r="E884" s="1426"/>
      <c r="F884" s="1420"/>
      <c r="G884" s="1426"/>
      <c r="H884" s="1426"/>
      <c r="I884" s="1420"/>
      <c r="J884" s="1426"/>
      <c r="K884" s="1426"/>
      <c r="O884" s="1364"/>
      <c r="P884" s="1364"/>
      <c r="Q884" s="1364"/>
      <c r="T884" s="1365"/>
      <c r="U884" s="1365"/>
      <c r="V884" s="1365"/>
    </row>
    <row r="885" spans="1:36" s="1363" customFormat="1" hidden="1">
      <c r="A885" s="1436"/>
      <c r="B885" s="1426"/>
      <c r="C885" s="1420"/>
      <c r="D885" s="1420"/>
      <c r="E885" s="1426"/>
      <c r="F885" s="1420"/>
      <c r="G885" s="1426"/>
      <c r="H885" s="1426"/>
      <c r="I885" s="1420"/>
      <c r="J885" s="1426"/>
      <c r="K885" s="1426"/>
      <c r="O885" s="1364"/>
      <c r="P885" s="1364"/>
      <c r="Q885" s="1364"/>
      <c r="T885" s="1365"/>
      <c r="U885" s="1365"/>
      <c r="V885" s="1365"/>
    </row>
    <row r="886" spans="1:36" s="1363" customFormat="1" hidden="1">
      <c r="A886" s="1436"/>
      <c r="B886" s="1433"/>
      <c r="C886" s="1420"/>
      <c r="D886" s="1420"/>
      <c r="E886" s="1426"/>
      <c r="F886" s="1420"/>
      <c r="G886" s="1426"/>
      <c r="H886" s="1426"/>
      <c r="I886" s="1420"/>
      <c r="J886" s="1426"/>
      <c r="K886" s="1426"/>
      <c r="O886" s="1364"/>
      <c r="P886" s="1364"/>
      <c r="Q886" s="1364"/>
      <c r="T886" s="1365"/>
      <c r="U886" s="1365"/>
      <c r="V886" s="1365"/>
    </row>
    <row r="887" spans="1:36" s="1363" customFormat="1" hidden="1">
      <c r="A887" s="1436"/>
      <c r="B887" s="1433"/>
      <c r="C887" s="1464"/>
      <c r="D887" s="1464"/>
      <c r="E887" s="1420"/>
      <c r="F887" s="1464"/>
      <c r="G887" s="1435"/>
      <c r="H887" s="1420"/>
      <c r="I887" s="1464"/>
      <c r="J887" s="1435"/>
      <c r="K887" s="1420"/>
      <c r="O887" s="1364"/>
      <c r="P887" s="1364"/>
      <c r="Q887" s="1364"/>
      <c r="T887" s="1365"/>
      <c r="U887" s="1365"/>
      <c r="V887" s="1365"/>
    </row>
    <row r="888" spans="1:36" s="1363" customFormat="1" hidden="1">
      <c r="A888" s="1436"/>
      <c r="B888" s="1433"/>
      <c r="C888" s="1464"/>
      <c r="D888" s="1464"/>
      <c r="E888" s="1420"/>
      <c r="F888" s="1464"/>
      <c r="G888" s="1437"/>
      <c r="H888" s="1420"/>
      <c r="I888" s="1464"/>
      <c r="J888" s="1437"/>
      <c r="K888" s="1420"/>
      <c r="O888" s="1364"/>
      <c r="P888" s="1364"/>
      <c r="Q888" s="1364"/>
      <c r="T888" s="1365"/>
      <c r="U888" s="1365"/>
      <c r="V888" s="1365"/>
    </row>
    <row r="889" spans="1:36" s="1363" customFormat="1" hidden="1">
      <c r="A889" s="1436"/>
      <c r="B889" s="1433"/>
      <c r="C889" s="1464"/>
      <c r="D889" s="1464"/>
      <c r="E889" s="1420"/>
      <c r="F889" s="1464"/>
      <c r="G889" s="1435"/>
      <c r="H889" s="1420"/>
      <c r="I889" s="1464"/>
      <c r="J889" s="1435"/>
      <c r="K889" s="1420"/>
      <c r="O889" s="1364"/>
      <c r="P889" s="1364"/>
      <c r="Q889" s="1364"/>
      <c r="T889" s="1365"/>
      <c r="U889" s="1365"/>
      <c r="V889" s="1365"/>
    </row>
    <row r="890" spans="1:36" s="1363" customFormat="1" hidden="1">
      <c r="A890" s="1436"/>
      <c r="B890" s="1433"/>
      <c r="C890" s="1464"/>
      <c r="D890" s="1464"/>
      <c r="E890" s="1420"/>
      <c r="F890" s="1464"/>
      <c r="G890" s="1435"/>
      <c r="H890" s="1420"/>
      <c r="I890" s="1464"/>
      <c r="J890" s="1435"/>
      <c r="K890" s="1420"/>
      <c r="O890" s="1364"/>
      <c r="P890" s="1364"/>
      <c r="Q890" s="1364"/>
      <c r="T890" s="1365"/>
      <c r="U890" s="1365"/>
      <c r="V890" s="1365"/>
    </row>
    <row r="891" spans="1:36" s="1363" customFormat="1" hidden="1">
      <c r="A891" s="1436"/>
      <c r="B891" s="1433"/>
      <c r="C891" s="1464"/>
      <c r="D891" s="1464"/>
      <c r="E891" s="1420"/>
      <c r="F891" s="1464"/>
      <c r="G891" s="1435"/>
      <c r="H891" s="1420"/>
      <c r="I891" s="1464"/>
      <c r="J891" s="1435"/>
      <c r="K891" s="1420"/>
      <c r="O891" s="1364"/>
      <c r="P891" s="1364"/>
      <c r="Q891" s="1364"/>
      <c r="T891" s="1365"/>
      <c r="U891" s="1365"/>
      <c r="V891" s="1365"/>
    </row>
    <row r="892" spans="1:36" s="1363" customFormat="1" hidden="1">
      <c r="A892" s="1436"/>
      <c r="B892" s="1433"/>
      <c r="C892" s="1464"/>
      <c r="D892" s="1464"/>
      <c r="E892" s="1420"/>
      <c r="F892" s="1464"/>
      <c r="G892" s="1435"/>
      <c r="H892" s="1420"/>
      <c r="I892" s="1464"/>
      <c r="J892" s="1435"/>
      <c r="K892" s="1420"/>
      <c r="O892" s="1364"/>
      <c r="P892" s="1364"/>
      <c r="Q892" s="1364"/>
      <c r="T892" s="1365"/>
      <c r="U892" s="1365"/>
      <c r="V892" s="1365"/>
    </row>
    <row r="893" spans="1:36" s="1363" customFormat="1" hidden="1">
      <c r="A893" s="1436"/>
      <c r="B893" s="1433"/>
      <c r="C893" s="1464"/>
      <c r="D893" s="1464"/>
      <c r="E893" s="1420"/>
      <c r="F893" s="1464"/>
      <c r="G893" s="1435"/>
      <c r="H893" s="1420"/>
      <c r="I893" s="1464"/>
      <c r="J893" s="1435"/>
      <c r="K893" s="1420"/>
      <c r="O893" s="1364"/>
      <c r="P893" s="1364"/>
      <c r="Q893" s="1364"/>
      <c r="T893" s="1365"/>
      <c r="U893" s="1365"/>
      <c r="V893" s="1365"/>
    </row>
    <row r="894" spans="1:36" s="1363" customFormat="1" hidden="1">
      <c r="A894" s="1436"/>
      <c r="B894" s="1433"/>
      <c r="C894" s="1521"/>
      <c r="D894" s="1435"/>
      <c r="E894" s="1420"/>
      <c r="F894" s="1521"/>
      <c r="G894" s="1435"/>
      <c r="H894" s="1420"/>
      <c r="I894" s="1521"/>
      <c r="J894" s="1435"/>
      <c r="K894" s="1420"/>
      <c r="O894" s="1364"/>
      <c r="P894" s="1364"/>
      <c r="Q894" s="1364"/>
      <c r="T894" s="1365"/>
      <c r="U894" s="1365"/>
      <c r="V894" s="1365"/>
    </row>
    <row r="895" spans="1:36" s="1363" customFormat="1" hidden="1">
      <c r="A895" s="1436"/>
      <c r="B895" s="1433"/>
      <c r="C895" s="1464"/>
      <c r="D895" s="1435"/>
      <c r="E895" s="1420"/>
      <c r="F895" s="1464"/>
      <c r="G895" s="1435"/>
      <c r="H895" s="1420"/>
      <c r="I895" s="1464"/>
      <c r="J895" s="1435"/>
      <c r="K895" s="1420"/>
      <c r="O895" s="1364"/>
      <c r="P895" s="1364"/>
      <c r="Q895" s="1364"/>
      <c r="T895" s="1365"/>
      <c r="U895" s="1365"/>
      <c r="V895" s="1365"/>
    </row>
    <row r="896" spans="1:36" s="1363" customFormat="1" hidden="1">
      <c r="B896" s="1474"/>
      <c r="C896" s="1398"/>
      <c r="E896" s="1420"/>
      <c r="F896" s="1398"/>
      <c r="H896" s="1420"/>
      <c r="I896" s="1443"/>
      <c r="J896" s="1435"/>
      <c r="K896" s="1420"/>
      <c r="M896" s="1427"/>
      <c r="O896" s="1449"/>
      <c r="R896" s="1450"/>
      <c r="S896" s="1450"/>
      <c r="T896" s="1365"/>
      <c r="U896" s="1365"/>
      <c r="V896" s="1365"/>
      <c r="AJ896" s="1427"/>
    </row>
    <row r="897" spans="1:22" s="1363" customFormat="1" hidden="1">
      <c r="A897" s="1426"/>
      <c r="B897" s="1433"/>
      <c r="C897" s="1448"/>
      <c r="D897" s="1420"/>
      <c r="E897" s="1420"/>
      <c r="F897" s="1448"/>
      <c r="G897" s="1426"/>
      <c r="H897" s="1420"/>
      <c r="I897" s="1448"/>
      <c r="J897" s="1426"/>
      <c r="K897" s="1420"/>
      <c r="O897" s="1364"/>
      <c r="P897" s="1412"/>
      <c r="Q897" s="1412"/>
      <c r="T897" s="1365"/>
      <c r="U897" s="1365"/>
      <c r="V897" s="1365"/>
    </row>
    <row r="898" spans="1:22" s="1363" customFormat="1" hidden="1">
      <c r="A898" s="1426"/>
      <c r="B898" s="1433"/>
      <c r="C898" s="1436"/>
      <c r="D898" s="1436"/>
      <c r="E898" s="1420"/>
      <c r="F898" s="1436"/>
      <c r="G898" s="1436"/>
      <c r="H898" s="1433"/>
      <c r="I898" s="1436"/>
      <c r="J898" s="1436"/>
      <c r="K898" s="1435"/>
      <c r="M898" s="1422"/>
      <c r="N898" s="1422"/>
      <c r="O898" s="1412"/>
      <c r="P898" s="1364"/>
      <c r="Q898" s="1364"/>
      <c r="T898" s="1365"/>
      <c r="U898" s="1365"/>
      <c r="V898" s="1365"/>
    </row>
    <row r="899" spans="1:22" s="1363" customFormat="1" hidden="1">
      <c r="A899" s="1426"/>
      <c r="B899" s="1428"/>
      <c r="C899" s="1467"/>
      <c r="D899" s="1468"/>
      <c r="E899" s="1435"/>
      <c r="F899" s="1467"/>
      <c r="G899" s="1426"/>
      <c r="H899" s="1435"/>
      <c r="I899" s="1467"/>
      <c r="J899" s="1426"/>
      <c r="K899" s="1435"/>
      <c r="M899" s="1424"/>
      <c r="N899" s="1424"/>
      <c r="O899" s="1412"/>
      <c r="P899" s="1364"/>
      <c r="Q899" s="1364"/>
      <c r="R899" s="1412"/>
      <c r="T899" s="1365"/>
      <c r="U899" s="1365"/>
      <c r="V899" s="1365"/>
    </row>
    <row r="900" spans="1:22" s="1363" customFormat="1" hidden="1">
      <c r="A900" s="1426"/>
      <c r="B900" s="1428"/>
      <c r="C900" s="1464"/>
      <c r="D900" s="1420"/>
      <c r="E900" s="1420"/>
      <c r="F900" s="1464"/>
      <c r="G900" s="1426"/>
      <c r="H900" s="1420"/>
      <c r="I900" s="1464"/>
      <c r="J900" s="1426"/>
      <c r="K900" s="1503"/>
      <c r="O900" s="1364"/>
      <c r="P900" s="1364"/>
      <c r="Q900" s="1364"/>
      <c r="T900" s="1365"/>
      <c r="U900" s="1365"/>
      <c r="V900" s="1365"/>
    </row>
    <row r="901" spans="1:22" s="1363" customFormat="1" hidden="1">
      <c r="A901" s="1425"/>
      <c r="B901" s="1426"/>
      <c r="C901" s="1420"/>
      <c r="D901" s="1420"/>
      <c r="E901" s="1426"/>
      <c r="F901" s="1420"/>
      <c r="G901" s="1426"/>
      <c r="H901" s="1426"/>
      <c r="I901" s="1420"/>
      <c r="J901" s="1426"/>
      <c r="K901" s="1426"/>
      <c r="O901" s="1364"/>
      <c r="P901" s="1364"/>
      <c r="Q901" s="1364"/>
      <c r="T901" s="1365"/>
      <c r="U901" s="1365"/>
      <c r="V901" s="1365"/>
    </row>
    <row r="902" spans="1:22" s="1363" customFormat="1" hidden="1">
      <c r="A902" s="1436"/>
      <c r="B902" s="1426"/>
      <c r="C902" s="1420"/>
      <c r="D902" s="1420"/>
      <c r="E902" s="1426"/>
      <c r="F902" s="1420"/>
      <c r="G902" s="1426"/>
      <c r="H902" s="1426"/>
      <c r="I902" s="1420"/>
      <c r="J902" s="1426"/>
      <c r="K902" s="1426"/>
      <c r="O902" s="1364"/>
      <c r="P902" s="1364"/>
      <c r="Q902" s="1364"/>
      <c r="T902" s="1365"/>
      <c r="U902" s="1365"/>
      <c r="V902" s="1365"/>
    </row>
    <row r="903" spans="1:22" s="1363" customFormat="1" hidden="1">
      <c r="A903" s="1436"/>
      <c r="B903" s="1426"/>
      <c r="C903" s="1420"/>
      <c r="D903" s="1420"/>
      <c r="E903" s="1426"/>
      <c r="F903" s="1420"/>
      <c r="G903" s="1426"/>
      <c r="H903" s="1426"/>
      <c r="I903" s="1420"/>
      <c r="J903" s="1426"/>
      <c r="K903" s="1426"/>
      <c r="O903" s="1364"/>
      <c r="P903" s="1364"/>
      <c r="Q903" s="1364"/>
      <c r="T903" s="1365"/>
      <c r="U903" s="1365"/>
      <c r="V903" s="1365"/>
    </row>
    <row r="904" spans="1:22" s="1363" customFormat="1" hidden="1">
      <c r="A904" s="1436"/>
      <c r="B904" s="1433"/>
      <c r="C904" s="1420"/>
      <c r="D904" s="1420"/>
      <c r="E904" s="1426"/>
      <c r="F904" s="1420"/>
      <c r="G904" s="1426"/>
      <c r="H904" s="1426"/>
      <c r="I904" s="1420"/>
      <c r="J904" s="1426"/>
      <c r="K904" s="1426"/>
      <c r="O904" s="1364"/>
      <c r="P904" s="1364"/>
      <c r="Q904" s="1364"/>
      <c r="T904" s="1365"/>
      <c r="U904" s="1365"/>
      <c r="V904" s="1365"/>
    </row>
    <row r="905" spans="1:22" s="1363" customFormat="1" hidden="1">
      <c r="A905" s="1436"/>
      <c r="B905" s="1433"/>
      <c r="C905" s="1464"/>
      <c r="D905" s="1464"/>
      <c r="E905" s="1420"/>
      <c r="F905" s="1464"/>
      <c r="G905" s="1435"/>
      <c r="H905" s="1420"/>
      <c r="I905" s="1464"/>
      <c r="J905" s="1435"/>
      <c r="K905" s="1420"/>
      <c r="O905" s="1364"/>
      <c r="P905" s="1364"/>
      <c r="Q905" s="1364"/>
      <c r="T905" s="1365"/>
      <c r="U905" s="1365"/>
      <c r="V905" s="1365"/>
    </row>
    <row r="906" spans="1:22" s="1363" customFormat="1" hidden="1">
      <c r="A906" s="1436"/>
      <c r="B906" s="1433"/>
      <c r="C906" s="1464"/>
      <c r="D906" s="1464"/>
      <c r="E906" s="1420"/>
      <c r="F906" s="1464"/>
      <c r="G906" s="1437"/>
      <c r="H906" s="1420"/>
      <c r="I906" s="1464"/>
      <c r="J906" s="1437"/>
      <c r="K906" s="1420"/>
      <c r="O906" s="1364"/>
      <c r="P906" s="1364"/>
      <c r="Q906" s="1364"/>
      <c r="T906" s="1365"/>
      <c r="U906" s="1365"/>
      <c r="V906" s="1365"/>
    </row>
    <row r="907" spans="1:22" s="1363" customFormat="1" hidden="1">
      <c r="A907" s="1436"/>
      <c r="B907" s="1433"/>
      <c r="C907" s="1464"/>
      <c r="D907" s="1464"/>
      <c r="E907" s="1420"/>
      <c r="F907" s="1464"/>
      <c r="G907" s="1435"/>
      <c r="H907" s="1420"/>
      <c r="I907" s="1464"/>
      <c r="J907" s="1435"/>
      <c r="K907" s="1420"/>
      <c r="O907" s="1364"/>
      <c r="P907" s="1364"/>
      <c r="Q907" s="1364"/>
      <c r="T907" s="1365"/>
      <c r="U907" s="1365"/>
      <c r="V907" s="1365"/>
    </row>
    <row r="908" spans="1:22" s="1363" customFormat="1" hidden="1">
      <c r="A908" s="1436"/>
      <c r="B908" s="1433"/>
      <c r="C908" s="1464"/>
      <c r="D908" s="1464"/>
      <c r="E908" s="1420"/>
      <c r="F908" s="1464"/>
      <c r="G908" s="1435"/>
      <c r="H908" s="1420"/>
      <c r="I908" s="1464"/>
      <c r="J908" s="1435"/>
      <c r="K908" s="1420"/>
      <c r="O908" s="1364"/>
      <c r="P908" s="1364"/>
      <c r="Q908" s="1364"/>
      <c r="T908" s="1365"/>
      <c r="U908" s="1365"/>
      <c r="V908" s="1365"/>
    </row>
    <row r="909" spans="1:22" s="1363" customFormat="1" hidden="1">
      <c r="A909" s="1436"/>
      <c r="B909" s="1433"/>
      <c r="C909" s="1464"/>
      <c r="D909" s="1464"/>
      <c r="E909" s="1420"/>
      <c r="F909" s="1464"/>
      <c r="G909" s="1435"/>
      <c r="H909" s="1420"/>
      <c r="I909" s="1464"/>
      <c r="J909" s="1435"/>
      <c r="K909" s="1420"/>
      <c r="O909" s="1364"/>
      <c r="P909" s="1364"/>
      <c r="Q909" s="1364"/>
      <c r="T909" s="1365"/>
      <c r="U909" s="1365"/>
      <c r="V909" s="1365"/>
    </row>
    <row r="910" spans="1:22" s="1363" customFormat="1" hidden="1">
      <c r="A910" s="1436"/>
      <c r="B910" s="1433"/>
      <c r="C910" s="1464"/>
      <c r="D910" s="1464"/>
      <c r="E910" s="1420"/>
      <c r="F910" s="1464"/>
      <c r="G910" s="1435"/>
      <c r="H910" s="1420"/>
      <c r="I910" s="1464"/>
      <c r="J910" s="1435"/>
      <c r="K910" s="1420"/>
      <c r="O910" s="1364"/>
      <c r="P910" s="1364"/>
      <c r="Q910" s="1364"/>
      <c r="T910" s="1365"/>
      <c r="U910" s="1365"/>
      <c r="V910" s="1365"/>
    </row>
    <row r="911" spans="1:22" s="1363" customFormat="1" hidden="1">
      <c r="A911" s="1436"/>
      <c r="B911" s="1433"/>
      <c r="C911" s="1464"/>
      <c r="D911" s="1464"/>
      <c r="E911" s="1420"/>
      <c r="F911" s="1464"/>
      <c r="G911" s="1435"/>
      <c r="H911" s="1420"/>
      <c r="I911" s="1464"/>
      <c r="J911" s="1435"/>
      <c r="K911" s="1420"/>
      <c r="O911" s="1364"/>
      <c r="P911" s="1364"/>
      <c r="Q911" s="1364"/>
      <c r="T911" s="1365"/>
      <c r="U911" s="1365"/>
      <c r="V911" s="1365"/>
    </row>
    <row r="912" spans="1:22" s="1363" customFormat="1" hidden="1">
      <c r="A912" s="1436"/>
      <c r="B912" s="1433"/>
      <c r="C912" s="1521"/>
      <c r="D912" s="1435"/>
      <c r="E912" s="1420"/>
      <c r="F912" s="1521"/>
      <c r="G912" s="1435"/>
      <c r="H912" s="1420"/>
      <c r="I912" s="1521"/>
      <c r="J912" s="1435"/>
      <c r="K912" s="1420"/>
      <c r="O912" s="1364"/>
      <c r="P912" s="1364"/>
      <c r="Q912" s="1364"/>
      <c r="T912" s="1365"/>
      <c r="U912" s="1365"/>
      <c r="V912" s="1365"/>
    </row>
    <row r="913" spans="1:36" s="1363" customFormat="1" hidden="1">
      <c r="A913" s="1436"/>
      <c r="B913" s="1433"/>
      <c r="C913" s="1464"/>
      <c r="D913" s="1435"/>
      <c r="E913" s="1420"/>
      <c r="F913" s="1464"/>
      <c r="G913" s="1435"/>
      <c r="H913" s="1420"/>
      <c r="I913" s="1464"/>
      <c r="J913" s="1435"/>
      <c r="K913" s="1420"/>
      <c r="O913" s="1364"/>
      <c r="P913" s="1364"/>
      <c r="Q913" s="1364"/>
      <c r="T913" s="1365"/>
      <c r="U913" s="1365"/>
      <c r="V913" s="1365"/>
    </row>
    <row r="914" spans="1:36" s="1363" customFormat="1" hidden="1">
      <c r="B914" s="1474"/>
      <c r="C914" s="1398"/>
      <c r="E914" s="1420"/>
      <c r="F914" s="1398"/>
      <c r="H914" s="1420"/>
      <c r="I914" s="1443"/>
      <c r="J914" s="1435"/>
      <c r="K914" s="1420"/>
      <c r="M914" s="1427"/>
      <c r="O914" s="1449"/>
      <c r="R914" s="1450"/>
      <c r="S914" s="1450"/>
      <c r="T914" s="1365"/>
      <c r="U914" s="1365"/>
      <c r="V914" s="1365"/>
      <c r="AJ914" s="1427"/>
    </row>
    <row r="915" spans="1:36" s="1363" customFormat="1" hidden="1">
      <c r="A915" s="1426"/>
      <c r="B915" s="1433"/>
      <c r="C915" s="1448"/>
      <c r="D915" s="1420"/>
      <c r="E915" s="1420"/>
      <c r="F915" s="1448"/>
      <c r="G915" s="1426"/>
      <c r="H915" s="1420"/>
      <c r="I915" s="1448"/>
      <c r="J915" s="1426"/>
      <c r="K915" s="1420"/>
      <c r="O915" s="1364"/>
      <c r="P915" s="1364"/>
      <c r="Q915" s="1364"/>
      <c r="T915" s="1365"/>
      <c r="U915" s="1365"/>
      <c r="V915" s="1365"/>
    </row>
    <row r="916" spans="1:36" s="1363" customFormat="1" hidden="1">
      <c r="A916" s="1426"/>
      <c r="B916" s="1433"/>
      <c r="C916" s="1436"/>
      <c r="D916" s="1436"/>
      <c r="E916" s="1420"/>
      <c r="F916" s="1436"/>
      <c r="G916" s="1436"/>
      <c r="H916" s="1433"/>
      <c r="I916" s="1436"/>
      <c r="J916" s="1436"/>
      <c r="K916" s="1435"/>
      <c r="M916" s="1422"/>
      <c r="N916" s="1422"/>
      <c r="O916" s="1423"/>
      <c r="P916" s="1364"/>
      <c r="Q916" s="1364"/>
      <c r="T916" s="1365"/>
      <c r="U916" s="1365"/>
      <c r="V916" s="1365"/>
    </row>
    <row r="917" spans="1:36" s="1363" customFormat="1" hidden="1">
      <c r="A917" s="1426"/>
      <c r="B917" s="1428"/>
      <c r="C917" s="1467"/>
      <c r="D917" s="1468"/>
      <c r="E917" s="1435"/>
      <c r="F917" s="1467"/>
      <c r="G917" s="1426"/>
      <c r="H917" s="1435"/>
      <c r="I917" s="1467"/>
      <c r="J917" s="1426"/>
      <c r="K917" s="1435"/>
      <c r="M917" s="1424"/>
      <c r="N917" s="1424"/>
      <c r="O917" s="1412"/>
      <c r="P917" s="1364"/>
      <c r="Q917" s="1364"/>
      <c r="R917" s="1412"/>
      <c r="T917" s="1365"/>
      <c r="U917" s="1365"/>
      <c r="V917" s="1365"/>
    </row>
    <row r="918" spans="1:36" s="1363" customFormat="1" hidden="1">
      <c r="A918" s="1426"/>
      <c r="B918" s="1428"/>
      <c r="C918" s="1464"/>
      <c r="D918" s="1420"/>
      <c r="E918" s="1420"/>
      <c r="F918" s="1464"/>
      <c r="G918" s="1426"/>
      <c r="H918" s="1420"/>
      <c r="I918" s="1464"/>
      <c r="J918" s="1426"/>
      <c r="K918" s="1503"/>
      <c r="O918" s="1364"/>
      <c r="P918" s="1412"/>
      <c r="Q918" s="1412"/>
      <c r="T918" s="1365"/>
      <c r="U918" s="1365"/>
      <c r="V918" s="1365"/>
    </row>
    <row r="919" spans="1:36" s="1363" customFormat="1">
      <c r="A919" s="1425"/>
      <c r="B919" s="1426"/>
      <c r="C919" s="1420"/>
      <c r="D919" s="1420"/>
      <c r="E919" s="1426"/>
      <c r="F919" s="1420"/>
      <c r="G919" s="1426"/>
      <c r="H919" s="1426"/>
      <c r="I919" s="1420"/>
      <c r="J919" s="1426"/>
      <c r="K919" s="1426"/>
      <c r="O919" s="1364"/>
      <c r="P919" s="1364"/>
      <c r="Q919" s="1364"/>
      <c r="T919" s="1365"/>
      <c r="U919" s="1365"/>
      <c r="V919" s="1365"/>
    </row>
    <row r="920" spans="1:36" s="1363" customFormat="1">
      <c r="A920" s="1436"/>
      <c r="B920" s="1426"/>
      <c r="C920" s="1420"/>
      <c r="D920" s="1420"/>
      <c r="E920" s="1426"/>
      <c r="F920" s="1420"/>
      <c r="G920" s="1426"/>
      <c r="H920" s="1426"/>
      <c r="I920" s="1420"/>
      <c r="J920" s="1426"/>
      <c r="K920" s="1426"/>
      <c r="O920" s="1364"/>
      <c r="P920" s="1364"/>
      <c r="Q920" s="1364"/>
      <c r="T920" s="1365"/>
      <c r="U920" s="1365"/>
      <c r="V920" s="1365"/>
    </row>
    <row r="921" spans="1:36" s="1363" customFormat="1">
      <c r="A921" s="1426"/>
      <c r="B921" s="1426"/>
      <c r="C921" s="1420"/>
      <c r="D921" s="1420"/>
      <c r="E921" s="1426"/>
      <c r="F921" s="1420"/>
      <c r="G921" s="1426"/>
      <c r="H921" s="1426"/>
      <c r="I921" s="1420"/>
      <c r="J921" s="1426"/>
      <c r="K921" s="1426"/>
      <c r="O921" s="1364"/>
      <c r="P921" s="1364"/>
      <c r="Q921" s="1364"/>
      <c r="T921" s="1365"/>
      <c r="U921" s="1365"/>
      <c r="V921" s="1365"/>
    </row>
    <row r="922" spans="1:36" s="1363" customFormat="1">
      <c r="A922" s="1436"/>
      <c r="B922" s="1433"/>
      <c r="C922" s="1420"/>
      <c r="D922" s="1420"/>
      <c r="E922" s="1426"/>
      <c r="F922" s="1420"/>
      <c r="G922" s="1426"/>
      <c r="H922" s="1426"/>
      <c r="I922" s="1420"/>
      <c r="J922" s="1426"/>
      <c r="K922" s="1426"/>
      <c r="O922" s="1364"/>
      <c r="P922" s="1364"/>
      <c r="Q922" s="1364"/>
      <c r="T922" s="1365"/>
      <c r="U922" s="1365"/>
      <c r="V922" s="1365"/>
    </row>
    <row r="923" spans="1:36" s="1363" customFormat="1">
      <c r="A923" s="1436"/>
      <c r="B923" s="1433"/>
      <c r="C923" s="1464"/>
      <c r="D923" s="1464"/>
      <c r="E923" s="1420"/>
      <c r="F923" s="1464"/>
      <c r="G923" s="1435"/>
      <c r="H923" s="1420"/>
      <c r="I923" s="1464"/>
      <c r="J923" s="1435"/>
      <c r="K923" s="1420"/>
      <c r="O923" s="1364"/>
      <c r="P923" s="1417"/>
      <c r="Q923" s="1412"/>
      <c r="T923" s="1365"/>
      <c r="U923" s="1365"/>
      <c r="V923" s="1365"/>
    </row>
    <row r="924" spans="1:36" s="1363" customFormat="1">
      <c r="A924" s="1436"/>
      <c r="B924" s="1433"/>
      <c r="C924" s="1464"/>
      <c r="D924" s="1464"/>
      <c r="E924" s="1420"/>
      <c r="F924" s="1464"/>
      <c r="G924" s="1437"/>
      <c r="H924" s="1420"/>
      <c r="I924" s="1464"/>
      <c r="J924" s="1437"/>
      <c r="K924" s="1420"/>
      <c r="O924" s="1364"/>
      <c r="P924" s="1417"/>
      <c r="Q924" s="1412"/>
      <c r="T924" s="1365"/>
      <c r="U924" s="1365"/>
      <c r="V924" s="1365"/>
    </row>
    <row r="925" spans="1:36" s="1363" customFormat="1">
      <c r="A925" s="1436"/>
      <c r="B925" s="1433"/>
      <c r="C925" s="1464"/>
      <c r="D925" s="1464"/>
      <c r="E925" s="1420"/>
      <c r="F925" s="1464"/>
      <c r="G925" s="1435"/>
      <c r="H925" s="1420"/>
      <c r="I925" s="1464"/>
      <c r="J925" s="1435"/>
      <c r="K925" s="1420"/>
      <c r="O925" s="1364"/>
      <c r="P925" s="1377"/>
      <c r="Q925" s="1364"/>
      <c r="T925" s="1365"/>
      <c r="U925" s="1365"/>
      <c r="V925" s="1365"/>
    </row>
    <row r="926" spans="1:36" s="1363" customFormat="1">
      <c r="A926" s="1436"/>
      <c r="B926" s="1433"/>
      <c r="C926" s="1464"/>
      <c r="D926" s="1464"/>
      <c r="E926" s="1420"/>
      <c r="F926" s="1464"/>
      <c r="G926" s="1435"/>
      <c r="H926" s="1420"/>
      <c r="I926" s="1464"/>
      <c r="J926" s="1435"/>
      <c r="K926" s="1420"/>
      <c r="O926" s="1364"/>
      <c r="P926" s="1417"/>
      <c r="Q926" s="1412"/>
      <c r="T926" s="1365"/>
      <c r="U926" s="1365"/>
      <c r="V926" s="1365"/>
    </row>
    <row r="927" spans="1:36" s="1363" customFormat="1">
      <c r="A927" s="1436"/>
      <c r="B927" s="1433"/>
      <c r="C927" s="1464"/>
      <c r="D927" s="1464"/>
      <c r="E927" s="1420"/>
      <c r="F927" s="1464"/>
      <c r="G927" s="1435"/>
      <c r="H927" s="1420"/>
      <c r="I927" s="1464"/>
      <c r="J927" s="1435"/>
      <c r="K927" s="1420"/>
      <c r="O927" s="1364"/>
      <c r="P927" s="1417"/>
      <c r="Q927" s="1412"/>
      <c r="T927" s="1365"/>
      <c r="U927" s="1365"/>
      <c r="V927" s="1365"/>
    </row>
    <row r="928" spans="1:36" s="1363" customFormat="1">
      <c r="A928" s="1436"/>
      <c r="B928" s="1433"/>
      <c r="C928" s="1464"/>
      <c r="D928" s="1464"/>
      <c r="E928" s="1420"/>
      <c r="F928" s="1464"/>
      <c r="G928" s="1435"/>
      <c r="H928" s="1420"/>
      <c r="I928" s="1464"/>
      <c r="J928" s="1435"/>
      <c r="K928" s="1420"/>
      <c r="O928" s="1364"/>
      <c r="P928" s="1417"/>
      <c r="Q928" s="1412"/>
      <c r="T928" s="1365"/>
      <c r="U928" s="1365"/>
      <c r="V928" s="1365"/>
    </row>
    <row r="929" spans="1:36" s="1363" customFormat="1">
      <c r="A929" s="1436"/>
      <c r="B929" s="1433"/>
      <c r="C929" s="1464"/>
      <c r="D929" s="1464"/>
      <c r="E929" s="1420"/>
      <c r="F929" s="1464"/>
      <c r="G929" s="1435"/>
      <c r="H929" s="1420"/>
      <c r="I929" s="1464"/>
      <c r="J929" s="1435"/>
      <c r="K929" s="1420"/>
      <c r="O929" s="1364"/>
      <c r="P929" s="1377"/>
      <c r="Q929" s="1364"/>
      <c r="T929" s="1365"/>
      <c r="U929" s="1365"/>
      <c r="V929" s="1365"/>
    </row>
    <row r="930" spans="1:36" s="1363" customFormat="1">
      <c r="A930" s="1436"/>
      <c r="B930" s="1433"/>
      <c r="C930" s="1521"/>
      <c r="D930" s="1435"/>
      <c r="E930" s="1420"/>
      <c r="F930" s="1521"/>
      <c r="G930" s="1435"/>
      <c r="H930" s="1420"/>
      <c r="I930" s="1521"/>
      <c r="J930" s="1435"/>
      <c r="K930" s="1420"/>
      <c r="O930" s="1364"/>
      <c r="P930" s="1417"/>
      <c r="Q930" s="1412"/>
      <c r="T930" s="1365"/>
      <c r="U930" s="1365"/>
      <c r="V930" s="1365"/>
    </row>
    <row r="931" spans="1:36" s="1363" customFormat="1">
      <c r="A931" s="1436"/>
      <c r="B931" s="1433"/>
      <c r="C931" s="1464"/>
      <c r="D931" s="1435"/>
      <c r="E931" s="1420"/>
      <c r="F931" s="1464"/>
      <c r="G931" s="1435"/>
      <c r="H931" s="1420"/>
      <c r="I931" s="1464"/>
      <c r="J931" s="1435"/>
      <c r="K931" s="1420"/>
      <c r="O931" s="1364"/>
      <c r="P931" s="1417"/>
      <c r="Q931" s="1412"/>
      <c r="T931" s="1365"/>
      <c r="U931" s="1365"/>
      <c r="V931" s="1365"/>
    </row>
    <row r="932" spans="1:36" s="1363" customFormat="1">
      <c r="B932" s="1474"/>
      <c r="C932" s="1398"/>
      <c r="E932" s="1420"/>
      <c r="F932" s="1398"/>
      <c r="H932" s="1420"/>
      <c r="I932" s="1443"/>
      <c r="J932" s="1435"/>
      <c r="K932" s="1420"/>
      <c r="M932" s="1427"/>
      <c r="N932" s="1427"/>
      <c r="O932" s="1449"/>
      <c r="R932" s="1450"/>
      <c r="S932" s="1450"/>
      <c r="T932" s="1365"/>
      <c r="U932" s="1365"/>
      <c r="V932" s="1365"/>
      <c r="AJ932" s="1427"/>
    </row>
    <row r="933" spans="1:36" s="1363" customFormat="1">
      <c r="A933" s="1451"/>
      <c r="B933" s="1526"/>
      <c r="C933" s="1453"/>
      <c r="D933" s="1451"/>
      <c r="E933" s="1454"/>
      <c r="F933" s="1525"/>
      <c r="G933" s="1457"/>
      <c r="H933" s="1454"/>
      <c r="I933" s="1455"/>
      <c r="J933" s="1457"/>
      <c r="K933" s="1454"/>
      <c r="M933" s="1427"/>
      <c r="N933" s="1427"/>
      <c r="O933" s="1449"/>
      <c r="P933" s="1417"/>
      <c r="R933" s="1450"/>
      <c r="S933" s="1450"/>
      <c r="T933" s="1365"/>
      <c r="U933" s="1365"/>
      <c r="V933" s="1365"/>
      <c r="AJ933" s="1427"/>
    </row>
    <row r="934" spans="1:36" s="1363" customFormat="1">
      <c r="A934" s="1426"/>
      <c r="B934" s="1433"/>
      <c r="C934" s="1448"/>
      <c r="D934" s="1420"/>
      <c r="E934" s="1420"/>
      <c r="F934" s="1448"/>
      <c r="G934" s="1426"/>
      <c r="H934" s="1420"/>
      <c r="I934" s="1448"/>
      <c r="J934" s="1426"/>
      <c r="K934" s="1420"/>
      <c r="O934" s="1364"/>
      <c r="P934" s="1364"/>
      <c r="Q934" s="1364"/>
      <c r="T934" s="1365"/>
      <c r="U934" s="1365"/>
      <c r="V934" s="1365"/>
    </row>
    <row r="935" spans="1:36" s="1363" customFormat="1">
      <c r="A935" s="1426"/>
      <c r="B935" s="1433"/>
      <c r="C935" s="1436"/>
      <c r="D935" s="1436"/>
      <c r="E935" s="1435"/>
      <c r="F935" s="1436"/>
      <c r="G935" s="1436"/>
      <c r="H935" s="1433"/>
      <c r="I935" s="1436"/>
      <c r="J935" s="1436"/>
      <c r="K935" s="1435"/>
      <c r="M935" s="1422"/>
      <c r="N935" s="1422"/>
      <c r="O935" s="1423"/>
      <c r="P935" s="1364"/>
      <c r="Q935" s="1364"/>
      <c r="T935" s="1365"/>
      <c r="U935" s="1365"/>
      <c r="V935" s="1365"/>
    </row>
    <row r="936" spans="1:36" s="1363" customFormat="1">
      <c r="A936" s="1426"/>
      <c r="B936" s="1428"/>
      <c r="C936" s="1467"/>
      <c r="D936" s="1468"/>
      <c r="E936" s="1435"/>
      <c r="F936" s="1467"/>
      <c r="G936" s="1426"/>
      <c r="H936" s="1435"/>
      <c r="I936" s="1467"/>
      <c r="J936" s="1426"/>
      <c r="K936" s="1435"/>
      <c r="M936" s="1424"/>
      <c r="N936" s="1424"/>
      <c r="O936" s="1412"/>
      <c r="P936" s="1417"/>
      <c r="Q936" s="1364"/>
      <c r="T936" s="1365"/>
      <c r="U936" s="1365"/>
      <c r="V936" s="1365"/>
    </row>
    <row r="937" spans="1:36" s="1363" customFormat="1">
      <c r="A937" s="1426"/>
      <c r="B937" s="1428"/>
      <c r="C937" s="1464"/>
      <c r="D937" s="1420"/>
      <c r="E937" s="1420"/>
      <c r="F937" s="1464"/>
      <c r="G937" s="1426"/>
      <c r="H937" s="1420"/>
      <c r="I937" s="1461"/>
      <c r="J937" s="1426"/>
      <c r="K937" s="1420"/>
      <c r="O937" s="1364"/>
      <c r="P937" s="1412"/>
      <c r="Q937" s="1412"/>
      <c r="T937" s="1365"/>
      <c r="U937" s="1365"/>
      <c r="V937" s="1365"/>
    </row>
    <row r="938" spans="1:36" s="1363" customFormat="1" hidden="1">
      <c r="A938" s="1426"/>
      <c r="B938" s="1428"/>
      <c r="C938" s="1464"/>
      <c r="D938" s="1420"/>
      <c r="E938" s="1420"/>
      <c r="F938" s="1464"/>
      <c r="G938" s="1426"/>
      <c r="H938" s="1420"/>
      <c r="I938" s="1461"/>
      <c r="J938" s="1426"/>
      <c r="K938" s="1420"/>
      <c r="O938" s="1364"/>
      <c r="P938" s="1364"/>
      <c r="Q938" s="1364"/>
      <c r="T938" s="1365"/>
      <c r="U938" s="1365"/>
      <c r="V938" s="1365"/>
    </row>
    <row r="939" spans="1:36" s="1363" customFormat="1" hidden="1">
      <c r="A939" s="1426"/>
      <c r="B939" s="1428"/>
      <c r="C939" s="1464"/>
      <c r="D939" s="1420"/>
      <c r="E939" s="1420"/>
      <c r="F939" s="1464"/>
      <c r="G939" s="1426"/>
      <c r="H939" s="1420"/>
      <c r="I939" s="1464"/>
      <c r="J939" s="1426"/>
      <c r="K939" s="1503"/>
      <c r="O939" s="1364"/>
      <c r="P939" s="1364"/>
      <c r="Q939" s="1364"/>
      <c r="T939" s="1365"/>
      <c r="U939" s="1365"/>
      <c r="V939" s="1365"/>
    </row>
    <row r="940" spans="1:36" s="1363" customFormat="1" hidden="1">
      <c r="A940" s="1425"/>
      <c r="B940" s="1426"/>
      <c r="C940" s="1420"/>
      <c r="D940" s="1420"/>
      <c r="E940" s="1426"/>
      <c r="F940" s="1420"/>
      <c r="G940" s="1426"/>
      <c r="H940" s="1426"/>
      <c r="I940" s="1420"/>
      <c r="J940" s="1426"/>
      <c r="K940" s="1426"/>
      <c r="O940" s="1364"/>
      <c r="P940" s="1364"/>
      <c r="Q940" s="1364"/>
      <c r="T940" s="1365"/>
      <c r="U940" s="1365"/>
      <c r="V940" s="1365"/>
    </row>
    <row r="941" spans="1:36" s="1363" customFormat="1" hidden="1">
      <c r="A941" s="1436"/>
      <c r="B941" s="1426"/>
      <c r="C941" s="1420"/>
      <c r="D941" s="1420"/>
      <c r="E941" s="1426"/>
      <c r="F941" s="1420"/>
      <c r="G941" s="1426"/>
      <c r="H941" s="1426"/>
      <c r="I941" s="1420"/>
      <c r="J941" s="1426"/>
      <c r="K941" s="1426"/>
      <c r="O941" s="1364"/>
      <c r="P941" s="1364"/>
      <c r="Q941" s="1364"/>
      <c r="T941" s="1365"/>
      <c r="U941" s="1365"/>
      <c r="V941" s="1365"/>
    </row>
    <row r="942" spans="1:36" s="1363" customFormat="1" hidden="1">
      <c r="A942" s="1426"/>
      <c r="B942" s="1426"/>
      <c r="C942" s="1420"/>
      <c r="D942" s="1420"/>
      <c r="E942" s="1426"/>
      <c r="F942" s="1420"/>
      <c r="G942" s="1426"/>
      <c r="H942" s="1426"/>
      <c r="I942" s="1420"/>
      <c r="J942" s="1426"/>
      <c r="K942" s="1426"/>
      <c r="O942" s="1364"/>
      <c r="P942" s="1364"/>
      <c r="Q942" s="1364"/>
      <c r="T942" s="1365"/>
      <c r="U942" s="1365"/>
      <c r="V942" s="1365"/>
    </row>
    <row r="943" spans="1:36" s="1363" customFormat="1" hidden="1">
      <c r="A943" s="1436"/>
      <c r="B943" s="1433"/>
      <c r="C943" s="1420"/>
      <c r="D943" s="1420"/>
      <c r="E943" s="1426"/>
      <c r="F943" s="1420"/>
      <c r="G943" s="1426"/>
      <c r="H943" s="1426"/>
      <c r="I943" s="1420"/>
      <c r="J943" s="1426"/>
      <c r="K943" s="1426"/>
      <c r="O943" s="1364"/>
      <c r="P943" s="1364"/>
      <c r="Q943" s="1364"/>
      <c r="T943" s="1365"/>
      <c r="U943" s="1365"/>
      <c r="V943" s="1365"/>
    </row>
    <row r="944" spans="1:36" s="1363" customFormat="1" hidden="1">
      <c r="A944" s="1436"/>
      <c r="B944" s="1433"/>
      <c r="C944" s="1464"/>
      <c r="D944" s="1464"/>
      <c r="E944" s="1420"/>
      <c r="F944" s="1464"/>
      <c r="G944" s="1435"/>
      <c r="H944" s="1420"/>
      <c r="I944" s="1464"/>
      <c r="J944" s="1435"/>
      <c r="K944" s="1420"/>
      <c r="O944" s="1364"/>
      <c r="P944" s="1364"/>
      <c r="Q944" s="1364"/>
      <c r="T944" s="1365"/>
      <c r="U944" s="1365"/>
      <c r="V944" s="1365"/>
    </row>
    <row r="945" spans="1:36" s="1363" customFormat="1" hidden="1">
      <c r="A945" s="1436"/>
      <c r="B945" s="1433"/>
      <c r="C945" s="1464"/>
      <c r="D945" s="1464"/>
      <c r="E945" s="1420"/>
      <c r="F945" s="1464"/>
      <c r="G945" s="1437"/>
      <c r="H945" s="1420"/>
      <c r="I945" s="1464"/>
      <c r="J945" s="1437"/>
      <c r="K945" s="1420"/>
      <c r="O945" s="1364"/>
      <c r="P945" s="1364"/>
      <c r="Q945" s="1364"/>
      <c r="T945" s="1365"/>
      <c r="U945" s="1365"/>
      <c r="V945" s="1365"/>
    </row>
    <row r="946" spans="1:36" s="1363" customFormat="1" hidden="1">
      <c r="A946" s="1436"/>
      <c r="B946" s="1433"/>
      <c r="C946" s="1464"/>
      <c r="D946" s="1464"/>
      <c r="E946" s="1420"/>
      <c r="F946" s="1464"/>
      <c r="G946" s="1435"/>
      <c r="H946" s="1420"/>
      <c r="I946" s="1464"/>
      <c r="J946" s="1435"/>
      <c r="K946" s="1420"/>
      <c r="O946" s="1364"/>
      <c r="P946" s="1364"/>
      <c r="Q946" s="1364"/>
      <c r="T946" s="1365"/>
      <c r="U946" s="1365"/>
      <c r="V946" s="1365"/>
    </row>
    <row r="947" spans="1:36" s="1363" customFormat="1" hidden="1">
      <c r="A947" s="1436"/>
      <c r="B947" s="1433"/>
      <c r="C947" s="1464"/>
      <c r="D947" s="1464"/>
      <c r="E947" s="1420"/>
      <c r="F947" s="1464"/>
      <c r="G947" s="1435"/>
      <c r="H947" s="1420"/>
      <c r="I947" s="1464"/>
      <c r="J947" s="1435"/>
      <c r="K947" s="1420"/>
      <c r="O947" s="1364"/>
      <c r="P947" s="1364"/>
      <c r="Q947" s="1364"/>
      <c r="T947" s="1365"/>
      <c r="U947" s="1365"/>
      <c r="V947" s="1365"/>
    </row>
    <row r="948" spans="1:36" s="1363" customFormat="1" hidden="1">
      <c r="A948" s="1436"/>
      <c r="B948" s="1433"/>
      <c r="C948" s="1464"/>
      <c r="D948" s="1464"/>
      <c r="E948" s="1420"/>
      <c r="F948" s="1464"/>
      <c r="G948" s="1435"/>
      <c r="H948" s="1420"/>
      <c r="I948" s="1464"/>
      <c r="J948" s="1435"/>
      <c r="K948" s="1420"/>
      <c r="O948" s="1364"/>
      <c r="P948" s="1364"/>
      <c r="Q948" s="1364"/>
      <c r="T948" s="1365"/>
      <c r="U948" s="1365"/>
      <c r="V948" s="1365"/>
    </row>
    <row r="949" spans="1:36" s="1363" customFormat="1" hidden="1">
      <c r="A949" s="1436"/>
      <c r="B949" s="1433"/>
      <c r="C949" s="1464"/>
      <c r="D949" s="1464"/>
      <c r="E949" s="1420"/>
      <c r="F949" s="1464"/>
      <c r="G949" s="1435"/>
      <c r="H949" s="1420"/>
      <c r="I949" s="1464"/>
      <c r="J949" s="1435"/>
      <c r="K949" s="1420"/>
      <c r="O949" s="1364"/>
      <c r="P949" s="1364"/>
      <c r="Q949" s="1364"/>
      <c r="T949" s="1365"/>
      <c r="U949" s="1365"/>
      <c r="V949" s="1365"/>
    </row>
    <row r="950" spans="1:36" s="1363" customFormat="1" hidden="1">
      <c r="A950" s="1436"/>
      <c r="B950" s="1433"/>
      <c r="C950" s="1464"/>
      <c r="D950" s="1464"/>
      <c r="E950" s="1420"/>
      <c r="F950" s="1464"/>
      <c r="G950" s="1435"/>
      <c r="H950" s="1420"/>
      <c r="I950" s="1464"/>
      <c r="J950" s="1435"/>
      <c r="K950" s="1420"/>
      <c r="O950" s="1364"/>
      <c r="P950" s="1364"/>
      <c r="Q950" s="1364"/>
      <c r="T950" s="1365"/>
      <c r="U950" s="1365"/>
      <c r="V950" s="1365"/>
    </row>
    <row r="951" spans="1:36" s="1363" customFormat="1" hidden="1">
      <c r="A951" s="1436"/>
      <c r="B951" s="1433"/>
      <c r="C951" s="1521"/>
      <c r="D951" s="1435"/>
      <c r="E951" s="1420"/>
      <c r="F951" s="1521"/>
      <c r="G951" s="1435"/>
      <c r="H951" s="1420"/>
      <c r="I951" s="1521"/>
      <c r="J951" s="1435"/>
      <c r="K951" s="1420"/>
      <c r="O951" s="1364"/>
      <c r="P951" s="1364"/>
      <c r="Q951" s="1364"/>
      <c r="T951" s="1365"/>
      <c r="U951" s="1365"/>
      <c r="V951" s="1365"/>
    </row>
    <row r="952" spans="1:36" s="1363" customFormat="1" hidden="1">
      <c r="A952" s="1436"/>
      <c r="B952" s="1433"/>
      <c r="C952" s="1464"/>
      <c r="D952" s="1435"/>
      <c r="E952" s="1420"/>
      <c r="F952" s="1464"/>
      <c r="G952" s="1435"/>
      <c r="H952" s="1420"/>
      <c r="I952" s="1464"/>
      <c r="J952" s="1435"/>
      <c r="K952" s="1420"/>
      <c r="O952" s="1364"/>
      <c r="P952" s="1364"/>
      <c r="Q952" s="1364"/>
      <c r="T952" s="1365"/>
      <c r="U952" s="1365"/>
      <c r="V952" s="1365"/>
    </row>
    <row r="953" spans="1:36" s="1363" customFormat="1" hidden="1">
      <c r="B953" s="1474"/>
      <c r="C953" s="1398"/>
      <c r="E953" s="1420"/>
      <c r="F953" s="1398"/>
      <c r="H953" s="1420"/>
      <c r="I953" s="1443"/>
      <c r="J953" s="1435"/>
      <c r="K953" s="1420"/>
      <c r="M953" s="1427"/>
      <c r="O953" s="1449"/>
      <c r="R953" s="1450"/>
      <c r="S953" s="1450"/>
      <c r="T953" s="1365"/>
      <c r="U953" s="1365"/>
      <c r="V953" s="1365"/>
      <c r="AJ953" s="1427"/>
    </row>
    <row r="954" spans="1:36" s="1363" customFormat="1" hidden="1">
      <c r="A954" s="1426"/>
      <c r="B954" s="1433"/>
      <c r="C954" s="1448"/>
      <c r="D954" s="1420"/>
      <c r="E954" s="1420"/>
      <c r="F954" s="1448"/>
      <c r="G954" s="1426"/>
      <c r="H954" s="1420"/>
      <c r="I954" s="1448"/>
      <c r="J954" s="1426"/>
      <c r="K954" s="1420"/>
      <c r="O954" s="1364"/>
      <c r="P954" s="1364"/>
      <c r="Q954" s="1364"/>
      <c r="T954" s="1365"/>
      <c r="U954" s="1365"/>
      <c r="V954" s="1365"/>
    </row>
    <row r="955" spans="1:36" s="1363" customFormat="1" hidden="1">
      <c r="A955" s="1426"/>
      <c r="B955" s="1433"/>
      <c r="C955" s="1436"/>
      <c r="D955" s="1436"/>
      <c r="E955" s="1420"/>
      <c r="F955" s="1436"/>
      <c r="G955" s="1436"/>
      <c r="H955" s="1435"/>
      <c r="I955" s="1436"/>
      <c r="J955" s="1436"/>
      <c r="K955" s="1435"/>
      <c r="M955" s="1422"/>
      <c r="N955" s="1422"/>
      <c r="O955" s="1423"/>
      <c r="P955" s="1364"/>
      <c r="Q955" s="1364"/>
      <c r="T955" s="1365"/>
      <c r="U955" s="1365"/>
      <c r="V955" s="1365"/>
    </row>
    <row r="956" spans="1:36" s="1363" customFormat="1" hidden="1">
      <c r="A956" s="1426"/>
      <c r="B956" s="1428"/>
      <c r="C956" s="1467"/>
      <c r="D956" s="1468"/>
      <c r="E956" s="1435"/>
      <c r="F956" s="1467"/>
      <c r="G956" s="1426"/>
      <c r="H956" s="1435"/>
      <c r="I956" s="1467"/>
      <c r="J956" s="1426"/>
      <c r="K956" s="1435"/>
      <c r="M956" s="1424"/>
      <c r="N956" s="1424"/>
      <c r="O956" s="1412"/>
      <c r="P956" s="1364"/>
      <c r="Q956" s="1364"/>
      <c r="R956" s="1412"/>
      <c r="T956" s="1365"/>
      <c r="U956" s="1365"/>
      <c r="V956" s="1365"/>
    </row>
    <row r="957" spans="1:36" s="1363" customFormat="1" hidden="1">
      <c r="A957" s="1426"/>
      <c r="B957" s="1428"/>
      <c r="C957" s="1464"/>
      <c r="D957" s="1420"/>
      <c r="E957" s="1420"/>
      <c r="F957" s="1464"/>
      <c r="G957" s="1426"/>
      <c r="H957" s="1420"/>
      <c r="I957" s="1461"/>
      <c r="J957" s="1426"/>
      <c r="K957" s="1420"/>
      <c r="O957" s="1364"/>
      <c r="P957" s="1364"/>
      <c r="Q957" s="1364"/>
      <c r="T957" s="1365"/>
      <c r="U957" s="1365"/>
      <c r="V957" s="1365"/>
    </row>
    <row r="958" spans="1:36" s="1363" customFormat="1" hidden="1">
      <c r="A958" s="1425"/>
      <c r="B958" s="1426"/>
      <c r="C958" s="1420"/>
      <c r="D958" s="1420"/>
      <c r="E958" s="1426"/>
      <c r="F958" s="1420"/>
      <c r="G958" s="1426"/>
      <c r="H958" s="1426"/>
      <c r="I958" s="1420"/>
      <c r="J958" s="1426"/>
      <c r="K958" s="1426"/>
      <c r="O958" s="1364"/>
      <c r="P958" s="1364"/>
      <c r="Q958" s="1364"/>
      <c r="T958" s="1365"/>
      <c r="U958" s="1365"/>
      <c r="V958" s="1365"/>
    </row>
    <row r="959" spans="1:36" s="1363" customFormat="1" hidden="1">
      <c r="A959" s="1436"/>
      <c r="B959" s="1426"/>
      <c r="C959" s="1420"/>
      <c r="D959" s="1420"/>
      <c r="E959" s="1426"/>
      <c r="F959" s="1420"/>
      <c r="G959" s="1426"/>
      <c r="H959" s="1426"/>
      <c r="I959" s="1420"/>
      <c r="J959" s="1426"/>
      <c r="K959" s="1426"/>
      <c r="O959" s="1364"/>
      <c r="P959" s="1364"/>
      <c r="Q959" s="1364"/>
      <c r="T959" s="1365"/>
      <c r="U959" s="1365"/>
      <c r="V959" s="1365"/>
    </row>
    <row r="960" spans="1:36" s="1363" customFormat="1" hidden="1">
      <c r="A960" s="1426"/>
      <c r="B960" s="1426"/>
      <c r="C960" s="1420"/>
      <c r="D960" s="1420"/>
      <c r="E960" s="1426"/>
      <c r="F960" s="1420"/>
      <c r="G960" s="1426"/>
      <c r="H960" s="1426"/>
      <c r="I960" s="1420"/>
      <c r="J960" s="1426"/>
      <c r="K960" s="1426"/>
      <c r="O960" s="1364"/>
      <c r="P960" s="1364"/>
      <c r="Q960" s="1364"/>
      <c r="T960" s="1365"/>
      <c r="U960" s="1365"/>
      <c r="V960" s="1365"/>
    </row>
    <row r="961" spans="1:36" s="1363" customFormat="1" hidden="1">
      <c r="A961" s="1436"/>
      <c r="B961" s="1433"/>
      <c r="C961" s="1420"/>
      <c r="D961" s="1420"/>
      <c r="E961" s="1426"/>
      <c r="F961" s="1420"/>
      <c r="G961" s="1426"/>
      <c r="H961" s="1426"/>
      <c r="I961" s="1420"/>
      <c r="J961" s="1426"/>
      <c r="K961" s="1426"/>
      <c r="O961" s="1364"/>
      <c r="P961" s="1364"/>
      <c r="Q961" s="1364"/>
      <c r="T961" s="1365"/>
      <c r="U961" s="1365"/>
      <c r="V961" s="1365"/>
    </row>
    <row r="962" spans="1:36" s="1363" customFormat="1" hidden="1">
      <c r="A962" s="1436"/>
      <c r="B962" s="1433"/>
      <c r="C962" s="1464"/>
      <c r="D962" s="1464"/>
      <c r="E962" s="1420"/>
      <c r="F962" s="1464"/>
      <c r="G962" s="1435"/>
      <c r="H962" s="1420"/>
      <c r="I962" s="1464"/>
      <c r="J962" s="1435"/>
      <c r="K962" s="1420"/>
      <c r="O962" s="1364"/>
      <c r="P962" s="1364"/>
      <c r="Q962" s="1364"/>
      <c r="T962" s="1365"/>
      <c r="U962" s="1365"/>
      <c r="V962" s="1365"/>
    </row>
    <row r="963" spans="1:36" s="1363" customFormat="1" hidden="1">
      <c r="A963" s="1436"/>
      <c r="B963" s="1433"/>
      <c r="C963" s="1464"/>
      <c r="D963" s="1464"/>
      <c r="E963" s="1420"/>
      <c r="F963" s="1464"/>
      <c r="G963" s="1437"/>
      <c r="H963" s="1420"/>
      <c r="I963" s="1464"/>
      <c r="J963" s="1437"/>
      <c r="K963" s="1420"/>
      <c r="O963" s="1364"/>
      <c r="P963" s="1364"/>
      <c r="Q963" s="1364"/>
      <c r="T963" s="1365"/>
      <c r="U963" s="1365"/>
      <c r="V963" s="1365"/>
    </row>
    <row r="964" spans="1:36" s="1363" customFormat="1" hidden="1">
      <c r="A964" s="1436"/>
      <c r="B964" s="1433"/>
      <c r="C964" s="1464"/>
      <c r="D964" s="1464"/>
      <c r="E964" s="1420"/>
      <c r="F964" s="1464"/>
      <c r="G964" s="1435"/>
      <c r="H964" s="1420"/>
      <c r="I964" s="1464"/>
      <c r="J964" s="1435"/>
      <c r="K964" s="1420"/>
      <c r="O964" s="1364"/>
      <c r="P964" s="1364"/>
      <c r="Q964" s="1364"/>
      <c r="T964" s="1365"/>
      <c r="U964" s="1365"/>
      <c r="V964" s="1365"/>
    </row>
    <row r="965" spans="1:36" s="1363" customFormat="1" hidden="1">
      <c r="A965" s="1436"/>
      <c r="B965" s="1433"/>
      <c r="C965" s="1464"/>
      <c r="D965" s="1464"/>
      <c r="E965" s="1420"/>
      <c r="F965" s="1464"/>
      <c r="G965" s="1435"/>
      <c r="H965" s="1420"/>
      <c r="I965" s="1464"/>
      <c r="J965" s="1435"/>
      <c r="K965" s="1420"/>
      <c r="O965" s="1364"/>
      <c r="P965" s="1364"/>
      <c r="Q965" s="1364"/>
      <c r="T965" s="1365"/>
      <c r="U965" s="1365"/>
      <c r="V965" s="1365"/>
    </row>
    <row r="966" spans="1:36" s="1363" customFormat="1" hidden="1">
      <c r="A966" s="1436"/>
      <c r="B966" s="1433"/>
      <c r="C966" s="1464"/>
      <c r="D966" s="1464"/>
      <c r="E966" s="1420"/>
      <c r="F966" s="1464"/>
      <c r="G966" s="1435"/>
      <c r="H966" s="1420"/>
      <c r="I966" s="1464"/>
      <c r="J966" s="1435"/>
      <c r="K966" s="1420"/>
      <c r="O966" s="1364"/>
      <c r="P966" s="1364"/>
      <c r="Q966" s="1364"/>
      <c r="T966" s="1365"/>
      <c r="U966" s="1365"/>
      <c r="V966" s="1365"/>
    </row>
    <row r="967" spans="1:36" s="1363" customFormat="1" hidden="1">
      <c r="A967" s="1436"/>
      <c r="B967" s="1433"/>
      <c r="C967" s="1464"/>
      <c r="D967" s="1464"/>
      <c r="E967" s="1420"/>
      <c r="F967" s="1464"/>
      <c r="G967" s="1435"/>
      <c r="H967" s="1420"/>
      <c r="I967" s="1464"/>
      <c r="J967" s="1435"/>
      <c r="K967" s="1420"/>
      <c r="O967" s="1364"/>
      <c r="P967" s="1364"/>
      <c r="Q967" s="1364"/>
      <c r="T967" s="1365"/>
      <c r="U967" s="1365"/>
      <c r="V967" s="1365"/>
    </row>
    <row r="968" spans="1:36" s="1363" customFormat="1" hidden="1">
      <c r="A968" s="1436"/>
      <c r="B968" s="1433"/>
      <c r="C968" s="1464"/>
      <c r="D968" s="1464"/>
      <c r="E968" s="1420"/>
      <c r="F968" s="1464"/>
      <c r="G968" s="1435"/>
      <c r="H968" s="1420"/>
      <c r="I968" s="1464"/>
      <c r="J968" s="1435"/>
      <c r="K968" s="1420"/>
      <c r="O968" s="1364"/>
      <c r="P968" s="1364"/>
      <c r="Q968" s="1364"/>
      <c r="T968" s="1365"/>
      <c r="U968" s="1365"/>
      <c r="V968" s="1365"/>
    </row>
    <row r="969" spans="1:36" s="1363" customFormat="1" hidden="1">
      <c r="A969" s="1436"/>
      <c r="B969" s="1433"/>
      <c r="C969" s="1521"/>
      <c r="D969" s="1435"/>
      <c r="E969" s="1420"/>
      <c r="F969" s="1521"/>
      <c r="G969" s="1435"/>
      <c r="H969" s="1420"/>
      <c r="I969" s="1521"/>
      <c r="J969" s="1435"/>
      <c r="K969" s="1420"/>
      <c r="O969" s="1364"/>
      <c r="P969" s="1364"/>
      <c r="Q969" s="1364"/>
      <c r="T969" s="1365"/>
      <c r="U969" s="1365"/>
      <c r="V969" s="1365"/>
    </row>
    <row r="970" spans="1:36" s="1363" customFormat="1" hidden="1">
      <c r="A970" s="1436"/>
      <c r="B970" s="1433"/>
      <c r="C970" s="1464"/>
      <c r="D970" s="1435"/>
      <c r="E970" s="1420"/>
      <c r="F970" s="1464"/>
      <c r="G970" s="1435"/>
      <c r="H970" s="1420"/>
      <c r="I970" s="1464"/>
      <c r="J970" s="1435"/>
      <c r="K970" s="1420"/>
      <c r="O970" s="1364"/>
      <c r="P970" s="1364"/>
      <c r="Q970" s="1364"/>
      <c r="T970" s="1365"/>
      <c r="U970" s="1365"/>
      <c r="V970" s="1365"/>
    </row>
    <row r="971" spans="1:36" s="1363" customFormat="1" hidden="1">
      <c r="B971" s="1474"/>
      <c r="C971" s="1398"/>
      <c r="E971" s="1420"/>
      <c r="F971" s="1398"/>
      <c r="H971" s="1420"/>
      <c r="I971" s="1443"/>
      <c r="J971" s="1435"/>
      <c r="K971" s="1420"/>
      <c r="M971" s="1427"/>
      <c r="O971" s="1449"/>
      <c r="R971" s="1450"/>
      <c r="S971" s="1450"/>
      <c r="T971" s="1365"/>
      <c r="U971" s="1365"/>
      <c r="V971" s="1365"/>
      <c r="AJ971" s="1427"/>
    </row>
    <row r="972" spans="1:36" s="1363" customFormat="1" hidden="1">
      <c r="A972" s="1426"/>
      <c r="B972" s="1433"/>
      <c r="C972" s="1448"/>
      <c r="D972" s="1420"/>
      <c r="E972" s="1420"/>
      <c r="F972" s="1448"/>
      <c r="G972" s="1426"/>
      <c r="H972" s="1420"/>
      <c r="I972" s="1448"/>
      <c r="J972" s="1426"/>
      <c r="K972" s="1420"/>
      <c r="O972" s="1364"/>
      <c r="P972" s="1364"/>
      <c r="Q972" s="1364"/>
      <c r="T972" s="1365"/>
      <c r="U972" s="1365"/>
      <c r="V972" s="1365"/>
    </row>
    <row r="973" spans="1:36" s="1363" customFormat="1" hidden="1">
      <c r="A973" s="1426"/>
      <c r="B973" s="1433"/>
      <c r="C973" s="1436"/>
      <c r="D973" s="1436"/>
      <c r="E973" s="1420"/>
      <c r="F973" s="1436"/>
      <c r="G973" s="1436"/>
      <c r="H973" s="1435"/>
      <c r="I973" s="1436"/>
      <c r="J973" s="1436"/>
      <c r="K973" s="1435"/>
      <c r="M973" s="1422"/>
      <c r="N973" s="1422"/>
      <c r="O973" s="1423"/>
      <c r="P973" s="1364"/>
      <c r="Q973" s="1364"/>
      <c r="T973" s="1365"/>
      <c r="U973" s="1365"/>
      <c r="V973" s="1365"/>
    </row>
    <row r="974" spans="1:36" s="1363" customFormat="1" hidden="1">
      <c r="A974" s="1426"/>
      <c r="B974" s="1428"/>
      <c r="C974" s="1467"/>
      <c r="D974" s="1468"/>
      <c r="E974" s="1435"/>
      <c r="F974" s="1467"/>
      <c r="G974" s="1426"/>
      <c r="H974" s="1435"/>
      <c r="I974" s="1467"/>
      <c r="J974" s="1426"/>
      <c r="K974" s="1435"/>
      <c r="M974" s="1424"/>
      <c r="N974" s="1424"/>
      <c r="O974" s="1412"/>
      <c r="P974" s="1364"/>
      <c r="Q974" s="1364"/>
      <c r="R974" s="1412"/>
      <c r="T974" s="1365"/>
      <c r="U974" s="1365"/>
      <c r="V974" s="1365"/>
    </row>
    <row r="975" spans="1:36" s="1363" customFormat="1" hidden="1">
      <c r="A975" s="1426"/>
      <c r="B975" s="1428"/>
      <c r="C975" s="1464"/>
      <c r="D975" s="1420"/>
      <c r="E975" s="1420"/>
      <c r="F975" s="1464"/>
      <c r="G975" s="1426"/>
      <c r="H975" s="1420"/>
      <c r="I975" s="1461"/>
      <c r="J975" s="1426"/>
      <c r="K975" s="1420"/>
      <c r="O975" s="1364"/>
      <c r="P975" s="1364"/>
      <c r="Q975" s="1364"/>
      <c r="T975" s="1365"/>
      <c r="U975" s="1365"/>
      <c r="V975" s="1365"/>
    </row>
    <row r="976" spans="1:36" s="1363" customFormat="1" hidden="1">
      <c r="A976" s="1425"/>
      <c r="B976" s="1426"/>
      <c r="C976" s="1420"/>
      <c r="D976" s="1420"/>
      <c r="E976" s="1426"/>
      <c r="F976" s="1420"/>
      <c r="G976" s="1426"/>
      <c r="H976" s="1426"/>
      <c r="I976" s="1420"/>
      <c r="J976" s="1426"/>
      <c r="K976" s="1426"/>
      <c r="O976" s="1364"/>
      <c r="P976" s="1364"/>
      <c r="Q976" s="1364"/>
      <c r="T976" s="1365"/>
      <c r="U976" s="1365"/>
      <c r="V976" s="1365"/>
    </row>
    <row r="977" spans="1:36" s="1363" customFormat="1" hidden="1">
      <c r="A977" s="1436"/>
      <c r="B977" s="1426"/>
      <c r="C977" s="1420"/>
      <c r="D977" s="1420"/>
      <c r="E977" s="1426"/>
      <c r="F977" s="1420"/>
      <c r="G977" s="1426"/>
      <c r="H977" s="1426"/>
      <c r="I977" s="1420"/>
      <c r="J977" s="1426"/>
      <c r="K977" s="1426"/>
      <c r="O977" s="1364"/>
      <c r="P977" s="1364"/>
      <c r="Q977" s="1364"/>
      <c r="T977" s="1365"/>
      <c r="U977" s="1365"/>
      <c r="V977" s="1365"/>
    </row>
    <row r="978" spans="1:36" s="1363" customFormat="1" hidden="1">
      <c r="A978" s="1436"/>
      <c r="B978" s="1426"/>
      <c r="C978" s="1420"/>
      <c r="D978" s="1420"/>
      <c r="E978" s="1426"/>
      <c r="F978" s="1420"/>
      <c r="G978" s="1426"/>
      <c r="H978" s="1426"/>
      <c r="I978" s="1420"/>
      <c r="J978" s="1426"/>
      <c r="K978" s="1426"/>
      <c r="O978" s="1364"/>
      <c r="P978" s="1364"/>
      <c r="Q978" s="1364"/>
      <c r="T978" s="1365"/>
      <c r="U978" s="1365"/>
      <c r="V978" s="1365"/>
    </row>
    <row r="979" spans="1:36" s="1363" customFormat="1" hidden="1">
      <c r="A979" s="1436"/>
      <c r="B979" s="1433"/>
      <c r="C979" s="1420"/>
      <c r="D979" s="1420"/>
      <c r="E979" s="1426"/>
      <c r="F979" s="1420"/>
      <c r="G979" s="1426"/>
      <c r="H979" s="1426"/>
      <c r="I979" s="1420"/>
      <c r="J979" s="1426"/>
      <c r="K979" s="1426"/>
      <c r="O979" s="1364"/>
      <c r="P979" s="1364"/>
      <c r="Q979" s="1364"/>
      <c r="T979" s="1365"/>
      <c r="U979" s="1365"/>
      <c r="V979" s="1365"/>
    </row>
    <row r="980" spans="1:36" s="1363" customFormat="1" hidden="1">
      <c r="A980" s="1436"/>
      <c r="B980" s="1433"/>
      <c r="C980" s="1464"/>
      <c r="D980" s="1464"/>
      <c r="E980" s="1420"/>
      <c r="F980" s="1464"/>
      <c r="G980" s="1435"/>
      <c r="H980" s="1420"/>
      <c r="I980" s="1464"/>
      <c r="J980" s="1435"/>
      <c r="K980" s="1420"/>
      <c r="O980" s="1364"/>
      <c r="P980" s="1364"/>
      <c r="Q980" s="1364"/>
      <c r="T980" s="1365"/>
      <c r="U980" s="1365"/>
      <c r="V980" s="1365"/>
    </row>
    <row r="981" spans="1:36" s="1363" customFormat="1" hidden="1">
      <c r="A981" s="1436"/>
      <c r="B981" s="1433"/>
      <c r="C981" s="1464"/>
      <c r="D981" s="1464"/>
      <c r="E981" s="1420"/>
      <c r="F981" s="1464"/>
      <c r="G981" s="1437"/>
      <c r="H981" s="1420"/>
      <c r="I981" s="1464"/>
      <c r="J981" s="1437"/>
      <c r="K981" s="1420"/>
      <c r="O981" s="1364"/>
      <c r="P981" s="1364"/>
      <c r="Q981" s="1364"/>
      <c r="T981" s="1365"/>
      <c r="U981" s="1365"/>
      <c r="V981" s="1365"/>
    </row>
    <row r="982" spans="1:36" s="1363" customFormat="1" hidden="1">
      <c r="A982" s="1436"/>
      <c r="B982" s="1433"/>
      <c r="C982" s="1464"/>
      <c r="D982" s="1464"/>
      <c r="E982" s="1420"/>
      <c r="F982" s="1464"/>
      <c r="G982" s="1435"/>
      <c r="H982" s="1420"/>
      <c r="I982" s="1464"/>
      <c r="J982" s="1435"/>
      <c r="K982" s="1420"/>
      <c r="O982" s="1364"/>
      <c r="P982" s="1364"/>
      <c r="Q982" s="1364"/>
      <c r="T982" s="1365"/>
      <c r="U982" s="1365"/>
      <c r="V982" s="1365"/>
    </row>
    <row r="983" spans="1:36" s="1363" customFormat="1" hidden="1">
      <c r="A983" s="1436"/>
      <c r="B983" s="1433"/>
      <c r="C983" s="1464"/>
      <c r="D983" s="1464"/>
      <c r="E983" s="1420"/>
      <c r="F983" s="1464"/>
      <c r="G983" s="1435"/>
      <c r="H983" s="1420"/>
      <c r="I983" s="1464"/>
      <c r="J983" s="1435"/>
      <c r="K983" s="1420"/>
      <c r="O983" s="1364"/>
      <c r="P983" s="1364"/>
      <c r="Q983" s="1364"/>
      <c r="T983" s="1365"/>
      <c r="U983" s="1365"/>
      <c r="V983" s="1365"/>
    </row>
    <row r="984" spans="1:36" s="1363" customFormat="1" hidden="1">
      <c r="A984" s="1436"/>
      <c r="B984" s="1433"/>
      <c r="C984" s="1464"/>
      <c r="D984" s="1464"/>
      <c r="E984" s="1420"/>
      <c r="F984" s="1464"/>
      <c r="G984" s="1435"/>
      <c r="H984" s="1420"/>
      <c r="I984" s="1464"/>
      <c r="J984" s="1435"/>
      <c r="K984" s="1420"/>
      <c r="O984" s="1364"/>
      <c r="P984" s="1364"/>
      <c r="Q984" s="1364"/>
      <c r="T984" s="1365"/>
      <c r="U984" s="1365"/>
      <c r="V984" s="1365"/>
    </row>
    <row r="985" spans="1:36" s="1363" customFormat="1" hidden="1">
      <c r="A985" s="1436"/>
      <c r="B985" s="1433"/>
      <c r="C985" s="1464"/>
      <c r="D985" s="1464"/>
      <c r="E985" s="1420"/>
      <c r="F985" s="1464"/>
      <c r="G985" s="1435"/>
      <c r="H985" s="1420"/>
      <c r="I985" s="1464"/>
      <c r="J985" s="1435"/>
      <c r="K985" s="1420"/>
      <c r="O985" s="1364"/>
      <c r="P985" s="1364"/>
      <c r="Q985" s="1364"/>
      <c r="T985" s="1365"/>
      <c r="U985" s="1365"/>
      <c r="V985" s="1365"/>
    </row>
    <row r="986" spans="1:36" s="1363" customFormat="1" hidden="1">
      <c r="A986" s="1436"/>
      <c r="B986" s="1433"/>
      <c r="C986" s="1464"/>
      <c r="D986" s="1464"/>
      <c r="E986" s="1420"/>
      <c r="F986" s="1464"/>
      <c r="G986" s="1435"/>
      <c r="H986" s="1420"/>
      <c r="I986" s="1464"/>
      <c r="J986" s="1435"/>
      <c r="K986" s="1420"/>
      <c r="O986" s="1364"/>
      <c r="P986" s="1364"/>
      <c r="Q986" s="1364"/>
      <c r="T986" s="1365"/>
      <c r="U986" s="1365"/>
      <c r="V986" s="1365"/>
    </row>
    <row r="987" spans="1:36" s="1363" customFormat="1" hidden="1">
      <c r="A987" s="1436"/>
      <c r="B987" s="1433"/>
      <c r="C987" s="1521"/>
      <c r="D987" s="1435"/>
      <c r="E987" s="1420"/>
      <c r="F987" s="1521"/>
      <c r="G987" s="1435"/>
      <c r="H987" s="1420"/>
      <c r="I987" s="1521"/>
      <c r="J987" s="1435"/>
      <c r="K987" s="1420"/>
      <c r="O987" s="1364"/>
      <c r="P987" s="1364"/>
      <c r="Q987" s="1364"/>
      <c r="T987" s="1365"/>
      <c r="U987" s="1365"/>
      <c r="V987" s="1365"/>
    </row>
    <row r="988" spans="1:36" s="1363" customFormat="1" hidden="1">
      <c r="A988" s="1436"/>
      <c r="B988" s="1433"/>
      <c r="C988" s="1464"/>
      <c r="D988" s="1435"/>
      <c r="E988" s="1420"/>
      <c r="F988" s="1464"/>
      <c r="G988" s="1435"/>
      <c r="H988" s="1420"/>
      <c r="I988" s="1464"/>
      <c r="J988" s="1435"/>
      <c r="K988" s="1420"/>
      <c r="O988" s="1364"/>
      <c r="P988" s="1364"/>
      <c r="Q988" s="1364"/>
      <c r="T988" s="1365"/>
      <c r="U988" s="1365"/>
      <c r="V988" s="1365"/>
    </row>
    <row r="989" spans="1:36" s="1363" customFormat="1" hidden="1">
      <c r="B989" s="1433"/>
      <c r="C989" s="1398"/>
      <c r="E989" s="1420"/>
      <c r="F989" s="1398"/>
      <c r="H989" s="1420"/>
      <c r="I989" s="1398"/>
      <c r="K989" s="1420"/>
      <c r="M989" s="1427"/>
      <c r="O989" s="1449"/>
      <c r="R989" s="1450"/>
      <c r="S989" s="1450"/>
      <c r="T989" s="1365"/>
      <c r="U989" s="1365"/>
      <c r="V989" s="1365"/>
      <c r="AJ989" s="1427"/>
    </row>
    <row r="990" spans="1:36" s="1363" customFormat="1" hidden="1">
      <c r="A990" s="1426"/>
      <c r="B990" s="1433"/>
      <c r="C990" s="1448"/>
      <c r="D990" s="1420"/>
      <c r="E990" s="1420"/>
      <c r="F990" s="1448"/>
      <c r="G990" s="1426"/>
      <c r="H990" s="1420"/>
      <c r="I990" s="1448"/>
      <c r="J990" s="1426"/>
      <c r="K990" s="1420"/>
      <c r="O990" s="1364"/>
      <c r="P990" s="1364"/>
      <c r="Q990" s="1364"/>
      <c r="T990" s="1365"/>
      <c r="U990" s="1365"/>
      <c r="V990" s="1365"/>
    </row>
    <row r="991" spans="1:36" s="1363" customFormat="1" hidden="1">
      <c r="A991" s="1426"/>
      <c r="B991" s="1433"/>
      <c r="C991" s="1436"/>
      <c r="D991" s="1436"/>
      <c r="E991" s="1420"/>
      <c r="F991" s="1436"/>
      <c r="G991" s="1436"/>
      <c r="H991" s="1420"/>
      <c r="I991" s="1436"/>
      <c r="J991" s="1436"/>
      <c r="K991" s="1420"/>
      <c r="M991" s="1422"/>
      <c r="N991" s="1422"/>
      <c r="O991" s="1423"/>
      <c r="P991" s="1364"/>
      <c r="Q991" s="1364"/>
      <c r="T991" s="1365"/>
      <c r="U991" s="1365"/>
      <c r="V991" s="1365"/>
    </row>
    <row r="992" spans="1:36" s="1363" customFormat="1" hidden="1">
      <c r="A992" s="1426"/>
      <c r="B992" s="1433"/>
      <c r="C992" s="1467"/>
      <c r="D992" s="1468"/>
      <c r="E992" s="1420"/>
      <c r="F992" s="1467"/>
      <c r="G992" s="1426"/>
      <c r="H992" s="1420"/>
      <c r="I992" s="1467"/>
      <c r="J992" s="1426"/>
      <c r="K992" s="1420"/>
      <c r="M992" s="1424"/>
      <c r="N992" s="1424"/>
      <c r="O992" s="1412"/>
      <c r="P992" s="1364"/>
      <c r="Q992" s="1364"/>
      <c r="T992" s="1365"/>
      <c r="U992" s="1365"/>
      <c r="V992" s="1365"/>
    </row>
    <row r="993" spans="1:36" s="1363" customFormat="1" hidden="1">
      <c r="A993" s="1426"/>
      <c r="B993" s="1428"/>
      <c r="C993" s="1464"/>
      <c r="D993" s="1420"/>
      <c r="E993" s="1420"/>
      <c r="F993" s="1464"/>
      <c r="G993" s="1426"/>
      <c r="H993" s="1420"/>
      <c r="I993" s="1461"/>
      <c r="J993" s="1426"/>
      <c r="K993" s="1420"/>
      <c r="O993" s="1364"/>
      <c r="P993" s="1364"/>
      <c r="Q993" s="1364"/>
      <c r="T993" s="1365"/>
      <c r="U993" s="1365"/>
      <c r="V993" s="1365"/>
    </row>
    <row r="994" spans="1:36" s="1363" customFormat="1" hidden="1">
      <c r="A994" s="1426"/>
      <c r="B994" s="1428"/>
      <c r="C994" s="1464"/>
      <c r="D994" s="1420"/>
      <c r="E994" s="1420"/>
      <c r="F994" s="1464"/>
      <c r="G994" s="1426"/>
      <c r="H994" s="1420"/>
      <c r="I994" s="1464"/>
      <c r="J994" s="1426"/>
      <c r="K994" s="1503"/>
      <c r="O994" s="1364"/>
      <c r="P994" s="1364"/>
      <c r="Q994" s="1364"/>
      <c r="T994" s="1365"/>
      <c r="U994" s="1365"/>
      <c r="V994" s="1365"/>
    </row>
    <row r="995" spans="1:36" s="1363" customFormat="1" hidden="1">
      <c r="A995" s="1425"/>
      <c r="B995" s="1426"/>
      <c r="C995" s="1420"/>
      <c r="D995" s="1420"/>
      <c r="E995" s="1426"/>
      <c r="F995" s="1420"/>
      <c r="G995" s="1426"/>
      <c r="H995" s="1426"/>
      <c r="I995" s="1420"/>
      <c r="J995" s="1426"/>
      <c r="K995" s="1426"/>
      <c r="O995" s="1364"/>
      <c r="P995" s="1364"/>
      <c r="Q995" s="1364"/>
      <c r="T995" s="1365"/>
      <c r="U995" s="1365"/>
      <c r="V995" s="1365"/>
    </row>
    <row r="996" spans="1:36" s="1363" customFormat="1" hidden="1">
      <c r="A996" s="1436"/>
      <c r="B996" s="1426"/>
      <c r="C996" s="1420"/>
      <c r="D996" s="1420"/>
      <c r="E996" s="1426"/>
      <c r="F996" s="1420"/>
      <c r="G996" s="1426"/>
      <c r="H996" s="1426"/>
      <c r="I996" s="1420"/>
      <c r="J996" s="1426"/>
      <c r="K996" s="1426"/>
      <c r="O996" s="1364"/>
      <c r="P996" s="1364"/>
      <c r="Q996" s="1364"/>
      <c r="T996" s="1365"/>
      <c r="U996" s="1365"/>
      <c r="V996" s="1365"/>
    </row>
    <row r="997" spans="1:36" s="1363" customFormat="1" hidden="1">
      <c r="A997" s="1436"/>
      <c r="B997" s="1426"/>
      <c r="C997" s="1420"/>
      <c r="D997" s="1420"/>
      <c r="E997" s="1426"/>
      <c r="F997" s="1420"/>
      <c r="G997" s="1426"/>
      <c r="H997" s="1426"/>
      <c r="I997" s="1420"/>
      <c r="J997" s="1426"/>
      <c r="K997" s="1426"/>
      <c r="O997" s="1364"/>
      <c r="P997" s="1364"/>
      <c r="Q997" s="1364"/>
      <c r="T997" s="1365"/>
      <c r="U997" s="1365"/>
      <c r="V997" s="1365"/>
    </row>
    <row r="998" spans="1:36" s="1363" customFormat="1" hidden="1">
      <c r="A998" s="1436"/>
      <c r="B998" s="1433"/>
      <c r="C998" s="1420"/>
      <c r="D998" s="1420"/>
      <c r="E998" s="1426"/>
      <c r="F998" s="1420"/>
      <c r="G998" s="1426"/>
      <c r="H998" s="1426"/>
      <c r="I998" s="1420"/>
      <c r="J998" s="1426"/>
      <c r="K998" s="1426"/>
      <c r="O998" s="1364"/>
      <c r="P998" s="1364"/>
      <c r="Q998" s="1364"/>
      <c r="T998" s="1365"/>
      <c r="U998" s="1365"/>
      <c r="V998" s="1365"/>
    </row>
    <row r="999" spans="1:36" s="1363" customFormat="1" hidden="1">
      <c r="A999" s="1436"/>
      <c r="B999" s="1433"/>
      <c r="C999" s="1464"/>
      <c r="D999" s="1464"/>
      <c r="E999" s="1420"/>
      <c r="F999" s="1464"/>
      <c r="G999" s="1435"/>
      <c r="H999" s="1420"/>
      <c r="I999" s="1464"/>
      <c r="J999" s="1435"/>
      <c r="K999" s="1420"/>
      <c r="O999" s="1364"/>
      <c r="P999" s="1364"/>
      <c r="Q999" s="1364"/>
      <c r="T999" s="1365"/>
      <c r="U999" s="1365"/>
      <c r="V999" s="1365"/>
    </row>
    <row r="1000" spans="1:36" s="1363" customFormat="1" hidden="1">
      <c r="A1000" s="1436"/>
      <c r="B1000" s="1433"/>
      <c r="C1000" s="1464"/>
      <c r="D1000" s="1464"/>
      <c r="E1000" s="1420"/>
      <c r="F1000" s="1464"/>
      <c r="G1000" s="1437"/>
      <c r="H1000" s="1420"/>
      <c r="I1000" s="1464"/>
      <c r="J1000" s="1437"/>
      <c r="K1000" s="1420"/>
      <c r="O1000" s="1364"/>
      <c r="P1000" s="1364"/>
      <c r="Q1000" s="1364"/>
      <c r="T1000" s="1365"/>
      <c r="U1000" s="1365"/>
      <c r="V1000" s="1365"/>
    </row>
    <row r="1001" spans="1:36" s="1363" customFormat="1" hidden="1">
      <c r="A1001" s="1436"/>
      <c r="B1001" s="1433"/>
      <c r="C1001" s="1464"/>
      <c r="D1001" s="1464"/>
      <c r="E1001" s="1420"/>
      <c r="F1001" s="1464"/>
      <c r="G1001" s="1435"/>
      <c r="H1001" s="1420"/>
      <c r="I1001" s="1464"/>
      <c r="J1001" s="1435"/>
      <c r="K1001" s="1420"/>
      <c r="O1001" s="1364"/>
      <c r="P1001" s="1364"/>
      <c r="Q1001" s="1364"/>
      <c r="T1001" s="1365"/>
      <c r="U1001" s="1365"/>
      <c r="V1001" s="1365"/>
    </row>
    <row r="1002" spans="1:36" s="1363" customFormat="1" hidden="1">
      <c r="A1002" s="1436"/>
      <c r="B1002" s="1433"/>
      <c r="C1002" s="1464"/>
      <c r="D1002" s="1464"/>
      <c r="E1002" s="1420"/>
      <c r="F1002" s="1464"/>
      <c r="G1002" s="1435"/>
      <c r="H1002" s="1420"/>
      <c r="I1002" s="1464"/>
      <c r="J1002" s="1435"/>
      <c r="K1002" s="1420"/>
      <c r="O1002" s="1364"/>
      <c r="P1002" s="1364"/>
      <c r="Q1002" s="1364"/>
      <c r="T1002" s="1365"/>
      <c r="U1002" s="1365"/>
      <c r="V1002" s="1365"/>
    </row>
    <row r="1003" spans="1:36" s="1363" customFormat="1" hidden="1">
      <c r="A1003" s="1436"/>
      <c r="B1003" s="1433"/>
      <c r="C1003" s="1464"/>
      <c r="D1003" s="1464"/>
      <c r="E1003" s="1420"/>
      <c r="F1003" s="1464"/>
      <c r="G1003" s="1435"/>
      <c r="H1003" s="1420"/>
      <c r="I1003" s="1464"/>
      <c r="J1003" s="1435"/>
      <c r="K1003" s="1420"/>
      <c r="O1003" s="1364"/>
      <c r="P1003" s="1364"/>
      <c r="Q1003" s="1364"/>
      <c r="T1003" s="1365"/>
      <c r="U1003" s="1365"/>
      <c r="V1003" s="1365"/>
    </row>
    <row r="1004" spans="1:36" s="1363" customFormat="1" hidden="1">
      <c r="A1004" s="1436"/>
      <c r="B1004" s="1433"/>
      <c r="C1004" s="1464"/>
      <c r="D1004" s="1464"/>
      <c r="E1004" s="1420"/>
      <c r="F1004" s="1464"/>
      <c r="G1004" s="1435"/>
      <c r="H1004" s="1420"/>
      <c r="I1004" s="1464"/>
      <c r="J1004" s="1435"/>
      <c r="K1004" s="1420"/>
      <c r="O1004" s="1364"/>
      <c r="P1004" s="1364"/>
      <c r="Q1004" s="1364"/>
      <c r="T1004" s="1365"/>
      <c r="U1004" s="1365"/>
      <c r="V1004" s="1365"/>
    </row>
    <row r="1005" spans="1:36" s="1363" customFormat="1" hidden="1">
      <c r="A1005" s="1436"/>
      <c r="B1005" s="1433"/>
      <c r="C1005" s="1464"/>
      <c r="D1005" s="1464"/>
      <c r="E1005" s="1420"/>
      <c r="F1005" s="1464"/>
      <c r="G1005" s="1435"/>
      <c r="H1005" s="1420"/>
      <c r="I1005" s="1464"/>
      <c r="J1005" s="1435"/>
      <c r="K1005" s="1420"/>
      <c r="O1005" s="1364"/>
      <c r="P1005" s="1364"/>
      <c r="Q1005" s="1364"/>
      <c r="T1005" s="1365"/>
      <c r="U1005" s="1365"/>
      <c r="V1005" s="1365"/>
    </row>
    <row r="1006" spans="1:36" s="1363" customFormat="1" hidden="1">
      <c r="A1006" s="1436"/>
      <c r="B1006" s="1433"/>
      <c r="C1006" s="1521"/>
      <c r="D1006" s="1435"/>
      <c r="E1006" s="1420"/>
      <c r="F1006" s="1521"/>
      <c r="G1006" s="1435"/>
      <c r="H1006" s="1420"/>
      <c r="I1006" s="1521"/>
      <c r="J1006" s="1435"/>
      <c r="K1006" s="1420"/>
      <c r="O1006" s="1364"/>
      <c r="P1006" s="1364"/>
      <c r="Q1006" s="1364"/>
      <c r="T1006" s="1365"/>
      <c r="U1006" s="1365"/>
      <c r="V1006" s="1365"/>
    </row>
    <row r="1007" spans="1:36" s="1363" customFormat="1" hidden="1">
      <c r="A1007" s="1436"/>
      <c r="B1007" s="1433"/>
      <c r="C1007" s="1464"/>
      <c r="D1007" s="1435"/>
      <c r="E1007" s="1420"/>
      <c r="F1007" s="1464"/>
      <c r="G1007" s="1435"/>
      <c r="H1007" s="1420"/>
      <c r="I1007" s="1464"/>
      <c r="J1007" s="1435"/>
      <c r="K1007" s="1420"/>
      <c r="O1007" s="1364"/>
      <c r="P1007" s="1364"/>
      <c r="Q1007" s="1364"/>
      <c r="T1007" s="1365"/>
      <c r="U1007" s="1365"/>
      <c r="V1007" s="1365"/>
    </row>
    <row r="1008" spans="1:36" s="1363" customFormat="1" hidden="1">
      <c r="B1008" s="1433"/>
      <c r="C1008" s="1398"/>
      <c r="E1008" s="1420"/>
      <c r="F1008" s="1398"/>
      <c r="H1008" s="1420"/>
      <c r="I1008" s="1398"/>
      <c r="K1008" s="1420"/>
      <c r="M1008" s="1427"/>
      <c r="O1008" s="1449"/>
      <c r="R1008" s="1450"/>
      <c r="S1008" s="1450"/>
      <c r="T1008" s="1365"/>
      <c r="U1008" s="1365"/>
      <c r="V1008" s="1365"/>
      <c r="AJ1008" s="1427"/>
    </row>
    <row r="1009" spans="1:25" s="1363" customFormat="1" hidden="1">
      <c r="A1009" s="1426"/>
      <c r="B1009" s="1433"/>
      <c r="C1009" s="1448"/>
      <c r="D1009" s="1420"/>
      <c r="E1009" s="1420"/>
      <c r="F1009" s="1448"/>
      <c r="G1009" s="1426"/>
      <c r="H1009" s="1420"/>
      <c r="I1009" s="1448"/>
      <c r="J1009" s="1426"/>
      <c r="K1009" s="1420"/>
      <c r="O1009" s="1364"/>
      <c r="P1009" s="1364"/>
      <c r="Q1009" s="1364"/>
      <c r="T1009" s="1365"/>
      <c r="U1009" s="1365"/>
      <c r="V1009" s="1365"/>
    </row>
    <row r="1010" spans="1:25" s="1363" customFormat="1" hidden="1">
      <c r="A1010" s="1426"/>
      <c r="B1010" s="1433"/>
      <c r="C1010" s="1436"/>
      <c r="D1010" s="1436"/>
      <c r="E1010" s="1420"/>
      <c r="F1010" s="1436"/>
      <c r="G1010" s="1436"/>
      <c r="H1010" s="1420"/>
      <c r="I1010" s="1436"/>
      <c r="J1010" s="1436"/>
      <c r="K1010" s="1420"/>
      <c r="M1010" s="1422"/>
      <c r="N1010" s="1422"/>
      <c r="O1010" s="1423"/>
      <c r="P1010" s="1364"/>
      <c r="Q1010" s="1364"/>
      <c r="T1010" s="1365"/>
      <c r="U1010" s="1365"/>
      <c r="V1010" s="1365"/>
    </row>
    <row r="1011" spans="1:25" s="1363" customFormat="1" hidden="1">
      <c r="A1011" s="1426"/>
      <c r="B1011" s="1433"/>
      <c r="C1011" s="1467"/>
      <c r="D1011" s="1468"/>
      <c r="E1011" s="1420"/>
      <c r="F1011" s="1467"/>
      <c r="G1011" s="1426"/>
      <c r="H1011" s="1420"/>
      <c r="I1011" s="1467"/>
      <c r="J1011" s="1426"/>
      <c r="K1011" s="1420"/>
      <c r="M1011" s="1424"/>
      <c r="N1011" s="1424"/>
      <c r="O1011" s="1412"/>
      <c r="P1011" s="1364"/>
      <c r="Q1011" s="1364"/>
      <c r="T1011" s="1365"/>
      <c r="U1011" s="1365"/>
      <c r="V1011" s="1365"/>
    </row>
    <row r="1012" spans="1:25" s="1363" customFormat="1">
      <c r="A1012" s="1426"/>
      <c r="B1012" s="1428"/>
      <c r="C1012" s="1464"/>
      <c r="D1012" s="1420"/>
      <c r="E1012" s="1420"/>
      <c r="F1012" s="1464"/>
      <c r="G1012" s="1426"/>
      <c r="H1012" s="1420"/>
      <c r="I1012" s="1461"/>
      <c r="J1012" s="1426"/>
      <c r="K1012" s="1420"/>
      <c r="O1012" s="1364"/>
      <c r="P1012" s="1364"/>
      <c r="Q1012" s="1364"/>
      <c r="T1012" s="1365"/>
      <c r="U1012" s="1365"/>
      <c r="V1012" s="1365"/>
    </row>
    <row r="1013" spans="1:25" s="1363" customFormat="1">
      <c r="A1013" s="1425"/>
      <c r="B1013" s="1426"/>
      <c r="C1013" s="1420"/>
      <c r="D1013" s="1420"/>
      <c r="E1013" s="1426"/>
      <c r="F1013" s="1420"/>
      <c r="G1013" s="1426"/>
      <c r="H1013" s="1426"/>
      <c r="I1013" s="1420"/>
      <c r="J1013" s="1426"/>
      <c r="K1013" s="1426"/>
      <c r="O1013" s="1364"/>
      <c r="P1013" s="1364"/>
      <c r="Q1013" s="1364"/>
      <c r="T1013" s="1365"/>
      <c r="U1013" s="1365"/>
      <c r="V1013" s="1365"/>
    </row>
    <row r="1014" spans="1:25" s="1363" customFormat="1">
      <c r="A1014" s="1436"/>
      <c r="B1014" s="1426"/>
      <c r="C1014" s="1420"/>
      <c r="D1014" s="1420"/>
      <c r="E1014" s="1426"/>
      <c r="F1014" s="1420"/>
      <c r="G1014" s="1426"/>
      <c r="H1014" s="1426"/>
      <c r="I1014" s="1420"/>
      <c r="J1014" s="1426"/>
      <c r="K1014" s="1426"/>
      <c r="O1014" s="1364"/>
      <c r="P1014" s="1364"/>
      <c r="Q1014" s="1364"/>
      <c r="T1014" s="1365"/>
      <c r="U1014" s="1365"/>
      <c r="V1014" s="1365"/>
    </row>
    <row r="1015" spans="1:25" s="1363" customFormat="1">
      <c r="A1015" s="1436"/>
      <c r="B1015" s="1426"/>
      <c r="C1015" s="1420"/>
      <c r="D1015" s="1420"/>
      <c r="E1015" s="1426"/>
      <c r="F1015" s="1420"/>
      <c r="G1015" s="1426"/>
      <c r="H1015" s="1426"/>
      <c r="I1015" s="1420"/>
      <c r="J1015" s="1426"/>
      <c r="K1015" s="1426"/>
      <c r="O1015" s="1364"/>
      <c r="P1015" s="1364"/>
      <c r="Q1015" s="1364"/>
      <c r="T1015" s="1365"/>
      <c r="U1015" s="1365"/>
      <c r="V1015" s="1365"/>
    </row>
    <row r="1016" spans="1:25" s="1363" customFormat="1">
      <c r="A1016" s="1436"/>
      <c r="B1016" s="1433"/>
      <c r="C1016" s="1420"/>
      <c r="D1016" s="1420"/>
      <c r="E1016" s="1426"/>
      <c r="F1016" s="1420"/>
      <c r="G1016" s="1426"/>
      <c r="H1016" s="1426"/>
      <c r="I1016" s="1420"/>
      <c r="J1016" s="1426"/>
      <c r="K1016" s="1426"/>
      <c r="O1016" s="1364"/>
      <c r="P1016" s="1364"/>
      <c r="Q1016" s="1364"/>
      <c r="T1016" s="1365"/>
      <c r="U1016" s="1365"/>
      <c r="V1016" s="1365"/>
    </row>
    <row r="1017" spans="1:25" s="1363" customFormat="1">
      <c r="A1017" s="1436"/>
      <c r="B1017" s="1433"/>
      <c r="C1017" s="1464"/>
      <c r="D1017" s="1464"/>
      <c r="E1017" s="1420"/>
      <c r="F1017" s="1464"/>
      <c r="G1017" s="1435"/>
      <c r="H1017" s="1420"/>
      <c r="I1017" s="1464"/>
      <c r="J1017" s="1435"/>
      <c r="K1017" s="1420"/>
      <c r="O1017" s="1364"/>
      <c r="P1017" s="1527"/>
      <c r="Q1017" s="1527"/>
      <c r="S1017" s="1518"/>
      <c r="T1017" s="1486"/>
      <c r="U1017" s="1519"/>
      <c r="V1017" s="1486"/>
      <c r="W1017" s="1518"/>
      <c r="X1017" s="1518"/>
      <c r="Y1017" s="1487"/>
    </row>
    <row r="1018" spans="1:25" s="1363" customFormat="1">
      <c r="A1018" s="1436"/>
      <c r="B1018" s="1433"/>
      <c r="C1018" s="1464"/>
      <c r="D1018" s="1464"/>
      <c r="E1018" s="1420"/>
      <c r="F1018" s="1464"/>
      <c r="G1018" s="1437"/>
      <c r="H1018" s="1420"/>
      <c r="I1018" s="1464"/>
      <c r="J1018" s="1437"/>
      <c r="K1018" s="1420"/>
      <c r="O1018" s="1364"/>
      <c r="P1018" s="1417"/>
      <c r="Q1018" s="1412"/>
      <c r="S1018" s="1518"/>
      <c r="T1018" s="1486"/>
      <c r="U1018" s="1519"/>
      <c r="V1018" s="1486"/>
      <c r="W1018" s="1518"/>
      <c r="X1018" s="1518"/>
      <c r="Y1018" s="1487"/>
    </row>
    <row r="1019" spans="1:25" s="1363" customFormat="1">
      <c r="A1019" s="1436"/>
      <c r="B1019" s="1433"/>
      <c r="C1019" s="1464"/>
      <c r="D1019" s="1464"/>
      <c r="E1019" s="1420"/>
      <c r="F1019" s="1464"/>
      <c r="G1019" s="1435"/>
      <c r="H1019" s="1420"/>
      <c r="I1019" s="1464"/>
      <c r="J1019" s="1435"/>
      <c r="K1019" s="1420"/>
      <c r="O1019" s="1364"/>
      <c r="P1019" s="1377"/>
      <c r="Q1019" s="1364"/>
      <c r="S1019" s="1518"/>
      <c r="T1019" s="1486"/>
      <c r="U1019" s="1519"/>
      <c r="V1019" s="1486"/>
      <c r="W1019" s="1518"/>
      <c r="X1019" s="1518"/>
      <c r="Y1019" s="1487"/>
    </row>
    <row r="1020" spans="1:25" s="1363" customFormat="1">
      <c r="A1020" s="1436"/>
      <c r="B1020" s="1433"/>
      <c r="C1020" s="1464"/>
      <c r="D1020" s="1464"/>
      <c r="E1020" s="1420"/>
      <c r="F1020" s="1464"/>
      <c r="G1020" s="1435"/>
      <c r="H1020" s="1420"/>
      <c r="I1020" s="1464"/>
      <c r="J1020" s="1435"/>
      <c r="K1020" s="1420"/>
      <c r="O1020" s="1364"/>
      <c r="P1020" s="1377"/>
      <c r="Q1020" s="1364"/>
      <c r="S1020" s="1518"/>
      <c r="T1020" s="1486"/>
      <c r="U1020" s="1519"/>
      <c r="V1020" s="1486"/>
      <c r="W1020" s="1518"/>
      <c r="X1020" s="1518"/>
      <c r="Y1020" s="1487"/>
    </row>
    <row r="1021" spans="1:25" s="1363" customFormat="1">
      <c r="A1021" s="1436"/>
      <c r="B1021" s="1433"/>
      <c r="C1021" s="1464"/>
      <c r="D1021" s="1464"/>
      <c r="E1021" s="1420"/>
      <c r="F1021" s="1464"/>
      <c r="G1021" s="1435"/>
      <c r="H1021" s="1420"/>
      <c r="I1021" s="1464"/>
      <c r="J1021" s="1435"/>
      <c r="K1021" s="1420"/>
      <c r="O1021" s="1364"/>
      <c r="P1021" s="1417"/>
      <c r="Q1021" s="1412"/>
      <c r="S1021" s="1518"/>
      <c r="T1021" s="1486"/>
      <c r="U1021" s="1519"/>
      <c r="V1021" s="1486"/>
      <c r="W1021" s="1518"/>
      <c r="X1021" s="1518"/>
      <c r="Y1021" s="1487"/>
    </row>
    <row r="1022" spans="1:25" s="1363" customFormat="1">
      <c r="A1022" s="1436"/>
      <c r="B1022" s="1433"/>
      <c r="C1022" s="1464"/>
      <c r="D1022" s="1464"/>
      <c r="E1022" s="1420"/>
      <c r="F1022" s="1464"/>
      <c r="G1022" s="1435"/>
      <c r="H1022" s="1420"/>
      <c r="I1022" s="1464"/>
      <c r="J1022" s="1435"/>
      <c r="K1022" s="1420"/>
      <c r="O1022" s="1364"/>
      <c r="P1022" s="1417"/>
      <c r="Q1022" s="1412"/>
      <c r="R1022" s="1364"/>
      <c r="S1022" s="1524"/>
      <c r="T1022" s="1486"/>
      <c r="U1022" s="1523"/>
      <c r="V1022" s="1486"/>
      <c r="W1022" s="1524"/>
      <c r="X1022" s="1364"/>
      <c r="Y1022" s="1487"/>
    </row>
    <row r="1023" spans="1:25" s="1363" customFormat="1">
      <c r="A1023" s="1436"/>
      <c r="B1023" s="1433"/>
      <c r="C1023" s="1464"/>
      <c r="D1023" s="1464"/>
      <c r="E1023" s="1420"/>
      <c r="F1023" s="1464"/>
      <c r="G1023" s="1435"/>
      <c r="H1023" s="1420"/>
      <c r="I1023" s="1522"/>
      <c r="J1023" s="1435"/>
      <c r="K1023" s="1420"/>
      <c r="O1023" s="1364"/>
      <c r="P1023" s="1377"/>
      <c r="Q1023" s="1364"/>
      <c r="R1023" s="1364"/>
      <c r="T1023" s="1365"/>
      <c r="U1023" s="1365"/>
      <c r="V1023" s="1365"/>
    </row>
    <row r="1024" spans="1:25" s="1363" customFormat="1">
      <c r="A1024" s="1436"/>
      <c r="B1024" s="1433"/>
      <c r="C1024" s="1521"/>
      <c r="D1024" s="1435"/>
      <c r="E1024" s="1420"/>
      <c r="F1024" s="1522"/>
      <c r="G1024" s="1435"/>
      <c r="H1024" s="1420"/>
      <c r="I1024" s="1514"/>
      <c r="J1024" s="1435"/>
      <c r="K1024" s="1420"/>
      <c r="O1024" s="1364"/>
      <c r="P1024" s="1417"/>
      <c r="Q1024" s="1412"/>
      <c r="R1024" s="1364"/>
      <c r="T1024" s="1365"/>
      <c r="U1024" s="1365"/>
      <c r="V1024" s="1365"/>
    </row>
    <row r="1025" spans="1:36" s="1363" customFormat="1">
      <c r="A1025" s="1436"/>
      <c r="B1025" s="1433"/>
      <c r="C1025" s="1464"/>
      <c r="D1025" s="1435"/>
      <c r="E1025" s="1420"/>
      <c r="F1025" s="1464"/>
      <c r="G1025" s="1435"/>
      <c r="H1025" s="1420"/>
      <c r="I1025" s="1464"/>
      <c r="J1025" s="1435"/>
      <c r="K1025" s="1420"/>
      <c r="O1025" s="1364"/>
      <c r="P1025" s="1417"/>
      <c r="Q1025" s="1412"/>
      <c r="R1025" s="1364"/>
      <c r="T1025" s="1365"/>
      <c r="U1025" s="1365"/>
      <c r="V1025" s="1365"/>
    </row>
    <row r="1026" spans="1:36" s="1363" customFormat="1">
      <c r="B1026" s="1474"/>
      <c r="C1026" s="1398"/>
      <c r="E1026" s="1420"/>
      <c r="F1026" s="1398"/>
      <c r="H1026" s="1420"/>
      <c r="I1026" s="1443"/>
      <c r="J1026" s="1435"/>
      <c r="K1026" s="1435"/>
      <c r="M1026" s="1427"/>
      <c r="N1026" s="1427"/>
      <c r="O1026" s="1449"/>
      <c r="R1026" s="1450"/>
      <c r="S1026" s="1450"/>
      <c r="T1026" s="1365"/>
      <c r="U1026" s="1365"/>
      <c r="V1026" s="1365"/>
      <c r="AJ1026" s="1427"/>
    </row>
    <row r="1027" spans="1:36" s="1363" customFormat="1">
      <c r="A1027" s="1451"/>
      <c r="B1027" s="1526"/>
      <c r="C1027" s="1453"/>
      <c r="D1027" s="1451"/>
      <c r="E1027" s="1454"/>
      <c r="F1027" s="1528"/>
      <c r="G1027" s="1457"/>
      <c r="H1027" s="1454"/>
      <c r="I1027" s="1529"/>
      <c r="J1027" s="1457"/>
      <c r="K1027" s="1457"/>
      <c r="M1027" s="1427"/>
      <c r="N1027" s="1427"/>
      <c r="O1027" s="1449"/>
      <c r="P1027" s="1417"/>
      <c r="R1027" s="1450"/>
      <c r="S1027" s="1450"/>
      <c r="T1027" s="1365"/>
      <c r="U1027" s="1365"/>
      <c r="V1027" s="1365"/>
      <c r="AJ1027" s="1427"/>
    </row>
    <row r="1028" spans="1:36" s="1363" customFormat="1">
      <c r="A1028" s="1426"/>
      <c r="B1028" s="1433"/>
      <c r="C1028" s="1448"/>
      <c r="D1028" s="1420"/>
      <c r="E1028" s="1420"/>
      <c r="F1028" s="1448"/>
      <c r="G1028" s="1426"/>
      <c r="H1028" s="1420"/>
      <c r="I1028" s="1448"/>
      <c r="J1028" s="1426"/>
      <c r="K1028" s="1420"/>
      <c r="O1028" s="1364"/>
      <c r="P1028" s="1364"/>
      <c r="Q1028" s="1364"/>
      <c r="T1028" s="1365"/>
      <c r="U1028" s="1365"/>
      <c r="V1028" s="1365"/>
    </row>
    <row r="1029" spans="1:36" s="1363" customFormat="1">
      <c r="A1029" s="1426"/>
      <c r="B1029" s="1433"/>
      <c r="C1029" s="1436"/>
      <c r="D1029" s="1436"/>
      <c r="E1029" s="1435"/>
      <c r="F1029" s="1436"/>
      <c r="G1029" s="1436"/>
      <c r="H1029" s="1435"/>
      <c r="I1029" s="1436"/>
      <c r="J1029" s="1436"/>
      <c r="K1029" s="1435"/>
      <c r="M1029" s="1422"/>
      <c r="N1029" s="1422"/>
      <c r="O1029" s="1423"/>
      <c r="P1029" s="1364"/>
      <c r="Q1029" s="1364"/>
      <c r="T1029" s="1365"/>
      <c r="U1029" s="1365"/>
      <c r="V1029" s="1365"/>
    </row>
    <row r="1030" spans="1:36" s="1363" customFormat="1">
      <c r="A1030" s="1426"/>
      <c r="B1030" s="1428"/>
      <c r="C1030" s="1467"/>
      <c r="D1030" s="1468"/>
      <c r="E1030" s="1435"/>
      <c r="F1030" s="1467"/>
      <c r="G1030" s="1426"/>
      <c r="H1030" s="1435"/>
      <c r="I1030" s="1467"/>
      <c r="J1030" s="1426"/>
      <c r="K1030" s="1435"/>
      <c r="M1030" s="1424"/>
      <c r="O1030" s="1427"/>
      <c r="P1030" s="1417"/>
      <c r="Q1030" s="1412"/>
      <c r="R1030" s="1412"/>
      <c r="T1030" s="1365"/>
      <c r="U1030" s="1365"/>
      <c r="V1030" s="1365"/>
    </row>
    <row r="1031" spans="1:36" s="1363" customFormat="1">
      <c r="A1031" s="1426"/>
      <c r="B1031" s="1428"/>
      <c r="C1031" s="1464"/>
      <c r="D1031" s="1420"/>
      <c r="E1031" s="1503"/>
      <c r="F1031" s="1464"/>
      <c r="G1031" s="1426"/>
      <c r="H1031" s="1420"/>
      <c r="I1031" s="1461"/>
      <c r="J1031" s="1426"/>
      <c r="K1031" s="1420"/>
      <c r="O1031" s="1424"/>
      <c r="P1031" s="1364"/>
      <c r="Q1031" s="1364"/>
      <c r="T1031" s="1365"/>
      <c r="U1031" s="1365"/>
      <c r="V1031" s="1365"/>
    </row>
    <row r="1032" spans="1:36" s="1363" customFormat="1">
      <c r="A1032" s="1425"/>
      <c r="B1032" s="1426"/>
      <c r="C1032" s="1426"/>
      <c r="D1032" s="1426"/>
      <c r="E1032" s="1420"/>
      <c r="F1032" s="1426"/>
      <c r="G1032" s="1426"/>
      <c r="H1032" s="1420"/>
      <c r="I1032" s="1426"/>
      <c r="J1032" s="1426"/>
      <c r="K1032" s="1426"/>
      <c r="O1032" s="1364"/>
      <c r="P1032" s="1364"/>
      <c r="Q1032" s="1364"/>
      <c r="T1032" s="1365"/>
      <c r="U1032" s="1365"/>
      <c r="V1032" s="1365"/>
    </row>
    <row r="1033" spans="1:36" s="1363" customFormat="1">
      <c r="A1033" s="1426"/>
      <c r="B1033" s="1426"/>
      <c r="C1033" s="1426"/>
      <c r="D1033" s="1426"/>
      <c r="E1033" s="1420"/>
      <c r="F1033" s="1426"/>
      <c r="G1033" s="1426"/>
      <c r="H1033" s="1420"/>
      <c r="I1033" s="1426"/>
      <c r="J1033" s="1426"/>
      <c r="K1033" s="1426"/>
      <c r="M1033" s="1530"/>
      <c r="N1033" s="1530"/>
      <c r="O1033" s="1530"/>
      <c r="P1033" s="1412"/>
      <c r="Q1033" s="1530"/>
      <c r="R1033" s="1530"/>
      <c r="S1033" s="1530"/>
      <c r="T1033" s="1531"/>
      <c r="U1033" s="1531"/>
      <c r="V1033" s="1531"/>
      <c r="W1033" s="1530"/>
      <c r="X1033" s="1530"/>
      <c r="Y1033" s="1530"/>
      <c r="Z1033" s="1530"/>
      <c r="AA1033" s="1530"/>
      <c r="AB1033" s="1530"/>
      <c r="AC1033" s="1530"/>
    </row>
    <row r="1034" spans="1:36" s="1363" customFormat="1">
      <c r="A1034" s="1426"/>
      <c r="B1034" s="1426"/>
      <c r="C1034" s="1426"/>
      <c r="D1034" s="1426"/>
      <c r="E1034" s="1420"/>
      <c r="F1034" s="1426"/>
      <c r="G1034" s="1426"/>
      <c r="H1034" s="1420"/>
      <c r="I1034" s="1426"/>
      <c r="J1034" s="1426"/>
      <c r="K1034" s="1426"/>
      <c r="M1034" s="1530"/>
      <c r="N1034" s="1530"/>
      <c r="O1034" s="1530"/>
      <c r="P1034" s="1530"/>
      <c r="Q1034" s="1530"/>
      <c r="R1034" s="1530"/>
      <c r="S1034" s="1530"/>
      <c r="T1034" s="1531"/>
      <c r="U1034" s="1531"/>
      <c r="V1034" s="1531"/>
      <c r="W1034" s="1530"/>
      <c r="X1034" s="1530"/>
      <c r="Y1034" s="1530"/>
      <c r="Z1034" s="1530"/>
      <c r="AA1034" s="1530"/>
      <c r="AB1034" s="1530"/>
      <c r="AC1034" s="1530"/>
    </row>
    <row r="1035" spans="1:36" s="1363" customFormat="1">
      <c r="A1035" s="1426"/>
      <c r="B1035" s="1426"/>
      <c r="C1035" s="1426"/>
      <c r="D1035" s="1426"/>
      <c r="E1035" s="1420"/>
      <c r="F1035" s="1426"/>
      <c r="G1035" s="1426"/>
      <c r="H1035" s="1420"/>
      <c r="I1035" s="1426"/>
      <c r="J1035" s="1426"/>
      <c r="K1035" s="1426"/>
      <c r="M1035" s="1530"/>
      <c r="N1035" s="1530"/>
      <c r="O1035" s="1530"/>
      <c r="P1035" s="1364"/>
      <c r="Q1035" s="1364"/>
      <c r="R1035" s="1532"/>
      <c r="S1035" s="1532"/>
      <c r="T1035" s="1531"/>
      <c r="U1035" s="1531"/>
      <c r="V1035" s="1531"/>
      <c r="W1035" s="1533"/>
      <c r="X1035" s="1449"/>
      <c r="Y1035" s="1534"/>
      <c r="Z1035" s="1530"/>
      <c r="AA1035" s="1530"/>
      <c r="AB1035" s="1530"/>
      <c r="AC1035" s="1530"/>
    </row>
    <row r="1036" spans="1:36" s="1363" customFormat="1">
      <c r="B1036" s="1474"/>
      <c r="C1036" s="1398"/>
      <c r="E1036" s="1420"/>
      <c r="F1036" s="1398"/>
      <c r="H1036" s="1420"/>
      <c r="I1036" s="1398"/>
      <c r="K1036" s="1420"/>
      <c r="M1036" s="1427"/>
      <c r="O1036" s="1364"/>
      <c r="P1036" s="1449"/>
      <c r="Q1036" s="1449"/>
      <c r="R1036" s="1364"/>
      <c r="S1036" s="1535"/>
      <c r="T1036" s="1536"/>
      <c r="U1036" s="1537"/>
      <c r="V1036" s="1537"/>
      <c r="W1036" s="1538"/>
      <c r="X1036" s="1539"/>
      <c r="Y1036" s="1530"/>
      <c r="Z1036" s="1449"/>
      <c r="AA1036" s="1449"/>
      <c r="AB1036" s="1540"/>
      <c r="AC1036" s="1449"/>
    </row>
    <row r="1037" spans="1:36" s="1363" customFormat="1">
      <c r="B1037" s="1474"/>
      <c r="C1037" s="1398"/>
      <c r="E1037" s="1420"/>
      <c r="F1037" s="1398"/>
      <c r="H1037" s="1420"/>
      <c r="I1037" s="1398"/>
      <c r="K1037" s="1420"/>
      <c r="M1037" s="1427"/>
      <c r="O1037" s="1364"/>
      <c r="P1037" s="1449"/>
      <c r="Q1037" s="1449"/>
      <c r="R1037" s="1364"/>
      <c r="S1037" s="1535"/>
      <c r="T1037" s="1536"/>
      <c r="U1037" s="1537"/>
      <c r="V1037" s="1537"/>
      <c r="W1037" s="1538"/>
      <c r="X1037" s="1530"/>
      <c r="Y1037" s="1530"/>
      <c r="Z1037" s="1449"/>
      <c r="AA1037" s="1449"/>
      <c r="AB1037" s="1540"/>
      <c r="AC1037" s="1449"/>
    </row>
    <row r="1038" spans="1:36" s="1363" customFormat="1">
      <c r="B1038" s="1474"/>
      <c r="C1038" s="1398"/>
      <c r="E1038" s="1420"/>
      <c r="F1038" s="1398"/>
      <c r="H1038" s="1420"/>
      <c r="I1038" s="1398"/>
      <c r="K1038" s="1420"/>
      <c r="M1038" s="1427"/>
      <c r="O1038" s="1364"/>
      <c r="P1038" s="1449"/>
      <c r="Q1038" s="1449"/>
      <c r="R1038" s="1364"/>
      <c r="S1038" s="1535"/>
      <c r="T1038" s="1536"/>
      <c r="U1038" s="1537"/>
      <c r="V1038" s="1537"/>
      <c r="W1038" s="1538"/>
      <c r="X1038" s="1530"/>
      <c r="Y1038" s="1530"/>
      <c r="Z1038" s="1449"/>
      <c r="AA1038" s="1449"/>
      <c r="AB1038" s="1540"/>
      <c r="AC1038" s="1449"/>
    </row>
    <row r="1039" spans="1:36" s="1363" customFormat="1">
      <c r="B1039" s="1474"/>
      <c r="C1039" s="1398"/>
      <c r="E1039" s="1420"/>
      <c r="F1039" s="1398"/>
      <c r="H1039" s="1420"/>
      <c r="I1039" s="1398"/>
      <c r="K1039" s="1420"/>
      <c r="M1039" s="1427"/>
      <c r="O1039" s="1364"/>
      <c r="P1039" s="1449"/>
      <c r="Q1039" s="1449"/>
      <c r="R1039" s="1364"/>
      <c r="S1039" s="1535"/>
      <c r="T1039" s="1536"/>
      <c r="U1039" s="1537"/>
      <c r="V1039" s="1537"/>
      <c r="W1039" s="1538"/>
      <c r="X1039" s="1530"/>
      <c r="Y1039" s="1530"/>
      <c r="Z1039" s="1449"/>
      <c r="AA1039" s="1449"/>
      <c r="AB1039" s="1540"/>
      <c r="AC1039" s="1449"/>
    </row>
    <row r="1040" spans="1:36" s="1363" customFormat="1">
      <c r="B1040" s="1474"/>
      <c r="C1040" s="1398"/>
      <c r="E1040" s="1420"/>
      <c r="F1040" s="1398"/>
      <c r="H1040" s="1420"/>
      <c r="I1040" s="1398"/>
      <c r="K1040" s="1420"/>
      <c r="M1040" s="1427"/>
      <c r="O1040" s="1364"/>
      <c r="P1040" s="1449"/>
      <c r="Q1040" s="1449"/>
      <c r="R1040" s="1364"/>
      <c r="S1040" s="1535"/>
      <c r="T1040" s="1536"/>
      <c r="U1040" s="1537"/>
      <c r="V1040" s="1537"/>
      <c r="W1040" s="1538"/>
      <c r="X1040" s="1530"/>
      <c r="Y1040" s="1530"/>
      <c r="Z1040" s="1449"/>
      <c r="AA1040" s="1449"/>
      <c r="AB1040" s="1540"/>
      <c r="AC1040" s="1449"/>
    </row>
    <row r="1041" spans="2:36" s="1363" customFormat="1">
      <c r="B1041" s="1474"/>
      <c r="C1041" s="1398"/>
      <c r="E1041" s="1420"/>
      <c r="F1041" s="1398"/>
      <c r="H1041" s="1420"/>
      <c r="I1041" s="1398"/>
      <c r="K1041" s="1420"/>
      <c r="M1041" s="1427"/>
      <c r="O1041" s="1364"/>
      <c r="P1041" s="1449"/>
      <c r="Q1041" s="1449"/>
      <c r="R1041" s="1364"/>
      <c r="S1041" s="1535"/>
      <c r="T1041" s="1536"/>
      <c r="U1041" s="1537"/>
      <c r="V1041" s="1537"/>
      <c r="W1041" s="1538"/>
      <c r="X1041" s="1530"/>
      <c r="Y1041" s="1530"/>
      <c r="Z1041" s="1449"/>
      <c r="AA1041" s="1449"/>
      <c r="AB1041" s="1540"/>
      <c r="AC1041" s="1449"/>
    </row>
    <row r="1042" spans="2:36" s="1363" customFormat="1">
      <c r="B1042" s="1474"/>
      <c r="C1042" s="1398"/>
      <c r="E1042" s="1420"/>
      <c r="F1042" s="1398"/>
      <c r="H1042" s="1420"/>
      <c r="I1042" s="1398"/>
      <c r="K1042" s="1420"/>
      <c r="M1042" s="1427"/>
      <c r="O1042" s="1364"/>
      <c r="P1042" s="1449"/>
      <c r="Q1042" s="1449"/>
      <c r="R1042" s="1364"/>
      <c r="S1042" s="1535"/>
      <c r="T1042" s="1536"/>
      <c r="U1042" s="1537"/>
      <c r="V1042" s="1537"/>
      <c r="W1042" s="1538"/>
      <c r="X1042" s="1530"/>
      <c r="Y1042" s="1530"/>
      <c r="Z1042" s="1449"/>
      <c r="AA1042" s="1449"/>
      <c r="AB1042" s="1540"/>
      <c r="AC1042" s="1449"/>
    </row>
    <row r="1043" spans="2:36" s="1363" customFormat="1">
      <c r="B1043" s="1474"/>
      <c r="C1043" s="1398"/>
      <c r="E1043" s="1420"/>
      <c r="F1043" s="1398"/>
      <c r="H1043" s="1420"/>
      <c r="I1043" s="1398"/>
      <c r="K1043" s="1420"/>
      <c r="M1043" s="1427"/>
      <c r="O1043" s="1364"/>
      <c r="P1043" s="1449"/>
      <c r="Q1043" s="1449"/>
      <c r="R1043" s="1364"/>
      <c r="S1043" s="1535"/>
      <c r="T1043" s="1536"/>
      <c r="U1043" s="1537"/>
      <c r="V1043" s="1537"/>
      <c r="W1043" s="1538"/>
      <c r="X1043" s="1530"/>
      <c r="Y1043" s="1530"/>
      <c r="Z1043" s="1449"/>
      <c r="AA1043" s="1449"/>
      <c r="AB1043" s="1540"/>
      <c r="AC1043" s="1449"/>
    </row>
    <row r="1044" spans="2:36" s="1363" customFormat="1">
      <c r="B1044" s="1474"/>
      <c r="C1044" s="1398"/>
      <c r="E1044" s="1420"/>
      <c r="F1044" s="1398"/>
      <c r="H1044" s="1420"/>
      <c r="I1044" s="1398"/>
      <c r="K1044" s="1420"/>
      <c r="M1044" s="1427"/>
      <c r="O1044" s="1364"/>
      <c r="P1044" s="1449"/>
      <c r="Q1044" s="1449"/>
      <c r="R1044" s="1364"/>
      <c r="S1044" s="1535"/>
      <c r="T1044" s="1536"/>
      <c r="U1044" s="1537"/>
      <c r="V1044" s="1537"/>
      <c r="W1044" s="1538"/>
      <c r="X1044" s="1530"/>
      <c r="Y1044" s="1530"/>
      <c r="Z1044" s="1449"/>
      <c r="AA1044" s="1449"/>
      <c r="AB1044" s="1540"/>
      <c r="AC1044" s="1449"/>
    </row>
    <row r="1045" spans="2:36" s="1363" customFormat="1">
      <c r="B1045" s="1474"/>
      <c r="C1045" s="1398"/>
      <c r="E1045" s="1420"/>
      <c r="F1045" s="1398"/>
      <c r="H1045" s="1420"/>
      <c r="I1045" s="1398"/>
      <c r="K1045" s="1420"/>
      <c r="M1045" s="1427"/>
      <c r="O1045" s="1364"/>
      <c r="P1045" s="1449"/>
      <c r="Q1045" s="1449"/>
      <c r="R1045" s="1364"/>
      <c r="S1045" s="1535"/>
      <c r="T1045" s="1536"/>
      <c r="U1045" s="1537"/>
      <c r="V1045" s="1537"/>
      <c r="W1045" s="1538"/>
      <c r="X1045" s="1530"/>
      <c r="Y1045" s="1530"/>
      <c r="Z1045" s="1449"/>
      <c r="AA1045" s="1449"/>
      <c r="AB1045" s="1540"/>
      <c r="AC1045" s="1449"/>
    </row>
    <row r="1046" spans="2:36" s="1363" customFormat="1" hidden="1">
      <c r="B1046" s="1474"/>
      <c r="C1046" s="1398"/>
      <c r="E1046" s="1420"/>
      <c r="F1046" s="1398"/>
      <c r="H1046" s="1420"/>
      <c r="I1046" s="1398"/>
      <c r="K1046" s="1420"/>
      <c r="M1046" s="1427"/>
      <c r="O1046" s="1364"/>
      <c r="P1046" s="1449"/>
      <c r="Q1046" s="1449"/>
      <c r="R1046" s="1364"/>
      <c r="S1046" s="1535"/>
      <c r="T1046" s="1536"/>
      <c r="U1046" s="1537"/>
      <c r="V1046" s="1537"/>
      <c r="W1046" s="1538"/>
      <c r="X1046" s="1530"/>
      <c r="Y1046" s="1530"/>
      <c r="Z1046" s="1449"/>
      <c r="AA1046" s="1449"/>
      <c r="AB1046" s="1540"/>
      <c r="AC1046" s="1449"/>
    </row>
    <row r="1047" spans="2:36" s="1363" customFormat="1" hidden="1">
      <c r="B1047" s="1474"/>
      <c r="C1047" s="1398"/>
      <c r="E1047" s="1420"/>
      <c r="F1047" s="1398"/>
      <c r="H1047" s="1420"/>
      <c r="I1047" s="1398"/>
      <c r="K1047" s="1420"/>
      <c r="M1047" s="1427"/>
      <c r="O1047" s="1364"/>
      <c r="P1047" s="1449"/>
      <c r="Q1047" s="1449"/>
      <c r="R1047" s="1364"/>
      <c r="S1047" s="1535"/>
      <c r="T1047" s="1536"/>
      <c r="U1047" s="1537"/>
      <c r="V1047" s="1537"/>
      <c r="W1047" s="1538"/>
      <c r="X1047" s="1530"/>
      <c r="Y1047" s="1530"/>
      <c r="Z1047" s="1449"/>
      <c r="AA1047" s="1449"/>
      <c r="AB1047" s="1540"/>
      <c r="AC1047" s="1449"/>
    </row>
    <row r="1048" spans="2:36" s="1363" customFormat="1" hidden="1">
      <c r="B1048" s="1474"/>
      <c r="C1048" s="1398"/>
      <c r="E1048" s="1420"/>
      <c r="F1048" s="1398"/>
      <c r="H1048" s="1420"/>
      <c r="I1048" s="1398"/>
      <c r="K1048" s="1420"/>
      <c r="M1048" s="1427"/>
      <c r="O1048" s="1364"/>
      <c r="P1048" s="1449"/>
      <c r="Q1048" s="1449"/>
      <c r="R1048" s="1364"/>
      <c r="S1048" s="1535"/>
      <c r="T1048" s="1536"/>
      <c r="U1048" s="1537"/>
      <c r="V1048" s="1537"/>
      <c r="W1048" s="1538"/>
      <c r="X1048" s="1530"/>
      <c r="Y1048" s="1530"/>
      <c r="Z1048" s="1449"/>
      <c r="AA1048" s="1449"/>
      <c r="AB1048" s="1540"/>
      <c r="AC1048" s="1449"/>
    </row>
    <row r="1049" spans="2:36" s="1363" customFormat="1" hidden="1">
      <c r="B1049" s="1474"/>
      <c r="C1049" s="1398"/>
      <c r="E1049" s="1420"/>
      <c r="F1049" s="1398"/>
      <c r="H1049" s="1420"/>
      <c r="I1049" s="1398"/>
      <c r="K1049" s="1420"/>
      <c r="M1049" s="1427"/>
      <c r="O1049" s="1364"/>
      <c r="P1049" s="1449"/>
      <c r="Q1049" s="1449"/>
      <c r="R1049" s="1364"/>
      <c r="S1049" s="1535"/>
      <c r="T1049" s="1536"/>
      <c r="U1049" s="1537"/>
      <c r="V1049" s="1537"/>
      <c r="W1049" s="1538"/>
      <c r="X1049" s="1530"/>
      <c r="Y1049" s="1530"/>
      <c r="Z1049" s="1449"/>
      <c r="AA1049" s="1449"/>
      <c r="AB1049" s="1540"/>
      <c r="AC1049" s="1449"/>
    </row>
    <row r="1050" spans="2:36" s="1363" customFormat="1" hidden="1">
      <c r="B1050" s="1474"/>
      <c r="C1050" s="1398"/>
      <c r="E1050" s="1420"/>
      <c r="F1050" s="1398"/>
      <c r="H1050" s="1420"/>
      <c r="I1050" s="1398"/>
      <c r="K1050" s="1420"/>
      <c r="M1050" s="1427"/>
      <c r="O1050" s="1364"/>
      <c r="P1050" s="1449"/>
      <c r="Q1050" s="1449"/>
      <c r="R1050" s="1364"/>
      <c r="S1050" s="1535"/>
      <c r="T1050" s="1536"/>
      <c r="U1050" s="1537"/>
      <c r="V1050" s="1537"/>
      <c r="W1050" s="1538"/>
      <c r="X1050" s="1530"/>
      <c r="Y1050" s="1530"/>
      <c r="Z1050" s="1449"/>
      <c r="AA1050" s="1449"/>
      <c r="AB1050" s="1540"/>
      <c r="AC1050" s="1449"/>
    </row>
    <row r="1051" spans="2:36" s="1363" customFormat="1" hidden="1">
      <c r="B1051" s="1474"/>
      <c r="C1051" s="1398"/>
      <c r="E1051" s="1420"/>
      <c r="F1051" s="1398"/>
      <c r="H1051" s="1420"/>
      <c r="I1051" s="1398"/>
      <c r="K1051" s="1420"/>
      <c r="M1051" s="1427"/>
      <c r="O1051" s="1364"/>
      <c r="P1051" s="1449"/>
      <c r="Q1051" s="1449"/>
      <c r="R1051" s="1364"/>
      <c r="S1051" s="1535"/>
      <c r="T1051" s="1536"/>
      <c r="U1051" s="1537"/>
      <c r="V1051" s="1537"/>
      <c r="W1051" s="1538"/>
      <c r="X1051" s="1530"/>
      <c r="Y1051" s="1530"/>
      <c r="Z1051" s="1449"/>
      <c r="AA1051" s="1449"/>
      <c r="AB1051" s="1540"/>
      <c r="AC1051" s="1449"/>
    </row>
    <row r="1052" spans="2:36" s="1363" customFormat="1" hidden="1">
      <c r="B1052" s="1474"/>
      <c r="C1052" s="1398"/>
      <c r="E1052" s="1420"/>
      <c r="F1052" s="1398"/>
      <c r="H1052" s="1420"/>
      <c r="I1052" s="1398"/>
      <c r="K1052" s="1420"/>
      <c r="M1052" s="1427"/>
      <c r="O1052" s="1364"/>
      <c r="P1052" s="1449"/>
      <c r="Q1052" s="1449"/>
      <c r="R1052" s="1364"/>
      <c r="S1052" s="1535"/>
      <c r="T1052" s="1536"/>
      <c r="U1052" s="1537"/>
      <c r="V1052" s="1537"/>
      <c r="W1052" s="1538"/>
      <c r="X1052" s="1530"/>
      <c r="Y1052" s="1530"/>
      <c r="Z1052" s="1449"/>
      <c r="AA1052" s="1449"/>
      <c r="AB1052" s="1540"/>
      <c r="AC1052" s="1449"/>
    </row>
    <row r="1053" spans="2:36" s="1363" customFormat="1" hidden="1">
      <c r="B1053" s="1474"/>
      <c r="C1053" s="1398"/>
      <c r="E1053" s="1420"/>
      <c r="F1053" s="1398"/>
      <c r="H1053" s="1420"/>
      <c r="I1053" s="1398"/>
      <c r="K1053" s="1420"/>
      <c r="M1053" s="1427"/>
      <c r="O1053" s="1364"/>
      <c r="P1053" s="1449"/>
      <c r="Q1053" s="1449"/>
      <c r="R1053" s="1364"/>
      <c r="S1053" s="1535"/>
      <c r="T1053" s="1536"/>
      <c r="U1053" s="1537"/>
      <c r="V1053" s="1537"/>
      <c r="W1053" s="1538"/>
      <c r="X1053" s="1530"/>
      <c r="Y1053" s="1530"/>
      <c r="Z1053" s="1449"/>
      <c r="AA1053" s="1449"/>
      <c r="AB1053" s="1540"/>
      <c r="AC1053" s="1449"/>
    </row>
    <row r="1054" spans="2:36" s="1363" customFormat="1">
      <c r="B1054" s="1474"/>
      <c r="C1054" s="1398"/>
      <c r="E1054" s="1420"/>
      <c r="F1054" s="1398"/>
      <c r="H1054" s="1420"/>
      <c r="I1054" s="1398"/>
      <c r="K1054" s="1420"/>
      <c r="O1054" s="1364"/>
      <c r="P1054" s="1449"/>
      <c r="Q1054" s="1449"/>
      <c r="R1054" s="1364"/>
      <c r="S1054" s="1535"/>
      <c r="T1054" s="1536"/>
      <c r="U1054" s="1537"/>
      <c r="V1054" s="1537"/>
      <c r="W1054" s="1538"/>
      <c r="X1054" s="1530"/>
      <c r="Y1054" s="1530"/>
      <c r="Z1054" s="1449"/>
      <c r="AA1054" s="1449"/>
      <c r="AB1054" s="1449"/>
      <c r="AC1054" s="1449"/>
    </row>
    <row r="1055" spans="2:36" s="1363" customFormat="1">
      <c r="B1055" s="1474"/>
      <c r="C1055" s="1398"/>
      <c r="E1055" s="1420"/>
      <c r="F1055" s="1398"/>
      <c r="H1055" s="1420"/>
      <c r="I1055" s="1443"/>
      <c r="J1055" s="1435"/>
      <c r="K1055" s="1435"/>
      <c r="M1055" s="1427"/>
      <c r="N1055" s="1427"/>
      <c r="O1055" s="1449"/>
      <c r="R1055" s="1450"/>
      <c r="S1055" s="1450"/>
      <c r="T1055" s="1365"/>
      <c r="U1055" s="1365"/>
      <c r="V1055" s="1365"/>
      <c r="AJ1055" s="1427"/>
    </row>
    <row r="1056" spans="2:36" s="1363" customFormat="1">
      <c r="B1056" s="1474"/>
      <c r="C1056" s="1398"/>
      <c r="E1056" s="1435"/>
      <c r="F1056" s="1398"/>
      <c r="H1056" s="1435"/>
      <c r="I1056" s="1398"/>
      <c r="K1056" s="1435"/>
      <c r="M1056" s="1427"/>
      <c r="O1056" s="1364"/>
      <c r="P1056" s="1449"/>
      <c r="Q1056" s="1449"/>
      <c r="R1056" s="1541"/>
      <c r="T1056" s="1365"/>
      <c r="U1056" s="1537"/>
      <c r="V1056" s="1537"/>
      <c r="W1056" s="1423"/>
      <c r="X1056" s="1530"/>
      <c r="Y1056" s="1530"/>
      <c r="Z1056" s="1531"/>
      <c r="AA1056" s="1530"/>
      <c r="AB1056" s="1530"/>
      <c r="AC1056" s="1530"/>
    </row>
    <row r="1057" spans="1:36" s="1363" customFormat="1">
      <c r="B1057" s="1474"/>
      <c r="C1057" s="1398"/>
      <c r="E1057" s="1435"/>
      <c r="F1057" s="1398"/>
      <c r="H1057" s="1435"/>
      <c r="I1057" s="1398"/>
      <c r="K1057" s="1435"/>
      <c r="M1057" s="1422"/>
      <c r="N1057" s="1422"/>
      <c r="O1057" s="1364"/>
      <c r="P1057" s="1423"/>
      <c r="Q1057" s="1423"/>
      <c r="R1057" s="1535"/>
      <c r="T1057" s="1365"/>
      <c r="U1057" s="1365"/>
      <c r="V1057" s="1365"/>
      <c r="X1057" s="1449"/>
      <c r="Y1057" s="1530"/>
    </row>
    <row r="1058" spans="1:36" s="1363" customFormat="1">
      <c r="B1058" s="1433"/>
      <c r="C1058" s="1420"/>
      <c r="D1058" s="1420"/>
      <c r="E1058" s="1420"/>
      <c r="F1058" s="1420"/>
      <c r="G1058" s="1420"/>
      <c r="H1058" s="1420"/>
      <c r="I1058" s="1420"/>
      <c r="J1058" s="1420"/>
      <c r="K1058" s="1420"/>
      <c r="M1058" s="1424"/>
      <c r="N1058" s="1530"/>
      <c r="O1058" s="1542"/>
      <c r="P1058" s="1417"/>
      <c r="Q1058" s="1412"/>
      <c r="T1058" s="1365"/>
      <c r="U1058" s="1365"/>
      <c r="V1058" s="1365"/>
      <c r="X1058" s="1530"/>
      <c r="Y1058" s="1530"/>
    </row>
    <row r="1059" spans="1:36" s="1363" customFormat="1">
      <c r="A1059" s="1426"/>
      <c r="B1059" s="1428"/>
      <c r="C1059" s="1428"/>
      <c r="D1059" s="1428"/>
      <c r="E1059" s="1420"/>
      <c r="F1059" s="1428"/>
      <c r="G1059" s="1428"/>
      <c r="H1059" s="1420"/>
      <c r="I1059" s="1428"/>
      <c r="J1059" s="1428"/>
      <c r="K1059" s="1420"/>
      <c r="M1059" s="1530"/>
      <c r="N1059" s="1530"/>
      <c r="O1059" s="1424"/>
      <c r="P1059" s="1417"/>
      <c r="Q1059" s="1417"/>
      <c r="S1059" s="1530"/>
      <c r="T1059" s="1531"/>
      <c r="U1059" s="1531"/>
      <c r="V1059" s="1531"/>
      <c r="W1059" s="1530"/>
      <c r="X1059" s="1530"/>
      <c r="Y1059" s="1530"/>
    </row>
    <row r="1060" spans="1:36" s="1363" customFormat="1">
      <c r="A1060" s="1425"/>
      <c r="B1060" s="1426"/>
      <c r="C1060" s="1426"/>
      <c r="D1060" s="1426"/>
      <c r="E1060" s="1426"/>
      <c r="F1060" s="1426"/>
      <c r="G1060" s="1426"/>
      <c r="H1060" s="1426"/>
      <c r="I1060" s="1426"/>
      <c r="J1060" s="1426"/>
      <c r="K1060" s="1426"/>
      <c r="M1060" s="1530"/>
      <c r="N1060" s="1530"/>
      <c r="O1060" s="1423"/>
      <c r="P1060" s="1530"/>
      <c r="Q1060" s="1530"/>
      <c r="T1060" s="1365"/>
      <c r="U1060" s="1365"/>
      <c r="V1060" s="1365"/>
      <c r="Y1060" s="1530"/>
      <c r="Z1060" s="1530"/>
      <c r="AA1060" s="1530"/>
      <c r="AB1060" s="1530"/>
      <c r="AC1060" s="1530"/>
    </row>
    <row r="1061" spans="1:36" s="1363" customFormat="1">
      <c r="A1061" s="1426"/>
      <c r="B1061" s="1426"/>
      <c r="C1061" s="1426"/>
      <c r="D1061" s="1426"/>
      <c r="E1061" s="1426"/>
      <c r="F1061" s="1426"/>
      <c r="G1061" s="1426"/>
      <c r="H1061" s="1426"/>
      <c r="I1061" s="1426"/>
      <c r="J1061" s="1426"/>
      <c r="K1061" s="1426"/>
      <c r="O1061" s="1364"/>
      <c r="P1061" s="1364"/>
      <c r="Q1061" s="1364"/>
      <c r="T1061" s="1365"/>
      <c r="U1061" s="1365"/>
      <c r="V1061" s="1365"/>
      <c r="Y1061" s="1530"/>
      <c r="Z1061" s="1530"/>
      <c r="AA1061" s="1530"/>
      <c r="AB1061" s="1530"/>
      <c r="AC1061" s="1530"/>
    </row>
    <row r="1062" spans="1:36" s="1363" customFormat="1">
      <c r="A1062" s="1426"/>
      <c r="B1062" s="1426"/>
      <c r="C1062" s="1426"/>
      <c r="D1062" s="1426"/>
      <c r="E1062" s="1426"/>
      <c r="F1062" s="1426"/>
      <c r="G1062" s="1426"/>
      <c r="H1062" s="1426"/>
      <c r="I1062" s="1426"/>
      <c r="J1062" s="1426"/>
      <c r="K1062" s="1426"/>
      <c r="O1062" s="1364"/>
      <c r="P1062" s="1364"/>
      <c r="Q1062" s="1364"/>
      <c r="T1062" s="1365"/>
      <c r="U1062" s="1365"/>
      <c r="V1062" s="1365"/>
      <c r="Y1062" s="1530"/>
      <c r="Z1062" s="1530"/>
      <c r="AA1062" s="1530"/>
      <c r="AB1062" s="1530"/>
      <c r="AC1062" s="1530"/>
    </row>
    <row r="1063" spans="1:36" s="1363" customFormat="1">
      <c r="A1063" s="1426"/>
      <c r="B1063" s="1428"/>
      <c r="C1063" s="1429"/>
      <c r="D1063" s="1426"/>
      <c r="E1063" s="1420"/>
      <c r="F1063" s="1429"/>
      <c r="G1063" s="1426"/>
      <c r="H1063" s="1420"/>
      <c r="I1063" s="1429"/>
      <c r="J1063" s="1426"/>
      <c r="K1063" s="1420"/>
      <c r="M1063" s="1427"/>
      <c r="O1063" s="1364"/>
      <c r="P1063" s="1364"/>
      <c r="Q1063" s="1364"/>
      <c r="T1063" s="1365"/>
      <c r="U1063" s="1365"/>
      <c r="V1063" s="1365"/>
    </row>
    <row r="1064" spans="1:36" s="1363" customFormat="1">
      <c r="A1064" s="1426"/>
      <c r="B1064" s="1474"/>
      <c r="C1064" s="1522"/>
      <c r="D1064" s="1426"/>
      <c r="E1064" s="1543"/>
      <c r="F1064" s="1522"/>
      <c r="G1064" s="1426"/>
      <c r="H1064" s="1543"/>
      <c r="I1064" s="1522"/>
      <c r="J1064" s="1426"/>
      <c r="K1064" s="1420"/>
      <c r="M1064" s="1427"/>
      <c r="O1064" s="1364"/>
      <c r="P1064" s="1364"/>
      <c r="Q1064" s="1364"/>
      <c r="T1064" s="1365"/>
      <c r="U1064" s="1365"/>
      <c r="V1064" s="1365"/>
    </row>
    <row r="1065" spans="1:36" s="1363" customFormat="1">
      <c r="A1065" s="1426"/>
      <c r="B1065" s="1474"/>
      <c r="C1065" s="1522"/>
      <c r="D1065" s="1426"/>
      <c r="E1065" s="1543"/>
      <c r="F1065" s="1514"/>
      <c r="G1065" s="1426"/>
      <c r="H1065" s="1543"/>
      <c r="I1065" s="1514"/>
      <c r="J1065" s="1426"/>
      <c r="K1065" s="1420"/>
      <c r="M1065" s="1427"/>
      <c r="O1065" s="1364"/>
      <c r="T1065" s="1365"/>
      <c r="U1065" s="1365"/>
      <c r="V1065" s="1365"/>
    </row>
    <row r="1066" spans="1:36" s="1363" customFormat="1">
      <c r="A1066" s="1426"/>
      <c r="B1066" s="1474"/>
      <c r="C1066" s="1544"/>
      <c r="D1066" s="1426"/>
      <c r="E1066" s="1420"/>
      <c r="F1066" s="1544"/>
      <c r="G1066" s="1426"/>
      <c r="H1066" s="1420"/>
      <c r="I1066" s="1544"/>
      <c r="J1066" s="1426"/>
      <c r="K1066" s="1420"/>
      <c r="O1066" s="1364"/>
      <c r="P1066" s="1364"/>
      <c r="Q1066" s="1364"/>
      <c r="T1066" s="1365"/>
      <c r="U1066" s="1365"/>
      <c r="V1066" s="1365"/>
    </row>
    <row r="1067" spans="1:36" s="1363" customFormat="1">
      <c r="B1067" s="1474"/>
      <c r="C1067" s="1398"/>
      <c r="E1067" s="1420"/>
      <c r="F1067" s="1398"/>
      <c r="H1067" s="1420"/>
      <c r="I1067" s="1443"/>
      <c r="J1067" s="1435"/>
      <c r="K1067" s="1435"/>
      <c r="M1067" s="1427"/>
      <c r="N1067" s="1427"/>
      <c r="O1067" s="1449"/>
      <c r="R1067" s="1450"/>
      <c r="S1067" s="1450"/>
      <c r="T1067" s="1365"/>
      <c r="U1067" s="1365"/>
      <c r="V1067" s="1365"/>
      <c r="AJ1067" s="1427"/>
    </row>
    <row r="1068" spans="1:36" s="1363" customFormat="1">
      <c r="A1068" s="1451"/>
      <c r="B1068" s="1526"/>
      <c r="C1068" s="1453"/>
      <c r="D1068" s="1451"/>
      <c r="E1068" s="1454"/>
      <c r="F1068" s="1529"/>
      <c r="G1068" s="1545"/>
      <c r="H1068" s="1454"/>
      <c r="I1068" s="1529"/>
      <c r="J1068" s="1545"/>
      <c r="K1068" s="1457"/>
      <c r="M1068" s="1427"/>
      <c r="N1068" s="1427"/>
      <c r="O1068" s="1449"/>
      <c r="P1068" s="1417"/>
      <c r="R1068" s="1450"/>
      <c r="S1068" s="1450"/>
      <c r="T1068" s="1365"/>
      <c r="U1068" s="1365"/>
      <c r="V1068" s="1365"/>
      <c r="AJ1068" s="1427"/>
    </row>
    <row r="1069" spans="1:36" s="1363" customFormat="1">
      <c r="B1069" s="1474"/>
      <c r="C1069" s="1398"/>
      <c r="E1069" s="1435"/>
      <c r="F1069" s="1398"/>
      <c r="H1069" s="1435"/>
      <c r="I1069" s="1398"/>
      <c r="K1069" s="1435"/>
      <c r="M1069" s="1427"/>
      <c r="O1069" s="1364"/>
      <c r="P1069" s="1364"/>
      <c r="Q1069" s="1364"/>
      <c r="T1069" s="1365"/>
      <c r="U1069" s="1365"/>
      <c r="V1069" s="1365"/>
    </row>
    <row r="1070" spans="1:36" s="1363" customFormat="1">
      <c r="B1070" s="1474"/>
      <c r="C1070" s="1398"/>
      <c r="E1070" s="1435"/>
      <c r="F1070" s="1398"/>
      <c r="H1070" s="1435"/>
      <c r="I1070" s="1398"/>
      <c r="K1070" s="1435"/>
      <c r="M1070" s="1422"/>
      <c r="N1070" s="1422"/>
      <c r="O1070" s="1423"/>
      <c r="P1070" s="1364"/>
      <c r="Q1070" s="1364"/>
      <c r="T1070" s="1365"/>
      <c r="U1070" s="1365"/>
      <c r="V1070" s="1365"/>
    </row>
    <row r="1071" spans="1:36" s="1363" customFormat="1">
      <c r="A1071" s="1426"/>
      <c r="B1071" s="1428"/>
      <c r="C1071" s="1515"/>
      <c r="D1071" s="1426"/>
      <c r="E1071" s="1420"/>
      <c r="F1071" s="1515"/>
      <c r="G1071" s="1426"/>
      <c r="H1071" s="1420"/>
      <c r="I1071" s="1515"/>
      <c r="J1071" s="1426"/>
      <c r="K1071" s="1420"/>
      <c r="M1071" s="1424"/>
      <c r="N1071" s="1530"/>
      <c r="O1071" s="1427"/>
      <c r="P1071" s="1417"/>
      <c r="Q1071" s="1417"/>
      <c r="T1071" s="1365"/>
      <c r="U1071" s="1365"/>
      <c r="V1071" s="1365"/>
    </row>
    <row r="1072" spans="1:36" s="1363" customFormat="1">
      <c r="A1072" s="1426"/>
      <c r="B1072" s="1426"/>
      <c r="C1072" s="1515"/>
      <c r="D1072" s="1426"/>
      <c r="E1072" s="1426"/>
      <c r="F1072" s="1515"/>
      <c r="G1072" s="1426"/>
      <c r="H1072" s="1426"/>
      <c r="I1072" s="1515"/>
      <c r="J1072" s="1426"/>
      <c r="K1072" s="1420"/>
      <c r="N1072" s="1530"/>
      <c r="O1072" s="1427"/>
      <c r="P1072" s="1417"/>
      <c r="Q1072" s="1417"/>
      <c r="T1072" s="1365"/>
      <c r="U1072" s="1365"/>
      <c r="V1072" s="1365"/>
    </row>
    <row r="1073" spans="1:36" s="1363" customFormat="1">
      <c r="A1073" s="1425"/>
      <c r="B1073" s="1426"/>
      <c r="C1073" s="1426"/>
      <c r="D1073" s="1426"/>
      <c r="E1073" s="1426"/>
      <c r="F1073" s="1426"/>
      <c r="G1073" s="1426"/>
      <c r="H1073" s="1426"/>
      <c r="I1073" s="1426"/>
      <c r="J1073" s="1426"/>
      <c r="K1073" s="1426"/>
      <c r="O1073" s="1364"/>
      <c r="P1073" s="1364"/>
      <c r="Q1073" s="1364"/>
      <c r="T1073" s="1365"/>
      <c r="U1073" s="1365"/>
      <c r="V1073" s="1365"/>
    </row>
    <row r="1074" spans="1:36" s="1363" customFormat="1">
      <c r="A1074" s="1426"/>
      <c r="B1074" s="1426"/>
      <c r="C1074" s="1426"/>
      <c r="D1074" s="1426"/>
      <c r="E1074" s="1426"/>
      <c r="F1074" s="1426"/>
      <c r="G1074" s="1426"/>
      <c r="H1074" s="1426"/>
      <c r="I1074" s="1426"/>
      <c r="J1074" s="1426"/>
      <c r="K1074" s="1426"/>
      <c r="O1074" s="1364"/>
      <c r="P1074" s="1364"/>
      <c r="Q1074" s="1364"/>
      <c r="T1074" s="1365"/>
      <c r="U1074" s="1365"/>
      <c r="V1074" s="1365"/>
    </row>
    <row r="1075" spans="1:36" s="1363" customFormat="1">
      <c r="A1075" s="1426"/>
      <c r="B1075" s="1426"/>
      <c r="C1075" s="1515"/>
      <c r="D1075" s="1426"/>
      <c r="E1075" s="1426"/>
      <c r="F1075" s="1515"/>
      <c r="G1075" s="1426"/>
      <c r="H1075" s="1426"/>
      <c r="I1075" s="1515"/>
      <c r="J1075" s="1426"/>
      <c r="K1075" s="1426"/>
      <c r="O1075" s="1364"/>
      <c r="P1075" s="1364"/>
      <c r="Q1075" s="1364"/>
      <c r="T1075" s="1365"/>
      <c r="U1075" s="1365"/>
      <c r="V1075" s="1365"/>
    </row>
    <row r="1076" spans="1:36" s="1363" customFormat="1">
      <c r="A1076" s="1426"/>
      <c r="B1076" s="1428"/>
      <c r="C1076" s="1429"/>
      <c r="D1076" s="1426"/>
      <c r="E1076" s="1420"/>
      <c r="F1076" s="1429"/>
      <c r="G1076" s="1426"/>
      <c r="H1076" s="1420"/>
      <c r="I1076" s="1429"/>
      <c r="J1076" s="1426"/>
      <c r="K1076" s="1420"/>
      <c r="M1076" s="1427"/>
      <c r="O1076" s="1364"/>
      <c r="P1076" s="1364"/>
      <c r="Q1076" s="1364"/>
      <c r="T1076" s="1365"/>
      <c r="U1076" s="1365"/>
      <c r="V1076" s="1365"/>
    </row>
    <row r="1077" spans="1:36" s="1363" customFormat="1">
      <c r="A1077" s="1426"/>
      <c r="B1077" s="1474"/>
      <c r="C1077" s="1522"/>
      <c r="D1077" s="1426"/>
      <c r="E1077" s="1543"/>
      <c r="F1077" s="1514"/>
      <c r="G1077" s="1426"/>
      <c r="H1077" s="1543"/>
      <c r="I1077" s="1514"/>
      <c r="J1077" s="1426"/>
      <c r="K1077" s="1420"/>
      <c r="M1077" s="1427"/>
      <c r="O1077" s="1364"/>
      <c r="P1077" s="1364"/>
      <c r="Q1077" s="1364"/>
      <c r="T1077" s="1365"/>
      <c r="U1077" s="1365"/>
      <c r="V1077" s="1365"/>
    </row>
    <row r="1078" spans="1:36" s="1363" customFormat="1">
      <c r="A1078" s="1426"/>
      <c r="B1078" s="1474"/>
      <c r="C1078" s="1436"/>
      <c r="D1078" s="1426"/>
      <c r="E1078" s="1543"/>
      <c r="F1078" s="1546"/>
      <c r="G1078" s="1426"/>
      <c r="H1078" s="1420"/>
      <c r="I1078" s="1546"/>
      <c r="J1078" s="1426"/>
      <c r="K1078" s="1420"/>
      <c r="M1078" s="1427"/>
      <c r="O1078" s="1364"/>
      <c r="P1078" s="1364"/>
      <c r="Q1078" s="1364"/>
      <c r="T1078" s="1365"/>
      <c r="U1078" s="1365"/>
      <c r="V1078" s="1365"/>
    </row>
    <row r="1079" spans="1:36" s="1363" customFormat="1">
      <c r="A1079" s="1426"/>
      <c r="B1079" s="1474"/>
      <c r="C1079" s="1544"/>
      <c r="D1079" s="1426"/>
      <c r="E1079" s="1420"/>
      <c r="F1079" s="1544"/>
      <c r="G1079" s="1426"/>
      <c r="H1079" s="1420"/>
      <c r="I1079" s="1544"/>
      <c r="J1079" s="1426"/>
      <c r="K1079" s="1420"/>
      <c r="O1079" s="1364"/>
      <c r="P1079" s="1364"/>
      <c r="Q1079" s="1364"/>
      <c r="T1079" s="1365"/>
      <c r="U1079" s="1365"/>
      <c r="V1079" s="1365"/>
    </row>
    <row r="1080" spans="1:36" s="1363" customFormat="1">
      <c r="B1080" s="1474"/>
      <c r="C1080" s="1398"/>
      <c r="E1080" s="1420"/>
      <c r="F1080" s="1398"/>
      <c r="H1080" s="1420"/>
      <c r="I1080" s="1443"/>
      <c r="J1080" s="1435"/>
      <c r="K1080" s="1435"/>
      <c r="M1080" s="1427"/>
      <c r="N1080" s="1427"/>
      <c r="O1080" s="1364"/>
      <c r="R1080" s="1450"/>
      <c r="S1080" s="1450"/>
      <c r="T1080" s="1365"/>
      <c r="U1080" s="1365"/>
      <c r="V1080" s="1365"/>
      <c r="AJ1080" s="1427"/>
    </row>
    <row r="1081" spans="1:36" s="1363" customFormat="1">
      <c r="B1081" s="1474"/>
      <c r="C1081" s="1398"/>
      <c r="E1081" s="1435"/>
      <c r="F1081" s="1398"/>
      <c r="H1081" s="1435"/>
      <c r="I1081" s="1398"/>
      <c r="K1081" s="1435"/>
      <c r="M1081" s="1427"/>
      <c r="O1081" s="1364"/>
      <c r="P1081" s="1364"/>
      <c r="Q1081" s="1364"/>
      <c r="T1081" s="1365"/>
      <c r="U1081" s="1365"/>
      <c r="V1081" s="1365"/>
    </row>
    <row r="1082" spans="1:36" s="1363" customFormat="1">
      <c r="B1082" s="1474"/>
      <c r="C1082" s="1398"/>
      <c r="E1082" s="1435"/>
      <c r="F1082" s="1398"/>
      <c r="H1082" s="1435"/>
      <c r="I1082" s="1398"/>
      <c r="K1082" s="1435"/>
      <c r="M1082" s="1422"/>
      <c r="N1082" s="1422"/>
      <c r="O1082" s="1423"/>
      <c r="P1082" s="1364"/>
      <c r="Q1082" s="1364"/>
      <c r="T1082" s="1365"/>
      <c r="U1082" s="1365"/>
      <c r="V1082" s="1365"/>
    </row>
    <row r="1083" spans="1:36" s="1363" customFormat="1">
      <c r="A1083" s="1426"/>
      <c r="B1083" s="1428"/>
      <c r="C1083" s="1515"/>
      <c r="D1083" s="1426"/>
      <c r="E1083" s="1420"/>
      <c r="F1083" s="1515"/>
      <c r="G1083" s="1426"/>
      <c r="H1083" s="1420"/>
      <c r="I1083" s="1515"/>
      <c r="J1083" s="1426"/>
      <c r="K1083" s="1420"/>
      <c r="M1083" s="1424"/>
      <c r="N1083" s="1530"/>
      <c r="O1083" s="1427"/>
      <c r="P1083" s="1417"/>
      <c r="Q1083" s="1417"/>
      <c r="T1083" s="1365"/>
      <c r="U1083" s="1365"/>
      <c r="V1083" s="1365"/>
    </row>
    <row r="1084" spans="1:36" s="1363" customFormat="1">
      <c r="A1084" s="1426"/>
      <c r="B1084" s="1428"/>
      <c r="C1084" s="1515"/>
      <c r="D1084" s="1426"/>
      <c r="E1084" s="1420"/>
      <c r="F1084" s="1515"/>
      <c r="G1084" s="1426"/>
      <c r="H1084" s="1420"/>
      <c r="I1084" s="1515"/>
      <c r="J1084" s="1426"/>
      <c r="K1084" s="1420"/>
      <c r="N1084" s="1530"/>
      <c r="O1084" s="1427"/>
      <c r="P1084" s="1364"/>
      <c r="Q1084" s="1364"/>
      <c r="T1084" s="1365"/>
      <c r="U1084" s="1365"/>
      <c r="V1084" s="1365"/>
    </row>
    <row r="1085" spans="1:36" s="1363" customFormat="1">
      <c r="A1085" s="1425"/>
      <c r="B1085" s="1426"/>
      <c r="C1085" s="1426"/>
      <c r="D1085" s="1426"/>
      <c r="E1085" s="1426"/>
      <c r="F1085" s="1426"/>
      <c r="G1085" s="1426"/>
      <c r="H1085" s="1426"/>
      <c r="I1085" s="1426"/>
      <c r="J1085" s="1426"/>
      <c r="K1085" s="1426"/>
      <c r="M1085" s="1427"/>
      <c r="N1085" s="1427"/>
      <c r="O1085" s="1364"/>
      <c r="P1085" s="1364"/>
      <c r="Q1085" s="1364"/>
      <c r="T1085" s="1365"/>
      <c r="U1085" s="1365"/>
      <c r="V1085" s="1365"/>
    </row>
    <row r="1086" spans="1:36" s="1363" customFormat="1">
      <c r="A1086" s="1426"/>
      <c r="B1086" s="1426"/>
      <c r="C1086" s="1426"/>
      <c r="D1086" s="1426"/>
      <c r="E1086" s="1426"/>
      <c r="F1086" s="1426"/>
      <c r="G1086" s="1426"/>
      <c r="H1086" s="1426"/>
      <c r="I1086" s="1426"/>
      <c r="J1086" s="1426"/>
      <c r="K1086" s="1426"/>
      <c r="O1086" s="1364"/>
      <c r="P1086" s="1364"/>
      <c r="Q1086" s="1364"/>
      <c r="T1086" s="1365"/>
      <c r="U1086" s="1365"/>
      <c r="V1086" s="1365"/>
    </row>
    <row r="1087" spans="1:36" s="1363" customFormat="1">
      <c r="A1087" s="1426"/>
      <c r="B1087" s="1426"/>
      <c r="C1087" s="1515"/>
      <c r="D1087" s="1426"/>
      <c r="E1087" s="1426"/>
      <c r="F1087" s="1515"/>
      <c r="G1087" s="1426"/>
      <c r="H1087" s="1426"/>
      <c r="I1087" s="1515"/>
      <c r="J1087" s="1426"/>
      <c r="K1087" s="1426"/>
      <c r="O1087" s="1364"/>
      <c r="P1087" s="1364"/>
      <c r="Q1087" s="1364"/>
      <c r="T1087" s="1365"/>
      <c r="U1087" s="1365"/>
      <c r="V1087" s="1365"/>
    </row>
    <row r="1088" spans="1:36" s="1363" customFormat="1">
      <c r="A1088" s="1426"/>
      <c r="B1088" s="1428"/>
      <c r="C1088" s="1429"/>
      <c r="D1088" s="1426"/>
      <c r="E1088" s="1420"/>
      <c r="F1088" s="1429"/>
      <c r="G1088" s="1426"/>
      <c r="H1088" s="1420"/>
      <c r="I1088" s="1429"/>
      <c r="J1088" s="1426"/>
      <c r="K1088" s="1420"/>
      <c r="O1088" s="1364"/>
      <c r="P1088" s="1364"/>
      <c r="Q1088" s="1364"/>
      <c r="T1088" s="1365"/>
      <c r="U1088" s="1365"/>
      <c r="V1088" s="1365"/>
    </row>
    <row r="1089" spans="1:22" s="1363" customFormat="1">
      <c r="A1089" s="1426"/>
      <c r="B1089" s="1428"/>
      <c r="C1089" s="1429"/>
      <c r="D1089" s="1426"/>
      <c r="E1089" s="1420"/>
      <c r="F1089" s="1429"/>
      <c r="G1089" s="1426"/>
      <c r="H1089" s="1420"/>
      <c r="I1089" s="1429"/>
      <c r="J1089" s="1426"/>
      <c r="K1089" s="1420"/>
      <c r="O1089" s="1364"/>
      <c r="P1089" s="1364"/>
      <c r="Q1089" s="1364"/>
      <c r="R1089" s="1427"/>
      <c r="S1089" s="1364"/>
      <c r="T1089" s="1365"/>
      <c r="U1089" s="1365"/>
      <c r="V1089" s="1365"/>
    </row>
    <row r="1090" spans="1:22" s="1363" customFormat="1">
      <c r="B1090" s="1428"/>
      <c r="C1090" s="1429"/>
      <c r="D1090" s="1426"/>
      <c r="E1090" s="1420"/>
      <c r="F1090" s="1429"/>
      <c r="G1090" s="1426"/>
      <c r="H1090" s="1420"/>
      <c r="I1090" s="1429"/>
      <c r="J1090" s="1426"/>
      <c r="K1090" s="1420"/>
      <c r="O1090" s="1364"/>
      <c r="P1090" s="1364"/>
      <c r="Q1090" s="1364"/>
      <c r="R1090" s="1364"/>
      <c r="S1090" s="1492"/>
      <c r="T1090" s="1365"/>
      <c r="U1090" s="1365"/>
      <c r="V1090" s="1365"/>
    </row>
    <row r="1091" spans="1:22" s="1363" customFormat="1">
      <c r="B1091" s="1428"/>
      <c r="C1091" s="1429"/>
      <c r="D1091" s="1426"/>
      <c r="E1091" s="1420"/>
      <c r="F1091" s="1429"/>
      <c r="G1091" s="1426"/>
      <c r="H1091" s="1420"/>
      <c r="I1091" s="1429"/>
      <c r="J1091" s="1426"/>
      <c r="K1091" s="1420"/>
      <c r="O1091" s="1364"/>
      <c r="P1091" s="1364"/>
      <c r="Q1091" s="1364"/>
      <c r="R1091" s="1364"/>
      <c r="S1091" s="1492"/>
      <c r="T1091" s="1365"/>
      <c r="U1091" s="1365"/>
      <c r="V1091" s="1365"/>
    </row>
    <row r="1092" spans="1:22" s="1363" customFormat="1">
      <c r="B1092" s="1428"/>
      <c r="C1092" s="1429"/>
      <c r="D1092" s="1426"/>
      <c r="E1092" s="1420"/>
      <c r="F1092" s="1429"/>
      <c r="G1092" s="1426"/>
      <c r="H1092" s="1420"/>
      <c r="I1092" s="1429"/>
      <c r="J1092" s="1426"/>
      <c r="K1092" s="1420"/>
      <c r="O1092" s="1364"/>
      <c r="P1092" s="1364"/>
      <c r="Q1092" s="1364"/>
      <c r="R1092" s="1364"/>
      <c r="S1092" s="1492"/>
      <c r="T1092" s="1365"/>
      <c r="U1092" s="1365"/>
      <c r="V1092" s="1365"/>
    </row>
    <row r="1093" spans="1:22" s="1363" customFormat="1">
      <c r="B1093" s="1428"/>
      <c r="C1093" s="1429"/>
      <c r="D1093" s="1426"/>
      <c r="E1093" s="1420"/>
      <c r="F1093" s="1429"/>
      <c r="G1093" s="1426"/>
      <c r="H1093" s="1420"/>
      <c r="I1093" s="1429"/>
      <c r="J1093" s="1426"/>
      <c r="K1093" s="1420"/>
      <c r="O1093" s="1364"/>
      <c r="P1093" s="1364"/>
      <c r="Q1093" s="1364"/>
      <c r="R1093" s="1364"/>
      <c r="S1093" s="1492"/>
      <c r="T1093" s="1365"/>
      <c r="U1093" s="1365"/>
      <c r="V1093" s="1365"/>
    </row>
    <row r="1094" spans="1:22" s="1363" customFormat="1">
      <c r="B1094" s="1428"/>
      <c r="C1094" s="1429"/>
      <c r="D1094" s="1426"/>
      <c r="E1094" s="1420"/>
      <c r="F1094" s="1429"/>
      <c r="G1094" s="1426"/>
      <c r="H1094" s="1420"/>
      <c r="I1094" s="1429"/>
      <c r="J1094" s="1426"/>
      <c r="K1094" s="1420"/>
      <c r="O1094" s="1364"/>
      <c r="P1094" s="1364"/>
      <c r="Q1094" s="1364"/>
      <c r="R1094" s="1364"/>
      <c r="S1094" s="1492"/>
      <c r="T1094" s="1365"/>
      <c r="U1094" s="1365"/>
      <c r="V1094" s="1365"/>
    </row>
    <row r="1095" spans="1:22" s="1363" customFormat="1">
      <c r="B1095" s="1428"/>
      <c r="C1095" s="1429"/>
      <c r="D1095" s="1426"/>
      <c r="E1095" s="1420"/>
      <c r="F1095" s="1429"/>
      <c r="G1095" s="1426"/>
      <c r="H1095" s="1420"/>
      <c r="I1095" s="1429"/>
      <c r="J1095" s="1426"/>
      <c r="K1095" s="1420"/>
      <c r="O1095" s="1364"/>
      <c r="P1095" s="1417"/>
      <c r="Q1095" s="1412"/>
      <c r="R1095" s="1364"/>
      <c r="S1095" s="1492"/>
      <c r="T1095" s="1365"/>
      <c r="U1095" s="1365"/>
      <c r="V1095" s="1365"/>
    </row>
    <row r="1096" spans="1:22" s="1363" customFormat="1">
      <c r="B1096" s="1428"/>
      <c r="C1096" s="1429"/>
      <c r="D1096" s="1426"/>
      <c r="E1096" s="1420"/>
      <c r="F1096" s="1429"/>
      <c r="G1096" s="1426"/>
      <c r="H1096" s="1420"/>
      <c r="I1096" s="1429"/>
      <c r="J1096" s="1426"/>
      <c r="K1096" s="1420"/>
      <c r="O1096" s="1364"/>
      <c r="P1096" s="1364"/>
      <c r="Q1096" s="1364"/>
      <c r="R1096" s="1364"/>
      <c r="S1096" s="1364"/>
      <c r="T1096" s="1365"/>
      <c r="U1096" s="1365"/>
      <c r="V1096" s="1365"/>
    </row>
    <row r="1097" spans="1:22" s="1363" customFormat="1">
      <c r="B1097" s="1428"/>
      <c r="C1097" s="1429"/>
      <c r="D1097" s="1426"/>
      <c r="E1097" s="1420"/>
      <c r="F1097" s="1429"/>
      <c r="G1097" s="1426"/>
      <c r="H1097" s="1420"/>
      <c r="I1097" s="1429"/>
      <c r="J1097" s="1426"/>
      <c r="K1097" s="1420"/>
      <c r="O1097" s="1364"/>
      <c r="P1097" s="1364"/>
      <c r="Q1097" s="1364"/>
      <c r="R1097" s="1364"/>
      <c r="S1097" s="1364"/>
      <c r="T1097" s="1365"/>
      <c r="U1097" s="1365"/>
      <c r="V1097" s="1365"/>
    </row>
    <row r="1098" spans="1:22" s="1363" customFormat="1">
      <c r="B1098" s="1428"/>
      <c r="C1098" s="1429"/>
      <c r="D1098" s="1426"/>
      <c r="E1098" s="1420"/>
      <c r="F1098" s="1429"/>
      <c r="G1098" s="1426"/>
      <c r="H1098" s="1420"/>
      <c r="I1098" s="1429"/>
      <c r="J1098" s="1426"/>
      <c r="K1098" s="1420"/>
      <c r="O1098" s="1364"/>
      <c r="P1098" s="1364"/>
      <c r="Q1098" s="1364"/>
      <c r="R1098" s="1364"/>
      <c r="S1098" s="1492"/>
      <c r="T1098" s="1365"/>
      <c r="U1098" s="1365"/>
      <c r="V1098" s="1365"/>
    </row>
    <row r="1099" spans="1:22" s="1363" customFormat="1">
      <c r="B1099" s="1428"/>
      <c r="C1099" s="1429"/>
      <c r="D1099" s="1426"/>
      <c r="E1099" s="1420"/>
      <c r="F1099" s="1429"/>
      <c r="G1099" s="1426"/>
      <c r="H1099" s="1420"/>
      <c r="I1099" s="1429"/>
      <c r="J1099" s="1426"/>
      <c r="K1099" s="1420"/>
      <c r="O1099" s="1364"/>
      <c r="P1099" s="1364"/>
      <c r="Q1099" s="1364"/>
      <c r="R1099" s="1364"/>
      <c r="S1099" s="1492"/>
      <c r="T1099" s="1365"/>
      <c r="U1099" s="1365"/>
      <c r="V1099" s="1365"/>
    </row>
    <row r="1100" spans="1:22" s="1363" customFormat="1">
      <c r="B1100" s="1428"/>
      <c r="C1100" s="1429"/>
      <c r="D1100" s="1426"/>
      <c r="E1100" s="1420"/>
      <c r="F1100" s="1429"/>
      <c r="G1100" s="1426"/>
      <c r="H1100" s="1420"/>
      <c r="I1100" s="1429"/>
      <c r="J1100" s="1426"/>
      <c r="K1100" s="1420"/>
      <c r="O1100" s="1364"/>
      <c r="P1100" s="1364"/>
      <c r="Q1100" s="1364"/>
      <c r="R1100" s="1364"/>
      <c r="S1100" s="1492"/>
      <c r="T1100" s="1365"/>
      <c r="U1100" s="1365"/>
      <c r="V1100" s="1365"/>
    </row>
    <row r="1101" spans="1:22" s="1363" customFormat="1">
      <c r="B1101" s="1428"/>
      <c r="C1101" s="1429"/>
      <c r="D1101" s="1426"/>
      <c r="E1101" s="1420"/>
      <c r="F1101" s="1429"/>
      <c r="G1101" s="1426"/>
      <c r="H1101" s="1420"/>
      <c r="I1101" s="1429"/>
      <c r="J1101" s="1426"/>
      <c r="K1101" s="1420"/>
      <c r="O1101" s="1364"/>
      <c r="P1101" s="1364"/>
      <c r="Q1101" s="1364"/>
      <c r="R1101" s="1364"/>
      <c r="S1101" s="1492"/>
      <c r="T1101" s="1365"/>
      <c r="U1101" s="1365"/>
      <c r="V1101" s="1365"/>
    </row>
    <row r="1102" spans="1:22" s="1363" customFormat="1">
      <c r="B1102" s="1428"/>
      <c r="C1102" s="1429"/>
      <c r="D1102" s="1426"/>
      <c r="E1102" s="1420"/>
      <c r="F1102" s="1429"/>
      <c r="G1102" s="1426"/>
      <c r="H1102" s="1420"/>
      <c r="I1102" s="1429"/>
      <c r="J1102" s="1426"/>
      <c r="K1102" s="1420"/>
      <c r="O1102" s="1364"/>
      <c r="P1102" s="1364"/>
      <c r="Q1102" s="1364"/>
      <c r="R1102" s="1364"/>
      <c r="S1102" s="1492"/>
      <c r="T1102" s="1365"/>
      <c r="U1102" s="1365"/>
      <c r="V1102" s="1365"/>
    </row>
    <row r="1103" spans="1:22" s="1363" customFormat="1">
      <c r="A1103" s="1426"/>
      <c r="B1103" s="1428"/>
      <c r="C1103" s="1429"/>
      <c r="D1103" s="1426"/>
      <c r="E1103" s="1420"/>
      <c r="F1103" s="1429"/>
      <c r="G1103" s="1426"/>
      <c r="H1103" s="1420"/>
      <c r="I1103" s="1429"/>
      <c r="J1103" s="1426"/>
      <c r="K1103" s="1420"/>
      <c r="O1103" s="1364"/>
      <c r="P1103" s="1364"/>
      <c r="Q1103" s="1364"/>
      <c r="R1103" s="1364"/>
      <c r="S1103" s="1364"/>
      <c r="T1103" s="1365"/>
      <c r="U1103" s="1365"/>
      <c r="V1103" s="1365"/>
    </row>
    <row r="1104" spans="1:22" s="1363" customFormat="1">
      <c r="A1104" s="1426"/>
      <c r="B1104" s="1474"/>
      <c r="C1104" s="1522"/>
      <c r="D1104" s="1426"/>
      <c r="E1104" s="1543"/>
      <c r="F1104" s="1514"/>
      <c r="G1104" s="1426"/>
      <c r="H1104" s="1543"/>
      <c r="I1104" s="1514"/>
      <c r="J1104" s="1426"/>
      <c r="K1104" s="1420"/>
      <c r="O1104" s="1364"/>
      <c r="P1104" s="1364"/>
      <c r="Q1104" s="1364"/>
      <c r="R1104" s="1364"/>
      <c r="S1104" s="1364"/>
      <c r="T1104" s="1365"/>
      <c r="U1104" s="1365"/>
      <c r="V1104" s="1365"/>
    </row>
    <row r="1105" spans="1:36" s="1363" customFormat="1">
      <c r="A1105" s="1426"/>
      <c r="B1105" s="1474"/>
      <c r="C1105" s="1436"/>
      <c r="D1105" s="1426"/>
      <c r="E1105" s="1543"/>
      <c r="F1105" s="1436"/>
      <c r="G1105" s="1426"/>
      <c r="H1105" s="1543"/>
      <c r="I1105" s="1436"/>
      <c r="J1105" s="1426"/>
      <c r="K1105" s="1420"/>
      <c r="O1105" s="1364"/>
      <c r="P1105" s="1364"/>
      <c r="Q1105" s="1364"/>
      <c r="R1105" s="1364"/>
      <c r="S1105" s="1364"/>
      <c r="T1105" s="1547"/>
      <c r="U1105" s="1547"/>
      <c r="V1105" s="1365"/>
    </row>
    <row r="1106" spans="1:36" s="1363" customFormat="1">
      <c r="A1106" s="1426"/>
      <c r="B1106" s="1474"/>
      <c r="C1106" s="1544"/>
      <c r="D1106" s="1426"/>
      <c r="E1106" s="1420"/>
      <c r="F1106" s="1544"/>
      <c r="G1106" s="1426"/>
      <c r="H1106" s="1420"/>
      <c r="I1106" s="1544"/>
      <c r="J1106" s="1426"/>
      <c r="K1106" s="1420"/>
      <c r="O1106" s="1364"/>
      <c r="P1106" s="1364"/>
      <c r="Q1106" s="1364"/>
      <c r="T1106" s="1365"/>
      <c r="U1106" s="1365"/>
      <c r="V1106" s="1365"/>
    </row>
    <row r="1107" spans="1:36" s="1363" customFormat="1">
      <c r="B1107" s="1474"/>
      <c r="C1107" s="1398"/>
      <c r="E1107" s="1420"/>
      <c r="F1107" s="1398"/>
      <c r="H1107" s="1420"/>
      <c r="I1107" s="1443"/>
      <c r="J1107" s="1426"/>
      <c r="K1107" s="1435"/>
      <c r="M1107" s="1427"/>
      <c r="O1107" s="1449"/>
      <c r="R1107" s="1450"/>
      <c r="S1107" s="1450"/>
      <c r="T1107" s="1365"/>
      <c r="U1107" s="1365"/>
      <c r="V1107" s="1365"/>
      <c r="AJ1107" s="1427"/>
    </row>
    <row r="1108" spans="1:36" s="1363" customFormat="1">
      <c r="A1108" s="1451"/>
      <c r="B1108" s="1526"/>
      <c r="C1108" s="1453"/>
      <c r="D1108" s="1451"/>
      <c r="E1108" s="1454"/>
      <c r="F1108" s="1529"/>
      <c r="G1108" s="1545"/>
      <c r="H1108" s="1454"/>
      <c r="I1108" s="1529"/>
      <c r="J1108" s="1545"/>
      <c r="K1108" s="1457"/>
      <c r="M1108" s="1427"/>
      <c r="O1108" s="1449"/>
      <c r="P1108" s="1417"/>
      <c r="R1108" s="1450"/>
      <c r="S1108" s="1450"/>
      <c r="T1108" s="1365"/>
      <c r="U1108" s="1365"/>
      <c r="V1108" s="1365"/>
      <c r="AJ1108" s="1427"/>
    </row>
    <row r="1109" spans="1:36" s="1363" customFormat="1">
      <c r="B1109" s="1474"/>
      <c r="C1109" s="1398"/>
      <c r="E1109" s="1435"/>
      <c r="F1109" s="1398"/>
      <c r="H1109" s="1435"/>
      <c r="I1109" s="1398"/>
      <c r="K1109" s="1435"/>
      <c r="O1109" s="1364"/>
      <c r="P1109" s="1364"/>
      <c r="Q1109" s="1364"/>
      <c r="T1109" s="1365"/>
      <c r="U1109" s="1365"/>
      <c r="V1109" s="1365"/>
    </row>
    <row r="1110" spans="1:36" s="1363" customFormat="1">
      <c r="B1110" s="1474"/>
      <c r="C1110" s="1398"/>
      <c r="E1110" s="1435"/>
      <c r="F1110" s="1398"/>
      <c r="H1110" s="1435"/>
      <c r="I1110" s="1398"/>
      <c r="K1110" s="1435"/>
      <c r="M1110" s="1422"/>
      <c r="N1110" s="1422"/>
      <c r="O1110" s="1423"/>
      <c r="P1110" s="1364"/>
      <c r="Q1110" s="1364"/>
      <c r="T1110" s="1365"/>
      <c r="U1110" s="1365"/>
      <c r="V1110" s="1365"/>
    </row>
    <row r="1111" spans="1:36" s="1363" customFormat="1">
      <c r="A1111" s="1426"/>
      <c r="B1111" s="1428"/>
      <c r="C1111" s="1515"/>
      <c r="D1111" s="1426"/>
      <c r="E1111" s="1420"/>
      <c r="F1111" s="1515"/>
      <c r="G1111" s="1426"/>
      <c r="H1111" s="1420"/>
      <c r="I1111" s="1515"/>
      <c r="J1111" s="1426"/>
      <c r="K1111" s="1420"/>
      <c r="M1111" s="1424"/>
      <c r="N1111" s="1424"/>
      <c r="O1111" s="1412"/>
      <c r="P1111" s="1364"/>
      <c r="Q1111" s="1364"/>
      <c r="T1111" s="1365"/>
      <c r="U1111" s="1365"/>
      <c r="V1111" s="1365"/>
    </row>
    <row r="1112" spans="1:36" s="1363" customFormat="1">
      <c r="A1112" s="1426"/>
      <c r="B1112" s="1428"/>
      <c r="C1112" s="1515"/>
      <c r="D1112" s="1426"/>
      <c r="E1112" s="1420"/>
      <c r="F1112" s="1515"/>
      <c r="G1112" s="1426"/>
      <c r="H1112" s="1420"/>
      <c r="I1112" s="1515"/>
      <c r="J1112" s="1426"/>
      <c r="K1112" s="1420"/>
      <c r="O1112" s="1364"/>
      <c r="P1112" s="1364"/>
      <c r="Q1112" s="1364"/>
      <c r="T1112" s="1365"/>
      <c r="U1112" s="1365"/>
      <c r="V1112" s="1365"/>
    </row>
    <row r="1113" spans="1:36" s="1363" customFormat="1">
      <c r="A1113" s="1425"/>
      <c r="B1113" s="1426"/>
      <c r="C1113" s="1426"/>
      <c r="D1113" s="1426"/>
      <c r="E1113" s="1426"/>
      <c r="F1113" s="1426"/>
      <c r="G1113" s="1426"/>
      <c r="H1113" s="1426"/>
      <c r="I1113" s="1426"/>
      <c r="J1113" s="1426"/>
      <c r="K1113" s="1426"/>
      <c r="O1113" s="1364"/>
      <c r="P1113" s="1364"/>
      <c r="Q1113" s="1364"/>
      <c r="T1113" s="1365"/>
      <c r="U1113" s="1365"/>
      <c r="V1113" s="1365"/>
    </row>
    <row r="1114" spans="1:36" s="1363" customFormat="1">
      <c r="A1114" s="1426"/>
      <c r="B1114" s="1426"/>
      <c r="C1114" s="1426"/>
      <c r="D1114" s="1426"/>
      <c r="E1114" s="1426"/>
      <c r="F1114" s="1426"/>
      <c r="G1114" s="1426"/>
      <c r="H1114" s="1426"/>
      <c r="I1114" s="1426"/>
      <c r="J1114" s="1426"/>
      <c r="K1114" s="1426"/>
      <c r="O1114" s="1364"/>
      <c r="P1114" s="1364"/>
      <c r="Q1114" s="1364"/>
      <c r="T1114" s="1365"/>
      <c r="U1114" s="1365"/>
      <c r="V1114" s="1365"/>
    </row>
    <row r="1115" spans="1:36" s="1363" customFormat="1">
      <c r="A1115" s="1426"/>
      <c r="B1115" s="1426"/>
      <c r="C1115" s="1515"/>
      <c r="D1115" s="1426"/>
      <c r="E1115" s="1426"/>
      <c r="F1115" s="1515"/>
      <c r="G1115" s="1426"/>
      <c r="H1115" s="1426"/>
      <c r="I1115" s="1515"/>
      <c r="J1115" s="1426"/>
      <c r="K1115" s="1426"/>
      <c r="O1115" s="1364"/>
      <c r="P1115" s="1364"/>
      <c r="Q1115" s="1364"/>
      <c r="T1115" s="1365"/>
      <c r="U1115" s="1365"/>
      <c r="V1115" s="1365"/>
    </row>
    <row r="1116" spans="1:36" s="1363" customFormat="1">
      <c r="A1116" s="1426"/>
      <c r="B1116" s="1428"/>
      <c r="C1116" s="1429"/>
      <c r="D1116" s="1426"/>
      <c r="E1116" s="1420"/>
      <c r="F1116" s="1429"/>
      <c r="G1116" s="1426"/>
      <c r="H1116" s="1420"/>
      <c r="I1116" s="1429"/>
      <c r="J1116" s="1426"/>
      <c r="K1116" s="1420"/>
      <c r="O1116" s="1364"/>
      <c r="P1116" s="1364"/>
      <c r="Q1116" s="1364"/>
      <c r="T1116" s="1365"/>
      <c r="U1116" s="1365"/>
      <c r="V1116" s="1365"/>
    </row>
    <row r="1117" spans="1:36" s="1363" customFormat="1">
      <c r="A1117" s="1426"/>
      <c r="B1117" s="1474"/>
      <c r="C1117" s="1522"/>
      <c r="D1117" s="1426"/>
      <c r="E1117" s="1543"/>
      <c r="F1117" s="1514"/>
      <c r="G1117" s="1426"/>
      <c r="H1117" s="1543"/>
      <c r="I1117" s="1514"/>
      <c r="J1117" s="1426"/>
      <c r="K1117" s="1420"/>
      <c r="O1117" s="1364"/>
      <c r="P1117" s="1364"/>
      <c r="Q1117" s="1364"/>
      <c r="T1117" s="1365"/>
      <c r="U1117" s="1365"/>
      <c r="V1117" s="1365"/>
    </row>
    <row r="1118" spans="1:36" s="1363" customFormat="1">
      <c r="A1118" s="1426"/>
      <c r="B1118" s="1474"/>
      <c r="C1118" s="1436"/>
      <c r="D1118" s="1426"/>
      <c r="E1118" s="1543"/>
      <c r="F1118" s="1546"/>
      <c r="G1118" s="1426"/>
      <c r="H1118" s="1543"/>
      <c r="I1118" s="1546"/>
      <c r="J1118" s="1426"/>
      <c r="K1118" s="1420"/>
      <c r="O1118" s="1364"/>
      <c r="P1118" s="1364"/>
      <c r="Q1118" s="1364"/>
      <c r="T1118" s="1365"/>
      <c r="U1118" s="1365"/>
      <c r="V1118" s="1365"/>
    </row>
    <row r="1119" spans="1:36" s="1363" customFormat="1">
      <c r="A1119" s="1426"/>
      <c r="B1119" s="1474"/>
      <c r="C1119" s="1544"/>
      <c r="D1119" s="1426"/>
      <c r="E1119" s="1420"/>
      <c r="F1119" s="1544"/>
      <c r="G1119" s="1426"/>
      <c r="H1119" s="1420"/>
      <c r="I1119" s="1544"/>
      <c r="J1119" s="1426"/>
      <c r="K1119" s="1420"/>
      <c r="O1119" s="1364"/>
      <c r="P1119" s="1364"/>
      <c r="Q1119" s="1364"/>
      <c r="T1119" s="1365"/>
      <c r="U1119" s="1365"/>
      <c r="V1119" s="1365"/>
    </row>
    <row r="1120" spans="1:36" s="1363" customFormat="1">
      <c r="B1120" s="1474"/>
      <c r="C1120" s="1398"/>
      <c r="E1120" s="1420"/>
      <c r="F1120" s="1398"/>
      <c r="H1120" s="1420"/>
      <c r="I1120" s="1443"/>
      <c r="J1120" s="1426"/>
      <c r="K1120" s="1435"/>
      <c r="M1120" s="1427"/>
      <c r="O1120" s="1449"/>
      <c r="R1120" s="1450"/>
      <c r="S1120" s="1450"/>
      <c r="T1120" s="1365"/>
      <c r="U1120" s="1365"/>
      <c r="V1120" s="1365"/>
      <c r="AJ1120" s="1427"/>
    </row>
    <row r="1121" spans="1:36" s="1363" customFormat="1">
      <c r="B1121" s="1474"/>
      <c r="C1121" s="1398"/>
      <c r="E1121" s="1435"/>
      <c r="F1121" s="1398"/>
      <c r="H1121" s="1435"/>
      <c r="I1121" s="1398"/>
      <c r="K1121" s="1435"/>
      <c r="O1121" s="1364"/>
      <c r="P1121" s="1364"/>
      <c r="Q1121" s="1364"/>
      <c r="T1121" s="1365"/>
      <c r="U1121" s="1365"/>
      <c r="V1121" s="1365"/>
    </row>
    <row r="1122" spans="1:36" s="1363" customFormat="1">
      <c r="B1122" s="1474"/>
      <c r="C1122" s="1398"/>
      <c r="E1122" s="1435"/>
      <c r="F1122" s="1398"/>
      <c r="H1122" s="1435"/>
      <c r="I1122" s="1398"/>
      <c r="K1122" s="1435"/>
      <c r="M1122" s="1422"/>
      <c r="N1122" s="1422"/>
      <c r="O1122" s="1423"/>
      <c r="P1122" s="1364"/>
      <c r="Q1122" s="1364"/>
      <c r="T1122" s="1365"/>
      <c r="U1122" s="1365"/>
      <c r="V1122" s="1365"/>
    </row>
    <row r="1123" spans="1:36" s="1363" customFormat="1">
      <c r="A1123" s="1426"/>
      <c r="B1123" s="1428"/>
      <c r="C1123" s="1515"/>
      <c r="D1123" s="1426"/>
      <c r="E1123" s="1420"/>
      <c r="F1123" s="1515"/>
      <c r="G1123" s="1426"/>
      <c r="H1123" s="1420"/>
      <c r="I1123" s="1515"/>
      <c r="J1123" s="1426"/>
      <c r="K1123" s="1420"/>
      <c r="M1123" s="1424"/>
      <c r="N1123" s="1424"/>
      <c r="O1123" s="1412"/>
      <c r="P1123" s="1364"/>
      <c r="Q1123" s="1364"/>
      <c r="T1123" s="1365"/>
      <c r="U1123" s="1365"/>
      <c r="V1123" s="1365"/>
    </row>
    <row r="1124" spans="1:36" s="1363" customFormat="1">
      <c r="A1124" s="1426"/>
      <c r="B1124" s="1428"/>
      <c r="C1124" s="1515"/>
      <c r="D1124" s="1426"/>
      <c r="E1124" s="1420"/>
      <c r="F1124" s="1515"/>
      <c r="G1124" s="1426"/>
      <c r="H1124" s="1420"/>
      <c r="I1124" s="1515"/>
      <c r="J1124" s="1426"/>
      <c r="K1124" s="1420"/>
      <c r="O1124" s="1364"/>
      <c r="P1124" s="1364"/>
      <c r="Q1124" s="1364"/>
      <c r="T1124" s="1365"/>
      <c r="U1124" s="1365"/>
      <c r="V1124" s="1365"/>
    </row>
    <row r="1125" spans="1:36" s="1363" customFormat="1">
      <c r="A1125" s="1425"/>
      <c r="B1125" s="1426"/>
      <c r="C1125" s="1426"/>
      <c r="D1125" s="1426"/>
      <c r="E1125" s="1426"/>
      <c r="F1125" s="1426"/>
      <c r="G1125" s="1426"/>
      <c r="H1125" s="1426"/>
      <c r="I1125" s="1426"/>
      <c r="J1125" s="1426"/>
      <c r="K1125" s="1426"/>
      <c r="O1125" s="1364"/>
      <c r="P1125" s="1364"/>
      <c r="Q1125" s="1364"/>
      <c r="T1125" s="1365"/>
      <c r="U1125" s="1365"/>
      <c r="V1125" s="1365"/>
    </row>
    <row r="1126" spans="1:36" s="1363" customFormat="1">
      <c r="A1126" s="1426"/>
      <c r="B1126" s="1426"/>
      <c r="C1126" s="1426"/>
      <c r="D1126" s="1426"/>
      <c r="E1126" s="1426"/>
      <c r="F1126" s="1426"/>
      <c r="G1126" s="1426"/>
      <c r="H1126" s="1426"/>
      <c r="I1126" s="1426"/>
      <c r="J1126" s="1426"/>
      <c r="K1126" s="1426"/>
      <c r="O1126" s="1364"/>
      <c r="P1126" s="1364"/>
      <c r="Q1126" s="1364"/>
      <c r="T1126" s="1365"/>
      <c r="U1126" s="1365"/>
      <c r="V1126" s="1365"/>
    </row>
    <row r="1127" spans="1:36" s="1363" customFormat="1">
      <c r="A1127" s="1426"/>
      <c r="B1127" s="1426"/>
      <c r="C1127" s="1426"/>
      <c r="D1127" s="1426"/>
      <c r="E1127" s="1426"/>
      <c r="F1127" s="1426"/>
      <c r="G1127" s="1426"/>
      <c r="H1127" s="1426"/>
      <c r="I1127" s="1426"/>
      <c r="J1127" s="1426"/>
      <c r="K1127" s="1426"/>
      <c r="O1127" s="1364"/>
      <c r="P1127" s="1364"/>
      <c r="Q1127" s="1364"/>
      <c r="T1127" s="1365"/>
      <c r="U1127" s="1365"/>
      <c r="V1127" s="1365"/>
    </row>
    <row r="1128" spans="1:36" s="1363" customFormat="1">
      <c r="A1128" s="1426"/>
      <c r="B1128" s="1428"/>
      <c r="C1128" s="1429"/>
      <c r="D1128" s="1426"/>
      <c r="E1128" s="1420"/>
      <c r="F1128" s="1429"/>
      <c r="G1128" s="1426"/>
      <c r="H1128" s="1420"/>
      <c r="I1128" s="1429"/>
      <c r="J1128" s="1426"/>
      <c r="K1128" s="1420"/>
      <c r="M1128" s="1427"/>
      <c r="O1128" s="1487"/>
      <c r="P1128" s="1487"/>
      <c r="Q1128" s="1487"/>
      <c r="T1128" s="1365"/>
      <c r="U1128" s="1365"/>
      <c r="V1128" s="1365"/>
    </row>
    <row r="1129" spans="1:36" s="1363" customFormat="1">
      <c r="A1129" s="1426"/>
      <c r="B1129" s="1428"/>
      <c r="C1129" s="1429"/>
      <c r="D1129" s="1426"/>
      <c r="E1129" s="1420"/>
      <c r="F1129" s="1429"/>
      <c r="G1129" s="1426"/>
      <c r="H1129" s="1420"/>
      <c r="I1129" s="1429"/>
      <c r="J1129" s="1426"/>
      <c r="K1129" s="1420"/>
      <c r="M1129" s="1427"/>
      <c r="O1129" s="1487"/>
      <c r="P1129" s="1487"/>
      <c r="Q1129" s="1487"/>
      <c r="T1129" s="1365"/>
      <c r="U1129" s="1365"/>
      <c r="V1129" s="1365"/>
    </row>
    <row r="1130" spans="1:36" s="1363" customFormat="1">
      <c r="A1130" s="1426"/>
      <c r="B1130" s="1428"/>
      <c r="C1130" s="1483"/>
      <c r="D1130" s="1426"/>
      <c r="E1130" s="1543"/>
      <c r="F1130" s="1483"/>
      <c r="G1130" s="1426"/>
      <c r="H1130" s="1543"/>
      <c r="I1130" s="1483"/>
      <c r="J1130" s="1426"/>
      <c r="K1130" s="1420"/>
      <c r="O1130" s="1487"/>
      <c r="P1130" s="1487"/>
      <c r="Q1130" s="1487"/>
      <c r="T1130" s="1365"/>
      <c r="U1130" s="1365"/>
      <c r="V1130" s="1365"/>
    </row>
    <row r="1131" spans="1:36" s="1363" customFormat="1">
      <c r="A1131" s="1426"/>
      <c r="B1131" s="1428"/>
      <c r="C1131" s="1489"/>
      <c r="D1131" s="1426"/>
      <c r="E1131" s="1543"/>
      <c r="F1131" s="1489"/>
      <c r="G1131" s="1420"/>
      <c r="H1131" s="1543"/>
      <c r="I1131" s="1489"/>
      <c r="J1131" s="1420"/>
      <c r="K1131" s="1420"/>
      <c r="M1131" s="1427"/>
      <c r="O1131" s="1487"/>
      <c r="P1131" s="1487"/>
      <c r="Q1131" s="1487"/>
      <c r="T1131" s="1365"/>
      <c r="U1131" s="1365"/>
      <c r="V1131" s="1365"/>
    </row>
    <row r="1132" spans="1:36" s="1363" customFormat="1">
      <c r="B1132" s="1474"/>
      <c r="C1132" s="1398"/>
      <c r="E1132" s="1420"/>
      <c r="F1132" s="1398"/>
      <c r="H1132" s="1420"/>
      <c r="I1132" s="1443"/>
      <c r="J1132" s="1435"/>
      <c r="K1132" s="1435"/>
      <c r="M1132" s="1427"/>
      <c r="N1132" s="1427"/>
      <c r="O1132" s="1449"/>
      <c r="R1132" s="1450"/>
      <c r="S1132" s="1450"/>
      <c r="T1132" s="1365"/>
      <c r="U1132" s="1365"/>
      <c r="V1132" s="1365"/>
      <c r="AJ1132" s="1427"/>
    </row>
    <row r="1133" spans="1:36" s="1363" customFormat="1">
      <c r="A1133" s="1451"/>
      <c r="B1133" s="1526"/>
      <c r="C1133" s="1453"/>
      <c r="D1133" s="1451"/>
      <c r="E1133" s="1454"/>
      <c r="F1133" s="1491"/>
      <c r="G1133" s="1454"/>
      <c r="H1133" s="1454"/>
      <c r="I1133" s="1491"/>
      <c r="J1133" s="1454"/>
      <c r="K1133" s="1457"/>
      <c r="M1133" s="1427"/>
      <c r="N1133" s="1427"/>
      <c r="O1133" s="1449"/>
      <c r="P1133" s="1364"/>
      <c r="R1133" s="1450"/>
      <c r="S1133" s="1450"/>
      <c r="T1133" s="1365"/>
      <c r="U1133" s="1365"/>
      <c r="V1133" s="1365"/>
      <c r="AJ1133" s="1427"/>
    </row>
    <row r="1134" spans="1:36" s="1363" customFormat="1">
      <c r="A1134" s="1426"/>
      <c r="B1134" s="1433"/>
      <c r="C1134" s="1428"/>
      <c r="D1134" s="1428"/>
      <c r="E1134" s="1543"/>
      <c r="F1134" s="1428"/>
      <c r="G1134" s="1420"/>
      <c r="H1134" s="1543"/>
      <c r="I1134" s="1428"/>
      <c r="J1134" s="1420"/>
      <c r="K1134" s="1543"/>
      <c r="M1134" s="1427"/>
      <c r="O1134" s="1364"/>
      <c r="P1134" s="1364"/>
      <c r="Q1134" s="1364"/>
      <c r="T1134" s="1365"/>
      <c r="U1134" s="1365"/>
      <c r="V1134" s="1365"/>
    </row>
    <row r="1135" spans="1:36" s="1363" customFormat="1">
      <c r="A1135" s="1426"/>
      <c r="B1135" s="1433"/>
      <c r="C1135" s="1436"/>
      <c r="D1135" s="1436"/>
      <c r="E1135" s="1543"/>
      <c r="F1135" s="1436"/>
      <c r="G1135" s="1436"/>
      <c r="H1135" s="1543"/>
      <c r="I1135" s="1436"/>
      <c r="J1135" s="1436"/>
      <c r="K1135" s="1543"/>
      <c r="M1135" s="1422"/>
      <c r="N1135" s="1422"/>
      <c r="O1135" s="1423"/>
      <c r="P1135" s="1364"/>
      <c r="Q1135" s="1364"/>
      <c r="T1135" s="1365"/>
      <c r="U1135" s="1365"/>
      <c r="V1135" s="1365"/>
    </row>
    <row r="1136" spans="1:36" s="1363" customFormat="1">
      <c r="A1136" s="1426"/>
      <c r="B1136" s="1428"/>
      <c r="C1136" s="1426"/>
      <c r="D1136" s="1426"/>
      <c r="E1136" s="1420"/>
      <c r="F1136" s="1426"/>
      <c r="G1136" s="1426"/>
      <c r="H1136" s="1420"/>
      <c r="I1136" s="1426"/>
      <c r="J1136" s="1426"/>
      <c r="K1136" s="1420"/>
      <c r="M1136" s="1424"/>
      <c r="N1136" s="1530"/>
      <c r="O1136" s="1427"/>
      <c r="P1136" s="1417"/>
      <c r="Q1136" s="1364"/>
      <c r="T1136" s="1365"/>
      <c r="U1136" s="1365"/>
      <c r="V1136" s="1365"/>
    </row>
    <row r="1137" spans="1:29" s="1363" customFormat="1">
      <c r="A1137" s="1426"/>
      <c r="B1137" s="1426"/>
      <c r="C1137" s="1426"/>
      <c r="D1137" s="1426"/>
      <c r="E1137" s="1426"/>
      <c r="F1137" s="1426"/>
      <c r="G1137" s="1426"/>
      <c r="H1137" s="1426"/>
      <c r="I1137" s="1426"/>
      <c r="J1137" s="1426"/>
      <c r="K1137" s="1420"/>
      <c r="N1137" s="1530"/>
      <c r="O1137" s="1427"/>
      <c r="P1137" s="1471"/>
      <c r="Q1137" s="1471"/>
      <c r="T1137" s="1365"/>
      <c r="U1137" s="1365"/>
      <c r="V1137" s="1365"/>
    </row>
    <row r="1138" spans="1:29" s="1363" customFormat="1">
      <c r="A1138" s="1548"/>
      <c r="B1138" s="1501"/>
      <c r="C1138" s="1501"/>
      <c r="D1138" s="1501"/>
      <c r="E1138" s="1501"/>
      <c r="F1138" s="1501"/>
      <c r="G1138" s="1501"/>
      <c r="H1138" s="1501"/>
      <c r="I1138" s="1501"/>
      <c r="J1138" s="1501"/>
      <c r="K1138" s="1501"/>
      <c r="O1138" s="1364"/>
      <c r="P1138" s="1364"/>
      <c r="Q1138" s="1364"/>
      <c r="T1138" s="1365"/>
      <c r="U1138" s="1365"/>
      <c r="V1138" s="1365"/>
    </row>
    <row r="1139" spans="1:29" s="1363" customFormat="1">
      <c r="A1139" s="1501"/>
      <c r="B1139" s="1501"/>
      <c r="C1139" s="1501"/>
      <c r="D1139" s="1501"/>
      <c r="E1139" s="1501"/>
      <c r="F1139" s="1501"/>
      <c r="G1139" s="1501"/>
      <c r="H1139" s="1501"/>
      <c r="I1139" s="1501"/>
      <c r="J1139" s="1501"/>
      <c r="K1139" s="1501"/>
      <c r="M1139" s="1530"/>
      <c r="N1139" s="1530"/>
      <c r="O1139" s="1530"/>
      <c r="P1139" s="1530"/>
      <c r="Q1139" s="1530"/>
      <c r="R1139" s="1530"/>
      <c r="S1139" s="1530"/>
      <c r="T1139" s="1531"/>
      <c r="U1139" s="1531"/>
      <c r="V1139" s="1531"/>
      <c r="W1139" s="1530"/>
      <c r="X1139" s="1530"/>
      <c r="Y1139" s="1530"/>
      <c r="Z1139" s="1530"/>
      <c r="AA1139" s="1530"/>
      <c r="AB1139" s="1530"/>
      <c r="AC1139" s="1530"/>
    </row>
    <row r="1140" spans="1:29" s="1363" customFormat="1">
      <c r="A1140" s="1549"/>
      <c r="B1140" s="1501"/>
      <c r="C1140" s="1501"/>
      <c r="D1140" s="1501"/>
      <c r="E1140" s="1501"/>
      <c r="F1140" s="1501"/>
      <c r="G1140" s="1501"/>
      <c r="H1140" s="1501"/>
      <c r="I1140" s="1501"/>
      <c r="J1140" s="1501"/>
      <c r="K1140" s="1501"/>
      <c r="M1140" s="1530"/>
      <c r="N1140" s="1530"/>
      <c r="O1140" s="1530"/>
      <c r="P1140" s="1530"/>
      <c r="Q1140" s="1530"/>
      <c r="R1140" s="1530"/>
      <c r="S1140" s="1530"/>
      <c r="T1140" s="1531"/>
      <c r="U1140" s="1531"/>
      <c r="V1140" s="1531"/>
      <c r="W1140" s="1530"/>
      <c r="X1140" s="1530"/>
      <c r="Y1140" s="1530"/>
      <c r="Z1140" s="1530"/>
      <c r="AA1140" s="1530"/>
      <c r="AB1140" s="1530"/>
      <c r="AC1140" s="1530"/>
    </row>
    <row r="1141" spans="1:29" s="1363" customFormat="1">
      <c r="E1141" s="1435"/>
      <c r="H1141" s="1435"/>
      <c r="M1141" s="1530"/>
      <c r="N1141" s="1530"/>
      <c r="O1141" s="1530"/>
      <c r="P1141" s="1364"/>
      <c r="Q1141" s="1364"/>
      <c r="R1141" s="1532"/>
      <c r="S1141" s="1532"/>
      <c r="T1141" s="1531"/>
      <c r="U1141" s="1531"/>
      <c r="V1141" s="1531"/>
      <c r="W1141" s="1533"/>
      <c r="X1141" s="1550"/>
      <c r="Y1141" s="1534"/>
      <c r="Z1141" s="1530"/>
      <c r="AA1141" s="1530"/>
      <c r="AB1141" s="1530"/>
      <c r="AC1141" s="1530"/>
    </row>
    <row r="1142" spans="1:29" s="1363" customFormat="1">
      <c r="B1142" s="1474"/>
      <c r="C1142" s="1398"/>
      <c r="E1142" s="1420"/>
      <c r="F1142" s="1398"/>
      <c r="H1142" s="1420"/>
      <c r="I1142" s="1398"/>
      <c r="K1142" s="1420"/>
      <c r="M1142" s="1427"/>
      <c r="O1142" s="1449"/>
      <c r="P1142" s="1364"/>
      <c r="Q1142" s="1364"/>
      <c r="R1142" s="1535"/>
      <c r="S1142" s="1535"/>
      <c r="T1142" s="1537"/>
      <c r="U1142" s="1537"/>
      <c r="V1142" s="1537"/>
      <c r="W1142" s="1538"/>
      <c r="X1142" s="1539"/>
      <c r="Y1142" s="1530"/>
      <c r="Z1142" s="1449"/>
      <c r="AA1142" s="1449"/>
      <c r="AB1142" s="1551"/>
      <c r="AC1142" s="1449"/>
    </row>
    <row r="1143" spans="1:29" s="1363" customFormat="1">
      <c r="B1143" s="1474"/>
      <c r="C1143" s="1398"/>
      <c r="E1143" s="1420"/>
      <c r="F1143" s="1398"/>
      <c r="H1143" s="1420"/>
      <c r="I1143" s="1398"/>
      <c r="K1143" s="1420"/>
      <c r="M1143" s="1427"/>
      <c r="O1143" s="1449"/>
      <c r="P1143" s="1364"/>
      <c r="Q1143" s="1364"/>
      <c r="R1143" s="1535"/>
      <c r="S1143" s="1535"/>
      <c r="T1143" s="1537"/>
      <c r="U1143" s="1537"/>
      <c r="V1143" s="1537"/>
      <c r="W1143" s="1538"/>
      <c r="X1143" s="1530"/>
      <c r="Y1143" s="1530"/>
      <c r="Z1143" s="1449"/>
      <c r="AA1143" s="1449"/>
      <c r="AB1143" s="1551"/>
      <c r="AC1143" s="1449"/>
    </row>
    <row r="1144" spans="1:29" s="1363" customFormat="1">
      <c r="B1144" s="1474"/>
      <c r="C1144" s="1398"/>
      <c r="E1144" s="1420"/>
      <c r="F1144" s="1398"/>
      <c r="H1144" s="1420"/>
      <c r="I1144" s="1398"/>
      <c r="K1144" s="1420"/>
      <c r="M1144" s="1427"/>
      <c r="O1144" s="1449"/>
      <c r="P1144" s="1364"/>
      <c r="Q1144" s="1364"/>
      <c r="R1144" s="1535"/>
      <c r="S1144" s="1535"/>
      <c r="T1144" s="1537"/>
      <c r="U1144" s="1537"/>
      <c r="V1144" s="1537"/>
      <c r="W1144" s="1538"/>
      <c r="X1144" s="1530"/>
      <c r="Y1144" s="1530"/>
      <c r="Z1144" s="1449"/>
      <c r="AA1144" s="1449"/>
      <c r="AB1144" s="1551"/>
      <c r="AC1144" s="1449"/>
    </row>
    <row r="1145" spans="1:29" s="1363" customFormat="1">
      <c r="B1145" s="1474"/>
      <c r="C1145" s="1552"/>
      <c r="E1145" s="1435"/>
      <c r="F1145" s="1552"/>
      <c r="H1145" s="1435"/>
      <c r="I1145" s="1552"/>
      <c r="O1145" s="1449"/>
      <c r="P1145" s="1364"/>
      <c r="Q1145" s="1364"/>
      <c r="T1145" s="1537"/>
      <c r="U1145" s="1537"/>
      <c r="V1145" s="1537"/>
      <c r="W1145" s="1423"/>
      <c r="X1145" s="1530"/>
      <c r="Y1145" s="1530"/>
      <c r="Z1145" s="1449"/>
      <c r="AA1145" s="1449"/>
      <c r="AB1145" s="1551"/>
      <c r="AC1145" s="1449"/>
    </row>
    <row r="1146" spans="1:29" s="1363" customFormat="1">
      <c r="B1146" s="1474"/>
      <c r="C1146" s="1398"/>
      <c r="E1146" s="1420"/>
      <c r="F1146" s="1398"/>
      <c r="H1146" s="1420"/>
      <c r="I1146" s="1398"/>
      <c r="K1146" s="1420"/>
      <c r="M1146" s="1427"/>
      <c r="O1146" s="1449"/>
      <c r="P1146" s="1364"/>
      <c r="Q1146" s="1364"/>
      <c r="R1146" s="1535"/>
      <c r="S1146" s="1535"/>
      <c r="T1146" s="1537"/>
      <c r="U1146" s="1537"/>
      <c r="V1146" s="1537"/>
      <c r="W1146" s="1538"/>
      <c r="Z1146" s="1449"/>
      <c r="AA1146" s="1449"/>
      <c r="AB1146" s="1551"/>
      <c r="AC1146" s="1449"/>
    </row>
    <row r="1147" spans="1:29" s="1363" customFormat="1">
      <c r="B1147" s="1474"/>
      <c r="C1147" s="1398"/>
      <c r="E1147" s="1420"/>
      <c r="F1147" s="1398"/>
      <c r="H1147" s="1420"/>
      <c r="I1147" s="1398"/>
      <c r="K1147" s="1420"/>
      <c r="M1147" s="1427"/>
      <c r="O1147" s="1449"/>
      <c r="P1147" s="1364"/>
      <c r="Q1147" s="1364"/>
      <c r="R1147" s="1535"/>
      <c r="S1147" s="1535"/>
      <c r="T1147" s="1537"/>
      <c r="U1147" s="1537"/>
      <c r="V1147" s="1537"/>
      <c r="W1147" s="1538"/>
      <c r="Z1147" s="1449"/>
      <c r="AA1147" s="1449"/>
      <c r="AB1147" s="1551"/>
      <c r="AC1147" s="1449"/>
    </row>
    <row r="1148" spans="1:29" s="1363" customFormat="1">
      <c r="A1148" s="1549"/>
      <c r="B1148" s="1474"/>
      <c r="C1148" s="1398"/>
      <c r="E1148" s="1420"/>
      <c r="F1148" s="1398"/>
      <c r="H1148" s="1420"/>
      <c r="I1148" s="1398"/>
      <c r="K1148" s="1420"/>
      <c r="O1148" s="1449"/>
      <c r="P1148" s="1364"/>
      <c r="Q1148" s="1364"/>
      <c r="T1148" s="1365"/>
      <c r="U1148" s="1365"/>
      <c r="V1148" s="1365"/>
      <c r="AB1148" s="1551"/>
    </row>
    <row r="1149" spans="1:29" s="1363" customFormat="1">
      <c r="B1149" s="1474"/>
      <c r="C1149" s="1552"/>
      <c r="E1149" s="1435"/>
      <c r="F1149" s="1552"/>
      <c r="H1149" s="1435"/>
      <c r="I1149" s="1552"/>
      <c r="O1149" s="1364"/>
      <c r="P1149" s="1364"/>
      <c r="Q1149" s="1364"/>
      <c r="T1149" s="1365"/>
      <c r="U1149" s="1365"/>
      <c r="V1149" s="1365"/>
      <c r="AB1149" s="1551"/>
    </row>
    <row r="1150" spans="1:29" s="1363" customFormat="1">
      <c r="B1150" s="1474"/>
      <c r="C1150" s="1398"/>
      <c r="E1150" s="1420"/>
      <c r="F1150" s="1398"/>
      <c r="H1150" s="1420"/>
      <c r="I1150" s="1398"/>
      <c r="K1150" s="1420"/>
      <c r="M1150" s="1427"/>
      <c r="O1150" s="1449"/>
      <c r="P1150" s="1364"/>
      <c r="Q1150" s="1364"/>
      <c r="R1150" s="1535"/>
      <c r="S1150" s="1535"/>
      <c r="T1150" s="1537"/>
      <c r="U1150" s="1537"/>
      <c r="V1150" s="1537"/>
      <c r="W1150" s="1538"/>
      <c r="Z1150" s="1449"/>
      <c r="AA1150" s="1449"/>
      <c r="AB1150" s="1551"/>
      <c r="AC1150" s="1449"/>
    </row>
    <row r="1151" spans="1:29" s="1363" customFormat="1">
      <c r="B1151" s="1474"/>
      <c r="C1151" s="1398"/>
      <c r="E1151" s="1420"/>
      <c r="F1151" s="1398"/>
      <c r="H1151" s="1420"/>
      <c r="I1151" s="1398"/>
      <c r="K1151" s="1420"/>
      <c r="M1151" s="1427"/>
      <c r="O1151" s="1449"/>
      <c r="P1151" s="1364"/>
      <c r="Q1151" s="1364"/>
      <c r="R1151" s="1535"/>
      <c r="S1151" s="1535"/>
      <c r="T1151" s="1537"/>
      <c r="U1151" s="1537"/>
      <c r="V1151" s="1537"/>
      <c r="W1151" s="1538"/>
      <c r="X1151" s="1446"/>
      <c r="Y1151" s="1446"/>
      <c r="Z1151" s="1449"/>
      <c r="AA1151" s="1449"/>
      <c r="AB1151" s="1551"/>
      <c r="AC1151" s="1449"/>
    </row>
    <row r="1152" spans="1:29" s="1363" customFormat="1">
      <c r="B1152" s="1474"/>
      <c r="C1152" s="1398"/>
      <c r="E1152" s="1420"/>
      <c r="F1152" s="1398"/>
      <c r="H1152" s="1420"/>
      <c r="I1152" s="1398"/>
      <c r="K1152" s="1420"/>
      <c r="M1152" s="1427"/>
      <c r="O1152" s="1449"/>
      <c r="P1152" s="1364"/>
      <c r="Q1152" s="1364"/>
      <c r="R1152" s="1535"/>
      <c r="S1152" s="1535"/>
      <c r="T1152" s="1537"/>
      <c r="U1152" s="1537"/>
      <c r="V1152" s="1537"/>
      <c r="W1152" s="1538"/>
      <c r="X1152" s="1446"/>
      <c r="Y1152" s="1446"/>
      <c r="Z1152" s="1449"/>
      <c r="AA1152" s="1449"/>
      <c r="AB1152" s="1551"/>
      <c r="AC1152" s="1449"/>
    </row>
    <row r="1153" spans="1:29" s="1363" customFormat="1">
      <c r="B1153" s="1474"/>
      <c r="C1153" s="1552"/>
      <c r="E1153" s="1435"/>
      <c r="F1153" s="1552"/>
      <c r="H1153" s="1435"/>
      <c r="I1153" s="1552"/>
      <c r="P1153" s="1450"/>
      <c r="Q1153" s="1450"/>
      <c r="R1153" s="1450"/>
      <c r="S1153" s="1450"/>
      <c r="T1153" s="1553"/>
      <c r="U1153" s="1553"/>
      <c r="V1153" s="1553"/>
      <c r="W1153" s="1554"/>
      <c r="X1153" s="1446"/>
      <c r="Y1153" s="1446"/>
      <c r="Z1153" s="1412"/>
      <c r="AB1153" s="1551"/>
    </row>
    <row r="1154" spans="1:29" s="1363" customFormat="1">
      <c r="B1154" s="1474"/>
      <c r="C1154" s="1398"/>
      <c r="E1154" s="1420"/>
      <c r="F1154" s="1398"/>
      <c r="H1154" s="1420"/>
      <c r="I1154" s="1398"/>
      <c r="K1154" s="1420"/>
      <c r="M1154" s="1427"/>
      <c r="O1154" s="1449"/>
      <c r="P1154" s="1364"/>
      <c r="Q1154" s="1364"/>
      <c r="R1154" s="1535"/>
      <c r="S1154" s="1535"/>
      <c r="T1154" s="1537"/>
      <c r="U1154" s="1537"/>
      <c r="V1154" s="1537"/>
      <c r="W1154" s="1538"/>
      <c r="X1154" s="1446"/>
      <c r="Y1154" s="1446"/>
      <c r="Z1154" s="1449"/>
      <c r="AA1154" s="1449"/>
      <c r="AB1154" s="1551"/>
      <c r="AC1154" s="1449"/>
    </row>
    <row r="1155" spans="1:29" s="1363" customFormat="1">
      <c r="B1155" s="1474"/>
      <c r="C1155" s="1398"/>
      <c r="E1155" s="1420"/>
      <c r="F1155" s="1398"/>
      <c r="H1155" s="1420"/>
      <c r="I1155" s="1398"/>
      <c r="K1155" s="1420"/>
      <c r="M1155" s="1427"/>
      <c r="O1155" s="1449"/>
      <c r="P1155" s="1364"/>
      <c r="Q1155" s="1364"/>
      <c r="R1155" s="1535"/>
      <c r="S1155" s="1535"/>
      <c r="T1155" s="1537"/>
      <c r="U1155" s="1537"/>
      <c r="V1155" s="1537"/>
      <c r="W1155" s="1538"/>
      <c r="X1155" s="1446"/>
      <c r="Y1155" s="1446"/>
      <c r="Z1155" s="1449"/>
      <c r="AA1155" s="1449"/>
      <c r="AB1155" s="1551"/>
      <c r="AC1155" s="1449"/>
    </row>
    <row r="1156" spans="1:29" s="1363" customFormat="1">
      <c r="A1156" s="1549"/>
      <c r="B1156" s="1474"/>
      <c r="C1156" s="1552"/>
      <c r="D1156" s="1501"/>
      <c r="E1156" s="1501"/>
      <c r="F1156" s="1552"/>
      <c r="G1156" s="1501"/>
      <c r="H1156" s="1501"/>
      <c r="I1156" s="1552"/>
      <c r="J1156" s="1501"/>
      <c r="K1156" s="1501"/>
      <c r="P1156" s="1450"/>
      <c r="Q1156" s="1450"/>
      <c r="R1156" s="1450"/>
      <c r="S1156" s="1450"/>
      <c r="T1156" s="1553"/>
      <c r="U1156" s="1553"/>
      <c r="V1156" s="1553"/>
      <c r="W1156" s="1554"/>
      <c r="X1156" s="1446"/>
      <c r="Y1156" s="1446"/>
      <c r="Z1156" s="1412"/>
      <c r="AB1156" s="1551"/>
    </row>
    <row r="1157" spans="1:29" s="1363" customFormat="1">
      <c r="B1157" s="1474"/>
      <c r="C1157" s="1552"/>
      <c r="E1157" s="1435"/>
      <c r="F1157" s="1552"/>
      <c r="H1157" s="1435"/>
      <c r="I1157" s="1552"/>
      <c r="P1157" s="1450"/>
      <c r="Q1157" s="1450"/>
      <c r="R1157" s="1450"/>
      <c r="S1157" s="1450"/>
      <c r="T1157" s="1553"/>
      <c r="U1157" s="1553"/>
      <c r="V1157" s="1553"/>
      <c r="W1157" s="1554"/>
      <c r="X1157" s="1446"/>
      <c r="Y1157" s="1446"/>
      <c r="Z1157" s="1412"/>
      <c r="AB1157" s="1551"/>
    </row>
    <row r="1158" spans="1:29" s="1363" customFormat="1">
      <c r="B1158" s="1474"/>
      <c r="C1158" s="1398"/>
      <c r="E1158" s="1420"/>
      <c r="F1158" s="1398"/>
      <c r="H1158" s="1420"/>
      <c r="I1158" s="1398"/>
      <c r="K1158" s="1420"/>
      <c r="M1158" s="1427"/>
      <c r="O1158" s="1449"/>
      <c r="P1158" s="1364"/>
      <c r="Q1158" s="1364"/>
      <c r="R1158" s="1535"/>
      <c r="S1158" s="1535"/>
      <c r="T1158" s="1537"/>
      <c r="U1158" s="1537"/>
      <c r="V1158" s="1537"/>
      <c r="W1158" s="1538"/>
      <c r="X1158" s="1446"/>
      <c r="Y1158" s="1446"/>
      <c r="Z1158" s="1449"/>
      <c r="AA1158" s="1449"/>
      <c r="AB1158" s="1551"/>
      <c r="AC1158" s="1449"/>
    </row>
    <row r="1159" spans="1:29" s="1363" customFormat="1">
      <c r="B1159" s="1474"/>
      <c r="C1159" s="1398"/>
      <c r="E1159" s="1420"/>
      <c r="F1159" s="1398"/>
      <c r="H1159" s="1420"/>
      <c r="I1159" s="1398"/>
      <c r="K1159" s="1420"/>
      <c r="M1159" s="1427"/>
      <c r="O1159" s="1449"/>
      <c r="P1159" s="1364"/>
      <c r="Q1159" s="1364"/>
      <c r="R1159" s="1535"/>
      <c r="S1159" s="1535"/>
      <c r="T1159" s="1537"/>
      <c r="U1159" s="1537"/>
      <c r="V1159" s="1537"/>
      <c r="W1159" s="1538"/>
      <c r="X1159" s="1446"/>
      <c r="Y1159" s="1446"/>
      <c r="Z1159" s="1449"/>
      <c r="AA1159" s="1449"/>
      <c r="AB1159" s="1551"/>
      <c r="AC1159" s="1449"/>
    </row>
    <row r="1160" spans="1:29" s="1363" customFormat="1">
      <c r="B1160" s="1474"/>
      <c r="C1160" s="1398"/>
      <c r="E1160" s="1420"/>
      <c r="F1160" s="1398"/>
      <c r="H1160" s="1420"/>
      <c r="I1160" s="1398"/>
      <c r="K1160" s="1420"/>
      <c r="M1160" s="1427"/>
      <c r="O1160" s="1449"/>
      <c r="P1160" s="1364"/>
      <c r="Q1160" s="1364"/>
      <c r="R1160" s="1535"/>
      <c r="S1160" s="1535"/>
      <c r="T1160" s="1537"/>
      <c r="U1160" s="1537"/>
      <c r="V1160" s="1537"/>
      <c r="W1160" s="1538"/>
      <c r="X1160" s="1446"/>
      <c r="Y1160" s="1446"/>
      <c r="Z1160" s="1449"/>
      <c r="AA1160" s="1449"/>
      <c r="AB1160" s="1551"/>
      <c r="AC1160" s="1449"/>
    </row>
    <row r="1161" spans="1:29" s="1363" customFormat="1">
      <c r="B1161" s="1474"/>
      <c r="C1161" s="1552"/>
      <c r="E1161" s="1435"/>
      <c r="F1161" s="1552"/>
      <c r="H1161" s="1435"/>
      <c r="I1161" s="1552"/>
      <c r="P1161" s="1450"/>
      <c r="Q1161" s="1450"/>
      <c r="R1161" s="1450"/>
      <c r="S1161" s="1450"/>
      <c r="T1161" s="1553"/>
      <c r="U1161" s="1553"/>
      <c r="V1161" s="1553"/>
      <c r="W1161" s="1554"/>
      <c r="X1161" s="1446"/>
      <c r="Y1161" s="1446"/>
      <c r="Z1161" s="1412"/>
      <c r="AB1161" s="1551"/>
    </row>
    <row r="1162" spans="1:29" s="1363" customFormat="1">
      <c r="B1162" s="1474"/>
      <c r="C1162" s="1398"/>
      <c r="E1162" s="1420"/>
      <c r="F1162" s="1398"/>
      <c r="H1162" s="1420"/>
      <c r="I1162" s="1398"/>
      <c r="K1162" s="1420"/>
      <c r="M1162" s="1427"/>
      <c r="O1162" s="1449"/>
      <c r="P1162" s="1364"/>
      <c r="Q1162" s="1364"/>
      <c r="R1162" s="1535"/>
      <c r="S1162" s="1535"/>
      <c r="T1162" s="1537"/>
      <c r="U1162" s="1537"/>
      <c r="V1162" s="1537"/>
      <c r="W1162" s="1538"/>
      <c r="X1162" s="1446"/>
      <c r="Y1162" s="1446"/>
      <c r="Z1162" s="1449"/>
      <c r="AA1162" s="1449"/>
      <c r="AB1162" s="1551"/>
      <c r="AC1162" s="1449"/>
    </row>
    <row r="1163" spans="1:29" s="1363" customFormat="1">
      <c r="B1163" s="1474"/>
      <c r="C1163" s="1398"/>
      <c r="E1163" s="1420"/>
      <c r="F1163" s="1398"/>
      <c r="H1163" s="1420"/>
      <c r="I1163" s="1398"/>
      <c r="K1163" s="1420"/>
      <c r="M1163" s="1427"/>
      <c r="O1163" s="1449"/>
      <c r="P1163" s="1364"/>
      <c r="Q1163" s="1364"/>
      <c r="R1163" s="1535"/>
      <c r="S1163" s="1535"/>
      <c r="T1163" s="1537"/>
      <c r="U1163" s="1537"/>
      <c r="V1163" s="1537"/>
      <c r="W1163" s="1538"/>
      <c r="X1163" s="1446"/>
      <c r="Y1163" s="1446"/>
      <c r="Z1163" s="1449"/>
      <c r="AA1163" s="1449"/>
      <c r="AB1163" s="1551"/>
      <c r="AC1163" s="1449"/>
    </row>
    <row r="1164" spans="1:29" s="1363" customFormat="1">
      <c r="A1164" s="1549"/>
      <c r="B1164" s="1474"/>
      <c r="C1164" s="1552"/>
      <c r="D1164" s="1501"/>
      <c r="E1164" s="1501"/>
      <c r="F1164" s="1552"/>
      <c r="G1164" s="1501"/>
      <c r="H1164" s="1501"/>
      <c r="I1164" s="1552"/>
      <c r="J1164" s="1501"/>
      <c r="K1164" s="1501"/>
      <c r="P1164" s="1450"/>
      <c r="Q1164" s="1450"/>
      <c r="R1164" s="1450"/>
      <c r="S1164" s="1450"/>
      <c r="T1164" s="1553"/>
      <c r="U1164" s="1553"/>
      <c r="V1164" s="1553"/>
      <c r="W1164" s="1554"/>
      <c r="X1164" s="1446"/>
      <c r="Y1164" s="1446"/>
      <c r="Z1164" s="1412"/>
      <c r="AB1164" s="1551"/>
    </row>
    <row r="1165" spans="1:29" s="1363" customFormat="1">
      <c r="B1165" s="1474"/>
      <c r="C1165" s="1398"/>
      <c r="E1165" s="1420"/>
      <c r="F1165" s="1398"/>
      <c r="H1165" s="1420"/>
      <c r="I1165" s="1398"/>
      <c r="K1165" s="1420"/>
      <c r="M1165" s="1427"/>
      <c r="O1165" s="1449"/>
      <c r="P1165" s="1364"/>
      <c r="Q1165" s="1364"/>
      <c r="R1165" s="1535"/>
      <c r="S1165" s="1535"/>
      <c r="T1165" s="1537"/>
      <c r="U1165" s="1537"/>
      <c r="V1165" s="1537"/>
      <c r="W1165" s="1538"/>
      <c r="X1165" s="1446"/>
      <c r="Y1165" s="1446"/>
      <c r="Z1165" s="1449"/>
      <c r="AA1165" s="1449"/>
      <c r="AB1165" s="1551"/>
      <c r="AC1165" s="1449"/>
    </row>
    <row r="1166" spans="1:29" s="1363" customFormat="1">
      <c r="B1166" s="1474"/>
      <c r="C1166" s="1398"/>
      <c r="E1166" s="1420"/>
      <c r="F1166" s="1398"/>
      <c r="H1166" s="1420"/>
      <c r="I1166" s="1398"/>
      <c r="K1166" s="1420"/>
      <c r="M1166" s="1427"/>
      <c r="O1166" s="1449"/>
      <c r="P1166" s="1364"/>
      <c r="Q1166" s="1364"/>
      <c r="R1166" s="1535"/>
      <c r="S1166" s="1535"/>
      <c r="T1166" s="1537"/>
      <c r="U1166" s="1537"/>
      <c r="V1166" s="1537"/>
      <c r="W1166" s="1538"/>
      <c r="X1166" s="1446"/>
      <c r="Y1166" s="1446"/>
      <c r="Z1166" s="1449"/>
      <c r="AA1166" s="1449"/>
      <c r="AB1166" s="1551"/>
      <c r="AC1166" s="1449"/>
    </row>
    <row r="1167" spans="1:29" s="1363" customFormat="1">
      <c r="B1167" s="1474"/>
      <c r="C1167" s="1398"/>
      <c r="E1167" s="1420"/>
      <c r="F1167" s="1398"/>
      <c r="H1167" s="1420"/>
      <c r="I1167" s="1398"/>
      <c r="K1167" s="1420"/>
      <c r="M1167" s="1427"/>
      <c r="O1167" s="1449"/>
      <c r="P1167" s="1364"/>
      <c r="Q1167" s="1364"/>
      <c r="R1167" s="1535"/>
      <c r="S1167" s="1535"/>
      <c r="T1167" s="1537"/>
      <c r="U1167" s="1537"/>
      <c r="V1167" s="1537"/>
      <c r="W1167" s="1538"/>
      <c r="X1167" s="1446"/>
      <c r="Y1167" s="1446"/>
      <c r="Z1167" s="1449"/>
      <c r="AA1167" s="1449"/>
      <c r="AB1167" s="1551"/>
      <c r="AC1167" s="1449"/>
    </row>
    <row r="1168" spans="1:29" s="1363" customFormat="1">
      <c r="A1168" s="1555"/>
      <c r="B1168" s="1474"/>
      <c r="C1168" s="1398"/>
      <c r="E1168" s="1420"/>
      <c r="F1168" s="1398"/>
      <c r="H1168" s="1420"/>
      <c r="I1168" s="1398"/>
      <c r="K1168" s="1420"/>
      <c r="P1168" s="1450"/>
      <c r="Q1168" s="1450"/>
      <c r="R1168" s="1450"/>
      <c r="S1168" s="1450"/>
      <c r="T1168" s="1556"/>
      <c r="U1168" s="1556"/>
      <c r="V1168" s="1556"/>
      <c r="W1168" s="1557"/>
      <c r="X1168" s="1446"/>
      <c r="Y1168" s="1446"/>
      <c r="Z1168" s="1412"/>
      <c r="AB1168" s="1551"/>
    </row>
    <row r="1169" spans="1:36" s="1363" customFormat="1">
      <c r="B1169" s="1474"/>
      <c r="C1169" s="1398"/>
      <c r="E1169" s="1420"/>
      <c r="F1169" s="1398"/>
      <c r="H1169" s="1420"/>
      <c r="I1169" s="1398"/>
      <c r="K1169" s="1420"/>
      <c r="M1169" s="1427"/>
      <c r="O1169" s="1449"/>
      <c r="P1169" s="1364"/>
      <c r="Q1169" s="1364"/>
      <c r="R1169" s="1535"/>
      <c r="S1169" s="1535"/>
      <c r="T1169" s="1537"/>
      <c r="U1169" s="1537"/>
      <c r="V1169" s="1537"/>
      <c r="W1169" s="1538"/>
      <c r="X1169" s="1446"/>
      <c r="Y1169" s="1446"/>
      <c r="Z1169" s="1449"/>
      <c r="AA1169" s="1449"/>
      <c r="AB1169" s="1551"/>
      <c r="AC1169" s="1449"/>
    </row>
    <row r="1170" spans="1:36" s="1363" customFormat="1">
      <c r="B1170" s="1474"/>
      <c r="C1170" s="1558"/>
      <c r="E1170" s="1420"/>
      <c r="F1170" s="1558"/>
      <c r="H1170" s="1420"/>
      <c r="I1170" s="1558"/>
      <c r="K1170" s="1420"/>
      <c r="O1170" s="1449"/>
      <c r="P1170" s="1559"/>
      <c r="Q1170" s="1559"/>
      <c r="T1170" s="1537"/>
      <c r="U1170" s="1537"/>
      <c r="V1170" s="1537"/>
      <c r="W1170" s="1423"/>
      <c r="X1170" s="1530"/>
      <c r="Y1170" s="1530"/>
      <c r="Z1170" s="1449"/>
      <c r="AA1170" s="1449"/>
      <c r="AB1170" s="1449"/>
      <c r="AC1170" s="1449"/>
    </row>
    <row r="1171" spans="1:36" s="1363" customFormat="1">
      <c r="B1171" s="1474"/>
      <c r="C1171" s="1398"/>
      <c r="E1171" s="1420"/>
      <c r="F1171" s="1398"/>
      <c r="H1171" s="1420"/>
      <c r="I1171" s="1443"/>
      <c r="J1171" s="1435"/>
      <c r="K1171" s="1435"/>
      <c r="M1171" s="1427"/>
      <c r="N1171" s="1427"/>
      <c r="O1171" s="1449"/>
      <c r="R1171" s="1450"/>
      <c r="S1171" s="1450"/>
      <c r="T1171" s="1365"/>
      <c r="U1171" s="1365"/>
      <c r="V1171" s="1365"/>
      <c r="AJ1171" s="1427"/>
    </row>
    <row r="1172" spans="1:36" s="1363" customFormat="1">
      <c r="B1172" s="1474"/>
      <c r="C1172" s="1398"/>
      <c r="E1172" s="1435"/>
      <c r="F1172" s="1398"/>
      <c r="H1172" s="1435"/>
      <c r="I1172" s="1398"/>
      <c r="K1172" s="1435"/>
      <c r="M1172" s="1427"/>
      <c r="O1172" s="1449"/>
      <c r="P1172" s="1560"/>
      <c r="Q1172" s="1560"/>
      <c r="T1172" s="1537"/>
      <c r="U1172" s="1537"/>
      <c r="V1172" s="1537"/>
      <c r="W1172" s="1423"/>
      <c r="X1172" s="1530"/>
      <c r="Y1172" s="1530"/>
      <c r="Z1172" s="1531"/>
      <c r="AA1172" s="1530"/>
      <c r="AB1172" s="1530"/>
      <c r="AC1172" s="1530"/>
    </row>
    <row r="1173" spans="1:36" s="1363" customFormat="1">
      <c r="B1173" s="1474"/>
      <c r="C1173" s="1398"/>
      <c r="E1173" s="1435"/>
      <c r="F1173" s="1398"/>
      <c r="H1173" s="1435"/>
      <c r="I1173" s="1398"/>
      <c r="K1173" s="1435"/>
      <c r="M1173" s="1422"/>
      <c r="N1173" s="1422"/>
      <c r="O1173" s="1423"/>
      <c r="P1173" s="1530"/>
      <c r="Q1173" s="1530"/>
      <c r="R1173" s="1530"/>
      <c r="S1173" s="1530"/>
      <c r="T1173" s="1537"/>
      <c r="U1173" s="1537"/>
      <c r="V1173" s="1537"/>
      <c r="W1173" s="1538"/>
      <c r="X1173" s="1449"/>
      <c r="Y1173" s="1530"/>
    </row>
    <row r="1174" spans="1:36" s="1363" customFormat="1">
      <c r="B1174" s="1433"/>
      <c r="C1174" s="1420"/>
      <c r="D1174" s="1420"/>
      <c r="E1174" s="1420"/>
      <c r="F1174" s="1420"/>
      <c r="G1174" s="1420"/>
      <c r="H1174" s="1420"/>
      <c r="I1174" s="1420"/>
      <c r="J1174" s="1420"/>
      <c r="K1174" s="1420"/>
      <c r="M1174" s="1424"/>
      <c r="N1174" s="1530"/>
      <c r="O1174" s="1427"/>
      <c r="P1174" s="1417"/>
      <c r="Q1174" s="1417"/>
      <c r="R1174" s="1530"/>
      <c r="S1174" s="1530"/>
      <c r="T1174" s="1531"/>
      <c r="U1174" s="1531"/>
      <c r="V1174" s="1531"/>
      <c r="W1174" s="1530"/>
      <c r="X1174" s="1530"/>
      <c r="Y1174" s="1530"/>
    </row>
    <row r="1175" spans="1:36" s="1363" customFormat="1">
      <c r="B1175" s="1428"/>
      <c r="C1175" s="1433"/>
      <c r="D1175" s="1433"/>
      <c r="E1175" s="1435"/>
      <c r="F1175" s="1433"/>
      <c r="G1175" s="1433"/>
      <c r="H1175" s="1435"/>
      <c r="I1175" s="1433"/>
      <c r="J1175" s="1433"/>
      <c r="K1175" s="1420"/>
      <c r="M1175" s="1530"/>
      <c r="N1175" s="1530"/>
      <c r="O1175" s="1427"/>
      <c r="P1175" s="1417"/>
      <c r="Q1175" s="1466"/>
      <c r="R1175" s="1530"/>
      <c r="S1175" s="1530"/>
      <c r="T1175" s="1531"/>
      <c r="U1175" s="1531"/>
      <c r="V1175" s="1531"/>
      <c r="W1175" s="1530"/>
      <c r="X1175" s="1530"/>
      <c r="Y1175" s="1530"/>
    </row>
    <row r="1176" spans="1:36" s="1363" customFormat="1">
      <c r="A1176" s="1501"/>
      <c r="B1176" s="1433"/>
      <c r="C1176" s="1561"/>
      <c r="D1176" s="1420"/>
      <c r="E1176" s="1420"/>
      <c r="F1176" s="1561"/>
      <c r="G1176" s="1501"/>
      <c r="H1176" s="1420"/>
      <c r="I1176" s="1561"/>
      <c r="J1176" s="1501"/>
      <c r="K1176" s="1420"/>
      <c r="O1176" s="1364"/>
      <c r="P1176" s="1364"/>
      <c r="Q1176" s="1364"/>
      <c r="T1176" s="1365"/>
      <c r="U1176" s="1365"/>
      <c r="V1176" s="1365"/>
    </row>
    <row r="1177" spans="1:36" s="1363" customFormat="1" ht="19.899999999999999" customHeight="1">
      <c r="A1177" s="1426"/>
      <c r="B1177" s="1428"/>
      <c r="C1177" s="1481"/>
      <c r="D1177" s="1420"/>
      <c r="E1177" s="1420"/>
      <c r="F1177" s="1481"/>
      <c r="G1177" s="1420"/>
      <c r="H1177" s="1420"/>
      <c r="I1177" s="1481"/>
      <c r="J1177" s="1420"/>
      <c r="K1177" s="1420"/>
      <c r="O1177" s="1427"/>
      <c r="P1177" s="1364"/>
      <c r="Q1177" s="1364"/>
      <c r="T1177" s="1365"/>
      <c r="U1177" s="1365"/>
      <c r="V1177" s="1365"/>
    </row>
    <row r="1178" spans="1:36" s="1363" customFormat="1">
      <c r="A1178" s="1426"/>
      <c r="B1178" s="1428"/>
      <c r="C1178" s="1464"/>
      <c r="D1178" s="1420"/>
      <c r="E1178" s="1420"/>
      <c r="F1178" s="1464"/>
      <c r="G1178" s="1426"/>
      <c r="H1178" s="1420"/>
      <c r="I1178" s="1461"/>
      <c r="J1178" s="1426"/>
      <c r="K1178" s="1420"/>
      <c r="O1178" s="1427"/>
      <c r="P1178" s="1416"/>
      <c r="Q1178" s="1416"/>
      <c r="T1178" s="1365"/>
      <c r="U1178" s="1365"/>
      <c r="V1178" s="1365"/>
    </row>
    <row r="1179" spans="1:36" s="1363" customFormat="1">
      <c r="A1179" s="1426"/>
      <c r="B1179" s="1428"/>
      <c r="C1179" s="1464"/>
      <c r="D1179" s="1420"/>
      <c r="E1179" s="1420"/>
      <c r="F1179" s="1464"/>
      <c r="G1179" s="1426"/>
      <c r="H1179" s="1420"/>
      <c r="I1179" s="1461"/>
      <c r="J1179" s="1426"/>
      <c r="K1179" s="1420"/>
      <c r="O1179" s="1364"/>
      <c r="P1179" s="1364"/>
      <c r="Q1179" s="1364"/>
      <c r="T1179" s="1365"/>
      <c r="U1179" s="1365"/>
      <c r="V1179" s="1365"/>
    </row>
    <row r="1180" spans="1:36" s="1363" customFormat="1" ht="19.899999999999999" customHeight="1">
      <c r="A1180" s="1458"/>
      <c r="B1180" s="1562"/>
      <c r="C1180" s="1563"/>
      <c r="D1180" s="1564"/>
      <c r="E1180" s="1565"/>
      <c r="F1180" s="1563"/>
      <c r="G1180" s="1564"/>
      <c r="H1180" s="1565"/>
      <c r="I1180" s="1566"/>
      <c r="J1180" s="1564"/>
      <c r="K1180" s="1565"/>
      <c r="T1180" s="1365"/>
      <c r="U1180" s="1365"/>
      <c r="V1180" s="1365"/>
    </row>
    <row r="1181" spans="1:36" s="1363" customFormat="1">
      <c r="A1181" s="1426"/>
      <c r="B1181" s="1428"/>
      <c r="C1181" s="1567"/>
      <c r="D1181" s="1420"/>
      <c r="E1181" s="1420"/>
      <c r="F1181" s="1567"/>
      <c r="G1181" s="1567"/>
      <c r="H1181" s="1420"/>
      <c r="I1181" s="1464"/>
      <c r="J1181" s="1426"/>
      <c r="K1181" s="1420"/>
      <c r="O1181" s="1364"/>
      <c r="P1181" s="1364"/>
      <c r="Q1181" s="1364"/>
      <c r="T1181" s="1365"/>
      <c r="U1181" s="1365"/>
      <c r="V1181" s="1365"/>
    </row>
    <row r="1182" spans="1:36" s="1363" customFormat="1">
      <c r="B1182" s="1428"/>
      <c r="C1182" s="1474"/>
      <c r="F1182" s="1474"/>
      <c r="G1182" s="1474"/>
      <c r="H1182" s="1568"/>
      <c r="K1182" s="1474"/>
      <c r="O1182" s="1364"/>
      <c r="P1182" s="1364"/>
      <c r="Q1182" s="1364"/>
      <c r="T1182" s="1365"/>
      <c r="U1182" s="1365"/>
      <c r="V1182" s="1365"/>
    </row>
    <row r="1183" spans="1:36" s="1363" customFormat="1">
      <c r="A1183" s="1426"/>
      <c r="O1183" s="1364"/>
      <c r="P1183" s="1364"/>
      <c r="Q1183" s="1364"/>
      <c r="T1183" s="1365"/>
      <c r="U1183" s="1365"/>
      <c r="V1183" s="1365"/>
    </row>
    <row r="1184" spans="1:36" s="1363" customFormat="1">
      <c r="A1184" s="1426"/>
      <c r="B1184" s="1474"/>
      <c r="E1184" s="1427"/>
      <c r="H1184" s="1427"/>
      <c r="O1184" s="1364"/>
      <c r="P1184" s="1364"/>
      <c r="Q1184" s="1364"/>
      <c r="T1184" s="1365"/>
      <c r="U1184" s="1365"/>
      <c r="V1184" s="1365"/>
    </row>
    <row r="1185" spans="2:22" s="1363" customFormat="1">
      <c r="B1185" s="1474"/>
      <c r="E1185" s="1427"/>
      <c r="H1185" s="1427"/>
      <c r="O1185" s="1364"/>
      <c r="P1185" s="1364"/>
      <c r="Q1185" s="1364"/>
      <c r="T1185" s="1365"/>
      <c r="U1185" s="1365"/>
      <c r="V1185" s="1365"/>
    </row>
    <row r="1186" spans="2:22" s="1363" customFormat="1">
      <c r="O1186" s="1364"/>
      <c r="P1186" s="1364"/>
      <c r="Q1186" s="1364"/>
      <c r="T1186" s="1365"/>
      <c r="U1186" s="1365"/>
      <c r="V1186" s="1365"/>
    </row>
    <row r="1187" spans="2:22" s="1363" customFormat="1">
      <c r="B1187" s="1474"/>
      <c r="E1187" s="1474"/>
      <c r="H1187" s="1474"/>
      <c r="O1187" s="1364"/>
      <c r="P1187" s="1364"/>
      <c r="Q1187" s="1364"/>
      <c r="T1187" s="1365"/>
      <c r="U1187" s="1365"/>
      <c r="V1187" s="1365"/>
    </row>
    <row r="1188" spans="2:22" s="1363" customFormat="1">
      <c r="O1188" s="1364"/>
      <c r="P1188" s="1364"/>
      <c r="Q1188" s="1364"/>
      <c r="T1188" s="1365"/>
      <c r="U1188" s="1365"/>
      <c r="V1188" s="1365"/>
    </row>
    <row r="1189" spans="2:22" s="1363" customFormat="1">
      <c r="O1189" s="1364"/>
      <c r="P1189" s="1364"/>
      <c r="Q1189" s="1364"/>
      <c r="T1189" s="1365"/>
      <c r="U1189" s="1365"/>
      <c r="V1189" s="1365"/>
    </row>
    <row r="1190" spans="2:22" s="1363" customFormat="1">
      <c r="B1190" s="1474"/>
      <c r="O1190" s="1364"/>
      <c r="P1190" s="1364"/>
      <c r="Q1190" s="1364"/>
      <c r="T1190" s="1365"/>
      <c r="U1190" s="1365"/>
      <c r="V1190" s="1365"/>
    </row>
    <row r="1191" spans="2:22" s="1363" customFormat="1">
      <c r="B1191" s="1474"/>
      <c r="O1191" s="1364"/>
      <c r="P1191" s="1364"/>
      <c r="Q1191" s="1364"/>
      <c r="T1191" s="1365"/>
      <c r="U1191" s="1365"/>
      <c r="V1191" s="1365"/>
    </row>
    <row r="1192" spans="2:22" s="1363" customFormat="1">
      <c r="B1192" s="1474"/>
      <c r="C1192" s="1364"/>
      <c r="O1192" s="1364"/>
      <c r="P1192" s="1364"/>
      <c r="Q1192" s="1364"/>
      <c r="T1192" s="1365"/>
      <c r="U1192" s="1365"/>
      <c r="V1192" s="1365"/>
    </row>
    <row r="1193" spans="2:22" s="1363" customFormat="1">
      <c r="B1193" s="1474"/>
      <c r="O1193" s="1364"/>
      <c r="P1193" s="1364"/>
      <c r="Q1193" s="1364"/>
      <c r="T1193" s="1365"/>
      <c r="U1193" s="1365"/>
      <c r="V1193" s="1365"/>
    </row>
    <row r="1194" spans="2:22" s="1363" customFormat="1">
      <c r="O1194" s="1364"/>
      <c r="P1194" s="1364"/>
      <c r="Q1194" s="1364"/>
      <c r="T1194" s="1365"/>
      <c r="U1194" s="1365"/>
      <c r="V1194" s="1365"/>
    </row>
    <row r="1195" spans="2:22" s="1363" customFormat="1">
      <c r="O1195" s="1364"/>
      <c r="P1195" s="1364"/>
      <c r="Q1195" s="1364"/>
      <c r="T1195" s="1365"/>
      <c r="U1195" s="1365"/>
      <c r="V1195" s="1365"/>
    </row>
    <row r="1196" spans="2:22" s="1363" customFormat="1">
      <c r="O1196" s="1364"/>
      <c r="P1196" s="1364"/>
      <c r="Q1196" s="1364"/>
      <c r="T1196" s="1365"/>
      <c r="U1196" s="1365"/>
      <c r="V1196" s="1365"/>
    </row>
    <row r="1197" spans="2:22" s="1363" customFormat="1">
      <c r="O1197" s="1364"/>
      <c r="P1197" s="1364"/>
      <c r="Q1197" s="1364"/>
      <c r="T1197" s="1365"/>
      <c r="U1197" s="1365"/>
      <c r="V1197" s="1365"/>
    </row>
    <row r="1198" spans="2:22" s="1363" customFormat="1">
      <c r="O1198" s="1364"/>
      <c r="P1198" s="1364"/>
      <c r="Q1198" s="1364"/>
      <c r="T1198" s="1365"/>
      <c r="U1198" s="1365"/>
      <c r="V1198" s="1365"/>
    </row>
    <row r="1199" spans="2:22" s="1363" customFormat="1">
      <c r="O1199" s="1364"/>
      <c r="P1199" s="1364"/>
      <c r="Q1199" s="1364"/>
      <c r="T1199" s="1365"/>
      <c r="U1199" s="1365"/>
      <c r="V1199" s="1365"/>
    </row>
    <row r="1200" spans="2:22" s="1363" customFormat="1">
      <c r="O1200" s="1364"/>
      <c r="P1200" s="1364"/>
      <c r="Q1200" s="1364"/>
      <c r="T1200" s="1365"/>
      <c r="U1200" s="1365"/>
      <c r="V1200" s="1365"/>
    </row>
    <row r="1201" spans="15:22" s="1363" customFormat="1">
      <c r="O1201" s="1364"/>
      <c r="P1201" s="1364"/>
      <c r="Q1201" s="1364"/>
      <c r="T1201" s="1365"/>
      <c r="U1201" s="1365"/>
      <c r="V1201" s="1365"/>
    </row>
  </sheetData>
  <mergeCells count="5">
    <mergeCell ref="A1:K1"/>
    <mergeCell ref="A2:K2"/>
    <mergeCell ref="A3:K3"/>
    <mergeCell ref="A4:K4"/>
    <mergeCell ref="T5:V5"/>
  </mergeCells>
  <printOptions horizontalCentered="1"/>
  <pageMargins left="0.75" right="0.25" top="0.25" bottom="0.6" header="0.5" footer="0.2"/>
  <pageSetup scale="89" fitToHeight="2" orientation="portrait" r:id="rId1"/>
  <headerFooter alignWithMargins="0">
    <oddFooter>&amp;LTestimony of Christopher T. Mickelson
Docket UE-130043&amp;RExhibit No. ___ (CTM-11)
Page &amp;P</oddFooter>
  </headerFooter>
  <rowBreaks count="1" manualBreakCount="1">
    <brk id="42" max="16383" man="1"/>
  </rowBreaks>
  <colBreaks count="1" manualBreakCount="1">
    <brk id="10" max="9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view="pageBreakPreview" zoomScale="80" zoomScaleNormal="75" zoomScaleSheetLayoutView="80" workbookViewId="0">
      <selection activeCell="M21" sqref="M21"/>
    </sheetView>
  </sheetViews>
  <sheetFormatPr defaultRowHeight="15"/>
  <cols>
    <col min="1" max="1" width="6.75" style="1154" bestFit="1" customWidth="1"/>
    <col min="2" max="2" width="26.625" style="1154" bestFit="1" customWidth="1"/>
    <col min="3" max="3" width="4.75" style="1154" customWidth="1"/>
    <col min="4" max="4" width="15.125" style="1154" bestFit="1" customWidth="1"/>
    <col min="5" max="5" width="14.25" style="1154" bestFit="1" customWidth="1"/>
    <col min="6" max="7" width="17.625" style="1154" bestFit="1" customWidth="1"/>
    <col min="8" max="8" width="18.75" style="1154" bestFit="1" customWidth="1"/>
    <col min="9" max="9" width="12" style="1154" bestFit="1" customWidth="1"/>
    <col min="10" max="10" width="15.25" style="1154" bestFit="1" customWidth="1"/>
    <col min="11" max="11" width="13" style="1154" bestFit="1" customWidth="1"/>
    <col min="12" max="12" width="9" style="1154"/>
    <col min="13" max="13" width="10.75" style="1154" bestFit="1" customWidth="1"/>
    <col min="14" max="16384" width="9" style="1154"/>
  </cols>
  <sheetData>
    <row r="1" spans="1:11" ht="15.75">
      <c r="A1" s="1148"/>
      <c r="B1" s="1149" t="s">
        <v>754</v>
      </c>
      <c r="C1" s="1150"/>
      <c r="D1" s="1151"/>
      <c r="E1" s="1151"/>
      <c r="F1" s="1151"/>
      <c r="G1" s="1152"/>
      <c r="H1" s="1151"/>
      <c r="I1" s="1151"/>
      <c r="J1" s="1151"/>
      <c r="K1" s="1153"/>
    </row>
    <row r="2" spans="1:11" ht="15.75">
      <c r="A2" s="1155"/>
      <c r="B2" s="1149" t="s">
        <v>880</v>
      </c>
      <c r="C2" s="1150"/>
      <c r="D2" s="1151"/>
      <c r="E2" s="1151"/>
      <c r="F2" s="1151"/>
      <c r="G2" s="1152"/>
      <c r="H2" s="1151"/>
      <c r="I2" s="1151"/>
      <c r="J2" s="1151"/>
      <c r="K2" s="1153"/>
    </row>
    <row r="3" spans="1:11" ht="15.75">
      <c r="A3" s="1155"/>
      <c r="B3" s="1149" t="s">
        <v>47</v>
      </c>
      <c r="C3" s="1150"/>
      <c r="D3" s="1151"/>
      <c r="E3" s="1151"/>
      <c r="F3" s="1151"/>
      <c r="G3" s="1152"/>
      <c r="H3" s="1151"/>
      <c r="I3" s="1151"/>
      <c r="J3" s="1151"/>
      <c r="K3" s="1153"/>
    </row>
    <row r="4" spans="1:11" ht="15.75">
      <c r="A4" s="1155"/>
      <c r="B4" s="1156" t="s">
        <v>881</v>
      </c>
      <c r="C4" s="1150"/>
      <c r="D4" s="1151"/>
      <c r="E4" s="1151"/>
      <c r="F4" s="1151"/>
      <c r="G4" s="1152"/>
      <c r="H4" s="1151"/>
      <c r="I4" s="1151"/>
      <c r="J4" s="1151"/>
      <c r="K4" s="1153"/>
    </row>
    <row r="5" spans="1:11" ht="15.75">
      <c r="A5" s="1155"/>
      <c r="B5" s="1149" t="s">
        <v>882</v>
      </c>
      <c r="C5" s="1150"/>
      <c r="D5" s="1151"/>
      <c r="E5" s="1151"/>
      <c r="F5" s="1151"/>
      <c r="G5" s="1152"/>
      <c r="H5" s="1151"/>
      <c r="I5" s="1151"/>
      <c r="J5" s="1151"/>
      <c r="K5" s="1153"/>
    </row>
    <row r="6" spans="1:11" ht="15.75">
      <c r="A6" s="1155"/>
      <c r="B6" s="1156" t="s">
        <v>883</v>
      </c>
      <c r="C6" s="1150"/>
      <c r="D6" s="1151"/>
      <c r="E6" s="1151"/>
      <c r="F6" s="1151"/>
      <c r="G6" s="1152"/>
      <c r="H6" s="1151"/>
      <c r="I6" s="1151"/>
      <c r="J6" s="1151"/>
      <c r="K6" s="1153"/>
    </row>
    <row r="7" spans="1:11" ht="15.75">
      <c r="A7" s="1155"/>
      <c r="B7" s="1157"/>
      <c r="C7" s="1158"/>
      <c r="D7" s="1153"/>
      <c r="E7" s="1153"/>
      <c r="F7" s="1153"/>
      <c r="G7" s="1159"/>
      <c r="H7" s="1153"/>
      <c r="I7" s="1153"/>
      <c r="J7" s="1153"/>
      <c r="K7" s="1153"/>
    </row>
    <row r="8" spans="1:11" ht="15.75">
      <c r="A8" s="1160"/>
      <c r="B8" s="1151"/>
      <c r="C8" s="1150"/>
      <c r="D8" s="1151"/>
      <c r="E8" s="1151"/>
      <c r="F8" s="1151"/>
      <c r="G8" s="1152"/>
      <c r="H8" s="1151"/>
      <c r="I8" s="1151"/>
      <c r="J8" s="1151"/>
      <c r="K8" s="1151"/>
    </row>
    <row r="9" spans="1:11" ht="15.75">
      <c r="A9" s="1155"/>
      <c r="B9" s="1161" t="s">
        <v>3</v>
      </c>
      <c r="C9" s="1158"/>
      <c r="D9" s="1161" t="s">
        <v>4</v>
      </c>
      <c r="E9" s="1161" t="s">
        <v>5</v>
      </c>
      <c r="F9" s="1161" t="s">
        <v>6</v>
      </c>
      <c r="G9" s="1161" t="s">
        <v>7</v>
      </c>
      <c r="H9" s="1161" t="s">
        <v>884</v>
      </c>
      <c r="I9" s="1161" t="s">
        <v>885</v>
      </c>
      <c r="J9" s="1161" t="s">
        <v>886</v>
      </c>
      <c r="K9" s="1161" t="s">
        <v>8</v>
      </c>
    </row>
    <row r="10" spans="1:11" ht="15.75">
      <c r="A10" s="1155"/>
      <c r="B10" s="1157"/>
      <c r="C10" s="1158"/>
      <c r="D10" s="1157"/>
      <c r="E10" s="1157"/>
      <c r="F10" s="1157"/>
      <c r="G10" s="1162"/>
      <c r="H10" s="1157"/>
      <c r="I10" s="1157"/>
      <c r="J10" s="1157"/>
      <c r="K10" s="1157"/>
    </row>
    <row r="11" spans="1:11" ht="15.75">
      <c r="A11" s="1155"/>
      <c r="B11" s="1157"/>
      <c r="C11" s="1158"/>
      <c r="D11" s="1163"/>
      <c r="E11" s="1164" t="s">
        <v>887</v>
      </c>
      <c r="F11" s="1164" t="s">
        <v>888</v>
      </c>
      <c r="G11" s="1165" t="s">
        <v>888</v>
      </c>
      <c r="H11" s="1164" t="s">
        <v>888</v>
      </c>
      <c r="I11" s="1164" t="s">
        <v>889</v>
      </c>
      <c r="J11" s="1164" t="s">
        <v>890</v>
      </c>
      <c r="K11" s="1157"/>
    </row>
    <row r="12" spans="1:11" ht="15.75">
      <c r="A12" s="1155"/>
      <c r="B12" s="1157"/>
      <c r="C12" s="1158"/>
      <c r="D12" s="1164" t="s">
        <v>17</v>
      </c>
      <c r="E12" s="1164" t="s">
        <v>891</v>
      </c>
      <c r="F12" s="1164" t="s">
        <v>892</v>
      </c>
      <c r="G12" s="1165" t="s">
        <v>893</v>
      </c>
      <c r="H12" s="1164" t="s">
        <v>894</v>
      </c>
      <c r="I12" s="1164" t="s">
        <v>895</v>
      </c>
      <c r="J12" s="1164" t="s">
        <v>732</v>
      </c>
      <c r="K12" s="1157"/>
    </row>
    <row r="13" spans="1:11" ht="15.75">
      <c r="A13" s="1155"/>
      <c r="B13" s="1166" t="s">
        <v>204</v>
      </c>
      <c r="C13" s="1167"/>
      <c r="D13" s="1168" t="s">
        <v>66</v>
      </c>
      <c r="E13" s="1168" t="s">
        <v>67</v>
      </c>
      <c r="F13" s="1168" t="s">
        <v>68</v>
      </c>
      <c r="G13" s="1169" t="s">
        <v>896</v>
      </c>
      <c r="H13" s="1168" t="s">
        <v>896</v>
      </c>
      <c r="I13" s="1168" t="s">
        <v>843</v>
      </c>
      <c r="J13" s="1168" t="s">
        <v>897</v>
      </c>
      <c r="K13" s="1166" t="s">
        <v>9</v>
      </c>
    </row>
    <row r="14" spans="1:11" ht="15.75">
      <c r="A14" s="1155"/>
      <c r="B14" s="1153"/>
      <c r="C14" s="1155"/>
      <c r="D14" s="1153"/>
      <c r="E14" s="1153"/>
      <c r="F14" s="1153"/>
      <c r="G14" s="1159"/>
      <c r="H14" s="1153"/>
      <c r="I14" s="1153"/>
      <c r="J14" s="1153"/>
      <c r="K14" s="1153"/>
    </row>
    <row r="15" spans="1:11" ht="15.75">
      <c r="A15" s="1155"/>
      <c r="B15" s="1153"/>
      <c r="C15" s="1155"/>
      <c r="D15" s="1170"/>
      <c r="E15" s="1153"/>
      <c r="F15" s="1153"/>
      <c r="G15" s="1159"/>
      <c r="H15" s="1153"/>
      <c r="I15" s="1153"/>
      <c r="J15" s="1153"/>
      <c r="K15" s="1153"/>
    </row>
    <row r="16" spans="1:11" ht="15.75">
      <c r="A16" s="1171">
        <v>1</v>
      </c>
      <c r="B16" s="1159" t="s">
        <v>898</v>
      </c>
      <c r="C16" s="1171"/>
      <c r="D16" s="303">
        <v>63204355.694003023</v>
      </c>
      <c r="E16" s="303">
        <v>18537068.927725915</v>
      </c>
      <c r="F16" s="303">
        <v>28341342.304836795</v>
      </c>
      <c r="G16" s="1190">
        <v>8361118.53008301</v>
      </c>
      <c r="H16" s="303">
        <v>0</v>
      </c>
      <c r="I16" s="1190">
        <v>4228141.8055760814</v>
      </c>
      <c r="J16" s="1190">
        <v>128620.56468849568</v>
      </c>
      <c r="K16" s="1170">
        <v>122800647.82691333</v>
      </c>
    </row>
    <row r="17" spans="1:11" ht="15.75">
      <c r="A17" s="1171">
        <v>2</v>
      </c>
      <c r="B17" s="1159"/>
      <c r="C17" s="1171"/>
      <c r="D17" s="1190"/>
      <c r="E17" s="1191"/>
      <c r="F17" s="1191"/>
      <c r="G17" s="1191"/>
      <c r="H17" s="1191"/>
      <c r="I17" s="1191"/>
      <c r="J17" s="1191"/>
      <c r="K17" s="1159"/>
    </row>
    <row r="18" spans="1:11" ht="15.75">
      <c r="A18" s="1171">
        <v>3</v>
      </c>
      <c r="B18" s="1159" t="s">
        <v>899</v>
      </c>
      <c r="C18" s="1171"/>
      <c r="D18" s="303">
        <v>0</v>
      </c>
      <c r="E18" s="305">
        <v>0</v>
      </c>
      <c r="F18" s="305">
        <v>531351.85817395127</v>
      </c>
      <c r="G18" s="1190">
        <v>2100569.9537976445</v>
      </c>
      <c r="H18" s="303">
        <v>11725109.474041587</v>
      </c>
      <c r="I18" s="303">
        <v>0</v>
      </c>
      <c r="J18" s="303">
        <v>0</v>
      </c>
      <c r="K18" s="1170">
        <v>14357031.286013182</v>
      </c>
    </row>
    <row r="19" spans="1:11" ht="15.75">
      <c r="A19" s="1171">
        <v>4</v>
      </c>
      <c r="B19" s="1159"/>
      <c r="C19" s="1171"/>
      <c r="D19" s="1191"/>
      <c r="E19" s="1191"/>
      <c r="F19" s="1191"/>
      <c r="G19" s="1191"/>
      <c r="H19" s="1191"/>
      <c r="I19" s="1191"/>
      <c r="J19" s="1191"/>
      <c r="K19" s="1159"/>
    </row>
    <row r="20" spans="1:11" ht="15.75">
      <c r="A20" s="1171">
        <v>5</v>
      </c>
      <c r="B20" s="1159" t="s">
        <v>900</v>
      </c>
      <c r="C20" s="1171"/>
      <c r="D20" s="303">
        <v>0</v>
      </c>
      <c r="E20" s="303">
        <v>0</v>
      </c>
      <c r="F20" s="303">
        <v>0</v>
      </c>
      <c r="G20" s="303">
        <v>0</v>
      </c>
      <c r="H20" s="303">
        <v>0</v>
      </c>
      <c r="I20" s="303">
        <v>0</v>
      </c>
      <c r="J20" s="303">
        <v>0</v>
      </c>
      <c r="K20" s="1170">
        <v>0</v>
      </c>
    </row>
    <row r="21" spans="1:11" ht="15.75">
      <c r="A21" s="1171">
        <v>6</v>
      </c>
      <c r="B21" s="1153"/>
      <c r="C21" s="1172"/>
      <c r="D21" s="1192"/>
      <c r="E21" s="1192"/>
      <c r="F21" s="1192"/>
      <c r="G21" s="1191"/>
      <c r="H21" s="1192"/>
      <c r="I21" s="1192"/>
      <c r="J21" s="1192"/>
      <c r="K21" s="1153"/>
    </row>
    <row r="22" spans="1:11" ht="15.75">
      <c r="A22" s="1171">
        <v>7</v>
      </c>
      <c r="B22" s="1173" t="s">
        <v>901</v>
      </c>
      <c r="C22" s="1174"/>
      <c r="D22" s="1193">
        <v>0</v>
      </c>
      <c r="E22" s="1193">
        <v>0</v>
      </c>
      <c r="F22" s="1193">
        <v>0</v>
      </c>
      <c r="G22" s="1193">
        <v>0</v>
      </c>
      <c r="H22" s="1193">
        <v>0</v>
      </c>
      <c r="I22" s="1193">
        <v>0</v>
      </c>
      <c r="J22" s="1193">
        <v>0</v>
      </c>
      <c r="K22" s="1175">
        <v>0</v>
      </c>
    </row>
    <row r="23" spans="1:11" ht="15.75">
      <c r="A23" s="1171">
        <v>8</v>
      </c>
      <c r="B23" s="1176"/>
      <c r="C23" s="1172"/>
      <c r="D23" s="1194"/>
      <c r="E23" s="1194"/>
      <c r="F23" s="1194"/>
      <c r="G23" s="1195"/>
      <c r="H23" s="1194"/>
      <c r="I23" s="1194"/>
      <c r="J23" s="1194"/>
      <c r="K23" s="1153"/>
    </row>
    <row r="24" spans="1:11" ht="15.75">
      <c r="A24" s="1171">
        <v>9</v>
      </c>
      <c r="B24" s="1173" t="s">
        <v>902</v>
      </c>
      <c r="C24" s="1174"/>
      <c r="D24" s="1190">
        <v>63204355.694003023</v>
      </c>
      <c r="E24" s="1190">
        <v>18537068.927725915</v>
      </c>
      <c r="F24" s="1190">
        <v>28872694.163010746</v>
      </c>
      <c r="G24" s="1190">
        <v>10461688.483880654</v>
      </c>
      <c r="H24" s="1190">
        <v>11725109.474041587</v>
      </c>
      <c r="I24" s="1190">
        <v>4228141.8055760814</v>
      </c>
      <c r="J24" s="1190">
        <v>128620.56468849568</v>
      </c>
      <c r="K24" s="1170">
        <v>137157679.11292651</v>
      </c>
    </row>
    <row r="25" spans="1:11" ht="15.75">
      <c r="A25" s="1171">
        <v>10</v>
      </c>
      <c r="B25" s="1173"/>
      <c r="C25" s="1174"/>
      <c r="D25" s="1191"/>
      <c r="E25" s="1191"/>
      <c r="F25" s="1191"/>
      <c r="G25" s="1191"/>
      <c r="H25" s="1191"/>
      <c r="I25" s="1191"/>
      <c r="J25" s="1191"/>
      <c r="K25" s="1170"/>
    </row>
    <row r="26" spans="1:11" ht="15.75">
      <c r="A26" s="1171">
        <v>11</v>
      </c>
      <c r="B26" s="1173" t="s">
        <v>903</v>
      </c>
      <c r="C26" s="1174"/>
      <c r="D26" s="1190">
        <v>1756702.6043896999</v>
      </c>
      <c r="E26" s="1190">
        <v>589361.96508640004</v>
      </c>
      <c r="F26" s="1190">
        <v>943514.67527809995</v>
      </c>
      <c r="G26" s="1190">
        <v>391351.54165510001</v>
      </c>
      <c r="H26" s="1190">
        <v>507482.25338279997</v>
      </c>
      <c r="I26" s="1190">
        <v>168403.84088219999</v>
      </c>
      <c r="J26" s="1190">
        <v>14401.744859700002</v>
      </c>
      <c r="K26" s="1170">
        <v>4371218.6255339999</v>
      </c>
    </row>
    <row r="27" spans="1:11" ht="15.75">
      <c r="A27" s="1171">
        <v>12</v>
      </c>
      <c r="B27" s="1173"/>
      <c r="C27" s="1174"/>
      <c r="D27" s="1191"/>
      <c r="E27" s="1191"/>
      <c r="F27" s="1191"/>
      <c r="G27" s="1191"/>
      <c r="H27" s="1191"/>
      <c r="I27" s="1191"/>
      <c r="J27" s="1191"/>
      <c r="K27" s="1159"/>
    </row>
    <row r="28" spans="1:11" ht="15.75">
      <c r="A28" s="1171">
        <v>13</v>
      </c>
      <c r="B28" s="1173" t="s">
        <v>904</v>
      </c>
      <c r="C28" s="1174"/>
      <c r="D28" s="1196">
        <v>0.40187937389544232</v>
      </c>
      <c r="E28" s="1196">
        <v>0.13482783991715858</v>
      </c>
      <c r="F28" s="1196">
        <v>0.2158470568748635</v>
      </c>
      <c r="G28" s="1196">
        <v>8.9529162272749846E-2</v>
      </c>
      <c r="H28" s="1196">
        <v>0.11609628729581206</v>
      </c>
      <c r="I28" s="1196">
        <v>3.8525604713177057E-2</v>
      </c>
      <c r="J28" s="1196">
        <v>3.2946750307966226E-3</v>
      </c>
      <c r="K28" s="1177">
        <v>0.99999999999999989</v>
      </c>
    </row>
    <row r="29" spans="1:11" ht="15.75">
      <c r="A29" s="1171">
        <v>14</v>
      </c>
      <c r="B29" s="1173"/>
      <c r="C29" s="1174"/>
      <c r="D29" s="1197"/>
      <c r="E29" s="1197"/>
      <c r="F29" s="1197"/>
      <c r="G29" s="1197"/>
      <c r="H29" s="1197"/>
      <c r="I29" s="1197"/>
      <c r="J29" s="1197"/>
      <c r="K29" s="1178"/>
    </row>
    <row r="30" spans="1:11" ht="15.75">
      <c r="A30" s="1171">
        <v>15</v>
      </c>
      <c r="B30" s="1153"/>
      <c r="C30" s="1172"/>
      <c r="D30" s="1198"/>
      <c r="E30" s="1199"/>
      <c r="F30" s="1199"/>
      <c r="G30" s="1198"/>
      <c r="H30" s="1199"/>
      <c r="I30" s="1199"/>
      <c r="J30" s="1199"/>
      <c r="K30" s="1179"/>
    </row>
    <row r="31" spans="1:11" ht="15.75">
      <c r="A31" s="1180">
        <v>16</v>
      </c>
      <c r="B31" s="1181" t="s">
        <v>905</v>
      </c>
      <c r="C31" s="1180"/>
      <c r="D31" s="1200">
        <v>0.42427502206463619</v>
      </c>
      <c r="E31" s="1200">
        <v>0.13495083866985857</v>
      </c>
      <c r="F31" s="1200">
        <v>0.21381795330374381</v>
      </c>
      <c r="G31" s="1200">
        <v>8.4492543233334161E-2</v>
      </c>
      <c r="H31" s="1200">
        <v>0.10446451143427474</v>
      </c>
      <c r="I31" s="1200">
        <v>3.5600085140002832E-2</v>
      </c>
      <c r="J31" s="1200">
        <v>2.3990461541496672E-3</v>
      </c>
      <c r="K31" s="1182">
        <v>0.99999999999999978</v>
      </c>
    </row>
    <row r="32" spans="1:11" ht="15.75">
      <c r="A32" s="1171">
        <v>17</v>
      </c>
      <c r="B32" s="1153"/>
      <c r="C32" s="1183" t="s">
        <v>31</v>
      </c>
      <c r="D32" s="1184"/>
      <c r="E32" s="1185"/>
      <c r="F32" s="1185"/>
      <c r="G32" s="1184"/>
      <c r="H32" s="1185"/>
      <c r="I32" s="1185"/>
      <c r="J32" s="1185"/>
      <c r="K32" s="1185"/>
    </row>
    <row r="33" spans="1:13" ht="15.75">
      <c r="A33" s="1171">
        <v>18</v>
      </c>
      <c r="B33" s="1154" t="s">
        <v>906</v>
      </c>
      <c r="D33" s="1186">
        <f t="shared" ref="D33:K33" si="0">$C$43*D31</f>
        <v>56760761.517471984</v>
      </c>
      <c r="E33" s="1186">
        <f t="shared" si="0"/>
        <v>18054120.492522724</v>
      </c>
      <c r="F33" s="1186">
        <f t="shared" si="0"/>
        <v>28605195.273029372</v>
      </c>
      <c r="G33" s="1186">
        <f t="shared" si="0"/>
        <v>11303661.179802723</v>
      </c>
      <c r="H33" s="1186">
        <f t="shared" si="0"/>
        <v>13975569.883198937</v>
      </c>
      <c r="I33" s="1186">
        <f t="shared" si="0"/>
        <v>4762684.196680231</v>
      </c>
      <c r="J33" s="1186">
        <f t="shared" si="0"/>
        <v>320951.45729402028</v>
      </c>
      <c r="K33" s="1186">
        <f t="shared" si="0"/>
        <v>133782943.99999997</v>
      </c>
    </row>
    <row r="34" spans="1:13">
      <c r="B34" s="1154" t="s">
        <v>898</v>
      </c>
      <c r="D34" s="1213" t="s">
        <v>31</v>
      </c>
      <c r="E34" s="1213" t="s">
        <v>31</v>
      </c>
      <c r="F34" s="1213" t="s">
        <v>31</v>
      </c>
      <c r="G34" s="1187">
        <f>G33*G16/G24</f>
        <v>9034034.1421799418</v>
      </c>
      <c r="H34" s="1213" t="s">
        <v>31</v>
      </c>
      <c r="I34" s="1213" t="s">
        <v>31</v>
      </c>
      <c r="J34" s="1213" t="s">
        <v>31</v>
      </c>
      <c r="K34" s="1213" t="s">
        <v>31</v>
      </c>
    </row>
    <row r="35" spans="1:13">
      <c r="B35" s="1154" t="s">
        <v>899</v>
      </c>
      <c r="D35" s="1213" t="s">
        <v>31</v>
      </c>
      <c r="E35" s="1213" t="s">
        <v>31</v>
      </c>
      <c r="F35" s="1213" t="s">
        <v>31</v>
      </c>
      <c r="G35" s="1187">
        <f>G33-G34</f>
        <v>2269627.0376227815</v>
      </c>
      <c r="H35" s="1213" t="s">
        <v>31</v>
      </c>
      <c r="I35" s="1213" t="s">
        <v>31</v>
      </c>
      <c r="J35" s="1213" t="s">
        <v>31</v>
      </c>
      <c r="K35" s="1213" t="s">
        <v>31</v>
      </c>
    </row>
    <row r="37" spans="1:13" ht="15.75">
      <c r="I37" s="1154" t="s">
        <v>907</v>
      </c>
      <c r="J37" s="1186">
        <f t="shared" ref="J37:J42" si="1">M37/$M$43*$J$33</f>
        <v>79017.888474984095</v>
      </c>
      <c r="M37" s="1188">
        <f>'Pages 4-11, All Other Schedules'!B21</f>
        <v>3455498</v>
      </c>
    </row>
    <row r="38" spans="1:13" ht="15.75">
      <c r="I38" s="1154" t="s">
        <v>908</v>
      </c>
      <c r="J38" s="1186">
        <f t="shared" si="1"/>
        <v>76171.367725336429</v>
      </c>
      <c r="M38" s="1188">
        <f>'Pages 4-11, All Other Schedules'!B1117</f>
        <v>3331018</v>
      </c>
    </row>
    <row r="39" spans="1:13" ht="15.75">
      <c r="I39" s="1154" t="s">
        <v>909</v>
      </c>
      <c r="J39" s="1186">
        <f t="shared" si="1"/>
        <v>7183.1887088935891</v>
      </c>
      <c r="M39" s="1188">
        <f>'Pages 4-11, All Other Schedules'!B1130</f>
        <v>314125</v>
      </c>
    </row>
    <row r="40" spans="1:13" ht="15.75">
      <c r="D40" s="1154" t="s">
        <v>31</v>
      </c>
      <c r="G40" s="1154" t="s">
        <v>31</v>
      </c>
      <c r="I40" s="1154" t="s">
        <v>910</v>
      </c>
      <c r="J40" s="1186">
        <f t="shared" si="1"/>
        <v>107265.62800609166</v>
      </c>
      <c r="M40" s="1188">
        <f>'Pages 4-11, All Other Schedules'!B1142</f>
        <v>4690788</v>
      </c>
    </row>
    <row r="41" spans="1:13" ht="15.75">
      <c r="I41" s="1154" t="s">
        <v>911</v>
      </c>
      <c r="J41" s="1186">
        <f t="shared" si="1"/>
        <v>6477.0695393212054</v>
      </c>
      <c r="M41" s="1188">
        <f>'Pages 4-11, All Other Schedules'!B1195</f>
        <v>283246</v>
      </c>
    </row>
    <row r="42" spans="1:13" ht="15.75">
      <c r="I42" s="1154" t="s">
        <v>912</v>
      </c>
      <c r="J42" s="1186">
        <f t="shared" si="1"/>
        <v>44836.314839393301</v>
      </c>
      <c r="M42" s="1188">
        <f>'Pages 4-11, All Other Schedules'!B1233</f>
        <v>1960718</v>
      </c>
    </row>
    <row r="43" spans="1:13" ht="15.75">
      <c r="C43" s="1186">
        <v>133782944</v>
      </c>
      <c r="M43" s="1188">
        <f>SUM(M37:M42)</f>
        <v>14035393</v>
      </c>
    </row>
    <row r="47" spans="1:13">
      <c r="L47" s="1154" t="s">
        <v>31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G21"/>
  <sheetViews>
    <sheetView workbookViewId="0">
      <selection activeCell="M21" sqref="M21"/>
    </sheetView>
  </sheetViews>
  <sheetFormatPr defaultRowHeight="12.75"/>
  <cols>
    <col min="1" max="1" width="13.625" style="1130" customWidth="1"/>
    <col min="2" max="2" width="19.25" style="1130" customWidth="1"/>
    <col min="3" max="3" width="28" style="1130" customWidth="1"/>
    <col min="4" max="4" width="17.25" style="1130" customWidth="1"/>
    <col min="5" max="5" width="9.375" style="1130" bestFit="1" customWidth="1"/>
    <col min="6" max="16384" width="9" style="1130"/>
  </cols>
  <sheetData>
    <row r="5" spans="1:6">
      <c r="A5" s="1127"/>
      <c r="B5" s="1127" t="s">
        <v>870</v>
      </c>
      <c r="C5" s="1128"/>
      <c r="D5" s="1129"/>
    </row>
    <row r="6" spans="1:6">
      <c r="A6" s="1131" t="s">
        <v>871</v>
      </c>
      <c r="B6" s="1131" t="s">
        <v>734</v>
      </c>
      <c r="C6" s="1132" t="s">
        <v>735</v>
      </c>
      <c r="D6" s="1133" t="s">
        <v>736</v>
      </c>
    </row>
    <row r="7" spans="1:6">
      <c r="A7" s="1134" t="s">
        <v>872</v>
      </c>
      <c r="B7" s="1135">
        <v>-107907.26999999993</v>
      </c>
      <c r="C7" s="1136">
        <v>5986678</v>
      </c>
      <c r="D7" s="1137">
        <v>5489</v>
      </c>
      <c r="E7" s="763">
        <f>C7/D7</f>
        <v>1090.6682455820733</v>
      </c>
      <c r="F7" s="1130">
        <f>B7/E7</f>
        <v>-98.936840269344643</v>
      </c>
    </row>
    <row r="8" spans="1:6">
      <c r="A8" s="1138" t="s">
        <v>873</v>
      </c>
      <c r="B8" s="1139">
        <v>-220865.1700000001</v>
      </c>
      <c r="C8" s="1140">
        <v>7644633</v>
      </c>
      <c r="D8" s="1141">
        <v>7203</v>
      </c>
      <c r="E8" s="763">
        <f>C8/D8</f>
        <v>1061.3123698458976</v>
      </c>
      <c r="F8" s="1130">
        <f t="shared" ref="F8:F10" si="0">B8/E8</f>
        <v>-208.10571540975226</v>
      </c>
    </row>
    <row r="9" spans="1:6">
      <c r="A9" s="1138" t="s">
        <v>874</v>
      </c>
      <c r="B9" s="1139">
        <v>-572688.30000000005</v>
      </c>
      <c r="C9" s="1140">
        <v>13414773</v>
      </c>
      <c r="D9" s="1141">
        <v>12388</v>
      </c>
      <c r="E9" s="763">
        <f>C9/D9</f>
        <v>1082.8844849854697</v>
      </c>
      <c r="F9" s="1130">
        <f t="shared" si="0"/>
        <v>-528.85446965073515</v>
      </c>
    </row>
    <row r="10" spans="1:6">
      <c r="A10" s="1142" t="s">
        <v>670</v>
      </c>
      <c r="B10" s="1143">
        <v>-901460.74000000011</v>
      </c>
      <c r="C10" s="1144">
        <v>27046084</v>
      </c>
      <c r="D10" s="1145">
        <v>25080</v>
      </c>
      <c r="E10" s="763">
        <f>D10/6</f>
        <v>4180</v>
      </c>
      <c r="F10" s="1130">
        <f t="shared" si="0"/>
        <v>-215.66046411483256</v>
      </c>
    </row>
    <row r="12" spans="1:6">
      <c r="B12" s="786" t="s">
        <v>875</v>
      </c>
      <c r="C12" s="783">
        <f>D12/D10*C10</f>
        <v>30540075.712918658</v>
      </c>
      <c r="D12" s="783">
        <f>4720*6</f>
        <v>28320</v>
      </c>
      <c r="E12" s="763"/>
    </row>
    <row r="13" spans="1:6">
      <c r="B13" s="782"/>
      <c r="C13" s="782"/>
      <c r="D13" s="782"/>
      <c r="E13" s="763">
        <f>C10/D10</f>
        <v>1078.3925039872408</v>
      </c>
    </row>
    <row r="14" spans="1:6">
      <c r="B14" s="766" t="s">
        <v>737</v>
      </c>
      <c r="C14" s="782"/>
      <c r="D14" s="763">
        <f>'Exhibit No._(JRS-6) p1'!E29*6</f>
        <v>31152</v>
      </c>
      <c r="E14" s="1146" t="s">
        <v>31</v>
      </c>
    </row>
    <row r="15" spans="1:6">
      <c r="B15" s="766" t="s">
        <v>940</v>
      </c>
      <c r="C15" s="782"/>
      <c r="D15" s="763">
        <f>D14/D12*C12</f>
        <v>33594083.284210525</v>
      </c>
      <c r="E15" s="763">
        <f>D14/D10*C10</f>
        <v>33594083.284210525</v>
      </c>
      <c r="F15" s="1243">
        <f>E15-D15</f>
        <v>0</v>
      </c>
    </row>
    <row r="16" spans="1:6">
      <c r="B16" s="762"/>
      <c r="C16" s="762"/>
      <c r="D16" s="763"/>
      <c r="E16" s="782"/>
    </row>
    <row r="17" spans="2:7">
      <c r="B17" s="762"/>
      <c r="C17" s="762" t="s">
        <v>40</v>
      </c>
      <c r="D17" s="762" t="s">
        <v>25</v>
      </c>
      <c r="E17" s="782"/>
    </row>
    <row r="18" spans="2:7">
      <c r="B18" s="766" t="s">
        <v>876</v>
      </c>
      <c r="C18" s="763">
        <f>D9/D10*D14/6</f>
        <v>2564.5333333333333</v>
      </c>
      <c r="D18" s="763">
        <f>C9/C10*$D$15</f>
        <v>16662560.14736842</v>
      </c>
      <c r="E18" s="782"/>
      <c r="F18" s="763">
        <f>D18/C18</f>
        <v>6497.3069099128188</v>
      </c>
      <c r="G18" s="763">
        <f>F18/6</f>
        <v>1082.8844849854697</v>
      </c>
    </row>
    <row r="19" spans="2:7">
      <c r="B19" s="766" t="s">
        <v>877</v>
      </c>
      <c r="C19" s="763">
        <f>D8/D10*D14/6</f>
        <v>1491.1473684210525</v>
      </c>
      <c r="D19" s="763">
        <f>C8/C10*$D$15</f>
        <v>9495438.8842105269</v>
      </c>
      <c r="E19" s="782"/>
      <c r="F19" s="763">
        <f t="shared" ref="F19:F21" si="1">D19/C19</f>
        <v>6367.8742190753865</v>
      </c>
      <c r="G19" s="763">
        <f t="shared" ref="G19:G21" si="2">F19/6</f>
        <v>1061.3123698458978</v>
      </c>
    </row>
    <row r="20" spans="2:7">
      <c r="B20" s="766" t="s">
        <v>878</v>
      </c>
      <c r="C20" s="763">
        <f>D7/D10*D14/6</f>
        <v>1136.3192982456139</v>
      </c>
      <c r="D20" s="763">
        <f>C7/C10*$D$15</f>
        <v>7436084.2526315795</v>
      </c>
      <c r="E20" s="782"/>
      <c r="F20" s="763">
        <f t="shared" si="1"/>
        <v>6544.0094734924405</v>
      </c>
      <c r="G20" s="763">
        <f t="shared" si="2"/>
        <v>1090.6682455820735</v>
      </c>
    </row>
    <row r="21" spans="2:7">
      <c r="B21" s="762" t="s">
        <v>671</v>
      </c>
      <c r="C21" s="763">
        <f>SUM(C18:C20)</f>
        <v>5192</v>
      </c>
      <c r="D21" s="763">
        <f>SUM(D18:D20)</f>
        <v>33594083.284210525</v>
      </c>
      <c r="E21" s="782"/>
      <c r="F21" s="763">
        <f t="shared" si="1"/>
        <v>6470.3550239234446</v>
      </c>
      <c r="G21" s="763">
        <f t="shared" si="2"/>
        <v>1078.3925039872408</v>
      </c>
    </row>
  </sheetData>
  <printOptions horizontalCentered="1"/>
  <pageMargins left="0.25" right="0.25" top="0.5" bottom="0.3" header="0.5" footer="0.25"/>
  <pageSetup scale="53" orientation="portrait" r:id="rId2"/>
  <headerFooter alignWithMargins="0">
    <oddFooter>&amp;LTestimony of Christopher T. Mickelson
Docket UE-130043&amp;RExhibit No. ___ (CTM-5)
Page &amp;P</oddFooter>
  </headerFooter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K45"/>
  <sheetViews>
    <sheetView zoomScale="85" zoomScaleNormal="85" workbookViewId="0">
      <selection activeCell="M21" sqref="M21"/>
    </sheetView>
  </sheetViews>
  <sheetFormatPr defaultColWidth="9.625" defaultRowHeight="15.75"/>
  <cols>
    <col min="1" max="1" width="14.5" style="4" customWidth="1"/>
    <col min="2" max="2" width="16.25" style="4" customWidth="1"/>
    <col min="3" max="3" width="14.625" style="4" customWidth="1"/>
    <col min="4" max="4" width="13.75" style="4" bestFit="1" customWidth="1"/>
    <col min="5" max="5" width="13.5" style="4" bestFit="1" customWidth="1"/>
    <col min="6" max="6" width="13.5" style="4" customWidth="1"/>
    <col min="7" max="7" width="14.125" style="4" bestFit="1" customWidth="1"/>
    <col min="8" max="9" width="13.625" style="4" customWidth="1"/>
    <col min="10" max="10" width="15.625" style="4" customWidth="1"/>
    <col min="11" max="11" width="13.5" style="4" bestFit="1" customWidth="1"/>
    <col min="12" max="14" width="9.625" style="4"/>
    <col min="15" max="15" width="9.75" style="4" bestFit="1" customWidth="1"/>
    <col min="16" max="16384" width="9.625" style="4"/>
  </cols>
  <sheetData>
    <row r="1" spans="1:11">
      <c r="A1" s="419"/>
      <c r="B1" s="419"/>
      <c r="C1" s="419"/>
      <c r="D1" s="419"/>
      <c r="E1" s="419"/>
      <c r="F1" s="419"/>
      <c r="G1" s="419"/>
      <c r="J1" s="807" t="s">
        <v>0</v>
      </c>
      <c r="K1" s="419"/>
    </row>
    <row r="2" spans="1:11">
      <c r="A2" s="419"/>
      <c r="B2" s="419"/>
      <c r="C2" s="419"/>
      <c r="D2" s="419"/>
      <c r="E2" s="419"/>
      <c r="F2" s="419"/>
      <c r="G2" s="419"/>
      <c r="J2" s="807" t="s">
        <v>1</v>
      </c>
      <c r="K2" s="419"/>
    </row>
    <row r="3" spans="1:11" ht="18.75">
      <c r="A3" s="808" t="s">
        <v>754</v>
      </c>
      <c r="B3" s="809"/>
      <c r="C3" s="809"/>
      <c r="D3" s="809"/>
      <c r="E3" s="809"/>
      <c r="F3" s="809"/>
      <c r="G3" s="809"/>
      <c r="H3" s="809"/>
      <c r="I3" s="809"/>
      <c r="J3" s="809"/>
      <c r="K3" s="419"/>
    </row>
    <row r="4" spans="1:11" ht="18.75">
      <c r="A4" s="808" t="s">
        <v>47</v>
      </c>
      <c r="B4" s="809"/>
      <c r="C4" s="809"/>
      <c r="D4" s="809"/>
      <c r="E4" s="809"/>
      <c r="F4" s="809"/>
      <c r="G4" s="809"/>
      <c r="H4" s="809"/>
      <c r="I4" s="809"/>
      <c r="J4" s="809"/>
      <c r="K4" s="419"/>
    </row>
    <row r="5" spans="1:11" ht="18.75">
      <c r="A5" s="808" t="s">
        <v>2</v>
      </c>
      <c r="B5" s="809"/>
      <c r="C5" s="809"/>
      <c r="D5" s="809"/>
      <c r="E5" s="809"/>
      <c r="F5" s="809"/>
      <c r="G5" s="809"/>
      <c r="H5" s="809"/>
      <c r="I5" s="809"/>
      <c r="J5" s="809"/>
      <c r="K5" s="419"/>
    </row>
    <row r="6" spans="1:11" ht="18.75">
      <c r="A6" s="808" t="str">
        <f>'305 Inputs'!B4</f>
        <v>12 Months Ended June 2012</v>
      </c>
      <c r="B6" s="809"/>
      <c r="C6" s="809"/>
      <c r="D6" s="809"/>
      <c r="E6" s="809"/>
      <c r="F6" s="809"/>
      <c r="G6" s="809"/>
      <c r="H6" s="810"/>
      <c r="I6" s="810"/>
      <c r="J6" s="809"/>
      <c r="K6" s="419"/>
    </row>
    <row r="8" spans="1:11" ht="20.25">
      <c r="F8" s="43"/>
    </row>
    <row r="10" spans="1:11">
      <c r="A10" s="419"/>
      <c r="B10" s="419"/>
      <c r="C10" s="811" t="s">
        <v>3</v>
      </c>
      <c r="D10" s="811" t="s">
        <v>4</v>
      </c>
      <c r="E10" s="811" t="s">
        <v>5</v>
      </c>
      <c r="F10" s="811" t="s">
        <v>6</v>
      </c>
      <c r="G10" s="811" t="s">
        <v>7</v>
      </c>
      <c r="H10" s="811" t="s">
        <v>8</v>
      </c>
      <c r="I10" s="811" t="s">
        <v>755</v>
      </c>
      <c r="J10" s="811" t="s">
        <v>756</v>
      </c>
    </row>
    <row r="11" spans="1:11">
      <c r="A11" s="419"/>
      <c r="B11" s="419"/>
      <c r="C11" s="809"/>
      <c r="D11" s="809"/>
      <c r="E11" s="809"/>
      <c r="F11" s="809"/>
      <c r="G11" s="809"/>
      <c r="H11" s="809"/>
      <c r="I11" s="809"/>
      <c r="J11" s="809"/>
    </row>
    <row r="12" spans="1:11">
      <c r="A12" s="419"/>
      <c r="B12" s="419"/>
      <c r="C12" s="812"/>
      <c r="D12" s="813"/>
      <c r="E12" s="813"/>
      <c r="F12" s="813" t="s">
        <v>9</v>
      </c>
      <c r="G12" s="814" t="s">
        <v>729</v>
      </c>
      <c r="H12" s="815"/>
      <c r="I12" s="816" t="s">
        <v>9</v>
      </c>
      <c r="J12" s="813" t="s">
        <v>9</v>
      </c>
      <c r="K12" s="419"/>
    </row>
    <row r="13" spans="1:11">
      <c r="A13" s="419"/>
      <c r="B13" s="419"/>
      <c r="C13" s="817" t="s">
        <v>9</v>
      </c>
      <c r="D13" s="818" t="s">
        <v>11</v>
      </c>
      <c r="E13" s="75" t="s">
        <v>12</v>
      </c>
      <c r="F13" s="75" t="s">
        <v>729</v>
      </c>
      <c r="G13" s="818" t="s">
        <v>14</v>
      </c>
      <c r="H13" s="818" t="s">
        <v>13</v>
      </c>
      <c r="I13" s="75" t="s">
        <v>45</v>
      </c>
      <c r="J13" s="818" t="s">
        <v>76</v>
      </c>
      <c r="K13" s="819"/>
    </row>
    <row r="14" spans="1:11" ht="18.75">
      <c r="A14" s="419"/>
      <c r="B14" s="419"/>
      <c r="C14" s="817" t="s">
        <v>1</v>
      </c>
      <c r="D14" s="818" t="s">
        <v>178</v>
      </c>
      <c r="E14" s="75" t="s">
        <v>16</v>
      </c>
      <c r="F14" s="820" t="s">
        <v>15</v>
      </c>
      <c r="G14" s="821" t="s">
        <v>1</v>
      </c>
      <c r="H14" s="822" t="s">
        <v>173</v>
      </c>
      <c r="I14" s="75" t="s">
        <v>15</v>
      </c>
      <c r="J14" s="818" t="s">
        <v>1</v>
      </c>
      <c r="K14" s="811"/>
    </row>
    <row r="15" spans="1:11">
      <c r="A15" s="419"/>
      <c r="B15" s="419"/>
      <c r="C15" s="822"/>
      <c r="D15" s="823"/>
      <c r="E15" s="822"/>
      <c r="F15" s="822"/>
      <c r="H15" s="822"/>
      <c r="I15" s="75"/>
      <c r="J15" s="822"/>
      <c r="K15" s="811"/>
    </row>
    <row r="16" spans="1:11" ht="34.9" customHeight="1">
      <c r="A16" s="824" t="s">
        <v>17</v>
      </c>
      <c r="B16" s="825"/>
      <c r="C16" s="826">
        <f ca="1">'Table 2'!N38</f>
        <v>126592533.94</v>
      </c>
      <c r="D16" s="826">
        <f ca="1">'Table 2'!O38-E16</f>
        <v>6660421.6640390316</v>
      </c>
      <c r="E16" s="826">
        <f>'Table 3'!J38</f>
        <v>-213052.28000000029</v>
      </c>
      <c r="F16" s="826">
        <f ca="1">SUM(D16:E16)</f>
        <v>6447369.3840390313</v>
      </c>
      <c r="G16" s="826">
        <f ca="1">C16+F16</f>
        <v>133039903.32403903</v>
      </c>
      <c r="H16" s="826">
        <f ca="1">'Table 3'!N38</f>
        <v>1960336.2459609685</v>
      </c>
      <c r="I16" s="826">
        <f t="shared" ref="I16:I20" ca="1" si="0">SUM(H16:H16)</f>
        <v>1960336.2459609685</v>
      </c>
      <c r="J16" s="826">
        <f ca="1">G16+I16</f>
        <v>135000239.56999999</v>
      </c>
      <c r="K16" s="472"/>
    </row>
    <row r="17" spans="1:11" ht="34.9" customHeight="1">
      <c r="A17" s="827" t="s">
        <v>18</v>
      </c>
      <c r="B17" s="828"/>
      <c r="C17" s="826">
        <f ca="1">'Table 2'!N68</f>
        <v>104206022.04000001</v>
      </c>
      <c r="D17" s="826">
        <f ca="1">'Table 2'!O68-E17</f>
        <v>813889.35617512348</v>
      </c>
      <c r="E17" s="826">
        <f>'Table 3'!J68</f>
        <v>-325770.97000000003</v>
      </c>
      <c r="F17" s="826">
        <f t="shared" ref="F17:F20" ca="1" si="1">SUM(D17:E17)</f>
        <v>488118.38617512345</v>
      </c>
      <c r="G17" s="826">
        <f t="shared" ref="G17:G20" ca="1" si="2">C17+F17</f>
        <v>104694140.42617513</v>
      </c>
      <c r="H17" s="826">
        <f ca="1">'Table 3'!N68</f>
        <v>1503229.9038248761</v>
      </c>
      <c r="I17" s="826">
        <f t="shared" ca="1" si="0"/>
        <v>1503229.9038248761</v>
      </c>
      <c r="J17" s="826">
        <f t="shared" ref="J17:J21" ca="1" si="3">G17+I17</f>
        <v>106197370.33000001</v>
      </c>
      <c r="K17" s="472"/>
    </row>
    <row r="18" spans="1:11" ht="34.9" customHeight="1">
      <c r="A18" s="827" t="s">
        <v>30</v>
      </c>
      <c r="B18" s="828"/>
      <c r="C18" s="826">
        <f ca="1">'Table 2'!N97</f>
        <v>48110950.319999993</v>
      </c>
      <c r="D18" s="826">
        <f ca="1">'Table 2'!O97-E18</f>
        <v>416176.13717418606</v>
      </c>
      <c r="E18" s="826">
        <f>'Table 3'!J97</f>
        <v>0</v>
      </c>
      <c r="F18" s="826">
        <f ca="1">SUM(D18:E18)</f>
        <v>416176.13717418606</v>
      </c>
      <c r="G18" s="826">
        <f ca="1">C18+F18</f>
        <v>48527126.457174182</v>
      </c>
      <c r="H18" s="826">
        <f ca="1">'Table 3'!N97</f>
        <v>690316.20282581437</v>
      </c>
      <c r="I18" s="826">
        <f t="shared" ca="1" si="0"/>
        <v>690316.20282581437</v>
      </c>
      <c r="J18" s="826">
        <f t="shared" ca="1" si="3"/>
        <v>49217442.659999996</v>
      </c>
      <c r="K18" s="472"/>
    </row>
    <row r="19" spans="1:11" ht="34.9" customHeight="1">
      <c r="A19" s="827" t="s">
        <v>206</v>
      </c>
      <c r="B19" s="828"/>
      <c r="C19" s="826">
        <f ca="1">'Table 2'!N117</f>
        <v>11841526.68</v>
      </c>
      <c r="D19" s="826">
        <f ca="1">'Table 2'!O117-E19</f>
        <v>597594.70999999985</v>
      </c>
      <c r="E19" s="826">
        <f>'Table 3'!J117</f>
        <v>-129325.77999999998</v>
      </c>
      <c r="F19" s="826">
        <f ca="1">SUM(D19:E19)</f>
        <v>468268.92999999988</v>
      </c>
      <c r="G19" s="826">
        <f t="shared" ca="1" si="2"/>
        <v>12309795.609999999</v>
      </c>
      <c r="H19" s="826">
        <f ca="1">'Table 3'!N117</f>
        <v>176306.30999999988</v>
      </c>
      <c r="I19" s="826">
        <f t="shared" ca="1" si="0"/>
        <v>176306.30999999988</v>
      </c>
      <c r="J19" s="826">
        <f t="shared" ca="1" si="3"/>
        <v>12486101.92</v>
      </c>
      <c r="K19" s="472"/>
    </row>
    <row r="20" spans="1:11" ht="34.9" customHeight="1" thickBot="1">
      <c r="A20" s="829" t="s">
        <v>19</v>
      </c>
      <c r="B20" s="830"/>
      <c r="C20" s="831">
        <f ca="1">'Table 2'!N137</f>
        <v>1142076.9100000001</v>
      </c>
      <c r="D20" s="831">
        <f ca="1">'Table 2'!O137-E20</f>
        <v>20049.839999999982</v>
      </c>
      <c r="E20" s="831">
        <f>'Table 3'!J137</f>
        <v>0</v>
      </c>
      <c r="F20" s="831">
        <f t="shared" ca="1" si="1"/>
        <v>20049.839999999982</v>
      </c>
      <c r="G20" s="831">
        <f t="shared" ca="1" si="2"/>
        <v>1162126.7500000002</v>
      </c>
      <c r="H20" s="826">
        <f ca="1">'Table 3'!N137</f>
        <v>-72.869999999937136</v>
      </c>
      <c r="I20" s="826">
        <f t="shared" ca="1" si="0"/>
        <v>-72.869999999937136</v>
      </c>
      <c r="J20" s="826">
        <f t="shared" ca="1" si="3"/>
        <v>1162053.8800000004</v>
      </c>
      <c r="K20" s="472"/>
    </row>
    <row r="21" spans="1:11" ht="34.9" customHeight="1" thickTop="1" thickBot="1">
      <c r="A21" s="832" t="s">
        <v>77</v>
      </c>
      <c r="B21" s="833"/>
      <c r="C21" s="834">
        <f t="shared" ref="C21:I21" ca="1" si="4">SUM(C16:C20)</f>
        <v>291893109.89000005</v>
      </c>
      <c r="D21" s="834">
        <f t="shared" ca="1" si="4"/>
        <v>8508131.7073883414</v>
      </c>
      <c r="E21" s="834">
        <f t="shared" si="4"/>
        <v>-668149.03000000038</v>
      </c>
      <c r="F21" s="834">
        <f t="shared" ca="1" si="4"/>
        <v>7839982.6773883402</v>
      </c>
      <c r="G21" s="834">
        <f t="shared" ca="1" si="4"/>
        <v>299733092.56738836</v>
      </c>
      <c r="H21" s="834">
        <f t="shared" ca="1" si="4"/>
        <v>4330115.7926116586</v>
      </c>
      <c r="I21" s="834">
        <f t="shared" ca="1" si="4"/>
        <v>4330115.7926116586</v>
      </c>
      <c r="J21" s="826">
        <f t="shared" ca="1" si="3"/>
        <v>304063208.36000001</v>
      </c>
      <c r="K21" s="472"/>
    </row>
    <row r="22" spans="1:11" ht="20.25" hidden="1" customHeight="1" thickTop="1">
      <c r="A22" s="835" t="s">
        <v>92</v>
      </c>
      <c r="B22" s="836"/>
      <c r="C22" s="837"/>
      <c r="D22" s="837"/>
      <c r="E22" s="837"/>
      <c r="F22" s="837"/>
      <c r="G22" s="837"/>
      <c r="H22" s="837"/>
      <c r="I22" s="837"/>
      <c r="J22" s="837"/>
      <c r="K22" s="419"/>
    </row>
    <row r="23" spans="1:11" ht="34.9" hidden="1" customHeight="1">
      <c r="A23" s="829" t="s">
        <v>89</v>
      </c>
      <c r="B23" s="830"/>
      <c r="C23" s="826">
        <v>0</v>
      </c>
      <c r="D23" s="826">
        <v>0</v>
      </c>
      <c r="E23" s="826">
        <v>0</v>
      </c>
      <c r="F23" s="826">
        <v>0</v>
      </c>
      <c r="G23" s="826">
        <v>0</v>
      </c>
      <c r="H23" s="826"/>
      <c r="I23" s="826"/>
      <c r="J23" s="826">
        <v>0</v>
      </c>
      <c r="K23" s="419"/>
    </row>
    <row r="24" spans="1:11" ht="34.9" hidden="1" customHeight="1">
      <c r="A24" s="829" t="s">
        <v>90</v>
      </c>
      <c r="B24" s="830"/>
      <c r="C24" s="826">
        <v>0</v>
      </c>
      <c r="D24" s="826">
        <v>0</v>
      </c>
      <c r="E24" s="826">
        <v>0</v>
      </c>
      <c r="F24" s="826">
        <v>0</v>
      </c>
      <c r="G24" s="826">
        <v>0</v>
      </c>
      <c r="H24" s="826"/>
      <c r="I24" s="826"/>
      <c r="J24" s="826">
        <v>0</v>
      </c>
      <c r="K24" s="419"/>
    </row>
    <row r="25" spans="1:11" ht="34.9" hidden="1" customHeight="1" thickBot="1">
      <c r="A25" s="838" t="s">
        <v>91</v>
      </c>
      <c r="B25" s="839"/>
      <c r="C25" s="840">
        <f ca="1">+C21+C23+C24</f>
        <v>291893109.89000005</v>
      </c>
      <c r="D25" s="840">
        <f ca="1">+D21+D23+D24</f>
        <v>8508131.7073883414</v>
      </c>
      <c r="E25" s="840">
        <f>+E21+E23+E24</f>
        <v>-668149.03000000038</v>
      </c>
      <c r="F25" s="840">
        <f ca="1">+F21+F23+F24</f>
        <v>7839982.6773883402</v>
      </c>
      <c r="G25" s="840">
        <f ca="1">+G21+G23+G24</f>
        <v>299733092.56738836</v>
      </c>
      <c r="H25" s="840"/>
      <c r="I25" s="840"/>
      <c r="J25" s="840">
        <f ca="1">+J21+J23+J24</f>
        <v>304063208.36000001</v>
      </c>
      <c r="K25" s="419"/>
    </row>
    <row r="26" spans="1:11" ht="16.5" thickTop="1">
      <c r="A26" s="829"/>
      <c r="B26" s="830"/>
      <c r="C26" s="76"/>
      <c r="D26" s="75"/>
      <c r="E26" s="75"/>
      <c r="F26" s="75"/>
      <c r="G26" s="75"/>
      <c r="H26" s="75"/>
      <c r="I26" s="75"/>
      <c r="J26" s="75"/>
      <c r="K26" s="419"/>
    </row>
    <row r="27" spans="1:11">
      <c r="A27" s="829"/>
      <c r="B27" s="830"/>
      <c r="C27" s="76"/>
      <c r="D27" s="76"/>
      <c r="E27" s="75" t="s">
        <v>20</v>
      </c>
      <c r="F27" s="75"/>
      <c r="G27" s="75"/>
      <c r="H27" s="75"/>
      <c r="I27" s="75"/>
      <c r="J27" s="75"/>
      <c r="K27" s="841"/>
    </row>
    <row r="28" spans="1:11">
      <c r="A28" s="829" t="s">
        <v>21</v>
      </c>
      <c r="B28" s="830"/>
      <c r="C28" s="76" t="s">
        <v>172</v>
      </c>
      <c r="D28" s="75" t="s">
        <v>98</v>
      </c>
      <c r="E28" s="75" t="s">
        <v>22</v>
      </c>
      <c r="F28" s="75" t="s">
        <v>43</v>
      </c>
      <c r="G28" s="75" t="s">
        <v>42</v>
      </c>
      <c r="H28" s="75" t="s">
        <v>29</v>
      </c>
      <c r="I28" s="842" t="s">
        <v>757</v>
      </c>
      <c r="J28" s="842" t="s">
        <v>758</v>
      </c>
      <c r="K28" s="843"/>
    </row>
    <row r="29" spans="1:11" ht="15" customHeight="1">
      <c r="A29" s="829"/>
      <c r="B29" s="830"/>
      <c r="C29" s="76"/>
      <c r="D29" s="75"/>
      <c r="E29" s="75" t="s">
        <v>29</v>
      </c>
      <c r="F29" s="75"/>
      <c r="G29" s="75"/>
      <c r="H29" s="75"/>
      <c r="I29" s="75"/>
      <c r="J29" s="75"/>
      <c r="K29" s="419"/>
    </row>
    <row r="30" spans="1:11" ht="16.5" customHeight="1">
      <c r="A30" s="827"/>
      <c r="B30" s="828"/>
      <c r="C30" s="77"/>
      <c r="D30" s="77"/>
      <c r="E30" s="77"/>
      <c r="F30" s="77"/>
      <c r="G30" s="77"/>
      <c r="H30" s="77"/>
      <c r="I30" s="77"/>
      <c r="J30" s="77"/>
      <c r="K30" s="419"/>
    </row>
    <row r="31" spans="1:11">
      <c r="A31" s="663"/>
    </row>
    <row r="32" spans="1:11">
      <c r="A32" s="663"/>
    </row>
    <row r="33" spans="1:10" ht="54" customHeight="1">
      <c r="A33" s="1943" t="s">
        <v>868</v>
      </c>
      <c r="B33" s="1943"/>
      <c r="C33" s="1943"/>
      <c r="D33" s="1943"/>
      <c r="E33" s="1943"/>
      <c r="F33" s="1943"/>
      <c r="G33" s="1943"/>
      <c r="H33" s="1943"/>
      <c r="I33" s="1943"/>
      <c r="J33" s="1943"/>
    </row>
    <row r="34" spans="1:10" ht="15.75" customHeight="1">
      <c r="A34" s="44"/>
    </row>
    <row r="35" spans="1:10" ht="18" customHeight="1">
      <c r="B35" s="419"/>
      <c r="C35" s="419"/>
      <c r="D35" s="419"/>
      <c r="E35" s="419"/>
      <c r="F35" s="419"/>
      <c r="G35" s="419"/>
    </row>
    <row r="36" spans="1:10" ht="18" customHeight="1">
      <c r="A36" s="809"/>
      <c r="C36" s="841"/>
      <c r="D36" s="419"/>
      <c r="E36" s="419"/>
      <c r="F36" s="419"/>
      <c r="G36" s="419"/>
    </row>
    <row r="37" spans="1:10" ht="24">
      <c r="A37" s="844"/>
      <c r="B37" s="419"/>
      <c r="C37" s="845"/>
      <c r="D37" s="419"/>
      <c r="E37" s="419"/>
      <c r="F37" s="419"/>
      <c r="G37" s="419"/>
    </row>
    <row r="38" spans="1:10">
      <c r="B38" s="846"/>
    </row>
    <row r="39" spans="1:10">
      <c r="B39" s="846"/>
    </row>
    <row r="40" spans="1:10">
      <c r="B40" s="846"/>
      <c r="D40" s="419"/>
    </row>
    <row r="41" spans="1:10">
      <c r="B41" s="846"/>
      <c r="D41" s="419"/>
    </row>
    <row r="42" spans="1:10">
      <c r="B42" s="846"/>
    </row>
    <row r="43" spans="1:10">
      <c r="B43" s="846"/>
    </row>
    <row r="44" spans="1:10">
      <c r="B44" s="846"/>
      <c r="G44" s="847"/>
    </row>
    <row r="45" spans="1:10">
      <c r="B45" s="846"/>
    </row>
  </sheetData>
  <mergeCells count="1">
    <mergeCell ref="A33:J33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25"/>
  <sheetViews>
    <sheetView zoomScale="90" zoomScaleNormal="90" workbookViewId="0">
      <selection activeCell="M21" sqref="M21"/>
    </sheetView>
  </sheetViews>
  <sheetFormatPr defaultColWidth="7.25" defaultRowHeight="15"/>
  <cols>
    <col min="1" max="1" width="4.375" style="1823" customWidth="1"/>
    <col min="2" max="2" width="30.5" style="1830" customWidth="1"/>
    <col min="3" max="6" width="11.25" style="1830" bestFit="1" customWidth="1"/>
    <col min="7" max="16384" width="7.25" style="1830"/>
  </cols>
  <sheetData>
    <row r="1" spans="1:6" s="1823" customFormat="1" ht="30">
      <c r="A1" s="1822" t="s">
        <v>968</v>
      </c>
      <c r="B1" s="1823" t="s">
        <v>1083</v>
      </c>
      <c r="C1" s="1823" t="s">
        <v>4</v>
      </c>
      <c r="D1" s="1823" t="s">
        <v>5</v>
      </c>
      <c r="E1" s="1823" t="s">
        <v>6</v>
      </c>
      <c r="F1" s="1823" t="s">
        <v>7</v>
      </c>
    </row>
    <row r="2" spans="1:6">
      <c r="A2" s="1823">
        <v>1</v>
      </c>
      <c r="B2" s="1944" t="s">
        <v>1111</v>
      </c>
      <c r="C2" s="1945"/>
      <c r="D2" s="1945"/>
      <c r="E2" s="1945"/>
      <c r="F2" s="1946"/>
    </row>
    <row r="3" spans="1:6">
      <c r="B3" s="1848"/>
      <c r="C3" s="1945" t="s">
        <v>1084</v>
      </c>
      <c r="D3" s="1945"/>
      <c r="E3" s="1945" t="s">
        <v>1085</v>
      </c>
      <c r="F3" s="1945"/>
    </row>
    <row r="4" spans="1:6">
      <c r="A4" s="1823">
        <v>2</v>
      </c>
      <c r="B4" s="1831"/>
      <c r="C4" s="1944" t="s">
        <v>1112</v>
      </c>
      <c r="D4" s="1946"/>
      <c r="E4" s="1947" t="s">
        <v>1113</v>
      </c>
      <c r="F4" s="1948"/>
    </row>
    <row r="5" spans="1:6" s="1853" customFormat="1" ht="30">
      <c r="A5" s="1823">
        <v>3</v>
      </c>
      <c r="B5" s="1849" t="s">
        <v>1114</v>
      </c>
      <c r="C5" s="1850" t="s">
        <v>1115</v>
      </c>
      <c r="D5" s="1851" t="s">
        <v>1116</v>
      </c>
      <c r="E5" s="1852" t="s">
        <v>1115</v>
      </c>
      <c r="F5" s="1851" t="s">
        <v>1116</v>
      </c>
    </row>
    <row r="6" spans="1:6" ht="15.75">
      <c r="A6" s="1823">
        <v>4</v>
      </c>
      <c r="B6" s="1831" t="s">
        <v>1117</v>
      </c>
      <c r="C6" s="1833">
        <v>1462</v>
      </c>
      <c r="D6" s="1834">
        <f>C6/12</f>
        <v>121.83333333333333</v>
      </c>
      <c r="E6" s="1854">
        <v>1462</v>
      </c>
      <c r="F6" s="1834">
        <f>E6/12</f>
        <v>121.83333333333333</v>
      </c>
    </row>
    <row r="7" spans="1:6" ht="15.75">
      <c r="A7" s="1823">
        <v>5</v>
      </c>
      <c r="B7" s="1831" t="s">
        <v>1118</v>
      </c>
      <c r="C7" s="1833">
        <v>2552</v>
      </c>
      <c r="D7" s="1834">
        <f>C7/12</f>
        <v>212.66666666666666</v>
      </c>
      <c r="E7" s="1854">
        <v>2552</v>
      </c>
      <c r="F7" s="1834">
        <f>E7/12</f>
        <v>212.66666666666666</v>
      </c>
    </row>
    <row r="8" spans="1:6" ht="15.75">
      <c r="A8" s="1823">
        <v>6</v>
      </c>
      <c r="B8" s="1831" t="s">
        <v>732</v>
      </c>
      <c r="C8" s="1833">
        <v>940</v>
      </c>
      <c r="D8" s="1834">
        <f>C8/12</f>
        <v>78.333333333333329</v>
      </c>
      <c r="E8" s="1854">
        <v>940</v>
      </c>
      <c r="F8" s="1834">
        <f>E8/12</f>
        <v>78.333333333333329</v>
      </c>
    </row>
    <row r="9" spans="1:6" ht="15.75">
      <c r="A9" s="1823">
        <v>7</v>
      </c>
      <c r="B9" s="1835" t="s">
        <v>1119</v>
      </c>
      <c r="C9" s="1837">
        <f>536+440+209+400</f>
        <v>1585</v>
      </c>
      <c r="D9" s="1838">
        <f>C9/12</f>
        <v>132.08333333333334</v>
      </c>
      <c r="E9" s="1855">
        <v>4495</v>
      </c>
      <c r="F9" s="1838">
        <f>E9/12</f>
        <v>374.58333333333331</v>
      </c>
    </row>
    <row r="10" spans="1:6" ht="15.75">
      <c r="A10" s="1823">
        <v>8</v>
      </c>
      <c r="B10" s="1856" t="s">
        <v>1120</v>
      </c>
      <c r="C10" s="1833">
        <f>SUM(C6:C9)</f>
        <v>6539</v>
      </c>
      <c r="D10" s="1834">
        <f>SUM(D6:D9)</f>
        <v>544.91666666666663</v>
      </c>
      <c r="E10" s="1854">
        <f>SUM(E6:E9)</f>
        <v>9449</v>
      </c>
      <c r="F10" s="1834">
        <f>SUM(F6:F9)</f>
        <v>787.41666666666663</v>
      </c>
    </row>
    <row r="11" spans="1:6" ht="15.75">
      <c r="A11" s="1823">
        <v>9</v>
      </c>
      <c r="B11" s="1831"/>
      <c r="C11" s="1833"/>
      <c r="D11" s="1834"/>
      <c r="E11" s="1854"/>
      <c r="F11" s="1834"/>
    </row>
    <row r="12" spans="1:6" ht="15.75">
      <c r="A12" s="1823">
        <v>10</v>
      </c>
      <c r="B12" s="1835" t="s">
        <v>1121</v>
      </c>
      <c r="C12" s="1833"/>
      <c r="D12" s="1834"/>
      <c r="E12" s="1854"/>
      <c r="F12" s="1834"/>
    </row>
    <row r="13" spans="1:6" ht="15.75">
      <c r="A13" s="1823">
        <v>11</v>
      </c>
      <c r="B13" s="1831" t="s">
        <v>1122</v>
      </c>
      <c r="C13" s="1833">
        <v>2796</v>
      </c>
      <c r="D13" s="1834">
        <f>C13/12</f>
        <v>233</v>
      </c>
      <c r="E13" s="1854">
        <v>2796</v>
      </c>
      <c r="F13" s="1834">
        <f>E13/12</f>
        <v>233</v>
      </c>
    </row>
    <row r="14" spans="1:6" ht="15.75">
      <c r="A14" s="1823">
        <v>12</v>
      </c>
      <c r="B14" s="1835" t="s">
        <v>1123</v>
      </c>
      <c r="C14" s="1837">
        <v>950</v>
      </c>
      <c r="D14" s="1838">
        <f>C14/12</f>
        <v>79.166666666666671</v>
      </c>
      <c r="E14" s="1855">
        <v>950</v>
      </c>
      <c r="F14" s="1838">
        <f>E14/12</f>
        <v>79.166666666666671</v>
      </c>
    </row>
    <row r="15" spans="1:6" ht="15.75">
      <c r="A15" s="1823">
        <v>13</v>
      </c>
      <c r="B15" s="1831" t="s">
        <v>1124</v>
      </c>
      <c r="C15" s="1833">
        <f>SUM(C13:C14)</f>
        <v>3746</v>
      </c>
      <c r="D15" s="1834">
        <f>SUM(D13:D14)</f>
        <v>312.16666666666669</v>
      </c>
      <c r="E15" s="1854">
        <f>SUM(E13:E14)</f>
        <v>3746</v>
      </c>
      <c r="F15" s="1834">
        <f>SUM(F13:F14)</f>
        <v>312.16666666666669</v>
      </c>
    </row>
    <row r="16" spans="1:6" ht="15.75">
      <c r="A16" s="1823">
        <v>14</v>
      </c>
      <c r="B16" s="1831"/>
      <c r="C16" s="1833"/>
      <c r="D16" s="1834"/>
      <c r="E16" s="1854"/>
      <c r="F16" s="1834"/>
    </row>
    <row r="17" spans="1:6" ht="15.75">
      <c r="A17" s="1823">
        <v>15</v>
      </c>
      <c r="B17" s="1835" t="s">
        <v>1125</v>
      </c>
      <c r="C17" s="1833"/>
      <c r="D17" s="1834"/>
      <c r="E17" s="1854"/>
      <c r="F17" s="1834"/>
    </row>
    <row r="18" spans="1:6" ht="15.75">
      <c r="A18" s="1823">
        <v>16</v>
      </c>
      <c r="B18" s="1831" t="s">
        <v>1126</v>
      </c>
      <c r="C18" s="1833">
        <v>3524</v>
      </c>
      <c r="D18" s="1834">
        <f>C18/12</f>
        <v>293.66666666666669</v>
      </c>
      <c r="E18" s="1854">
        <v>3524</v>
      </c>
      <c r="F18" s="1834">
        <f>E18/12</f>
        <v>293.66666666666669</v>
      </c>
    </row>
    <row r="19" spans="1:6" ht="15.75">
      <c r="A19" s="1823">
        <v>17</v>
      </c>
      <c r="B19" s="1835" t="s">
        <v>1127</v>
      </c>
      <c r="C19" s="1837">
        <v>503</v>
      </c>
      <c r="D19" s="1838">
        <f>C19/12</f>
        <v>41.916666666666664</v>
      </c>
      <c r="E19" s="1855">
        <v>503</v>
      </c>
      <c r="F19" s="1838">
        <f>E19/12</f>
        <v>41.916666666666664</v>
      </c>
    </row>
    <row r="20" spans="1:6" ht="15.75">
      <c r="A20" s="1823">
        <v>18</v>
      </c>
      <c r="B20" s="1831" t="s">
        <v>1124</v>
      </c>
      <c r="C20" s="1833">
        <f>SUM(C18:C19)</f>
        <v>4027</v>
      </c>
      <c r="D20" s="1834">
        <f>SUM(D18:D19)</f>
        <v>335.58333333333337</v>
      </c>
      <c r="E20" s="1854">
        <f>SUM(E18:E19)</f>
        <v>4027</v>
      </c>
      <c r="F20" s="1834">
        <f>SUM(F18:F19)</f>
        <v>335.58333333333337</v>
      </c>
    </row>
    <row r="21" spans="1:6">
      <c r="A21" s="1823">
        <v>19</v>
      </c>
      <c r="B21" s="1835"/>
      <c r="C21" s="1835"/>
      <c r="D21" s="1836"/>
      <c r="E21" s="1857"/>
      <c r="F21" s="1836"/>
    </row>
    <row r="22" spans="1:6" ht="15.75">
      <c r="A22" s="1823">
        <v>20</v>
      </c>
      <c r="B22" s="1858" t="s">
        <v>9</v>
      </c>
      <c r="C22" s="1837">
        <f>C20+C15+C10</f>
        <v>14312</v>
      </c>
      <c r="D22" s="1838">
        <f>D20+D15+D10</f>
        <v>1192.6666666666665</v>
      </c>
      <c r="E22" s="1855">
        <f>E20+E15+E10</f>
        <v>17222</v>
      </c>
      <c r="F22" s="1838">
        <f>F20+F15+F10</f>
        <v>1435.1666666666665</v>
      </c>
    </row>
    <row r="23" spans="1:6">
      <c r="A23" s="1823">
        <v>21</v>
      </c>
    </row>
    <row r="24" spans="1:6">
      <c r="A24" s="1823">
        <v>22</v>
      </c>
      <c r="B24" s="1847" t="s">
        <v>1128</v>
      </c>
      <c r="C24" s="1859"/>
      <c r="D24" s="1859"/>
      <c r="E24" s="1859"/>
      <c r="F24" s="1859"/>
    </row>
    <row r="25" spans="1:6">
      <c r="A25" s="1823">
        <v>23</v>
      </c>
    </row>
  </sheetData>
  <mergeCells count="5">
    <mergeCell ref="B2:F2"/>
    <mergeCell ref="C3:D3"/>
    <mergeCell ref="E3:F3"/>
    <mergeCell ref="C4:D4"/>
    <mergeCell ref="E4:F4"/>
  </mergeCells>
  <hyperlinks>
    <hyperlink ref="B24" r:id="rId1"/>
  </hyperlinks>
  <pageMargins left="1" right="0.25" top="1" bottom="1" header="0.5" footer="0.5"/>
  <pageSetup orientation="landscape" r:id="rId2"/>
  <headerFooter scaleWithDoc="0">
    <oddFooter>&amp;LTestimony of Christopher T. Mickelson
Dockets UE-130043&amp;RExhibit No. ___ (CTM-5)
Page &amp;P</oddFooter>
  </headerFooter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B1:AD38"/>
  <sheetViews>
    <sheetView zoomScale="85" zoomScaleNormal="85" workbookViewId="0">
      <selection activeCell="M21" sqref="M21"/>
    </sheetView>
  </sheetViews>
  <sheetFormatPr defaultColWidth="9.625" defaultRowHeight="15.75"/>
  <cols>
    <col min="1" max="1" width="9.625" style="4" customWidth="1"/>
    <col min="2" max="2" width="14.5" style="4" customWidth="1"/>
    <col min="3" max="3" width="14.75" style="4" customWidth="1"/>
    <col min="4" max="4" width="17" style="4" customWidth="1"/>
    <col min="5" max="5" width="13.5" style="4" customWidth="1"/>
    <col min="6" max="6" width="15.875" style="4" customWidth="1"/>
    <col min="7" max="7" width="12.625" style="4" customWidth="1"/>
    <col min="8" max="8" width="9.625" style="4"/>
    <col min="9" max="11" width="15.625" style="4" customWidth="1"/>
    <col min="12" max="16384" width="9.625" style="4"/>
  </cols>
  <sheetData>
    <row r="1" spans="2:30">
      <c r="B1" s="419"/>
      <c r="C1" s="419"/>
      <c r="D1" s="419"/>
      <c r="E1" s="419"/>
      <c r="F1" s="419"/>
      <c r="G1" s="419" t="s">
        <v>88</v>
      </c>
      <c r="H1" s="419"/>
      <c r="I1" s="419"/>
      <c r="J1" s="419"/>
    </row>
    <row r="2" spans="2:30">
      <c r="B2" s="419"/>
      <c r="C2" s="419"/>
      <c r="D2" s="419"/>
      <c r="E2" s="419"/>
      <c r="F2" s="419"/>
      <c r="G2" s="419" t="s">
        <v>81</v>
      </c>
      <c r="H2" s="419"/>
      <c r="I2" s="419"/>
      <c r="J2" s="419"/>
    </row>
    <row r="3" spans="2:30" ht="23.25">
      <c r="B3" s="848" t="s">
        <v>754</v>
      </c>
      <c r="C3" s="849"/>
      <c r="D3" s="849"/>
      <c r="E3" s="849"/>
      <c r="F3" s="809"/>
      <c r="G3" s="419"/>
      <c r="H3" s="419"/>
      <c r="I3" s="419"/>
      <c r="J3" s="419"/>
    </row>
    <row r="4" spans="2:30" ht="23.25">
      <c r="B4" s="848" t="s">
        <v>47</v>
      </c>
      <c r="C4" s="849"/>
      <c r="D4" s="849"/>
      <c r="E4" s="849"/>
      <c r="F4" s="809"/>
      <c r="G4" s="419"/>
      <c r="H4" s="419"/>
      <c r="I4" s="419"/>
      <c r="J4" s="419"/>
    </row>
    <row r="5" spans="2:30" ht="23.25">
      <c r="B5" s="848" t="s">
        <v>2</v>
      </c>
      <c r="C5" s="849"/>
      <c r="D5" s="849"/>
      <c r="E5" s="849"/>
      <c r="F5" s="809"/>
      <c r="G5" s="419"/>
      <c r="H5" s="419"/>
      <c r="I5" s="419"/>
      <c r="J5" s="419"/>
    </row>
    <row r="6" spans="2:30" ht="23.25">
      <c r="B6" s="848" t="str">
        <f>'305 Inputs'!B4</f>
        <v>12 Months Ended June 2012</v>
      </c>
      <c r="C6" s="849"/>
      <c r="D6" s="849"/>
      <c r="E6" s="849"/>
      <c r="F6" s="809"/>
      <c r="G6" s="419"/>
      <c r="H6" s="419"/>
      <c r="I6" s="419"/>
      <c r="J6" s="419"/>
    </row>
    <row r="8" spans="2:30" ht="22.5">
      <c r="B8" s="50" t="s">
        <v>171</v>
      </c>
      <c r="C8" s="850"/>
      <c r="D8" s="850"/>
      <c r="E8" s="850"/>
      <c r="F8" s="850"/>
    </row>
    <row r="10" spans="2:30">
      <c r="B10" s="419"/>
      <c r="C10" s="419"/>
      <c r="D10" s="811" t="s">
        <v>3</v>
      </c>
      <c r="E10" s="811" t="s">
        <v>4</v>
      </c>
      <c r="F10" s="811" t="s">
        <v>5</v>
      </c>
      <c r="G10" s="419"/>
      <c r="H10" s="419"/>
      <c r="I10" s="419"/>
      <c r="J10" s="419"/>
    </row>
    <row r="11" spans="2:30">
      <c r="B11" s="419"/>
      <c r="C11" s="419"/>
      <c r="D11" s="809"/>
      <c r="E11" s="809"/>
      <c r="F11" s="809"/>
      <c r="G11" s="809"/>
      <c r="H11" s="809"/>
      <c r="I11" s="419"/>
      <c r="J11" s="419"/>
    </row>
    <row r="12" spans="2:30">
      <c r="B12" s="419"/>
      <c r="C12" s="419"/>
      <c r="D12" s="812"/>
      <c r="E12" s="851" t="s">
        <v>31</v>
      </c>
      <c r="F12" s="812" t="s">
        <v>31</v>
      </c>
      <c r="G12" s="419"/>
      <c r="H12" s="419"/>
      <c r="I12" s="419"/>
      <c r="J12" s="419"/>
    </row>
    <row r="13" spans="2:30">
      <c r="B13" s="419"/>
      <c r="C13" s="419"/>
      <c r="D13" s="817" t="s">
        <v>9</v>
      </c>
      <c r="E13" s="75" t="s">
        <v>9</v>
      </c>
      <c r="F13" s="818" t="s">
        <v>9</v>
      </c>
      <c r="G13" s="419"/>
      <c r="H13" s="419"/>
      <c r="I13" s="419"/>
      <c r="J13" s="811"/>
    </row>
    <row r="14" spans="2:30" ht="18.75">
      <c r="B14" s="419"/>
      <c r="C14" s="419"/>
      <c r="D14" s="817" t="s">
        <v>81</v>
      </c>
      <c r="E14" s="75" t="s">
        <v>178</v>
      </c>
      <c r="F14" s="818" t="s">
        <v>14</v>
      </c>
      <c r="G14" s="419"/>
      <c r="H14" s="419"/>
      <c r="I14" s="419"/>
      <c r="J14" s="419"/>
    </row>
    <row r="15" spans="2:30">
      <c r="B15" s="419"/>
      <c r="C15" s="419"/>
      <c r="D15" s="822"/>
      <c r="E15" s="822" t="s">
        <v>81</v>
      </c>
      <c r="F15" s="852" t="s">
        <v>171</v>
      </c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19"/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419"/>
      <c r="AD15" s="419"/>
    </row>
    <row r="16" spans="2:30" ht="34.9" customHeight="1">
      <c r="B16" s="824" t="s">
        <v>17</v>
      </c>
      <c r="C16" s="825"/>
      <c r="D16" s="853">
        <f ca="1">'Table 2'!G38</f>
        <v>1606653777</v>
      </c>
      <c r="E16" s="854">
        <f ca="1">'Table 2'!L38</f>
        <v>-1416316.6983713417</v>
      </c>
      <c r="F16" s="855">
        <f t="shared" ref="F16:F20" ca="1" si="0">D16+E16</f>
        <v>1605237460.3016286</v>
      </c>
      <c r="G16" s="64"/>
      <c r="H16" s="419"/>
      <c r="I16" s="841"/>
      <c r="J16" s="64"/>
      <c r="K16" s="419"/>
      <c r="L16" s="419"/>
      <c r="M16" s="419"/>
      <c r="N16" s="419"/>
      <c r="O16" s="419"/>
      <c r="P16" s="419"/>
      <c r="Q16" s="419"/>
      <c r="R16" s="419"/>
      <c r="S16" s="419"/>
      <c r="T16" s="419"/>
      <c r="U16" s="419"/>
      <c r="V16" s="419"/>
      <c r="W16" s="419"/>
      <c r="X16" s="419"/>
      <c r="Y16" s="419"/>
      <c r="Z16" s="419"/>
      <c r="AA16" s="419"/>
      <c r="AB16" s="419"/>
      <c r="AC16" s="419"/>
      <c r="AD16" s="419"/>
    </row>
    <row r="17" spans="2:30" ht="34.9" customHeight="1">
      <c r="B17" s="827" t="s">
        <v>18</v>
      </c>
      <c r="C17" s="828"/>
      <c r="D17" s="855">
        <f ca="1">'Table 2'!G68</f>
        <v>1417253780</v>
      </c>
      <c r="E17" s="854">
        <f>'Table 2'!L68</f>
        <v>-5875307.1914465511</v>
      </c>
      <c r="F17" s="855">
        <f t="shared" ca="1" si="0"/>
        <v>1411378472.8085535</v>
      </c>
      <c r="G17" s="64"/>
      <c r="H17" s="419"/>
      <c r="I17" s="841"/>
      <c r="J17" s="64"/>
      <c r="K17" s="419"/>
      <c r="L17" s="419"/>
      <c r="M17" s="419"/>
      <c r="N17" s="419"/>
      <c r="O17" s="419"/>
      <c r="P17" s="419"/>
      <c r="Q17" s="419"/>
      <c r="R17" s="419"/>
      <c r="S17" s="419"/>
      <c r="T17" s="419"/>
      <c r="U17" s="419"/>
      <c r="V17" s="419"/>
      <c r="W17" s="419"/>
      <c r="X17" s="419"/>
      <c r="Y17" s="419"/>
      <c r="Z17" s="419"/>
      <c r="AA17" s="419"/>
      <c r="AB17" s="419"/>
      <c r="AC17" s="419"/>
      <c r="AD17" s="419">
        <v>4.8740385218734944E-2</v>
      </c>
    </row>
    <row r="18" spans="2:30" ht="34.9" customHeight="1">
      <c r="B18" s="827" t="s">
        <v>30</v>
      </c>
      <c r="C18" s="828"/>
      <c r="D18" s="855">
        <f ca="1">'Table 2'!G97</f>
        <v>820615298</v>
      </c>
      <c r="E18" s="854">
        <f ca="1">'Table 2'!L97</f>
        <v>428369.99999999814</v>
      </c>
      <c r="F18" s="855">
        <f t="shared" ca="1" si="0"/>
        <v>821043668</v>
      </c>
      <c r="G18" s="64"/>
      <c r="H18" s="419"/>
      <c r="I18" s="841"/>
      <c r="J18" s="64"/>
      <c r="K18" s="419"/>
      <c r="L18" s="419"/>
      <c r="M18" s="419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  <c r="AD18" s="419"/>
    </row>
    <row r="19" spans="2:30" ht="34.9" customHeight="1">
      <c r="B19" s="827" t="s">
        <v>206</v>
      </c>
      <c r="C19" s="828"/>
      <c r="D19" s="855">
        <f ca="1">'Table 2'!G117</f>
        <v>154350479</v>
      </c>
      <c r="E19" s="854">
        <f ca="1">'Table 2'!L117</f>
        <v>-795413.63566339039</v>
      </c>
      <c r="F19" s="855">
        <f t="shared" ca="1" si="0"/>
        <v>153555065.36433661</v>
      </c>
      <c r="G19" s="419"/>
      <c r="H19" s="419"/>
      <c r="I19" s="841"/>
      <c r="J19" s="64"/>
      <c r="K19" s="419"/>
      <c r="L19" s="419"/>
      <c r="M19" s="419"/>
      <c r="N19" s="419"/>
      <c r="O19" s="419"/>
      <c r="P19" s="419"/>
      <c r="Q19" s="419"/>
      <c r="R19" s="419"/>
      <c r="S19" s="419"/>
      <c r="T19" s="419"/>
      <c r="U19" s="419"/>
      <c r="V19" s="419"/>
      <c r="W19" s="419"/>
      <c r="X19" s="419"/>
      <c r="Y19" s="419"/>
      <c r="Z19" s="419"/>
      <c r="AA19" s="419"/>
      <c r="AB19" s="419"/>
      <c r="AC19" s="419"/>
      <c r="AD19" s="419"/>
    </row>
    <row r="20" spans="2:30" ht="34.9" customHeight="1">
      <c r="B20" s="856" t="s">
        <v>19</v>
      </c>
      <c r="C20" s="857"/>
      <c r="D20" s="858">
        <f ca="1">'Table 2'!G137</f>
        <v>9145711</v>
      </c>
      <c r="E20" s="859">
        <f ca="1">'Table 2'!L137</f>
        <v>251938.00000000012</v>
      </c>
      <c r="F20" s="858">
        <f t="shared" ca="1" si="0"/>
        <v>9397649</v>
      </c>
      <c r="G20" s="419"/>
      <c r="H20" s="419"/>
      <c r="I20" s="841"/>
      <c r="J20" s="64"/>
      <c r="K20" s="419"/>
      <c r="L20" s="419"/>
      <c r="M20" s="419"/>
      <c r="N20" s="419"/>
      <c r="O20" s="419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419"/>
      <c r="AA20" s="419"/>
      <c r="AB20" s="419"/>
      <c r="AC20" s="419"/>
      <c r="AD20" s="419"/>
    </row>
    <row r="21" spans="2:30" ht="34.9" customHeight="1" thickBot="1">
      <c r="B21" s="838" t="s">
        <v>77</v>
      </c>
      <c r="C21" s="839"/>
      <c r="D21" s="860">
        <f ca="1">SUM(D16:D20)</f>
        <v>4008019045</v>
      </c>
      <c r="E21" s="860">
        <f ca="1">SUM(E16:E20)</f>
        <v>-7406729.5254812846</v>
      </c>
      <c r="F21" s="860">
        <f ca="1">SUM(F16:F20)</f>
        <v>4000612315.4745183</v>
      </c>
      <c r="G21" s="419"/>
      <c r="H21" s="419"/>
      <c r="I21" s="841"/>
      <c r="J21" s="64"/>
      <c r="K21" s="419"/>
      <c r="L21" s="419"/>
      <c r="M21" s="419"/>
      <c r="N21" s="419"/>
      <c r="O21" s="419"/>
      <c r="P21" s="419"/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419"/>
      <c r="AB21" s="419"/>
      <c r="AC21" s="419"/>
      <c r="AD21" s="419"/>
    </row>
    <row r="22" spans="2:30" ht="16.5" hidden="1" thickTop="1">
      <c r="B22" s="827" t="s">
        <v>92</v>
      </c>
      <c r="C22" s="828"/>
      <c r="D22" s="855"/>
      <c r="E22" s="861"/>
      <c r="F22" s="855"/>
      <c r="G22" s="419"/>
      <c r="H22" s="419"/>
      <c r="I22" s="841"/>
      <c r="J22" s="64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</row>
    <row r="23" spans="2:30" ht="34.9" hidden="1" customHeight="1">
      <c r="B23" s="827" t="s">
        <v>89</v>
      </c>
      <c r="C23" s="828"/>
      <c r="D23" s="855">
        <v>0</v>
      </c>
      <c r="E23" s="854">
        <v>0</v>
      </c>
      <c r="F23" s="855">
        <f>D23+E23</f>
        <v>0</v>
      </c>
      <c r="G23" s="419"/>
      <c r="H23" s="419"/>
      <c r="I23" s="841"/>
      <c r="J23" s="64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</row>
    <row r="24" spans="2:30" ht="34.9" hidden="1" customHeight="1" thickBot="1">
      <c r="B24" s="862" t="s">
        <v>90</v>
      </c>
      <c r="C24" s="863"/>
      <c r="D24" s="864">
        <v>0</v>
      </c>
      <c r="E24" s="865">
        <v>0</v>
      </c>
      <c r="F24" s="864">
        <f>D24+E24</f>
        <v>0</v>
      </c>
      <c r="G24" s="419"/>
      <c r="H24" s="419"/>
      <c r="I24" s="841"/>
      <c r="J24" s="64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</row>
    <row r="25" spans="2:30" ht="34.9" hidden="1" customHeight="1" thickTop="1">
      <c r="B25" s="827" t="s">
        <v>91</v>
      </c>
      <c r="C25" s="828"/>
      <c r="D25" s="855">
        <f ca="1">SUM(D21:D24)</f>
        <v>4008019045</v>
      </c>
      <c r="E25" s="861">
        <f ca="1">SUM(E21:E24)</f>
        <v>-7406729.5254812846</v>
      </c>
      <c r="F25" s="855">
        <f ca="1">SUM(F21:F24)</f>
        <v>4000612315.4745183</v>
      </c>
      <c r="G25" s="419"/>
      <c r="H25" s="419"/>
      <c r="I25" s="841"/>
      <c r="J25" s="64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</row>
    <row r="26" spans="2:30" ht="16.5" thickTop="1">
      <c r="B26" s="829"/>
      <c r="C26" s="830"/>
      <c r="D26" s="76"/>
      <c r="E26" s="75"/>
      <c r="F26" s="75"/>
      <c r="G26" s="419"/>
      <c r="H26" s="419"/>
      <c r="I26" s="419"/>
      <c r="J26" s="419"/>
      <c r="K26" s="419"/>
      <c r="L26" s="419"/>
      <c r="M26" s="419"/>
      <c r="N26" s="419"/>
      <c r="O26" s="419"/>
      <c r="P26" s="419"/>
      <c r="Q26" s="419"/>
      <c r="R26" s="419"/>
      <c r="S26" s="419"/>
      <c r="T26" s="419"/>
      <c r="U26" s="419"/>
      <c r="V26" s="419"/>
      <c r="W26" s="419"/>
      <c r="X26" s="419"/>
      <c r="Y26" s="419"/>
      <c r="Z26" s="419"/>
      <c r="AA26" s="419"/>
      <c r="AB26" s="419"/>
      <c r="AC26" s="419"/>
      <c r="AD26" s="419"/>
    </row>
    <row r="27" spans="2:30">
      <c r="B27" s="829" t="s">
        <v>21</v>
      </c>
      <c r="C27" s="830"/>
      <c r="D27" s="76" t="s">
        <v>172</v>
      </c>
      <c r="E27" s="75" t="s">
        <v>98</v>
      </c>
      <c r="F27" s="75" t="s">
        <v>759</v>
      </c>
      <c r="G27" s="419"/>
      <c r="H27" s="419"/>
      <c r="I27" s="419"/>
      <c r="J27" s="419"/>
      <c r="K27" s="419"/>
      <c r="L27" s="419"/>
      <c r="M27" s="419"/>
      <c r="N27" s="419"/>
      <c r="O27" s="419"/>
      <c r="P27" s="419"/>
      <c r="Q27" s="419"/>
      <c r="R27" s="419"/>
      <c r="S27" s="419"/>
      <c r="T27" s="419"/>
      <c r="U27" s="419"/>
      <c r="V27" s="419"/>
      <c r="W27" s="419"/>
      <c r="X27" s="419"/>
      <c r="Y27" s="419"/>
      <c r="Z27" s="419"/>
      <c r="AA27" s="419"/>
      <c r="AB27" s="419"/>
      <c r="AC27" s="419"/>
      <c r="AD27" s="419"/>
    </row>
    <row r="28" spans="2:30" ht="15" customHeight="1">
      <c r="B28" s="829"/>
      <c r="C28" s="830"/>
      <c r="D28" s="76"/>
      <c r="E28" s="75" t="s">
        <v>31</v>
      </c>
      <c r="F28" s="75"/>
      <c r="G28" s="419"/>
      <c r="H28" s="419"/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</row>
    <row r="29" spans="2:30" ht="16.5" customHeight="1">
      <c r="B29" s="827"/>
      <c r="C29" s="828"/>
      <c r="D29" s="77"/>
      <c r="E29" s="77" t="s">
        <v>31</v>
      </c>
      <c r="F29" s="77"/>
      <c r="G29" s="419"/>
      <c r="H29" s="419"/>
      <c r="I29" s="419"/>
      <c r="J29" s="419"/>
      <c r="K29" s="419"/>
      <c r="L29" s="419"/>
      <c r="M29" s="419"/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</row>
    <row r="30" spans="2:30">
      <c r="B30" s="663"/>
    </row>
    <row r="31" spans="2:30">
      <c r="B31" s="663"/>
    </row>
    <row r="32" spans="2:30" ht="18" customHeight="1">
      <c r="B32" s="44" t="s">
        <v>867</v>
      </c>
      <c r="C32" s="419"/>
      <c r="D32" s="419"/>
      <c r="E32" s="419"/>
      <c r="F32" s="419"/>
    </row>
    <row r="33" spans="2:9">
      <c r="B33" s="866" t="s">
        <v>864</v>
      </c>
      <c r="F33" s="657"/>
    </row>
    <row r="34" spans="2:9">
      <c r="B34" s="807"/>
    </row>
    <row r="35" spans="2:9" ht="18" customHeight="1">
      <c r="B35" s="867" t="s">
        <v>31</v>
      </c>
      <c r="C35" s="419"/>
      <c r="D35" s="419"/>
      <c r="E35" s="419"/>
      <c r="F35" s="419"/>
    </row>
    <row r="36" spans="2:9" ht="18" customHeight="1">
      <c r="B36" s="867" t="s">
        <v>31</v>
      </c>
      <c r="C36" s="419"/>
      <c r="D36" s="419"/>
      <c r="E36" s="419"/>
      <c r="F36" s="419"/>
      <c r="I36" s="4" t="s">
        <v>31</v>
      </c>
    </row>
    <row r="37" spans="2:9" ht="18" customHeight="1">
      <c r="B37" s="809"/>
      <c r="C37" s="419"/>
      <c r="D37" s="419"/>
      <c r="E37" s="419"/>
      <c r="F37" s="419"/>
    </row>
    <row r="38" spans="2:9">
      <c r="B38" s="419"/>
      <c r="C38" s="419"/>
      <c r="D38" s="845"/>
      <c r="E38" s="419"/>
      <c r="F38" s="419"/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  <colBreaks count="1" manualBreakCount="1">
    <brk id="8" max="3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7"/>
  <sheetViews>
    <sheetView topLeftCell="A3" zoomScale="70" zoomScaleNormal="70" workbookViewId="0">
      <pane xSplit="3" ySplit="9" topLeftCell="D12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RowHeight="15.75"/>
  <cols>
    <col min="1" max="1" width="5.875" style="4" customWidth="1"/>
    <col min="2" max="2" width="15.5" style="4" customWidth="1"/>
    <col min="3" max="3" width="7.625" style="4" customWidth="1"/>
    <col min="4" max="6" width="13" style="4" customWidth="1"/>
    <col min="7" max="7" width="17.75" style="4" customWidth="1"/>
    <col min="8" max="8" width="11.5" style="4" bestFit="1" customWidth="1"/>
    <col min="9" max="9" width="13.75" style="4" bestFit="1" customWidth="1"/>
    <col min="10" max="11" width="17.75" style="4" customWidth="1"/>
    <col min="12" max="12" width="15.75" style="4" customWidth="1"/>
    <col min="13" max="13" width="18.25" style="4" customWidth="1"/>
    <col min="14" max="17" width="15.625" style="4" customWidth="1"/>
    <col min="18" max="18" width="13.875" style="4" bestFit="1" customWidth="1"/>
    <col min="19" max="19" width="9" style="4"/>
    <col min="20" max="21" width="14.625" style="4" bestFit="1" customWidth="1"/>
    <col min="22" max="24" width="11.125" style="4" bestFit="1" customWidth="1"/>
    <col min="25" max="25" width="9" style="4"/>
    <col min="26" max="26" width="10.375" style="4" customWidth="1"/>
    <col min="27" max="27" width="9" style="4"/>
    <col min="28" max="29" width="15.25" style="4" bestFit="1" customWidth="1"/>
    <col min="30" max="30" width="12.75" style="4" bestFit="1" customWidth="1"/>
    <col min="31" max="34" width="9" style="4"/>
    <col min="35" max="37" width="13.625" style="4" bestFit="1" customWidth="1"/>
    <col min="38" max="16384" width="9" style="4"/>
  </cols>
  <sheetData>
    <row r="1" spans="1:26">
      <c r="N1" s="868"/>
      <c r="O1" s="868"/>
      <c r="R1" s="4" t="s">
        <v>98</v>
      </c>
    </row>
    <row r="2" spans="1:26">
      <c r="R2" s="4" t="s">
        <v>174</v>
      </c>
    </row>
    <row r="3" spans="1:26" ht="18.75">
      <c r="A3" s="808" t="s">
        <v>760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7"/>
      <c r="T3" s="807"/>
      <c r="U3" s="807"/>
      <c r="V3" s="807"/>
      <c r="W3" s="419"/>
      <c r="X3" s="419"/>
      <c r="Y3" s="419"/>
      <c r="Z3" s="419"/>
    </row>
    <row r="4" spans="1:26" ht="18.75">
      <c r="A4" s="808"/>
      <c r="B4" s="809"/>
      <c r="C4" s="809"/>
      <c r="D4" s="809"/>
      <c r="E4" s="809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  <c r="R4" s="809"/>
      <c r="S4" s="807"/>
      <c r="T4" s="807"/>
      <c r="U4" s="807"/>
      <c r="V4" s="807"/>
      <c r="W4" s="419"/>
      <c r="X4" s="419"/>
      <c r="Y4" s="419"/>
      <c r="Z4" s="419"/>
    </row>
    <row r="5" spans="1:26" ht="18.75">
      <c r="A5" s="808" t="s">
        <v>2</v>
      </c>
      <c r="B5" s="809"/>
      <c r="C5" s="809"/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07"/>
      <c r="T5" s="807"/>
      <c r="U5" s="807"/>
      <c r="V5" s="807"/>
      <c r="W5" s="419"/>
      <c r="X5" s="419"/>
      <c r="Y5" s="419"/>
      <c r="Z5" s="419"/>
    </row>
    <row r="6" spans="1:26" ht="18.75">
      <c r="A6" s="808" t="str">
        <f>'305 Inputs'!B4</f>
        <v>12 Months Ended June 2012</v>
      </c>
      <c r="B6" s="809"/>
      <c r="C6" s="809"/>
      <c r="D6" s="809"/>
      <c r="E6" s="809"/>
      <c r="F6" s="809"/>
      <c r="G6" s="809"/>
      <c r="H6" s="809"/>
      <c r="I6" s="809"/>
      <c r="J6" s="809"/>
      <c r="K6" s="809"/>
      <c r="L6" s="809"/>
      <c r="M6" s="809"/>
      <c r="N6" s="809"/>
      <c r="O6" s="809"/>
      <c r="P6" s="809"/>
      <c r="Q6" s="809"/>
      <c r="R6" s="809"/>
      <c r="S6" s="807"/>
      <c r="T6" s="807"/>
      <c r="U6" s="869"/>
      <c r="V6" s="807"/>
      <c r="W6" s="419"/>
      <c r="X6" s="419"/>
      <c r="Y6" s="419"/>
      <c r="Z6" s="419"/>
    </row>
    <row r="7" spans="1:26" ht="18.75">
      <c r="A7" s="870"/>
      <c r="B7" s="811"/>
      <c r="C7" s="811"/>
      <c r="D7" s="811"/>
      <c r="E7" s="811"/>
      <c r="F7" s="811"/>
      <c r="G7" s="811"/>
      <c r="H7" s="811"/>
      <c r="I7" s="811"/>
      <c r="J7" s="811"/>
      <c r="K7" s="811"/>
      <c r="L7" s="811"/>
      <c r="M7" s="811"/>
      <c r="N7" s="811"/>
      <c r="O7" s="811"/>
      <c r="P7" s="811"/>
      <c r="Q7" s="811"/>
      <c r="R7" s="811"/>
      <c r="S7" s="807"/>
      <c r="T7" s="807"/>
      <c r="U7" s="869"/>
      <c r="V7" s="807"/>
      <c r="W7" s="419"/>
      <c r="X7" s="419"/>
      <c r="Y7" s="419"/>
      <c r="Z7" s="419"/>
    </row>
    <row r="8" spans="1:26" ht="18.75">
      <c r="A8" s="808"/>
      <c r="B8" s="809"/>
      <c r="C8" s="809"/>
      <c r="D8" s="811"/>
      <c r="E8" s="811"/>
      <c r="F8" s="811"/>
      <c r="G8" s="811"/>
      <c r="H8" s="811"/>
      <c r="I8" s="811"/>
      <c r="J8" s="811"/>
      <c r="K8" s="811" t="s">
        <v>729</v>
      </c>
      <c r="L8" s="811"/>
      <c r="M8" s="811"/>
      <c r="N8" s="811"/>
      <c r="O8" s="811"/>
      <c r="P8" s="811"/>
      <c r="Q8" s="811"/>
      <c r="R8" s="811"/>
      <c r="S8" s="807"/>
      <c r="T8" s="807"/>
      <c r="U8" s="869"/>
      <c r="V8" s="807"/>
      <c r="W8" s="419"/>
      <c r="X8" s="419"/>
      <c r="Y8" s="419"/>
      <c r="Z8" s="419"/>
    </row>
    <row r="9" spans="1:26" ht="18.75">
      <c r="A9" s="808"/>
      <c r="B9" s="809"/>
      <c r="C9" s="809"/>
      <c r="D9" s="811"/>
      <c r="E9" s="973"/>
      <c r="F9" s="24" t="s">
        <v>39</v>
      </c>
      <c r="G9" s="811"/>
      <c r="H9" s="811"/>
      <c r="I9" s="811"/>
      <c r="J9" s="820"/>
      <c r="K9" s="820" t="s">
        <v>12</v>
      </c>
      <c r="L9" s="820" t="s">
        <v>9</v>
      </c>
      <c r="M9" s="871"/>
      <c r="N9" s="811" t="s">
        <v>41</v>
      </c>
      <c r="O9" s="811" t="s">
        <v>729</v>
      </c>
      <c r="P9" s="811" t="s">
        <v>45</v>
      </c>
      <c r="Q9" s="811"/>
      <c r="R9" s="811"/>
      <c r="S9" s="809"/>
      <c r="T9" s="809"/>
      <c r="U9" s="810"/>
      <c r="V9" s="809"/>
      <c r="W9" s="419"/>
      <c r="X9" s="419"/>
      <c r="Y9" s="419"/>
      <c r="Z9" s="419"/>
    </row>
    <row r="10" spans="1:26" ht="19.5">
      <c r="A10" s="808"/>
      <c r="B10" s="809"/>
      <c r="C10" s="809"/>
      <c r="D10" s="820" t="s">
        <v>39</v>
      </c>
      <c r="E10" s="24"/>
      <c r="F10" s="24" t="s">
        <v>40</v>
      </c>
      <c r="G10" s="40" t="s">
        <v>41</v>
      </c>
      <c r="H10" s="24" t="s">
        <v>201</v>
      </c>
      <c r="I10" s="24" t="s">
        <v>814</v>
      </c>
      <c r="J10" s="40"/>
      <c r="K10" s="40" t="s">
        <v>178</v>
      </c>
      <c r="L10" s="40" t="s">
        <v>75</v>
      </c>
      <c r="M10" s="871" t="s">
        <v>14</v>
      </c>
      <c r="N10" s="40" t="s">
        <v>37</v>
      </c>
      <c r="O10" s="40" t="s">
        <v>761</v>
      </c>
      <c r="P10" s="40" t="s">
        <v>15</v>
      </c>
      <c r="Q10" s="811" t="s">
        <v>9</v>
      </c>
      <c r="R10" s="811" t="s">
        <v>14</v>
      </c>
      <c r="S10" s="809"/>
      <c r="T10" s="809"/>
      <c r="U10" s="810"/>
      <c r="V10" s="809"/>
      <c r="W10" s="419"/>
      <c r="X10" s="419"/>
      <c r="Y10" s="419"/>
      <c r="Z10" s="419"/>
    </row>
    <row r="11" spans="1:26">
      <c r="B11" s="5"/>
      <c r="C11" s="7"/>
      <c r="D11" s="27" t="s">
        <v>40</v>
      </c>
      <c r="E11" s="27" t="s">
        <v>44</v>
      </c>
      <c r="F11" s="27" t="s">
        <v>306</v>
      </c>
      <c r="G11" s="27" t="s">
        <v>81</v>
      </c>
      <c r="H11" s="27" t="s">
        <v>44</v>
      </c>
      <c r="I11" s="27" t="s">
        <v>15</v>
      </c>
      <c r="J11" s="27" t="s">
        <v>762</v>
      </c>
      <c r="K11" s="27" t="s">
        <v>81</v>
      </c>
      <c r="L11" s="27" t="s">
        <v>81</v>
      </c>
      <c r="M11" s="28" t="s">
        <v>81</v>
      </c>
      <c r="N11" s="27" t="s">
        <v>70</v>
      </c>
      <c r="O11" s="27" t="s">
        <v>70</v>
      </c>
      <c r="P11" s="27" t="s">
        <v>70</v>
      </c>
      <c r="Q11" s="27" t="s">
        <v>15</v>
      </c>
      <c r="R11" s="27" t="s">
        <v>1</v>
      </c>
    </row>
    <row r="12" spans="1:26" ht="15.75" customHeight="1">
      <c r="A12" s="5" t="s">
        <v>17</v>
      </c>
      <c r="B12" s="5"/>
      <c r="D12" s="9"/>
      <c r="E12" s="9"/>
      <c r="F12" s="9"/>
      <c r="G12" s="9"/>
      <c r="H12" s="9"/>
      <c r="I12" s="9"/>
      <c r="J12" s="9"/>
      <c r="K12" s="9"/>
      <c r="L12" s="9"/>
      <c r="M12" s="48"/>
      <c r="N12" s="7"/>
      <c r="O12" s="7"/>
      <c r="P12" s="7"/>
      <c r="Q12" s="7"/>
      <c r="V12" s="55"/>
    </row>
    <row r="13" spans="1:26" ht="15.75" customHeight="1">
      <c r="B13" s="4" t="s">
        <v>48</v>
      </c>
      <c r="D13" s="32">
        <f ca="1">SUMIF('305 Inputs'!$A$116:$A$142,"=16",'305 Inputs'!$J$116:$J$139)</f>
        <v>99826.416666666701</v>
      </c>
      <c r="E13" s="32">
        <f ca="1">F13-D13+D17</f>
        <v>322.33333333329455</v>
      </c>
      <c r="F13" s="32">
        <f>'Pages 4-11, All Other Schedules'!B99/12</f>
        <v>100110.58333333333</v>
      </c>
      <c r="G13" s="32">
        <f ca="1">SUMIF('305 Inputs'!$A$116:$A$142,"=16",'305 Inputs'!$H$116:$H$140)</f>
        <v>1538101036</v>
      </c>
      <c r="H13" s="32">
        <f ca="1">'Normalized Monthly kWh'!AC6</f>
        <v>-98559.970767906168</v>
      </c>
      <c r="I13" s="32">
        <f ca="1">'305 VS COGNOS kWh'!E7+'305 VS COGNOS kWh'!K7+'305 VS COGNOS kWh'!E11+'305 VS COGNOS kWh'!K11+G17</f>
        <v>710611</v>
      </c>
      <c r="J13" s="32">
        <v>0</v>
      </c>
      <c r="K13" s="32">
        <f>Temperature!B22*1000</f>
        <v>-2709729.2351466403</v>
      </c>
      <c r="L13" s="32">
        <f ca="1">H13+I13+J13+K13</f>
        <v>-2097678.2059145467</v>
      </c>
      <c r="M13" s="92">
        <f t="shared" ref="M13:M18" ca="1" si="0">G13+L13</f>
        <v>1536003357.7940855</v>
      </c>
      <c r="N13" s="29">
        <f ca="1">'Table 3'!D13</f>
        <v>125325860.86</v>
      </c>
      <c r="O13" s="29">
        <f ca="1">'Table 3'!K13</f>
        <v>1846696.8905515193</v>
      </c>
      <c r="P13" s="29">
        <f>'Table 3'!O13</f>
        <v>1876009.8084409982</v>
      </c>
      <c r="Q13" s="29">
        <f ca="1">O13+P13</f>
        <v>3722706.6989925178</v>
      </c>
      <c r="R13" s="29">
        <f t="shared" ref="R13:R18" ca="1" si="1">+Q13+N13</f>
        <v>129048567.55899252</v>
      </c>
      <c r="T13" s="8"/>
      <c r="U13" s="8"/>
      <c r="V13" s="55"/>
    </row>
    <row r="14" spans="1:26" ht="15.75" customHeight="1">
      <c r="B14" s="4" t="s">
        <v>93</v>
      </c>
      <c r="D14" s="32">
        <f ca="1">SUMIF('305 Inputs'!$A$116:$A$142,"=17",'305 Inputs'!$J$116:$J$139)</f>
        <v>4053.9166666666702</v>
      </c>
      <c r="E14" s="32">
        <f t="shared" ref="E14:E18" ca="1" si="2">F14-D14</f>
        <v>28.64444444443825</v>
      </c>
      <c r="F14" s="32">
        <f>'Pages 4-11, All Other Schedules'!B114/12</f>
        <v>4082.5611111111084</v>
      </c>
      <c r="G14" s="32">
        <f ca="1">SUMIF('305 Inputs'!$A$116:$A$142,"=17",'305 Inputs'!$H$116:$H$140)</f>
        <v>63258258</v>
      </c>
      <c r="H14" s="32">
        <f ca="1">'Normalized Monthly kWh'!AC7</f>
        <v>-4050.066849352972</v>
      </c>
      <c r="I14" s="32">
        <f>'305 VS COGNOS kWh'!E8+'305 VS COGNOS kWh'!K8</f>
        <v>-24777</v>
      </c>
      <c r="J14" s="32">
        <v>0</v>
      </c>
      <c r="K14" s="32">
        <f>Temperature!B40*1000</f>
        <v>-71318.653570129405</v>
      </c>
      <c r="L14" s="32">
        <f t="shared" ref="L14:L18" ca="1" si="3">H14+I14+J14+K14</f>
        <v>-100145.72041948239</v>
      </c>
      <c r="M14" s="92">
        <f t="shared" ca="1" si="0"/>
        <v>63158112.279580519</v>
      </c>
      <c r="N14" s="29">
        <f ca="1">'Table 3'!D14</f>
        <v>5132896.51</v>
      </c>
      <c r="O14" s="29">
        <f ca="1">'Table 3'!K14</f>
        <v>68995.363358946619</v>
      </c>
      <c r="P14" s="29">
        <f>'Table 3'!O14</f>
        <v>77071.359964970499</v>
      </c>
      <c r="Q14" s="29">
        <f t="shared" ref="Q14:Q18" ca="1" si="4">O14+P14</f>
        <v>146066.72332391713</v>
      </c>
      <c r="R14" s="29">
        <f t="shared" ca="1" si="1"/>
        <v>5278963.2333239168</v>
      </c>
      <c r="T14" s="8"/>
      <c r="U14" s="8"/>
      <c r="V14" s="55"/>
    </row>
    <row r="15" spans="1:26" ht="15.75" customHeight="1">
      <c r="B15" s="4" t="s">
        <v>49</v>
      </c>
      <c r="D15" s="32">
        <f ca="1">SUMIF('305 Inputs'!$A$116:$A$142,"=18",'305 Inputs'!$J$116:$J$139)</f>
        <v>85.5833333333333</v>
      </c>
      <c r="E15" s="32">
        <f t="shared" ca="1" si="2"/>
        <v>8.3333333333371229E-2</v>
      </c>
      <c r="F15" s="32">
        <f>'Pages 4-11, All Other Schedules'!B129/12</f>
        <v>85.666666666666671</v>
      </c>
      <c r="G15" s="32">
        <f ca="1">SUMIF('305 Inputs'!$A$116:$A$142,"=18",'305 Inputs'!$H$116:$H$140)</f>
        <v>2216109</v>
      </c>
      <c r="H15" s="32">
        <f ca="1">'Normalized Monthly kWh'!AC8</f>
        <v>-141.94975056245792</v>
      </c>
      <c r="I15" s="32">
        <f>'305 VS COGNOS kWh'!E9+'305 VS COGNOS kWh'!K9</f>
        <v>145</v>
      </c>
      <c r="J15" s="32">
        <v>0</v>
      </c>
      <c r="K15" s="32">
        <f>Temperature!B58*1000</f>
        <v>-3150.4652189124149</v>
      </c>
      <c r="L15" s="32">
        <f t="shared" ca="1" si="3"/>
        <v>-3147.414969474873</v>
      </c>
      <c r="M15" s="92">
        <f t="shared" ca="1" si="0"/>
        <v>2212961.585030525</v>
      </c>
      <c r="N15" s="29">
        <f ca="1">'Table 3'!D15</f>
        <v>198963.66999999998</v>
      </c>
      <c r="O15" s="29">
        <f ca="1">'Table 3'!K15</f>
        <v>2595.5443078755638</v>
      </c>
      <c r="P15" s="29">
        <f>'Table 3'!O15</f>
        <v>2905.5092949999962</v>
      </c>
      <c r="Q15" s="29">
        <f t="shared" ca="1" si="4"/>
        <v>5501.0536028755596</v>
      </c>
      <c r="R15" s="29">
        <f t="shared" ca="1" si="1"/>
        <v>204464.72360287554</v>
      </c>
      <c r="T15" s="8"/>
      <c r="U15" s="8"/>
      <c r="V15" s="55"/>
    </row>
    <row r="16" spans="1:26" ht="15.75" customHeight="1">
      <c r="B16" s="7" t="s">
        <v>164</v>
      </c>
      <c r="D16" s="32">
        <f ca="1">SUMIF('305 Inputs'!$A$116:$A$142,"=18x",'305 Inputs'!$J$116:$J$139)</f>
        <v>18.0833333333333</v>
      </c>
      <c r="E16" s="32">
        <f t="shared" ca="1" si="2"/>
        <v>8.3333333333367676E-2</v>
      </c>
      <c r="F16" s="32">
        <f>'Pages 4-11, All Other Schedules'!B144/12</f>
        <v>18.166666666666668</v>
      </c>
      <c r="G16" s="32">
        <f ca="1">SUMIF('305 Inputs'!$A$116:$A$142,"=18x",'305 Inputs'!$H$116:$H$140)</f>
        <v>433385</v>
      </c>
      <c r="H16" s="32">
        <f ca="1">'Normalized Monthly kWh'!AC9</f>
        <v>-27.758051490267285</v>
      </c>
      <c r="I16" s="32">
        <f>'305 VS COGNOS kWh'!E10+'305 VS COGNOS kWh'!K10</f>
        <v>0</v>
      </c>
      <c r="J16" s="32">
        <v>0</v>
      </c>
      <c r="K16" s="32">
        <v>0</v>
      </c>
      <c r="L16" s="32">
        <f t="shared" ca="1" si="3"/>
        <v>-27.758051490267285</v>
      </c>
      <c r="M16" s="92">
        <f t="shared" ca="1" si="0"/>
        <v>433357.24194850971</v>
      </c>
      <c r="N16" s="29">
        <f ca="1">'Table 3'!D16</f>
        <v>38188.21</v>
      </c>
      <c r="O16" s="29">
        <f ca="1">'Table 3'!K16</f>
        <v>544.84864020453119</v>
      </c>
      <c r="P16" s="29">
        <f>'Table 3'!O16</f>
        <v>558.7282600000035</v>
      </c>
      <c r="Q16" s="29">
        <f t="shared" ca="1" si="4"/>
        <v>1103.5769002045347</v>
      </c>
      <c r="R16" s="29">
        <f t="shared" ca="1" si="1"/>
        <v>39291.786900204534</v>
      </c>
      <c r="T16" s="8"/>
      <c r="U16" s="8"/>
      <c r="V16" s="55"/>
    </row>
    <row r="17" spans="2:22" ht="15.75" customHeight="1">
      <c r="B17" s="7" t="s">
        <v>252</v>
      </c>
      <c r="D17" s="32">
        <f ca="1">SUMIF('305 Inputs'!$A$116:$A$142,"=135",'305 Inputs'!$J$116:$J$139)</f>
        <v>38.1666666666667</v>
      </c>
      <c r="E17" s="32">
        <f ca="1">-D17</f>
        <v>-38.1666666666667</v>
      </c>
      <c r="F17" s="32">
        <f>0</f>
        <v>0</v>
      </c>
      <c r="G17" s="32">
        <f ca="1">SUMIF('305 Inputs'!$A$116:$A$142,"=135",'305 Inputs'!$H$116:$H$140)</f>
        <v>655942</v>
      </c>
      <c r="H17" s="32">
        <v>0</v>
      </c>
      <c r="I17" s="32">
        <f ca="1">-G17</f>
        <v>-655942</v>
      </c>
      <c r="J17" s="32">
        <v>0</v>
      </c>
      <c r="K17" s="32">
        <v>0</v>
      </c>
      <c r="L17" s="32">
        <f t="shared" ca="1" si="3"/>
        <v>-655942</v>
      </c>
      <c r="M17" s="92">
        <f t="shared" ca="1" si="0"/>
        <v>0</v>
      </c>
      <c r="N17" s="29">
        <f ca="1">'Table 3'!D17</f>
        <v>56509.43</v>
      </c>
      <c r="O17" s="29">
        <f ca="1">'Table 3'!K17</f>
        <v>-56509.628884999998</v>
      </c>
      <c r="P17" s="29">
        <f>'Table 3'!O17</f>
        <v>0</v>
      </c>
      <c r="Q17" s="29">
        <f t="shared" ca="1" si="4"/>
        <v>-56509.628884999998</v>
      </c>
      <c r="R17" s="29">
        <f t="shared" ca="1" si="1"/>
        <v>-0.19888499999797205</v>
      </c>
      <c r="T17" s="8"/>
      <c r="U17" s="8"/>
      <c r="V17" s="55"/>
    </row>
    <row r="18" spans="2:22" ht="15.75" customHeight="1">
      <c r="B18" s="7" t="s">
        <v>763</v>
      </c>
      <c r="D18" s="93">
        <f ca="1">SUMIF('305 Inputs'!$A$116:$A$142,"=24",'305 Inputs'!$J$116:$J$139)</f>
        <v>258.41666666666703</v>
      </c>
      <c r="E18" s="93">
        <f t="shared" ca="1" si="2"/>
        <v>249.291666666666</v>
      </c>
      <c r="F18" s="93">
        <f>'Pages 4-11, All Other Schedules'!B240/12</f>
        <v>507.70833333333303</v>
      </c>
      <c r="G18" s="93">
        <f ca="1">SUMIF('305 Inputs'!$A$116:$A$142,"=24",'305 Inputs'!$H$116:$H$140)</f>
        <v>1020058</v>
      </c>
      <c r="H18" s="93">
        <f ca="1">'Normalized Monthly kWh'!AC11</f>
        <v>-151.59181207680737</v>
      </c>
      <c r="I18" s="93">
        <f>'305 VS COGNOS kWh'!E13+'305 VS COGNOS kWh'!K13+'Schedule 24 BD'!$H$36-'Schedule 24 BD'!$G$36</f>
        <v>1346737</v>
      </c>
      <c r="J18" s="93">
        <v>0</v>
      </c>
      <c r="K18" s="93">
        <f>Temperature!O75*1000</f>
        <v>-8931.3444356592681</v>
      </c>
      <c r="L18" s="93">
        <f t="shared" ca="1" si="3"/>
        <v>1337654.063752264</v>
      </c>
      <c r="M18" s="94">
        <f t="shared" ca="1" si="0"/>
        <v>2357712.0637522638</v>
      </c>
      <c r="N18" s="31">
        <f ca="1">'Table 3'!D18</f>
        <v>116718.63</v>
      </c>
      <c r="O18" s="31">
        <f ca="1">'Table 3'!K18</f>
        <v>151191.46621653525</v>
      </c>
      <c r="P18" s="31">
        <f>'Table 3'!O18</f>
        <v>3795.4599999999919</v>
      </c>
      <c r="Q18" s="31">
        <f t="shared" ca="1" si="4"/>
        <v>154986.92621653524</v>
      </c>
      <c r="R18" s="31">
        <f t="shared" ca="1" si="1"/>
        <v>271705.55621653527</v>
      </c>
      <c r="T18" s="8"/>
      <c r="U18" s="8"/>
      <c r="V18" s="55"/>
    </row>
    <row r="19" spans="2:22" ht="15.75" customHeight="1">
      <c r="B19" s="7" t="s">
        <v>35</v>
      </c>
      <c r="C19" s="11"/>
      <c r="D19" s="32">
        <f t="shared" ref="D19:N19" ca="1" si="5">SUM(D13:D18)</f>
        <v>104280.58333333337</v>
      </c>
      <c r="E19" s="32">
        <f t="shared" ca="1" si="5"/>
        <v>562.26944444439891</v>
      </c>
      <c r="F19" s="32">
        <f t="shared" si="5"/>
        <v>104804.68611111111</v>
      </c>
      <c r="G19" s="32">
        <f t="shared" ca="1" si="5"/>
        <v>1605684788</v>
      </c>
      <c r="H19" s="32">
        <f t="shared" ca="1" si="5"/>
        <v>-102931.33723138866</v>
      </c>
      <c r="I19" s="32">
        <f t="shared" ca="1" si="5"/>
        <v>1376774</v>
      </c>
      <c r="J19" s="32">
        <f t="shared" si="5"/>
        <v>0</v>
      </c>
      <c r="K19" s="32">
        <f t="shared" si="5"/>
        <v>-2793129.6983713415</v>
      </c>
      <c r="L19" s="32">
        <f t="shared" ca="1" si="5"/>
        <v>-1519287.0356027305</v>
      </c>
      <c r="M19" s="92">
        <f t="shared" ca="1" si="5"/>
        <v>1604165500.9643974</v>
      </c>
      <c r="N19" s="29">
        <f t="shared" ca="1" si="5"/>
        <v>130869137.31</v>
      </c>
      <c r="O19" s="29">
        <f t="shared" ref="O19:R19" ca="1" si="6">SUM(O13:O18)</f>
        <v>2013514.4841900815</v>
      </c>
      <c r="P19" s="29">
        <f t="shared" si="6"/>
        <v>1960340.8659609687</v>
      </c>
      <c r="Q19" s="29">
        <f t="shared" ca="1" si="6"/>
        <v>3973855.3501510504</v>
      </c>
      <c r="R19" s="29">
        <f t="shared" ca="1" si="6"/>
        <v>134842992.66015103</v>
      </c>
      <c r="T19" s="8"/>
      <c r="U19" s="8"/>
      <c r="V19" s="55"/>
    </row>
    <row r="20" spans="2:22" ht="15.75" customHeight="1">
      <c r="B20" s="7"/>
      <c r="C20" s="11"/>
      <c r="D20" s="9"/>
      <c r="E20" s="9"/>
      <c r="F20" s="9"/>
      <c r="G20" s="9"/>
      <c r="H20" s="9"/>
      <c r="I20" s="9"/>
      <c r="J20" s="9"/>
      <c r="K20" s="9"/>
      <c r="L20" s="9"/>
      <c r="M20" s="48"/>
      <c r="N20" s="29"/>
      <c r="O20" s="29"/>
      <c r="P20" s="29"/>
      <c r="Q20" s="29"/>
      <c r="R20" s="8"/>
      <c r="T20" s="8"/>
      <c r="U20" s="8"/>
      <c r="V20" s="55"/>
    </row>
    <row r="21" spans="2:22" ht="15.75" customHeight="1">
      <c r="B21" s="4" t="s">
        <v>50</v>
      </c>
      <c r="C21" s="11"/>
      <c r="D21" s="93">
        <f ca="1">SUMIF('305 Inputs'!$A$116:$A$142,"=15r",'305 Inputs'!$J$116:$J$139)</f>
        <v>1156.6666666666699</v>
      </c>
      <c r="E21" s="93">
        <f ca="1">F21-D21+D25</f>
        <v>7.4999999999968168</v>
      </c>
      <c r="F21" s="93">
        <f>'Pages 4-11, All Other Schedules'!B38/12</f>
        <v>1164.1666666666667</v>
      </c>
      <c r="G21" s="93">
        <f ca="1">SUMIF('305 Inputs'!$A$116:$A$142,"=15r",'305 Inputs'!$H$116:$H$140)</f>
        <v>1071989</v>
      </c>
      <c r="H21" s="93">
        <f ca="1">'Normalized Monthly kWh'!AC10</f>
        <v>-68.662768611323841</v>
      </c>
      <c r="I21" s="93">
        <f>'305 VS COGNOS kWh'!E12+'305 VS COGNOS kWh'!K12</f>
        <v>39</v>
      </c>
      <c r="J21" s="93">
        <v>0</v>
      </c>
      <c r="K21" s="93">
        <v>0</v>
      </c>
      <c r="L21" s="93">
        <f ca="1">H21+I21+J21+K21</f>
        <v>-29.662768611323841</v>
      </c>
      <c r="M21" s="94">
        <f ca="1">G21+L21</f>
        <v>1071959.3372313888</v>
      </c>
      <c r="N21" s="90">
        <f ca="1">'Table 3'!D21</f>
        <v>155164</v>
      </c>
      <c r="O21" s="31">
        <f ca="1">'Table 3'!K21</f>
        <v>1728.4798489498276</v>
      </c>
      <c r="P21" s="31">
        <f>'Table 3'!O21</f>
        <v>-4.6199999999953434</v>
      </c>
      <c r="Q21" s="31">
        <f ca="1">O21+P21</f>
        <v>1723.8598489498322</v>
      </c>
      <c r="R21" s="31">
        <f ca="1">+Q21+N21</f>
        <v>156887.85984894983</v>
      </c>
      <c r="T21" s="8"/>
      <c r="U21" s="8"/>
      <c r="V21" s="55"/>
    </row>
    <row r="22" spans="2:22" ht="15.75" customHeight="1">
      <c r="B22" s="4" t="s">
        <v>35</v>
      </c>
      <c r="D22" s="32">
        <f ca="1">SUM(D21:D21)</f>
        <v>1156.6666666666699</v>
      </c>
      <c r="E22" s="32">
        <f ca="1">SUM(E21:E21)</f>
        <v>7.4999999999968168</v>
      </c>
      <c r="F22" s="32">
        <f>SUM(F21:F21)</f>
        <v>1164.1666666666667</v>
      </c>
      <c r="G22" s="32">
        <f t="shared" ref="G22:R22" ca="1" si="7">SUM(G21:G21)</f>
        <v>1071989</v>
      </c>
      <c r="H22" s="32">
        <f t="shared" ca="1" si="7"/>
        <v>-68.662768611323841</v>
      </c>
      <c r="I22" s="32">
        <f t="shared" si="7"/>
        <v>39</v>
      </c>
      <c r="J22" s="32">
        <f t="shared" si="7"/>
        <v>0</v>
      </c>
      <c r="K22" s="32">
        <f t="shared" si="7"/>
        <v>0</v>
      </c>
      <c r="L22" s="32">
        <f t="shared" ca="1" si="7"/>
        <v>-29.662768611323841</v>
      </c>
      <c r="M22" s="92">
        <f t="shared" ca="1" si="7"/>
        <v>1071959.3372313888</v>
      </c>
      <c r="N22" s="29">
        <f t="shared" ca="1" si="7"/>
        <v>155164</v>
      </c>
      <c r="O22" s="29">
        <f t="shared" ca="1" si="7"/>
        <v>1728.4798489498276</v>
      </c>
      <c r="P22" s="29">
        <f t="shared" si="7"/>
        <v>-4.6199999999953434</v>
      </c>
      <c r="Q22" s="29">
        <f t="shared" ca="1" si="7"/>
        <v>1723.8598489498322</v>
      </c>
      <c r="R22" s="29">
        <f t="shared" ca="1" si="7"/>
        <v>156887.85984894983</v>
      </c>
      <c r="T22" s="12"/>
      <c r="U22" s="12"/>
      <c r="V22" s="16"/>
    </row>
    <row r="23" spans="2:22" ht="15.75" customHeight="1">
      <c r="D23" s="9"/>
      <c r="E23" s="9"/>
      <c r="F23" s="9"/>
      <c r="G23" s="9"/>
      <c r="H23" s="9"/>
      <c r="I23" s="9"/>
      <c r="J23" s="9"/>
      <c r="K23" s="9"/>
      <c r="L23" s="9"/>
      <c r="M23" s="48"/>
      <c r="N23" s="29"/>
      <c r="O23" s="29"/>
      <c r="P23" s="29"/>
      <c r="Q23" s="29"/>
      <c r="R23" s="29"/>
      <c r="T23" s="12"/>
      <c r="U23" s="12"/>
      <c r="V23" s="16"/>
    </row>
    <row r="24" spans="2:22" s="11" customFormat="1" ht="15.75" customHeight="1">
      <c r="B24" s="4" t="s">
        <v>34</v>
      </c>
      <c r="D24" s="93">
        <v>0</v>
      </c>
      <c r="E24" s="93"/>
      <c r="F24" s="93"/>
      <c r="G24" s="93">
        <f ca="1">SUMIF('305 Inputs'!$A$116:$A$142,"=aga",'305 Inputs'!$H$116:$H$140)</f>
        <v>0</v>
      </c>
      <c r="H24" s="93"/>
      <c r="I24" s="93"/>
      <c r="J24" s="93">
        <v>0</v>
      </c>
      <c r="K24" s="93">
        <v>0</v>
      </c>
      <c r="L24" s="93">
        <f>K24</f>
        <v>0</v>
      </c>
      <c r="M24" s="94">
        <f ca="1">G24+L24</f>
        <v>0</v>
      </c>
      <c r="N24" s="31">
        <f ca="1">'Table 3'!D24</f>
        <v>359.04999999999995</v>
      </c>
      <c r="O24" s="31">
        <f>'Table 3'!K24</f>
        <v>0</v>
      </c>
      <c r="P24" s="31">
        <f ca="1">'Table 3'!O24</f>
        <v>0</v>
      </c>
      <c r="Q24" s="31">
        <f ca="1">O24+P24</f>
        <v>0</v>
      </c>
      <c r="R24" s="31">
        <f ca="1">+Q24+N24</f>
        <v>359.04999999999995</v>
      </c>
      <c r="T24" s="12"/>
      <c r="U24" s="12"/>
      <c r="V24" s="16"/>
    </row>
    <row r="25" spans="2:22" s="11" customFormat="1" ht="15.75" customHeight="1">
      <c r="B25" s="4"/>
      <c r="D25" s="93"/>
      <c r="E25" s="93"/>
      <c r="F25" s="93"/>
      <c r="G25" s="32"/>
      <c r="H25" s="32"/>
      <c r="I25" s="32"/>
      <c r="J25" s="32"/>
      <c r="K25" s="93"/>
      <c r="L25" s="93"/>
      <c r="M25" s="94"/>
      <c r="N25" s="31"/>
      <c r="O25" s="31"/>
      <c r="P25" s="31"/>
      <c r="Q25" s="31"/>
      <c r="R25" s="31"/>
      <c r="T25" s="12"/>
      <c r="U25" s="12"/>
      <c r="V25" s="16"/>
    </row>
    <row r="26" spans="2:22" s="11" customFormat="1" ht="15.75" customHeight="1">
      <c r="B26" s="4" t="s">
        <v>679</v>
      </c>
      <c r="D26" s="93">
        <f ca="1">SUMIF('305 Inputs'!$A$116:$A$142,"=def",'305 Inputs'!$J$116:$J$139)</f>
        <v>0</v>
      </c>
      <c r="E26" s="93"/>
      <c r="F26" s="93"/>
      <c r="G26" s="93">
        <f ca="1">SUMIF('305 Inputs'!$A$116:$A$142,"=def",'305 Inputs'!$H$116:$H$140)</f>
        <v>0</v>
      </c>
      <c r="H26" s="93"/>
      <c r="I26" s="93"/>
      <c r="J26" s="93">
        <v>0</v>
      </c>
      <c r="K26" s="93">
        <v>0</v>
      </c>
      <c r="L26" s="93">
        <v>0</v>
      </c>
      <c r="M26" s="94">
        <v>0</v>
      </c>
      <c r="N26" s="31">
        <f ca="1">'Table 3'!D26</f>
        <v>-1320000</v>
      </c>
      <c r="O26" s="31">
        <f ca="1">'Table 3'!K26</f>
        <v>1320000</v>
      </c>
      <c r="P26" s="31">
        <f ca="1">'Table 3'!O26</f>
        <v>0</v>
      </c>
      <c r="Q26" s="31">
        <f ca="1">O26+P26</f>
        <v>1320000</v>
      </c>
      <c r="R26" s="31">
        <f t="shared" ref="R26:R34" ca="1" si="8">+Q26+N26</f>
        <v>0</v>
      </c>
      <c r="T26" s="12"/>
      <c r="U26" s="12"/>
      <c r="V26" s="16"/>
    </row>
    <row r="27" spans="2:22" ht="15.75" customHeight="1">
      <c r="B27" s="4" t="s">
        <v>764</v>
      </c>
      <c r="D27" s="93">
        <f ca="1">SUMIF('305 Inputs'!$A$116:$A$142,"=rev",'305 Inputs'!$J$116:$J$139)</f>
        <v>0</v>
      </c>
      <c r="E27" s="93"/>
      <c r="F27" s="93"/>
      <c r="G27" s="93">
        <f ca="1">SUMIF('305 Inputs'!$A$116:$A$142,"=rev",'305 Inputs'!$H$116:$H$140)</f>
        <v>0</v>
      </c>
      <c r="H27" s="93"/>
      <c r="I27" s="93"/>
      <c r="J27" s="93">
        <v>0</v>
      </c>
      <c r="K27" s="93">
        <v>0</v>
      </c>
      <c r="L27" s="93">
        <v>0</v>
      </c>
      <c r="M27" s="94">
        <v>0</v>
      </c>
      <c r="N27" s="31">
        <f ca="1">'Table 3'!D27</f>
        <v>-6017241.4900000002</v>
      </c>
      <c r="O27" s="31">
        <f ca="1">'Table 3'!K27</f>
        <v>6017241.4900000002</v>
      </c>
      <c r="P27" s="31">
        <f ca="1">'Table 3'!O27</f>
        <v>0</v>
      </c>
      <c r="Q27" s="31">
        <f t="shared" ref="Q27:Q36" ca="1" si="9">O27+P27</f>
        <v>6017241.4900000002</v>
      </c>
      <c r="R27" s="31">
        <f t="shared" ca="1" si="8"/>
        <v>0</v>
      </c>
      <c r="T27" s="12"/>
      <c r="U27" s="12"/>
      <c r="V27" s="16"/>
    </row>
    <row r="28" spans="2:22" s="11" customFormat="1" ht="15.75" customHeight="1">
      <c r="B28" s="4" t="s">
        <v>241</v>
      </c>
      <c r="D28" s="93">
        <v>0</v>
      </c>
      <c r="E28" s="93"/>
      <c r="F28" s="93"/>
      <c r="G28" s="93">
        <f ca="1">SUMIF('305 Inputs'!$A$116:$A$142,"=acq",'305 Inputs'!$H$116:$H$140)</f>
        <v>0</v>
      </c>
      <c r="H28" s="93"/>
      <c r="I28" s="93"/>
      <c r="J28" s="93">
        <v>0</v>
      </c>
      <c r="K28" s="93">
        <v>0</v>
      </c>
      <c r="L28" s="93">
        <f t="shared" ref="L28:L34" si="10">K28</f>
        <v>0</v>
      </c>
      <c r="M28" s="94">
        <f t="shared" ref="M28:M34" ca="1" si="11">G28+L28</f>
        <v>0</v>
      </c>
      <c r="N28" s="31">
        <f ca="1">'Table 3'!D28</f>
        <v>0</v>
      </c>
      <c r="O28" s="31">
        <f ca="1">'Table 3'!K28</f>
        <v>0</v>
      </c>
      <c r="P28" s="31">
        <f ca="1">'Table 3'!O28</f>
        <v>0</v>
      </c>
      <c r="Q28" s="31">
        <f t="shared" ca="1" si="9"/>
        <v>0</v>
      </c>
      <c r="R28" s="31">
        <f t="shared" ca="1" si="8"/>
        <v>0</v>
      </c>
      <c r="T28" s="12"/>
      <c r="U28" s="12"/>
      <c r="V28" s="16"/>
    </row>
    <row r="29" spans="2:22" s="11" customFormat="1" ht="15.75" customHeight="1">
      <c r="B29" s="4" t="s">
        <v>165</v>
      </c>
      <c r="D29" s="93">
        <v>0</v>
      </c>
      <c r="E29" s="93"/>
      <c r="F29" s="93"/>
      <c r="G29" s="93">
        <f ca="1">SUMIF('305 Inputs'!$A$116:$A$142,"=cent",'305 Inputs'!$H$116:$H$140)</f>
        <v>0</v>
      </c>
      <c r="H29" s="93"/>
      <c r="I29" s="93"/>
      <c r="J29" s="93">
        <v>0</v>
      </c>
      <c r="K29" s="93">
        <v>0</v>
      </c>
      <c r="L29" s="93">
        <f t="shared" si="10"/>
        <v>0</v>
      </c>
      <c r="M29" s="94">
        <f t="shared" ca="1" si="11"/>
        <v>0</v>
      </c>
      <c r="N29" s="31">
        <f ca="1">'Table 3'!D29</f>
        <v>0.5</v>
      </c>
      <c r="O29" s="31">
        <f ca="1">'Table 3'!K29</f>
        <v>-0.5</v>
      </c>
      <c r="P29" s="31">
        <f ca="1">'Table 3'!O29</f>
        <v>0</v>
      </c>
      <c r="Q29" s="31">
        <f t="shared" ca="1" si="9"/>
        <v>-0.5</v>
      </c>
      <c r="R29" s="31">
        <f t="shared" ca="1" si="8"/>
        <v>0</v>
      </c>
      <c r="T29" s="12"/>
      <c r="U29" s="12"/>
      <c r="V29" s="16"/>
    </row>
    <row r="30" spans="2:22" s="11" customFormat="1" ht="15.75" customHeight="1">
      <c r="B30" s="4" t="s">
        <v>179</v>
      </c>
      <c r="D30" s="93">
        <v>0</v>
      </c>
      <c r="E30" s="93"/>
      <c r="F30" s="93"/>
      <c r="G30" s="93">
        <f ca="1">SUMIF('305 Inputs'!$A$116:$A$142,"=merger",'305 Inputs'!$H$116:$H$140)</f>
        <v>0</v>
      </c>
      <c r="H30" s="93"/>
      <c r="I30" s="93"/>
      <c r="J30" s="93">
        <v>0</v>
      </c>
      <c r="K30" s="93">
        <v>0</v>
      </c>
      <c r="L30" s="93">
        <f t="shared" si="10"/>
        <v>0</v>
      </c>
      <c r="M30" s="94">
        <f t="shared" ca="1" si="11"/>
        <v>0</v>
      </c>
      <c r="N30" s="31">
        <f ca="1">'Table 3'!D30</f>
        <v>0.33</v>
      </c>
      <c r="O30" s="31">
        <f ca="1">'Table 3'!K30</f>
        <v>-0.33</v>
      </c>
      <c r="P30" s="31">
        <f ca="1">'Table 3'!O30</f>
        <v>0</v>
      </c>
      <c r="Q30" s="31">
        <f t="shared" ca="1" si="9"/>
        <v>-0.33</v>
      </c>
      <c r="R30" s="31">
        <f t="shared" ca="1" si="8"/>
        <v>0</v>
      </c>
      <c r="T30" s="12"/>
      <c r="U30" s="12"/>
      <c r="V30" s="16"/>
    </row>
    <row r="31" spans="2:22" s="11" customFormat="1" ht="15.75" customHeight="1">
      <c r="B31" s="4" t="s">
        <v>773</v>
      </c>
      <c r="D31" s="93">
        <v>0</v>
      </c>
      <c r="E31" s="93"/>
      <c r="F31" s="93"/>
      <c r="G31" s="93">
        <f ca="1">SUMIF('305 Inputs'!$A$116:$A$142,"=merger",'305 Inputs'!$H$116:$H$140)</f>
        <v>0</v>
      </c>
      <c r="H31" s="93"/>
      <c r="I31" s="93"/>
      <c r="J31" s="93">
        <v>0</v>
      </c>
      <c r="K31" s="93">
        <v>0</v>
      </c>
      <c r="L31" s="93">
        <f t="shared" si="10"/>
        <v>0</v>
      </c>
      <c r="M31" s="94">
        <f t="shared" ca="1" si="11"/>
        <v>0</v>
      </c>
      <c r="N31" s="31">
        <f ca="1">'Table 3'!D31</f>
        <v>2249460.66</v>
      </c>
      <c r="O31" s="31">
        <f ca="1">'Table 3'!K31</f>
        <v>-2249460.66</v>
      </c>
      <c r="P31" s="31">
        <f ca="1">'Table 3'!O31</f>
        <v>0</v>
      </c>
      <c r="Q31" s="31">
        <f t="shared" ref="Q31" ca="1" si="12">O31+P31</f>
        <v>-2249460.66</v>
      </c>
      <c r="R31" s="31">
        <f t="shared" ref="R31" ca="1" si="13">+Q31+N31</f>
        <v>0</v>
      </c>
      <c r="T31" s="12"/>
      <c r="U31" s="12"/>
      <c r="V31" s="16"/>
    </row>
    <row r="32" spans="2:22" s="11" customFormat="1" ht="15.75" customHeight="1">
      <c r="B32" s="4" t="s">
        <v>774</v>
      </c>
      <c r="D32" s="93">
        <v>0</v>
      </c>
      <c r="E32" s="93"/>
      <c r="F32" s="93"/>
      <c r="G32" s="93">
        <f ca="1">SUMIF('305 Inputs'!$A$116:$A$142,"=merger",'305 Inputs'!$H$116:$H$140)</f>
        <v>0</v>
      </c>
      <c r="H32" s="93"/>
      <c r="I32" s="93"/>
      <c r="J32" s="93">
        <v>0</v>
      </c>
      <c r="K32" s="93">
        <v>0</v>
      </c>
      <c r="L32" s="93">
        <f t="shared" si="10"/>
        <v>0</v>
      </c>
      <c r="M32" s="94">
        <f t="shared" ca="1" si="11"/>
        <v>0</v>
      </c>
      <c r="N32" s="31">
        <f ca="1">'Table 3'!D32</f>
        <v>15127.85</v>
      </c>
      <c r="O32" s="31">
        <f ca="1">'Table 3'!K32</f>
        <v>-15127.85</v>
      </c>
      <c r="P32" s="31">
        <f ca="1">'Table 3'!O32</f>
        <v>0</v>
      </c>
      <c r="Q32" s="31">
        <f t="shared" ref="Q32" ca="1" si="14">O32+P32</f>
        <v>-15127.85</v>
      </c>
      <c r="R32" s="31">
        <f t="shared" ref="R32" ca="1" si="15">+Q32+N32</f>
        <v>0</v>
      </c>
      <c r="T32" s="12"/>
      <c r="U32" s="12"/>
      <c r="V32" s="16"/>
    </row>
    <row r="33" spans="1:22" s="11" customFormat="1" ht="15.75" customHeight="1">
      <c r="B33" s="4" t="s">
        <v>82</v>
      </c>
      <c r="D33" s="93">
        <v>0</v>
      </c>
      <c r="E33" s="93"/>
      <c r="F33" s="93"/>
      <c r="G33" s="93">
        <f ca="1">SUMIF('305 Inputs'!$A$116:$A$142,"=bpa",'305 Inputs'!$H$116:$H$140)</f>
        <v>0</v>
      </c>
      <c r="H33" s="93"/>
      <c r="I33" s="93"/>
      <c r="J33" s="93">
        <v>0</v>
      </c>
      <c r="K33" s="93">
        <v>0</v>
      </c>
      <c r="L33" s="93">
        <f t="shared" si="10"/>
        <v>0</v>
      </c>
      <c r="M33" s="94">
        <f t="shared" ca="1" si="11"/>
        <v>0</v>
      </c>
      <c r="N33" s="31">
        <f ca="1">'Table 3'!D33</f>
        <v>478039.87</v>
      </c>
      <c r="O33" s="31">
        <f ca="1">'Table 3'!K33</f>
        <v>-478039.87</v>
      </c>
      <c r="P33" s="31">
        <f ca="1">'Table 3'!O33</f>
        <v>0</v>
      </c>
      <c r="Q33" s="31">
        <f t="shared" ca="1" si="9"/>
        <v>-478039.87</v>
      </c>
      <c r="R33" s="31">
        <f t="shared" ca="1" si="8"/>
        <v>0</v>
      </c>
      <c r="T33" s="12"/>
      <c r="U33" s="12"/>
      <c r="V33" s="16"/>
    </row>
    <row r="34" spans="1:22" s="11" customFormat="1" ht="15.75" customHeight="1">
      <c r="B34" s="4" t="s">
        <v>698</v>
      </c>
      <c r="D34" s="93">
        <v>0</v>
      </c>
      <c r="E34" s="93"/>
      <c r="F34" s="93"/>
      <c r="G34" s="93">
        <f ca="1">SUMIF('305 Inputs'!$A$116:$A$142,"=smud",'305 Inputs'!$H$116:$H$140)</f>
        <v>0</v>
      </c>
      <c r="H34" s="93"/>
      <c r="I34" s="93"/>
      <c r="J34" s="93">
        <v>0</v>
      </c>
      <c r="K34" s="93">
        <v>0</v>
      </c>
      <c r="L34" s="93">
        <f t="shared" si="10"/>
        <v>0</v>
      </c>
      <c r="M34" s="94">
        <f t="shared" ca="1" si="11"/>
        <v>0</v>
      </c>
      <c r="N34" s="31">
        <f ca="1">'Table 3'!D34</f>
        <v>149485.85999999999</v>
      </c>
      <c r="O34" s="31">
        <f ca="1">'Table 3'!K34</f>
        <v>-149485.85999999999</v>
      </c>
      <c r="P34" s="31">
        <f ca="1">'Table 3'!O34</f>
        <v>0</v>
      </c>
      <c r="Q34" s="31">
        <f t="shared" ca="1" si="9"/>
        <v>-149485.85999999999</v>
      </c>
      <c r="R34" s="31">
        <f t="shared" ca="1" si="8"/>
        <v>0</v>
      </c>
      <c r="T34" s="12"/>
      <c r="U34" s="12"/>
      <c r="V34" s="16"/>
    </row>
    <row r="35" spans="1:22" ht="15.75" customHeight="1">
      <c r="B35" s="11"/>
      <c r="D35" s="9"/>
      <c r="E35" s="9"/>
      <c r="F35" s="9"/>
      <c r="G35" s="9"/>
      <c r="H35" s="9"/>
      <c r="I35" s="9"/>
      <c r="J35" s="9"/>
      <c r="K35" s="9"/>
      <c r="L35" s="9"/>
      <c r="M35" s="48"/>
      <c r="N35" s="29"/>
      <c r="O35" s="29"/>
      <c r="P35" s="29"/>
      <c r="Q35" s="29"/>
      <c r="R35" s="29"/>
      <c r="T35" s="12"/>
      <c r="U35" s="12"/>
      <c r="V35" s="16"/>
    </row>
    <row r="36" spans="1:22" s="11" customFormat="1" ht="15.75" customHeight="1">
      <c r="B36" s="4" t="s">
        <v>80</v>
      </c>
      <c r="D36" s="93">
        <v>0</v>
      </c>
      <c r="E36" s="93"/>
      <c r="F36" s="93"/>
      <c r="G36" s="93">
        <f ca="1">SUMIF('305 Inputs'!$A$116:$A$142,"=unbilled",'305 Inputs'!$H$116:$H$140)</f>
        <v>-103000</v>
      </c>
      <c r="H36" s="93">
        <f ca="1">-G36</f>
        <v>103000</v>
      </c>
      <c r="I36" s="93"/>
      <c r="J36" s="93">
        <v>0</v>
      </c>
      <c r="K36" s="93">
        <v>0</v>
      </c>
      <c r="L36" s="93">
        <f ca="1">H36+I36+J36+K36</f>
        <v>103000</v>
      </c>
      <c r="M36" s="94">
        <f ca="1">G36+L36</f>
        <v>0</v>
      </c>
      <c r="N36" s="31">
        <f ca="1">'Table 3'!D36</f>
        <v>13000</v>
      </c>
      <c r="O36" s="31">
        <f ca="1">'Table 3'!K36</f>
        <v>-13000</v>
      </c>
      <c r="P36" s="31">
        <f ca="1">'Table 3'!O36</f>
        <v>0</v>
      </c>
      <c r="Q36" s="31">
        <f t="shared" ca="1" si="9"/>
        <v>-13000</v>
      </c>
      <c r="R36" s="31">
        <f ca="1">+Q36+N36</f>
        <v>0</v>
      </c>
      <c r="T36" s="12"/>
      <c r="U36" s="12"/>
      <c r="V36" s="16"/>
    </row>
    <row r="37" spans="1:22" ht="15.75" customHeight="1">
      <c r="D37" s="95"/>
      <c r="E37" s="95"/>
      <c r="F37" s="95"/>
      <c r="G37" s="95"/>
      <c r="H37" s="95"/>
      <c r="I37" s="95"/>
      <c r="J37" s="95"/>
      <c r="K37" s="95"/>
      <c r="L37" s="95"/>
      <c r="M37" s="96"/>
      <c r="N37" s="90"/>
      <c r="O37" s="90"/>
      <c r="P37" s="90"/>
      <c r="Q37" s="90"/>
      <c r="R37" s="8"/>
      <c r="T37" s="12"/>
      <c r="U37" s="12"/>
      <c r="V37" s="16"/>
    </row>
    <row r="38" spans="1:22" ht="15.75" customHeight="1">
      <c r="B38" s="33" t="s">
        <v>9</v>
      </c>
      <c r="C38" s="34"/>
      <c r="D38" s="97">
        <f t="shared" ref="D38:R38" ca="1" si="16">+D19+D22+D24+SUM(D26:D36)</f>
        <v>105437.25000000004</v>
      </c>
      <c r="E38" s="97">
        <f t="shared" ca="1" si="16"/>
        <v>569.76944444439573</v>
      </c>
      <c r="F38" s="97">
        <f t="shared" si="16"/>
        <v>105968.85277777778</v>
      </c>
      <c r="G38" s="97">
        <f t="shared" ca="1" si="16"/>
        <v>1606653777</v>
      </c>
      <c r="H38" s="97">
        <f t="shared" ca="1" si="16"/>
        <v>0</v>
      </c>
      <c r="I38" s="97">
        <f t="shared" ca="1" si="16"/>
        <v>1376813</v>
      </c>
      <c r="J38" s="97">
        <f t="shared" si="16"/>
        <v>0</v>
      </c>
      <c r="K38" s="97">
        <f t="shared" si="16"/>
        <v>-2793129.6983713415</v>
      </c>
      <c r="L38" s="97">
        <f t="shared" ca="1" si="16"/>
        <v>-1416316.6983713417</v>
      </c>
      <c r="M38" s="97">
        <f t="shared" ca="1" si="16"/>
        <v>1605237460.3016288</v>
      </c>
      <c r="N38" s="37">
        <f t="shared" ca="1" si="16"/>
        <v>126592533.94</v>
      </c>
      <c r="O38" s="37">
        <f t="shared" ca="1" si="16"/>
        <v>6447369.3840390313</v>
      </c>
      <c r="P38" s="37">
        <f t="shared" ca="1" si="16"/>
        <v>1960336.2459609685</v>
      </c>
      <c r="Q38" s="37">
        <f t="shared" ca="1" si="16"/>
        <v>8407705.6300000008</v>
      </c>
      <c r="R38" s="37">
        <f t="shared" ca="1" si="16"/>
        <v>135000239.56999999</v>
      </c>
      <c r="T38" s="8"/>
      <c r="U38" s="8"/>
      <c r="V38" s="55"/>
    </row>
    <row r="39" spans="1:22" ht="15.75" customHeight="1">
      <c r="D39" s="9"/>
      <c r="E39" s="9"/>
      <c r="F39" s="9" t="s">
        <v>31</v>
      </c>
      <c r="G39" s="872"/>
      <c r="H39" s="872"/>
      <c r="I39" s="872"/>
      <c r="J39" s="872"/>
      <c r="K39" s="9"/>
      <c r="L39" s="9"/>
      <c r="M39" s="48"/>
      <c r="N39" s="29"/>
      <c r="O39" s="661"/>
      <c r="P39" s="661"/>
      <c r="Q39" s="661"/>
      <c r="R39" s="8"/>
      <c r="T39" s="8"/>
      <c r="U39" s="8"/>
      <c r="V39" s="55"/>
    </row>
    <row r="40" spans="1:22" ht="15.75" customHeight="1">
      <c r="A40" s="5" t="s">
        <v>18</v>
      </c>
      <c r="B40" s="5"/>
      <c r="D40" s="9"/>
      <c r="E40" s="9"/>
      <c r="F40" s="9"/>
      <c r="G40" s="9"/>
      <c r="H40" s="9"/>
      <c r="I40" s="9"/>
      <c r="J40" s="9"/>
      <c r="K40" s="9"/>
      <c r="L40" s="9"/>
      <c r="M40" s="48"/>
      <c r="N40" s="29"/>
      <c r="O40" s="29"/>
      <c r="P40" s="29"/>
      <c r="Q40" s="29"/>
      <c r="R40" s="8"/>
      <c r="T40" s="8"/>
      <c r="U40" s="8"/>
      <c r="V40" s="55"/>
    </row>
    <row r="41" spans="1:22" ht="15.75" customHeight="1">
      <c r="B41" s="873" t="s">
        <v>51</v>
      </c>
      <c r="D41" s="32">
        <f ca="1">SUMIF('305 Inputs'!$A$7:$A$44,"=24",'305 Inputs'!$J$7:$J$43)+SUMIF('305 Inputs'!$A$116:$A$141,"=24",'305 Inputs'!$J$116:$J$139)</f>
        <v>17951.916666666639</v>
      </c>
      <c r="E41" s="32">
        <f t="shared" ref="E41:E43" ca="1" si="17">F41-D41</f>
        <v>-475.61944444502296</v>
      </c>
      <c r="F41" s="32">
        <f>'Pages 4-11, All Other Schedules'!B275/12</f>
        <v>17476.297222221616</v>
      </c>
      <c r="G41" s="32">
        <f>SUMIF('305 Inputs'!$A$7:$A$44,"=24",'305 Inputs'!$H$7:$H$45)</f>
        <v>522722614</v>
      </c>
      <c r="H41" s="32">
        <f>'Normalized Monthly kWh'!AC14</f>
        <v>-1344873.1991789686</v>
      </c>
      <c r="I41" s="32">
        <f>'305 VS COGNOS kWh'!E18+'305 VS COGNOS kWh'!K18+'305 VS COGNOS kWh'!E26+'305 VS COGNOS kWh'!K26-'Schedule 24 BD'!$G$37+'Schedule 24 BD'!$H$37</f>
        <v>-1084970</v>
      </c>
      <c r="J41" s="32">
        <v>0</v>
      </c>
      <c r="K41" s="32">
        <f>Temperature!B75*1000</f>
        <v>-4570289.1914465493</v>
      </c>
      <c r="L41" s="32">
        <f t="shared" ref="L41:L44" si="18">H41+I41+J41+K41</f>
        <v>-7000132.3906255178</v>
      </c>
      <c r="M41" s="92">
        <f>G41+L41</f>
        <v>515722481.60937446</v>
      </c>
      <c r="N41" s="29">
        <f>'Table 3'!D41</f>
        <v>44524414.150000006</v>
      </c>
      <c r="O41" s="29">
        <f ca="1">'Table 3'!K41</f>
        <v>-1948765.23695907</v>
      </c>
      <c r="P41" s="29">
        <f>'Table 3'!O41</f>
        <v>607308.89999999525</v>
      </c>
      <c r="Q41" s="29">
        <f ca="1">O41+P41</f>
        <v>-1341456.3369590747</v>
      </c>
      <c r="R41" s="29">
        <f ca="1">+Q41+N41</f>
        <v>43182957.813040935</v>
      </c>
      <c r="T41" s="8"/>
      <c r="U41" s="8"/>
      <c r="V41" s="55"/>
    </row>
    <row r="42" spans="1:22" s="11" customFormat="1" ht="15.75" customHeight="1">
      <c r="B42" s="873" t="s">
        <v>52</v>
      </c>
      <c r="D42" s="32">
        <f>SUMIF('305 Inputs'!$A$7:$A$44,"=24f",'305 Inputs'!$J$7:$J$45)</f>
        <v>117.25</v>
      </c>
      <c r="E42" s="32">
        <f t="shared" si="17"/>
        <v>0.3333333333333286</v>
      </c>
      <c r="F42" s="32">
        <f>'Pages 4-11, All Other Schedules'!B379/12</f>
        <v>117.58333333333333</v>
      </c>
      <c r="G42" s="32">
        <f>SUMIF('305 Inputs'!$A$7:$A$44,"=24f",'305 Inputs'!$H$7:$H$45)</f>
        <v>1268465</v>
      </c>
      <c r="H42" s="32">
        <f>'Normalized Monthly kWh'!AC15</f>
        <v>-3272.5983006765778</v>
      </c>
      <c r="I42" s="32">
        <f>'305 VS COGNOS kWh'!E19+'305 VS COGNOS kWh'!K19</f>
        <v>882</v>
      </c>
      <c r="J42" s="32">
        <v>0</v>
      </c>
      <c r="K42" s="32">
        <v>0</v>
      </c>
      <c r="L42" s="32">
        <f t="shared" si="18"/>
        <v>-2390.5983006765778</v>
      </c>
      <c r="M42" s="92">
        <f>G42+L42</f>
        <v>1266074.4016993234</v>
      </c>
      <c r="N42" s="29">
        <f ca="1">'Table 3'!D42</f>
        <v>158366.74000000002</v>
      </c>
      <c r="O42" s="29">
        <f ca="1">'Table 3'!K42</f>
        <v>-4087.674544673991</v>
      </c>
      <c r="P42" s="29">
        <f>'Table 3'!O42</f>
        <v>2127.2929344180156</v>
      </c>
      <c r="Q42" s="29">
        <f ca="1">O42+P42</f>
        <v>-1960.3816102559754</v>
      </c>
      <c r="R42" s="29">
        <f ca="1">+Q42+N42</f>
        <v>156406.35838974404</v>
      </c>
      <c r="T42" s="12"/>
      <c r="U42" s="12"/>
      <c r="V42" s="16"/>
    </row>
    <row r="43" spans="1:22" ht="15.75" customHeight="1">
      <c r="B43" s="873" t="s">
        <v>57</v>
      </c>
      <c r="D43" s="93">
        <f>SUMIF('305 Inputs'!$A$7:$A$44,"=24fp",'305 Inputs'!$J$7:$J$45)</f>
        <v>87.5833333333333</v>
      </c>
      <c r="E43" s="93">
        <f t="shared" si="17"/>
        <v>-0.66666666666662877</v>
      </c>
      <c r="F43" s="93">
        <f>'Pages 4-11, All Other Schedules'!B485/12</f>
        <v>86.916666666666671</v>
      </c>
      <c r="G43" s="93">
        <f>SUMIF('305 Inputs'!$A$7:$A$44,"=24fp",'305 Inputs'!$H$7:$H$45)</f>
        <v>351175</v>
      </c>
      <c r="H43" s="93">
        <f>'Normalized Monthly kWh'!AC16</f>
        <v>-905.99909962916831</v>
      </c>
      <c r="I43" s="93">
        <f>'305 VS COGNOS kWh'!E20+'305 VS COGNOS kWh'!K20</f>
        <v>236</v>
      </c>
      <c r="J43" s="93">
        <v>0</v>
      </c>
      <c r="K43" s="93">
        <v>0</v>
      </c>
      <c r="L43" s="93">
        <f t="shared" si="18"/>
        <v>-669.99909962916831</v>
      </c>
      <c r="M43" s="94">
        <f>G43+L43</f>
        <v>350505.00090037083</v>
      </c>
      <c r="N43" s="31">
        <f ca="1">'Table 3'!D43</f>
        <v>101026.98</v>
      </c>
      <c r="O43" s="31">
        <f ca="1">'Table 3'!K43</f>
        <v>519.85165899622257</v>
      </c>
      <c r="P43" s="31">
        <f>'Table 3'!O43</f>
        <v>17769.350890460002</v>
      </c>
      <c r="Q43" s="31">
        <f t="shared" ref="Q43" ca="1" si="19">O43+P43</f>
        <v>18289.202549456226</v>
      </c>
      <c r="R43" s="31">
        <f ca="1">+Q43+N43</f>
        <v>119316.18254945622</v>
      </c>
      <c r="T43" s="8"/>
      <c r="U43" s="8"/>
      <c r="V43" s="55"/>
    </row>
    <row r="44" spans="1:22" ht="15.75" customHeight="1">
      <c r="B44" s="4" t="s">
        <v>35</v>
      </c>
      <c r="D44" s="32">
        <f t="shared" ref="D44:K44" ca="1" si="20">SUM(D41:D43)</f>
        <v>18156.749999999971</v>
      </c>
      <c r="E44" s="32">
        <f t="shared" ca="1" si="20"/>
        <v>-475.95277777835628</v>
      </c>
      <c r="F44" s="32">
        <f t="shared" si="20"/>
        <v>17680.797222221616</v>
      </c>
      <c r="G44" s="32">
        <f t="shared" si="20"/>
        <v>524342254</v>
      </c>
      <c r="H44" s="32">
        <f t="shared" si="20"/>
        <v>-1349051.7965792743</v>
      </c>
      <c r="I44" s="32">
        <f t="shared" si="20"/>
        <v>-1083852</v>
      </c>
      <c r="J44" s="32">
        <f t="shared" si="20"/>
        <v>0</v>
      </c>
      <c r="K44" s="32">
        <f t="shared" si="20"/>
        <v>-4570289.1914465493</v>
      </c>
      <c r="L44" s="32">
        <f t="shared" si="18"/>
        <v>-7003192.9880258236</v>
      </c>
      <c r="M44" s="92">
        <f t="shared" ref="M44:R44" si="21">SUM(M41:M43)</f>
        <v>517339061.01197416</v>
      </c>
      <c r="N44" s="32">
        <f t="shared" ca="1" si="21"/>
        <v>44783807.870000005</v>
      </c>
      <c r="O44" s="32">
        <f t="shared" ca="1" si="21"/>
        <v>-1952333.0598447477</v>
      </c>
      <c r="P44" s="32">
        <f t="shared" si="21"/>
        <v>627205.54382487317</v>
      </c>
      <c r="Q44" s="32">
        <f t="shared" ca="1" si="21"/>
        <v>-1325127.5160198745</v>
      </c>
      <c r="R44" s="32">
        <f t="shared" ca="1" si="21"/>
        <v>43458680.353980131</v>
      </c>
      <c r="V44" s="55"/>
    </row>
    <row r="45" spans="1:22" ht="15.75" customHeight="1">
      <c r="D45" s="32"/>
      <c r="E45" s="32"/>
      <c r="F45" s="32"/>
      <c r="G45" s="9"/>
      <c r="H45" s="9"/>
      <c r="I45" s="9"/>
      <c r="J45" s="9"/>
      <c r="K45" s="9"/>
      <c r="L45" s="9"/>
      <c r="M45" s="48" t="s">
        <v>31</v>
      </c>
      <c r="N45" s="29"/>
      <c r="O45" s="29"/>
      <c r="P45" s="29"/>
      <c r="Q45" s="29"/>
      <c r="R45" s="8"/>
      <c r="T45" s="8"/>
      <c r="U45" s="8"/>
      <c r="V45" s="55"/>
    </row>
    <row r="46" spans="1:22" ht="15.75" customHeight="1">
      <c r="B46" s="873" t="s">
        <v>53</v>
      </c>
      <c r="D46" s="93">
        <f>SUMIF('305 Inputs'!$A$7:$A$44,"=36",'305 Inputs'!$J$7:$J$45)</f>
        <v>907.91666666666629</v>
      </c>
      <c r="E46" s="93">
        <f>F46-D46</f>
        <v>-2.0055555555551337</v>
      </c>
      <c r="F46" s="93">
        <f>'Pages 4-11, All Other Schedules'!B636/12</f>
        <v>905.91111111111115</v>
      </c>
      <c r="G46" s="93">
        <f>SUMIF('305 Inputs'!$A$7:$A$44,"=36",'305 Inputs'!$H$7:$H$45)</f>
        <v>752345612</v>
      </c>
      <c r="H46" s="93">
        <f>'Normalized Monthly kWh'!AC18</f>
        <v>-1937617.861591337</v>
      </c>
      <c r="I46" s="93">
        <f>'305 VS COGNOS kWh'!E22+'305 VS COGNOS kWh'!K22+'305 VS COGNOS kWh'!E27+'305 VS COGNOS kWh'!K27</f>
        <v>821643</v>
      </c>
      <c r="J46" s="93">
        <v>-1621000</v>
      </c>
      <c r="K46" s="93">
        <v>0</v>
      </c>
      <c r="L46" s="93">
        <f>H46+I46+J46+K46</f>
        <v>-2736974.8615913372</v>
      </c>
      <c r="M46" s="94">
        <f>G46+L46</f>
        <v>749608637.13840866</v>
      </c>
      <c r="N46" s="31">
        <f ca="1">'Table 3'!D46</f>
        <v>53941584.869999997</v>
      </c>
      <c r="O46" s="31">
        <f ca="1">'Table 3'!K46</f>
        <v>-1719237.2315347344</v>
      </c>
      <c r="P46" s="31">
        <f>'Table 3'!O46</f>
        <v>746891.84000000358</v>
      </c>
      <c r="Q46" s="31">
        <f t="shared" ref="Q46" ca="1" si="22">O46+P46</f>
        <v>-972345.39153473079</v>
      </c>
      <c r="R46" s="31">
        <f ca="1">+Q46+N46</f>
        <v>52969239.478465267</v>
      </c>
      <c r="T46" s="8"/>
      <c r="U46" s="8"/>
      <c r="V46" s="55"/>
    </row>
    <row r="47" spans="1:22" ht="15.75" customHeight="1">
      <c r="B47" s="4" t="s">
        <v>35</v>
      </c>
      <c r="D47" s="32">
        <f t="shared" ref="D47:J47" si="23">SUM(D46:D46)</f>
        <v>907.91666666666629</v>
      </c>
      <c r="E47" s="32">
        <f t="shared" si="23"/>
        <v>-2.0055555555551337</v>
      </c>
      <c r="F47" s="32">
        <f t="shared" si="23"/>
        <v>905.91111111111115</v>
      </c>
      <c r="G47" s="32">
        <f t="shared" si="23"/>
        <v>752345612</v>
      </c>
      <c r="H47" s="32">
        <f t="shared" si="23"/>
        <v>-1937617.861591337</v>
      </c>
      <c r="I47" s="32">
        <f t="shared" si="23"/>
        <v>821643</v>
      </c>
      <c r="J47" s="32">
        <f t="shared" si="23"/>
        <v>-1621000</v>
      </c>
      <c r="K47" s="32">
        <f t="shared" ref="K47:R47" si="24">SUM(K46:K46)</f>
        <v>0</v>
      </c>
      <c r="L47" s="32">
        <f t="shared" si="24"/>
        <v>-2736974.8615913372</v>
      </c>
      <c r="M47" s="92">
        <f t="shared" si="24"/>
        <v>749608637.13840866</v>
      </c>
      <c r="N47" s="29">
        <f t="shared" ca="1" si="24"/>
        <v>53941584.869999997</v>
      </c>
      <c r="O47" s="29">
        <f t="shared" ca="1" si="24"/>
        <v>-1719237.2315347344</v>
      </c>
      <c r="P47" s="29">
        <f t="shared" si="24"/>
        <v>746891.84000000358</v>
      </c>
      <c r="Q47" s="29">
        <f t="shared" ca="1" si="24"/>
        <v>-972345.39153473079</v>
      </c>
      <c r="R47" s="29">
        <f t="shared" ca="1" si="24"/>
        <v>52969239.478465267</v>
      </c>
      <c r="T47" s="8"/>
      <c r="U47" s="8"/>
      <c r="V47" s="55"/>
    </row>
    <row r="48" spans="1:22" ht="15.75" customHeight="1">
      <c r="D48" s="32"/>
      <c r="E48" s="32"/>
      <c r="F48" s="32"/>
      <c r="G48" s="9"/>
      <c r="H48" s="9"/>
      <c r="I48" s="9"/>
      <c r="J48" s="9"/>
      <c r="K48" s="9" t="s">
        <v>31</v>
      </c>
      <c r="L48" s="9" t="s">
        <v>31</v>
      </c>
      <c r="M48" s="48" t="s">
        <v>31</v>
      </c>
      <c r="N48" s="29" t="s">
        <v>31</v>
      </c>
      <c r="O48" s="29" t="s">
        <v>31</v>
      </c>
      <c r="P48" s="29" t="s">
        <v>31</v>
      </c>
      <c r="Q48" s="29"/>
      <c r="R48" s="29" t="s">
        <v>31</v>
      </c>
      <c r="T48" s="8"/>
      <c r="U48" s="8"/>
      <c r="V48" s="55"/>
    </row>
    <row r="49" spans="2:22" ht="15.75" customHeight="1">
      <c r="B49" s="873" t="s">
        <v>54</v>
      </c>
      <c r="C49" s="11"/>
      <c r="D49" s="93">
        <f>SUMIF('305 Inputs'!$A$7:$A$44,"=48t",'305 Inputs'!$J$7:$J$45)</f>
        <v>26.25</v>
      </c>
      <c r="E49" s="93">
        <f>F49-D49</f>
        <v>-8.3333333333332149E-2</v>
      </c>
      <c r="F49" s="93">
        <f>'Pages 4-11, All Other Schedules'!B1043/12</f>
        <v>26.166666666666668</v>
      </c>
      <c r="G49" s="93">
        <f>SUMIF('305 Inputs'!$A$7:$A$44,"=48t",'305 Inputs'!$H$7:$H$45)</f>
        <v>141713341</v>
      </c>
      <c r="H49" s="93">
        <f>'Normalized Monthly kWh'!AC19</f>
        <v>-366841.9413010361</v>
      </c>
      <c r="I49" s="93">
        <f>'305 VS COGNOS kWh'!E23+'305 VS COGNOS kWh'!K23</f>
        <v>574100</v>
      </c>
      <c r="J49" s="93">
        <v>0</v>
      </c>
      <c r="K49" s="93">
        <v>0</v>
      </c>
      <c r="L49" s="93">
        <f>H49+I49+J49+K49</f>
        <v>207258.0586989639</v>
      </c>
      <c r="M49" s="94">
        <f>G49+L49</f>
        <v>141920599.05869895</v>
      </c>
      <c r="N49" s="31">
        <f ca="1">'Table 3'!D49</f>
        <v>9243532.3200000003</v>
      </c>
      <c r="O49" s="31">
        <f ca="1">'Table 3'!K49</f>
        <v>-292621.53330282931</v>
      </c>
      <c r="P49" s="31">
        <f>'Table 3'!O49</f>
        <v>129122.6099999994</v>
      </c>
      <c r="Q49" s="31">
        <f t="shared" ref="Q49" ca="1" si="25">O49+P49</f>
        <v>-163498.92330282991</v>
      </c>
      <c r="R49" s="31">
        <f ca="1">+Q49+N49</f>
        <v>9080033.396697171</v>
      </c>
      <c r="V49" s="55"/>
    </row>
    <row r="50" spans="2:22" ht="15.75" customHeight="1">
      <c r="B50" s="4" t="s">
        <v>35</v>
      </c>
      <c r="D50" s="32">
        <f t="shared" ref="D50:J50" si="26">SUM(D49)</f>
        <v>26.25</v>
      </c>
      <c r="E50" s="32">
        <f t="shared" si="26"/>
        <v>-8.3333333333332149E-2</v>
      </c>
      <c r="F50" s="32">
        <f t="shared" si="26"/>
        <v>26.166666666666668</v>
      </c>
      <c r="G50" s="32">
        <f t="shared" si="26"/>
        <v>141713341</v>
      </c>
      <c r="H50" s="32">
        <f t="shared" si="26"/>
        <v>-366841.9413010361</v>
      </c>
      <c r="I50" s="32">
        <f t="shared" si="26"/>
        <v>574100</v>
      </c>
      <c r="J50" s="32">
        <f t="shared" si="26"/>
        <v>0</v>
      </c>
      <c r="K50" s="32">
        <f t="shared" ref="K50:R50" si="27">SUM(K49)</f>
        <v>0</v>
      </c>
      <c r="L50" s="32">
        <f t="shared" si="27"/>
        <v>207258.0586989639</v>
      </c>
      <c r="M50" s="92">
        <f>SUM(M49)</f>
        <v>141920599.05869895</v>
      </c>
      <c r="N50" s="29">
        <f ca="1">SUM(N49)</f>
        <v>9243532.3200000003</v>
      </c>
      <c r="O50" s="29">
        <f t="shared" ca="1" si="27"/>
        <v>-292621.53330282931</v>
      </c>
      <c r="P50" s="29">
        <f t="shared" si="27"/>
        <v>129122.6099999994</v>
      </c>
      <c r="Q50" s="29">
        <f t="shared" ca="1" si="27"/>
        <v>-163498.92330282991</v>
      </c>
      <c r="R50" s="29">
        <f t="shared" ca="1" si="27"/>
        <v>9080033.396697171</v>
      </c>
      <c r="T50" s="8"/>
      <c r="U50" s="8"/>
      <c r="V50" s="55"/>
    </row>
    <row r="51" spans="2:22" ht="15.75" customHeight="1">
      <c r="D51" s="32"/>
      <c r="E51" s="32"/>
      <c r="F51" s="32"/>
      <c r="G51" s="9"/>
      <c r="H51" s="9"/>
      <c r="I51" s="9"/>
      <c r="J51" s="9"/>
      <c r="K51" s="9" t="s">
        <v>31</v>
      </c>
      <c r="L51" s="9" t="s">
        <v>31</v>
      </c>
      <c r="M51" s="48" t="s">
        <v>31</v>
      </c>
      <c r="N51" s="29" t="s">
        <v>31</v>
      </c>
      <c r="O51" s="29" t="s">
        <v>31</v>
      </c>
      <c r="P51" s="29" t="s">
        <v>31</v>
      </c>
      <c r="Q51" s="29"/>
      <c r="R51" s="29" t="s">
        <v>31</v>
      </c>
      <c r="T51" s="8"/>
      <c r="U51" s="8"/>
      <c r="V51" s="55"/>
    </row>
    <row r="52" spans="2:22" ht="15.75" customHeight="1">
      <c r="B52" s="873" t="s">
        <v>55</v>
      </c>
      <c r="D52" s="32">
        <f>SUMIF('305 Inputs'!$A$7:$A$44,"=15n",'305 Inputs'!$J$7:$J$45)</f>
        <v>1368.25</v>
      </c>
      <c r="E52" s="32">
        <f t="shared" ref="E52:E53" si="28">F52-D52</f>
        <v>8.6666666666667425</v>
      </c>
      <c r="F52" s="32">
        <f>'Pages 4-11, All Other Schedules'!B56/12</f>
        <v>1376.9166666666667</v>
      </c>
      <c r="G52" s="32">
        <f>SUMIF('305 Inputs'!$A$7:$A$44,"=15n",'305 Inputs'!$H$7:$H$45)</f>
        <v>2230059</v>
      </c>
      <c r="H52" s="32">
        <f>'Normalized Monthly kWh'!AC20</f>
        <v>-5758.1427362705708</v>
      </c>
      <c r="I52" s="32">
        <f>'305 VS COGNOS kWh'!E24+'305 VS COGNOS kWh'!K24</f>
        <v>3359</v>
      </c>
      <c r="J52" s="32">
        <v>0</v>
      </c>
      <c r="K52" s="32">
        <v>0</v>
      </c>
      <c r="L52" s="32">
        <f t="shared" ref="L52:L53" si="29">H52+I52+J52+K52</f>
        <v>-2399.1427362705708</v>
      </c>
      <c r="M52" s="92">
        <f>G52+L52</f>
        <v>2227659.8572637294</v>
      </c>
      <c r="N52" s="29">
        <f ca="1">'Table 3'!D52</f>
        <v>312350.34000000003</v>
      </c>
      <c r="O52" s="29">
        <f ca="1">'Table 3'!K52</f>
        <v>-5516.638582558955</v>
      </c>
      <c r="P52" s="29">
        <f>'Table 3'!O52</f>
        <v>9.4100000000325963</v>
      </c>
      <c r="Q52" s="29">
        <f ca="1">O52+P52</f>
        <v>-5507.2285825589224</v>
      </c>
      <c r="R52" s="29">
        <f ca="1">+Q52+N52</f>
        <v>306843.11141744111</v>
      </c>
      <c r="T52" s="8"/>
      <c r="U52" s="8"/>
      <c r="V52" s="55"/>
    </row>
    <row r="53" spans="2:22" ht="15.75" customHeight="1">
      <c r="B53" s="873" t="s">
        <v>56</v>
      </c>
      <c r="D53" s="93">
        <f>SUMIF('305 Inputs'!$A$7:$A$44,"=54",'305 Inputs'!$J$7:$J$45)</f>
        <v>29.25</v>
      </c>
      <c r="E53" s="93">
        <f t="shared" si="28"/>
        <v>-0.16666666666666785</v>
      </c>
      <c r="F53" s="93">
        <f>'Pages 4-11, All Other Schedules'!B1191/12</f>
        <v>29.083333333333332</v>
      </c>
      <c r="G53" s="93">
        <f>SUMIF('305 Inputs'!$A$7:$A$44,"=54",'305 Inputs'!$H$7:$H$45)</f>
        <v>282514</v>
      </c>
      <c r="H53" s="93">
        <f>'Normalized Monthly kWh'!AC21</f>
        <v>-730.25779208267056</v>
      </c>
      <c r="I53" s="93">
        <f>'305 VS COGNOS kWh'!E25+'305 VS COGNOS kWh'!K25</f>
        <v>732</v>
      </c>
      <c r="J53" s="93">
        <v>0</v>
      </c>
      <c r="K53" s="93">
        <v>0</v>
      </c>
      <c r="L53" s="93">
        <f t="shared" si="29"/>
        <v>1.7422079173294378</v>
      </c>
      <c r="M53" s="94">
        <f>G53+L53</f>
        <v>282515.74220791733</v>
      </c>
      <c r="N53" s="31">
        <f ca="1">'Table 3'!D53</f>
        <v>25692.84</v>
      </c>
      <c r="O53" s="31">
        <f ca="1">'Table 3'!K53</f>
        <v>-967.72056000778696</v>
      </c>
      <c r="P53" s="31">
        <f>'Table 3'!O53</f>
        <v>0.5</v>
      </c>
      <c r="Q53" s="31">
        <f t="shared" ref="Q53" ca="1" si="30">O53+P53</f>
        <v>-967.22056000778696</v>
      </c>
      <c r="R53" s="31">
        <f ca="1">+Q53+N53</f>
        <v>24725.619439992213</v>
      </c>
      <c r="T53" s="8"/>
      <c r="U53" s="8"/>
      <c r="V53" s="55"/>
    </row>
    <row r="54" spans="2:22" ht="15.75" customHeight="1">
      <c r="B54" s="4" t="s">
        <v>35</v>
      </c>
      <c r="D54" s="32">
        <f t="shared" ref="D54:J54" si="31">SUM(D52:D53)</f>
        <v>1397.5</v>
      </c>
      <c r="E54" s="32">
        <f t="shared" si="31"/>
        <v>8.5000000000000746</v>
      </c>
      <c r="F54" s="32">
        <f t="shared" si="31"/>
        <v>1406</v>
      </c>
      <c r="G54" s="32">
        <f t="shared" si="31"/>
        <v>2512573</v>
      </c>
      <c r="H54" s="32">
        <f t="shared" si="31"/>
        <v>-6488.4005283532415</v>
      </c>
      <c r="I54" s="32">
        <f t="shared" si="31"/>
        <v>4091</v>
      </c>
      <c r="J54" s="32">
        <f t="shared" si="31"/>
        <v>0</v>
      </c>
      <c r="K54" s="32">
        <f t="shared" ref="K54:R54" si="32">SUM(K52:K53)</f>
        <v>0</v>
      </c>
      <c r="L54" s="32">
        <f t="shared" si="32"/>
        <v>-2397.4005283532415</v>
      </c>
      <c r="M54" s="92">
        <f t="shared" si="32"/>
        <v>2510175.5994716468</v>
      </c>
      <c r="N54" s="29">
        <f t="shared" ca="1" si="32"/>
        <v>338043.18000000005</v>
      </c>
      <c r="O54" s="29">
        <f t="shared" ca="1" si="32"/>
        <v>-6484.3591425667419</v>
      </c>
      <c r="P54" s="29">
        <f t="shared" si="32"/>
        <v>9.9100000000325963</v>
      </c>
      <c r="Q54" s="29">
        <f t="shared" ca="1" si="32"/>
        <v>-6474.4491425667093</v>
      </c>
      <c r="R54" s="29">
        <f t="shared" ca="1" si="32"/>
        <v>331568.73085743334</v>
      </c>
      <c r="V54" s="55"/>
    </row>
    <row r="55" spans="2:22" ht="15.75" customHeight="1">
      <c r="D55" s="32"/>
      <c r="E55" s="32"/>
      <c r="F55" s="32" t="s">
        <v>31</v>
      </c>
      <c r="G55" s="9"/>
      <c r="H55" s="9"/>
      <c r="I55" s="9"/>
      <c r="J55" s="9"/>
      <c r="K55" s="9" t="s">
        <v>31</v>
      </c>
      <c r="L55" s="9" t="s">
        <v>31</v>
      </c>
      <c r="M55" s="48" t="s">
        <v>31</v>
      </c>
      <c r="N55" s="29" t="s">
        <v>31</v>
      </c>
      <c r="O55" s="29" t="s">
        <v>31</v>
      </c>
      <c r="P55" s="29" t="s">
        <v>31</v>
      </c>
      <c r="Q55" s="29"/>
      <c r="R55" s="8"/>
      <c r="T55" s="8"/>
      <c r="U55" s="8"/>
      <c r="V55" s="55"/>
    </row>
    <row r="56" spans="2:22" s="11" customFormat="1" ht="15.75" customHeight="1">
      <c r="B56" s="4" t="s">
        <v>34</v>
      </c>
      <c r="D56" s="93">
        <v>0</v>
      </c>
      <c r="E56" s="93"/>
      <c r="F56" s="93"/>
      <c r="G56" s="93">
        <f ca="1">SUMIF('305 Inputs'!$A$7:$A$44,"=aga",'305 Inputs'!$H$7:$H$43)</f>
        <v>0</v>
      </c>
      <c r="H56" s="93"/>
      <c r="I56" s="93"/>
      <c r="J56" s="93">
        <v>0</v>
      </c>
      <c r="K56" s="93">
        <v>0</v>
      </c>
      <c r="L56" s="93">
        <f>K56</f>
        <v>0</v>
      </c>
      <c r="M56" s="94">
        <f ca="1">G56+L56</f>
        <v>0</v>
      </c>
      <c r="N56" s="31">
        <f ca="1">'Table 3'!D56</f>
        <v>357848.37</v>
      </c>
      <c r="O56" s="31">
        <f>'Table 3'!K56</f>
        <v>0</v>
      </c>
      <c r="P56" s="31">
        <f ca="1">'Table 3'!O56</f>
        <v>0</v>
      </c>
      <c r="Q56" s="31">
        <f t="shared" ref="Q56" ca="1" si="33">O56+P56</f>
        <v>0</v>
      </c>
      <c r="R56" s="31">
        <f ca="1">+Q56+N56</f>
        <v>357848.37</v>
      </c>
      <c r="T56" s="12"/>
      <c r="U56" s="12"/>
      <c r="V56" s="16"/>
    </row>
    <row r="57" spans="2:22" s="11" customFormat="1" ht="15.75" customHeight="1">
      <c r="B57" s="4"/>
      <c r="D57" s="93"/>
      <c r="E57" s="93"/>
      <c r="F57" s="93"/>
      <c r="G57" s="32"/>
      <c r="H57" s="32"/>
      <c r="I57" s="32"/>
      <c r="J57" s="32"/>
      <c r="K57" s="93"/>
      <c r="L57" s="93"/>
      <c r="M57" s="94"/>
      <c r="N57" s="31"/>
      <c r="O57" s="31"/>
      <c r="P57" s="31"/>
      <c r="Q57" s="31"/>
      <c r="R57" s="31"/>
      <c r="T57" s="12"/>
      <c r="U57" s="12"/>
      <c r="V57" s="16"/>
    </row>
    <row r="58" spans="2:22" s="11" customFormat="1" ht="15.75" customHeight="1">
      <c r="B58" s="4" t="s">
        <v>679</v>
      </c>
      <c r="D58" s="93">
        <f ca="1">SUMIF('305 Inputs'!$A$7:$A$44,"=def",'305 Inputs'!$J$7:$J$43)</f>
        <v>0</v>
      </c>
      <c r="E58" s="93"/>
      <c r="F58" s="93"/>
      <c r="G58" s="93">
        <f ca="1">SUMIF('305 Inputs'!$A$7:$A$44,"=def",'305 Inputs'!$H$7:$H$43)</f>
        <v>0</v>
      </c>
      <c r="H58" s="93"/>
      <c r="I58" s="93"/>
      <c r="J58" s="93">
        <v>0</v>
      </c>
      <c r="K58" s="93">
        <v>0</v>
      </c>
      <c r="L58" s="93">
        <f>K58</f>
        <v>0</v>
      </c>
      <c r="M58" s="94">
        <v>0</v>
      </c>
      <c r="N58" s="31">
        <f ca="1">'Table 3'!D58</f>
        <v>-1020000</v>
      </c>
      <c r="O58" s="31">
        <f ca="1">'Table 3'!K58</f>
        <v>1020000</v>
      </c>
      <c r="P58" s="31">
        <f ca="1">'Table 3'!O58</f>
        <v>0</v>
      </c>
      <c r="Q58" s="31">
        <f t="shared" ref="Q58:Q66" ca="1" si="34">O58+P58</f>
        <v>1020000</v>
      </c>
      <c r="R58" s="31">
        <f t="shared" ref="R58:R64" ca="1" si="35">+Q58+N58</f>
        <v>0</v>
      </c>
      <c r="T58" s="12"/>
      <c r="U58" s="12"/>
      <c r="V58" s="16"/>
    </row>
    <row r="59" spans="2:22" ht="15.75" customHeight="1">
      <c r="B59" s="4" t="s">
        <v>764</v>
      </c>
      <c r="D59" s="93">
        <f ca="1">SUMIF('305 Inputs'!$A$7:$A$44,"=rev",'305 Inputs'!$J$7:$J$43)</f>
        <v>0</v>
      </c>
      <c r="E59" s="93"/>
      <c r="F59" s="93"/>
      <c r="G59" s="93">
        <f ca="1">SUMIF('305 Inputs'!$A$7:$A$44,"=rep",'305 Inputs'!$H$7:$H$43)</f>
        <v>0</v>
      </c>
      <c r="H59" s="93"/>
      <c r="I59" s="93"/>
      <c r="J59" s="93">
        <v>0</v>
      </c>
      <c r="K59" s="93">
        <v>0</v>
      </c>
      <c r="L59" s="93">
        <f t="shared" ref="L59:L64" si="36">K59</f>
        <v>0</v>
      </c>
      <c r="M59" s="94">
        <v>0</v>
      </c>
      <c r="N59" s="29">
        <f ca="1">'Table 3'!D59</f>
        <v>-2768532.36</v>
      </c>
      <c r="O59" s="661">
        <f ca="1">'Table 3'!K59</f>
        <v>2768532.36</v>
      </c>
      <c r="P59" s="31">
        <f ca="1">'Table 3'!O59</f>
        <v>0</v>
      </c>
      <c r="Q59" s="31">
        <f t="shared" ca="1" si="34"/>
        <v>2768532.36</v>
      </c>
      <c r="R59" s="31">
        <f t="shared" ca="1" si="35"/>
        <v>0</v>
      </c>
      <c r="T59" s="8"/>
      <c r="U59" s="8"/>
      <c r="V59" s="55"/>
    </row>
    <row r="60" spans="2:22" s="11" customFormat="1" ht="15.75" customHeight="1">
      <c r="B60" s="4" t="s">
        <v>241</v>
      </c>
      <c r="D60" s="93">
        <v>0</v>
      </c>
      <c r="E60" s="93"/>
      <c r="F60" s="93"/>
      <c r="G60" s="93">
        <f ca="1">SUMIF('305 Inputs'!$A$7:$A$44,"=acq",'305 Inputs'!$H$7:$H$43)</f>
        <v>0</v>
      </c>
      <c r="H60" s="93"/>
      <c r="I60" s="93"/>
      <c r="J60" s="93">
        <v>0</v>
      </c>
      <c r="K60" s="93">
        <v>0</v>
      </c>
      <c r="L60" s="93">
        <f t="shared" si="36"/>
        <v>0</v>
      </c>
      <c r="M60" s="94">
        <f ca="1">G60+L60</f>
        <v>0</v>
      </c>
      <c r="N60" s="31">
        <f ca="1">'Table 3'!D60</f>
        <v>-1982102.8</v>
      </c>
      <c r="O60" s="31">
        <f ca="1">'Table 3'!K60</f>
        <v>1982102.8</v>
      </c>
      <c r="P60" s="31">
        <f ca="1">'Table 3'!O60</f>
        <v>0</v>
      </c>
      <c r="Q60" s="31">
        <f t="shared" ca="1" si="34"/>
        <v>1982102.8</v>
      </c>
      <c r="R60" s="31">
        <f t="shared" ca="1" si="35"/>
        <v>0</v>
      </c>
      <c r="T60" s="12"/>
      <c r="U60" s="12"/>
      <c r="V60" s="16"/>
    </row>
    <row r="61" spans="2:22" s="11" customFormat="1" ht="15.75" customHeight="1">
      <c r="B61" s="4" t="s">
        <v>773</v>
      </c>
      <c r="D61" s="93">
        <v>0</v>
      </c>
      <c r="E61" s="93"/>
      <c r="F61" s="93"/>
      <c r="G61" s="93">
        <f ca="1">SUMIF('305 Inputs'!$A$7:$A$44,"=cent",'305 Inputs'!$H$7:$H$43)</f>
        <v>0</v>
      </c>
      <c r="H61" s="93"/>
      <c r="I61" s="93"/>
      <c r="J61" s="93">
        <v>0</v>
      </c>
      <c r="K61" s="93">
        <v>0</v>
      </c>
      <c r="L61" s="93">
        <f t="shared" si="36"/>
        <v>0</v>
      </c>
      <c r="M61" s="94">
        <f ca="1">G61+L61</f>
        <v>0</v>
      </c>
      <c r="N61" s="31">
        <f ca="1">'Table 3'!D61</f>
        <v>1458629.44</v>
      </c>
      <c r="O61" s="31">
        <f ca="1">'Table 3'!K61</f>
        <v>-1458629.44</v>
      </c>
      <c r="P61" s="31">
        <f ca="1">'Table 3'!O61</f>
        <v>0</v>
      </c>
      <c r="Q61" s="31">
        <f t="shared" ca="1" si="34"/>
        <v>-1458629.44</v>
      </c>
      <c r="R61" s="31">
        <f t="shared" ca="1" si="35"/>
        <v>0</v>
      </c>
      <c r="T61" s="12"/>
      <c r="U61" s="12"/>
      <c r="V61" s="16"/>
    </row>
    <row r="62" spans="2:22" s="11" customFormat="1" ht="15.75" customHeight="1">
      <c r="B62" s="4" t="s">
        <v>774</v>
      </c>
      <c r="D62" s="93">
        <v>0</v>
      </c>
      <c r="E62" s="93"/>
      <c r="F62" s="93"/>
      <c r="G62" s="93">
        <f ca="1">SUMIF('305 Inputs'!$A$7:$A$44,"=merger",'305 Inputs'!$H$7:$H$43)</f>
        <v>0</v>
      </c>
      <c r="H62" s="93"/>
      <c r="I62" s="93"/>
      <c r="J62" s="93">
        <v>0</v>
      </c>
      <c r="K62" s="93">
        <v>0</v>
      </c>
      <c r="L62" s="93">
        <f t="shared" si="36"/>
        <v>0</v>
      </c>
      <c r="M62" s="94">
        <v>0</v>
      </c>
      <c r="N62" s="31">
        <f ca="1">'Table 3'!D62</f>
        <v>3554.13</v>
      </c>
      <c r="O62" s="31">
        <f ca="1">'Table 3'!K62</f>
        <v>-3554.13</v>
      </c>
      <c r="P62" s="31">
        <f ca="1">'Table 3'!O62</f>
        <v>0</v>
      </c>
      <c r="Q62" s="31">
        <f t="shared" ca="1" si="34"/>
        <v>-3554.13</v>
      </c>
      <c r="R62" s="31">
        <f t="shared" ca="1" si="35"/>
        <v>0</v>
      </c>
      <c r="T62" s="12"/>
      <c r="U62" s="12"/>
      <c r="V62" s="16"/>
    </row>
    <row r="63" spans="2:22" s="11" customFormat="1" ht="15.75" customHeight="1">
      <c r="B63" s="4" t="s">
        <v>95</v>
      </c>
      <c r="D63" s="93">
        <v>0</v>
      </c>
      <c r="E63" s="93"/>
      <c r="F63" s="93"/>
      <c r="G63" s="93">
        <f ca="1">SUMIF('305 Inputs'!$A$7:$A$44,"=bpa",'305 Inputs'!$H$7:$H$43)</f>
        <v>0</v>
      </c>
      <c r="H63" s="93"/>
      <c r="I63" s="93"/>
      <c r="J63" s="93">
        <v>0</v>
      </c>
      <c r="K63" s="93">
        <v>0</v>
      </c>
      <c r="L63" s="93">
        <f t="shared" si="36"/>
        <v>0</v>
      </c>
      <c r="M63" s="94">
        <f ca="1">G63+L63</f>
        <v>0</v>
      </c>
      <c r="N63" s="31">
        <f ca="1">'Table 3'!D63</f>
        <v>31359.52</v>
      </c>
      <c r="O63" s="31">
        <f ca="1">'Table 3'!K63</f>
        <v>-31359.52</v>
      </c>
      <c r="P63" s="31">
        <f ca="1">'Table 3'!O63</f>
        <v>0</v>
      </c>
      <c r="Q63" s="31">
        <f t="shared" ca="1" si="34"/>
        <v>-31359.52</v>
      </c>
      <c r="R63" s="31">
        <f t="shared" ca="1" si="35"/>
        <v>0</v>
      </c>
      <c r="T63" s="12"/>
      <c r="U63" s="12"/>
      <c r="V63" s="16"/>
    </row>
    <row r="64" spans="2:22" s="11" customFormat="1" ht="15.75" customHeight="1">
      <c r="B64" s="4" t="s">
        <v>698</v>
      </c>
      <c r="D64" s="93">
        <v>0</v>
      </c>
      <c r="E64" s="93"/>
      <c r="F64" s="93"/>
      <c r="G64" s="93">
        <f ca="1">SUMIF('305 Inputs'!$A$7:$A$44,"=smud",'305 Inputs'!$H$7:$H$43)</f>
        <v>0</v>
      </c>
      <c r="H64" s="93"/>
      <c r="I64" s="93"/>
      <c r="J64" s="93">
        <v>0</v>
      </c>
      <c r="K64" s="93">
        <v>0</v>
      </c>
      <c r="L64" s="93">
        <f t="shared" si="36"/>
        <v>0</v>
      </c>
      <c r="M64" s="94">
        <f ca="1">G64+L64</f>
        <v>0</v>
      </c>
      <c r="N64" s="31">
        <f ca="1">'Table 3'!D64</f>
        <v>129297.5</v>
      </c>
      <c r="O64" s="31">
        <f ca="1">'Table 3'!K64</f>
        <v>-129297.5</v>
      </c>
      <c r="P64" s="31">
        <f ca="1">'Table 3'!O64</f>
        <v>0</v>
      </c>
      <c r="Q64" s="31">
        <f t="shared" ca="1" si="34"/>
        <v>-129297.5</v>
      </c>
      <c r="R64" s="31">
        <f t="shared" ca="1" si="35"/>
        <v>0</v>
      </c>
      <c r="T64" s="12"/>
      <c r="U64" s="12"/>
      <c r="V64" s="16"/>
    </row>
    <row r="65" spans="1:22" ht="15.75" customHeight="1">
      <c r="B65" s="11"/>
      <c r="D65" s="32"/>
      <c r="E65" s="32"/>
      <c r="F65" s="32"/>
      <c r="G65" s="32"/>
      <c r="H65" s="32"/>
      <c r="I65" s="32"/>
      <c r="J65" s="32"/>
      <c r="K65" s="9"/>
      <c r="L65" s="9"/>
      <c r="M65" s="48"/>
      <c r="N65" s="29"/>
      <c r="O65" s="661"/>
      <c r="P65" s="29"/>
      <c r="Q65" s="29"/>
      <c r="R65" s="29"/>
      <c r="T65" s="8"/>
      <c r="U65" s="8"/>
      <c r="V65" s="55"/>
    </row>
    <row r="66" spans="1:22" s="11" customFormat="1" ht="15.75" customHeight="1">
      <c r="B66" s="4" t="s">
        <v>80</v>
      </c>
      <c r="D66" s="93">
        <v>0</v>
      </c>
      <c r="E66" s="93"/>
      <c r="F66" s="93"/>
      <c r="G66" s="93">
        <f>SUMIF('305 Inputs'!$A$7:$A$44,"=unbilled",'305 Inputs'!$H$7:$H$45)</f>
        <v>-3660000</v>
      </c>
      <c r="H66" s="93">
        <f>-G66</f>
        <v>3660000</v>
      </c>
      <c r="I66" s="93"/>
      <c r="J66" s="93">
        <v>0</v>
      </c>
      <c r="K66" s="93">
        <v>0</v>
      </c>
      <c r="L66" s="93">
        <f t="shared" ref="L66" si="37">H66+I66+J66+K66</f>
        <v>3660000</v>
      </c>
      <c r="M66" s="94">
        <f>G66+L66</f>
        <v>0</v>
      </c>
      <c r="N66" s="31">
        <f ca="1">'Table 3'!D66</f>
        <v>-311000</v>
      </c>
      <c r="O66" s="31">
        <f ca="1">'Table 3'!K66</f>
        <v>311000</v>
      </c>
      <c r="P66" s="31">
        <f ca="1">'Table 3'!O66</f>
        <v>0</v>
      </c>
      <c r="Q66" s="31">
        <f t="shared" ca="1" si="34"/>
        <v>311000</v>
      </c>
      <c r="R66" s="31">
        <f ca="1">+Q66+N66</f>
        <v>0</v>
      </c>
      <c r="T66" s="12"/>
      <c r="U66" s="12"/>
      <c r="V66" s="16"/>
    </row>
    <row r="67" spans="1:22" ht="15.75" customHeight="1">
      <c r="B67" s="11"/>
      <c r="D67" s="32"/>
      <c r="E67" s="32"/>
      <c r="F67" s="32"/>
      <c r="G67" s="98"/>
      <c r="H67" s="9"/>
      <c r="I67" s="9"/>
      <c r="J67" s="9"/>
      <c r="K67" s="9"/>
      <c r="L67" s="9"/>
      <c r="M67" s="99"/>
      <c r="N67" s="29"/>
      <c r="O67" s="661"/>
      <c r="P67" s="661"/>
      <c r="Q67" s="661"/>
      <c r="R67" s="8"/>
      <c r="T67" s="8"/>
      <c r="U67" s="8"/>
      <c r="V67" s="55"/>
    </row>
    <row r="68" spans="1:22" ht="15.75" customHeight="1">
      <c r="B68" s="33" t="s">
        <v>9</v>
      </c>
      <c r="C68" s="34"/>
      <c r="D68" s="97">
        <f ca="1">+D44+D47+D50+SUM(D56:D66)+D54</f>
        <v>20488.416666666639</v>
      </c>
      <c r="E68" s="97">
        <f ca="1">+E44+E47+E50+SUM(E56:E66)+E54</f>
        <v>-469.54166666724467</v>
      </c>
      <c r="F68" s="97">
        <f>+F44+F47+F50+SUM(F56:F66)+F54</f>
        <v>20018.874999999396</v>
      </c>
      <c r="G68" s="97">
        <f ca="1">+G44+G47+G50+G54+SUM(G56:G66)</f>
        <v>1417253780</v>
      </c>
      <c r="H68" s="97">
        <f>+H44+H47+H50+H54+SUM(H56:H66)</f>
        <v>0</v>
      </c>
      <c r="I68" s="97">
        <f>+I44+I47+I50+I54+SUM(I56:I66)</f>
        <v>315982</v>
      </c>
      <c r="J68" s="97">
        <f>+J44+J47+J50+J54+SUM(J56:J66)</f>
        <v>-1621000</v>
      </c>
      <c r="K68" s="97">
        <f>+K44+K47+K50+SUM(K56:K66)+K54</f>
        <v>-4570289.1914465493</v>
      </c>
      <c r="L68" s="97">
        <f>+L44+L47+L50+SUM(L56:L66)+L54</f>
        <v>-5875307.1914465511</v>
      </c>
      <c r="M68" s="97">
        <f ca="1">+M44+M47+M50+SUM(M56:M66)+M54</f>
        <v>1411378472.8085532</v>
      </c>
      <c r="N68" s="37">
        <f ca="1">+N44+N47+N50+N54+N56+SUM(N58:N66)</f>
        <v>104206022.04000001</v>
      </c>
      <c r="O68" s="37">
        <f ca="1">+O44+O47+O50+O54+O56+SUM(O58:O66)</f>
        <v>488118.38617512351</v>
      </c>
      <c r="P68" s="37">
        <f ca="1">+P44+P47+P50+P54+P56+SUM(P58:P66)</f>
        <v>1503229.9038248761</v>
      </c>
      <c r="Q68" s="37">
        <f ca="1">+Q44+Q47+Q50+Q54+Q56+SUM(Q58:Q66)</f>
        <v>1991348.2899999996</v>
      </c>
      <c r="R68" s="37">
        <f ca="1">+R44+R47+R50+R54+R56+R60+R61+R62+R63+R66+R64</f>
        <v>106197370.33000001</v>
      </c>
      <c r="T68" s="8"/>
      <c r="U68" s="8"/>
      <c r="V68" s="55"/>
    </row>
    <row r="69" spans="1:22" ht="15.75" customHeight="1">
      <c r="D69" s="32"/>
      <c r="E69" s="32"/>
      <c r="F69" s="32"/>
      <c r="G69" s="100"/>
      <c r="H69" s="32"/>
      <c r="I69" s="32"/>
      <c r="J69" s="32"/>
      <c r="K69" s="32"/>
      <c r="L69" s="32"/>
      <c r="M69" s="92"/>
      <c r="N69" s="29"/>
      <c r="O69" s="29"/>
      <c r="P69" s="29"/>
      <c r="Q69" s="29"/>
      <c r="R69" s="661" t="s">
        <v>31</v>
      </c>
      <c r="V69" s="55"/>
    </row>
    <row r="70" spans="1:22" ht="15.75" customHeight="1">
      <c r="A70" s="5" t="s">
        <v>30</v>
      </c>
      <c r="B70" s="5"/>
      <c r="D70" s="32"/>
      <c r="E70" s="32"/>
      <c r="F70" s="32"/>
      <c r="G70" s="9"/>
      <c r="H70" s="9"/>
      <c r="I70" s="9"/>
      <c r="J70" s="9"/>
      <c r="K70" s="9"/>
      <c r="L70" s="9"/>
      <c r="M70" s="48"/>
      <c r="N70" s="29"/>
      <c r="O70" s="29"/>
      <c r="P70" s="29"/>
      <c r="Q70" s="29"/>
      <c r="R70" s="8" t="s">
        <v>31</v>
      </c>
      <c r="T70" s="8"/>
      <c r="U70" s="8"/>
      <c r="V70" s="55"/>
    </row>
    <row r="71" spans="1:22" ht="15.75" customHeight="1">
      <c r="B71" s="873" t="s">
        <v>51</v>
      </c>
      <c r="D71" s="32">
        <f ca="1">SUMIF('305 Inputs'!$A$51:$A$71,"=24",'305 Inputs'!$J$51:$J$70)</f>
        <v>452.33333333333297</v>
      </c>
      <c r="E71" s="32">
        <f t="shared" ref="E71:E73" ca="1" si="38">F71-D71</f>
        <v>0.95277777777812389</v>
      </c>
      <c r="F71" s="32">
        <f>'Pages 4-11, All Other Schedules'!B309/12</f>
        <v>453.2861111111111</v>
      </c>
      <c r="G71" s="32">
        <f ca="1">SUMIF('305 Inputs'!$A$51:$A$71,"=24",'305 Inputs'!$H$51:$H$70)</f>
        <v>17374697</v>
      </c>
      <c r="H71" s="32">
        <f ca="1">'Normalized Monthly kWh'!AC24</f>
        <v>238998.12647392348</v>
      </c>
      <c r="I71" s="32">
        <f>'305 VS COGNOS kWh'!E32+'305 VS COGNOS kWh'!K32</f>
        <v>45403</v>
      </c>
      <c r="J71" s="32">
        <v>0</v>
      </c>
      <c r="K71" s="32">
        <v>0</v>
      </c>
      <c r="L71" s="32">
        <f t="shared" ref="L71:L74" ca="1" si="39">H71+I71+J71+K71</f>
        <v>284401.12647392345</v>
      </c>
      <c r="M71" s="92">
        <f ca="1">G71+L71</f>
        <v>17659098.126473922</v>
      </c>
      <c r="N71" s="29">
        <f ca="1">'Table 3'!D71</f>
        <v>1514424.03</v>
      </c>
      <c r="O71" s="29">
        <f ca="1">'Table 3'!K71</f>
        <v>-14774.466987469692</v>
      </c>
      <c r="P71" s="29">
        <f>'Table 3'!O71</f>
        <v>21024.919999999925</v>
      </c>
      <c r="Q71" s="29">
        <f ca="1">O71+P71</f>
        <v>6250.4530125302335</v>
      </c>
      <c r="R71" s="29">
        <f ca="1">+Q71+N71</f>
        <v>1520674.4830125303</v>
      </c>
      <c r="T71" s="8"/>
      <c r="U71" s="8"/>
      <c r="V71" s="55"/>
    </row>
    <row r="72" spans="1:22" s="11" customFormat="1" ht="15.75" customHeight="1">
      <c r="B72" s="873" t="s">
        <v>52</v>
      </c>
      <c r="D72" s="32">
        <f ca="1">SUMIF('305 Inputs'!$A$51:$A$71,"=24f",'305 Inputs'!$J$51:$J$70)</f>
        <v>4</v>
      </c>
      <c r="E72" s="32">
        <f t="shared" ca="1" si="38"/>
        <v>0</v>
      </c>
      <c r="F72" s="32">
        <f>'Pages 4-11, All Other Schedules'!B414/12</f>
        <v>4</v>
      </c>
      <c r="G72" s="32">
        <f ca="1">SUMIF('305 Inputs'!$A$51:$A$71,"=24f",'305 Inputs'!$H$51:$H$70)</f>
        <v>33313</v>
      </c>
      <c r="H72" s="32">
        <f ca="1">'Normalized Monthly kWh'!AC25</f>
        <v>457.04356388458245</v>
      </c>
      <c r="I72" s="32">
        <f>'305 VS COGNOS kWh'!E33+'305 VS COGNOS kWh'!K33</f>
        <v>0</v>
      </c>
      <c r="J72" s="32">
        <v>0</v>
      </c>
      <c r="K72" s="32">
        <v>0</v>
      </c>
      <c r="L72" s="32">
        <f t="shared" ca="1" si="39"/>
        <v>457.04356388458245</v>
      </c>
      <c r="M72" s="92">
        <f ca="1">G72+L72</f>
        <v>33770.043563884581</v>
      </c>
      <c r="N72" s="29">
        <f ca="1">'Table 3'!D72</f>
        <v>7749.11</v>
      </c>
      <c r="O72" s="29">
        <f ca="1">'Table 3'!K72</f>
        <v>27.565485008341398</v>
      </c>
      <c r="P72" s="29">
        <f>'Table 3'!O72</f>
        <v>95.598465813949588</v>
      </c>
      <c r="Q72" s="29">
        <f ca="1">O72+P72</f>
        <v>123.16395082229099</v>
      </c>
      <c r="R72" s="29">
        <f ca="1">+Q72+N72</f>
        <v>7872.2739508222903</v>
      </c>
      <c r="T72" s="12"/>
      <c r="U72" s="12"/>
      <c r="V72" s="16"/>
    </row>
    <row r="73" spans="1:22" ht="15.75" customHeight="1">
      <c r="B73" s="873" t="s">
        <v>57</v>
      </c>
      <c r="C73" s="11"/>
      <c r="D73" s="93">
        <f ca="1">SUMIF('305 Inputs'!$A$51:$A$71,"=24fp",'305 Inputs'!$J$51:$J$70)</f>
        <v>1</v>
      </c>
      <c r="E73" s="93">
        <f t="shared" ca="1" si="38"/>
        <v>0</v>
      </c>
      <c r="F73" s="93">
        <f>'Pages 4-11, All Other Schedules'!B520/12</f>
        <v>1</v>
      </c>
      <c r="G73" s="93">
        <f ca="1">SUMIF('305 Inputs'!$A$51:$A$71,"=24fp",'305 Inputs'!H$51:H$70)</f>
        <v>6067</v>
      </c>
      <c r="H73" s="93">
        <f ca="1">'Normalized Monthly kWh'!AC26</f>
        <v>83.237273799650609</v>
      </c>
      <c r="I73" s="93">
        <f>'305 VS COGNOS kWh'!E34+'305 VS COGNOS kWh'!K34</f>
        <v>0</v>
      </c>
      <c r="J73" s="93">
        <v>0</v>
      </c>
      <c r="K73" s="93">
        <v>0</v>
      </c>
      <c r="L73" s="93">
        <f t="shared" ca="1" si="39"/>
        <v>83.237273799650609</v>
      </c>
      <c r="M73" s="94">
        <f ca="1">G73+L73</f>
        <v>6150.2372737996502</v>
      </c>
      <c r="N73" s="31">
        <f ca="1">'Table 3'!D73</f>
        <v>2291.9</v>
      </c>
      <c r="O73" s="31">
        <f ca="1">'Table 3'!K73</f>
        <v>39.908950152553253</v>
      </c>
      <c r="P73" s="31">
        <f>'Table 3'!O73</f>
        <v>72.854359999999815</v>
      </c>
      <c r="Q73" s="31">
        <f t="shared" ref="Q73" ca="1" si="40">O73+P73</f>
        <v>112.76331015255306</v>
      </c>
      <c r="R73" s="31">
        <f ca="1">+Q73+N73</f>
        <v>2404.6633101525531</v>
      </c>
      <c r="T73" s="8"/>
      <c r="U73" s="8"/>
      <c r="V73" s="55"/>
    </row>
    <row r="74" spans="1:22" ht="15.75" customHeight="1">
      <c r="B74" s="4" t="s">
        <v>35</v>
      </c>
      <c r="D74" s="32">
        <f t="shared" ref="D74:J74" ca="1" si="41">SUM(D71:D73)</f>
        <v>457.33333333333297</v>
      </c>
      <c r="E74" s="32">
        <f t="shared" ca="1" si="41"/>
        <v>0.95277777777812389</v>
      </c>
      <c r="F74" s="32">
        <f t="shared" si="41"/>
        <v>458.2861111111111</v>
      </c>
      <c r="G74" s="32">
        <f t="shared" ca="1" si="41"/>
        <v>17414077</v>
      </c>
      <c r="H74" s="32">
        <f t="shared" ca="1" si="41"/>
        <v>239538.40731160773</v>
      </c>
      <c r="I74" s="32">
        <f t="shared" si="41"/>
        <v>45403</v>
      </c>
      <c r="J74" s="32">
        <f t="shared" si="41"/>
        <v>0</v>
      </c>
      <c r="K74" s="32">
        <f t="shared" ref="K74:R74" si="42">SUM(K71:K73)</f>
        <v>0</v>
      </c>
      <c r="L74" s="32">
        <f t="shared" ca="1" si="39"/>
        <v>284941.40731160773</v>
      </c>
      <c r="M74" s="92">
        <f ca="1">SUM(M71:M73)</f>
        <v>17699018.407311607</v>
      </c>
      <c r="N74" s="29">
        <f t="shared" ca="1" si="42"/>
        <v>1524465.04</v>
      </c>
      <c r="O74" s="29">
        <f t="shared" ca="1" si="42"/>
        <v>-14706.992552308797</v>
      </c>
      <c r="P74" s="29">
        <f t="shared" si="42"/>
        <v>21193.372825813876</v>
      </c>
      <c r="Q74" s="29">
        <f ca="1">SUM(Q71:Q73)</f>
        <v>6486.3802735050776</v>
      </c>
      <c r="R74" s="29">
        <f t="shared" ca="1" si="42"/>
        <v>1530951.4202735049</v>
      </c>
      <c r="V74" s="55"/>
    </row>
    <row r="75" spans="1:22" ht="15.75" customHeight="1">
      <c r="D75" s="32"/>
      <c r="E75" s="32"/>
      <c r="F75" s="32"/>
      <c r="G75" s="9"/>
      <c r="H75" s="9"/>
      <c r="I75" s="9"/>
      <c r="J75" s="9"/>
      <c r="K75" s="9" t="s">
        <v>31</v>
      </c>
      <c r="L75" s="9" t="s">
        <v>31</v>
      </c>
      <c r="M75" s="48" t="s">
        <v>31</v>
      </c>
      <c r="N75" s="29" t="s">
        <v>31</v>
      </c>
      <c r="O75" s="29" t="s">
        <v>31</v>
      </c>
      <c r="P75" s="29" t="s">
        <v>31</v>
      </c>
      <c r="Q75" s="29"/>
      <c r="R75" s="8"/>
      <c r="T75" s="8"/>
      <c r="U75" s="8"/>
      <c r="V75" s="55"/>
    </row>
    <row r="76" spans="1:22" s="11" customFormat="1" ht="15.75" customHeight="1">
      <c r="B76" s="873" t="s">
        <v>53</v>
      </c>
      <c r="C76" s="4"/>
      <c r="D76" s="93">
        <f ca="1">SUMIF('305 Inputs'!$A$51:$A$71,"=36",'305 Inputs'!$J$51:$J$70)</f>
        <v>138.083333333333</v>
      </c>
      <c r="E76" s="93">
        <f ca="1">F76-D76</f>
        <v>0.50000000000034106</v>
      </c>
      <c r="F76" s="93">
        <f>'Pages 4-11, All Other Schedules'!B674/12</f>
        <v>138.58333333333334</v>
      </c>
      <c r="G76" s="93">
        <f ca="1">SUMIF('305 Inputs'!$A$51:$A$71,"=36",'305 Inputs'!H$51:H$70)</f>
        <v>109208584</v>
      </c>
      <c r="H76" s="93">
        <f ca="1">'Normalized Monthly kWh'!AC27</f>
        <v>1503569.2477187554</v>
      </c>
      <c r="I76" s="93">
        <f>'305 VS COGNOS kWh'!E35+'305 VS COGNOS kWh'!K35</f>
        <v>383600</v>
      </c>
      <c r="J76" s="93">
        <v>0</v>
      </c>
      <c r="K76" s="93">
        <v>0</v>
      </c>
      <c r="L76" s="93">
        <f ca="1">H76+I76+J76+K76</f>
        <v>1887169.2477187554</v>
      </c>
      <c r="M76" s="94">
        <f ca="1">G76+L76</f>
        <v>111095753.24771875</v>
      </c>
      <c r="N76" s="31">
        <f ca="1">'Table 3'!D76</f>
        <v>8296013.3299999991</v>
      </c>
      <c r="O76" s="31">
        <f ca="1">'Table 3'!K76</f>
        <v>-83096.994991297281</v>
      </c>
      <c r="P76" s="31">
        <f>'Table 3'!O76</f>
        <v>115254.73000000045</v>
      </c>
      <c r="Q76" s="31">
        <f t="shared" ref="Q76" ca="1" si="43">O76+P76</f>
        <v>32157.735008703166</v>
      </c>
      <c r="R76" s="31">
        <f ca="1">+Q76+N76</f>
        <v>8328171.0650087027</v>
      </c>
      <c r="T76" s="12"/>
      <c r="U76" s="12"/>
      <c r="V76" s="16"/>
    </row>
    <row r="77" spans="1:22" ht="15.75" customHeight="1">
      <c r="B77" s="4" t="s">
        <v>35</v>
      </c>
      <c r="D77" s="32">
        <f t="shared" ref="D77:R77" ca="1" si="44">SUM(D76:D76)</f>
        <v>138.083333333333</v>
      </c>
      <c r="E77" s="32">
        <f t="shared" ca="1" si="44"/>
        <v>0.50000000000034106</v>
      </c>
      <c r="F77" s="32">
        <f t="shared" si="44"/>
        <v>138.58333333333334</v>
      </c>
      <c r="G77" s="32">
        <f t="shared" ca="1" si="44"/>
        <v>109208584</v>
      </c>
      <c r="H77" s="32">
        <f t="shared" ca="1" si="44"/>
        <v>1503569.2477187554</v>
      </c>
      <c r="I77" s="32">
        <f t="shared" si="44"/>
        <v>383600</v>
      </c>
      <c r="J77" s="32">
        <f t="shared" si="44"/>
        <v>0</v>
      </c>
      <c r="K77" s="32">
        <f t="shared" si="44"/>
        <v>0</v>
      </c>
      <c r="L77" s="32">
        <f t="shared" ca="1" si="44"/>
        <v>1887169.2477187554</v>
      </c>
      <c r="M77" s="92">
        <f t="shared" ca="1" si="44"/>
        <v>111095753.24771875</v>
      </c>
      <c r="N77" s="29">
        <f t="shared" ca="1" si="44"/>
        <v>8296013.3299999991</v>
      </c>
      <c r="O77" s="29">
        <f t="shared" ca="1" si="44"/>
        <v>-83096.994991297281</v>
      </c>
      <c r="P77" s="29">
        <f t="shared" si="44"/>
        <v>115254.73000000045</v>
      </c>
      <c r="Q77" s="29">
        <f t="shared" ca="1" si="44"/>
        <v>32157.735008703166</v>
      </c>
      <c r="R77" s="29">
        <f t="shared" ca="1" si="44"/>
        <v>8328171.0650087027</v>
      </c>
      <c r="T77" s="8"/>
      <c r="U77" s="8"/>
      <c r="V77" s="55"/>
    </row>
    <row r="78" spans="1:22" ht="15.75" customHeight="1">
      <c r="D78" s="32"/>
      <c r="E78" s="32"/>
      <c r="F78" s="32"/>
      <c r="G78" s="32"/>
      <c r="H78" s="32"/>
      <c r="I78" s="32"/>
      <c r="J78" s="32"/>
      <c r="K78" s="9"/>
      <c r="L78" s="9"/>
      <c r="M78" s="48"/>
      <c r="N78" s="29"/>
      <c r="O78" s="29"/>
      <c r="P78" s="29"/>
      <c r="Q78" s="29"/>
      <c r="R78" s="8"/>
      <c r="T78" s="8"/>
      <c r="U78" s="8"/>
      <c r="V78" s="55"/>
    </row>
    <row r="79" spans="1:22" ht="15.75" customHeight="1">
      <c r="B79" s="873" t="s">
        <v>167</v>
      </c>
      <c r="C79" s="11"/>
      <c r="D79" s="32">
        <f ca="1">SUMIF('305 Inputs'!$A$51:$A$71,"=47",'305 Inputs'!$J$51:$J$70)</f>
        <v>1</v>
      </c>
      <c r="E79" s="32">
        <f t="shared" ref="E79:E81" ca="1" si="45">F79-D79</f>
        <v>0</v>
      </c>
      <c r="F79" s="32">
        <f>'Pages 4-11, All Other Schedules'!B871/12</f>
        <v>1</v>
      </c>
      <c r="G79" s="32">
        <f ca="1">SUMIF('305 Inputs'!$A$51:$A$71,"=47",'305 Inputs'!H$51:H$70)</f>
        <v>1706000</v>
      </c>
      <c r="H79" s="32">
        <f ca="1">'Normalized Monthly kWh'!AC28</f>
        <v>23474.365497148876</v>
      </c>
      <c r="I79" s="32">
        <f>'305 VS COGNOS kWh'!E36+'305 VS COGNOS kWh'!K36</f>
        <v>5000</v>
      </c>
      <c r="J79" s="32">
        <v>0</v>
      </c>
      <c r="K79" s="32">
        <v>0</v>
      </c>
      <c r="L79" s="32">
        <f t="shared" ref="L79:L82" ca="1" si="46">H79+I79+J79+K79</f>
        <v>28474.365497148876</v>
      </c>
      <c r="M79" s="92">
        <f ca="1">G79+L79</f>
        <v>1734474.3654971488</v>
      </c>
      <c r="N79" s="29">
        <f ca="1">'Table 3'!D79</f>
        <v>283827.84999999998</v>
      </c>
      <c r="O79" s="29">
        <f ca="1">'Table 3'!K79</f>
        <v>2547.0516938615901</v>
      </c>
      <c r="P79" s="29">
        <f>'Table 3'!O79</f>
        <v>4185.609999999986</v>
      </c>
      <c r="Q79" s="29">
        <f ca="1">O79+P79</f>
        <v>6732.6616938615762</v>
      </c>
      <c r="R79" s="29">
        <f ca="1">+Q79+N79</f>
        <v>290560.51169386157</v>
      </c>
      <c r="T79" s="8"/>
      <c r="U79" s="8"/>
      <c r="V79" s="55"/>
    </row>
    <row r="80" spans="1:22" ht="15.75" customHeight="1">
      <c r="B80" s="873" t="s">
        <v>54</v>
      </c>
      <c r="C80" s="11"/>
      <c r="D80" s="32">
        <f ca="1">SUMIF('305 Inputs'!$A$51:$A$71,"=48m",'305 Inputs'!$J$51:$J$70)</f>
        <v>32.9166666666667</v>
      </c>
      <c r="E80" s="32">
        <f t="shared" ca="1" si="45"/>
        <v>-1.1666666666666998</v>
      </c>
      <c r="F80" s="32">
        <f>'Pages 4-11, All Other Schedules'!B1060/12</f>
        <v>31.75</v>
      </c>
      <c r="G80" s="32">
        <f>'305 VS COGNOS kWh'!C37</f>
        <v>213510352</v>
      </c>
      <c r="H80" s="32">
        <f ca="1">'Normalized Monthly kWh'!AC30</f>
        <v>2929218.748509191</v>
      </c>
      <c r="I80" s="32">
        <f>'305 VS COGNOS kWh'!E37+'305 VS COGNOS kWh'!K37</f>
        <v>-5400</v>
      </c>
      <c r="J80" s="32">
        <v>0</v>
      </c>
      <c r="K80" s="32">
        <v>0</v>
      </c>
      <c r="L80" s="32">
        <f t="shared" ca="1" si="46"/>
        <v>2923818.748509191</v>
      </c>
      <c r="M80" s="92">
        <f ca="1">G80+L80</f>
        <v>216434170.7485092</v>
      </c>
      <c r="N80" s="29">
        <f>'Table 3'!D80</f>
        <v>14028679.640000001</v>
      </c>
      <c r="O80" s="29">
        <f ca="1">'Table 3'!K80</f>
        <v>-230229.06617387122</v>
      </c>
      <c r="P80" s="29">
        <f>'Table 3'!O80</f>
        <v>191017.59999999963</v>
      </c>
      <c r="Q80" s="29">
        <f ca="1">O80+P80</f>
        <v>-39211.466173871595</v>
      </c>
      <c r="R80" s="29">
        <f ca="1">+Q80+N80</f>
        <v>13989468.173826128</v>
      </c>
      <c r="T80" s="8"/>
      <c r="U80" s="8"/>
      <c r="V80" s="55"/>
    </row>
    <row r="81" spans="2:22" ht="15.75" customHeight="1">
      <c r="B81" s="873" t="s">
        <v>593</v>
      </c>
      <c r="C81" s="11"/>
      <c r="D81" s="93">
        <f ca="1">SUMIF('305 Inputs'!$A$51:$A$71,"=48t",'305 Inputs'!$J$51:$J$70)</f>
        <v>0</v>
      </c>
      <c r="E81" s="93">
        <f t="shared" ca="1" si="45"/>
        <v>1</v>
      </c>
      <c r="F81" s="93">
        <f>'Pages 4-11, All Other Schedules'!B1080/12</f>
        <v>1</v>
      </c>
      <c r="G81" s="93">
        <f>'305 VS COGNOS kWh'!C38</f>
        <v>467514000</v>
      </c>
      <c r="H81" s="93">
        <f ca="1">'Normalized Monthly kWh'!AC29</f>
        <v>6414140.5675242878</v>
      </c>
      <c r="I81" s="93">
        <f>'305 VS COGNOS kWh'!E38+'305 VS COGNOS kWh'!K38</f>
        <v>0</v>
      </c>
      <c r="J81" s="93">
        <v>0</v>
      </c>
      <c r="K81" s="93">
        <v>0</v>
      </c>
      <c r="L81" s="93">
        <f t="shared" ca="1" si="46"/>
        <v>6414140.5675242878</v>
      </c>
      <c r="M81" s="94">
        <f ca="1">G81+L81</f>
        <v>473928140.56752431</v>
      </c>
      <c r="N81" s="31">
        <f>'Table 3'!D81</f>
        <v>25255341.079999998</v>
      </c>
      <c r="O81" s="31">
        <f ca="1">'Table 3'!K81</f>
        <v>-555774.17403331771</v>
      </c>
      <c r="P81" s="31">
        <f>'Table 3'!O81</f>
        <v>358667.48000000045</v>
      </c>
      <c r="Q81" s="31">
        <f t="shared" ref="Q81" ca="1" si="47">O81+P81</f>
        <v>-197106.69403331727</v>
      </c>
      <c r="R81" s="31">
        <f ca="1">+Q81+N81</f>
        <v>25058234.385966681</v>
      </c>
      <c r="V81" s="55"/>
    </row>
    <row r="82" spans="2:22" ht="15.75" customHeight="1">
      <c r="B82" s="4" t="s">
        <v>35</v>
      </c>
      <c r="D82" s="32">
        <f t="shared" ref="D82:J82" ca="1" si="48">SUM(D79:D81)</f>
        <v>33.9166666666667</v>
      </c>
      <c r="E82" s="32">
        <f t="shared" ca="1" si="48"/>
        <v>-0.16666666666669983</v>
      </c>
      <c r="F82" s="32">
        <f t="shared" si="48"/>
        <v>33.75</v>
      </c>
      <c r="G82" s="32">
        <f t="shared" ca="1" si="48"/>
        <v>682730352</v>
      </c>
      <c r="H82" s="32">
        <f t="shared" ca="1" si="48"/>
        <v>9366833.6815306284</v>
      </c>
      <c r="I82" s="32">
        <f t="shared" si="48"/>
        <v>-400</v>
      </c>
      <c r="J82" s="32">
        <f t="shared" si="48"/>
        <v>0</v>
      </c>
      <c r="K82" s="32">
        <f t="shared" ref="K82:R82" si="49">SUM(K79:K81)</f>
        <v>0</v>
      </c>
      <c r="L82" s="32">
        <f t="shared" ca="1" si="46"/>
        <v>9366433.6815306284</v>
      </c>
      <c r="M82" s="92">
        <f ca="1">SUM(M79:M81)</f>
        <v>692096785.68153071</v>
      </c>
      <c r="N82" s="29">
        <f t="shared" ca="1" si="49"/>
        <v>39567848.57</v>
      </c>
      <c r="O82" s="29">
        <f t="shared" ca="1" si="49"/>
        <v>-783456.18851332739</v>
      </c>
      <c r="P82" s="29">
        <f t="shared" si="49"/>
        <v>553870.69000000006</v>
      </c>
      <c r="Q82" s="29">
        <f t="shared" ca="1" si="49"/>
        <v>-229585.49851332727</v>
      </c>
      <c r="R82" s="29">
        <f t="shared" ca="1" si="49"/>
        <v>39338263.071486667</v>
      </c>
      <c r="T82" s="8"/>
      <c r="U82" s="8"/>
      <c r="V82" s="55"/>
    </row>
    <row r="83" spans="2:22" ht="15.75" customHeight="1">
      <c r="D83" s="32"/>
      <c r="E83" s="32"/>
      <c r="F83" s="32"/>
      <c r="G83" s="32"/>
      <c r="H83" s="32"/>
      <c r="I83" s="32"/>
      <c r="J83" s="32"/>
      <c r="K83" s="9"/>
      <c r="L83" s="32"/>
      <c r="M83" s="48"/>
      <c r="N83" s="29"/>
      <c r="O83" s="29"/>
      <c r="P83" s="29"/>
      <c r="Q83" s="29"/>
      <c r="R83" s="8"/>
      <c r="T83" s="8"/>
      <c r="U83" s="8"/>
      <c r="V83" s="55"/>
    </row>
    <row r="84" spans="2:22" ht="15.75" customHeight="1">
      <c r="B84" s="873" t="s">
        <v>55</v>
      </c>
      <c r="D84" s="93">
        <f ca="1">SUMIF('305 Inputs'!$A$51:$A$71,"=15n",'305 Inputs'!$J$51:$J$70)</f>
        <v>57.5833333333333</v>
      </c>
      <c r="E84" s="93">
        <f ca="1">F84-D84</f>
        <v>0.50000000000003553</v>
      </c>
      <c r="F84" s="93">
        <f>'Pages 4-11, All Other Schedules'!B74/12</f>
        <v>58.083333333333336</v>
      </c>
      <c r="G84" s="93">
        <f ca="1">SUMIF('305 Inputs'!$A$51:$A$71,"=15n",'305 Inputs'!H$51:H$70)</f>
        <v>150285</v>
      </c>
      <c r="H84" s="93">
        <f ca="1">'Normalized Monthly kWh'!AC31</f>
        <v>2058.6634390073832</v>
      </c>
      <c r="I84" s="93">
        <f>'305 VS COGNOS kWh'!E40+'305 VS COGNOS kWh'!K40</f>
        <v>-233</v>
      </c>
      <c r="J84" s="93">
        <v>0</v>
      </c>
      <c r="K84" s="93">
        <v>0</v>
      </c>
      <c r="L84" s="93">
        <f ca="1">H84+I84+J84+K84</f>
        <v>1825.6634390073832</v>
      </c>
      <c r="M84" s="94">
        <f ca="1">G84+L84</f>
        <v>152110.66343900739</v>
      </c>
      <c r="N84" s="90">
        <f ca="1">'Table 3'!D84</f>
        <v>19932.370000000003</v>
      </c>
      <c r="O84" s="31">
        <f ca="1">'Table 3'!K84</f>
        <v>127.32323111925756</v>
      </c>
      <c r="P84" s="31">
        <f>'Table 3'!O84</f>
        <v>-2.5900000000001455</v>
      </c>
      <c r="Q84" s="31">
        <f t="shared" ref="Q84" ca="1" si="50">O84+P84</f>
        <v>124.73323111925741</v>
      </c>
      <c r="R84" s="31">
        <f ca="1">+Q84+N84</f>
        <v>20057.103231119261</v>
      </c>
      <c r="T84" s="8"/>
      <c r="U84" s="8"/>
      <c r="V84" s="55"/>
    </row>
    <row r="85" spans="2:22" ht="15.75" customHeight="1">
      <c r="B85" s="4" t="s">
        <v>35</v>
      </c>
      <c r="D85" s="32">
        <f t="shared" ref="D85:R85" ca="1" si="51">SUM(D84:D84)</f>
        <v>57.5833333333333</v>
      </c>
      <c r="E85" s="32">
        <f t="shared" ca="1" si="51"/>
        <v>0.50000000000003553</v>
      </c>
      <c r="F85" s="32">
        <f t="shared" si="51"/>
        <v>58.083333333333336</v>
      </c>
      <c r="G85" s="32">
        <f ca="1">SUM(G84:G84)</f>
        <v>150285</v>
      </c>
      <c r="H85" s="32">
        <f ca="1">SUM(H84:H84)</f>
        <v>2058.6634390073832</v>
      </c>
      <c r="I85" s="32">
        <f>SUM(I84:I84)</f>
        <v>-233</v>
      </c>
      <c r="J85" s="32">
        <f>SUM(J84:J84)</f>
        <v>0</v>
      </c>
      <c r="K85" s="32">
        <f t="shared" si="51"/>
        <v>0</v>
      </c>
      <c r="L85" s="32">
        <f t="shared" ca="1" si="51"/>
        <v>1825.6634390073832</v>
      </c>
      <c r="M85" s="92">
        <f t="shared" ca="1" si="51"/>
        <v>152110.66343900739</v>
      </c>
      <c r="N85" s="29">
        <f t="shared" ca="1" si="51"/>
        <v>19932.370000000003</v>
      </c>
      <c r="O85" s="29">
        <f t="shared" ca="1" si="51"/>
        <v>127.32323111925756</v>
      </c>
      <c r="P85" s="29">
        <f t="shared" si="51"/>
        <v>-2.5900000000001455</v>
      </c>
      <c r="Q85" s="29">
        <f ca="1">SUM(Q84:Q84)</f>
        <v>124.73323111925741</v>
      </c>
      <c r="R85" s="29">
        <f t="shared" ca="1" si="51"/>
        <v>20057.103231119261</v>
      </c>
      <c r="V85" s="55"/>
    </row>
    <row r="86" spans="2:22" ht="15.75" customHeight="1">
      <c r="D86" s="32"/>
      <c r="E86" s="32"/>
      <c r="F86" s="32"/>
      <c r="G86" s="32"/>
      <c r="H86" s="32"/>
      <c r="I86" s="32"/>
      <c r="J86" s="32"/>
      <c r="K86" s="9" t="s">
        <v>31</v>
      </c>
      <c r="L86" s="9" t="s">
        <v>31</v>
      </c>
      <c r="M86" s="48" t="s">
        <v>31</v>
      </c>
      <c r="N86" s="29" t="s">
        <v>31</v>
      </c>
      <c r="O86" s="29"/>
      <c r="P86" s="29"/>
      <c r="Q86" s="29"/>
      <c r="R86" s="8"/>
      <c r="T86" s="8"/>
      <c r="U86" s="8"/>
      <c r="V86" s="55"/>
    </row>
    <row r="87" spans="2:22" s="11" customFormat="1" ht="15.75" customHeight="1">
      <c r="B87" s="4" t="s">
        <v>34</v>
      </c>
      <c r="D87" s="93">
        <v>0</v>
      </c>
      <c r="E87" s="93"/>
      <c r="F87" s="93"/>
      <c r="G87" s="93">
        <f ca="1">SUMIF('305 Inputs'!$A$51:$A$71,"=aga",'305 Inputs'!H$51:H$70)</f>
        <v>0</v>
      </c>
      <c r="H87" s="93"/>
      <c r="I87" s="93"/>
      <c r="J87" s="93">
        <v>0</v>
      </c>
      <c r="K87" s="93">
        <v>0</v>
      </c>
      <c r="L87" s="32">
        <f>H87+J87+K87</f>
        <v>0</v>
      </c>
      <c r="M87" s="94">
        <f ca="1">G87+L87</f>
        <v>0</v>
      </c>
      <c r="N87" s="31">
        <f ca="1">'Table 3'!D87</f>
        <v>0</v>
      </c>
      <c r="O87" s="31">
        <f>'Table 3'!K87</f>
        <v>0</v>
      </c>
      <c r="P87" s="31">
        <f ca="1">'Table 3'!O87</f>
        <v>0</v>
      </c>
      <c r="Q87" s="31">
        <f t="shared" ref="Q87" ca="1" si="52">O87+P87</f>
        <v>0</v>
      </c>
      <c r="R87" s="31">
        <f ca="1">+Q87+N87</f>
        <v>0</v>
      </c>
      <c r="T87" s="12"/>
      <c r="U87" s="12"/>
      <c r="V87" s="16"/>
    </row>
    <row r="88" spans="2:22" s="11" customFormat="1" ht="15.75" customHeight="1">
      <c r="B88" s="4"/>
      <c r="D88" s="93"/>
      <c r="E88" s="93"/>
      <c r="F88" s="93"/>
      <c r="G88" s="93"/>
      <c r="H88" s="93"/>
      <c r="I88" s="93"/>
      <c r="J88" s="93"/>
      <c r="K88" s="93"/>
      <c r="L88" s="93"/>
      <c r="M88" s="94"/>
      <c r="N88" s="31"/>
      <c r="O88" s="31"/>
      <c r="P88" s="31"/>
      <c r="Q88" s="31"/>
      <c r="R88" s="31"/>
      <c r="T88" s="12"/>
      <c r="U88" s="12"/>
      <c r="V88" s="16"/>
    </row>
    <row r="89" spans="2:22" s="11" customFormat="1" ht="15.75" customHeight="1">
      <c r="B89" s="4" t="s">
        <v>679</v>
      </c>
      <c r="D89" s="93">
        <f ca="1">SUMIF('305 Inputs'!$A$51:$A$71,"=def",'305 Inputs'!$J$51:$J$70)</f>
        <v>0</v>
      </c>
      <c r="E89" s="93"/>
      <c r="F89" s="93"/>
      <c r="G89" s="93">
        <f ca="1">SUMIF('305 Inputs'!$A$51:$A$71,"=def",'305 Inputs'!H$51:H$70)</f>
        <v>0</v>
      </c>
      <c r="H89" s="93"/>
      <c r="I89" s="93"/>
      <c r="J89" s="93">
        <v>0</v>
      </c>
      <c r="K89" s="93">
        <v>0</v>
      </c>
      <c r="L89" s="93">
        <f>K89</f>
        <v>0</v>
      </c>
      <c r="M89" s="94">
        <v>0</v>
      </c>
      <c r="N89" s="31">
        <f ca="1">'Table 3'!D89</f>
        <v>-510000</v>
      </c>
      <c r="O89" s="31">
        <f ca="1">'Table 3'!K89</f>
        <v>510000</v>
      </c>
      <c r="P89" s="31">
        <f ca="1">'Table 3'!O89</f>
        <v>0</v>
      </c>
      <c r="Q89" s="31">
        <f t="shared" ref="Q89:Q93" ca="1" si="53">O89+P89</f>
        <v>510000</v>
      </c>
      <c r="R89" s="31">
        <f ca="1">+Q89+N89</f>
        <v>0</v>
      </c>
      <c r="T89" s="12"/>
      <c r="U89" s="12"/>
      <c r="V89" s="16"/>
    </row>
    <row r="90" spans="2:22" ht="15.75" customHeight="1">
      <c r="B90" s="4" t="s">
        <v>764</v>
      </c>
      <c r="D90" s="93">
        <f ca="1">SUMIF('305 Inputs'!$A$51:$A$71,"=rev",'305 Inputs'!$J$51:$J$70)</f>
        <v>0</v>
      </c>
      <c r="E90" s="93"/>
      <c r="F90" s="93"/>
      <c r="G90" s="93">
        <f ca="1">SUMIF('305 Inputs'!$A$51:$A$71,"=rev",'305 Inputs'!H$51:H$70)</f>
        <v>0</v>
      </c>
      <c r="H90" s="93"/>
      <c r="I90" s="93"/>
      <c r="J90" s="93">
        <v>0</v>
      </c>
      <c r="K90" s="93">
        <v>0</v>
      </c>
      <c r="L90" s="93">
        <f t="shared" ref="L90:L93" si="54">K90</f>
        <v>0</v>
      </c>
      <c r="M90" s="94">
        <v>0</v>
      </c>
      <c r="N90" s="29">
        <f ca="1">'Table 3'!D90</f>
        <v>-2291545.7600000002</v>
      </c>
      <c r="O90" s="29">
        <f ca="1">'Table 3'!K90</f>
        <v>2291545.7600000002</v>
      </c>
      <c r="P90" s="31">
        <f ca="1">'Table 3'!O90</f>
        <v>0</v>
      </c>
      <c r="Q90" s="31">
        <f t="shared" ca="1" si="53"/>
        <v>2291545.7600000002</v>
      </c>
      <c r="R90" s="31">
        <f ca="1">+Q90+N90</f>
        <v>0</v>
      </c>
      <c r="T90" s="8"/>
      <c r="U90" s="8"/>
      <c r="V90" s="55"/>
    </row>
    <row r="91" spans="2:22" s="11" customFormat="1" ht="15.75" customHeight="1">
      <c r="B91" s="4" t="s">
        <v>773</v>
      </c>
      <c r="D91" s="93">
        <v>0</v>
      </c>
      <c r="E91" s="93"/>
      <c r="F91" s="93"/>
      <c r="G91" s="93">
        <f ca="1">SUMIF('305 Inputs'!$A$51:$A$71,"=cent",'305 Inputs'!H$51:H$70)</f>
        <v>0</v>
      </c>
      <c r="H91" s="93"/>
      <c r="I91" s="93"/>
      <c r="J91" s="93">
        <v>0</v>
      </c>
      <c r="K91" s="93">
        <v>0</v>
      </c>
      <c r="L91" s="93">
        <f t="shared" si="54"/>
        <v>0</v>
      </c>
      <c r="M91" s="94">
        <f ca="1">G91+L91</f>
        <v>0</v>
      </c>
      <c r="N91" s="31">
        <f ca="1">'Table 3'!D91</f>
        <v>647525.55000000005</v>
      </c>
      <c r="O91" s="31">
        <f ca="1">'Table 3'!K91</f>
        <v>-647525.55000000005</v>
      </c>
      <c r="P91" s="31">
        <f ca="1">'Table 3'!O91</f>
        <v>0</v>
      </c>
      <c r="Q91" s="31">
        <f t="shared" ca="1" si="53"/>
        <v>-647525.55000000005</v>
      </c>
      <c r="R91" s="31">
        <f ca="1">+Q91+N91</f>
        <v>0</v>
      </c>
      <c r="T91" s="12"/>
      <c r="U91" s="12"/>
      <c r="V91" s="16"/>
    </row>
    <row r="92" spans="2:22" s="11" customFormat="1" ht="15.75" customHeight="1">
      <c r="B92" s="4" t="s">
        <v>96</v>
      </c>
      <c r="D92" s="93">
        <v>0</v>
      </c>
      <c r="E92" s="93"/>
      <c r="F92" s="93"/>
      <c r="G92" s="93">
        <f ca="1">SUMIF('305 Inputs'!$A$51:$A$71,"=bpa",'305 Inputs'!H$51:H$70)</f>
        <v>0</v>
      </c>
      <c r="H92" s="93"/>
      <c r="I92" s="93"/>
      <c r="J92" s="93">
        <v>0</v>
      </c>
      <c r="K92" s="93">
        <v>0</v>
      </c>
      <c r="L92" s="93">
        <f t="shared" si="54"/>
        <v>0</v>
      </c>
      <c r="M92" s="94">
        <f ca="1">G92+L92</f>
        <v>0</v>
      </c>
      <c r="N92" s="31">
        <f ca="1">'Table 3'!D92</f>
        <v>876.09</v>
      </c>
      <c r="O92" s="31">
        <f ca="1">'Table 3'!K92</f>
        <v>-876.09</v>
      </c>
      <c r="P92" s="31">
        <f ca="1">'Table 3'!O92</f>
        <v>0</v>
      </c>
      <c r="Q92" s="31">
        <f t="shared" ca="1" si="53"/>
        <v>-876.09</v>
      </c>
      <c r="R92" s="31">
        <f ca="1">+Q92+N92</f>
        <v>0</v>
      </c>
      <c r="T92" s="12"/>
      <c r="U92" s="12"/>
      <c r="V92" s="16"/>
    </row>
    <row r="93" spans="2:22" s="11" customFormat="1" ht="15.75" customHeight="1">
      <c r="B93" s="4" t="s">
        <v>698</v>
      </c>
      <c r="D93" s="93">
        <v>0</v>
      </c>
      <c r="E93" s="93"/>
      <c r="F93" s="93"/>
      <c r="G93" s="93">
        <f ca="1">SUMIF('305 Inputs'!$A$51:$A$71,"=smudj",'305 Inputs'!H$51:H$70)</f>
        <v>0</v>
      </c>
      <c r="H93" s="93"/>
      <c r="I93" s="93"/>
      <c r="J93" s="93">
        <v>0</v>
      </c>
      <c r="K93" s="93">
        <v>0</v>
      </c>
      <c r="L93" s="93">
        <f t="shared" si="54"/>
        <v>0</v>
      </c>
      <c r="M93" s="94">
        <f ca="1">G93+L93</f>
        <v>0</v>
      </c>
      <c r="N93" s="31">
        <f ca="1">'Table 3'!D93</f>
        <v>73835.13</v>
      </c>
      <c r="O93" s="31">
        <f ca="1">'Table 3'!K93</f>
        <v>-73835.13</v>
      </c>
      <c r="P93" s="31">
        <f ca="1">'Table 3'!O93</f>
        <v>0</v>
      </c>
      <c r="Q93" s="31">
        <f t="shared" ca="1" si="53"/>
        <v>-73835.13</v>
      </c>
      <c r="R93" s="31">
        <f ca="1">+Q93+N93</f>
        <v>0</v>
      </c>
      <c r="T93" s="12"/>
      <c r="U93" s="12"/>
      <c r="V93" s="16"/>
    </row>
    <row r="94" spans="2:22" ht="15.75" customHeight="1">
      <c r="D94" s="32"/>
      <c r="E94" s="32"/>
      <c r="F94" s="32"/>
      <c r="G94" s="32"/>
      <c r="H94" s="32"/>
      <c r="I94" s="32"/>
      <c r="J94" s="32"/>
      <c r="K94" s="9"/>
      <c r="L94" s="9"/>
      <c r="M94" s="48"/>
      <c r="N94" s="29"/>
      <c r="O94" s="29"/>
      <c r="P94" s="29"/>
      <c r="Q94" s="29"/>
      <c r="R94" s="29"/>
      <c r="T94" s="8"/>
      <c r="U94" s="8"/>
      <c r="V94" s="55"/>
    </row>
    <row r="95" spans="2:22" s="11" customFormat="1" ht="15.75" customHeight="1">
      <c r="B95" s="4" t="s">
        <v>80</v>
      </c>
      <c r="D95" s="93">
        <v>0</v>
      </c>
      <c r="E95" s="93"/>
      <c r="F95" s="93"/>
      <c r="G95" s="93">
        <f ca="1">SUMIF('305 Inputs'!$A$51:$A$71,"unbilled",'305 Inputs'!H$51:H$70)</f>
        <v>11112000</v>
      </c>
      <c r="H95" s="93">
        <f ca="1">-G95</f>
        <v>-11112000</v>
      </c>
      <c r="I95" s="93"/>
      <c r="J95" s="93">
        <v>0</v>
      </c>
      <c r="K95" s="93">
        <v>0</v>
      </c>
      <c r="L95" s="93">
        <f t="shared" ref="L95" ca="1" si="55">H95+I95+J95+K95</f>
        <v>-11112000</v>
      </c>
      <c r="M95" s="94">
        <f ca="1">G95+L95</f>
        <v>0</v>
      </c>
      <c r="N95" s="31">
        <f ca="1">'Table 3'!D95</f>
        <v>782000</v>
      </c>
      <c r="O95" s="31">
        <f ca="1">'Table 3'!K95</f>
        <v>-782000</v>
      </c>
      <c r="P95" s="31">
        <f ca="1">'Table 3'!O95</f>
        <v>0</v>
      </c>
      <c r="Q95" s="31">
        <f t="shared" ref="Q95" ca="1" si="56">O95+P95</f>
        <v>-782000</v>
      </c>
      <c r="R95" s="31">
        <f ca="1">+Q95+N95</f>
        <v>0</v>
      </c>
      <c r="T95" s="12"/>
      <c r="U95" s="12"/>
      <c r="V95" s="16"/>
    </row>
    <row r="96" spans="2:22" ht="15.75" customHeight="1">
      <c r="B96" s="11"/>
      <c r="D96" s="32"/>
      <c r="E96" s="32"/>
      <c r="F96" s="32"/>
      <c r="G96" s="32"/>
      <c r="H96" s="32"/>
      <c r="I96" s="32"/>
      <c r="J96" s="32"/>
      <c r="K96" s="9"/>
      <c r="L96" s="9"/>
      <c r="M96" s="48"/>
      <c r="N96" s="29"/>
      <c r="O96" s="661"/>
      <c r="P96" s="661"/>
      <c r="Q96" s="661"/>
      <c r="R96" s="8"/>
      <c r="T96" s="8"/>
      <c r="U96" s="8"/>
      <c r="V96" s="55"/>
    </row>
    <row r="97" spans="1:22" ht="15.75" customHeight="1">
      <c r="B97" s="33" t="s">
        <v>9</v>
      </c>
      <c r="C97" s="34"/>
      <c r="D97" s="97">
        <f t="shared" ref="D97:R97" ca="1" si="57">+D74+D77+D82+D85+D87+SUM(D89:D95)</f>
        <v>686.91666666666595</v>
      </c>
      <c r="E97" s="97">
        <f t="shared" ca="1" si="57"/>
        <v>1.7861111111118007</v>
      </c>
      <c r="F97" s="97">
        <f t="shared" si="57"/>
        <v>688.70277777777778</v>
      </c>
      <c r="G97" s="97">
        <f t="shared" ca="1" si="57"/>
        <v>820615298</v>
      </c>
      <c r="H97" s="97">
        <f t="shared" ca="1" si="57"/>
        <v>0</v>
      </c>
      <c r="I97" s="97">
        <f t="shared" si="57"/>
        <v>428370</v>
      </c>
      <c r="J97" s="97">
        <f t="shared" si="57"/>
        <v>0</v>
      </c>
      <c r="K97" s="97">
        <f t="shared" si="57"/>
        <v>0</v>
      </c>
      <c r="L97" s="97">
        <f t="shared" ca="1" si="57"/>
        <v>428369.99999999814</v>
      </c>
      <c r="M97" s="97">
        <f t="shared" ca="1" si="57"/>
        <v>821043668.00000012</v>
      </c>
      <c r="N97" s="37">
        <f t="shared" ca="1" si="57"/>
        <v>48110950.319999993</v>
      </c>
      <c r="O97" s="37">
        <f t="shared" ca="1" si="57"/>
        <v>416176.13717418606</v>
      </c>
      <c r="P97" s="37">
        <f t="shared" ca="1" si="57"/>
        <v>690316.20282581437</v>
      </c>
      <c r="Q97" s="37">
        <f t="shared" ca="1" si="57"/>
        <v>1106492.3400000005</v>
      </c>
      <c r="R97" s="37">
        <f t="shared" ca="1" si="57"/>
        <v>49217442.659999989</v>
      </c>
      <c r="T97" s="8"/>
      <c r="U97" s="8"/>
      <c r="V97" s="55"/>
    </row>
    <row r="98" spans="1:22" ht="15.75" customHeight="1">
      <c r="B98" s="7"/>
      <c r="C98" s="7"/>
      <c r="D98" s="32" t="s">
        <v>31</v>
      </c>
      <c r="E98" s="32"/>
      <c r="F98" s="32"/>
      <c r="G98" s="32"/>
      <c r="H98" s="32"/>
      <c r="I98" s="32"/>
      <c r="J98" s="32"/>
      <c r="K98" s="9"/>
      <c r="L98" s="9"/>
      <c r="M98" s="48"/>
      <c r="N98" s="29" t="s">
        <v>31</v>
      </c>
      <c r="O98" s="9"/>
      <c r="P98" s="9"/>
      <c r="Q98" s="9"/>
      <c r="R98" s="9"/>
      <c r="T98" s="8"/>
      <c r="U98" s="8"/>
      <c r="V98" s="55"/>
    </row>
    <row r="99" spans="1:22" ht="15.75" customHeight="1">
      <c r="A99" s="5" t="s">
        <v>206</v>
      </c>
      <c r="B99" s="873"/>
      <c r="D99" s="32"/>
      <c r="E99" s="32"/>
      <c r="F99" s="32"/>
      <c r="G99" s="32"/>
      <c r="H99" s="32"/>
      <c r="I99" s="32"/>
      <c r="J99" s="32"/>
      <c r="K99" s="9"/>
      <c r="L99" s="9"/>
      <c r="M99" s="48"/>
      <c r="N99" s="29"/>
      <c r="O99" s="29"/>
      <c r="P99" s="29"/>
      <c r="Q99" s="29"/>
      <c r="R99" s="29"/>
      <c r="V99" s="55"/>
    </row>
    <row r="100" spans="1:22" ht="15.75" customHeight="1">
      <c r="A100" s="5"/>
      <c r="B100" s="873"/>
      <c r="D100" s="32"/>
      <c r="E100" s="32"/>
      <c r="F100" s="32"/>
      <c r="G100" s="32"/>
      <c r="H100" s="32"/>
      <c r="I100" s="32"/>
      <c r="J100" s="32"/>
      <c r="K100" s="9"/>
      <c r="L100" s="9"/>
      <c r="M100" s="48"/>
      <c r="N100" s="29"/>
      <c r="O100" s="29"/>
      <c r="P100" s="29"/>
      <c r="Q100" s="29"/>
      <c r="R100" s="29"/>
      <c r="V100" s="55"/>
    </row>
    <row r="101" spans="1:22" ht="15.75" customHeight="1">
      <c r="B101" s="873" t="s">
        <v>58</v>
      </c>
      <c r="D101" s="32">
        <f ca="1">SUMIF('305 Inputs'!$A$77:$A$94,"=40",'305 Inputs'!$J$77:$J$91)</f>
        <v>5077.25</v>
      </c>
      <c r="E101" s="32">
        <f t="shared" ref="E101:E102" ca="1" si="58">F101-D101</f>
        <v>-12.25</v>
      </c>
      <c r="F101" s="32">
        <f>'Pages 4-11, All Other Schedules'!B768</f>
        <v>5065</v>
      </c>
      <c r="G101" s="32">
        <f ca="1">SUMIF('305 Inputs'!$A$77:$A$94,"=40",'305 Inputs'!$H$77:$H$91)</f>
        <v>146674202</v>
      </c>
      <c r="H101" s="32">
        <f ca="1">'Normalized Monthly kWh'!AC34</f>
        <v>2272009.0196180283</v>
      </c>
      <c r="I101" s="32">
        <f>'305 VS COGNOS kWh'!E45+'305 VS COGNOS kWh'!K45</f>
        <v>1202764</v>
      </c>
      <c r="J101" s="32">
        <v>0</v>
      </c>
      <c r="K101" s="32">
        <f>Temperature!B92*1000</f>
        <v>-2078487.6356633904</v>
      </c>
      <c r="L101" s="32">
        <f t="shared" ref="L101:L102" ca="1" si="59">H101+I101+J101+K101</f>
        <v>1396285.3839546379</v>
      </c>
      <c r="M101" s="92">
        <f ca="1">G101+L101</f>
        <v>148070487.38395464</v>
      </c>
      <c r="N101" s="29">
        <f ca="1">'Table 3'!D101</f>
        <v>11270342.289999999</v>
      </c>
      <c r="O101" s="29">
        <f ca="1">'Table 3'!K101</f>
        <v>420891.07330886024</v>
      </c>
      <c r="P101" s="29">
        <f>'Table 3'!O101</f>
        <v>170114.83999999985</v>
      </c>
      <c r="Q101" s="29">
        <f ca="1">O101+P101</f>
        <v>591005.91330886004</v>
      </c>
      <c r="R101" s="29">
        <f ca="1">+Q101+N101</f>
        <v>11861348.20330886</v>
      </c>
      <c r="T101" s="8"/>
      <c r="U101" s="8"/>
      <c r="V101" s="55"/>
    </row>
    <row r="102" spans="1:22" ht="15.75" customHeight="1">
      <c r="B102" s="873" t="s">
        <v>59</v>
      </c>
      <c r="D102" s="93">
        <f ca="1">SUMIF('305 Inputs'!$A$77:$A$94,"=40x",'305 Inputs'!$J$77:$J$91)</f>
        <v>187.833333333333</v>
      </c>
      <c r="E102" s="93">
        <f t="shared" ca="1" si="58"/>
        <v>7.1666666666669983</v>
      </c>
      <c r="F102" s="93">
        <f>'Pages 4-11, All Other Schedules'!B821</f>
        <v>195</v>
      </c>
      <c r="G102" s="93">
        <f ca="1">SUMIF('305 Inputs'!$A$77:$A$94,"=40x",'305 Inputs'!$H$77:$H$91)</f>
        <v>5321277</v>
      </c>
      <c r="H102" s="93">
        <f ca="1">'Normalized Monthly kWh'!AC35</f>
        <v>82990.980381971647</v>
      </c>
      <c r="I102" s="93">
        <f>'305 VS COGNOS kWh'!E46+'305 VS COGNOS kWh'!K46</f>
        <v>80310</v>
      </c>
      <c r="J102" s="93">
        <v>0</v>
      </c>
      <c r="K102" s="93">
        <v>0</v>
      </c>
      <c r="L102" s="93">
        <f t="shared" ca="1" si="59"/>
        <v>163300.98038197163</v>
      </c>
      <c r="M102" s="94">
        <f ca="1">G102+L102</f>
        <v>5484577.9803819712</v>
      </c>
      <c r="N102" s="90">
        <f ca="1">'Table 3'!D102</f>
        <v>429129.75</v>
      </c>
      <c r="O102" s="31">
        <f ca="1">'Table 3'!K102</f>
        <v>2678.5766911396513</v>
      </c>
      <c r="P102" s="31">
        <f>'Table 3'!O102</f>
        <v>6191.4700000000303</v>
      </c>
      <c r="Q102" s="31">
        <f t="shared" ref="Q102" ca="1" si="60">O102+P102</f>
        <v>8870.0466911396816</v>
      </c>
      <c r="R102" s="31">
        <f ca="1">+Q102+N102</f>
        <v>437999.79669113969</v>
      </c>
      <c r="T102" s="8"/>
      <c r="U102" s="8"/>
      <c r="V102" s="55"/>
    </row>
    <row r="103" spans="1:22" ht="15.75" customHeight="1">
      <c r="B103" s="4" t="s">
        <v>35</v>
      </c>
      <c r="D103" s="32">
        <f t="shared" ref="D103:J103" ca="1" si="61">SUM(D101:D102)</f>
        <v>5265.083333333333</v>
      </c>
      <c r="E103" s="32">
        <f t="shared" ca="1" si="61"/>
        <v>-5.0833333333330017</v>
      </c>
      <c r="F103" s="32">
        <f t="shared" si="61"/>
        <v>5260</v>
      </c>
      <c r="G103" s="32">
        <f t="shared" ca="1" si="61"/>
        <v>151995479</v>
      </c>
      <c r="H103" s="32">
        <f t="shared" ca="1" si="61"/>
        <v>2355000</v>
      </c>
      <c r="I103" s="32">
        <f t="shared" si="61"/>
        <v>1283074</v>
      </c>
      <c r="J103" s="32">
        <f t="shared" si="61"/>
        <v>0</v>
      </c>
      <c r="K103" s="32">
        <f t="shared" ref="K103:R103" si="62">SUM(K101:K102)</f>
        <v>-2078487.6356633904</v>
      </c>
      <c r="L103" s="32">
        <f ca="1">SUM(L101:L102)</f>
        <v>1559586.3643366096</v>
      </c>
      <c r="M103" s="92">
        <f ca="1">SUM(M101:M102)</f>
        <v>153555065.36433661</v>
      </c>
      <c r="N103" s="29">
        <f t="shared" ca="1" si="62"/>
        <v>11699472.039999999</v>
      </c>
      <c r="O103" s="29">
        <f t="shared" ca="1" si="62"/>
        <v>423569.64999999991</v>
      </c>
      <c r="P103" s="29">
        <f>SUM(P101:P102)</f>
        <v>176306.30999999988</v>
      </c>
      <c r="Q103" s="29">
        <f ca="1">SUM(Q101:Q102)</f>
        <v>599875.95999999973</v>
      </c>
      <c r="R103" s="29">
        <f t="shared" ca="1" si="62"/>
        <v>12299348</v>
      </c>
      <c r="T103" s="8"/>
      <c r="U103" s="8"/>
      <c r="V103" s="55"/>
    </row>
    <row r="104" spans="1:22" s="11" customFormat="1" ht="15.75" customHeight="1">
      <c r="A104" s="4"/>
      <c r="B104" s="4"/>
      <c r="C104" s="4"/>
      <c r="D104" s="32"/>
      <c r="E104" s="32"/>
      <c r="F104" s="32"/>
      <c r="G104" s="32"/>
      <c r="H104" s="32"/>
      <c r="I104" s="32"/>
      <c r="J104" s="32"/>
      <c r="K104" s="9" t="s">
        <v>31</v>
      </c>
      <c r="L104" s="9" t="s">
        <v>31</v>
      </c>
      <c r="M104" s="48" t="s">
        <v>31</v>
      </c>
      <c r="N104" s="29" t="s">
        <v>31</v>
      </c>
      <c r="O104" s="29" t="s">
        <v>31</v>
      </c>
      <c r="P104" s="29" t="s">
        <v>31</v>
      </c>
      <c r="Q104" s="29"/>
      <c r="R104" s="9"/>
      <c r="S104" s="11" t="s">
        <v>31</v>
      </c>
      <c r="T104" s="12"/>
      <c r="U104" s="12"/>
      <c r="V104" s="16"/>
    </row>
    <row r="105" spans="1:22" s="11" customFormat="1" ht="15.75" customHeight="1">
      <c r="B105" s="4" t="s">
        <v>34</v>
      </c>
      <c r="D105" s="93">
        <v>0</v>
      </c>
      <c r="E105" s="93"/>
      <c r="F105" s="93"/>
      <c r="G105" s="93">
        <f ca="1">SUMIF('305 Inputs'!$B$77:$B$94,"=aga",'305 Inputs'!$H$77:$H$91)</f>
        <v>0</v>
      </c>
      <c r="H105" s="93"/>
      <c r="I105" s="93"/>
      <c r="J105" s="93">
        <v>0</v>
      </c>
      <c r="K105" s="93">
        <v>0</v>
      </c>
      <c r="L105" s="93">
        <f>K105</f>
        <v>0</v>
      </c>
      <c r="M105" s="94">
        <f ca="1">G105+L105</f>
        <v>0</v>
      </c>
      <c r="N105" s="31">
        <f ca="1">'Table 3'!D105</f>
        <v>186753.91999999998</v>
      </c>
      <c r="O105" s="31">
        <f>'Table 3'!K105</f>
        <v>0</v>
      </c>
      <c r="P105" s="31">
        <f ca="1">'Table 3'!O105</f>
        <v>0</v>
      </c>
      <c r="Q105" s="31">
        <f t="shared" ref="Q105" ca="1" si="63">O105+P105</f>
        <v>0</v>
      </c>
      <c r="R105" s="31">
        <f ca="1">+Q105+N105</f>
        <v>186753.91999999998</v>
      </c>
      <c r="T105" s="12"/>
      <c r="U105" s="12"/>
      <c r="V105" s="16"/>
    </row>
    <row r="106" spans="1:22" s="11" customFormat="1" ht="15.75" customHeight="1">
      <c r="B106" s="4"/>
      <c r="D106" s="93"/>
      <c r="E106" s="93"/>
      <c r="F106" s="93"/>
      <c r="G106" s="93"/>
      <c r="H106" s="93"/>
      <c r="I106" s="93"/>
      <c r="J106" s="93"/>
      <c r="K106" s="93"/>
      <c r="L106" s="93"/>
      <c r="M106" s="94"/>
      <c r="N106" s="31"/>
      <c r="O106" s="31"/>
      <c r="P106" s="31"/>
      <c r="Q106" s="31"/>
      <c r="R106" s="31"/>
      <c r="T106" s="12"/>
      <c r="U106" s="12"/>
      <c r="V106" s="16"/>
    </row>
    <row r="107" spans="1:22" s="11" customFormat="1" ht="15.75" customHeight="1">
      <c r="B107" s="4" t="s">
        <v>765</v>
      </c>
      <c r="D107" s="93">
        <f ca="1">SUMIF('305 Inputs'!$A$77:$A$94,"=irr",'305 Inputs'!$J$77:$J$91)</f>
        <v>0</v>
      </c>
      <c r="E107" s="93"/>
      <c r="F107" s="93"/>
      <c r="G107" s="93">
        <f ca="1">SUMIF('305 Inputs'!$A$77:$A$94,"=irr",'305 Inputs'!$H$77:$H$91)</f>
        <v>0</v>
      </c>
      <c r="H107" s="93"/>
      <c r="I107" s="93"/>
      <c r="J107" s="93">
        <v>0</v>
      </c>
      <c r="K107" s="93">
        <v>0</v>
      </c>
      <c r="L107" s="93">
        <f>K107</f>
        <v>0</v>
      </c>
      <c r="M107" s="94">
        <v>0</v>
      </c>
      <c r="N107" s="31">
        <f ca="1">'Table 3'!D107</f>
        <v>13900</v>
      </c>
      <c r="O107" s="31">
        <f ca="1">'Table 3'!K107</f>
        <v>-13900</v>
      </c>
      <c r="P107" s="31">
        <f ca="1">'Table 3'!O107</f>
        <v>0</v>
      </c>
      <c r="Q107" s="31">
        <f t="shared" ref="Q107:Q113" ca="1" si="64">O107+P107</f>
        <v>-13900</v>
      </c>
      <c r="R107" s="31">
        <f t="shared" ref="R107:R113" ca="1" si="65">+Q107+N107</f>
        <v>0</v>
      </c>
      <c r="T107" s="12"/>
      <c r="U107" s="12"/>
      <c r="V107" s="16"/>
    </row>
    <row r="108" spans="1:22" s="11" customFormat="1" ht="15.75" customHeight="1">
      <c r="B108" s="4" t="s">
        <v>679</v>
      </c>
      <c r="D108" s="93">
        <f ca="1">SUMIF('305 Inputs'!$A$77:$A$94,"=def",'305 Inputs'!$J$77:$J$91)</f>
        <v>0</v>
      </c>
      <c r="E108" s="93"/>
      <c r="F108" s="93"/>
      <c r="G108" s="93">
        <f ca="1">SUMIF('305 Inputs'!$A$77:$A$94,"=def",'305 Inputs'!$H$77:$H$91)</f>
        <v>0</v>
      </c>
      <c r="H108" s="93"/>
      <c r="I108" s="93"/>
      <c r="J108" s="93">
        <v>0</v>
      </c>
      <c r="K108" s="93">
        <v>0</v>
      </c>
      <c r="L108" s="93">
        <f t="shared" ref="L108:L113" si="66">K108</f>
        <v>0</v>
      </c>
      <c r="M108" s="94">
        <v>0</v>
      </c>
      <c r="N108" s="31">
        <f ca="1">'Table 3'!D108</f>
        <v>-120000</v>
      </c>
      <c r="O108" s="31">
        <f ca="1">'Table 3'!K108</f>
        <v>120000</v>
      </c>
      <c r="P108" s="31">
        <f ca="1">'Table 3'!O108</f>
        <v>0</v>
      </c>
      <c r="Q108" s="31">
        <f t="shared" ca="1" si="64"/>
        <v>120000</v>
      </c>
      <c r="R108" s="31">
        <f t="shared" ca="1" si="65"/>
        <v>0</v>
      </c>
      <c r="T108" s="12"/>
      <c r="U108" s="12"/>
      <c r="V108" s="16"/>
    </row>
    <row r="109" spans="1:22" ht="15.75" customHeight="1">
      <c r="B109" s="4" t="s">
        <v>764</v>
      </c>
      <c r="D109" s="93">
        <f ca="1">SUMIF('305 Inputs'!$A$77:$A$94,"=rev",'305 Inputs'!$J$77:$J$91)</f>
        <v>0</v>
      </c>
      <c r="E109" s="93"/>
      <c r="F109" s="93"/>
      <c r="G109" s="93">
        <f ca="1">SUMIF('305 Inputs'!$A$77:$A$94,"=rev",'305 Inputs'!$H$77:$H$91)</f>
        <v>0</v>
      </c>
      <c r="H109" s="93"/>
      <c r="I109" s="93"/>
      <c r="J109" s="93">
        <v>0</v>
      </c>
      <c r="K109" s="93">
        <v>0</v>
      </c>
      <c r="L109" s="93">
        <f t="shared" si="66"/>
        <v>0</v>
      </c>
      <c r="M109" s="94">
        <v>0</v>
      </c>
      <c r="N109" s="29">
        <f ca="1">'Table 3'!D109</f>
        <v>-309344.53999999998</v>
      </c>
      <c r="O109" s="29">
        <f ca="1">'Table 3'!K109</f>
        <v>309344.53999999998</v>
      </c>
      <c r="P109" s="31">
        <f ca="1">'Table 3'!O109</f>
        <v>0</v>
      </c>
      <c r="Q109" s="31">
        <f t="shared" ca="1" si="64"/>
        <v>309344.53999999998</v>
      </c>
      <c r="R109" s="31">
        <f t="shared" ca="1" si="65"/>
        <v>0</v>
      </c>
      <c r="T109" s="8"/>
      <c r="U109" s="8"/>
      <c r="V109" s="55"/>
    </row>
    <row r="110" spans="1:22" s="11" customFormat="1" ht="15.75" customHeight="1">
      <c r="B110" s="4" t="s">
        <v>165</v>
      </c>
      <c r="D110" s="93">
        <v>0</v>
      </c>
      <c r="E110" s="93"/>
      <c r="F110" s="93"/>
      <c r="G110" s="93">
        <f ca="1">SUMIF('305 Inputs'!$B$77:$B$94,"=cent",'305 Inputs'!$H$77:$H$91)</f>
        <v>0</v>
      </c>
      <c r="H110" s="93"/>
      <c r="I110" s="93"/>
      <c r="J110" s="93">
        <v>0</v>
      </c>
      <c r="K110" s="93">
        <v>0</v>
      </c>
      <c r="L110" s="93">
        <f t="shared" si="66"/>
        <v>0</v>
      </c>
      <c r="M110" s="94">
        <f ca="1">G110+L110</f>
        <v>0</v>
      </c>
      <c r="N110" s="31">
        <f ca="1">'Table 3'!D110</f>
        <v>48833.39</v>
      </c>
      <c r="O110" s="31">
        <f ca="1">'Table 3'!K110</f>
        <v>-48833.39</v>
      </c>
      <c r="P110" s="31">
        <f ca="1">'Table 3'!O110</f>
        <v>0</v>
      </c>
      <c r="Q110" s="31">
        <f t="shared" ca="1" si="64"/>
        <v>-48833.39</v>
      </c>
      <c r="R110" s="31">
        <f t="shared" ca="1" si="65"/>
        <v>0</v>
      </c>
      <c r="T110" s="12"/>
      <c r="U110" s="12"/>
      <c r="V110" s="16"/>
    </row>
    <row r="111" spans="1:22" s="11" customFormat="1" ht="15.75" customHeight="1">
      <c r="B111" s="4" t="s">
        <v>179</v>
      </c>
      <c r="D111" s="93">
        <v>0</v>
      </c>
      <c r="E111" s="93"/>
      <c r="F111" s="93"/>
      <c r="G111" s="93">
        <f ca="1">SUMIF('305 Inputs'!$B$77:$B$94,"=merger",'305 Inputs'!$H$77:$H$91)</f>
        <v>0</v>
      </c>
      <c r="H111" s="93"/>
      <c r="I111" s="93"/>
      <c r="J111" s="93">
        <v>0</v>
      </c>
      <c r="K111" s="93">
        <v>0</v>
      </c>
      <c r="L111" s="93">
        <f t="shared" si="66"/>
        <v>0</v>
      </c>
      <c r="M111" s="94">
        <f ca="1">G111+L111</f>
        <v>0</v>
      </c>
      <c r="N111" s="31">
        <f ca="1">'Table 3'!D111</f>
        <v>17.55</v>
      </c>
      <c r="O111" s="31">
        <f ca="1">'Table 3'!K111</f>
        <v>-17.55</v>
      </c>
      <c r="P111" s="31">
        <f ca="1">'Table 3'!O111</f>
        <v>0</v>
      </c>
      <c r="Q111" s="31">
        <f t="shared" ca="1" si="64"/>
        <v>-17.55</v>
      </c>
      <c r="R111" s="31">
        <f t="shared" ca="1" si="65"/>
        <v>0</v>
      </c>
      <c r="T111" s="12"/>
      <c r="U111" s="12"/>
      <c r="V111" s="16"/>
    </row>
    <row r="112" spans="1:22" s="11" customFormat="1" ht="15.75" customHeight="1">
      <c r="B112" s="4" t="s">
        <v>96</v>
      </c>
      <c r="D112" s="93">
        <v>0</v>
      </c>
      <c r="E112" s="93"/>
      <c r="F112" s="93"/>
      <c r="G112" s="93">
        <f ca="1">SUMIF('305 Inputs'!$B$77:$B$94,"=bpa",'305 Inputs'!$H$77:$H$91)</f>
        <v>0</v>
      </c>
      <c r="H112" s="93"/>
      <c r="I112" s="93"/>
      <c r="J112" s="93">
        <v>0</v>
      </c>
      <c r="K112" s="93">
        <v>0</v>
      </c>
      <c r="L112" s="93">
        <f t="shared" si="66"/>
        <v>0</v>
      </c>
      <c r="M112" s="94">
        <f ca="1">G112+L112</f>
        <v>0</v>
      </c>
      <c r="N112" s="31">
        <f ca="1">'Table 3'!D112</f>
        <v>10775.84</v>
      </c>
      <c r="O112" s="31">
        <f ca="1">'Table 3'!K112</f>
        <v>-10775.84</v>
      </c>
      <c r="P112" s="31">
        <f ca="1">'Table 3'!O112</f>
        <v>0</v>
      </c>
      <c r="Q112" s="31">
        <f t="shared" ca="1" si="64"/>
        <v>-10775.84</v>
      </c>
      <c r="R112" s="31">
        <f t="shared" ca="1" si="65"/>
        <v>0</v>
      </c>
      <c r="T112" s="12"/>
      <c r="U112" s="12"/>
      <c r="V112" s="16"/>
    </row>
    <row r="113" spans="1:22" s="11" customFormat="1" ht="15.75" customHeight="1">
      <c r="B113" s="4" t="s">
        <v>166</v>
      </c>
      <c r="D113" s="93">
        <v>0</v>
      </c>
      <c r="E113" s="93"/>
      <c r="F113" s="93"/>
      <c r="G113" s="93">
        <f ca="1">SUMIF('305 Inputs'!$A$77:$A$94,"=bpaadj",'305 Inputs'!$H$77:$H$91)</f>
        <v>0</v>
      </c>
      <c r="H113" s="93"/>
      <c r="I113" s="93"/>
      <c r="J113" s="93">
        <v>0</v>
      </c>
      <c r="K113" s="93">
        <v>0</v>
      </c>
      <c r="L113" s="93">
        <f t="shared" si="66"/>
        <v>0</v>
      </c>
      <c r="M113" s="94">
        <f ca="1">G113+L113</f>
        <v>0</v>
      </c>
      <c r="N113" s="31">
        <f ca="1">'Table 3'!D113</f>
        <v>23118.48</v>
      </c>
      <c r="O113" s="31">
        <f ca="1">'Table 3'!K113</f>
        <v>-23118.48</v>
      </c>
      <c r="P113" s="31">
        <f ca="1">'Table 3'!O113</f>
        <v>0</v>
      </c>
      <c r="Q113" s="31">
        <f t="shared" ca="1" si="64"/>
        <v>-23118.48</v>
      </c>
      <c r="R113" s="31">
        <f t="shared" ca="1" si="65"/>
        <v>0</v>
      </c>
      <c r="T113" s="12"/>
      <c r="U113" s="12"/>
      <c r="V113" s="16"/>
    </row>
    <row r="114" spans="1:22" ht="15.75" customHeight="1">
      <c r="D114" s="32"/>
      <c r="E114" s="32"/>
      <c r="F114" s="32"/>
      <c r="G114" s="32"/>
      <c r="H114" s="32"/>
      <c r="I114" s="32"/>
      <c r="J114" s="32"/>
      <c r="K114" s="9"/>
      <c r="L114" s="9"/>
      <c r="M114" s="48"/>
      <c r="N114" s="29"/>
      <c r="O114" s="29"/>
      <c r="P114" s="29"/>
      <c r="Q114" s="29"/>
      <c r="R114" s="29"/>
      <c r="T114" s="8"/>
      <c r="U114" s="8"/>
      <c r="V114" s="55"/>
    </row>
    <row r="115" spans="1:22" s="11" customFormat="1" ht="15.75" customHeight="1">
      <c r="B115" s="4" t="s">
        <v>80</v>
      </c>
      <c r="D115" s="93">
        <v>0</v>
      </c>
      <c r="E115" s="93"/>
      <c r="F115" s="93"/>
      <c r="G115" s="93">
        <f ca="1">SUMIF('305 Inputs'!$B$77:$B$94,"=unbilled",'305 Inputs'!$H$77:$H$91)</f>
        <v>2355000</v>
      </c>
      <c r="H115" s="93">
        <f ca="1">-G115</f>
        <v>-2355000</v>
      </c>
      <c r="I115" s="93"/>
      <c r="J115" s="93">
        <v>0</v>
      </c>
      <c r="K115" s="93">
        <v>0</v>
      </c>
      <c r="L115" s="93">
        <f t="shared" ref="L115" ca="1" si="67">H115+I115+J115+K115</f>
        <v>-2355000</v>
      </c>
      <c r="M115" s="94">
        <f ca="1">G115+L115</f>
        <v>0</v>
      </c>
      <c r="N115" s="31">
        <f ca="1">'Table 3'!D115</f>
        <v>288000</v>
      </c>
      <c r="O115" s="31">
        <f ca="1">'Table 3'!K115</f>
        <v>-288000</v>
      </c>
      <c r="P115" s="31">
        <f ca="1">'Table 3'!O115</f>
        <v>0</v>
      </c>
      <c r="Q115" s="31">
        <f t="shared" ref="Q115" ca="1" si="68">O115+P115</f>
        <v>-288000</v>
      </c>
      <c r="R115" s="31">
        <f ca="1">+Q115+N115</f>
        <v>0</v>
      </c>
      <c r="T115" s="12"/>
      <c r="U115" s="12"/>
      <c r="V115" s="16"/>
    </row>
    <row r="116" spans="1:22" ht="15.75" customHeight="1">
      <c r="B116" s="873"/>
      <c r="D116" s="32"/>
      <c r="E116" s="32"/>
      <c r="F116" s="32"/>
      <c r="G116" s="32"/>
      <c r="H116" s="32"/>
      <c r="I116" s="32"/>
      <c r="J116" s="32"/>
      <c r="K116" s="32"/>
      <c r="L116" s="32"/>
      <c r="M116" s="92"/>
      <c r="N116" s="29"/>
      <c r="O116" s="29"/>
      <c r="P116" s="29"/>
      <c r="Q116" s="29"/>
      <c r="R116" s="29"/>
      <c r="T116" s="8"/>
      <c r="U116" s="8"/>
      <c r="V116" s="55"/>
    </row>
    <row r="117" spans="1:22" ht="15.75" customHeight="1">
      <c r="B117" s="33" t="s">
        <v>9</v>
      </c>
      <c r="C117" s="34"/>
      <c r="D117" s="97">
        <f t="shared" ref="D117:R117" ca="1" si="69">D103+D105+SUM(D107:D115)</f>
        <v>5265.083333333333</v>
      </c>
      <c r="E117" s="97">
        <f t="shared" ca="1" si="69"/>
        <v>-5.0833333333330017</v>
      </c>
      <c r="F117" s="97">
        <f t="shared" si="69"/>
        <v>5260</v>
      </c>
      <c r="G117" s="97">
        <f ca="1">G103+G105+SUM(G107:G115)</f>
        <v>154350479</v>
      </c>
      <c r="H117" s="97">
        <f ca="1">H103+H105+SUM(H107:H115)</f>
        <v>0</v>
      </c>
      <c r="I117" s="97">
        <f>I103+I105+SUM(I107:I115)</f>
        <v>1283074</v>
      </c>
      <c r="J117" s="97">
        <f>J103+J105+SUM(J107:J115)</f>
        <v>0</v>
      </c>
      <c r="K117" s="97">
        <f t="shared" si="69"/>
        <v>-2078487.6356633904</v>
      </c>
      <c r="L117" s="97">
        <f t="shared" ca="1" si="69"/>
        <v>-795413.63566339039</v>
      </c>
      <c r="M117" s="97">
        <f t="shared" ca="1" si="69"/>
        <v>153555065.36433661</v>
      </c>
      <c r="N117" s="37">
        <f t="shared" ca="1" si="69"/>
        <v>11841526.68</v>
      </c>
      <c r="O117" s="37">
        <f t="shared" ca="1" si="69"/>
        <v>468268.92999999988</v>
      </c>
      <c r="P117" s="37">
        <f t="shared" ca="1" si="69"/>
        <v>176306.30999999988</v>
      </c>
      <c r="Q117" s="37">
        <f t="shared" ca="1" si="69"/>
        <v>644575.23999999976</v>
      </c>
      <c r="R117" s="37">
        <f t="shared" ca="1" si="69"/>
        <v>12486101.92</v>
      </c>
      <c r="T117" s="8"/>
      <c r="U117" s="8"/>
      <c r="V117" s="55"/>
    </row>
    <row r="118" spans="1:22" ht="15.75" customHeight="1">
      <c r="B118" s="873"/>
      <c r="D118" s="32"/>
      <c r="E118" s="32"/>
      <c r="F118" s="32"/>
      <c r="G118" s="32"/>
      <c r="H118" s="32"/>
      <c r="I118" s="32"/>
      <c r="J118" s="32"/>
      <c r="K118" s="32"/>
      <c r="L118" s="32"/>
      <c r="M118" s="92"/>
      <c r="N118" s="29"/>
      <c r="O118" s="29"/>
      <c r="P118" s="29"/>
      <c r="Q118" s="29"/>
      <c r="R118" s="29"/>
      <c r="T118" s="8"/>
      <c r="U118" s="8"/>
      <c r="V118" s="55"/>
    </row>
    <row r="119" spans="1:22" ht="15.75" customHeight="1">
      <c r="A119" s="5" t="s">
        <v>36</v>
      </c>
      <c r="B119" s="873"/>
      <c r="D119" s="32"/>
      <c r="E119" s="32"/>
      <c r="F119" s="32"/>
      <c r="G119" s="32"/>
      <c r="H119" s="32"/>
      <c r="I119" s="32"/>
      <c r="J119" s="32"/>
      <c r="K119" s="9"/>
      <c r="L119" s="9"/>
      <c r="M119" s="48"/>
      <c r="N119" s="29"/>
      <c r="O119" s="29"/>
      <c r="P119" s="29"/>
      <c r="Q119" s="29"/>
      <c r="R119" s="29"/>
      <c r="V119" s="55"/>
    </row>
    <row r="120" spans="1:22" ht="15.75" customHeight="1">
      <c r="A120" s="5"/>
      <c r="B120" s="873"/>
      <c r="D120" s="32"/>
      <c r="E120" s="32"/>
      <c r="F120" s="32"/>
      <c r="G120" s="32"/>
      <c r="H120" s="32"/>
      <c r="I120" s="32"/>
      <c r="J120" s="32"/>
      <c r="K120" s="9"/>
      <c r="L120" s="9"/>
      <c r="M120" s="48"/>
      <c r="N120" s="29"/>
      <c r="O120" s="29"/>
      <c r="P120" s="29"/>
      <c r="Q120" s="29"/>
      <c r="R120" s="29"/>
      <c r="V120" s="55"/>
    </row>
    <row r="121" spans="1:22" ht="15.75" customHeight="1">
      <c r="B121" s="873" t="s">
        <v>61</v>
      </c>
      <c r="D121" s="32">
        <f ca="1">SUMIF('305 Inputs'!A101:A110,"=52",'305 Inputs'!J101:J109)</f>
        <v>17.5</v>
      </c>
      <c r="E121" s="32">
        <f t="shared" ref="E121:E126" ca="1" si="70">F121-D121</f>
        <v>0.5</v>
      </c>
      <c r="F121" s="32">
        <f>'Pages 4-11, All Other Schedules'!B1127/12</f>
        <v>18</v>
      </c>
      <c r="G121" s="32">
        <f ca="1">SUMIF('305 Inputs'!$A$101:$A$110,"=52",'305 Inputs'!H$101:H$109)</f>
        <v>316726</v>
      </c>
      <c r="H121" s="32">
        <f ca="1">'Normalized Monthly kWh'!AC38</f>
        <v>-27426.275046401868</v>
      </c>
      <c r="I121" s="32">
        <f>'305 VS COGNOS kWh'!E51+'305 VS COGNOS kWh'!K51</f>
        <v>-2601</v>
      </c>
      <c r="J121" s="32">
        <v>0</v>
      </c>
      <c r="K121" s="32">
        <v>0</v>
      </c>
      <c r="L121" s="32">
        <f t="shared" ref="L121:L126" ca="1" si="71">H121+I121+J121+K121</f>
        <v>-30027.275046401868</v>
      </c>
      <c r="M121" s="92">
        <f t="shared" ref="M121:M126" ca="1" si="72">G121+L121</f>
        <v>286698.72495359811</v>
      </c>
      <c r="N121" s="29">
        <f ca="1">'Table 3'!D121</f>
        <v>52215.519999999997</v>
      </c>
      <c r="O121" s="29">
        <f ca="1">'Table 3'!K121</f>
        <v>-5590.5511898859831</v>
      </c>
      <c r="P121" s="29">
        <f>'Table 3'!O121</f>
        <v>0.30000000000291038</v>
      </c>
      <c r="Q121" s="29">
        <f ca="1">O121+P121</f>
        <v>-5590.2511898859802</v>
      </c>
      <c r="R121" s="29">
        <f t="shared" ref="R121:R127" ca="1" si="73">+Q121+N121</f>
        <v>46625.268810114016</v>
      </c>
      <c r="T121" s="8"/>
      <c r="U121" s="8"/>
      <c r="V121" s="55"/>
    </row>
    <row r="122" spans="1:22" ht="15.75" customHeight="1">
      <c r="B122" s="873" t="s">
        <v>62</v>
      </c>
      <c r="D122" s="32">
        <f ca="1">SUMIF('305 Inputs'!$A$101:$A$110,"=52f",'305 Inputs'!J101:J109)</f>
        <v>119.5</v>
      </c>
      <c r="E122" s="32">
        <f t="shared" ca="1" si="70"/>
        <v>0.4166666666666714</v>
      </c>
      <c r="F122" s="32">
        <f>'Pages 4-11, All Other Schedules'!B1167/12</f>
        <v>119.91666666666667</v>
      </c>
      <c r="G122" s="32">
        <f ca="1">SUMIF('305 Inputs'!$A$101:$A$110,"=52f",'305 Inputs'!H$101:H$109)</f>
        <v>3282893</v>
      </c>
      <c r="H122" s="32">
        <f ca="1">'Normalized Monthly kWh'!AC39</f>
        <v>-307654.71277995309</v>
      </c>
      <c r="I122" s="32">
        <f>'305 VS COGNOS kWh'!E52+'305 VS COGNOS kWh'!K52</f>
        <v>240814</v>
      </c>
      <c r="J122" s="32">
        <v>0</v>
      </c>
      <c r="K122" s="32">
        <v>0</v>
      </c>
      <c r="L122" s="32">
        <f t="shared" ca="1" si="71"/>
        <v>-66840.712779953086</v>
      </c>
      <c r="M122" s="92">
        <f t="shared" ca="1" si="72"/>
        <v>3216052.2872200469</v>
      </c>
      <c r="N122" s="29">
        <f ca="1">'Table 3'!D122</f>
        <v>236133.27</v>
      </c>
      <c r="O122" s="29">
        <f ca="1">'Table 3'!K122</f>
        <v>-13036.028113311932</v>
      </c>
      <c r="P122" s="29">
        <f>'Table 3'!O122</f>
        <v>-63.269999999960419</v>
      </c>
      <c r="Q122" s="29">
        <f t="shared" ref="Q122:Q127" ca="1" si="74">O122+P122</f>
        <v>-13099.298113311892</v>
      </c>
      <c r="R122" s="29">
        <f t="shared" ca="1" si="73"/>
        <v>223033.97188668809</v>
      </c>
      <c r="T122" s="8"/>
      <c r="U122" s="8"/>
      <c r="V122" s="55"/>
    </row>
    <row r="123" spans="1:22" ht="15.75" customHeight="1">
      <c r="B123" s="873" t="s">
        <v>63</v>
      </c>
      <c r="D123" s="32">
        <f ca="1">SUMIF('305 Inputs'!$A$101:$A$110,"=53m",'305 Inputs'!J101:J109)</f>
        <v>100.666666666667</v>
      </c>
      <c r="E123" s="32">
        <f t="shared" ca="1" si="70"/>
        <v>-0.58333333333366966</v>
      </c>
      <c r="F123" s="32">
        <f>'Pages 4-11, All Other Schedules'!B1180/12</f>
        <v>100.08333333333333</v>
      </c>
      <c r="G123" s="32">
        <f ca="1">SUMIF('305 Inputs'!$A$101:$A$110,"=53m",'305 Inputs'!H$101:H$109)</f>
        <v>1167018</v>
      </c>
      <c r="H123" s="32">
        <f ca="1">'Normalized Monthly kWh'!AC40</f>
        <v>-101897.79395560994</v>
      </c>
      <c r="I123" s="32">
        <f>'305 VS COGNOS kWh'!E53+'305 VS COGNOS kWh'!K53</f>
        <v>63</v>
      </c>
      <c r="J123" s="32">
        <v>0</v>
      </c>
      <c r="K123" s="32">
        <v>0</v>
      </c>
      <c r="L123" s="32">
        <f t="shared" ca="1" si="71"/>
        <v>-101834.79395560994</v>
      </c>
      <c r="M123" s="92">
        <f t="shared" ca="1" si="72"/>
        <v>1065183.2060443901</v>
      </c>
      <c r="N123" s="29">
        <f ca="1">'Table 3'!D123</f>
        <v>82892.25</v>
      </c>
      <c r="O123" s="29">
        <f ca="1">'Table 3'!K123</f>
        <v>-9699.0042164922252</v>
      </c>
      <c r="P123" s="29">
        <f>'Table 3'!O123</f>
        <v>0.36000000000058208</v>
      </c>
      <c r="Q123" s="29">
        <f t="shared" ca="1" si="74"/>
        <v>-9698.6442164922246</v>
      </c>
      <c r="R123" s="29">
        <f t="shared" ca="1" si="73"/>
        <v>73193.605783507781</v>
      </c>
      <c r="T123" s="8"/>
      <c r="U123" s="8"/>
      <c r="V123" s="55"/>
    </row>
    <row r="124" spans="1:22" ht="15.75" customHeight="1">
      <c r="B124" s="873" t="s">
        <v>64</v>
      </c>
      <c r="D124" s="32">
        <f ca="1">SUMIF('305 Inputs'!$A$101:$A$110,"=51",'305 Inputs'!J101:J109)</f>
        <v>157.5</v>
      </c>
      <c r="E124" s="32">
        <f t="shared" ca="1" si="70"/>
        <v>5.5</v>
      </c>
      <c r="F124" s="32">
        <f>'Pages 4-11, All Other Schedules'!B1115/12</f>
        <v>163</v>
      </c>
      <c r="G124" s="32">
        <f ca="1">SUMIF('305 Inputs'!$A$101:$A$110,"=51",'305 Inputs'!H$101:H$109)</f>
        <v>3317369</v>
      </c>
      <c r="H124" s="32">
        <f ca="1">'Normalized Monthly kWh'!AC41</f>
        <v>-290831.01874098979</v>
      </c>
      <c r="I124" s="32">
        <f>'305 VS COGNOS kWh'!E54+'305 VS COGNOS kWh'!K54</f>
        <v>13649</v>
      </c>
      <c r="J124" s="32">
        <v>0</v>
      </c>
      <c r="K124" s="32">
        <v>0</v>
      </c>
      <c r="L124" s="32">
        <f t="shared" ca="1" si="71"/>
        <v>-277182.01874098979</v>
      </c>
      <c r="M124" s="92">
        <f t="shared" ca="1" si="72"/>
        <v>3040186.9812590103</v>
      </c>
      <c r="N124" s="29">
        <f ca="1">'Table 3'!D124</f>
        <v>663184.49</v>
      </c>
      <c r="O124" s="29">
        <f ca="1">'Table 3'!K124</f>
        <v>-62728.29098352795</v>
      </c>
      <c r="P124" s="29">
        <f>'Table 3'!O124</f>
        <v>-11.21999999997206</v>
      </c>
      <c r="Q124" s="29">
        <f t="shared" ca="1" si="74"/>
        <v>-62739.510983527922</v>
      </c>
      <c r="R124" s="29">
        <f t="shared" ca="1" si="73"/>
        <v>600444.97901647212</v>
      </c>
      <c r="T124" s="8"/>
      <c r="U124" s="8"/>
      <c r="V124" s="55"/>
    </row>
    <row r="125" spans="1:22" s="11" customFormat="1" ht="15.75" customHeight="1">
      <c r="B125" s="873" t="s">
        <v>65</v>
      </c>
      <c r="D125" s="32">
        <f ca="1">SUMIF('305 Inputs'!$A$101:$A$110,"=57",'305 Inputs'!J101:J109)</f>
        <v>41.0833333333333</v>
      </c>
      <c r="E125" s="32">
        <f t="shared" ca="1" si="70"/>
        <v>0</v>
      </c>
      <c r="F125" s="32">
        <f>'Pages 4-11, All Other Schedules'!B1231/12</f>
        <v>41.083333333333336</v>
      </c>
      <c r="G125" s="32">
        <f ca="1">SUMIF('305 Inputs'!$A$101:$A$110,"=57",'305 Inputs'!H$101:H$109)</f>
        <v>1960705</v>
      </c>
      <c r="H125" s="32">
        <f ca="1">'Normalized Monthly kWh'!AC42</f>
        <v>-171190.19947704519</v>
      </c>
      <c r="I125" s="32">
        <f>'305 VS COGNOS kWh'!E55+'305 VS COGNOS kWh'!K55</f>
        <v>13</v>
      </c>
      <c r="J125" s="32">
        <v>0</v>
      </c>
      <c r="K125" s="32">
        <v>0</v>
      </c>
      <c r="L125" s="32">
        <f t="shared" ca="1" si="71"/>
        <v>-171177.19947704519</v>
      </c>
      <c r="M125" s="92">
        <f t="shared" ca="1" si="72"/>
        <v>1789527.8005229549</v>
      </c>
      <c r="N125" s="29">
        <f ca="1">'Table 3'!D125</f>
        <v>244490.19</v>
      </c>
      <c r="O125" s="29">
        <f ca="1">'Table 3'!K125</f>
        <v>-25825.935496781924</v>
      </c>
      <c r="P125" s="29">
        <f>'Table 3'!O125</f>
        <v>0.95999999999185093</v>
      </c>
      <c r="Q125" s="29">
        <f t="shared" ca="1" si="74"/>
        <v>-25824.975496781932</v>
      </c>
      <c r="R125" s="29">
        <f t="shared" ca="1" si="73"/>
        <v>218665.21450321807</v>
      </c>
      <c r="T125" s="12"/>
      <c r="U125" s="12"/>
      <c r="V125" s="16"/>
    </row>
    <row r="126" spans="1:22" s="11" customFormat="1" ht="15.75" customHeight="1">
      <c r="B126" s="873" t="s">
        <v>766</v>
      </c>
      <c r="D126" s="93">
        <f ca="1">SUMIF('305 Inputs'!$A$101:$A$110,"=12",'305 Inputs'!J101:J109)</f>
        <v>0</v>
      </c>
      <c r="E126" s="93">
        <f t="shared" ca="1" si="70"/>
        <v>0</v>
      </c>
      <c r="F126" s="93">
        <v>0</v>
      </c>
      <c r="G126" s="93">
        <f ca="1">SUMIF('305 Inputs'!$A$101:$A$110,"=12",'305 Inputs'!H$101:H$109)</f>
        <v>0</v>
      </c>
      <c r="H126" s="93">
        <v>0</v>
      </c>
      <c r="I126" s="93">
        <v>0</v>
      </c>
      <c r="J126" s="93">
        <v>0</v>
      </c>
      <c r="K126" s="93">
        <v>0</v>
      </c>
      <c r="L126" s="93">
        <f t="shared" si="71"/>
        <v>0</v>
      </c>
      <c r="M126" s="94">
        <f t="shared" ca="1" si="72"/>
        <v>0</v>
      </c>
      <c r="N126" s="31">
        <f ca="1">'Table 3'!D126</f>
        <v>0</v>
      </c>
      <c r="O126" s="31">
        <f ca="1">'Table 3'!K126</f>
        <v>0</v>
      </c>
      <c r="P126" s="31">
        <f ca="1">'Table 3'!O126</f>
        <v>0</v>
      </c>
      <c r="Q126" s="31">
        <f t="shared" ca="1" si="74"/>
        <v>0</v>
      </c>
      <c r="R126" s="31">
        <f t="shared" ca="1" si="73"/>
        <v>0</v>
      </c>
      <c r="T126" s="12"/>
      <c r="U126" s="12"/>
      <c r="V126" s="16"/>
    </row>
    <row r="127" spans="1:22" ht="15.75" customHeight="1">
      <c r="B127" s="4" t="s">
        <v>69</v>
      </c>
      <c r="D127" s="32">
        <f t="shared" ref="D127:O127" ca="1" si="75">SUM(D121:D126)</f>
        <v>436.25000000000028</v>
      </c>
      <c r="E127" s="32">
        <f t="shared" ca="1" si="75"/>
        <v>5.8333333333330017</v>
      </c>
      <c r="F127" s="32">
        <f t="shared" si="75"/>
        <v>442.08333333333331</v>
      </c>
      <c r="G127" s="32">
        <f t="shared" ca="1" si="75"/>
        <v>10044711</v>
      </c>
      <c r="H127" s="32">
        <f t="shared" ca="1" si="75"/>
        <v>-898999.99999999988</v>
      </c>
      <c r="I127" s="32">
        <f t="shared" si="75"/>
        <v>251938</v>
      </c>
      <c r="J127" s="32">
        <f t="shared" si="75"/>
        <v>0</v>
      </c>
      <c r="K127" s="32">
        <f t="shared" si="75"/>
        <v>0</v>
      </c>
      <c r="L127" s="32">
        <f t="shared" ca="1" si="75"/>
        <v>-647061.99999999988</v>
      </c>
      <c r="M127" s="92">
        <f t="shared" ca="1" si="75"/>
        <v>9397649</v>
      </c>
      <c r="N127" s="29">
        <f t="shared" ca="1" si="75"/>
        <v>1278915.72</v>
      </c>
      <c r="O127" s="29">
        <f t="shared" ca="1" si="75"/>
        <v>-116879.81000000001</v>
      </c>
      <c r="P127" s="29">
        <f t="shared" ref="P127" ca="1" si="76">SUM(P121:P126)</f>
        <v>-72.869999999937136</v>
      </c>
      <c r="Q127" s="29">
        <f t="shared" ca="1" si="74"/>
        <v>-116952.67999999995</v>
      </c>
      <c r="R127" s="29">
        <f t="shared" ca="1" si="73"/>
        <v>1161963.04</v>
      </c>
      <c r="T127" s="8"/>
      <c r="U127" s="8"/>
      <c r="V127" s="55"/>
    </row>
    <row r="128" spans="1:22" ht="15.75" customHeight="1">
      <c r="D128" s="32"/>
      <c r="E128" s="32"/>
      <c r="F128" s="32"/>
      <c r="G128" s="32"/>
      <c r="H128" s="32"/>
      <c r="I128" s="32"/>
      <c r="J128" s="32"/>
      <c r="K128" s="9"/>
      <c r="L128" s="9"/>
      <c r="M128" s="48"/>
      <c r="N128" s="29"/>
      <c r="O128" s="29"/>
      <c r="P128" s="29"/>
      <c r="Q128" s="29"/>
      <c r="R128" s="29"/>
      <c r="T128" s="8"/>
      <c r="U128" s="8"/>
      <c r="V128" s="55"/>
    </row>
    <row r="129" spans="1:22" ht="15.75" customHeight="1">
      <c r="B129" s="873" t="s">
        <v>34</v>
      </c>
      <c r="D129" s="93">
        <v>0</v>
      </c>
      <c r="E129" s="93"/>
      <c r="F129" s="93"/>
      <c r="G129" s="93">
        <f ca="1">SUMIF('305 Inputs'!$A$101:$A$110,"=aga",'305 Inputs'!H$101:H$109)</f>
        <v>0</v>
      </c>
      <c r="H129" s="93"/>
      <c r="I129" s="93"/>
      <c r="J129" s="93">
        <v>0</v>
      </c>
      <c r="K129" s="93">
        <v>0</v>
      </c>
      <c r="L129" s="93">
        <f>K129</f>
        <v>0</v>
      </c>
      <c r="M129" s="94">
        <f ca="1">G129+L129</f>
        <v>0</v>
      </c>
      <c r="N129" s="31">
        <f ca="1">'Table 3'!D129</f>
        <v>90.84</v>
      </c>
      <c r="O129" s="31">
        <f>'Table 3'!K129</f>
        <v>0</v>
      </c>
      <c r="P129" s="31">
        <f ca="1">'Table 3'!O129</f>
        <v>0</v>
      </c>
      <c r="Q129" s="31">
        <f t="shared" ref="Q129" ca="1" si="77">O129+P129</f>
        <v>0</v>
      </c>
      <c r="R129" s="31">
        <f ca="1">+Q129+N129</f>
        <v>90.84</v>
      </c>
      <c r="T129" s="8"/>
      <c r="U129" s="8"/>
      <c r="V129" s="55"/>
    </row>
    <row r="130" spans="1:22" ht="15.75" customHeight="1">
      <c r="B130" s="873"/>
      <c r="D130" s="93"/>
      <c r="E130" s="93"/>
      <c r="F130" s="93"/>
      <c r="G130" s="93"/>
      <c r="H130" s="93"/>
      <c r="I130" s="93"/>
      <c r="J130" s="93"/>
      <c r="K130" s="93"/>
      <c r="L130" s="93"/>
      <c r="M130" s="94"/>
      <c r="N130" s="31"/>
      <c r="O130" s="31"/>
      <c r="P130" s="31"/>
      <c r="Q130" s="31"/>
      <c r="R130" s="31"/>
      <c r="T130" s="8"/>
      <c r="U130" s="8"/>
      <c r="V130" s="55"/>
    </row>
    <row r="131" spans="1:22" ht="15.75" customHeight="1">
      <c r="B131" s="4" t="s">
        <v>679</v>
      </c>
      <c r="D131" s="93">
        <f ca="1">SUMIF('305 Inputs'!$A$101:$A$110,"=def",'305 Inputs'!J101:J109)</f>
        <v>0</v>
      </c>
      <c r="E131" s="93"/>
      <c r="F131" s="93"/>
      <c r="G131" s="93">
        <f ca="1">SUMIF('305 Inputs'!$A$101:$A$110,"=def",'305 Inputs'!H$101:H$109)</f>
        <v>0</v>
      </c>
      <c r="H131" s="93"/>
      <c r="I131" s="93"/>
      <c r="J131" s="93">
        <v>0</v>
      </c>
      <c r="K131" s="93">
        <v>0</v>
      </c>
      <c r="L131" s="93">
        <f>K131</f>
        <v>0</v>
      </c>
      <c r="M131" s="94">
        <v>0</v>
      </c>
      <c r="N131" s="31">
        <f ca="1">'Table 3'!D131</f>
        <v>-30000</v>
      </c>
      <c r="O131" s="31">
        <f ca="1">'Table 3'!F131</f>
        <v>30000</v>
      </c>
      <c r="P131" s="31">
        <f ca="1">'Table 3'!O131</f>
        <v>0</v>
      </c>
      <c r="Q131" s="31">
        <f t="shared" ref="Q131:Q133" ca="1" si="78">O131+P131</f>
        <v>30000</v>
      </c>
      <c r="R131" s="31">
        <f ca="1">+Q131+N131</f>
        <v>0</v>
      </c>
      <c r="T131" s="8"/>
      <c r="U131" s="8"/>
      <c r="V131" s="55"/>
    </row>
    <row r="132" spans="1:22" ht="15.75" customHeight="1">
      <c r="B132" s="4" t="s">
        <v>764</v>
      </c>
      <c r="D132" s="93">
        <f ca="1">SUMIF('305 Inputs'!$A$101:$A$110,"=rev",'305 Inputs'!J101:J109)</f>
        <v>0</v>
      </c>
      <c r="E132" s="93"/>
      <c r="F132" s="93"/>
      <c r="G132" s="93">
        <f ca="1">SUMIF('305 Inputs'!$A$101:$A$110,"=rev",'305 Inputs'!H$101:H$109)</f>
        <v>0</v>
      </c>
      <c r="H132" s="93"/>
      <c r="I132" s="93"/>
      <c r="J132" s="93">
        <v>0</v>
      </c>
      <c r="K132" s="93">
        <v>0</v>
      </c>
      <c r="L132" s="93">
        <f>K132</f>
        <v>0</v>
      </c>
      <c r="M132" s="94">
        <v>0</v>
      </c>
      <c r="N132" s="31">
        <f ca="1">'Table 3'!D132</f>
        <v>-14437.61</v>
      </c>
      <c r="O132" s="31">
        <f ca="1">'Table 3'!F132</f>
        <v>14437.61</v>
      </c>
      <c r="P132" s="31">
        <f ca="1">'Table 3'!O132</f>
        <v>0</v>
      </c>
      <c r="Q132" s="31">
        <f t="shared" ca="1" si="78"/>
        <v>14437.61</v>
      </c>
      <c r="R132" s="31">
        <f ca="1">+Q132+N132</f>
        <v>0</v>
      </c>
      <c r="T132" s="8"/>
      <c r="U132" s="8"/>
      <c r="V132" s="55"/>
    </row>
    <row r="133" spans="1:22" ht="15.75" customHeight="1">
      <c r="B133" s="4" t="s">
        <v>165</v>
      </c>
      <c r="D133" s="93">
        <v>0</v>
      </c>
      <c r="E133" s="93"/>
      <c r="F133" s="93"/>
      <c r="G133" s="93">
        <f ca="1">SUMIF('305 Inputs'!$B$101:$B$110,"=cent",'305 Inputs'!$H$101:$H$109)</f>
        <v>0</v>
      </c>
      <c r="H133" s="93"/>
      <c r="I133" s="93"/>
      <c r="J133" s="93">
        <v>0</v>
      </c>
      <c r="K133" s="93">
        <v>0</v>
      </c>
      <c r="L133" s="93">
        <f>K133</f>
        <v>0</v>
      </c>
      <c r="M133" s="94">
        <f ca="1">G133+L133</f>
        <v>0</v>
      </c>
      <c r="N133" s="31">
        <f ca="1">'Table 3'!D133</f>
        <v>11507.96</v>
      </c>
      <c r="O133" s="31">
        <f ca="1">'Table 3'!K133</f>
        <v>-11507.96</v>
      </c>
      <c r="P133" s="31">
        <f ca="1">'Table 3'!O133</f>
        <v>0</v>
      </c>
      <c r="Q133" s="31">
        <f t="shared" ca="1" si="78"/>
        <v>-11507.96</v>
      </c>
      <c r="R133" s="31">
        <f ca="1">+Q133+N133</f>
        <v>0</v>
      </c>
      <c r="T133" s="8"/>
      <c r="U133" s="8"/>
      <c r="V133" s="55"/>
    </row>
    <row r="134" spans="1:22" ht="15.75" customHeight="1">
      <c r="B134" s="11"/>
      <c r="D134" s="32"/>
      <c r="E134" s="32"/>
      <c r="F134" s="32"/>
      <c r="G134" s="32"/>
      <c r="H134" s="32"/>
      <c r="I134" s="32"/>
      <c r="J134" s="32"/>
      <c r="K134" s="9"/>
      <c r="L134" s="9"/>
      <c r="M134" s="48"/>
      <c r="N134" s="29"/>
      <c r="O134" s="661"/>
      <c r="P134" s="661"/>
      <c r="Q134" s="661"/>
      <c r="R134" s="8"/>
      <c r="T134" s="8"/>
      <c r="U134" s="8"/>
      <c r="V134" s="55"/>
    </row>
    <row r="135" spans="1:22" s="11" customFormat="1" ht="15.75" customHeight="1">
      <c r="B135" s="4" t="s">
        <v>80</v>
      </c>
      <c r="D135" s="93">
        <v>0</v>
      </c>
      <c r="E135" s="93"/>
      <c r="F135" s="93"/>
      <c r="G135" s="93">
        <f ca="1">SUMIF('305 Inputs'!$B$101:$B$110,"=unbilled",'305 Inputs'!$H$101:$H$109)</f>
        <v>-899000</v>
      </c>
      <c r="H135" s="93">
        <f ca="1">-G135</f>
        <v>899000</v>
      </c>
      <c r="I135" s="93"/>
      <c r="J135" s="93">
        <v>0</v>
      </c>
      <c r="K135" s="93">
        <v>0</v>
      </c>
      <c r="L135" s="93">
        <f t="shared" ref="L135" ca="1" si="79">H135+I135+J135+K135</f>
        <v>899000</v>
      </c>
      <c r="M135" s="94">
        <f ca="1">G135+L135</f>
        <v>0</v>
      </c>
      <c r="N135" s="31">
        <f ca="1">'Table 3'!D135</f>
        <v>-104000</v>
      </c>
      <c r="O135" s="31">
        <f ca="1">'Table 3'!K135</f>
        <v>104000</v>
      </c>
      <c r="P135" s="31">
        <f ca="1">'Table 3'!O135</f>
        <v>0</v>
      </c>
      <c r="Q135" s="31">
        <f t="shared" ref="Q135" ca="1" si="80">O135+P135</f>
        <v>104000</v>
      </c>
      <c r="R135" s="31">
        <f ca="1">+Q135+N135</f>
        <v>0</v>
      </c>
      <c r="T135" s="12"/>
      <c r="U135" s="12"/>
      <c r="V135" s="16"/>
    </row>
    <row r="136" spans="1:22" ht="15.75" customHeight="1">
      <c r="B136" s="11"/>
      <c r="D136" s="32"/>
      <c r="E136" s="32"/>
      <c r="F136" s="32"/>
      <c r="G136" s="32"/>
      <c r="H136" s="32"/>
      <c r="I136" s="32"/>
      <c r="J136" s="32"/>
      <c r="K136" s="9"/>
      <c r="L136" s="9"/>
      <c r="M136" s="48"/>
      <c r="N136" s="29"/>
      <c r="O136" s="661"/>
      <c r="P136" s="661"/>
      <c r="Q136" s="661"/>
      <c r="R136" s="8"/>
      <c r="T136" s="8"/>
      <c r="U136" s="8"/>
      <c r="V136" s="55"/>
    </row>
    <row r="137" spans="1:22" ht="15.75" customHeight="1">
      <c r="B137" s="33" t="s">
        <v>9</v>
      </c>
      <c r="C137" s="34"/>
      <c r="D137" s="97">
        <f t="shared" ref="D137:R137" ca="1" si="81">D127+D129+SUM(D131:D135)</f>
        <v>436.25000000000028</v>
      </c>
      <c r="E137" s="97">
        <f t="shared" ca="1" si="81"/>
        <v>5.8333333333330017</v>
      </c>
      <c r="F137" s="97">
        <f t="shared" si="81"/>
        <v>442.08333333333331</v>
      </c>
      <c r="G137" s="97">
        <f t="shared" ca="1" si="81"/>
        <v>9145711</v>
      </c>
      <c r="H137" s="97">
        <f t="shared" ca="1" si="81"/>
        <v>0</v>
      </c>
      <c r="I137" s="97">
        <f t="shared" si="81"/>
        <v>251938</v>
      </c>
      <c r="J137" s="97">
        <f t="shared" si="81"/>
        <v>0</v>
      </c>
      <c r="K137" s="97">
        <f t="shared" si="81"/>
        <v>0</v>
      </c>
      <c r="L137" s="97">
        <f t="shared" ca="1" si="81"/>
        <v>251938.00000000012</v>
      </c>
      <c r="M137" s="97">
        <f t="shared" ca="1" si="81"/>
        <v>9397649</v>
      </c>
      <c r="N137" s="37">
        <f t="shared" ca="1" si="81"/>
        <v>1142076.9100000001</v>
      </c>
      <c r="O137" s="37">
        <f t="shared" ca="1" si="81"/>
        <v>20049.839999999982</v>
      </c>
      <c r="P137" s="37">
        <f t="shared" ca="1" si="81"/>
        <v>-72.869999999937136</v>
      </c>
      <c r="Q137" s="37">
        <f t="shared" ca="1" si="81"/>
        <v>19976.970000000045</v>
      </c>
      <c r="R137" s="37">
        <f t="shared" ca="1" si="81"/>
        <v>1162053.8800000001</v>
      </c>
      <c r="T137" s="8"/>
      <c r="U137" s="8"/>
      <c r="V137" s="55"/>
    </row>
    <row r="138" spans="1:22" ht="15.75" customHeight="1">
      <c r="B138" s="7"/>
      <c r="C138" s="7"/>
      <c r="D138" s="32" t="s">
        <v>31</v>
      </c>
      <c r="E138" s="32"/>
      <c r="F138" s="32"/>
      <c r="G138" s="32"/>
      <c r="H138" s="32"/>
      <c r="I138" s="32"/>
      <c r="J138" s="32"/>
      <c r="K138" s="9"/>
      <c r="L138" s="9"/>
      <c r="M138" s="48"/>
      <c r="N138" s="29" t="s">
        <v>31</v>
      </c>
      <c r="O138" s="9"/>
      <c r="P138" s="9"/>
      <c r="Q138" s="9"/>
      <c r="R138" s="9"/>
      <c r="T138" s="8"/>
      <c r="U138" s="8"/>
      <c r="V138" s="55"/>
    </row>
    <row r="139" spans="1:22" ht="15.75" customHeight="1" thickBot="1">
      <c r="D139" s="32"/>
      <c r="E139" s="32"/>
      <c r="F139" s="32"/>
      <c r="G139" s="32"/>
      <c r="H139" s="32"/>
      <c r="I139" s="32"/>
      <c r="J139" s="32"/>
      <c r="K139" s="9"/>
      <c r="L139" s="9"/>
      <c r="M139" s="48"/>
      <c r="N139" s="29"/>
      <c r="O139" s="9"/>
      <c r="P139" s="9"/>
      <c r="Q139" s="9"/>
      <c r="R139" s="8" t="s">
        <v>31</v>
      </c>
      <c r="T139" s="8"/>
      <c r="U139" s="8"/>
      <c r="V139" s="55"/>
    </row>
    <row r="140" spans="1:22" s="13" customFormat="1" ht="15.75" customHeight="1" thickTop="1" thickBot="1">
      <c r="A140" s="49"/>
      <c r="B140" s="35" t="s">
        <v>9</v>
      </c>
      <c r="C140" s="36"/>
      <c r="D140" s="101">
        <f t="shared" ref="D140:R140" ca="1" si="82">D38+D68+D97+D117+D137</f>
        <v>132313.91666666669</v>
      </c>
      <c r="E140" s="101">
        <f t="shared" ca="1" si="82"/>
        <v>102.76388888826287</v>
      </c>
      <c r="F140" s="101">
        <f t="shared" si="82"/>
        <v>132378.51388888832</v>
      </c>
      <c r="G140" s="101">
        <f t="shared" ca="1" si="82"/>
        <v>4008019045</v>
      </c>
      <c r="H140" s="101">
        <f t="shared" ca="1" si="82"/>
        <v>0</v>
      </c>
      <c r="I140" s="101">
        <f t="shared" ca="1" si="82"/>
        <v>3656177</v>
      </c>
      <c r="J140" s="101">
        <f t="shared" si="82"/>
        <v>-1621000</v>
      </c>
      <c r="K140" s="101">
        <f t="shared" si="82"/>
        <v>-9441906.5254812818</v>
      </c>
      <c r="L140" s="101">
        <f t="shared" ca="1" si="82"/>
        <v>-7406729.5254812846</v>
      </c>
      <c r="M140" s="102">
        <f t="shared" ca="1" si="82"/>
        <v>4000612315.4745183</v>
      </c>
      <c r="N140" s="39">
        <f t="shared" ca="1" si="82"/>
        <v>291893109.89000005</v>
      </c>
      <c r="O140" s="39">
        <f t="shared" ca="1" si="82"/>
        <v>7839982.6773883412</v>
      </c>
      <c r="P140" s="39">
        <f t="shared" ca="1" si="82"/>
        <v>4330115.7926116586</v>
      </c>
      <c r="Q140" s="39">
        <f t="shared" ca="1" si="82"/>
        <v>12170098.470000001</v>
      </c>
      <c r="R140" s="39">
        <f t="shared" ca="1" si="82"/>
        <v>304063208.36000001</v>
      </c>
      <c r="T140" s="17"/>
      <c r="U140" s="17"/>
      <c r="V140" s="18"/>
    </row>
    <row r="141" spans="1:22" ht="15.75" customHeight="1" thickTop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41" t="s">
        <v>31</v>
      </c>
      <c r="N141" s="29" t="s">
        <v>31</v>
      </c>
      <c r="O141" s="7" t="s">
        <v>31</v>
      </c>
      <c r="P141" s="7"/>
      <c r="Q141" s="7"/>
      <c r="R141" s="661" t="s">
        <v>31</v>
      </c>
    </row>
    <row r="142" spans="1:22" ht="15.75" customHeight="1">
      <c r="A142" s="7"/>
      <c r="B142" s="7"/>
      <c r="C142" s="7"/>
      <c r="D142" s="7"/>
      <c r="E142" s="7"/>
      <c r="F142" s="7"/>
      <c r="G142" s="32"/>
      <c r="H142" s="32"/>
      <c r="I142" s="32"/>
      <c r="J142" s="32"/>
      <c r="K142" s="7"/>
      <c r="L142" s="7"/>
      <c r="M142" s="88">
        <f ca="1">M140-'Normalized Monthly kWh'!P91</f>
        <v>0.11068201065063477</v>
      </c>
      <c r="N142" s="29" t="s">
        <v>31</v>
      </c>
      <c r="O142" s="29"/>
      <c r="P142" s="7"/>
      <c r="Q142" s="32"/>
      <c r="R142" s="7"/>
    </row>
    <row r="143" spans="1:22" ht="15.75" customHeight="1">
      <c r="A143" s="7"/>
      <c r="B143" s="867" t="s">
        <v>767</v>
      </c>
      <c r="C143" s="7"/>
      <c r="D143" s="7"/>
      <c r="E143" s="7"/>
      <c r="F143" s="7" t="s">
        <v>31</v>
      </c>
      <c r="G143" s="32"/>
      <c r="H143" s="32"/>
      <c r="I143" s="32"/>
      <c r="J143" s="32" t="s">
        <v>31</v>
      </c>
      <c r="K143" s="7"/>
      <c r="L143" s="7"/>
      <c r="M143" s="7"/>
      <c r="N143" s="7"/>
      <c r="O143" s="7"/>
      <c r="P143" s="7"/>
      <c r="Q143" s="29"/>
      <c r="R143" s="7"/>
    </row>
    <row r="144" spans="1:22" ht="15.75" customHeight="1">
      <c r="A144" s="7"/>
      <c r="B144" s="867" t="s">
        <v>768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3" ht="15.75" customHeight="1">
      <c r="B145" s="44" t="s">
        <v>769</v>
      </c>
      <c r="M145" s="7"/>
    </row>
    <row r="146" spans="2:13" ht="15.75" customHeight="1">
      <c r="M146" s="7"/>
    </row>
    <row r="147" spans="2:13" ht="15.75" customHeight="1">
      <c r="B147" s="44"/>
      <c r="M147" s="7"/>
    </row>
  </sheetData>
  <printOptions horizontalCentered="1"/>
  <pageMargins left="0.25" right="0.25" top="0.5" bottom="0.3" header="0.5" footer="0.25"/>
  <pageSetup scale="53" fitToHeight="0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98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2"/>
  <sheetViews>
    <sheetView view="pageBreakPreview" topLeftCell="A3" zoomScale="80" zoomScaleNormal="70" zoomScaleSheetLayoutView="80" workbookViewId="0">
      <pane xSplit="3" ySplit="9" topLeftCell="D12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RowHeight="15.75"/>
  <cols>
    <col min="1" max="1" width="5.25" style="4" customWidth="1"/>
    <col min="2" max="2" width="19.5" style="4" customWidth="1"/>
    <col min="3" max="3" width="4" style="4" customWidth="1"/>
    <col min="4" max="4" width="17.625" style="4" customWidth="1"/>
    <col min="5" max="5" width="10.625" style="4" bestFit="1" customWidth="1"/>
    <col min="6" max="6" width="15.75" style="4" customWidth="1"/>
    <col min="7" max="7" width="15.75" style="4" hidden="1" customWidth="1"/>
    <col min="8" max="9" width="15.625" style="4" customWidth="1"/>
    <col min="10" max="12" width="14.25" style="4" customWidth="1"/>
    <col min="13" max="13" width="10" style="4" hidden="1" customWidth="1"/>
    <col min="14" max="14" width="18.25" style="4" customWidth="1"/>
    <col min="15" max="15" width="15.875" style="4" customWidth="1"/>
    <col min="16" max="16" width="26.375" style="4" bestFit="1" customWidth="1"/>
    <col min="17" max="17" width="2.375" style="4" customWidth="1"/>
    <col min="18" max="18" width="14.5" style="4" customWidth="1"/>
    <col min="19" max="19" width="14.625" style="4" customWidth="1"/>
    <col min="20" max="20" width="33.375" style="4" customWidth="1"/>
    <col min="21" max="21" width="27" style="4" customWidth="1"/>
    <col min="22" max="16384" width="9" style="4"/>
  </cols>
  <sheetData>
    <row r="1" spans="1:21">
      <c r="L1" s="7"/>
      <c r="P1" s="4" t="s">
        <v>74</v>
      </c>
      <c r="S1" s="4" t="s">
        <v>29</v>
      </c>
    </row>
    <row r="2" spans="1:21">
      <c r="L2" s="7"/>
      <c r="S2" s="4" t="s">
        <v>175</v>
      </c>
    </row>
    <row r="3" spans="1:21" ht="18.75">
      <c r="A3" s="808" t="s">
        <v>754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11"/>
    </row>
    <row r="4" spans="1:21" ht="18.75">
      <c r="A4" s="808" t="s">
        <v>47</v>
      </c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11"/>
    </row>
    <row r="5" spans="1:21" ht="18.75">
      <c r="A5" s="808" t="s">
        <v>2</v>
      </c>
      <c r="B5" s="808"/>
      <c r="C5" s="808"/>
      <c r="D5" s="808"/>
      <c r="E5" s="808"/>
      <c r="F5" s="80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11"/>
    </row>
    <row r="6" spans="1:21" ht="18.75">
      <c r="A6" s="808" t="str">
        <f>'305 Inputs'!B4</f>
        <v>12 Months Ended June 2012</v>
      </c>
      <c r="B6" s="808"/>
      <c r="C6" s="808"/>
      <c r="D6" s="808"/>
      <c r="E6" s="808"/>
      <c r="F6" s="808"/>
      <c r="G6" s="808"/>
      <c r="H6" s="808"/>
      <c r="I6" s="808"/>
      <c r="J6" s="808"/>
      <c r="K6" s="808"/>
      <c r="L6" s="808"/>
      <c r="M6" s="808"/>
      <c r="N6" s="808"/>
      <c r="O6" s="808"/>
      <c r="P6" s="808"/>
      <c r="Q6" s="808"/>
      <c r="R6" s="808"/>
      <c r="S6" s="808"/>
      <c r="T6" s="811"/>
    </row>
    <row r="7" spans="1:21" ht="18.75">
      <c r="A7" s="808"/>
      <c r="B7" s="809"/>
      <c r="C7" s="809"/>
      <c r="D7" s="809"/>
      <c r="E7" s="809"/>
      <c r="F7" s="811"/>
      <c r="G7" s="811"/>
      <c r="H7" s="811"/>
      <c r="I7" s="811"/>
      <c r="J7" s="811"/>
      <c r="K7" s="811"/>
      <c r="L7" s="820"/>
      <c r="M7" s="811"/>
      <c r="N7" s="811"/>
      <c r="O7" s="811"/>
      <c r="P7" s="811"/>
      <c r="Q7" s="809"/>
      <c r="R7" s="809"/>
      <c r="S7" s="809"/>
      <c r="T7" s="811"/>
    </row>
    <row r="8" spans="1:21" ht="18.75">
      <c r="A8" s="808"/>
      <c r="B8" s="809"/>
      <c r="C8" s="809"/>
      <c r="D8" s="809"/>
      <c r="E8" s="809"/>
      <c r="F8" s="811"/>
      <c r="G8" s="811"/>
      <c r="H8" s="811"/>
      <c r="I8" s="811"/>
      <c r="J8" s="811"/>
      <c r="K8" s="811"/>
      <c r="L8" s="820"/>
      <c r="M8" s="811"/>
      <c r="N8" s="811"/>
      <c r="O8" s="40"/>
      <c r="P8" s="874"/>
      <c r="Q8" s="875"/>
      <c r="R8" s="811"/>
      <c r="S8" s="811"/>
      <c r="T8" s="811"/>
    </row>
    <row r="9" spans="1:21" ht="18.75">
      <c r="A9" s="808"/>
      <c r="B9" s="809"/>
      <c r="C9" s="809"/>
      <c r="D9" s="811">
        <v>305</v>
      </c>
      <c r="E9" s="1949" t="s">
        <v>729</v>
      </c>
      <c r="F9" s="1949"/>
      <c r="G9" s="1949"/>
      <c r="H9" s="1949"/>
      <c r="I9" s="1949"/>
      <c r="J9" s="1949"/>
      <c r="K9" s="1949"/>
      <c r="L9" s="1950"/>
      <c r="M9" s="876" t="s">
        <v>45</v>
      </c>
      <c r="N9" s="877"/>
      <c r="O9" s="877"/>
      <c r="P9" s="878"/>
      <c r="Q9" s="879"/>
      <c r="R9" s="880"/>
      <c r="S9" s="881"/>
      <c r="T9" s="809"/>
    </row>
    <row r="10" spans="1:21" ht="19.5">
      <c r="A10" s="808"/>
      <c r="B10" s="809"/>
      <c r="C10" s="809"/>
      <c r="D10" s="811"/>
      <c r="E10" s="24" t="s">
        <v>201</v>
      </c>
      <c r="F10" s="957"/>
      <c r="G10" s="882" t="s">
        <v>305</v>
      </c>
      <c r="H10" s="882" t="s">
        <v>97</v>
      </c>
      <c r="I10" s="882"/>
      <c r="J10" s="883"/>
      <c r="K10" s="820" t="s">
        <v>730</v>
      </c>
      <c r="L10" s="883" t="s">
        <v>85</v>
      </c>
      <c r="M10" s="884"/>
      <c r="N10" s="62" t="s">
        <v>862</v>
      </c>
      <c r="O10" s="885" t="s">
        <v>770</v>
      </c>
      <c r="P10" s="871" t="s">
        <v>86</v>
      </c>
      <c r="Q10" s="886"/>
      <c r="R10" s="811" t="s">
        <v>10</v>
      </c>
      <c r="S10" s="811" t="s">
        <v>14</v>
      </c>
      <c r="T10" s="809"/>
    </row>
    <row r="11" spans="1:21" ht="18.75">
      <c r="B11" s="5"/>
      <c r="D11" s="28" t="s">
        <v>33</v>
      </c>
      <c r="E11" s="27" t="s">
        <v>44</v>
      </c>
      <c r="F11" s="27" t="s">
        <v>83</v>
      </c>
      <c r="G11" s="27" t="s">
        <v>771</v>
      </c>
      <c r="H11" s="27" t="s">
        <v>44</v>
      </c>
      <c r="I11" s="27" t="s">
        <v>762</v>
      </c>
      <c r="J11" s="27" t="s">
        <v>12</v>
      </c>
      <c r="K11" s="27" t="s">
        <v>87</v>
      </c>
      <c r="L11" s="888" t="s">
        <v>84</v>
      </c>
      <c r="M11" s="56" t="s">
        <v>254</v>
      </c>
      <c r="N11" s="56" t="s">
        <v>31</v>
      </c>
      <c r="O11" s="27" t="s">
        <v>87</v>
      </c>
      <c r="P11" s="888" t="s">
        <v>772</v>
      </c>
      <c r="Q11" s="887"/>
      <c r="R11" s="27" t="s">
        <v>15</v>
      </c>
      <c r="S11" s="27" t="s">
        <v>1</v>
      </c>
      <c r="T11" s="47"/>
    </row>
    <row r="12" spans="1:21">
      <c r="A12" s="5" t="s">
        <v>17</v>
      </c>
      <c r="B12" s="5"/>
      <c r="D12" s="104"/>
      <c r="E12" s="7"/>
      <c r="F12" s="45"/>
      <c r="G12" s="45"/>
      <c r="H12" s="45"/>
      <c r="I12" s="45"/>
      <c r="J12" s="45"/>
      <c r="K12" s="45"/>
      <c r="L12" s="889"/>
      <c r="M12" s="115"/>
      <c r="N12" s="115"/>
      <c r="O12" s="45"/>
      <c r="P12" s="46"/>
      <c r="Q12" s="890"/>
      <c r="R12" s="45"/>
      <c r="S12" s="47"/>
      <c r="T12" s="47"/>
    </row>
    <row r="13" spans="1:21">
      <c r="B13" s="4" t="s">
        <v>48</v>
      </c>
      <c r="D13" s="30">
        <f ca="1">SUMIF('305 Inputs'!$B$116:$B$142,"=16",'305 Inputs'!$I$116:$I$139)</f>
        <v>125325860.86</v>
      </c>
      <c r="E13" s="29">
        <f ca="1">'Normalized Monthly revenue'!AC6</f>
        <v>12440.360107517636</v>
      </c>
      <c r="F13" s="29">
        <f>'305 VS COGNOS Revenue'!E7+'305 VS COGNOS Revenue'!G7+'305 VS COGNOS Revenue'!N7+55615</f>
        <v>-4418006.4895559978</v>
      </c>
      <c r="G13" s="29">
        <v>0</v>
      </c>
      <c r="H13" s="29">
        <f ca="1">-SUMIF('305 Inputs'!A116:A142,"=b16",'305 Inputs'!I$116:I$140)</f>
        <v>6458711.3899999997</v>
      </c>
      <c r="I13" s="29">
        <v>0</v>
      </c>
      <c r="J13" s="29">
        <f>Temperature!G22*1000</f>
        <v>-206448.37000000029</v>
      </c>
      <c r="K13" s="29">
        <f ca="1">SUM(E13:J13)</f>
        <v>1846696.8905515193</v>
      </c>
      <c r="L13" s="30">
        <f t="shared" ref="L13:L18" ca="1" si="0">D13+K13</f>
        <v>127172557.75055152</v>
      </c>
      <c r="M13" s="787">
        <v>0</v>
      </c>
      <c r="N13" s="29">
        <f>'305 VS COGNOS Revenue'!R7</f>
        <v>1876009.8084409982</v>
      </c>
      <c r="O13" s="29">
        <f t="shared" ref="O13:O18" si="1">SUM(N13:N13)</f>
        <v>1876009.8084409982</v>
      </c>
      <c r="P13" s="30">
        <f t="shared" ref="P13:P18" ca="1" si="2">L13+O13</f>
        <v>129048567.55899252</v>
      </c>
      <c r="Q13" s="10"/>
      <c r="R13" s="29">
        <f t="shared" ref="R13:R18" ca="1" si="3">K13+O13</f>
        <v>3722706.6989925178</v>
      </c>
      <c r="S13" s="661">
        <f t="shared" ref="S13:S18" ca="1" si="4">+D13+R13</f>
        <v>129048567.55899252</v>
      </c>
      <c r="T13" s="891"/>
      <c r="U13" s="892"/>
    </row>
    <row r="14" spans="1:21">
      <c r="B14" s="4" t="s">
        <v>93</v>
      </c>
      <c r="D14" s="30">
        <f ca="1">SUMIF('305 Inputs'!$B$116:$B$142,"=17",'305 Inputs'!$I$116:$I$139)</f>
        <v>5132896.51</v>
      </c>
      <c r="E14" s="29">
        <f ca="1">'Normalized Monthly revenue'!AC7</f>
        <v>509.23332391723989</v>
      </c>
      <c r="F14" s="29">
        <f>'305 VS COGNOS Revenue'!E8+'305 VS COGNOS Revenue'!G8+'305 VS COGNOS Revenue'!N8</f>
        <v>-190834.54996497059</v>
      </c>
      <c r="G14" s="29">
        <v>0</v>
      </c>
      <c r="H14" s="29">
        <f ca="1">-SUMIF('305 Inputs'!$A$116:$A$142,"=b17",'305 Inputs'!I116:I141)</f>
        <v>264867.03999999998</v>
      </c>
      <c r="I14" s="29">
        <v>0</v>
      </c>
      <c r="J14" s="29">
        <f>Temperature!G40*1000</f>
        <v>-5546.3600000000042</v>
      </c>
      <c r="K14" s="29">
        <f t="shared" ref="K14:K17" ca="1" si="5">SUM(E14:J14)</f>
        <v>68995.363358946619</v>
      </c>
      <c r="L14" s="30">
        <f t="shared" ca="1" si="0"/>
        <v>5201891.8733589463</v>
      </c>
      <c r="M14" s="893">
        <f>$M$13</f>
        <v>0</v>
      </c>
      <c r="N14" s="29">
        <f>'305 VS COGNOS Revenue'!R8</f>
        <v>77071.359964970499</v>
      </c>
      <c r="O14" s="29">
        <f t="shared" si="1"/>
        <v>77071.359964970499</v>
      </c>
      <c r="P14" s="30">
        <f t="shared" ca="1" si="2"/>
        <v>5278963.2333239168</v>
      </c>
      <c r="Q14" s="10"/>
      <c r="R14" s="29">
        <f t="shared" ca="1" si="3"/>
        <v>146066.72332391713</v>
      </c>
      <c r="S14" s="661">
        <f t="shared" ca="1" si="4"/>
        <v>5278963.2333239168</v>
      </c>
      <c r="T14" s="891"/>
      <c r="U14" s="892"/>
    </row>
    <row r="15" spans="1:21">
      <c r="B15" s="4" t="s">
        <v>49</v>
      </c>
      <c r="D15" s="30">
        <f ca="1">SUMIF('305 Inputs'!$B$116:$B$142,"=18",'305 Inputs'!$I$116:$I$139)</f>
        <v>198963.66999999998</v>
      </c>
      <c r="E15" s="29">
        <f ca="1">'Normalized Monthly revenue'!AC8</f>
        <v>19.723602875558147</v>
      </c>
      <c r="F15" s="29">
        <f>'305 VS COGNOS Revenue'!E9+'305 VS COGNOS Revenue'!G9+'305 VS COGNOS Revenue'!N9</f>
        <v>-6511.2492949999951</v>
      </c>
      <c r="G15" s="29">
        <v>0</v>
      </c>
      <c r="H15" s="29">
        <f ca="1">-SUMIF('305 Inputs'!$A$116:$A$142,"=b18",'305 Inputs'!I$116:I$140)</f>
        <v>9344.0400000000009</v>
      </c>
      <c r="I15" s="29">
        <v>0</v>
      </c>
      <c r="J15" s="29">
        <f>Temperature!G58*1000</f>
        <v>-256.96999999999986</v>
      </c>
      <c r="K15" s="29">
        <f t="shared" ca="1" si="5"/>
        <v>2595.5443078755638</v>
      </c>
      <c r="L15" s="30">
        <f t="shared" ca="1" si="0"/>
        <v>201559.21430787555</v>
      </c>
      <c r="M15" s="893">
        <f>$M$13</f>
        <v>0</v>
      </c>
      <c r="N15" s="29">
        <f>'305 VS COGNOS Revenue'!R9</f>
        <v>2905.5092949999962</v>
      </c>
      <c r="O15" s="29">
        <f t="shared" si="1"/>
        <v>2905.5092949999962</v>
      </c>
      <c r="P15" s="30">
        <f t="shared" ca="1" si="2"/>
        <v>204464.72360287554</v>
      </c>
      <c r="Q15" s="10"/>
      <c r="R15" s="29">
        <f t="shared" ca="1" si="3"/>
        <v>5501.0536028755596</v>
      </c>
      <c r="S15" s="661">
        <f t="shared" ca="1" si="4"/>
        <v>204464.72360287554</v>
      </c>
      <c r="T15" s="891"/>
      <c r="U15" s="892"/>
    </row>
    <row r="16" spans="1:21">
      <c r="B16" s="7" t="s">
        <v>164</v>
      </c>
      <c r="D16" s="30">
        <f ca="1">SUMIF('305 Inputs'!$B$116:$B$142,"=18x",'305 Inputs'!$I$116:$I$139)</f>
        <v>38188.21</v>
      </c>
      <c r="E16" s="29">
        <f ca="1">'Normalized Monthly revenue'!AC9</f>
        <v>3.7869002045382243</v>
      </c>
      <c r="F16" s="29">
        <f>'305 VS COGNOS Revenue'!E10+'305 VS COGNOS Revenue'!G10+'305 VS COGNOS Revenue'!N10</f>
        <v>-1291.158260000007</v>
      </c>
      <c r="G16" s="29">
        <v>0</v>
      </c>
      <c r="H16" s="29">
        <f ca="1">-SUMIF('305 Inputs'!$A$116:$A$142,"=b18x",'305 Inputs'!I$116:I$139)</f>
        <v>1832.22</v>
      </c>
      <c r="I16" s="29">
        <v>0</v>
      </c>
      <c r="J16" s="29">
        <v>0</v>
      </c>
      <c r="K16" s="29">
        <f t="shared" ca="1" si="5"/>
        <v>544.84864020453119</v>
      </c>
      <c r="L16" s="30">
        <f t="shared" ca="1" si="0"/>
        <v>38733.05864020453</v>
      </c>
      <c r="M16" s="893">
        <f>$M$13</f>
        <v>0</v>
      </c>
      <c r="N16" s="29">
        <f>'305 VS COGNOS Revenue'!R10</f>
        <v>558.7282600000035</v>
      </c>
      <c r="O16" s="29">
        <f t="shared" si="1"/>
        <v>558.7282600000035</v>
      </c>
      <c r="P16" s="30">
        <f t="shared" ca="1" si="2"/>
        <v>39291.786900204534</v>
      </c>
      <c r="Q16" s="10"/>
      <c r="R16" s="29">
        <f t="shared" ca="1" si="3"/>
        <v>1103.5769002045347</v>
      </c>
      <c r="S16" s="661">
        <f t="shared" ca="1" si="4"/>
        <v>39291.786900204534</v>
      </c>
      <c r="T16" s="891"/>
      <c r="U16" s="892"/>
    </row>
    <row r="17" spans="1:21">
      <c r="B17" s="7" t="s">
        <v>252</v>
      </c>
      <c r="D17" s="30">
        <f ca="1">SUMIF('305 Inputs'!$B$116:$B$142,"=135",'305 Inputs'!$I$116:$I$139)</f>
        <v>56509.43</v>
      </c>
      <c r="E17" s="29">
        <v>0</v>
      </c>
      <c r="F17" s="29">
        <f>'305 VS COGNOS Revenue'!E11+'305 VS COGNOS Revenue'!G11+'305 VS COGNOS Revenue'!N11-55615</f>
        <v>-59251.558884999999</v>
      </c>
      <c r="G17" s="29">
        <v>0</v>
      </c>
      <c r="H17" s="29">
        <f ca="1">-SUMIF('305 Inputs'!$A$116:$A$142,"=b135",'305 Inputs'!I$116:I$140)</f>
        <v>2741.93</v>
      </c>
      <c r="I17" s="29">
        <v>0</v>
      </c>
      <c r="J17" s="29">
        <v>0</v>
      </c>
      <c r="K17" s="29">
        <f t="shared" ca="1" si="5"/>
        <v>-56509.628884999998</v>
      </c>
      <c r="L17" s="30">
        <f t="shared" ca="1" si="0"/>
        <v>-0.19888499999797205</v>
      </c>
      <c r="M17" s="893">
        <f>$M$13</f>
        <v>0</v>
      </c>
      <c r="N17" s="29">
        <f>'305 VS COGNOS Revenue'!R11</f>
        <v>0</v>
      </c>
      <c r="O17" s="29">
        <f t="shared" si="1"/>
        <v>0</v>
      </c>
      <c r="P17" s="30">
        <f t="shared" ca="1" si="2"/>
        <v>-0.19888499999797205</v>
      </c>
      <c r="Q17" s="10"/>
      <c r="R17" s="29">
        <f t="shared" ca="1" si="3"/>
        <v>-56509.628884999998</v>
      </c>
      <c r="S17" s="661">
        <f t="shared" ca="1" si="4"/>
        <v>-0.19888499999797205</v>
      </c>
      <c r="T17" s="891"/>
      <c r="U17" s="892"/>
    </row>
    <row r="18" spans="1:21">
      <c r="B18" s="7" t="s">
        <v>763</v>
      </c>
      <c r="D18" s="78">
        <f ca="1">SUMIF('305 Inputs'!$B$116:$B$142,"=24",'305 Inputs'!$I$116:$I$139)</f>
        <v>116718.63</v>
      </c>
      <c r="E18" s="31">
        <f ca="1">'Normalized Monthly revenue'!AC11</f>
        <v>11.556216535227565</v>
      </c>
      <c r="F18" s="31">
        <f>'305 VS COGNOS Revenue'!E13+'305 VS COGNOS Revenue'!G13+'305 VS COGNOS Revenue'!N13+'305 VS COGNOS Revenue'!Z13</f>
        <v>147798.12000000002</v>
      </c>
      <c r="G18" s="31">
        <v>0</v>
      </c>
      <c r="H18" s="31">
        <f>-SUMIF('305 Inputs'!$A$116:$A$142,"=b24",'305 Inputs'!I$116:I$142)</f>
        <v>4182.37</v>
      </c>
      <c r="I18" s="31">
        <v>0</v>
      </c>
      <c r="J18" s="31">
        <f>Temperature!V75*1000</f>
        <v>-800.57999999999993</v>
      </c>
      <c r="K18" s="31">
        <f ca="1">SUM(E18:J18)</f>
        <v>151191.46621653525</v>
      </c>
      <c r="L18" s="78">
        <f t="shared" ca="1" si="0"/>
        <v>267910.09621653525</v>
      </c>
      <c r="M18" s="894">
        <f>$M$13</f>
        <v>0</v>
      </c>
      <c r="N18" s="31">
        <f>'305 VS COGNOS Revenue'!R13-'305 VS COGNOS Revenue'!Z13</f>
        <v>3795.4599999999919</v>
      </c>
      <c r="O18" s="31">
        <f t="shared" si="1"/>
        <v>3795.4599999999919</v>
      </c>
      <c r="P18" s="78">
        <f t="shared" ca="1" si="2"/>
        <v>271705.55621653527</v>
      </c>
      <c r="Q18" s="10"/>
      <c r="R18" s="31">
        <f t="shared" ca="1" si="3"/>
        <v>154986.92621653524</v>
      </c>
      <c r="S18" s="660">
        <f t="shared" ca="1" si="4"/>
        <v>271705.55621653527</v>
      </c>
      <c r="T18" s="891"/>
      <c r="U18" s="892"/>
    </row>
    <row r="19" spans="1:21">
      <c r="B19" s="4" t="s">
        <v>35</v>
      </c>
      <c r="D19" s="30">
        <f ca="1">SUM(D13:D18)</f>
        <v>130869137.31</v>
      </c>
      <c r="E19" s="970">
        <f ca="1">SUM(E13:E18)</f>
        <v>12984.660151050201</v>
      </c>
      <c r="F19" s="29">
        <f>SUM(F13:F18)</f>
        <v>-4528096.8859609682</v>
      </c>
      <c r="G19" s="29">
        <f t="shared" ref="G19:K19" si="6">SUM(G13:G18)</f>
        <v>0</v>
      </c>
      <c r="H19" s="29">
        <f t="shared" ca="1" si="6"/>
        <v>6741678.9899999993</v>
      </c>
      <c r="I19" s="29">
        <f t="shared" si="6"/>
        <v>0</v>
      </c>
      <c r="J19" s="29">
        <f t="shared" si="6"/>
        <v>-213052.28000000029</v>
      </c>
      <c r="K19" s="29">
        <f t="shared" ca="1" si="6"/>
        <v>2013514.4841900815</v>
      </c>
      <c r="L19" s="30">
        <f ca="1">SUM(L13:L18)</f>
        <v>132882651.79419009</v>
      </c>
      <c r="M19" s="893"/>
      <c r="N19" s="29">
        <f>SUM(N13:N18)</f>
        <v>1960340.8659609687</v>
      </c>
      <c r="O19" s="29">
        <f>SUM(O13:O18)</f>
        <v>1960340.8659609687</v>
      </c>
      <c r="P19" s="29">
        <f ca="1">SUM(P13:P18)</f>
        <v>134842992.66015103</v>
      </c>
      <c r="Q19" s="10"/>
      <c r="R19" s="29">
        <f ca="1">SUM(R13:R18)</f>
        <v>3973855.3501510504</v>
      </c>
      <c r="S19" s="29">
        <f ca="1">SUM(S13:S18)</f>
        <v>134842992.66015103</v>
      </c>
      <c r="T19" s="891"/>
    </row>
    <row r="20" spans="1:21">
      <c r="D20" s="30"/>
      <c r="E20" s="29"/>
      <c r="F20" s="29"/>
      <c r="G20" s="29"/>
      <c r="H20" s="29"/>
      <c r="I20" s="29"/>
      <c r="J20" s="29"/>
      <c r="K20" s="29"/>
      <c r="L20" s="30"/>
      <c r="M20" s="893"/>
      <c r="N20" s="29"/>
      <c r="O20" s="29" t="s">
        <v>31</v>
      </c>
      <c r="P20" s="30"/>
      <c r="Q20" s="10"/>
      <c r="R20" s="29"/>
      <c r="S20" s="661"/>
      <c r="T20" s="891"/>
      <c r="U20" s="892"/>
    </row>
    <row r="21" spans="1:21" s="11" customFormat="1">
      <c r="B21" s="7" t="s">
        <v>50</v>
      </c>
      <c r="D21" s="78">
        <f ca="1">SUMIF('305 Inputs'!$B$116:$B$142,"=15r",'305 Inputs'!$I$116:$I$139)</f>
        <v>155164</v>
      </c>
      <c r="E21" s="31">
        <f ca="1">'Normalized Monthly revenue'!AC10</f>
        <v>15.339848949801738</v>
      </c>
      <c r="F21" s="31">
        <f>'305 VS COGNOS Revenue'!E12+'305 VS COGNOS Revenue'!G12+'305 VS COGNOS Revenue'!N12</f>
        <v>-2816.3299999999745</v>
      </c>
      <c r="G21" s="31">
        <v>0</v>
      </c>
      <c r="H21" s="31">
        <f ca="1">-SUMIF('305 Inputs'!$A$116:$A$142,"=b15r",'305 Inputs'!I$116:I$139)</f>
        <v>4529.47</v>
      </c>
      <c r="I21" s="31">
        <v>0</v>
      </c>
      <c r="J21" s="31">
        <v>0</v>
      </c>
      <c r="K21" s="31">
        <f t="shared" ref="K21" ca="1" si="7">SUM(E21:J21)</f>
        <v>1728.4798489498276</v>
      </c>
      <c r="L21" s="78">
        <f ca="1">D21+K21</f>
        <v>156892.47984894982</v>
      </c>
      <c r="M21" s="894">
        <v>0</v>
      </c>
      <c r="N21" s="31">
        <f>'305 VS COGNOS Revenue'!R12</f>
        <v>-4.6199999999953434</v>
      </c>
      <c r="O21" s="31">
        <f>SUM(N21:N21)</f>
        <v>-4.6199999999953434</v>
      </c>
      <c r="P21" s="78">
        <f ca="1">L21+O21</f>
        <v>156887.85984894983</v>
      </c>
      <c r="Q21" s="653"/>
      <c r="R21" s="31">
        <f ca="1">K21+O21</f>
        <v>1723.8598489498322</v>
      </c>
      <c r="S21" s="660">
        <f ca="1">+D21+R21</f>
        <v>156887.85984894983</v>
      </c>
      <c r="T21" s="891"/>
    </row>
    <row r="22" spans="1:21">
      <c r="B22" s="4" t="s">
        <v>35</v>
      </c>
      <c r="D22" s="30">
        <f t="shared" ref="D22:L22" ca="1" si="8">SUM(D21:D21)</f>
        <v>155164</v>
      </c>
      <c r="E22" s="970">
        <f t="shared" ca="1" si="8"/>
        <v>15.339848949801738</v>
      </c>
      <c r="F22" s="29">
        <f t="shared" si="8"/>
        <v>-2816.3299999999745</v>
      </c>
      <c r="G22" s="29">
        <f t="shared" si="8"/>
        <v>0</v>
      </c>
      <c r="H22" s="29">
        <f t="shared" ca="1" si="8"/>
        <v>4529.47</v>
      </c>
      <c r="I22" s="29">
        <f t="shared" si="8"/>
        <v>0</v>
      </c>
      <c r="J22" s="29">
        <f t="shared" si="8"/>
        <v>0</v>
      </c>
      <c r="K22" s="29">
        <f t="shared" ca="1" si="8"/>
        <v>1728.4798489498276</v>
      </c>
      <c r="L22" s="30">
        <f t="shared" ca="1" si="8"/>
        <v>156892.47984894982</v>
      </c>
      <c r="M22" s="894"/>
      <c r="N22" s="29">
        <f>SUM(N21:N21)</f>
        <v>-4.6199999999953434</v>
      </c>
      <c r="O22" s="29">
        <f>SUM(O21:O21)</f>
        <v>-4.6199999999953434</v>
      </c>
      <c r="P22" s="30">
        <f ca="1">SUM(P21:P21)</f>
        <v>156887.85984894983</v>
      </c>
      <c r="Q22" s="10"/>
      <c r="R22" s="29">
        <f ca="1">SUM(R21:R21)</f>
        <v>1723.8598489498322</v>
      </c>
      <c r="S22" s="29">
        <f ca="1">SUM(S21:S21)</f>
        <v>156887.85984894983</v>
      </c>
      <c r="T22" s="891"/>
    </row>
    <row r="23" spans="1:21">
      <c r="D23" s="30"/>
      <c r="E23" s="29"/>
      <c r="F23" s="29"/>
      <c r="G23" s="29"/>
      <c r="H23" s="29"/>
      <c r="I23" s="29"/>
      <c r="J23" s="29"/>
      <c r="K23" s="29"/>
      <c r="L23" s="30"/>
      <c r="M23" s="894"/>
      <c r="N23" s="893"/>
      <c r="O23" s="893"/>
      <c r="P23" s="30"/>
      <c r="Q23" s="10"/>
      <c r="R23" s="29"/>
      <c r="S23" s="661"/>
      <c r="T23" s="891"/>
      <c r="U23" s="895"/>
    </row>
    <row r="24" spans="1:21" s="11" customFormat="1">
      <c r="A24" s="4"/>
      <c r="B24" s="4" t="s">
        <v>34</v>
      </c>
      <c r="C24" s="4"/>
      <c r="D24" s="78">
        <f ca="1">SUMIF('305 Inputs'!$B$116:$B$142,"=aga",'305 Inputs'!$I$116:$I$139)</f>
        <v>359.04999999999995</v>
      </c>
      <c r="E24" s="31"/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f>SUM(F24:J24)</f>
        <v>0</v>
      </c>
      <c r="L24" s="78">
        <f ca="1">D24+K24</f>
        <v>359.04999999999995</v>
      </c>
      <c r="M24" s="894">
        <v>0</v>
      </c>
      <c r="N24" s="31">
        <f ca="1">ROUND(L24*M24*((366-30)/(366+30*M24)),0)</f>
        <v>0</v>
      </c>
      <c r="O24" s="31">
        <f ca="1">SUM(N24:N24)</f>
        <v>0</v>
      </c>
      <c r="P24" s="30">
        <f ca="1">L24+O24</f>
        <v>359.04999999999995</v>
      </c>
      <c r="Q24" s="653"/>
      <c r="R24" s="31">
        <f ca="1">K24+O24</f>
        <v>0</v>
      </c>
      <c r="S24" s="660">
        <f ca="1">+D24+R24</f>
        <v>359.04999999999995</v>
      </c>
      <c r="T24" s="891"/>
    </row>
    <row r="25" spans="1:21" s="11" customFormat="1">
      <c r="A25" s="4"/>
      <c r="C25" s="4"/>
      <c r="D25" s="78"/>
      <c r="E25" s="31"/>
      <c r="F25" s="31"/>
      <c r="G25" s="31"/>
      <c r="H25" s="31"/>
      <c r="I25" s="31"/>
      <c r="J25" s="31"/>
      <c r="K25" s="31"/>
      <c r="L25" s="78"/>
      <c r="M25" s="894"/>
      <c r="N25" s="31"/>
      <c r="O25" s="31"/>
      <c r="P25" s="78"/>
      <c r="Q25" s="653"/>
      <c r="R25" s="29"/>
      <c r="S25" s="660"/>
      <c r="T25" s="891"/>
    </row>
    <row r="26" spans="1:21" s="11" customFormat="1">
      <c r="A26" s="4"/>
      <c r="B26" s="4" t="s">
        <v>679</v>
      </c>
      <c r="C26" s="4"/>
      <c r="D26" s="78">
        <f ca="1">SUMIF('305 Inputs'!$B$116:$B$142,"=def",'305 Inputs'!$I$116:$I$139)</f>
        <v>-1320000</v>
      </c>
      <c r="E26" s="31"/>
      <c r="F26" s="31">
        <f ca="1">-D26</f>
        <v>1320000</v>
      </c>
      <c r="G26" s="31">
        <v>0</v>
      </c>
      <c r="H26" s="31">
        <v>0</v>
      </c>
      <c r="I26" s="31">
        <v>0</v>
      </c>
      <c r="J26" s="31">
        <v>0</v>
      </c>
      <c r="K26" s="31">
        <f t="shared" ref="K26:K34" ca="1" si="9">SUM(F26:J26)</f>
        <v>1320000</v>
      </c>
      <c r="L26" s="78">
        <f t="shared" ref="L26:L34" ca="1" si="10">D26+K26</f>
        <v>0</v>
      </c>
      <c r="M26" s="894">
        <v>0</v>
      </c>
      <c r="N26" s="31">
        <f t="shared" ref="N26:N34" ca="1" si="11">ROUND(L26*M26*((366-30)/(366+30*M26)),0)</f>
        <v>0</v>
      </c>
      <c r="O26" s="31">
        <f t="shared" ref="O26:O34" ca="1" si="12">SUM(N26:N26)</f>
        <v>0</v>
      </c>
      <c r="P26" s="78">
        <f t="shared" ref="P26:P34" ca="1" si="13">L26+O26</f>
        <v>0</v>
      </c>
      <c r="Q26" s="653"/>
      <c r="R26" s="31">
        <f ca="1">K26+O26</f>
        <v>1320000</v>
      </c>
      <c r="S26" s="660">
        <f ca="1">+D26+R26</f>
        <v>0</v>
      </c>
      <c r="T26" s="891"/>
    </row>
    <row r="27" spans="1:21" s="11" customFormat="1">
      <c r="A27" s="4"/>
      <c r="B27" s="4" t="s">
        <v>764</v>
      </c>
      <c r="C27" s="4"/>
      <c r="D27" s="78">
        <f ca="1">SUMIF('305 Inputs'!$B$116:$B$142,"=rev",'305 Inputs'!$I$116:$I$139)</f>
        <v>-6017241.4900000002</v>
      </c>
      <c r="E27" s="31"/>
      <c r="F27" s="31">
        <f ca="1">-D27</f>
        <v>6017241.4900000002</v>
      </c>
      <c r="G27" s="31">
        <v>0</v>
      </c>
      <c r="H27" s="31">
        <v>0</v>
      </c>
      <c r="I27" s="31">
        <v>0</v>
      </c>
      <c r="J27" s="31">
        <v>0</v>
      </c>
      <c r="K27" s="31">
        <f t="shared" ca="1" si="9"/>
        <v>6017241.4900000002</v>
      </c>
      <c r="L27" s="78">
        <f t="shared" ca="1" si="10"/>
        <v>0</v>
      </c>
      <c r="M27" s="894">
        <v>0</v>
      </c>
      <c r="N27" s="31">
        <f t="shared" ca="1" si="11"/>
        <v>0</v>
      </c>
      <c r="O27" s="31">
        <f t="shared" ca="1" si="12"/>
        <v>0</v>
      </c>
      <c r="P27" s="78">
        <f t="shared" ca="1" si="13"/>
        <v>0</v>
      </c>
      <c r="Q27" s="653"/>
      <c r="R27" s="31">
        <f t="shared" ref="R27" ca="1" si="14">K27+O27</f>
        <v>6017241.4900000002</v>
      </c>
      <c r="S27" s="660">
        <f ca="1">+D27+R27</f>
        <v>0</v>
      </c>
      <c r="T27" s="891"/>
    </row>
    <row r="28" spans="1:21" s="11" customFormat="1">
      <c r="B28" s="4" t="s">
        <v>241</v>
      </c>
      <c r="D28" s="78">
        <f ca="1">SUMIF('305 Inputs'!$B$116:$B$142,"=acq",'305 Inputs'!$I$116:$I$139)</f>
        <v>0</v>
      </c>
      <c r="E28" s="31"/>
      <c r="F28" s="31">
        <f ca="1">-D28</f>
        <v>0</v>
      </c>
      <c r="G28" s="31">
        <v>0</v>
      </c>
      <c r="H28" s="31">
        <v>0</v>
      </c>
      <c r="I28" s="31">
        <v>0</v>
      </c>
      <c r="J28" s="31">
        <v>0</v>
      </c>
      <c r="K28" s="31">
        <f t="shared" ca="1" si="9"/>
        <v>0</v>
      </c>
      <c r="L28" s="78">
        <f t="shared" ca="1" si="10"/>
        <v>0</v>
      </c>
      <c r="M28" s="894">
        <v>0</v>
      </c>
      <c r="N28" s="31">
        <f t="shared" ca="1" si="11"/>
        <v>0</v>
      </c>
      <c r="O28" s="31">
        <f t="shared" ca="1" si="12"/>
        <v>0</v>
      </c>
      <c r="P28" s="78">
        <f t="shared" ca="1" si="13"/>
        <v>0</v>
      </c>
      <c r="Q28" s="653"/>
      <c r="R28" s="31">
        <f ca="1">K28+O28</f>
        <v>0</v>
      </c>
      <c r="S28" s="660">
        <f ca="1">+D28+R28</f>
        <v>0</v>
      </c>
      <c r="T28" s="12"/>
    </row>
    <row r="29" spans="1:21" s="11" customFormat="1">
      <c r="B29" s="4" t="s">
        <v>165</v>
      </c>
      <c r="D29" s="78">
        <f ca="1">SUMIF('305 Inputs'!$B$116:$B$142,"=cent",'305 Inputs'!$I$116:$I$139)</f>
        <v>0.5</v>
      </c>
      <c r="E29" s="31"/>
      <c r="F29" s="31">
        <f ca="1">-D29</f>
        <v>-0.5</v>
      </c>
      <c r="G29" s="31">
        <v>0</v>
      </c>
      <c r="H29" s="31">
        <v>0</v>
      </c>
      <c r="I29" s="31">
        <v>0</v>
      </c>
      <c r="J29" s="31">
        <v>0</v>
      </c>
      <c r="K29" s="31">
        <f ca="1">SUM(F29:J29)</f>
        <v>-0.5</v>
      </c>
      <c r="L29" s="78">
        <f t="shared" ca="1" si="10"/>
        <v>0</v>
      </c>
      <c r="M29" s="894">
        <v>0</v>
      </c>
      <c r="N29" s="31">
        <f t="shared" ca="1" si="11"/>
        <v>0</v>
      </c>
      <c r="O29" s="31">
        <f t="shared" ca="1" si="12"/>
        <v>0</v>
      </c>
      <c r="P29" s="78">
        <f t="shared" ca="1" si="13"/>
        <v>0</v>
      </c>
      <c r="Q29" s="653"/>
      <c r="R29" s="31">
        <f ca="1">K29+O29</f>
        <v>-0.5</v>
      </c>
      <c r="S29" s="660">
        <f ca="1">+D29+R29</f>
        <v>0</v>
      </c>
      <c r="T29" s="12"/>
      <c r="U29" s="12"/>
    </row>
    <row r="30" spans="1:21" s="11" customFormat="1">
      <c r="B30" s="4" t="s">
        <v>179</v>
      </c>
      <c r="D30" s="78">
        <f ca="1">SUMIF('305 Inputs'!$B$116:$B$142,"=merger",'305 Inputs'!$I$116:$I$139)</f>
        <v>0.33</v>
      </c>
      <c r="E30" s="31"/>
      <c r="F30" s="31">
        <f ca="1">-D30</f>
        <v>-0.33</v>
      </c>
      <c r="G30" s="31">
        <v>0</v>
      </c>
      <c r="H30" s="31">
        <v>0</v>
      </c>
      <c r="I30" s="31">
        <v>0</v>
      </c>
      <c r="J30" s="31">
        <v>0</v>
      </c>
      <c r="K30" s="31">
        <f t="shared" ca="1" si="9"/>
        <v>-0.33</v>
      </c>
      <c r="L30" s="78">
        <f t="shared" ca="1" si="10"/>
        <v>0</v>
      </c>
      <c r="M30" s="894">
        <v>0</v>
      </c>
      <c r="N30" s="31">
        <f t="shared" ca="1" si="11"/>
        <v>0</v>
      </c>
      <c r="O30" s="31">
        <f t="shared" ca="1" si="12"/>
        <v>0</v>
      </c>
      <c r="P30" s="78">
        <f t="shared" ca="1" si="13"/>
        <v>0</v>
      </c>
      <c r="Q30" s="653"/>
      <c r="R30" s="31">
        <f ca="1">K30+O30</f>
        <v>-0.33</v>
      </c>
      <c r="S30" s="660">
        <f ca="1">+D30+R30</f>
        <v>0</v>
      </c>
      <c r="T30" s="12"/>
      <c r="U30" s="12"/>
    </row>
    <row r="31" spans="1:21" s="11" customFormat="1">
      <c r="B31" s="4" t="s">
        <v>773</v>
      </c>
      <c r="D31" s="78">
        <f ca="1">SUMIF('305 Inputs'!$B$116:$B$142,"=dsm",'305 Inputs'!$I$116:$I$139)</f>
        <v>2249460.66</v>
      </c>
      <c r="E31" s="31"/>
      <c r="F31" s="31">
        <f t="shared" ref="F31:F32" ca="1" si="15">-D31</f>
        <v>-2249460.66</v>
      </c>
      <c r="G31" s="31">
        <v>0</v>
      </c>
      <c r="H31" s="31">
        <v>0</v>
      </c>
      <c r="I31" s="31">
        <v>0</v>
      </c>
      <c r="J31" s="31">
        <v>0</v>
      </c>
      <c r="K31" s="31">
        <f t="shared" ca="1" si="9"/>
        <v>-2249460.66</v>
      </c>
      <c r="L31" s="78">
        <f t="shared" ca="1" si="10"/>
        <v>0</v>
      </c>
      <c r="M31" s="894">
        <v>0</v>
      </c>
      <c r="N31" s="31">
        <f t="shared" ca="1" si="11"/>
        <v>0</v>
      </c>
      <c r="O31" s="31">
        <f t="shared" ca="1" si="12"/>
        <v>0</v>
      </c>
      <c r="P31" s="78">
        <f t="shared" ca="1" si="13"/>
        <v>0</v>
      </c>
      <c r="Q31" s="653"/>
      <c r="R31" s="31">
        <f t="shared" ref="R31:R32" ca="1" si="16">K31+O31</f>
        <v>-2249460.66</v>
      </c>
      <c r="S31" s="660">
        <f t="shared" ref="S31:S32" ca="1" si="17">+D31+R31</f>
        <v>0</v>
      </c>
      <c r="T31" s="12"/>
      <c r="U31" s="12"/>
    </row>
    <row r="32" spans="1:21" s="11" customFormat="1">
      <c r="B32" s="4" t="s">
        <v>774</v>
      </c>
      <c r="D32" s="78">
        <f ca="1">SUMIF('305 Inputs'!$B$116:$B$142,"=blue",'305 Inputs'!$I$116:$I$139)</f>
        <v>15127.85</v>
      </c>
      <c r="E32" s="31"/>
      <c r="F32" s="31">
        <f t="shared" ca="1" si="15"/>
        <v>-15127.85</v>
      </c>
      <c r="G32" s="31">
        <v>0</v>
      </c>
      <c r="H32" s="31">
        <v>0</v>
      </c>
      <c r="I32" s="31">
        <v>0</v>
      </c>
      <c r="J32" s="31">
        <v>0</v>
      </c>
      <c r="K32" s="31">
        <f t="shared" ca="1" si="9"/>
        <v>-15127.85</v>
      </c>
      <c r="L32" s="78">
        <f t="shared" ca="1" si="10"/>
        <v>0</v>
      </c>
      <c r="M32" s="894">
        <v>0</v>
      </c>
      <c r="N32" s="31">
        <f t="shared" ca="1" si="11"/>
        <v>0</v>
      </c>
      <c r="O32" s="31">
        <f t="shared" ca="1" si="12"/>
        <v>0</v>
      </c>
      <c r="P32" s="78">
        <f t="shared" ca="1" si="13"/>
        <v>0</v>
      </c>
      <c r="Q32" s="653"/>
      <c r="R32" s="31">
        <f t="shared" ca="1" si="16"/>
        <v>-15127.85</v>
      </c>
      <c r="S32" s="660">
        <f t="shared" ca="1" si="17"/>
        <v>0</v>
      </c>
      <c r="T32" s="12"/>
      <c r="U32" s="12"/>
    </row>
    <row r="33" spans="1:20" s="11" customFormat="1">
      <c r="A33" s="4"/>
      <c r="B33" s="4" t="s">
        <v>94</v>
      </c>
      <c r="C33" s="4"/>
      <c r="D33" s="78">
        <f ca="1">SUMIF('305 Inputs'!$B$116:$B$142,"=bpa",'305 Inputs'!$I$116:$I$139)</f>
        <v>478039.87</v>
      </c>
      <c r="E33" s="31"/>
      <c r="F33" s="31">
        <v>0</v>
      </c>
      <c r="G33" s="31">
        <v>0</v>
      </c>
      <c r="H33" s="31">
        <f ca="1">-D33</f>
        <v>-478039.87</v>
      </c>
      <c r="I33" s="31">
        <v>0</v>
      </c>
      <c r="J33" s="31">
        <v>0</v>
      </c>
      <c r="K33" s="31">
        <f t="shared" ca="1" si="9"/>
        <v>-478039.87</v>
      </c>
      <c r="L33" s="78">
        <f t="shared" ca="1" si="10"/>
        <v>0</v>
      </c>
      <c r="M33" s="894">
        <v>0</v>
      </c>
      <c r="N33" s="31">
        <f t="shared" ca="1" si="11"/>
        <v>0</v>
      </c>
      <c r="O33" s="31">
        <f t="shared" ca="1" si="12"/>
        <v>0</v>
      </c>
      <c r="P33" s="78">
        <f t="shared" ca="1" si="13"/>
        <v>0</v>
      </c>
      <c r="Q33" s="653"/>
      <c r="R33" s="31">
        <f ca="1">K33+O33</f>
        <v>-478039.87</v>
      </c>
      <c r="S33" s="660">
        <f ca="1">+D33+R33</f>
        <v>0</v>
      </c>
      <c r="T33" s="12"/>
    </row>
    <row r="34" spans="1:20" s="11" customFormat="1">
      <c r="A34" s="4"/>
      <c r="B34" s="4" t="s">
        <v>698</v>
      </c>
      <c r="C34" s="4"/>
      <c r="D34" s="78">
        <f ca="1">SUMIF('305 Inputs'!$B$116:$B$142,"=smud",'305 Inputs'!$I$116:$I$139)</f>
        <v>149485.85999999999</v>
      </c>
      <c r="E34" s="31"/>
      <c r="F34" s="31">
        <f ca="1">D34*-1</f>
        <v>-149485.85999999999</v>
      </c>
      <c r="G34" s="31">
        <v>0</v>
      </c>
      <c r="H34" s="31">
        <v>0</v>
      </c>
      <c r="I34" s="31">
        <v>0</v>
      </c>
      <c r="J34" s="31">
        <v>0</v>
      </c>
      <c r="K34" s="31">
        <f t="shared" ca="1" si="9"/>
        <v>-149485.85999999999</v>
      </c>
      <c r="L34" s="78">
        <f t="shared" ca="1" si="10"/>
        <v>0</v>
      </c>
      <c r="M34" s="894">
        <v>0</v>
      </c>
      <c r="N34" s="31">
        <f t="shared" ca="1" si="11"/>
        <v>0</v>
      </c>
      <c r="O34" s="31">
        <f t="shared" ca="1" si="12"/>
        <v>0</v>
      </c>
      <c r="P34" s="78">
        <f t="shared" ca="1" si="13"/>
        <v>0</v>
      </c>
      <c r="Q34" s="653"/>
      <c r="R34" s="31">
        <f ca="1">K34+O34</f>
        <v>-149485.85999999999</v>
      </c>
      <c r="S34" s="660">
        <f ca="1">+D34+R34</f>
        <v>0</v>
      </c>
      <c r="T34" s="12"/>
    </row>
    <row r="35" spans="1:20" s="11" customFormat="1">
      <c r="A35" s="4"/>
      <c r="C35" s="4"/>
      <c r="D35" s="78"/>
      <c r="E35" s="31"/>
      <c r="F35" s="31"/>
      <c r="G35" s="31"/>
      <c r="H35" s="31"/>
      <c r="I35" s="31"/>
      <c r="J35" s="31"/>
      <c r="K35" s="31"/>
      <c r="L35" s="78"/>
      <c r="M35" s="894"/>
      <c r="N35" s="29"/>
      <c r="O35" s="31"/>
      <c r="P35" s="78"/>
      <c r="Q35" s="653"/>
      <c r="R35" s="31"/>
      <c r="S35" s="660"/>
      <c r="T35" s="12"/>
    </row>
    <row r="36" spans="1:20" s="11" customFormat="1">
      <c r="B36" s="4" t="s">
        <v>78</v>
      </c>
      <c r="D36" s="78">
        <f ca="1">SUMIF('305 Inputs'!$B$116:$B$142,"=unbilled",'305 Inputs'!$I$116:$I$139)</f>
        <v>13000</v>
      </c>
      <c r="E36" s="31">
        <f ca="1">-D36</f>
        <v>-13000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f ca="1">SUM(E36:J36)</f>
        <v>-13000</v>
      </c>
      <c r="L36" s="78">
        <f ca="1">D36+K36</f>
        <v>0</v>
      </c>
      <c r="M36" s="894">
        <v>0</v>
      </c>
      <c r="N36" s="31">
        <f t="shared" ref="N36" ca="1" si="18">ROUND(L36*M36*((366-30)/(366+30*M36)),0)</f>
        <v>0</v>
      </c>
      <c r="O36" s="31">
        <f ca="1">SUM(N36:N36)</f>
        <v>0</v>
      </c>
      <c r="P36" s="78">
        <f ca="1">L36+O36</f>
        <v>0</v>
      </c>
      <c r="Q36" s="653"/>
      <c r="R36" s="31">
        <f ca="1">K36+O36</f>
        <v>-13000</v>
      </c>
      <c r="S36" s="660">
        <f ca="1">+D36+R36</f>
        <v>0</v>
      </c>
      <c r="T36" s="12"/>
    </row>
    <row r="37" spans="1:20" s="11" customFormat="1">
      <c r="A37" s="4"/>
      <c r="C37" s="4"/>
      <c r="D37" s="78"/>
      <c r="E37" s="31"/>
      <c r="F37" s="31"/>
      <c r="G37" s="31"/>
      <c r="H37" s="31"/>
      <c r="I37" s="31"/>
      <c r="J37" s="31"/>
      <c r="K37" s="31"/>
      <c r="L37" s="78"/>
      <c r="M37" s="894"/>
      <c r="N37" s="894"/>
      <c r="O37" s="894"/>
      <c r="P37" s="78"/>
      <c r="Q37" s="653"/>
      <c r="R37" s="31"/>
      <c r="S37" s="31"/>
      <c r="T37" s="12"/>
    </row>
    <row r="38" spans="1:20">
      <c r="B38" s="33" t="s">
        <v>9</v>
      </c>
      <c r="C38" s="34"/>
      <c r="D38" s="79">
        <f t="shared" ref="D38:P38" ca="1" si="19">+D19+D22+D24+SUM(D26:D36)</f>
        <v>126592533.94</v>
      </c>
      <c r="E38" s="80">
        <f t="shared" ca="1" si="19"/>
        <v>0</v>
      </c>
      <c r="F38" s="37">
        <f t="shared" ca="1" si="19"/>
        <v>392253.07403903175</v>
      </c>
      <c r="G38" s="37">
        <f t="shared" si="19"/>
        <v>0</v>
      </c>
      <c r="H38" s="37">
        <f t="shared" ca="1" si="19"/>
        <v>6268168.5899999989</v>
      </c>
      <c r="I38" s="37">
        <f t="shared" si="19"/>
        <v>0</v>
      </c>
      <c r="J38" s="37">
        <f t="shared" si="19"/>
        <v>-213052.28000000029</v>
      </c>
      <c r="K38" s="37">
        <f t="shared" ca="1" si="19"/>
        <v>6447369.3840390313</v>
      </c>
      <c r="L38" s="79">
        <f t="shared" ca="1" si="19"/>
        <v>133039903.32403904</v>
      </c>
      <c r="M38" s="37">
        <f t="shared" si="19"/>
        <v>0</v>
      </c>
      <c r="N38" s="37">
        <f t="shared" ca="1" si="19"/>
        <v>1960336.2459609685</v>
      </c>
      <c r="O38" s="37">
        <f t="shared" ca="1" si="19"/>
        <v>1960336.2459609685</v>
      </c>
      <c r="P38" s="79">
        <f t="shared" ca="1" si="19"/>
        <v>135000239.56999999</v>
      </c>
      <c r="Q38" s="80"/>
      <c r="R38" s="37">
        <f ca="1">+R19+R22+R24+SUM(R26:R36)</f>
        <v>8407705.6300000008</v>
      </c>
      <c r="S38" s="37">
        <f ca="1">+S19+S22+S24+SUM(S26:S36)</f>
        <v>135000239.56999999</v>
      </c>
      <c r="T38" s="8"/>
    </row>
    <row r="39" spans="1:20">
      <c r="D39" s="30"/>
      <c r="E39" s="29"/>
      <c r="F39" s="29"/>
      <c r="G39" s="29"/>
      <c r="H39" s="29"/>
      <c r="I39" s="29"/>
      <c r="J39" s="29"/>
      <c r="K39" s="29"/>
      <c r="L39" s="30"/>
      <c r="M39" s="29"/>
      <c r="N39" s="29"/>
      <c r="O39" s="29"/>
      <c r="P39" s="30"/>
      <c r="Q39" s="10"/>
      <c r="R39" s="9"/>
      <c r="S39" s="661"/>
      <c r="T39" s="8"/>
    </row>
    <row r="40" spans="1:20">
      <c r="A40" s="5" t="s">
        <v>18</v>
      </c>
      <c r="B40" s="5"/>
      <c r="D40" s="30"/>
      <c r="E40" s="29"/>
      <c r="F40" s="29"/>
      <c r="G40" s="29"/>
      <c r="H40" s="29"/>
      <c r="I40" s="29"/>
      <c r="J40" s="29"/>
      <c r="K40" s="29"/>
      <c r="L40" s="30"/>
      <c r="M40" s="29"/>
      <c r="N40" s="29"/>
      <c r="O40" s="29"/>
      <c r="P40" s="30"/>
      <c r="Q40" s="10"/>
      <c r="R40" s="9"/>
      <c r="S40" s="661"/>
      <c r="T40" s="8"/>
    </row>
    <row r="41" spans="1:20">
      <c r="B41" s="873" t="s">
        <v>51</v>
      </c>
      <c r="D41" s="30">
        <f>SUMIF('305 Inputs'!$B$7:$B$43,"=24",'305 Inputs'!$I$7:$I$43)</f>
        <v>44524414.150000006</v>
      </c>
      <c r="E41" s="29">
        <f ca="1">'Normalized Monthly revenue'!AC14</f>
        <v>-127697.18695907027</v>
      </c>
      <c r="F41" s="29">
        <f>'305 VS COGNOS Revenue'!E18+'305 VS COGNOS Revenue'!G18+'305 VS COGNOS Revenue'!N18+'305 VS COGNOS Revenue'!E26+'305 VS COGNOS Revenue'!G26+'305 VS COGNOS Revenue'!N26+'305 VS COGNOS Revenue'!Z18</f>
        <v>-1668790.2999999996</v>
      </c>
      <c r="G41" s="29">
        <v>0</v>
      </c>
      <c r="H41" s="29">
        <f>-SUMIF('305 Inputs'!$A$7:$A$43,"=b24",'305 Inputs'!$I$7:$I$44)</f>
        <v>173493.22</v>
      </c>
      <c r="I41" s="29">
        <v>0</v>
      </c>
      <c r="J41" s="29">
        <f>Temperature!I75*1000</f>
        <v>-325770.97000000003</v>
      </c>
      <c r="K41" s="29">
        <f t="shared" ref="K41:K43" ca="1" si="20">SUM(E41:J41)</f>
        <v>-1948765.23695907</v>
      </c>
      <c r="L41" s="30">
        <f ca="1">D41+K41</f>
        <v>42575648.913040936</v>
      </c>
      <c r="M41" s="787">
        <f>$M$13</f>
        <v>0</v>
      </c>
      <c r="N41" s="29">
        <f>'305 VS COGNOS Revenue'!R18+'305 VS COGNOS Revenue'!R26-'305 VS COGNOS Revenue'!Z18</f>
        <v>607308.89999999525</v>
      </c>
      <c r="O41" s="29">
        <f>SUM(N41:N41)</f>
        <v>607308.89999999525</v>
      </c>
      <c r="P41" s="30">
        <f ca="1">L41+O41</f>
        <v>43182957.813040935</v>
      </c>
      <c r="Q41" s="10"/>
      <c r="R41" s="29">
        <f ca="1">K41+O41</f>
        <v>-1341456.3369590747</v>
      </c>
      <c r="S41" s="661">
        <f ca="1">+D41+R41</f>
        <v>43182957.813040935</v>
      </c>
      <c r="T41" s="8"/>
    </row>
    <row r="42" spans="1:20" s="11" customFormat="1">
      <c r="B42" s="873" t="s">
        <v>52</v>
      </c>
      <c r="D42" s="30">
        <f ca="1">SUMIF('305 Inputs'!$B$7:$B$44,"=24f",'305 Inputs'!$I$7:$I$43)</f>
        <v>158366.74000000002</v>
      </c>
      <c r="E42" s="29">
        <f ca="1">'Normalized Monthly revenue'!AC15</f>
        <v>-457.64161025595331</v>
      </c>
      <c r="F42" s="29">
        <f>'305 VS COGNOS Revenue'!E19+'305 VS COGNOS Revenue'!G19+'305 VS COGNOS Revenue'!N19</f>
        <v>-3633.7229344180378</v>
      </c>
      <c r="G42" s="29">
        <v>0</v>
      </c>
      <c r="H42" s="29">
        <f>-SUMIF('305 Inputs'!$A$7:$A$43,"=b24f",'305 Inputs'!$I$7:$I$44)</f>
        <v>3.69</v>
      </c>
      <c r="I42" s="29">
        <v>0</v>
      </c>
      <c r="J42" s="29">
        <v>0</v>
      </c>
      <c r="K42" s="29">
        <f t="shared" ca="1" si="20"/>
        <v>-4087.674544673991</v>
      </c>
      <c r="L42" s="30">
        <f ca="1">D42+K42</f>
        <v>154279.06545532602</v>
      </c>
      <c r="M42" s="893">
        <f>$M$13</f>
        <v>0</v>
      </c>
      <c r="N42" s="29">
        <f>'305 VS COGNOS Revenue'!R19</f>
        <v>2127.2929344180156</v>
      </c>
      <c r="O42" s="29">
        <f>SUM(N42:N42)</f>
        <v>2127.2929344180156</v>
      </c>
      <c r="P42" s="30">
        <f ca="1">L42+O42</f>
        <v>156406.35838974404</v>
      </c>
      <c r="Q42" s="10"/>
      <c r="R42" s="29">
        <f ca="1">K42+O42</f>
        <v>-1960.3816102559754</v>
      </c>
      <c r="S42" s="661">
        <f ca="1">+D42+R42</f>
        <v>156406.35838974404</v>
      </c>
      <c r="T42" s="12"/>
    </row>
    <row r="43" spans="1:20">
      <c r="B43" s="873" t="s">
        <v>57</v>
      </c>
      <c r="C43" s="11"/>
      <c r="D43" s="78">
        <f ca="1">SUMIF('305 Inputs'!$B$7:$B$44,"=24fp",'305 Inputs'!$I$7:$I$43)</f>
        <v>101026.98</v>
      </c>
      <c r="E43" s="31">
        <f ca="1">'Normalized Monthly revenue'!AC16</f>
        <v>-300.81745054377819</v>
      </c>
      <c r="F43" s="31">
        <f>'305 VS COGNOS Revenue'!E20+'305 VS COGNOS Revenue'!G20+'305 VS COGNOS Revenue'!N20</f>
        <v>-634.99089045999926</v>
      </c>
      <c r="G43" s="31">
        <v>0</v>
      </c>
      <c r="H43" s="31">
        <f>-SUMIF('305 Inputs'!$A$7:$A$43,"=b24fp",'305 Inputs'!$I$7:$I$44)</f>
        <v>1455.66</v>
      </c>
      <c r="I43" s="31">
        <v>0</v>
      </c>
      <c r="J43" s="31">
        <v>0</v>
      </c>
      <c r="K43" s="31">
        <f t="shared" ca="1" si="20"/>
        <v>519.85165899622257</v>
      </c>
      <c r="L43" s="78">
        <f ca="1">D43+K43</f>
        <v>101546.83165899622</v>
      </c>
      <c r="M43" s="894">
        <f>$M$13</f>
        <v>0</v>
      </c>
      <c r="N43" s="31">
        <f>'305 VS COGNOS Revenue'!R20</f>
        <v>17769.350890460002</v>
      </c>
      <c r="O43" s="31">
        <f>SUM(N43:N43)</f>
        <v>17769.350890460002</v>
      </c>
      <c r="P43" s="78">
        <f ca="1">L43+O43</f>
        <v>119316.18254945622</v>
      </c>
      <c r="Q43" s="653"/>
      <c r="R43" s="31">
        <f t="shared" ref="R43" ca="1" si="21">K43+O43</f>
        <v>18289.202549456226</v>
      </c>
      <c r="S43" s="660">
        <f ca="1">+D43+R43</f>
        <v>119316.18254945622</v>
      </c>
      <c r="T43" s="8"/>
    </row>
    <row r="44" spans="1:20">
      <c r="B44" s="4" t="s">
        <v>35</v>
      </c>
      <c r="D44" s="30">
        <f t="shared" ref="D44:L44" ca="1" si="22">SUM(D41:D43)</f>
        <v>44783807.870000005</v>
      </c>
      <c r="E44" s="970">
        <f t="shared" ca="1" si="22"/>
        <v>-128455.64601987001</v>
      </c>
      <c r="F44" s="29">
        <f t="shared" si="22"/>
        <v>-1673059.0138248778</v>
      </c>
      <c r="G44" s="29">
        <f t="shared" si="22"/>
        <v>0</v>
      </c>
      <c r="H44" s="29">
        <f t="shared" si="22"/>
        <v>174952.57</v>
      </c>
      <c r="I44" s="29"/>
      <c r="J44" s="29">
        <f t="shared" si="22"/>
        <v>-325770.97000000003</v>
      </c>
      <c r="K44" s="29">
        <f t="shared" ca="1" si="22"/>
        <v>-1952333.0598447477</v>
      </c>
      <c r="L44" s="30">
        <f t="shared" ca="1" si="22"/>
        <v>42831474.810155258</v>
      </c>
      <c r="M44" s="893"/>
      <c r="N44" s="29">
        <f>SUM(N41:N43)</f>
        <v>627205.54382487317</v>
      </c>
      <c r="O44" s="29">
        <f>SUM(O41:O43)</f>
        <v>627205.54382487317</v>
      </c>
      <c r="P44" s="30">
        <f ca="1">SUM(P41:P43)</f>
        <v>43458680.353980131</v>
      </c>
      <c r="Q44" s="10"/>
      <c r="R44" s="29">
        <f ca="1">SUM(R41:R43)</f>
        <v>-1325127.5160198745</v>
      </c>
      <c r="S44" s="29">
        <f ca="1">SUM(S41:S43)</f>
        <v>43458680.353980131</v>
      </c>
      <c r="T44" s="8"/>
    </row>
    <row r="45" spans="1:20">
      <c r="D45" s="30"/>
      <c r="E45" s="29"/>
      <c r="F45" s="29"/>
      <c r="G45" s="29"/>
      <c r="H45" s="29"/>
      <c r="I45" s="29"/>
      <c r="J45" s="29"/>
      <c r="K45" s="29"/>
      <c r="L45" s="30"/>
      <c r="M45" s="29"/>
      <c r="N45" s="29"/>
      <c r="O45" s="29"/>
      <c r="P45" s="30"/>
      <c r="Q45" s="10"/>
      <c r="R45" s="29"/>
      <c r="S45" s="661"/>
      <c r="T45" s="8"/>
    </row>
    <row r="46" spans="1:20">
      <c r="B46" s="873" t="s">
        <v>53</v>
      </c>
      <c r="D46" s="78">
        <f ca="1">SUMIF('305 Inputs'!$B$7:$B$44,"=36",'305 Inputs'!$I$7:$I$43)</f>
        <v>53941584.869999997</v>
      </c>
      <c r="E46" s="31">
        <f ca="1">'Normalized Monthly revenue'!AC18</f>
        <v>-154956.56153473366</v>
      </c>
      <c r="F46" s="31">
        <f>'305 VS COGNOS Revenue'!E22+'305 VS COGNOS Revenue'!G22+'305 VS COGNOS Revenue'!N22+'305 VS COGNOS Revenue'!E27+'305 VS COGNOS Revenue'!G27+'305 VS COGNOS Revenue'!N27</f>
        <v>-1784703.8400000008</v>
      </c>
      <c r="G46" s="31">
        <v>0</v>
      </c>
      <c r="H46" s="31">
        <f>-SUMIF('305 Inputs'!$A$7:$A$43,"=b36",'305 Inputs'!$I$7:$I$44)</f>
        <v>342173.13</v>
      </c>
      <c r="I46" s="31">
        <v>-121749.96</v>
      </c>
      <c r="J46" s="31">
        <f>Temperature!G92*1000</f>
        <v>0</v>
      </c>
      <c r="K46" s="31">
        <f ca="1">SUM(E46:J46)</f>
        <v>-1719237.2315347344</v>
      </c>
      <c r="L46" s="78">
        <f ca="1">D46+K46</f>
        <v>52222347.638465263</v>
      </c>
      <c r="M46" s="896">
        <f>$M$13</f>
        <v>0</v>
      </c>
      <c r="N46" s="31">
        <f>'305 VS COGNOS Revenue'!R22+'305 VS COGNOS Revenue'!R27</f>
        <v>746891.84000000358</v>
      </c>
      <c r="O46" s="31">
        <f>SUM(N46:N46)</f>
        <v>746891.84000000358</v>
      </c>
      <c r="P46" s="78">
        <f ca="1">L46+O46</f>
        <v>52969239.478465267</v>
      </c>
      <c r="Q46" s="653"/>
      <c r="R46" s="31">
        <f t="shared" ref="R46" ca="1" si="23">K46+O46</f>
        <v>-972345.39153473079</v>
      </c>
      <c r="S46" s="660">
        <f ca="1">+D46+R46</f>
        <v>52969239.478465267</v>
      </c>
      <c r="T46" s="8"/>
    </row>
    <row r="47" spans="1:20">
      <c r="B47" s="4" t="s">
        <v>35</v>
      </c>
      <c r="D47" s="30">
        <f t="shared" ref="D47:L47" ca="1" si="24">SUM(D46:D46)</f>
        <v>53941584.869999997</v>
      </c>
      <c r="E47" s="970">
        <f t="shared" ca="1" si="24"/>
        <v>-154956.56153473366</v>
      </c>
      <c r="F47" s="29">
        <f t="shared" si="24"/>
        <v>-1784703.8400000008</v>
      </c>
      <c r="G47" s="29">
        <f t="shared" si="24"/>
        <v>0</v>
      </c>
      <c r="H47" s="29">
        <f t="shared" si="24"/>
        <v>342173.13</v>
      </c>
      <c r="I47" s="29">
        <f t="shared" si="24"/>
        <v>-121749.96</v>
      </c>
      <c r="J47" s="29">
        <f t="shared" si="24"/>
        <v>0</v>
      </c>
      <c r="K47" s="29">
        <f t="shared" ca="1" si="24"/>
        <v>-1719237.2315347344</v>
      </c>
      <c r="L47" s="30">
        <f t="shared" ca="1" si="24"/>
        <v>52222347.638465263</v>
      </c>
      <c r="M47" s="893"/>
      <c r="N47" s="29">
        <f>SUM(N46:N46)</f>
        <v>746891.84000000358</v>
      </c>
      <c r="O47" s="29">
        <f>SUM(O46:O46)</f>
        <v>746891.84000000358</v>
      </c>
      <c r="P47" s="30">
        <f ca="1">SUM(P46:P46)</f>
        <v>52969239.478465267</v>
      </c>
      <c r="Q47" s="10"/>
      <c r="R47" s="29">
        <f ca="1">SUM(R46:R46)</f>
        <v>-972345.39153473079</v>
      </c>
      <c r="S47" s="29">
        <f ca="1">SUM(S46:S46)</f>
        <v>52969239.478465267</v>
      </c>
      <c r="T47" s="8"/>
    </row>
    <row r="48" spans="1:20">
      <c r="B48" s="873"/>
      <c r="D48" s="30"/>
      <c r="E48" s="29"/>
      <c r="F48" s="29"/>
      <c r="G48" s="29"/>
      <c r="H48" s="29"/>
      <c r="I48" s="29"/>
      <c r="J48" s="29"/>
      <c r="K48" s="29"/>
      <c r="L48" s="30"/>
      <c r="M48" s="893"/>
      <c r="N48" s="29"/>
      <c r="O48" s="29"/>
      <c r="P48" s="30"/>
      <c r="Q48" s="10"/>
      <c r="R48" s="29"/>
      <c r="S48" s="661"/>
      <c r="T48" s="8"/>
    </row>
    <row r="49" spans="1:20" s="11" customFormat="1">
      <c r="B49" s="873" t="s">
        <v>54</v>
      </c>
      <c r="D49" s="78">
        <f ca="1">SUMIF('305 Inputs'!$B$7:$B$44,"=48t",'305 Inputs'!$I$7:$I$43)</f>
        <v>9243532.3200000003</v>
      </c>
      <c r="E49" s="31">
        <f ca="1">'Normalized Monthly revenue'!AC19</f>
        <v>-26603.603302829546</v>
      </c>
      <c r="F49" s="31">
        <f>'305 VS COGNOS Revenue'!E23+'305 VS COGNOS Revenue'!G23+'305 VS COGNOS Revenue'!N23</f>
        <v>-266017.92999999976</v>
      </c>
      <c r="G49" s="31">
        <v>0</v>
      </c>
      <c r="H49" s="31">
        <f>-SUMIF('305 Inputs'!$A$7:$A$43,"=b48t",'305 Inputs'!$I$7:$I$44)</f>
        <v>0</v>
      </c>
      <c r="I49" s="31">
        <v>0</v>
      </c>
      <c r="J49" s="31">
        <v>0</v>
      </c>
      <c r="K49" s="31">
        <f ca="1">SUM(E49:J49)</f>
        <v>-292621.53330282931</v>
      </c>
      <c r="L49" s="78">
        <f ca="1">D49+K49</f>
        <v>8950910.7866971716</v>
      </c>
      <c r="M49" s="896">
        <f>$M$13</f>
        <v>0</v>
      </c>
      <c r="N49" s="31">
        <f>'305 VS COGNOS Revenue'!R23</f>
        <v>129122.6099999994</v>
      </c>
      <c r="O49" s="31">
        <f>SUM(N49:N49)</f>
        <v>129122.6099999994</v>
      </c>
      <c r="P49" s="78">
        <f ca="1">L49+O49</f>
        <v>9080033.396697171</v>
      </c>
      <c r="Q49" s="653"/>
      <c r="R49" s="31">
        <f t="shared" ref="R49" ca="1" si="25">K49+O49</f>
        <v>-163498.92330282991</v>
      </c>
      <c r="S49" s="660">
        <f ca="1">+D49+R49</f>
        <v>9080033.396697171</v>
      </c>
      <c r="T49" s="12"/>
    </row>
    <row r="50" spans="1:20">
      <c r="B50" s="4" t="s">
        <v>35</v>
      </c>
      <c r="D50" s="30">
        <f t="shared" ref="D50:L50" ca="1" si="26">SUM(D49)</f>
        <v>9243532.3200000003</v>
      </c>
      <c r="E50" s="970">
        <f t="shared" ca="1" si="26"/>
        <v>-26603.603302829546</v>
      </c>
      <c r="F50" s="29">
        <f t="shared" si="26"/>
        <v>-266017.92999999976</v>
      </c>
      <c r="G50" s="29">
        <f t="shared" si="26"/>
        <v>0</v>
      </c>
      <c r="H50" s="29">
        <f t="shared" si="26"/>
        <v>0</v>
      </c>
      <c r="I50" s="29"/>
      <c r="J50" s="29">
        <f t="shared" si="26"/>
        <v>0</v>
      </c>
      <c r="K50" s="29">
        <f t="shared" ca="1" si="26"/>
        <v>-292621.53330282931</v>
      </c>
      <c r="L50" s="30">
        <f t="shared" ca="1" si="26"/>
        <v>8950910.7866971716</v>
      </c>
      <c r="M50" s="893"/>
      <c r="N50" s="29">
        <f>SUM(N49)</f>
        <v>129122.6099999994</v>
      </c>
      <c r="O50" s="29">
        <f>SUM(O49)</f>
        <v>129122.6099999994</v>
      </c>
      <c r="P50" s="30">
        <f ca="1">SUM(P49)</f>
        <v>9080033.396697171</v>
      </c>
      <c r="Q50" s="10"/>
      <c r="R50" s="29">
        <f ca="1">SUM(R49)</f>
        <v>-163498.92330282991</v>
      </c>
      <c r="S50" s="29">
        <f ca="1">SUM(S49)</f>
        <v>9080033.396697171</v>
      </c>
      <c r="T50" s="8"/>
    </row>
    <row r="51" spans="1:20">
      <c r="D51" s="30"/>
      <c r="E51" s="29"/>
      <c r="F51" s="29"/>
      <c r="G51" s="29"/>
      <c r="H51" s="29"/>
      <c r="I51" s="29"/>
      <c r="J51" s="29"/>
      <c r="K51" s="29"/>
      <c r="L51" s="30" t="s">
        <v>31</v>
      </c>
      <c r="M51" s="29"/>
      <c r="N51" s="29"/>
      <c r="O51" s="29"/>
      <c r="P51" s="30"/>
      <c r="Q51" s="897"/>
      <c r="R51" s="29"/>
      <c r="S51" s="661"/>
    </row>
    <row r="52" spans="1:20">
      <c r="B52" s="873" t="s">
        <v>55</v>
      </c>
      <c r="D52" s="30">
        <f ca="1">SUMIF('305 Inputs'!$B$7:$B$44,"=15n",'305 Inputs'!$I$7:$I$43)</f>
        <v>312350.34000000003</v>
      </c>
      <c r="E52" s="29">
        <f ca="1">'Normalized Monthly revenue'!AC20</f>
        <v>-910.80858255895487</v>
      </c>
      <c r="F52" s="29">
        <f>'305 VS COGNOS Revenue'!E24+'305 VS COGNOS Revenue'!G24+'305 VS COGNOS Revenue'!N24</f>
        <v>-7099.05</v>
      </c>
      <c r="G52" s="29">
        <v>0</v>
      </c>
      <c r="H52" s="29">
        <f>-SUMIF('305 Inputs'!$A$7:$A$43,"=b15n",'305 Inputs'!$I$7:$I$44)</f>
        <v>2493.2199999999998</v>
      </c>
      <c r="I52" s="29">
        <v>0</v>
      </c>
      <c r="J52" s="29">
        <v>0</v>
      </c>
      <c r="K52" s="29">
        <f t="shared" ref="K52:K53" ca="1" si="27">SUM(E52:J52)</f>
        <v>-5516.638582558955</v>
      </c>
      <c r="L52" s="30">
        <f ca="1">D52+K52</f>
        <v>306833.70141744107</v>
      </c>
      <c r="M52" s="893">
        <v>0</v>
      </c>
      <c r="N52" s="29">
        <f>'305 VS COGNOS Revenue'!R24</f>
        <v>9.4100000000325963</v>
      </c>
      <c r="O52" s="29">
        <f>SUM(N52:N52)</f>
        <v>9.4100000000325963</v>
      </c>
      <c r="P52" s="30">
        <f ca="1">L52+O52</f>
        <v>306843.11141744111</v>
      </c>
      <c r="Q52" s="10"/>
      <c r="R52" s="29">
        <f ca="1">K52+O52</f>
        <v>-5507.2285825589224</v>
      </c>
      <c r="S52" s="661">
        <f ca="1">+D52+R52</f>
        <v>306843.11141744111</v>
      </c>
      <c r="T52" s="8"/>
    </row>
    <row r="53" spans="1:20">
      <c r="B53" s="873" t="s">
        <v>56</v>
      </c>
      <c r="D53" s="78">
        <f ca="1">SUMIF('305 Inputs'!$B$7:$B$44,"=54",'305 Inputs'!$I$7:$I$43)</f>
        <v>25692.84</v>
      </c>
      <c r="E53" s="31">
        <f ca="1">'Normalized Monthly revenue'!AC21</f>
        <v>-73.380560007788219</v>
      </c>
      <c r="F53" s="31">
        <f>'305 VS COGNOS Revenue'!E25+'305 VS COGNOS Revenue'!G25+'305 VS COGNOS Revenue'!N25</f>
        <v>-894.33999999999878</v>
      </c>
      <c r="G53" s="31">
        <v>0</v>
      </c>
      <c r="H53" s="31">
        <f>-SUMIF('305 Inputs'!$A$7:$A$43,"=b54",'305 Inputs'!$I$7:$I$44)</f>
        <v>0</v>
      </c>
      <c r="I53" s="31">
        <v>0</v>
      </c>
      <c r="J53" s="31">
        <v>0</v>
      </c>
      <c r="K53" s="31">
        <f t="shared" ca="1" si="27"/>
        <v>-967.72056000778696</v>
      </c>
      <c r="L53" s="78">
        <f ca="1">D53+K53</f>
        <v>24725.119439992213</v>
      </c>
      <c r="M53" s="894">
        <v>0</v>
      </c>
      <c r="N53" s="31">
        <f>'305 VS COGNOS Revenue'!R25</f>
        <v>0.5</v>
      </c>
      <c r="O53" s="31">
        <f>SUM(N53:N53)</f>
        <v>0.5</v>
      </c>
      <c r="P53" s="78">
        <f ca="1">L53+O53</f>
        <v>24725.619439992213</v>
      </c>
      <c r="Q53" s="653"/>
      <c r="R53" s="31">
        <f t="shared" ref="R53" ca="1" si="28">K53+O53</f>
        <v>-967.22056000778696</v>
      </c>
      <c r="S53" s="660">
        <f ca="1">+D53+R53</f>
        <v>24725.619439992213</v>
      </c>
      <c r="T53" s="8"/>
    </row>
    <row r="54" spans="1:20">
      <c r="B54" s="4" t="s">
        <v>35</v>
      </c>
      <c r="D54" s="30">
        <f t="shared" ref="D54:L54" ca="1" si="29">SUM(D52:D53)</f>
        <v>338043.18000000005</v>
      </c>
      <c r="E54" s="970">
        <f t="shared" ca="1" si="29"/>
        <v>-984.18914256674304</v>
      </c>
      <c r="F54" s="29">
        <f t="shared" si="29"/>
        <v>-7993.3899999999994</v>
      </c>
      <c r="G54" s="29">
        <f t="shared" si="29"/>
        <v>0</v>
      </c>
      <c r="H54" s="29">
        <f t="shared" si="29"/>
        <v>2493.2199999999998</v>
      </c>
      <c r="I54" s="29">
        <f t="shared" si="29"/>
        <v>0</v>
      </c>
      <c r="J54" s="29">
        <f t="shared" si="29"/>
        <v>0</v>
      </c>
      <c r="K54" s="29">
        <f t="shared" ca="1" si="29"/>
        <v>-6484.3591425667419</v>
      </c>
      <c r="L54" s="30">
        <f t="shared" ca="1" si="29"/>
        <v>331558.82085743331</v>
      </c>
      <c r="M54" s="894"/>
      <c r="N54" s="29">
        <f>SUM(N52:N53)</f>
        <v>9.9100000000325963</v>
      </c>
      <c r="O54" s="29">
        <f>SUM(O52:O53)</f>
        <v>9.9100000000325963</v>
      </c>
      <c r="P54" s="30">
        <f ca="1">SUM(P52:P53)</f>
        <v>331568.73085743334</v>
      </c>
      <c r="Q54" s="10"/>
      <c r="R54" s="29">
        <f ca="1">SUM(R52:R53)</f>
        <v>-6474.4491425667093</v>
      </c>
      <c r="S54" s="29">
        <f ca="1">SUM(S52:S53)</f>
        <v>331568.73085743334</v>
      </c>
      <c r="T54" s="8"/>
    </row>
    <row r="55" spans="1:20">
      <c r="D55" s="30"/>
      <c r="E55" s="29"/>
      <c r="F55" s="29"/>
      <c r="G55" s="29"/>
      <c r="H55" s="29"/>
      <c r="I55" s="29"/>
      <c r="J55" s="29"/>
      <c r="K55" s="29"/>
      <c r="L55" s="30"/>
      <c r="M55" s="31"/>
      <c r="N55" s="29"/>
      <c r="O55" s="29"/>
      <c r="P55" s="30"/>
      <c r="Q55" s="897"/>
      <c r="R55" s="29"/>
      <c r="S55" s="661"/>
    </row>
    <row r="56" spans="1:20" s="11" customFormat="1">
      <c r="A56" s="4"/>
      <c r="B56" s="4" t="s">
        <v>34</v>
      </c>
      <c r="C56" s="4"/>
      <c r="D56" s="78">
        <f ca="1">SUMIF('305 Inputs'!$B$7:$B$44,"=aga",'305 Inputs'!$I$7:$I$43)</f>
        <v>357848.37</v>
      </c>
      <c r="E56" s="31"/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f>SUM(F56:J56)</f>
        <v>0</v>
      </c>
      <c r="L56" s="78">
        <f ca="1">D56+K56</f>
        <v>357848.37</v>
      </c>
      <c r="M56" s="894">
        <v>0</v>
      </c>
      <c r="N56" s="31">
        <f t="shared" ref="N56:N66" ca="1" si="30">ROUND(L56*M56*((366-30)/(366+30*M56)),0)</f>
        <v>0</v>
      </c>
      <c r="O56" s="31">
        <f ca="1">SUM(N56:N56)</f>
        <v>0</v>
      </c>
      <c r="P56" s="78">
        <f ca="1">L56+O56</f>
        <v>357848.37</v>
      </c>
      <c r="Q56" s="653"/>
      <c r="R56" s="31">
        <f t="shared" ref="R56:R66" ca="1" si="31">K56+O56</f>
        <v>0</v>
      </c>
      <c r="S56" s="31">
        <f ca="1">+D56+R56</f>
        <v>357848.37</v>
      </c>
      <c r="T56" s="12"/>
    </row>
    <row r="57" spans="1:20" s="11" customFormat="1">
      <c r="A57" s="4"/>
      <c r="B57" s="4"/>
      <c r="C57" s="4"/>
      <c r="D57" s="30"/>
      <c r="E57" s="29"/>
      <c r="F57" s="31"/>
      <c r="G57" s="31"/>
      <c r="H57" s="29"/>
      <c r="I57" s="29"/>
      <c r="J57" s="29"/>
      <c r="K57" s="29"/>
      <c r="L57" s="30"/>
      <c r="M57" s="894"/>
      <c r="N57" s="31"/>
      <c r="O57" s="31"/>
      <c r="P57" s="30"/>
      <c r="Q57" s="10"/>
      <c r="R57" s="29"/>
      <c r="S57" s="29"/>
      <c r="T57" s="12"/>
    </row>
    <row r="58" spans="1:20" s="11" customFormat="1">
      <c r="A58" s="4"/>
      <c r="B58" s="4" t="s">
        <v>679</v>
      </c>
      <c r="C58" s="4"/>
      <c r="D58" s="78">
        <f ca="1">SUMIF('305 Inputs'!$B$7:$B$44,"=def",'305 Inputs'!$I$7:$I$43)</f>
        <v>-1020000</v>
      </c>
      <c r="E58" s="31"/>
      <c r="F58" s="31">
        <f ca="1">-D58</f>
        <v>1020000</v>
      </c>
      <c r="G58" s="31">
        <v>0</v>
      </c>
      <c r="H58" s="31">
        <v>0</v>
      </c>
      <c r="I58" s="31">
        <v>0</v>
      </c>
      <c r="J58" s="31">
        <v>0</v>
      </c>
      <c r="K58" s="31">
        <f t="shared" ref="K58:K64" ca="1" si="32">SUM(F58:J58)</f>
        <v>1020000</v>
      </c>
      <c r="L58" s="78">
        <f t="shared" ref="L58:L64" ca="1" si="33">D58+K58</f>
        <v>0</v>
      </c>
      <c r="M58" s="894">
        <v>0</v>
      </c>
      <c r="N58" s="31">
        <f t="shared" ca="1" si="30"/>
        <v>0</v>
      </c>
      <c r="O58" s="31">
        <f t="shared" ref="O58:O64" ca="1" si="34">SUM(N58:N58)</f>
        <v>0</v>
      </c>
      <c r="P58" s="78">
        <f t="shared" ref="P58:P64" ca="1" si="35">L58+O58</f>
        <v>0</v>
      </c>
      <c r="Q58" s="653"/>
      <c r="R58" s="31">
        <f t="shared" ca="1" si="31"/>
        <v>1020000</v>
      </c>
      <c r="S58" s="31">
        <f t="shared" ref="S58:S64" ca="1" si="36">+D58+R58</f>
        <v>0</v>
      </c>
      <c r="T58" s="12"/>
    </row>
    <row r="59" spans="1:20" s="11" customFormat="1">
      <c r="A59" s="4"/>
      <c r="B59" s="4" t="s">
        <v>764</v>
      </c>
      <c r="C59" s="4"/>
      <c r="D59" s="78">
        <f ca="1">SUMIF('305 Inputs'!$B$7:$B$44,"=rev",'305 Inputs'!$I$7:$I$43)</f>
        <v>-2768532.36</v>
      </c>
      <c r="E59" s="31"/>
      <c r="F59" s="31">
        <f ca="1">-D59</f>
        <v>2768532.36</v>
      </c>
      <c r="G59" s="31">
        <v>0</v>
      </c>
      <c r="H59" s="31">
        <v>0</v>
      </c>
      <c r="I59" s="31">
        <v>0</v>
      </c>
      <c r="J59" s="31">
        <v>0</v>
      </c>
      <c r="K59" s="31">
        <f t="shared" ca="1" si="32"/>
        <v>2768532.36</v>
      </c>
      <c r="L59" s="78">
        <f t="shared" ca="1" si="33"/>
        <v>0</v>
      </c>
      <c r="M59" s="894">
        <v>0</v>
      </c>
      <c r="N59" s="31">
        <f t="shared" ca="1" si="30"/>
        <v>0</v>
      </c>
      <c r="O59" s="31">
        <f t="shared" ca="1" si="34"/>
        <v>0</v>
      </c>
      <c r="P59" s="78">
        <f t="shared" ca="1" si="35"/>
        <v>0</v>
      </c>
      <c r="Q59" s="653"/>
      <c r="R59" s="31">
        <f t="shared" ca="1" si="31"/>
        <v>2768532.36</v>
      </c>
      <c r="S59" s="31">
        <f t="shared" ca="1" si="36"/>
        <v>0</v>
      </c>
      <c r="T59" s="12"/>
    </row>
    <row r="60" spans="1:20" s="11" customFormat="1">
      <c r="A60" s="4"/>
      <c r="B60" s="4" t="s">
        <v>240</v>
      </c>
      <c r="C60" s="4"/>
      <c r="D60" s="78">
        <f ca="1">SUMIF('305 Inputs'!$B$7:$B$44,"=acq",'305 Inputs'!$I$7:$I$43)</f>
        <v>-1982102.8</v>
      </c>
      <c r="E60" s="31"/>
      <c r="F60" s="31">
        <f ca="1">-D60</f>
        <v>1982102.8</v>
      </c>
      <c r="G60" s="31">
        <v>0</v>
      </c>
      <c r="H60" s="31">
        <v>0</v>
      </c>
      <c r="I60" s="31">
        <v>0</v>
      </c>
      <c r="J60" s="31">
        <v>0</v>
      </c>
      <c r="K60" s="31">
        <f t="shared" ca="1" si="32"/>
        <v>1982102.8</v>
      </c>
      <c r="L60" s="78">
        <f t="shared" ca="1" si="33"/>
        <v>0</v>
      </c>
      <c r="M60" s="894">
        <v>0</v>
      </c>
      <c r="N60" s="31">
        <f t="shared" ca="1" si="30"/>
        <v>0</v>
      </c>
      <c r="O60" s="31">
        <f t="shared" ca="1" si="34"/>
        <v>0</v>
      </c>
      <c r="P60" s="78">
        <f t="shared" ca="1" si="35"/>
        <v>0</v>
      </c>
      <c r="Q60" s="653"/>
      <c r="R60" s="31">
        <f t="shared" ca="1" si="31"/>
        <v>1982102.8</v>
      </c>
      <c r="S60" s="31">
        <f t="shared" ca="1" si="36"/>
        <v>0</v>
      </c>
      <c r="T60" s="12"/>
    </row>
    <row r="61" spans="1:20" s="11" customFormat="1">
      <c r="A61" s="4"/>
      <c r="B61" s="4" t="s">
        <v>775</v>
      </c>
      <c r="C61" s="4"/>
      <c r="D61" s="78">
        <f ca="1">SUMIF('305 Inputs'!$B$7:$B$44,"=dsm",'305 Inputs'!$I$7:$I$43)</f>
        <v>1458629.44</v>
      </c>
      <c r="E61" s="31"/>
      <c r="F61" s="31">
        <f ca="1">-D61</f>
        <v>-1458629.44</v>
      </c>
      <c r="G61" s="31">
        <v>0</v>
      </c>
      <c r="H61" s="31">
        <v>0</v>
      </c>
      <c r="I61" s="31">
        <v>0</v>
      </c>
      <c r="J61" s="31">
        <v>0</v>
      </c>
      <c r="K61" s="31">
        <f t="shared" ca="1" si="32"/>
        <v>-1458629.44</v>
      </c>
      <c r="L61" s="78">
        <f ca="1">D61+K61</f>
        <v>0</v>
      </c>
      <c r="M61" s="894">
        <v>0</v>
      </c>
      <c r="N61" s="31">
        <f t="shared" ca="1" si="30"/>
        <v>0</v>
      </c>
      <c r="O61" s="31">
        <f t="shared" ca="1" si="34"/>
        <v>0</v>
      </c>
      <c r="P61" s="78">
        <f t="shared" ca="1" si="35"/>
        <v>0</v>
      </c>
      <c r="Q61" s="653"/>
      <c r="R61" s="31">
        <f t="shared" ca="1" si="31"/>
        <v>-1458629.44</v>
      </c>
      <c r="S61" s="31">
        <f t="shared" ca="1" si="36"/>
        <v>0</v>
      </c>
      <c r="T61" s="12"/>
    </row>
    <row r="62" spans="1:20" s="11" customFormat="1">
      <c r="A62" s="4"/>
      <c r="B62" s="4" t="s">
        <v>774</v>
      </c>
      <c r="C62" s="4"/>
      <c r="D62" s="78">
        <f ca="1">SUMIF('305 Inputs'!$B$7:$B$44,"=blue",'305 Inputs'!$I$7:$I$43)</f>
        <v>3554.13</v>
      </c>
      <c r="E62" s="31"/>
      <c r="F62" s="31">
        <f ca="1">-D62</f>
        <v>-3554.13</v>
      </c>
      <c r="G62" s="31">
        <v>0</v>
      </c>
      <c r="H62" s="31">
        <v>0</v>
      </c>
      <c r="I62" s="31">
        <v>0</v>
      </c>
      <c r="J62" s="31">
        <v>0</v>
      </c>
      <c r="K62" s="31">
        <f t="shared" ca="1" si="32"/>
        <v>-3554.13</v>
      </c>
      <c r="L62" s="78">
        <f t="shared" ca="1" si="33"/>
        <v>0</v>
      </c>
      <c r="M62" s="894">
        <v>0</v>
      </c>
      <c r="N62" s="31">
        <f t="shared" ca="1" si="30"/>
        <v>0</v>
      </c>
      <c r="O62" s="31">
        <f t="shared" ca="1" si="34"/>
        <v>0</v>
      </c>
      <c r="P62" s="78">
        <f t="shared" ca="1" si="35"/>
        <v>0</v>
      </c>
      <c r="Q62" s="653"/>
      <c r="R62" s="31">
        <f t="shared" ca="1" si="31"/>
        <v>-3554.13</v>
      </c>
      <c r="S62" s="31">
        <f t="shared" ca="1" si="36"/>
        <v>0</v>
      </c>
      <c r="T62" s="12"/>
    </row>
    <row r="63" spans="1:20" s="11" customFormat="1">
      <c r="A63" s="4"/>
      <c r="B63" s="4" t="s">
        <v>95</v>
      </c>
      <c r="C63" s="4"/>
      <c r="D63" s="78">
        <f ca="1">SUMIF('305 Inputs'!$B$7:$B$44,"=bpa",'305 Inputs'!$I$7:$I$43)</f>
        <v>31359.52</v>
      </c>
      <c r="E63" s="31"/>
      <c r="F63" s="31">
        <v>0</v>
      </c>
      <c r="G63" s="31">
        <v>0</v>
      </c>
      <c r="H63" s="31">
        <f ca="1">-D63</f>
        <v>-31359.52</v>
      </c>
      <c r="I63" s="31">
        <v>0</v>
      </c>
      <c r="J63" s="31">
        <v>0</v>
      </c>
      <c r="K63" s="31">
        <f t="shared" ca="1" si="32"/>
        <v>-31359.52</v>
      </c>
      <c r="L63" s="78">
        <f t="shared" ca="1" si="33"/>
        <v>0</v>
      </c>
      <c r="M63" s="894">
        <v>0</v>
      </c>
      <c r="N63" s="31">
        <f t="shared" ca="1" si="30"/>
        <v>0</v>
      </c>
      <c r="O63" s="31">
        <f t="shared" ca="1" si="34"/>
        <v>0</v>
      </c>
      <c r="P63" s="78">
        <f t="shared" ca="1" si="35"/>
        <v>0</v>
      </c>
      <c r="Q63" s="653"/>
      <c r="R63" s="31">
        <f t="shared" ca="1" si="31"/>
        <v>-31359.52</v>
      </c>
      <c r="S63" s="31">
        <f t="shared" ca="1" si="36"/>
        <v>0</v>
      </c>
      <c r="T63" s="12"/>
    </row>
    <row r="64" spans="1:20" s="11" customFormat="1">
      <c r="A64" s="4"/>
      <c r="B64" s="4" t="s">
        <v>698</v>
      </c>
      <c r="C64" s="4"/>
      <c r="D64" s="78">
        <f ca="1">SUMIF('305 Inputs'!$B$7:$B$44,"=smud",'305 Inputs'!$I$7:$I$43)</f>
        <v>129297.5</v>
      </c>
      <c r="E64" s="31"/>
      <c r="F64" s="31">
        <f ca="1">D64*-1</f>
        <v>-129297.5</v>
      </c>
      <c r="G64" s="31">
        <v>0</v>
      </c>
      <c r="H64" s="31">
        <v>0</v>
      </c>
      <c r="I64" s="31">
        <v>0</v>
      </c>
      <c r="J64" s="31">
        <v>0</v>
      </c>
      <c r="K64" s="31">
        <f t="shared" ca="1" si="32"/>
        <v>-129297.5</v>
      </c>
      <c r="L64" s="78">
        <f t="shared" ca="1" si="33"/>
        <v>0</v>
      </c>
      <c r="M64" s="894">
        <v>0</v>
      </c>
      <c r="N64" s="31">
        <f t="shared" ca="1" si="30"/>
        <v>0</v>
      </c>
      <c r="O64" s="31">
        <f t="shared" ca="1" si="34"/>
        <v>0</v>
      </c>
      <c r="P64" s="78">
        <f t="shared" ca="1" si="35"/>
        <v>0</v>
      </c>
      <c r="Q64" s="653"/>
      <c r="R64" s="31">
        <f t="shared" ca="1" si="31"/>
        <v>-129297.5</v>
      </c>
      <c r="S64" s="31">
        <f t="shared" ca="1" si="36"/>
        <v>0</v>
      </c>
      <c r="T64" s="12"/>
    </row>
    <row r="65" spans="1:20" s="11" customFormat="1">
      <c r="A65" s="4"/>
      <c r="D65" s="898"/>
      <c r="E65" s="956"/>
      <c r="F65" s="31"/>
      <c r="G65" s="31"/>
      <c r="H65" s="29"/>
      <c r="I65" s="29"/>
      <c r="J65" s="29"/>
      <c r="K65" s="29" t="s">
        <v>31</v>
      </c>
      <c r="L65" s="30"/>
      <c r="M65" s="894"/>
      <c r="N65" s="29"/>
      <c r="O65" s="31"/>
      <c r="P65" s="78"/>
      <c r="Q65" s="10"/>
      <c r="R65" s="29"/>
      <c r="S65" s="29"/>
      <c r="T65" s="12"/>
    </row>
    <row r="66" spans="1:20" s="11" customFormat="1">
      <c r="A66" s="4"/>
      <c r="B66" s="4" t="s">
        <v>79</v>
      </c>
      <c r="C66" s="4"/>
      <c r="D66" s="78">
        <f ca="1">SUMIF('305 Inputs'!$B$7:$B$44,"=unbilled",'305 Inputs'!$I$7:$I$43)</f>
        <v>-311000</v>
      </c>
      <c r="E66" s="31">
        <f ca="1">-D66</f>
        <v>311000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f ca="1">SUM(E66:J66)</f>
        <v>311000</v>
      </c>
      <c r="L66" s="78">
        <f ca="1">D66+K66</f>
        <v>0</v>
      </c>
      <c r="M66" s="894">
        <v>0</v>
      </c>
      <c r="N66" s="31">
        <f t="shared" ca="1" si="30"/>
        <v>0</v>
      </c>
      <c r="O66" s="31">
        <f ca="1">SUM(N66:N66)</f>
        <v>0</v>
      </c>
      <c r="P66" s="78">
        <f ca="1">L66+O66</f>
        <v>0</v>
      </c>
      <c r="Q66" s="653"/>
      <c r="R66" s="31">
        <f t="shared" ca="1" si="31"/>
        <v>311000</v>
      </c>
      <c r="S66" s="31">
        <f ca="1">+D66+R66</f>
        <v>0</v>
      </c>
      <c r="T66" s="12"/>
    </row>
    <row r="67" spans="1:20" s="11" customFormat="1">
      <c r="A67" s="4"/>
      <c r="C67" s="4"/>
      <c r="D67" s="30"/>
      <c r="E67" s="29"/>
      <c r="F67" s="31"/>
      <c r="G67" s="31"/>
      <c r="H67" s="29"/>
      <c r="I67" s="29"/>
      <c r="J67" s="29"/>
      <c r="K67" s="29"/>
      <c r="L67" s="30"/>
      <c r="M67" s="29"/>
      <c r="N67" s="29"/>
      <c r="O67" s="31"/>
      <c r="P67" s="30"/>
      <c r="Q67" s="10"/>
      <c r="R67" s="29"/>
      <c r="S67" s="29"/>
      <c r="T67" s="12"/>
    </row>
    <row r="68" spans="1:20">
      <c r="B68" s="33" t="s">
        <v>9</v>
      </c>
      <c r="C68" s="34"/>
      <c r="D68" s="79">
        <f t="shared" ref="D68:P68" ca="1" si="37">+D44+D47+D50+D54+D56+SUM(D58:D66)</f>
        <v>104206022.04000001</v>
      </c>
      <c r="E68" s="80">
        <f t="shared" ca="1" si="37"/>
        <v>0</v>
      </c>
      <c r="F68" s="37">
        <f t="shared" ca="1" si="37"/>
        <v>447379.91617512237</v>
      </c>
      <c r="G68" s="37">
        <f t="shared" si="37"/>
        <v>0</v>
      </c>
      <c r="H68" s="37">
        <f t="shared" ca="1" si="37"/>
        <v>488259.39999999997</v>
      </c>
      <c r="I68" s="37">
        <f t="shared" si="37"/>
        <v>-121749.96</v>
      </c>
      <c r="J68" s="37">
        <f t="shared" si="37"/>
        <v>-325770.97000000003</v>
      </c>
      <c r="K68" s="37">
        <f t="shared" ca="1" si="37"/>
        <v>488118.38617512351</v>
      </c>
      <c r="L68" s="79">
        <f t="shared" ca="1" si="37"/>
        <v>104694140.42617515</v>
      </c>
      <c r="M68" s="37">
        <f t="shared" si="37"/>
        <v>0</v>
      </c>
      <c r="N68" s="37">
        <f t="shared" ca="1" si="37"/>
        <v>1503229.9038248761</v>
      </c>
      <c r="O68" s="37">
        <f t="shared" ca="1" si="37"/>
        <v>1503229.9038248761</v>
      </c>
      <c r="P68" s="79">
        <f t="shared" ca="1" si="37"/>
        <v>106197370.33000001</v>
      </c>
      <c r="Q68" s="80"/>
      <c r="R68" s="37">
        <f ca="1">+R44+R47+R50+R54+R56+SUM(R58:R66)</f>
        <v>1991348.2899999996</v>
      </c>
      <c r="S68" s="37">
        <f ca="1">+S44+S47+S50+S54+S56+SUM(S58:S66)</f>
        <v>106197370.33000001</v>
      </c>
    </row>
    <row r="69" spans="1:20">
      <c r="D69" s="30"/>
      <c r="E69" s="29"/>
      <c r="F69" s="29" t="s">
        <v>31</v>
      </c>
      <c r="G69" s="29"/>
      <c r="H69" s="29"/>
      <c r="I69" s="29"/>
      <c r="J69" s="29"/>
      <c r="K69" s="29"/>
      <c r="L69" s="30" t="s">
        <v>31</v>
      </c>
      <c r="M69" s="893"/>
      <c r="N69" s="893"/>
      <c r="O69" s="29" t="s">
        <v>31</v>
      </c>
      <c r="P69" s="30"/>
      <c r="Q69" s="897"/>
      <c r="R69" s="29"/>
      <c r="S69" s="661"/>
    </row>
    <row r="70" spans="1:20">
      <c r="A70" s="5" t="s">
        <v>30</v>
      </c>
      <c r="B70" s="5"/>
      <c r="D70" s="30"/>
      <c r="E70" s="29"/>
      <c r="F70" s="29"/>
      <c r="G70" s="29"/>
      <c r="H70" s="29"/>
      <c r="I70" s="29"/>
      <c r="J70" s="29"/>
      <c r="K70" s="29"/>
      <c r="L70" s="30" t="s">
        <v>31</v>
      </c>
      <c r="M70" s="29"/>
      <c r="N70" s="29"/>
      <c r="O70" s="29"/>
      <c r="P70" s="30"/>
      <c r="Q70" s="10"/>
      <c r="R70" s="29"/>
      <c r="S70" s="661"/>
    </row>
    <row r="71" spans="1:20">
      <c r="B71" s="873" t="s">
        <v>51</v>
      </c>
      <c r="D71" s="30">
        <f ca="1">SUMIF('305 Inputs'!$B$51:$B$73,"=24",'305 Inputs'!$I$51:$I$72)</f>
        <v>1514424.03</v>
      </c>
      <c r="E71" s="29">
        <f ca="1">'Normalized Monthly revenue'!AC24</f>
        <v>24162.483012530323</v>
      </c>
      <c r="F71" s="29">
        <f>'305 VS COGNOS Revenue'!E32+'305 VS COGNOS Revenue'!G32+'305 VS COGNOS Revenue'!N32</f>
        <v>-47277.470000000016</v>
      </c>
      <c r="G71" s="29">
        <v>0</v>
      </c>
      <c r="H71" s="29">
        <f ca="1">-SUMIF('305 Inputs'!$A$51:$A$71,"=b24",'305 Inputs'!$I$51:$I$70)</f>
        <v>8340.52</v>
      </c>
      <c r="I71" s="29">
        <v>0</v>
      </c>
      <c r="J71" s="29">
        <v>0</v>
      </c>
      <c r="K71" s="29">
        <f t="shared" ref="K71:K73" ca="1" si="38">SUM(E71:J71)</f>
        <v>-14774.466987469692</v>
      </c>
      <c r="L71" s="30">
        <f ca="1">D71+K71</f>
        <v>1499649.5630125303</v>
      </c>
      <c r="M71" s="893">
        <f>$M$13</f>
        <v>0</v>
      </c>
      <c r="N71" s="29">
        <f>'305 VS COGNOS Revenue'!R32</f>
        <v>21024.919999999925</v>
      </c>
      <c r="O71" s="29">
        <f>SUM(N71:N71)</f>
        <v>21024.919999999925</v>
      </c>
      <c r="P71" s="30">
        <f ca="1">L71+O71</f>
        <v>1520674.4830125303</v>
      </c>
      <c r="Q71" s="10"/>
      <c r="R71" s="29">
        <f ca="1">K71+O71</f>
        <v>6250.4530125302335</v>
      </c>
      <c r="S71" s="661">
        <f ca="1">+D71+R71</f>
        <v>1520674.4830125303</v>
      </c>
      <c r="T71" s="8"/>
    </row>
    <row r="72" spans="1:20" s="11" customFormat="1">
      <c r="B72" s="873" t="s">
        <v>52</v>
      </c>
      <c r="D72" s="30">
        <f ca="1">SUMIF('305 Inputs'!$B$51:$B$73,"=24f",'305 Inputs'!$I$51:$I$72)</f>
        <v>7749.11</v>
      </c>
      <c r="E72" s="29">
        <f ca="1">'Normalized Monthly revenue'!AC25</f>
        <v>125.2739508222905</v>
      </c>
      <c r="F72" s="29">
        <f>'305 VS COGNOS Revenue'!E33+'305 VS COGNOS Revenue'!G33+'305 VS COGNOS Revenue'!N33</f>
        <v>-97.708465813949104</v>
      </c>
      <c r="G72" s="29">
        <v>0</v>
      </c>
      <c r="H72" s="29">
        <f ca="1">-SUMIF('305 Inputs'!$A$51:$A$71,"=b24f",'305 Inputs'!$I$51:$I$70)</f>
        <v>0</v>
      </c>
      <c r="I72" s="29">
        <v>0</v>
      </c>
      <c r="J72" s="29">
        <v>0</v>
      </c>
      <c r="K72" s="29">
        <f t="shared" ca="1" si="38"/>
        <v>27.565485008341398</v>
      </c>
      <c r="L72" s="30">
        <f ca="1">D72+K72</f>
        <v>7776.6754850083407</v>
      </c>
      <c r="M72" s="893">
        <f>$M$13</f>
        <v>0</v>
      </c>
      <c r="N72" s="29">
        <f>'305 VS COGNOS Revenue'!R33</f>
        <v>95.598465813949588</v>
      </c>
      <c r="O72" s="29">
        <f>SUM(N72:N72)</f>
        <v>95.598465813949588</v>
      </c>
      <c r="P72" s="30">
        <f ca="1">L72+O72</f>
        <v>7872.2739508222903</v>
      </c>
      <c r="Q72" s="653"/>
      <c r="R72" s="29">
        <f ca="1">K72+O72</f>
        <v>123.16395082229099</v>
      </c>
      <c r="S72" s="661">
        <f ca="1">+D72+R72</f>
        <v>7872.2739508222903</v>
      </c>
      <c r="T72" s="12"/>
    </row>
    <row r="73" spans="1:20">
      <c r="B73" s="873" t="s">
        <v>57</v>
      </c>
      <c r="D73" s="78">
        <f ca="1">SUMIF('305 Inputs'!$B$51:$B$73,"=24fp",'305 Inputs'!$I$51:$I$72)</f>
        <v>2291.9</v>
      </c>
      <c r="E73" s="31">
        <f ca="1">'Normalized Monthly revenue'!AC26</f>
        <v>37.66331015255323</v>
      </c>
      <c r="F73" s="31">
        <f>'305 VS COGNOS Revenue'!E34+'305 VS COGNOS Revenue'!G34+'305 VS COGNOS Revenue'!N34</f>
        <v>-23.664359999999977</v>
      </c>
      <c r="G73" s="31">
        <v>0</v>
      </c>
      <c r="H73" s="31">
        <f ca="1">-SUMIF('305 Inputs'!$A$51:$A$71,"=b24fp",'305 Inputs'!$I$51:$I$70)</f>
        <v>25.91</v>
      </c>
      <c r="I73" s="31">
        <v>0</v>
      </c>
      <c r="J73" s="31">
        <v>0</v>
      </c>
      <c r="K73" s="31">
        <f t="shared" ca="1" si="38"/>
        <v>39.908950152553253</v>
      </c>
      <c r="L73" s="78">
        <f ca="1">D73+K73</f>
        <v>2331.8089501525533</v>
      </c>
      <c r="M73" s="894">
        <f>$M$13</f>
        <v>0</v>
      </c>
      <c r="N73" s="31">
        <f>'305 VS COGNOS Revenue'!R34</f>
        <v>72.854359999999815</v>
      </c>
      <c r="O73" s="31">
        <f>SUM(N73:N73)</f>
        <v>72.854359999999815</v>
      </c>
      <c r="P73" s="78">
        <f ca="1">L73+O73</f>
        <v>2404.6633101525531</v>
      </c>
      <c r="Q73" s="653"/>
      <c r="R73" s="31">
        <f t="shared" ref="R73" ca="1" si="39">K73+O73</f>
        <v>112.76331015255306</v>
      </c>
      <c r="S73" s="660">
        <f ca="1">+D73+R73</f>
        <v>2404.6633101525531</v>
      </c>
      <c r="T73" s="8"/>
    </row>
    <row r="74" spans="1:20">
      <c r="B74" s="4" t="s">
        <v>35</v>
      </c>
      <c r="D74" s="30">
        <f t="shared" ref="D74:L74" ca="1" si="40">SUM(D71:D73)</f>
        <v>1524465.04</v>
      </c>
      <c r="E74" s="970">
        <f t="shared" ca="1" si="40"/>
        <v>24325.420273505169</v>
      </c>
      <c r="F74" s="29">
        <f t="shared" si="40"/>
        <v>-47398.842825813968</v>
      </c>
      <c r="G74" s="29">
        <f t="shared" si="40"/>
        <v>0</v>
      </c>
      <c r="H74" s="29">
        <f t="shared" ca="1" si="40"/>
        <v>8366.43</v>
      </c>
      <c r="I74" s="29">
        <f t="shared" si="40"/>
        <v>0</v>
      </c>
      <c r="J74" s="29">
        <f t="shared" si="40"/>
        <v>0</v>
      </c>
      <c r="K74" s="29">
        <f t="shared" ca="1" si="40"/>
        <v>-14706.992552308797</v>
      </c>
      <c r="L74" s="30">
        <f t="shared" ca="1" si="40"/>
        <v>1509758.0474476912</v>
      </c>
      <c r="M74" s="893"/>
      <c r="N74" s="29">
        <f>SUM(N71:N73)</f>
        <v>21193.372825813876</v>
      </c>
      <c r="O74" s="29">
        <f>SUM(O71:O73)</f>
        <v>21193.372825813876</v>
      </c>
      <c r="P74" s="30">
        <f ca="1">SUM(P71:P73)</f>
        <v>1530951.4202735049</v>
      </c>
      <c r="Q74" s="10"/>
      <c r="R74" s="29">
        <f ca="1">SUM(R71:R73)</f>
        <v>6486.3802735050776</v>
      </c>
      <c r="S74" s="661">
        <f ca="1">SUM(S71:S73)</f>
        <v>1530951.4202735049</v>
      </c>
      <c r="T74" s="8"/>
    </row>
    <row r="75" spans="1:20">
      <c r="D75" s="30"/>
      <c r="E75" s="29"/>
      <c r="F75" s="29"/>
      <c r="G75" s="29"/>
      <c r="H75" s="29"/>
      <c r="I75" s="29"/>
      <c r="J75" s="29"/>
      <c r="K75" s="29"/>
      <c r="L75" s="30"/>
      <c r="M75" s="29"/>
      <c r="N75" s="29"/>
      <c r="O75" s="29"/>
      <c r="P75" s="30"/>
      <c r="Q75" s="897"/>
      <c r="R75" s="29"/>
      <c r="S75" s="661"/>
    </row>
    <row r="76" spans="1:20">
      <c r="B76" s="873" t="s">
        <v>53</v>
      </c>
      <c r="D76" s="78">
        <f ca="1">SUMIF('305 Inputs'!$B$51:$B$73,"=36",'305 Inputs'!$I$51:$I$72)</f>
        <v>8296013.3299999991</v>
      </c>
      <c r="E76" s="31">
        <f ca="1">'Normalized Monthly revenue'!AC27</f>
        <v>132135.06500870228</v>
      </c>
      <c r="F76" s="31">
        <f>'305 VS COGNOS Revenue'!E35+'305 VS COGNOS Revenue'!G35+'305 VS COGNOS Revenue'!N35</f>
        <v>-229577.70999999956</v>
      </c>
      <c r="G76" s="31">
        <v>0</v>
      </c>
      <c r="H76" s="31">
        <f ca="1">-SUMIF('305 Inputs'!$A$51:$A$71,"=b36",'305 Inputs'!$I$51:$I$70)</f>
        <v>14345.65</v>
      </c>
      <c r="I76" s="31">
        <v>0</v>
      </c>
      <c r="J76" s="31">
        <v>0</v>
      </c>
      <c r="K76" s="31">
        <f ca="1">SUM(E76:J76)</f>
        <v>-83096.994991297281</v>
      </c>
      <c r="L76" s="78">
        <f ca="1">D76+K76</f>
        <v>8212916.3350087022</v>
      </c>
      <c r="M76" s="894">
        <f>$M$13</f>
        <v>0</v>
      </c>
      <c r="N76" s="31">
        <f>'305 VS COGNOS Revenue'!R35</f>
        <v>115254.73000000045</v>
      </c>
      <c r="O76" s="31">
        <f>SUM(N76:N76)</f>
        <v>115254.73000000045</v>
      </c>
      <c r="P76" s="78">
        <f ca="1">L76+O76</f>
        <v>8328171.0650087027</v>
      </c>
      <c r="Q76" s="653"/>
      <c r="R76" s="31">
        <f t="shared" ref="R76" ca="1" si="41">K76+O76</f>
        <v>32157.735008703166</v>
      </c>
      <c r="S76" s="660">
        <f ca="1">+D76+R76</f>
        <v>8328171.0650087027</v>
      </c>
      <c r="T76" s="8"/>
    </row>
    <row r="77" spans="1:20">
      <c r="B77" s="4" t="s">
        <v>35</v>
      </c>
      <c r="D77" s="30">
        <f t="shared" ref="D77:L77" ca="1" si="42">SUM(D76:D76)</f>
        <v>8296013.3299999991</v>
      </c>
      <c r="E77" s="970">
        <f t="shared" ca="1" si="42"/>
        <v>132135.06500870228</v>
      </c>
      <c r="F77" s="29">
        <f t="shared" si="42"/>
        <v>-229577.70999999956</v>
      </c>
      <c r="G77" s="29">
        <f t="shared" si="42"/>
        <v>0</v>
      </c>
      <c r="H77" s="29">
        <f t="shared" ca="1" si="42"/>
        <v>14345.65</v>
      </c>
      <c r="I77" s="29">
        <f t="shared" si="42"/>
        <v>0</v>
      </c>
      <c r="J77" s="29">
        <f t="shared" si="42"/>
        <v>0</v>
      </c>
      <c r="K77" s="29">
        <f t="shared" ca="1" si="42"/>
        <v>-83096.994991297281</v>
      </c>
      <c r="L77" s="30">
        <f t="shared" ca="1" si="42"/>
        <v>8212916.3350087022</v>
      </c>
      <c r="M77" s="893"/>
      <c r="N77" s="29">
        <f>SUM(N76:N76)</f>
        <v>115254.73000000045</v>
      </c>
      <c r="O77" s="29">
        <f>SUM(O76:O76)</f>
        <v>115254.73000000045</v>
      </c>
      <c r="P77" s="30">
        <f ca="1">SUM(P76:P76)</f>
        <v>8328171.0650087027</v>
      </c>
      <c r="Q77" s="10"/>
      <c r="R77" s="29">
        <f ca="1">SUM(R76:R76)</f>
        <v>32157.735008703166</v>
      </c>
      <c r="S77" s="661">
        <f ca="1">SUM(S76:S76)</f>
        <v>8328171.0650087027</v>
      </c>
      <c r="T77" s="8"/>
    </row>
    <row r="78" spans="1:20">
      <c r="D78" s="30"/>
      <c r="E78" s="29"/>
      <c r="F78" s="29"/>
      <c r="G78" s="29"/>
      <c r="H78" s="29"/>
      <c r="I78" s="29"/>
      <c r="J78" s="29"/>
      <c r="K78" s="29"/>
      <c r="L78" s="30"/>
      <c r="M78" s="899"/>
      <c r="N78" s="29"/>
      <c r="O78" s="29" t="s">
        <v>31</v>
      </c>
      <c r="P78" s="30"/>
      <c r="Q78" s="897"/>
      <c r="R78" s="29"/>
      <c r="S78" s="661"/>
    </row>
    <row r="79" spans="1:20" s="11" customFormat="1">
      <c r="B79" s="873" t="s">
        <v>167</v>
      </c>
      <c r="D79" s="30">
        <f ca="1">SUMIF('305 Inputs'!$B$51:$B$73,"=47",'305 Inputs'!$I$51:$I$72)</f>
        <v>283827.84999999998</v>
      </c>
      <c r="E79" s="29">
        <f ca="1">'Normalized Monthly revenue'!AC28</f>
        <v>4619.5116938615674</v>
      </c>
      <c r="F79" s="29">
        <f>'305 VS COGNOS Revenue'!E36+'305 VS COGNOS Revenue'!G36+'305 VS COGNOS Revenue'!N36</f>
        <v>-2072.4599999999773</v>
      </c>
      <c r="G79" s="29">
        <v>0</v>
      </c>
      <c r="H79" s="29">
        <f ca="1">-SUMIF('305 Inputs'!$A$51:$A$71,"=b47",'305 Inputs'!$I$51:$I$70)</f>
        <v>0</v>
      </c>
      <c r="I79" s="29">
        <v>0</v>
      </c>
      <c r="J79" s="29">
        <v>0</v>
      </c>
      <c r="K79" s="29">
        <f t="shared" ref="K79:K81" ca="1" si="43">SUM(E79:J79)</f>
        <v>2547.0516938615901</v>
      </c>
      <c r="L79" s="30">
        <f ca="1">D79+K79</f>
        <v>286374.90169386158</v>
      </c>
      <c r="M79" s="893">
        <v>0</v>
      </c>
      <c r="N79" s="29">
        <f>'305 VS COGNOS Revenue'!R36</f>
        <v>4185.609999999986</v>
      </c>
      <c r="O79" s="29">
        <f>SUM(N79:N79)</f>
        <v>4185.609999999986</v>
      </c>
      <c r="P79" s="30">
        <f ca="1">L79+O79</f>
        <v>290560.51169386157</v>
      </c>
      <c r="Q79" s="653"/>
      <c r="R79" s="29">
        <f ca="1">K79+O79</f>
        <v>6732.6616938615762</v>
      </c>
      <c r="S79" s="661">
        <f ca="1">+D79+R79</f>
        <v>290560.51169386157</v>
      </c>
      <c r="T79" s="12"/>
    </row>
    <row r="80" spans="1:20" s="11" customFormat="1">
      <c r="B80" s="873" t="s">
        <v>54</v>
      </c>
      <c r="D80" s="30">
        <f>'305 VS COGNOS Revenue'!C37</f>
        <v>14028679.640000001</v>
      </c>
      <c r="E80" s="29">
        <f ca="1">'Normalized Monthly revenue'!AC30</f>
        <v>222642.17382612941</v>
      </c>
      <c r="F80" s="29">
        <f>'305 VS COGNOS Revenue'!E37+'305 VS COGNOS Revenue'!G37+'305 VS COGNOS Revenue'!N37</f>
        <v>-452871.24000000063</v>
      </c>
      <c r="G80" s="29">
        <v>0</v>
      </c>
      <c r="H80" s="29">
        <f ca="1">-SUMIF('305 Inputs'!$A$51:$A$71,"=b48m",'305 Inputs'!$I$51:$I$70)</f>
        <v>0</v>
      </c>
      <c r="I80" s="29">
        <v>0</v>
      </c>
      <c r="J80" s="29">
        <v>0</v>
      </c>
      <c r="K80" s="29">
        <f t="shared" ca="1" si="43"/>
        <v>-230229.06617387122</v>
      </c>
      <c r="L80" s="30">
        <f ca="1">D80+K80</f>
        <v>13798450.573826129</v>
      </c>
      <c r="M80" s="893">
        <f>$M$13</f>
        <v>0</v>
      </c>
      <c r="N80" s="29">
        <f>'305 VS COGNOS Revenue'!R37</f>
        <v>191017.59999999963</v>
      </c>
      <c r="O80" s="29">
        <f>SUM(N80:N80)</f>
        <v>191017.59999999963</v>
      </c>
      <c r="P80" s="30">
        <f ca="1">L80+O80</f>
        <v>13989468.173826128</v>
      </c>
      <c r="Q80" s="653"/>
      <c r="R80" s="29">
        <f ca="1">K80+O80</f>
        <v>-39211.466173871595</v>
      </c>
      <c r="S80" s="661">
        <f ca="1">+D80+R80</f>
        <v>13989468.173826128</v>
      </c>
      <c r="T80" s="12"/>
    </row>
    <row r="81" spans="1:20" s="11" customFormat="1" ht="18">
      <c r="B81" s="873" t="s">
        <v>593</v>
      </c>
      <c r="D81" s="78">
        <f>'305 VS COGNOS Revenue'!C38</f>
        <v>25255341.079999998</v>
      </c>
      <c r="E81" s="31">
        <f ca="1">'Normalized Monthly revenue'!AC29</f>
        <v>397954.38596668228</v>
      </c>
      <c r="F81" s="31">
        <f>'305 VS COGNOS Revenue'!E38+'305 VS COGNOS Revenue'!G38+'305 VS COGNOS Revenue'!N38</f>
        <v>-953728.56</v>
      </c>
      <c r="G81" s="31">
        <f ca="1">-'Hydro Deferral'!F24</f>
        <v>0</v>
      </c>
      <c r="H81" s="31">
        <f ca="1">-SUMIF('305 Inputs'!$A$51:$A$71,"=b48y",'305 Inputs'!$I$51:$I$70)</f>
        <v>0</v>
      </c>
      <c r="I81" s="31">
        <v>0</v>
      </c>
      <c r="J81" s="90">
        <v>0</v>
      </c>
      <c r="K81" s="31">
        <f t="shared" ca="1" si="43"/>
        <v>-555774.17403331771</v>
      </c>
      <c r="L81" s="78">
        <f ca="1">D81+K81</f>
        <v>24699566.90596668</v>
      </c>
      <c r="M81" s="894">
        <f>$M$13</f>
        <v>0</v>
      </c>
      <c r="N81" s="31">
        <f>'305 VS COGNOS Revenue'!R38</f>
        <v>358667.48000000045</v>
      </c>
      <c r="O81" s="31">
        <f>SUM(N81:N81)</f>
        <v>358667.48000000045</v>
      </c>
      <c r="P81" s="78">
        <f ca="1">L81+O81</f>
        <v>25058234.385966681</v>
      </c>
      <c r="Q81" s="653"/>
      <c r="R81" s="31">
        <f t="shared" ref="R81" ca="1" si="44">K81+O81</f>
        <v>-197106.69403331727</v>
      </c>
      <c r="S81" s="660">
        <f ca="1">+D81+R81</f>
        <v>25058234.385966681</v>
      </c>
      <c r="T81" s="12"/>
    </row>
    <row r="82" spans="1:20">
      <c r="B82" s="4" t="s">
        <v>35</v>
      </c>
      <c r="D82" s="30">
        <f t="shared" ref="D82:L82" ca="1" si="45">SUM(D79:D81)</f>
        <v>39567848.57</v>
      </c>
      <c r="E82" s="970">
        <f t="shared" ca="1" si="45"/>
        <v>625216.07148667332</v>
      </c>
      <c r="F82" s="29">
        <f t="shared" si="45"/>
        <v>-1408672.2600000007</v>
      </c>
      <c r="G82" s="29">
        <f t="shared" ca="1" si="45"/>
        <v>0</v>
      </c>
      <c r="H82" s="29">
        <f t="shared" ca="1" si="45"/>
        <v>0</v>
      </c>
      <c r="I82" s="29">
        <f t="shared" si="45"/>
        <v>0</v>
      </c>
      <c r="J82" s="29">
        <f t="shared" si="45"/>
        <v>0</v>
      </c>
      <c r="K82" s="29">
        <f t="shared" ca="1" si="45"/>
        <v>-783456.18851332739</v>
      </c>
      <c r="L82" s="30">
        <f t="shared" ca="1" si="45"/>
        <v>38784392.381486669</v>
      </c>
      <c r="M82" s="893"/>
      <c r="N82" s="29">
        <f>SUM(N79:N81)</f>
        <v>553870.69000000006</v>
      </c>
      <c r="O82" s="29">
        <f>SUM(O79:O81)</f>
        <v>553870.69000000006</v>
      </c>
      <c r="P82" s="30">
        <f ca="1">SUM(P79:P81)</f>
        <v>39338263.071486667</v>
      </c>
      <c r="Q82" s="10"/>
      <c r="R82" s="29">
        <f ca="1">SUM(R79:R81)</f>
        <v>-229585.49851332727</v>
      </c>
      <c r="S82" s="661">
        <f ca="1">SUM(S79:S81)</f>
        <v>39338263.071486667</v>
      </c>
      <c r="T82" s="8"/>
    </row>
    <row r="83" spans="1:20">
      <c r="D83" s="30"/>
      <c r="E83" s="29"/>
      <c r="F83" s="29"/>
      <c r="G83" s="29"/>
      <c r="H83" s="29"/>
      <c r="I83" s="29"/>
      <c r="J83" s="29"/>
      <c r="K83" s="29"/>
      <c r="L83" s="30"/>
      <c r="M83" s="29"/>
      <c r="N83" s="29"/>
      <c r="O83" s="29" t="s">
        <v>31</v>
      </c>
      <c r="P83" s="30"/>
      <c r="Q83" s="897"/>
      <c r="R83" s="29"/>
      <c r="S83" s="661"/>
    </row>
    <row r="84" spans="1:20">
      <c r="B84" s="873" t="s">
        <v>55</v>
      </c>
      <c r="D84" s="78">
        <f ca="1">SUMIF('305 Inputs'!$B$51:$B$73,"=15n",'305 Inputs'!$I$51:$I$72)</f>
        <v>19932.370000000003</v>
      </c>
      <c r="E84" s="31">
        <f ca="1">'Normalized Monthly revenue'!AC31</f>
        <v>323.44323111926008</v>
      </c>
      <c r="F84" s="31">
        <f>'305 VS COGNOS Revenue'!E40+'305 VS COGNOS Revenue'!G40+'305 VS COGNOS Revenue'!N40</f>
        <v>-316.79000000000252</v>
      </c>
      <c r="G84" s="31">
        <v>0</v>
      </c>
      <c r="H84" s="31">
        <f ca="1">-SUMIF('305 Inputs'!$A$51:$A$71,"=b15n",'305 Inputs'!$I$51:$I$70)</f>
        <v>120.67</v>
      </c>
      <c r="I84" s="31">
        <v>0</v>
      </c>
      <c r="J84" s="31">
        <v>0</v>
      </c>
      <c r="K84" s="31">
        <f ca="1">SUM(E84:J84)</f>
        <v>127.32323111925756</v>
      </c>
      <c r="L84" s="78">
        <f ca="1">D84+K84</f>
        <v>20059.693231119261</v>
      </c>
      <c r="M84" s="894">
        <v>0</v>
      </c>
      <c r="N84" s="31">
        <f>'305 VS COGNOS Revenue'!R40</f>
        <v>-2.5900000000001455</v>
      </c>
      <c r="O84" s="31">
        <f>SUM(N84:N84)</f>
        <v>-2.5900000000001455</v>
      </c>
      <c r="P84" s="78">
        <f ca="1">L84+O84</f>
        <v>20057.103231119261</v>
      </c>
      <c r="Q84" s="653"/>
      <c r="R84" s="31">
        <f t="shared" ref="R84" ca="1" si="46">K84+O84</f>
        <v>124.73323111925741</v>
      </c>
      <c r="S84" s="660">
        <f ca="1">+D84+R84</f>
        <v>20057.103231119261</v>
      </c>
      <c r="T84" s="8"/>
    </row>
    <row r="85" spans="1:20">
      <c r="B85" s="4" t="s">
        <v>35</v>
      </c>
      <c r="D85" s="30">
        <f t="shared" ref="D85:L85" ca="1" si="47">SUM(D84:D84)</f>
        <v>19932.370000000003</v>
      </c>
      <c r="E85" s="970">
        <f t="shared" ca="1" si="47"/>
        <v>323.44323111926008</v>
      </c>
      <c r="F85" s="29">
        <f t="shared" si="47"/>
        <v>-316.79000000000252</v>
      </c>
      <c r="G85" s="29">
        <f t="shared" si="47"/>
        <v>0</v>
      </c>
      <c r="H85" s="29">
        <f t="shared" ca="1" si="47"/>
        <v>120.67</v>
      </c>
      <c r="I85" s="29"/>
      <c r="J85" s="29">
        <f t="shared" si="47"/>
        <v>0</v>
      </c>
      <c r="K85" s="29">
        <f t="shared" ca="1" si="47"/>
        <v>127.32323111925756</v>
      </c>
      <c r="L85" s="30">
        <f t="shared" ca="1" si="47"/>
        <v>20059.693231119261</v>
      </c>
      <c r="M85" s="894"/>
      <c r="N85" s="29">
        <f>SUM(N84:N84)</f>
        <v>-2.5900000000001455</v>
      </c>
      <c r="O85" s="29">
        <f>SUM(O84:O84)</f>
        <v>-2.5900000000001455</v>
      </c>
      <c r="P85" s="30">
        <f ca="1">SUM(P84:P84)</f>
        <v>20057.103231119261</v>
      </c>
      <c r="Q85" s="10"/>
      <c r="R85" s="29">
        <f ca="1">SUM(R84:R84)</f>
        <v>124.73323111925741</v>
      </c>
      <c r="S85" s="661">
        <f ca="1">SUM(S84:S84)</f>
        <v>20057.103231119261</v>
      </c>
      <c r="T85" s="8"/>
    </row>
    <row r="86" spans="1:20">
      <c r="D86" s="30"/>
      <c r="E86" s="29"/>
      <c r="F86" s="29"/>
      <c r="G86" s="29"/>
      <c r="H86" s="29"/>
      <c r="I86" s="29"/>
      <c r="J86" s="29"/>
      <c r="K86" s="29"/>
      <c r="L86" s="30"/>
      <c r="M86" s="31"/>
      <c r="N86" s="29"/>
      <c r="O86" s="29"/>
      <c r="P86" s="30"/>
      <c r="Q86" s="897"/>
      <c r="R86" s="29"/>
      <c r="S86" s="661"/>
    </row>
    <row r="87" spans="1:20" s="11" customFormat="1">
      <c r="B87" s="4" t="s">
        <v>34</v>
      </c>
      <c r="D87" s="30">
        <f ca="1">SUMIF('305 Inputs'!$B$51:$B$73,"=aga",'305 Inputs'!$I$51:$I$72)</f>
        <v>0</v>
      </c>
      <c r="E87" s="29"/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f>SUM(F87:J87)</f>
        <v>0</v>
      </c>
      <c r="L87" s="78">
        <f ca="1">D87+K87</f>
        <v>0</v>
      </c>
      <c r="M87" s="894">
        <v>0</v>
      </c>
      <c r="N87" s="31">
        <f t="shared" ref="N87" ca="1" si="48">ROUND(L87*M87*((366-30)/(366+30*M87)),0)</f>
        <v>0</v>
      </c>
      <c r="O87" s="31">
        <f ca="1">SUM(N87:N87)</f>
        <v>0</v>
      </c>
      <c r="P87" s="78">
        <f ca="1">L87+O87</f>
        <v>0</v>
      </c>
      <c r="Q87" s="653"/>
      <c r="R87" s="31">
        <f t="shared" ref="R87:R95" ca="1" si="49">K87+O87</f>
        <v>0</v>
      </c>
      <c r="S87" s="660">
        <f ca="1">+D87+R87</f>
        <v>0</v>
      </c>
      <c r="T87" s="12"/>
    </row>
    <row r="88" spans="1:20" s="11" customFormat="1">
      <c r="B88" s="4"/>
      <c r="D88" s="30"/>
      <c r="E88" s="29"/>
      <c r="F88" s="31"/>
      <c r="G88" s="31"/>
      <c r="H88" s="31"/>
      <c r="I88" s="31"/>
      <c r="J88" s="31"/>
      <c r="K88" s="31"/>
      <c r="L88" s="78"/>
      <c r="M88" s="894"/>
      <c r="N88" s="31"/>
      <c r="O88" s="31"/>
      <c r="P88" s="78"/>
      <c r="Q88" s="653"/>
      <c r="R88" s="31"/>
      <c r="S88" s="660"/>
      <c r="T88" s="12"/>
    </row>
    <row r="89" spans="1:20" s="11" customFormat="1">
      <c r="B89" s="4" t="s">
        <v>679</v>
      </c>
      <c r="D89" s="78">
        <f ca="1">SUMIF('305 Inputs'!$B$51:$B$73,"=def",'305 Inputs'!$I$51:$I$72)</f>
        <v>-510000</v>
      </c>
      <c r="E89" s="31"/>
      <c r="F89" s="31">
        <f ca="1">-D89</f>
        <v>510000</v>
      </c>
      <c r="G89" s="31">
        <v>0</v>
      </c>
      <c r="H89" s="31">
        <v>0</v>
      </c>
      <c r="I89" s="31">
        <v>0</v>
      </c>
      <c r="J89" s="31">
        <v>0</v>
      </c>
      <c r="K89" s="31">
        <f t="shared" ref="K89:K93" ca="1" si="50">SUM(F89:J89)</f>
        <v>510000</v>
      </c>
      <c r="L89" s="78">
        <f t="shared" ref="L89:L93" ca="1" si="51">D89+K89</f>
        <v>0</v>
      </c>
      <c r="M89" s="894">
        <v>0</v>
      </c>
      <c r="N89" s="31">
        <f t="shared" ref="N89:N93" ca="1" si="52">ROUND(L89*M89*((366-30)/(366+30*M89)),0)</f>
        <v>0</v>
      </c>
      <c r="O89" s="31">
        <f t="shared" ref="O89:O93" ca="1" si="53">SUM(N89:N89)</f>
        <v>0</v>
      </c>
      <c r="P89" s="78">
        <f t="shared" ref="P89:P93" ca="1" si="54">L89+O89</f>
        <v>0</v>
      </c>
      <c r="Q89" s="653"/>
      <c r="R89" s="31">
        <f t="shared" ca="1" si="49"/>
        <v>510000</v>
      </c>
      <c r="S89" s="660">
        <f ca="1">+D89+R89</f>
        <v>0</v>
      </c>
      <c r="T89" s="12"/>
    </row>
    <row r="90" spans="1:20" s="11" customFormat="1">
      <c r="A90" s="4"/>
      <c r="B90" s="4" t="s">
        <v>764</v>
      </c>
      <c r="C90" s="4"/>
      <c r="D90" s="78">
        <f ca="1">SUMIF('305 Inputs'!$B$51:$B$73,"=rev",'305 Inputs'!$I$51:$I$72)</f>
        <v>-2291545.7600000002</v>
      </c>
      <c r="E90" s="31"/>
      <c r="F90" s="31">
        <f ca="1">-D90</f>
        <v>2291545.7600000002</v>
      </c>
      <c r="G90" s="31">
        <v>0</v>
      </c>
      <c r="H90" s="31">
        <v>0</v>
      </c>
      <c r="I90" s="31">
        <v>0</v>
      </c>
      <c r="J90" s="31">
        <v>0</v>
      </c>
      <c r="K90" s="31">
        <f t="shared" ca="1" si="50"/>
        <v>2291545.7600000002</v>
      </c>
      <c r="L90" s="78">
        <f t="shared" ca="1" si="51"/>
        <v>0</v>
      </c>
      <c r="M90" s="894">
        <v>0</v>
      </c>
      <c r="N90" s="31">
        <f t="shared" ca="1" si="52"/>
        <v>0</v>
      </c>
      <c r="O90" s="31">
        <f t="shared" ca="1" si="53"/>
        <v>0</v>
      </c>
      <c r="P90" s="78">
        <f t="shared" ca="1" si="54"/>
        <v>0</v>
      </c>
      <c r="Q90" s="653"/>
      <c r="R90" s="31">
        <f t="shared" ca="1" si="49"/>
        <v>2291545.7600000002</v>
      </c>
      <c r="S90" s="660">
        <f ca="1">+D90+R90</f>
        <v>0</v>
      </c>
      <c r="T90" s="12"/>
    </row>
    <row r="91" spans="1:20" s="11" customFormat="1">
      <c r="B91" s="4" t="s">
        <v>773</v>
      </c>
      <c r="D91" s="78">
        <f ca="1">SUMIF('305 Inputs'!$B$51:$B$73,"=dsm",'305 Inputs'!$I$51:$I$72)</f>
        <v>647525.55000000005</v>
      </c>
      <c r="E91" s="31"/>
      <c r="F91" s="31">
        <f ca="1">-D91</f>
        <v>-647525.55000000005</v>
      </c>
      <c r="G91" s="31">
        <v>0</v>
      </c>
      <c r="H91" s="31">
        <v>0</v>
      </c>
      <c r="I91" s="31">
        <v>0</v>
      </c>
      <c r="J91" s="31">
        <v>0</v>
      </c>
      <c r="K91" s="31">
        <f t="shared" ca="1" si="50"/>
        <v>-647525.55000000005</v>
      </c>
      <c r="L91" s="78">
        <f t="shared" ca="1" si="51"/>
        <v>0</v>
      </c>
      <c r="M91" s="894">
        <v>0</v>
      </c>
      <c r="N91" s="31">
        <f t="shared" ca="1" si="52"/>
        <v>0</v>
      </c>
      <c r="O91" s="31">
        <f t="shared" ca="1" si="53"/>
        <v>0</v>
      </c>
      <c r="P91" s="78">
        <f t="shared" ca="1" si="54"/>
        <v>0</v>
      </c>
      <c r="Q91" s="653"/>
      <c r="R91" s="31">
        <f t="shared" ca="1" si="49"/>
        <v>-647525.55000000005</v>
      </c>
      <c r="S91" s="660">
        <f ca="1">+D91+R91</f>
        <v>0</v>
      </c>
      <c r="T91" s="12"/>
    </row>
    <row r="92" spans="1:20" s="11" customFormat="1">
      <c r="B92" s="4" t="s">
        <v>96</v>
      </c>
      <c r="D92" s="78">
        <f ca="1">SUMIF('305 Inputs'!$B$51:$B$73,"=bpa",'305 Inputs'!$I$51:$I$72)</f>
        <v>876.09</v>
      </c>
      <c r="E92" s="31"/>
      <c r="F92" s="31">
        <v>0</v>
      </c>
      <c r="G92" s="31">
        <v>0</v>
      </c>
      <c r="H92" s="31">
        <f ca="1">-D92</f>
        <v>-876.09</v>
      </c>
      <c r="I92" s="31">
        <v>0</v>
      </c>
      <c r="J92" s="31">
        <v>0</v>
      </c>
      <c r="K92" s="31">
        <f t="shared" ca="1" si="50"/>
        <v>-876.09</v>
      </c>
      <c r="L92" s="78">
        <f t="shared" ca="1" si="51"/>
        <v>0</v>
      </c>
      <c r="M92" s="894">
        <v>0</v>
      </c>
      <c r="N92" s="31">
        <f t="shared" ca="1" si="52"/>
        <v>0</v>
      </c>
      <c r="O92" s="31">
        <f t="shared" ca="1" si="53"/>
        <v>0</v>
      </c>
      <c r="P92" s="78">
        <f t="shared" ca="1" si="54"/>
        <v>0</v>
      </c>
      <c r="Q92" s="653"/>
      <c r="R92" s="31">
        <f t="shared" ca="1" si="49"/>
        <v>-876.09</v>
      </c>
      <c r="S92" s="660">
        <f ca="1">+D92+R92</f>
        <v>0</v>
      </c>
      <c r="T92" s="12"/>
    </row>
    <row r="93" spans="1:20" s="11" customFormat="1">
      <c r="B93" s="4" t="s">
        <v>698</v>
      </c>
      <c r="D93" s="78">
        <f ca="1">SUMIF('305 Inputs'!$B$51:$B$73,"=smud",'305 Inputs'!$I$51:$I$72)</f>
        <v>73835.13</v>
      </c>
      <c r="E93" s="31"/>
      <c r="F93" s="31">
        <f ca="1">D93*-1</f>
        <v>-73835.13</v>
      </c>
      <c r="G93" s="31">
        <v>0</v>
      </c>
      <c r="H93" s="31">
        <v>0</v>
      </c>
      <c r="I93" s="31">
        <v>0</v>
      </c>
      <c r="J93" s="31">
        <v>0</v>
      </c>
      <c r="K93" s="31">
        <f t="shared" ca="1" si="50"/>
        <v>-73835.13</v>
      </c>
      <c r="L93" s="78">
        <f t="shared" ca="1" si="51"/>
        <v>0</v>
      </c>
      <c r="M93" s="894">
        <v>0</v>
      </c>
      <c r="N93" s="31">
        <f t="shared" ca="1" si="52"/>
        <v>0</v>
      </c>
      <c r="O93" s="31">
        <f t="shared" ca="1" si="53"/>
        <v>0</v>
      </c>
      <c r="P93" s="78">
        <f t="shared" ca="1" si="54"/>
        <v>0</v>
      </c>
      <c r="Q93" s="653"/>
      <c r="R93" s="31">
        <f t="shared" ca="1" si="49"/>
        <v>-73835.13</v>
      </c>
      <c r="S93" s="660">
        <f ca="1">+D93+R93</f>
        <v>0</v>
      </c>
      <c r="T93" s="12"/>
    </row>
    <row r="94" spans="1:20" s="11" customFormat="1">
      <c r="A94" s="4"/>
      <c r="C94" s="4"/>
      <c r="D94" s="30"/>
      <c r="E94" s="29"/>
      <c r="F94" s="29"/>
      <c r="G94" s="29"/>
      <c r="H94" s="29"/>
      <c r="I94" s="29"/>
      <c r="J94" s="29"/>
      <c r="K94" s="29"/>
      <c r="L94" s="30"/>
      <c r="M94" s="894"/>
      <c r="N94" s="29"/>
      <c r="O94" s="29"/>
      <c r="P94" s="78"/>
      <c r="Q94" s="653"/>
      <c r="R94" s="31"/>
      <c r="S94" s="661"/>
      <c r="T94" s="12"/>
    </row>
    <row r="95" spans="1:20" s="11" customFormat="1">
      <c r="B95" s="4" t="s">
        <v>79</v>
      </c>
      <c r="D95" s="78">
        <f ca="1">SUMIF('305 Inputs'!$B$51:$B$73,"=unbilled",'305 Inputs'!$I$51:$I$72)</f>
        <v>782000</v>
      </c>
      <c r="E95" s="31">
        <f ca="1">-D95</f>
        <v>-782000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f ca="1">SUM(E95:J95)</f>
        <v>-782000</v>
      </c>
      <c r="L95" s="78">
        <f ca="1">D95+K95</f>
        <v>0</v>
      </c>
      <c r="M95" s="894">
        <v>0</v>
      </c>
      <c r="N95" s="31">
        <f t="shared" ref="N95" ca="1" si="55">ROUND(L95*M95*((366-30)/(366+30*M95)),0)</f>
        <v>0</v>
      </c>
      <c r="O95" s="31">
        <f ca="1">SUM(N95:N95)</f>
        <v>0</v>
      </c>
      <c r="P95" s="78">
        <f ca="1">L95+O95</f>
        <v>0</v>
      </c>
      <c r="Q95" s="653"/>
      <c r="R95" s="31">
        <f t="shared" ca="1" si="49"/>
        <v>-782000</v>
      </c>
      <c r="S95" s="660">
        <f ca="1">+D95+R95</f>
        <v>0</v>
      </c>
      <c r="T95" s="12"/>
    </row>
    <row r="96" spans="1:20" s="11" customFormat="1">
      <c r="A96" s="4"/>
      <c r="C96" s="4"/>
      <c r="D96" s="78"/>
      <c r="E96" s="31"/>
      <c r="F96" s="31"/>
      <c r="G96" s="31"/>
      <c r="H96" s="31"/>
      <c r="I96" s="31"/>
      <c r="J96" s="31"/>
      <c r="K96" s="31"/>
      <c r="L96" s="78"/>
      <c r="M96" s="31"/>
      <c r="N96" s="31"/>
      <c r="O96" s="31"/>
      <c r="P96" s="78"/>
      <c r="Q96" s="653"/>
      <c r="R96" s="31"/>
      <c r="S96" s="31"/>
      <c r="T96" s="12"/>
    </row>
    <row r="97" spans="1:20">
      <c r="B97" s="33" t="s">
        <v>9</v>
      </c>
      <c r="C97" s="34"/>
      <c r="D97" s="79">
        <f t="shared" ref="D97:P97" ca="1" si="56">+D74+D77+D82+D85+D87+SUM(D89:D95)</f>
        <v>48110950.319999993</v>
      </c>
      <c r="E97" s="80">
        <f t="shared" ca="1" si="56"/>
        <v>0</v>
      </c>
      <c r="F97" s="37">
        <f t="shared" ca="1" si="56"/>
        <v>394219.47717418568</v>
      </c>
      <c r="G97" s="37">
        <f t="shared" ca="1" si="56"/>
        <v>0</v>
      </c>
      <c r="H97" s="37">
        <f t="shared" ca="1" si="56"/>
        <v>21956.66</v>
      </c>
      <c r="I97" s="37">
        <f t="shared" si="56"/>
        <v>0</v>
      </c>
      <c r="J97" s="37">
        <f t="shared" si="56"/>
        <v>0</v>
      </c>
      <c r="K97" s="37">
        <f t="shared" ca="1" si="56"/>
        <v>416176.13717418606</v>
      </c>
      <c r="L97" s="79">
        <f t="shared" ca="1" si="56"/>
        <v>48527126.457174182</v>
      </c>
      <c r="M97" s="37">
        <f t="shared" si="56"/>
        <v>0</v>
      </c>
      <c r="N97" s="37">
        <f t="shared" ca="1" si="56"/>
        <v>690316.20282581437</v>
      </c>
      <c r="O97" s="37">
        <f t="shared" ca="1" si="56"/>
        <v>690316.20282581437</v>
      </c>
      <c r="P97" s="79">
        <f t="shared" ca="1" si="56"/>
        <v>49217442.659999989</v>
      </c>
      <c r="Q97" s="80"/>
      <c r="R97" s="37">
        <f ca="1">+R74+R77+R82+R85+R87+SUM(R89:R95)</f>
        <v>1106492.3400000005</v>
      </c>
      <c r="S97" s="37">
        <f ca="1">+S74+S77+S82+S85+S87+SUM(S89:S95)</f>
        <v>49217442.659999989</v>
      </c>
      <c r="T97" s="8"/>
    </row>
    <row r="98" spans="1:20">
      <c r="D98" s="30"/>
      <c r="E98" s="29"/>
      <c r="F98" s="29"/>
      <c r="G98" s="29"/>
      <c r="H98" s="29"/>
      <c r="I98" s="29"/>
      <c r="J98" s="29"/>
      <c r="K98" s="29"/>
      <c r="L98" s="30" t="s">
        <v>31</v>
      </c>
      <c r="M98" s="29"/>
      <c r="N98" s="29"/>
      <c r="O98" s="29"/>
      <c r="P98" s="30" t="s">
        <v>31</v>
      </c>
      <c r="Q98" s="897"/>
      <c r="R98" s="29"/>
      <c r="S98" s="661"/>
      <c r="T98" s="900"/>
    </row>
    <row r="99" spans="1:20">
      <c r="B99" s="5"/>
      <c r="D99" s="30"/>
      <c r="E99" s="29"/>
      <c r="F99" s="29"/>
      <c r="G99" s="29"/>
      <c r="H99" s="29"/>
      <c r="I99" s="29"/>
      <c r="J99" s="29"/>
      <c r="K99" s="29"/>
      <c r="L99" s="30" t="s">
        <v>31</v>
      </c>
      <c r="M99" s="29"/>
      <c r="N99" s="29"/>
      <c r="O99" s="29"/>
      <c r="P99" s="30"/>
      <c r="Q99" s="10"/>
      <c r="R99" s="29"/>
      <c r="S99" s="661"/>
    </row>
    <row r="100" spans="1:20">
      <c r="A100" s="5" t="s">
        <v>206</v>
      </c>
      <c r="B100" s="5"/>
      <c r="D100" s="30"/>
      <c r="E100" s="29"/>
      <c r="F100" s="29"/>
      <c r="G100" s="29"/>
      <c r="H100" s="29"/>
      <c r="I100" s="29"/>
      <c r="J100" s="29"/>
      <c r="K100" s="29"/>
      <c r="L100" s="30"/>
      <c r="M100" s="29"/>
      <c r="N100" s="29"/>
      <c r="O100" s="29"/>
      <c r="P100" s="30"/>
      <c r="Q100" s="10"/>
      <c r="R100" s="29"/>
      <c r="S100" s="661"/>
    </row>
    <row r="101" spans="1:20">
      <c r="B101" s="873" t="s">
        <v>58</v>
      </c>
      <c r="D101" s="30">
        <f ca="1">SUMIF('305 Inputs'!B77:B98,"=40",'305 Inputs'!I77:I94)</f>
        <v>11270342.289999999</v>
      </c>
      <c r="E101" s="29">
        <f ca="1">'Normalized Monthly revenue'!AC34</f>
        <v>277909.20330886031</v>
      </c>
      <c r="F101" s="29">
        <f>'305 VS COGNOS Revenue'!E45+'305 VS COGNOS Revenue'!G45+'305 VS COGNOS Revenue'!N45</f>
        <v>-363071.41000000021</v>
      </c>
      <c r="G101" s="29">
        <v>0</v>
      </c>
      <c r="H101" s="29">
        <f ca="1">-SUMIF('305 Inputs'!$A$77:$A$96,"=b40",'305 Inputs'!I$77:I$93)</f>
        <v>635379.06000000006</v>
      </c>
      <c r="I101" s="29">
        <v>0</v>
      </c>
      <c r="J101" s="29">
        <f>Temperature!D92*1000</f>
        <v>-129325.77999999998</v>
      </c>
      <c r="K101" s="29">
        <f t="shared" ref="K101:K102" ca="1" si="57">SUM(E101:J101)</f>
        <v>420891.07330886024</v>
      </c>
      <c r="L101" s="30">
        <f ca="1">D101+K101</f>
        <v>11691233.36330886</v>
      </c>
      <c r="M101" s="893">
        <f>$M$13</f>
        <v>0</v>
      </c>
      <c r="N101" s="29">
        <f>'305 VS COGNOS Revenue'!R45</f>
        <v>170114.83999999985</v>
      </c>
      <c r="O101" s="29">
        <f>SUM(N101:N101)</f>
        <v>170114.83999999985</v>
      </c>
      <c r="P101" s="30">
        <f ca="1">L101+O101</f>
        <v>11861348.20330886</v>
      </c>
      <c r="Q101" s="10"/>
      <c r="R101" s="29">
        <f ca="1">K101+O101</f>
        <v>591005.91330886004</v>
      </c>
      <c r="S101" s="661">
        <f ca="1">+D101+R101</f>
        <v>11861348.20330886</v>
      </c>
      <c r="T101" s="8"/>
    </row>
    <row r="102" spans="1:20" ht="18">
      <c r="B102" s="873" t="s">
        <v>59</v>
      </c>
      <c r="D102" s="78">
        <f ca="1">SUMIF('305 Inputs'!$A$77:$A$96,"=40x",'305 Inputs'!$I$77:$I$93)</f>
        <v>429129.75</v>
      </c>
      <c r="E102" s="31">
        <f ca="1">'Normalized Monthly revenue'!AC35</f>
        <v>10090.79669113968</v>
      </c>
      <c r="F102" s="90">
        <f>'305 VS COGNOS Revenue'!E46+'305 VS COGNOS Revenue'!G46+'305 VS COGNOS Revenue'!N46</f>
        <v>-7412.2200000000284</v>
      </c>
      <c r="G102" s="90">
        <v>0</v>
      </c>
      <c r="H102" s="90">
        <f ca="1">-SUMIF('305 Inputs'!$A$77:$A$96,"=b40x",'305 Inputs'!I$77:I$93)</f>
        <v>0</v>
      </c>
      <c r="I102" s="90">
        <v>0</v>
      </c>
      <c r="J102" s="90">
        <v>0</v>
      </c>
      <c r="K102" s="31">
        <f t="shared" ca="1" si="57"/>
        <v>2678.5766911396513</v>
      </c>
      <c r="L102" s="78">
        <f ca="1">D102+K102</f>
        <v>431808.32669113966</v>
      </c>
      <c r="M102" s="901">
        <f>$M$13</f>
        <v>0</v>
      </c>
      <c r="N102" s="31">
        <f>'305 VS COGNOS Revenue'!R46</f>
        <v>6191.4700000000303</v>
      </c>
      <c r="O102" s="31">
        <f>SUM(N102:N102)</f>
        <v>6191.4700000000303</v>
      </c>
      <c r="P102" s="78">
        <f ca="1">L102+O102</f>
        <v>437999.79669113969</v>
      </c>
      <c r="Q102" s="653"/>
      <c r="R102" s="31">
        <f t="shared" ref="R102" ca="1" si="58">K102+O102</f>
        <v>8870.0466911396816</v>
      </c>
      <c r="S102" s="660">
        <f ca="1">+D102+R102</f>
        <v>437999.79669113969</v>
      </c>
      <c r="T102" s="8"/>
    </row>
    <row r="103" spans="1:20">
      <c r="B103" s="4" t="s">
        <v>35</v>
      </c>
      <c r="D103" s="30">
        <f t="shared" ref="D103:L103" ca="1" si="59">SUM(D101:D102)</f>
        <v>11699472.039999999</v>
      </c>
      <c r="E103" s="970">
        <f t="shared" ca="1" si="59"/>
        <v>288000</v>
      </c>
      <c r="F103" s="29">
        <f t="shared" si="59"/>
        <v>-370483.63000000024</v>
      </c>
      <c r="G103" s="29">
        <f t="shared" si="59"/>
        <v>0</v>
      </c>
      <c r="H103" s="29">
        <f t="shared" ca="1" si="59"/>
        <v>635379.06000000006</v>
      </c>
      <c r="I103" s="29">
        <f t="shared" si="59"/>
        <v>0</v>
      </c>
      <c r="J103" s="29">
        <f t="shared" si="59"/>
        <v>-129325.77999999998</v>
      </c>
      <c r="K103" s="29">
        <f t="shared" ca="1" si="59"/>
        <v>423569.64999999991</v>
      </c>
      <c r="L103" s="30">
        <f t="shared" ca="1" si="59"/>
        <v>12123041.689999999</v>
      </c>
      <c r="M103" s="893"/>
      <c r="N103" s="29">
        <f>SUM(N101:N102)</f>
        <v>176306.30999999988</v>
      </c>
      <c r="O103" s="29">
        <f>SUM(O101:O102)</f>
        <v>176306.30999999988</v>
      </c>
      <c r="P103" s="30">
        <f ca="1">SUM(P101:P102)</f>
        <v>12299348</v>
      </c>
      <c r="Q103" s="10"/>
      <c r="R103" s="29">
        <f ca="1">SUM(R101:R102)</f>
        <v>599875.95999999973</v>
      </c>
      <c r="S103" s="661">
        <f ca="1">SUM(S101:S102)</f>
        <v>12299348</v>
      </c>
      <c r="T103" s="8"/>
    </row>
    <row r="104" spans="1:20" s="11" customFormat="1">
      <c r="A104" s="4"/>
      <c r="B104" s="4"/>
      <c r="C104" s="4"/>
      <c r="D104" s="30"/>
      <c r="E104" s="29"/>
      <c r="F104" s="29"/>
      <c r="G104" s="29"/>
      <c r="H104" s="29"/>
      <c r="I104" s="29"/>
      <c r="J104" s="29"/>
      <c r="K104" s="29"/>
      <c r="L104" s="30"/>
      <c r="M104" s="893"/>
      <c r="N104" s="29"/>
      <c r="O104" s="29"/>
      <c r="P104" s="30"/>
      <c r="Q104" s="653"/>
      <c r="R104" s="29"/>
      <c r="S104" s="661"/>
      <c r="T104" s="12"/>
    </row>
    <row r="105" spans="1:20" s="11" customFormat="1">
      <c r="B105" s="4" t="s">
        <v>34</v>
      </c>
      <c r="D105" s="78">
        <f ca="1">SUMIF('305 Inputs'!$A$77:$A$96,"=aga",'305 Inputs'!$I$77:$I$93)</f>
        <v>186753.91999999998</v>
      </c>
      <c r="E105" s="31"/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f>SUM(F105:J105)</f>
        <v>0</v>
      </c>
      <c r="L105" s="78">
        <f ca="1">D105+K105</f>
        <v>186753.91999999998</v>
      </c>
      <c r="M105" s="894">
        <v>0</v>
      </c>
      <c r="N105" s="31">
        <f t="shared" ref="N105:N115" ca="1" si="60">ROUND(L105*M105*((366-30)/(366+30*M105)),0)</f>
        <v>0</v>
      </c>
      <c r="O105" s="31">
        <f ca="1">SUM(N105:N105)</f>
        <v>0</v>
      </c>
      <c r="P105" s="78">
        <f ca="1">L105+O105</f>
        <v>186753.91999999998</v>
      </c>
      <c r="Q105" s="653"/>
      <c r="R105" s="31">
        <f t="shared" ref="R105:R115" ca="1" si="61">K105+O105</f>
        <v>0</v>
      </c>
      <c r="S105" s="660">
        <f ca="1">+D105+R105</f>
        <v>186753.91999999998</v>
      </c>
      <c r="T105" s="12"/>
    </row>
    <row r="106" spans="1:20" s="11" customFormat="1">
      <c r="B106" s="4"/>
      <c r="D106" s="30"/>
      <c r="E106" s="29"/>
      <c r="F106" s="31"/>
      <c r="G106" s="31"/>
      <c r="H106" s="31"/>
      <c r="I106" s="31"/>
      <c r="J106" s="31"/>
      <c r="K106" s="31"/>
      <c r="L106" s="78"/>
      <c r="M106" s="894"/>
      <c r="N106" s="31"/>
      <c r="O106" s="31"/>
      <c r="P106" s="78"/>
      <c r="Q106" s="653"/>
      <c r="R106" s="31"/>
      <c r="S106" s="660"/>
      <c r="T106" s="12"/>
    </row>
    <row r="107" spans="1:20" s="11" customFormat="1">
      <c r="B107" s="4" t="s">
        <v>765</v>
      </c>
      <c r="D107" s="78">
        <f ca="1">SUMIF('305 Inputs'!$B$77:$B$96,"=irr",'305 Inputs'!$I$77:$I$93)</f>
        <v>13900</v>
      </c>
      <c r="E107" s="31"/>
      <c r="F107" s="31">
        <f ca="1">-D107</f>
        <v>-13900</v>
      </c>
      <c r="G107" s="31">
        <v>0</v>
      </c>
      <c r="H107" s="31">
        <v>0</v>
      </c>
      <c r="I107" s="31">
        <v>0</v>
      </c>
      <c r="J107" s="31">
        <v>0</v>
      </c>
      <c r="K107" s="31">
        <f t="shared" ref="K107:K113" ca="1" si="62">SUM(F107:J107)</f>
        <v>-13900</v>
      </c>
      <c r="L107" s="78">
        <f t="shared" ref="L107:L113" ca="1" si="63">D107+K107</f>
        <v>0</v>
      </c>
      <c r="M107" s="894">
        <v>0</v>
      </c>
      <c r="N107" s="31">
        <f t="shared" ca="1" si="60"/>
        <v>0</v>
      </c>
      <c r="O107" s="31">
        <f t="shared" ref="O107:O113" ca="1" si="64">SUM(N107:N107)</f>
        <v>0</v>
      </c>
      <c r="P107" s="78">
        <f t="shared" ref="P107:P113" ca="1" si="65">L107+O107</f>
        <v>0</v>
      </c>
      <c r="Q107" s="653"/>
      <c r="R107" s="31">
        <f t="shared" ca="1" si="61"/>
        <v>-13900</v>
      </c>
      <c r="S107" s="660">
        <f t="shared" ref="S107:S113" ca="1" si="66">+D107+R107</f>
        <v>0</v>
      </c>
      <c r="T107" s="12"/>
    </row>
    <row r="108" spans="1:20" s="11" customFormat="1">
      <c r="B108" s="4" t="s">
        <v>679</v>
      </c>
      <c r="D108" s="78">
        <f ca="1">SUMIF('305 Inputs'!$B$77:$B$96,"=def",'305 Inputs'!$I$77:$I$93)</f>
        <v>-120000</v>
      </c>
      <c r="E108" s="31"/>
      <c r="F108" s="31">
        <f ca="1">-D108</f>
        <v>120000</v>
      </c>
      <c r="G108" s="31">
        <v>0</v>
      </c>
      <c r="H108" s="31">
        <v>0</v>
      </c>
      <c r="I108" s="31">
        <v>0</v>
      </c>
      <c r="J108" s="31">
        <v>0</v>
      </c>
      <c r="K108" s="31">
        <f ca="1">SUM(F108:J108)</f>
        <v>120000</v>
      </c>
      <c r="L108" s="78">
        <f t="shared" ca="1" si="63"/>
        <v>0</v>
      </c>
      <c r="M108" s="894">
        <v>0</v>
      </c>
      <c r="N108" s="31">
        <f t="shared" ca="1" si="60"/>
        <v>0</v>
      </c>
      <c r="O108" s="31">
        <f t="shared" ca="1" si="64"/>
        <v>0</v>
      </c>
      <c r="P108" s="78">
        <f t="shared" ca="1" si="65"/>
        <v>0</v>
      </c>
      <c r="Q108" s="653"/>
      <c r="R108" s="31">
        <f t="shared" ca="1" si="61"/>
        <v>120000</v>
      </c>
      <c r="S108" s="660">
        <f t="shared" ca="1" si="66"/>
        <v>0</v>
      </c>
      <c r="T108" s="12"/>
    </row>
    <row r="109" spans="1:20">
      <c r="B109" s="4" t="s">
        <v>764</v>
      </c>
      <c r="D109" s="78">
        <f ca="1">SUMIF('305 Inputs'!$B$77:$B$96,"=rev",'305 Inputs'!$I$77:$I$93)</f>
        <v>-309344.53999999998</v>
      </c>
      <c r="E109" s="31"/>
      <c r="F109" s="31">
        <f ca="1">-D109</f>
        <v>309344.53999999998</v>
      </c>
      <c r="G109" s="31">
        <v>0</v>
      </c>
      <c r="H109" s="29">
        <v>0</v>
      </c>
      <c r="I109" s="29">
        <v>0</v>
      </c>
      <c r="J109" s="31">
        <v>0</v>
      </c>
      <c r="K109" s="31">
        <f t="shared" ca="1" si="62"/>
        <v>309344.53999999998</v>
      </c>
      <c r="L109" s="78">
        <f t="shared" ca="1" si="63"/>
        <v>0</v>
      </c>
      <c r="M109" s="894">
        <v>0</v>
      </c>
      <c r="N109" s="31">
        <f t="shared" ca="1" si="60"/>
        <v>0</v>
      </c>
      <c r="O109" s="31">
        <f t="shared" ca="1" si="64"/>
        <v>0</v>
      </c>
      <c r="P109" s="78">
        <f t="shared" ca="1" si="65"/>
        <v>0</v>
      </c>
      <c r="Q109" s="902"/>
      <c r="R109" s="31">
        <f t="shared" ca="1" si="61"/>
        <v>309344.53999999998</v>
      </c>
      <c r="S109" s="660">
        <f t="shared" ca="1" si="66"/>
        <v>0</v>
      </c>
    </row>
    <row r="110" spans="1:20" s="11" customFormat="1">
      <c r="B110" s="4" t="s">
        <v>773</v>
      </c>
      <c r="D110" s="78">
        <f ca="1">SUMIF('305 Inputs'!$B$77:$B$96,"=dsm",'305 Inputs'!$I$77:$I$93)</f>
        <v>48833.39</v>
      </c>
      <c r="E110" s="31"/>
      <c r="F110" s="31">
        <f ca="1">-D110</f>
        <v>-48833.39</v>
      </c>
      <c r="G110" s="31">
        <v>0</v>
      </c>
      <c r="H110" s="31">
        <v>0</v>
      </c>
      <c r="I110" s="31">
        <v>0</v>
      </c>
      <c r="J110" s="31">
        <v>0</v>
      </c>
      <c r="K110" s="31">
        <f t="shared" ca="1" si="62"/>
        <v>-48833.39</v>
      </c>
      <c r="L110" s="78">
        <f t="shared" ca="1" si="63"/>
        <v>0</v>
      </c>
      <c r="M110" s="894">
        <v>0</v>
      </c>
      <c r="N110" s="31">
        <f t="shared" ca="1" si="60"/>
        <v>0</v>
      </c>
      <c r="O110" s="31">
        <f t="shared" ca="1" si="64"/>
        <v>0</v>
      </c>
      <c r="P110" s="78">
        <f t="shared" ca="1" si="65"/>
        <v>0</v>
      </c>
      <c r="Q110" s="653"/>
      <c r="R110" s="31">
        <f t="shared" ca="1" si="61"/>
        <v>-48833.39</v>
      </c>
      <c r="S110" s="660">
        <f t="shared" ca="1" si="66"/>
        <v>0</v>
      </c>
      <c r="T110" s="12"/>
    </row>
    <row r="111" spans="1:20" s="11" customFormat="1">
      <c r="B111" s="4" t="s">
        <v>774</v>
      </c>
      <c r="D111" s="78">
        <f ca="1">SUMIF('305 Inputs'!$B$77:$B$96,"=blue",'305 Inputs'!$I$77:$I$93)</f>
        <v>17.55</v>
      </c>
      <c r="E111" s="31"/>
      <c r="F111" s="31">
        <f ca="1">-D111</f>
        <v>-17.55</v>
      </c>
      <c r="G111" s="31">
        <v>0</v>
      </c>
      <c r="H111" s="31">
        <v>0</v>
      </c>
      <c r="I111" s="31">
        <v>0</v>
      </c>
      <c r="J111" s="31">
        <v>0</v>
      </c>
      <c r="K111" s="31">
        <f t="shared" ca="1" si="62"/>
        <v>-17.55</v>
      </c>
      <c r="L111" s="78">
        <f t="shared" ca="1" si="63"/>
        <v>0</v>
      </c>
      <c r="M111" s="894">
        <v>0</v>
      </c>
      <c r="N111" s="31">
        <f t="shared" ca="1" si="60"/>
        <v>0</v>
      </c>
      <c r="O111" s="31">
        <f t="shared" ca="1" si="64"/>
        <v>0</v>
      </c>
      <c r="P111" s="78">
        <f t="shared" ca="1" si="65"/>
        <v>0</v>
      </c>
      <c r="Q111" s="653"/>
      <c r="R111" s="31">
        <f t="shared" ca="1" si="61"/>
        <v>-17.55</v>
      </c>
      <c r="S111" s="660">
        <f t="shared" ca="1" si="66"/>
        <v>0</v>
      </c>
      <c r="T111" s="12"/>
    </row>
    <row r="112" spans="1:20" s="11" customFormat="1">
      <c r="B112" s="4" t="s">
        <v>96</v>
      </c>
      <c r="D112" s="78">
        <f ca="1">SUMIF('305 Inputs'!$B$77:$B$96,"=bpa",'305 Inputs'!$I$77:$I$93)</f>
        <v>10775.84</v>
      </c>
      <c r="E112" s="31"/>
      <c r="F112" s="31">
        <v>0</v>
      </c>
      <c r="G112" s="31">
        <v>0</v>
      </c>
      <c r="H112" s="31">
        <f ca="1">-D112</f>
        <v>-10775.84</v>
      </c>
      <c r="I112" s="31">
        <v>0</v>
      </c>
      <c r="J112" s="31">
        <v>0</v>
      </c>
      <c r="K112" s="31">
        <f t="shared" ca="1" si="62"/>
        <v>-10775.84</v>
      </c>
      <c r="L112" s="78">
        <f t="shared" ca="1" si="63"/>
        <v>0</v>
      </c>
      <c r="M112" s="894">
        <v>0</v>
      </c>
      <c r="N112" s="31">
        <f t="shared" ca="1" si="60"/>
        <v>0</v>
      </c>
      <c r="O112" s="31">
        <f t="shared" ca="1" si="64"/>
        <v>0</v>
      </c>
      <c r="P112" s="78">
        <f t="shared" ca="1" si="65"/>
        <v>0</v>
      </c>
      <c r="Q112" s="653"/>
      <c r="R112" s="31">
        <f t="shared" ca="1" si="61"/>
        <v>-10775.84</v>
      </c>
      <c r="S112" s="660">
        <f t="shared" ca="1" si="66"/>
        <v>0</v>
      </c>
      <c r="T112" s="12"/>
    </row>
    <row r="113" spans="1:20" s="11" customFormat="1">
      <c r="B113" s="4" t="s">
        <v>166</v>
      </c>
      <c r="D113" s="78">
        <f ca="1">SUMIF('305 Inputs'!$B$77:$B$96,"=bpaadj",'305 Inputs'!$I$77:$I$93)</f>
        <v>23118.48</v>
      </c>
      <c r="E113" s="31"/>
      <c r="F113" s="31">
        <v>0</v>
      </c>
      <c r="G113" s="31">
        <v>0</v>
      </c>
      <c r="H113" s="31">
        <f ca="1">-D113</f>
        <v>-23118.48</v>
      </c>
      <c r="I113" s="31">
        <v>0</v>
      </c>
      <c r="J113" s="31">
        <v>0</v>
      </c>
      <c r="K113" s="31">
        <f t="shared" ca="1" si="62"/>
        <v>-23118.48</v>
      </c>
      <c r="L113" s="78">
        <f t="shared" ca="1" si="63"/>
        <v>0</v>
      </c>
      <c r="M113" s="894">
        <v>0</v>
      </c>
      <c r="N113" s="31">
        <f t="shared" ca="1" si="60"/>
        <v>0</v>
      </c>
      <c r="O113" s="31">
        <f t="shared" ca="1" si="64"/>
        <v>0</v>
      </c>
      <c r="P113" s="78">
        <f t="shared" ca="1" si="65"/>
        <v>0</v>
      </c>
      <c r="Q113" s="653"/>
      <c r="R113" s="31">
        <f t="shared" ca="1" si="61"/>
        <v>-23118.48</v>
      </c>
      <c r="S113" s="660">
        <f t="shared" ca="1" si="66"/>
        <v>0</v>
      </c>
      <c r="T113" s="12"/>
    </row>
    <row r="114" spans="1:20" s="11" customFormat="1">
      <c r="B114" s="4"/>
      <c r="D114" s="78"/>
      <c r="E114" s="31"/>
      <c r="F114" s="31"/>
      <c r="G114" s="31"/>
      <c r="H114" s="31"/>
      <c r="I114" s="31"/>
      <c r="J114" s="31"/>
      <c r="K114" s="31"/>
      <c r="L114" s="78"/>
      <c r="M114" s="894"/>
      <c r="N114" s="29"/>
      <c r="O114" s="31"/>
      <c r="P114" s="78"/>
      <c r="Q114" s="653"/>
      <c r="R114" s="31"/>
      <c r="S114" s="660"/>
      <c r="T114" s="12"/>
    </row>
    <row r="115" spans="1:20" s="11" customFormat="1">
      <c r="B115" s="4" t="s">
        <v>79</v>
      </c>
      <c r="D115" s="78">
        <f ca="1">SUMIF('305 Inputs'!$A$77:$A$96,"=unbilled",'305 Inputs'!$I$77:$I$93)</f>
        <v>288000</v>
      </c>
      <c r="E115" s="31">
        <f ca="1">-D115</f>
        <v>-288000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f ca="1">SUM(E115:J115)</f>
        <v>-288000</v>
      </c>
      <c r="L115" s="78">
        <f ca="1">D115+K115</f>
        <v>0</v>
      </c>
      <c r="M115" s="894">
        <v>0</v>
      </c>
      <c r="N115" s="31">
        <f t="shared" ca="1" si="60"/>
        <v>0</v>
      </c>
      <c r="O115" s="31">
        <f ca="1">SUM(N115:N115)</f>
        <v>0</v>
      </c>
      <c r="P115" s="78">
        <f ca="1">L115+O115</f>
        <v>0</v>
      </c>
      <c r="Q115" s="653"/>
      <c r="R115" s="31">
        <f t="shared" ca="1" si="61"/>
        <v>-288000</v>
      </c>
      <c r="S115" s="660">
        <f ca="1">+D115+R115</f>
        <v>0</v>
      </c>
      <c r="T115" s="12"/>
    </row>
    <row r="116" spans="1:20" s="11" customFormat="1">
      <c r="A116" s="4"/>
      <c r="C116" s="4"/>
      <c r="D116" s="78"/>
      <c r="E116" s="31"/>
      <c r="F116" s="31"/>
      <c r="G116" s="31"/>
      <c r="H116" s="31"/>
      <c r="I116" s="31"/>
      <c r="J116" s="31"/>
      <c r="K116" s="31"/>
      <c r="L116" s="78"/>
      <c r="M116" s="31"/>
      <c r="N116" s="31"/>
      <c r="O116" s="31"/>
      <c r="P116" s="78"/>
      <c r="Q116" s="653"/>
      <c r="R116" s="31"/>
      <c r="S116" s="31"/>
      <c r="T116" s="12"/>
    </row>
    <row r="117" spans="1:20">
      <c r="B117" s="33" t="s">
        <v>9</v>
      </c>
      <c r="C117" s="34"/>
      <c r="D117" s="79">
        <f t="shared" ref="D117:R117" ca="1" si="67">D103+D105+SUM(D107:D115)</f>
        <v>11841526.68</v>
      </c>
      <c r="E117" s="80">
        <f t="shared" ca="1" si="67"/>
        <v>0</v>
      </c>
      <c r="F117" s="37">
        <f t="shared" ca="1" si="67"/>
        <v>-3890.0300000002608</v>
      </c>
      <c r="G117" s="37">
        <f t="shared" si="67"/>
        <v>0</v>
      </c>
      <c r="H117" s="37">
        <f t="shared" ca="1" si="67"/>
        <v>601484.74000000011</v>
      </c>
      <c r="I117" s="37">
        <f t="shared" si="67"/>
        <v>0</v>
      </c>
      <c r="J117" s="37">
        <f t="shared" si="67"/>
        <v>-129325.77999999998</v>
      </c>
      <c r="K117" s="37">
        <f t="shared" ca="1" si="67"/>
        <v>468268.92999999988</v>
      </c>
      <c r="L117" s="79">
        <f t="shared" ca="1" si="67"/>
        <v>12309795.609999999</v>
      </c>
      <c r="M117" s="37">
        <f t="shared" si="67"/>
        <v>0</v>
      </c>
      <c r="N117" s="37">
        <f t="shared" ca="1" si="67"/>
        <v>176306.30999999988</v>
      </c>
      <c r="O117" s="37">
        <f t="shared" ca="1" si="67"/>
        <v>176306.30999999988</v>
      </c>
      <c r="P117" s="79">
        <f t="shared" ca="1" si="67"/>
        <v>12486101.92</v>
      </c>
      <c r="Q117" s="80"/>
      <c r="R117" s="37">
        <f t="shared" ca="1" si="67"/>
        <v>644575.23999999976</v>
      </c>
      <c r="S117" s="37">
        <f ca="1">S103+S105+SUM(S107:S115)</f>
        <v>12486101.92</v>
      </c>
      <c r="T117" s="8"/>
    </row>
    <row r="118" spans="1:20">
      <c r="D118" s="30"/>
      <c r="E118" s="29"/>
      <c r="F118" s="29" t="s">
        <v>31</v>
      </c>
      <c r="G118" s="29"/>
      <c r="H118" s="29"/>
      <c r="I118" s="29"/>
      <c r="J118" s="29"/>
      <c r="K118" s="29"/>
      <c r="L118" s="30"/>
      <c r="M118" s="29"/>
      <c r="N118" s="29"/>
      <c r="O118" s="29"/>
      <c r="P118" s="30"/>
      <c r="Q118" s="897"/>
      <c r="R118" s="29"/>
      <c r="S118" s="661"/>
    </row>
    <row r="119" spans="1:20">
      <c r="B119" s="5"/>
      <c r="D119" s="30"/>
      <c r="E119" s="29"/>
      <c r="F119" s="29"/>
      <c r="G119" s="29"/>
      <c r="H119" s="29"/>
      <c r="I119" s="29"/>
      <c r="J119" s="29"/>
      <c r="K119" s="29"/>
      <c r="L119" s="30"/>
      <c r="M119" s="29"/>
      <c r="N119" s="29"/>
      <c r="O119" s="29"/>
      <c r="P119" s="30"/>
      <c r="Q119" s="897"/>
      <c r="R119" s="29"/>
      <c r="S119" s="661"/>
    </row>
    <row r="120" spans="1:20">
      <c r="A120" s="5" t="s">
        <v>36</v>
      </c>
      <c r="D120" s="6"/>
      <c r="E120" s="7"/>
      <c r="F120" s="7"/>
      <c r="G120" s="7"/>
      <c r="H120" s="7"/>
      <c r="I120" s="7"/>
      <c r="J120" s="7"/>
      <c r="L120" s="6"/>
      <c r="M120" s="7"/>
      <c r="N120" s="7"/>
      <c r="O120" s="7"/>
      <c r="P120" s="30"/>
      <c r="Q120" s="897"/>
      <c r="T120" s="903"/>
    </row>
    <row r="121" spans="1:20">
      <c r="B121" s="873" t="s">
        <v>61</v>
      </c>
      <c r="D121" s="30">
        <f ca="1">SUMIF('305 Inputs'!$B$101:$B$111,"=52",'305 Inputs'!$I$101:$I$110)</f>
        <v>52215.519999999997</v>
      </c>
      <c r="E121" s="29">
        <f ca="1">'Normalized Monthly revenue'!AC38</f>
        <v>-4174.4211898859912</v>
      </c>
      <c r="F121" s="29">
        <f>'305 VS COGNOS Revenue'!E51+'305 VS COGNOS Revenue'!G51+'305 VS COGNOS Revenue'!N51</f>
        <v>-1416.1299999999922</v>
      </c>
      <c r="G121" s="29">
        <v>0</v>
      </c>
      <c r="H121" s="29">
        <f ca="1">-SUMIF('305 Inputs'!$A$101:$A$111,"=b52",'305 Inputs'!$I$101:$I$110)</f>
        <v>0</v>
      </c>
      <c r="I121" s="29">
        <v>0</v>
      </c>
      <c r="J121" s="29">
        <v>0</v>
      </c>
      <c r="K121" s="29">
        <f t="shared" ref="K121:K126" ca="1" si="68">SUM(E121:J121)</f>
        <v>-5590.5511898859831</v>
      </c>
      <c r="L121" s="30">
        <f t="shared" ref="L121:L126" ca="1" si="69">D121+K121</f>
        <v>46624.968810114013</v>
      </c>
      <c r="M121" s="893">
        <v>0</v>
      </c>
      <c r="N121" s="29">
        <f>'305 VS COGNOS Revenue'!R51</f>
        <v>0.30000000000291038</v>
      </c>
      <c r="O121" s="29">
        <f t="shared" ref="O121:O126" si="70">SUM(N121:N121)</f>
        <v>0.30000000000291038</v>
      </c>
      <c r="P121" s="30">
        <f t="shared" ref="P121:P126" ca="1" si="71">L121+O121</f>
        <v>46625.268810114016</v>
      </c>
      <c r="Q121" s="10"/>
      <c r="R121" s="29">
        <f ca="1">K121+O121</f>
        <v>-5590.2511898859802</v>
      </c>
      <c r="S121" s="661">
        <f t="shared" ref="S121:S126" ca="1" si="72">+D121+R121</f>
        <v>46625.268810114016</v>
      </c>
      <c r="T121" s="8"/>
    </row>
    <row r="122" spans="1:20">
      <c r="B122" s="873" t="s">
        <v>62</v>
      </c>
      <c r="D122" s="30">
        <f ca="1">SUMIF('305 Inputs'!$B$101:$B$111,"=52f",'305 Inputs'!$I$101:$I$110)</f>
        <v>236133.27</v>
      </c>
      <c r="E122" s="29">
        <f ca="1">'Normalized Monthly revenue'!AC39</f>
        <v>-19944.378113311941</v>
      </c>
      <c r="F122" s="29">
        <f>'305 VS COGNOS Revenue'!E52+'305 VS COGNOS Revenue'!G52+'305 VS COGNOS Revenue'!N52</f>
        <v>6908.3500000000095</v>
      </c>
      <c r="G122" s="29">
        <v>0</v>
      </c>
      <c r="H122" s="29">
        <f ca="1">-SUMIF('305 Inputs'!$A$101:$A$111,"=b52f",'305 Inputs'!$I$101:$I$110)</f>
        <v>0</v>
      </c>
      <c r="I122" s="29">
        <v>0</v>
      </c>
      <c r="J122" s="29">
        <v>0</v>
      </c>
      <c r="K122" s="29">
        <f t="shared" ca="1" si="68"/>
        <v>-13036.028113311932</v>
      </c>
      <c r="L122" s="30">
        <f t="shared" ca="1" si="69"/>
        <v>223097.24188668805</v>
      </c>
      <c r="M122" s="893">
        <v>0</v>
      </c>
      <c r="N122" s="29">
        <f>'305 VS COGNOS Revenue'!R52</f>
        <v>-63.269999999960419</v>
      </c>
      <c r="O122" s="29">
        <f t="shared" si="70"/>
        <v>-63.269999999960419</v>
      </c>
      <c r="P122" s="30">
        <f t="shared" ca="1" si="71"/>
        <v>223033.97188668809</v>
      </c>
      <c r="Q122" s="10"/>
      <c r="R122" s="29">
        <f t="shared" ref="R122:R126" ca="1" si="73">K122+O122</f>
        <v>-13099.298113311892</v>
      </c>
      <c r="S122" s="661">
        <f t="shared" ca="1" si="72"/>
        <v>223033.97188668809</v>
      </c>
      <c r="T122" s="8"/>
    </row>
    <row r="123" spans="1:20">
      <c r="B123" s="873" t="s">
        <v>63</v>
      </c>
      <c r="D123" s="30">
        <f ca="1">SUMIF('305 Inputs'!$B$101:$B$111,"=53m",'305 Inputs'!$I$101:$I$110)</f>
        <v>82892.25</v>
      </c>
      <c r="E123" s="29">
        <f ca="1">'Normalized Monthly revenue'!AC40</f>
        <v>-6553.3942164922319</v>
      </c>
      <c r="F123" s="29">
        <f>'305 VS COGNOS Revenue'!E53+'305 VS COGNOS Revenue'!G53+'305 VS COGNOS Revenue'!N53</f>
        <v>-3145.6099999999933</v>
      </c>
      <c r="G123" s="29">
        <v>0</v>
      </c>
      <c r="H123" s="29">
        <f ca="1">-SUMIF('305 Inputs'!$A$101:$A$111,"=b53m",'305 Inputs'!$I$101:$I$110)</f>
        <v>0</v>
      </c>
      <c r="I123" s="29">
        <v>0</v>
      </c>
      <c r="J123" s="29">
        <v>0</v>
      </c>
      <c r="K123" s="29">
        <f t="shared" ca="1" si="68"/>
        <v>-9699.0042164922252</v>
      </c>
      <c r="L123" s="30">
        <f t="shared" ca="1" si="69"/>
        <v>73193.24578350778</v>
      </c>
      <c r="M123" s="893">
        <v>0</v>
      </c>
      <c r="N123" s="29">
        <f>'305 VS COGNOS Revenue'!R53</f>
        <v>0.36000000000058208</v>
      </c>
      <c r="O123" s="29">
        <f t="shared" si="70"/>
        <v>0.36000000000058208</v>
      </c>
      <c r="P123" s="30">
        <f t="shared" ca="1" si="71"/>
        <v>73193.605783507781</v>
      </c>
      <c r="Q123" s="10"/>
      <c r="R123" s="29">
        <f t="shared" ca="1" si="73"/>
        <v>-9698.6442164922246</v>
      </c>
      <c r="S123" s="661">
        <f t="shared" ca="1" si="72"/>
        <v>73193.605783507781</v>
      </c>
      <c r="T123" s="8"/>
    </row>
    <row r="124" spans="1:20">
      <c r="B124" s="873" t="s">
        <v>64</v>
      </c>
      <c r="D124" s="30">
        <f ca="1">SUMIF('305 Inputs'!$B$101:$B$111,"=51",'305 Inputs'!$I$101:$I$110)</f>
        <v>663184.49</v>
      </c>
      <c r="E124" s="29">
        <f ca="1">'Normalized Monthly revenue'!AC41</f>
        <v>-53742.020983527946</v>
      </c>
      <c r="F124" s="29">
        <f>'305 VS COGNOS Revenue'!E54+'305 VS COGNOS Revenue'!G54+'305 VS COGNOS Revenue'!N54</f>
        <v>-8986.2700000000041</v>
      </c>
      <c r="G124" s="29">
        <v>0</v>
      </c>
      <c r="H124" s="29">
        <f ca="1">-SUMIF('305 Inputs'!$A$101:$A$111,"=b51",'305 Inputs'!$I$101:$I$110)</f>
        <v>0</v>
      </c>
      <c r="I124" s="29">
        <v>0</v>
      </c>
      <c r="J124" s="29">
        <v>0</v>
      </c>
      <c r="K124" s="29">
        <f t="shared" ca="1" si="68"/>
        <v>-62728.29098352795</v>
      </c>
      <c r="L124" s="30">
        <f t="shared" ca="1" si="69"/>
        <v>600456.19901647209</v>
      </c>
      <c r="M124" s="893">
        <v>0</v>
      </c>
      <c r="N124" s="29">
        <f>'305 VS COGNOS Revenue'!R54</f>
        <v>-11.21999999997206</v>
      </c>
      <c r="O124" s="29">
        <f t="shared" si="70"/>
        <v>-11.21999999997206</v>
      </c>
      <c r="P124" s="30">
        <f t="shared" ca="1" si="71"/>
        <v>600444.97901647212</v>
      </c>
      <c r="Q124" s="10"/>
      <c r="R124" s="29">
        <f t="shared" ca="1" si="73"/>
        <v>-62739.510983527922</v>
      </c>
      <c r="S124" s="661">
        <f t="shared" ca="1" si="72"/>
        <v>600444.97901647212</v>
      </c>
      <c r="T124" s="8"/>
    </row>
    <row r="125" spans="1:20" s="11" customFormat="1">
      <c r="B125" s="873" t="s">
        <v>65</v>
      </c>
      <c r="D125" s="30">
        <f ca="1">SUMIF('305 Inputs'!$B$101:$B$111,"=57",'305 Inputs'!$I$101:$I$110)</f>
        <v>244490.19</v>
      </c>
      <c r="E125" s="29">
        <f ca="1">'Normalized Monthly revenue'!AC42</f>
        <v>-19585.785496781922</v>
      </c>
      <c r="F125" s="29">
        <f>'305 VS COGNOS Revenue'!E55+'305 VS COGNOS Revenue'!G55+'305 VS COGNOS Revenue'!N55</f>
        <v>-6240.1500000000015</v>
      </c>
      <c r="G125" s="29">
        <v>0</v>
      </c>
      <c r="H125" s="29">
        <f ca="1">-SUMIF('305 Inputs'!$A$101:$A$111,"=b57",'305 Inputs'!$I$101:$I$110)</f>
        <v>0</v>
      </c>
      <c r="I125" s="29">
        <v>0</v>
      </c>
      <c r="J125" s="29">
        <v>0</v>
      </c>
      <c r="K125" s="29">
        <f t="shared" ca="1" si="68"/>
        <v>-25825.935496781924</v>
      </c>
      <c r="L125" s="30">
        <f t="shared" ca="1" si="69"/>
        <v>218664.25450321808</v>
      </c>
      <c r="M125" s="893">
        <v>0</v>
      </c>
      <c r="N125" s="29">
        <f>'305 VS COGNOS Revenue'!R55</f>
        <v>0.95999999999185093</v>
      </c>
      <c r="O125" s="29">
        <f t="shared" si="70"/>
        <v>0.95999999999185093</v>
      </c>
      <c r="P125" s="30">
        <f t="shared" ca="1" si="71"/>
        <v>218665.21450321807</v>
      </c>
      <c r="Q125" s="10"/>
      <c r="R125" s="29">
        <f t="shared" ca="1" si="73"/>
        <v>-25824.975496781932</v>
      </c>
      <c r="S125" s="661">
        <f t="shared" ca="1" si="72"/>
        <v>218665.21450321807</v>
      </c>
      <c r="T125" s="12"/>
    </row>
    <row r="126" spans="1:20" s="11" customFormat="1">
      <c r="B126" s="873" t="s">
        <v>766</v>
      </c>
      <c r="D126" s="78">
        <f ca="1">SUMIF('305 Inputs'!$B$101:$B$111,"=12",'305 Inputs'!$I$101:$I$110)</f>
        <v>0</v>
      </c>
      <c r="E126" s="31">
        <v>0</v>
      </c>
      <c r="F126" s="31">
        <f>-SBC!F40</f>
        <v>0</v>
      </c>
      <c r="G126" s="31">
        <v>0</v>
      </c>
      <c r="H126" s="31">
        <f ca="1">-SUMIF('305 Inputs'!$A$101:$A$111,"=b12",'305 Inputs'!$I$101:$I$110)</f>
        <v>0</v>
      </c>
      <c r="I126" s="31">
        <v>0</v>
      </c>
      <c r="J126" s="31">
        <v>0</v>
      </c>
      <c r="K126" s="31">
        <f t="shared" ca="1" si="68"/>
        <v>0</v>
      </c>
      <c r="L126" s="78">
        <f t="shared" ca="1" si="69"/>
        <v>0</v>
      </c>
      <c r="M126" s="894">
        <v>0</v>
      </c>
      <c r="N126" s="31">
        <f t="shared" ref="N126" ca="1" si="74">ROUND(L126*M126*((366-30)/(366+30*M126)),0)</f>
        <v>0</v>
      </c>
      <c r="O126" s="31">
        <f t="shared" ca="1" si="70"/>
        <v>0</v>
      </c>
      <c r="P126" s="78">
        <f t="shared" ca="1" si="71"/>
        <v>0</v>
      </c>
      <c r="Q126" s="653"/>
      <c r="R126" s="31">
        <f t="shared" ca="1" si="73"/>
        <v>0</v>
      </c>
      <c r="S126" s="660">
        <f t="shared" ca="1" si="72"/>
        <v>0</v>
      </c>
      <c r="T126" s="12"/>
    </row>
    <row r="127" spans="1:20">
      <c r="B127" s="4" t="s">
        <v>69</v>
      </c>
      <c r="D127" s="30">
        <f t="shared" ref="D127:I127" ca="1" si="75">SUM(D121:D126)</f>
        <v>1278915.72</v>
      </c>
      <c r="E127" s="970">
        <f t="shared" ca="1" si="75"/>
        <v>-104000.00000000003</v>
      </c>
      <c r="F127" s="29">
        <f t="shared" si="75"/>
        <v>-12879.809999999981</v>
      </c>
      <c r="G127" s="29">
        <f t="shared" si="75"/>
        <v>0</v>
      </c>
      <c r="H127" s="29">
        <f t="shared" ca="1" si="75"/>
        <v>0</v>
      </c>
      <c r="I127" s="29">
        <f t="shared" si="75"/>
        <v>0</v>
      </c>
      <c r="J127" s="29">
        <f>SUM(J121:J125)</f>
        <v>0</v>
      </c>
      <c r="K127" s="29">
        <f ca="1">SUM(K121:K125)</f>
        <v>-116879.81000000001</v>
      </c>
      <c r="L127" s="30">
        <f ca="1">SUM(L121:L126)</f>
        <v>1162035.9099999999</v>
      </c>
      <c r="M127" s="893"/>
      <c r="N127" s="29">
        <f ca="1">SUM(N121:N126)</f>
        <v>-72.869999999937136</v>
      </c>
      <c r="O127" s="29">
        <f ca="1">SUM(O121:O126)</f>
        <v>-72.869999999937136</v>
      </c>
      <c r="P127" s="30">
        <f ca="1">SUM(P121:P126)</f>
        <v>1161963.04</v>
      </c>
      <c r="Q127" s="10"/>
      <c r="R127" s="29">
        <f ca="1">SUM(R121:R126)</f>
        <v>-116952.67999999995</v>
      </c>
      <c r="S127" s="29">
        <f ca="1">SUM(S121:S126)</f>
        <v>1161963.04</v>
      </c>
      <c r="T127" s="8"/>
    </row>
    <row r="128" spans="1:20">
      <c r="D128" s="30"/>
      <c r="E128" s="29"/>
      <c r="F128" s="29"/>
      <c r="G128" s="29"/>
      <c r="H128" s="29"/>
      <c r="I128" s="29"/>
      <c r="J128" s="29"/>
      <c r="K128" s="29"/>
      <c r="L128" s="30"/>
      <c r="M128" s="893"/>
      <c r="N128" s="29"/>
      <c r="O128" s="29"/>
      <c r="P128" s="30"/>
      <c r="Q128" s="10"/>
      <c r="R128" s="29"/>
      <c r="S128" s="29"/>
      <c r="T128" s="8"/>
    </row>
    <row r="129" spans="1:20">
      <c r="B129" s="873" t="s">
        <v>34</v>
      </c>
      <c r="D129" s="78">
        <f ca="1">SUMIF('305 Inputs'!$B$101:$B$111,"=aga",'305 Inputs'!$I$101:$I$110)</f>
        <v>90.84</v>
      </c>
      <c r="E129" s="31"/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f>SUM(F129:J129)</f>
        <v>0</v>
      </c>
      <c r="L129" s="78">
        <f ca="1">D129+K129</f>
        <v>90.84</v>
      </c>
      <c r="M129" s="894">
        <v>0</v>
      </c>
      <c r="N129" s="29">
        <f t="shared" ref="N129" ca="1" si="76">ROUND(L129*M129*((366-30)/(366+30*M129)),0)</f>
        <v>0</v>
      </c>
      <c r="O129" s="31">
        <f ca="1">SUM(N129:N129)</f>
        <v>0</v>
      </c>
      <c r="P129" s="78">
        <f ca="1">L129+O129</f>
        <v>90.84</v>
      </c>
      <c r="Q129" s="653"/>
      <c r="R129" s="31">
        <f t="shared" ref="R129" ca="1" si="77">K129+O129</f>
        <v>0</v>
      </c>
      <c r="S129" s="660">
        <f ca="1">+D129+R129</f>
        <v>90.84</v>
      </c>
      <c r="T129" s="903"/>
    </row>
    <row r="130" spans="1:20">
      <c r="B130" s="873"/>
      <c r="D130" s="30"/>
      <c r="E130" s="29"/>
      <c r="F130" s="31"/>
      <c r="G130" s="31"/>
      <c r="H130" s="31"/>
      <c r="I130" s="31"/>
      <c r="J130" s="31"/>
      <c r="K130" s="31"/>
      <c r="L130" s="78"/>
      <c r="M130" s="894"/>
      <c r="N130" s="31"/>
      <c r="O130" s="31"/>
      <c r="P130" s="78"/>
      <c r="Q130" s="653"/>
      <c r="R130" s="31"/>
      <c r="S130" s="660"/>
      <c r="T130" s="903"/>
    </row>
    <row r="131" spans="1:20">
      <c r="B131" s="4" t="s">
        <v>679</v>
      </c>
      <c r="D131" s="78">
        <f ca="1">SUMIF('305 Inputs'!$B$101:$B$111,"=def",'305 Inputs'!$I$101:$I$110)</f>
        <v>-30000</v>
      </c>
      <c r="E131" s="31"/>
      <c r="F131" s="31">
        <f ca="1">-D131</f>
        <v>30000</v>
      </c>
      <c r="G131" s="31">
        <v>0</v>
      </c>
      <c r="H131" s="31">
        <v>0</v>
      </c>
      <c r="I131" s="31">
        <v>0</v>
      </c>
      <c r="J131" s="31">
        <v>0</v>
      </c>
      <c r="K131" s="31">
        <f ca="1">SUM(F131:J131)</f>
        <v>30000</v>
      </c>
      <c r="L131" s="78">
        <f ca="1">D131+K131</f>
        <v>0</v>
      </c>
      <c r="M131" s="894">
        <v>0</v>
      </c>
      <c r="N131" s="31">
        <f t="shared" ref="N131:N133" ca="1" si="78">ROUND(L131*M131*((366-30)/(366+30*M131)),0)</f>
        <v>0</v>
      </c>
      <c r="O131" s="31">
        <f ca="1">SUM(N131:N131)</f>
        <v>0</v>
      </c>
      <c r="P131" s="78">
        <f ca="1">L131+O131</f>
        <v>0</v>
      </c>
      <c r="Q131" s="653"/>
      <c r="R131" s="31">
        <f t="shared" ref="R131:R135" ca="1" si="79">K131+O131</f>
        <v>30000</v>
      </c>
      <c r="S131" s="660">
        <f ca="1">+D131+R131</f>
        <v>0</v>
      </c>
      <c r="T131" s="903"/>
    </row>
    <row r="132" spans="1:20">
      <c r="B132" s="4" t="s">
        <v>764</v>
      </c>
      <c r="D132" s="78">
        <f ca="1">SUMIF('305 Inputs'!$B$101:$B$111,"=rev",'305 Inputs'!$I$101:$I$110)</f>
        <v>-14437.61</v>
      </c>
      <c r="E132" s="31"/>
      <c r="F132" s="31">
        <f ca="1">-D132</f>
        <v>14437.61</v>
      </c>
      <c r="G132" s="31">
        <v>0</v>
      </c>
      <c r="H132" s="31">
        <v>0</v>
      </c>
      <c r="I132" s="31">
        <v>0</v>
      </c>
      <c r="J132" s="31">
        <v>0</v>
      </c>
      <c r="K132" s="31">
        <f ca="1">SUM(F132:J132)</f>
        <v>14437.61</v>
      </c>
      <c r="L132" s="78">
        <f ca="1">D132+K132</f>
        <v>0</v>
      </c>
      <c r="M132" s="894">
        <v>0</v>
      </c>
      <c r="N132" s="31">
        <f t="shared" ca="1" si="78"/>
        <v>0</v>
      </c>
      <c r="O132" s="31">
        <f ca="1">SUM(N132:N132)</f>
        <v>0</v>
      </c>
      <c r="P132" s="78">
        <f ca="1">L132+O132</f>
        <v>0</v>
      </c>
      <c r="Q132" s="653"/>
      <c r="R132" s="31">
        <f t="shared" ca="1" si="79"/>
        <v>14437.61</v>
      </c>
      <c r="S132" s="660">
        <f ca="1">+D132+R132</f>
        <v>0</v>
      </c>
      <c r="T132" s="903"/>
    </row>
    <row r="133" spans="1:20" s="11" customFormat="1">
      <c r="B133" s="4" t="s">
        <v>773</v>
      </c>
      <c r="D133" s="78">
        <f ca="1">SUMIF('305 Inputs'!$B$101:$B$111,"=dsm",'305 Inputs'!$I$101:$I$110)</f>
        <v>11507.96</v>
      </c>
      <c r="E133" s="31"/>
      <c r="F133" s="31">
        <f ca="1">-D133</f>
        <v>-11507.96</v>
      </c>
      <c r="G133" s="31">
        <v>0</v>
      </c>
      <c r="H133" s="31">
        <v>0</v>
      </c>
      <c r="I133" s="31">
        <v>0</v>
      </c>
      <c r="J133" s="31">
        <v>0</v>
      </c>
      <c r="K133" s="31">
        <f ca="1">SUM(F133:J133)</f>
        <v>-11507.96</v>
      </c>
      <c r="L133" s="78">
        <f ca="1">D133+K133</f>
        <v>0</v>
      </c>
      <c r="M133" s="894">
        <v>0</v>
      </c>
      <c r="N133" s="31">
        <f t="shared" ca="1" si="78"/>
        <v>0</v>
      </c>
      <c r="O133" s="31">
        <f ca="1">SUM(N133:N133)</f>
        <v>0</v>
      </c>
      <c r="P133" s="78">
        <f ca="1">L133+O133</f>
        <v>0</v>
      </c>
      <c r="Q133" s="653"/>
      <c r="R133" s="31">
        <f t="shared" ca="1" si="79"/>
        <v>-11507.96</v>
      </c>
      <c r="S133" s="660">
        <f ca="1">+D133+R133</f>
        <v>0</v>
      </c>
      <c r="T133" s="12"/>
    </row>
    <row r="134" spans="1:20" s="11" customFormat="1">
      <c r="B134" s="4"/>
      <c r="D134" s="78"/>
      <c r="E134" s="31"/>
      <c r="F134" s="31"/>
      <c r="G134" s="31"/>
      <c r="H134" s="31"/>
      <c r="I134" s="31"/>
      <c r="J134" s="31"/>
      <c r="K134" s="31"/>
      <c r="L134" s="78"/>
      <c r="M134" s="894"/>
      <c r="N134" s="31"/>
      <c r="O134" s="31"/>
      <c r="P134" s="78"/>
      <c r="Q134" s="653"/>
      <c r="R134" s="31"/>
      <c r="S134" s="660"/>
      <c r="T134" s="12"/>
    </row>
    <row r="135" spans="1:20" s="11" customFormat="1">
      <c r="B135" s="4" t="s">
        <v>79</v>
      </c>
      <c r="D135" s="78">
        <f ca="1">SUMIF('305 Inputs'!$B$101:$B$111,"=unbilled",'305 Inputs'!$I$101:$I$110)</f>
        <v>-104000</v>
      </c>
      <c r="E135" s="31">
        <f ca="1">-D135</f>
        <v>104000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f ca="1">SUM(E135:J135)</f>
        <v>104000</v>
      </c>
      <c r="L135" s="78">
        <f ca="1">D135+K135</f>
        <v>0</v>
      </c>
      <c r="M135" s="894">
        <v>0</v>
      </c>
      <c r="N135" s="31">
        <f t="shared" ref="N135" ca="1" si="80">ROUND(L135*M135*((366-30)/(366+30*M135)),0)</f>
        <v>0</v>
      </c>
      <c r="O135" s="31">
        <f ca="1">SUM(N135:N135)</f>
        <v>0</v>
      </c>
      <c r="P135" s="78">
        <f ca="1">L135+O135</f>
        <v>0</v>
      </c>
      <c r="Q135" s="653"/>
      <c r="R135" s="31">
        <f t="shared" ca="1" si="79"/>
        <v>104000</v>
      </c>
      <c r="S135" s="660">
        <f ca="1">+D135+R135</f>
        <v>0</v>
      </c>
      <c r="T135" s="12"/>
    </row>
    <row r="136" spans="1:20" s="11" customFormat="1">
      <c r="A136" s="4"/>
      <c r="C136" s="4"/>
      <c r="D136" s="78"/>
      <c r="E136" s="31"/>
      <c r="F136" s="31"/>
      <c r="G136" s="31"/>
      <c r="H136" s="31"/>
      <c r="I136" s="31"/>
      <c r="J136" s="31"/>
      <c r="K136" s="31"/>
      <c r="L136" s="78"/>
      <c r="M136" s="31"/>
      <c r="N136" s="31"/>
      <c r="O136" s="31"/>
      <c r="P136" s="78"/>
      <c r="Q136" s="653"/>
      <c r="R136" s="31"/>
      <c r="S136" s="31"/>
      <c r="T136" s="12"/>
    </row>
    <row r="137" spans="1:20">
      <c r="B137" s="33" t="s">
        <v>9</v>
      </c>
      <c r="C137" s="34"/>
      <c r="D137" s="79">
        <f t="shared" ref="D137:P137" ca="1" si="81">D127+D129+SUM(D131:D135)</f>
        <v>1142076.9100000001</v>
      </c>
      <c r="E137" s="80">
        <f t="shared" ca="1" si="81"/>
        <v>0</v>
      </c>
      <c r="F137" s="37">
        <f t="shared" ca="1" si="81"/>
        <v>20049.840000000018</v>
      </c>
      <c r="G137" s="37">
        <f t="shared" si="81"/>
        <v>0</v>
      </c>
      <c r="H137" s="37">
        <f t="shared" ca="1" si="81"/>
        <v>0</v>
      </c>
      <c r="I137" s="37">
        <v>0</v>
      </c>
      <c r="J137" s="37">
        <f t="shared" si="81"/>
        <v>0</v>
      </c>
      <c r="K137" s="37">
        <f t="shared" ca="1" si="81"/>
        <v>20049.839999999982</v>
      </c>
      <c r="L137" s="79">
        <f t="shared" ca="1" si="81"/>
        <v>1162126.75</v>
      </c>
      <c r="M137" s="37">
        <f t="shared" si="81"/>
        <v>0</v>
      </c>
      <c r="N137" s="37">
        <f t="shared" ca="1" si="81"/>
        <v>-72.869999999937136</v>
      </c>
      <c r="O137" s="37">
        <f t="shared" ca="1" si="81"/>
        <v>-72.869999999937136</v>
      </c>
      <c r="P137" s="79">
        <f t="shared" ca="1" si="81"/>
        <v>1162053.8800000001</v>
      </c>
      <c r="Q137" s="80"/>
      <c r="R137" s="37">
        <f ca="1">R127+R129+SUM(R131:R135)</f>
        <v>19976.970000000045</v>
      </c>
      <c r="S137" s="37">
        <f ca="1">S127+S129+SUM(S131:S135)</f>
        <v>1162053.8800000001</v>
      </c>
      <c r="T137" s="8"/>
    </row>
    <row r="138" spans="1:20">
      <c r="D138" s="30"/>
      <c r="E138" s="29"/>
      <c r="F138" s="29"/>
      <c r="G138" s="29"/>
      <c r="H138" s="29"/>
      <c r="I138" s="29"/>
      <c r="J138" s="29"/>
      <c r="K138" s="29"/>
      <c r="L138" s="6"/>
      <c r="M138" s="7"/>
      <c r="N138" s="7"/>
      <c r="O138" s="7" t="s">
        <v>31</v>
      </c>
      <c r="P138" s="30"/>
      <c r="Q138" s="897"/>
      <c r="R138" s="29"/>
      <c r="S138" s="661"/>
    </row>
    <row r="139" spans="1:20" ht="16.5" thickBot="1">
      <c r="D139" s="30"/>
      <c r="E139" s="29"/>
      <c r="F139" s="29"/>
      <c r="G139" s="29"/>
      <c r="H139" s="29"/>
      <c r="I139" s="29"/>
      <c r="J139" s="904"/>
      <c r="K139" s="29"/>
      <c r="L139" s="6"/>
      <c r="M139" s="7"/>
      <c r="N139" s="7"/>
      <c r="O139" s="7"/>
      <c r="P139" s="30"/>
      <c r="Q139" s="897"/>
      <c r="R139" s="29"/>
      <c r="S139" s="661"/>
    </row>
    <row r="140" spans="1:20" s="13" customFormat="1" ht="17.25" thickTop="1" thickBot="1">
      <c r="A140" s="4"/>
      <c r="B140" s="38" t="s">
        <v>168</v>
      </c>
      <c r="C140" s="36"/>
      <c r="D140" s="91">
        <f t="shared" ref="D140:L140" ca="1" si="82">D38+D68+D97+D117+D137</f>
        <v>291893109.89000005</v>
      </c>
      <c r="E140" s="971">
        <f t="shared" ca="1" si="82"/>
        <v>0</v>
      </c>
      <c r="F140" s="39">
        <f t="shared" ca="1" si="82"/>
        <v>1250012.2773883396</v>
      </c>
      <c r="G140" s="39">
        <f t="shared" ca="1" si="82"/>
        <v>0</v>
      </c>
      <c r="H140" s="39">
        <f t="shared" ca="1" si="82"/>
        <v>7379869.3899999997</v>
      </c>
      <c r="I140" s="39">
        <f t="shared" si="82"/>
        <v>-121749.96</v>
      </c>
      <c r="J140" s="39">
        <f t="shared" si="82"/>
        <v>-668149.03000000038</v>
      </c>
      <c r="K140" s="39">
        <f t="shared" ca="1" si="82"/>
        <v>7839982.6773883412</v>
      </c>
      <c r="L140" s="91">
        <f t="shared" ca="1" si="82"/>
        <v>299733092.56738842</v>
      </c>
      <c r="M140" s="39"/>
      <c r="N140" s="39">
        <f ca="1">N38+N68+N97+N117+N137</f>
        <v>4330115.7926116586</v>
      </c>
      <c r="O140" s="39">
        <f ca="1">O38+O68+O97+O117+O137</f>
        <v>4330115.7926116586</v>
      </c>
      <c r="P140" s="91">
        <f ca="1">P38+P68+P97+P117+P137</f>
        <v>304063208.36000001</v>
      </c>
      <c r="Q140" s="905"/>
      <c r="R140" s="39">
        <f ca="1">R38+R68+R97+R117+R137</f>
        <v>12170098.470000001</v>
      </c>
      <c r="S140" s="39">
        <f ca="1">S38+S68+S97+S117+S137</f>
        <v>304063208.36000001</v>
      </c>
      <c r="T140" s="17"/>
    </row>
    <row r="141" spans="1:20" ht="16.5" thickTop="1">
      <c r="D141" s="7"/>
      <c r="E141" s="7"/>
      <c r="F141" s="906" t="s">
        <v>31</v>
      </c>
      <c r="G141" s="29"/>
      <c r="H141" s="29"/>
      <c r="I141" s="29"/>
      <c r="J141" s="7" t="s">
        <v>31</v>
      </c>
      <c r="K141" s="7"/>
      <c r="L141" s="29" t="s">
        <v>31</v>
      </c>
      <c r="O141" s="29"/>
      <c r="P141" s="32" t="s">
        <v>31</v>
      </c>
      <c r="Q141" s="7"/>
      <c r="R141" s="7"/>
      <c r="S141" s="8"/>
    </row>
    <row r="142" spans="1:20" ht="19.5" customHeight="1">
      <c r="D142" s="663" t="s">
        <v>869</v>
      </c>
      <c r="E142" s="663"/>
      <c r="F142" s="907"/>
      <c r="G142" s="907"/>
      <c r="H142" s="907"/>
      <c r="I142" s="907"/>
      <c r="J142" s="907"/>
      <c r="K142" s="907"/>
      <c r="L142" s="907"/>
      <c r="M142" s="907"/>
      <c r="N142" s="907"/>
      <c r="O142" s="907"/>
      <c r="P142" s="907"/>
      <c r="R142" s="661"/>
    </row>
    <row r="143" spans="1:20" ht="19.5" customHeight="1">
      <c r="D143" s="663" t="s">
        <v>865</v>
      </c>
      <c r="E143" s="663"/>
      <c r="F143" s="907"/>
      <c r="G143" s="907"/>
      <c r="H143" s="907"/>
      <c r="I143" s="907"/>
      <c r="J143" s="907"/>
      <c r="K143" s="907"/>
      <c r="L143" s="907"/>
      <c r="M143" s="907"/>
      <c r="N143" s="907"/>
      <c r="O143" s="907"/>
      <c r="P143" s="907"/>
      <c r="R143" s="661"/>
    </row>
    <row r="144" spans="1:20" ht="18.75">
      <c r="D144" s="44" t="s">
        <v>863</v>
      </c>
      <c r="E144" s="44"/>
      <c r="F144" s="116"/>
      <c r="G144" s="116"/>
      <c r="H144" s="116"/>
      <c r="I144" s="116"/>
      <c r="J144" s="116"/>
      <c r="K144" s="47"/>
      <c r="L144" s="47"/>
      <c r="M144" s="44"/>
      <c r="N144" s="44"/>
    </row>
    <row r="145" spans="4:14" ht="18.75">
      <c r="D145" s="44"/>
      <c r="E145" s="44"/>
      <c r="F145" s="908"/>
      <c r="G145" s="908"/>
      <c r="H145" s="47"/>
      <c r="I145" s="47"/>
      <c r="J145" s="47"/>
      <c r="M145" s="47"/>
      <c r="N145" s="47"/>
    </row>
    <row r="147" spans="4:14">
      <c r="F147" s="9"/>
      <c r="G147" s="9"/>
      <c r="H147" s="9"/>
      <c r="I147" s="9"/>
      <c r="K147" s="661"/>
    </row>
    <row r="148" spans="4:14">
      <c r="F148" s="9"/>
      <c r="G148" s="9"/>
      <c r="H148" s="909"/>
      <c r="I148" s="909"/>
    </row>
    <row r="149" spans="4:14">
      <c r="D149" s="9" t="s">
        <v>202</v>
      </c>
      <c r="F149" s="9">
        <f>'SBC-Hydro'!G58</f>
        <v>-8775130.0800000019</v>
      </c>
      <c r="G149" s="9"/>
      <c r="I149" s="9"/>
    </row>
    <row r="150" spans="4:14">
      <c r="D150" s="9" t="s">
        <v>312</v>
      </c>
      <c r="F150" s="9">
        <v>-1930448</v>
      </c>
      <c r="G150" s="9"/>
      <c r="I150" s="9"/>
    </row>
    <row r="151" spans="4:14">
      <c r="D151" s="4" t="s">
        <v>698</v>
      </c>
      <c r="F151" s="9">
        <f ca="1">F34+F64+F93</f>
        <v>-352618.49</v>
      </c>
      <c r="I151" s="661"/>
    </row>
    <row r="152" spans="4:14">
      <c r="D152" s="4" t="s">
        <v>241</v>
      </c>
      <c r="F152" s="661">
        <f ca="1">F28+F60</f>
        <v>1982102.8</v>
      </c>
      <c r="I152" s="661"/>
    </row>
    <row r="153" spans="4:14">
      <c r="D153" s="910" t="s">
        <v>165</v>
      </c>
      <c r="F153" s="661">
        <f ca="1">F29</f>
        <v>-0.5</v>
      </c>
      <c r="G153" s="910"/>
      <c r="I153" s="661"/>
    </row>
    <row r="154" spans="4:14">
      <c r="D154" s="910" t="s">
        <v>776</v>
      </c>
      <c r="F154" s="661">
        <f ca="1">F30</f>
        <v>-0.33</v>
      </c>
      <c r="G154" s="910"/>
      <c r="I154" s="661"/>
    </row>
    <row r="155" spans="4:14">
      <c r="D155" s="910" t="s">
        <v>679</v>
      </c>
      <c r="F155" s="661">
        <f ca="1">F26+F58+F89+F108+F131</f>
        <v>3000000</v>
      </c>
      <c r="G155" s="910"/>
      <c r="I155" s="661"/>
    </row>
    <row r="156" spans="4:14">
      <c r="D156" s="910" t="s">
        <v>777</v>
      </c>
      <c r="F156" s="661">
        <f ca="1">F27+F59+F90+F109+F132</f>
        <v>11401101.759999998</v>
      </c>
      <c r="G156" s="910"/>
      <c r="I156" s="661"/>
    </row>
    <row r="157" spans="4:14">
      <c r="D157" s="910" t="s">
        <v>778</v>
      </c>
      <c r="F157" s="9">
        <f ca="1">F107</f>
        <v>-13900</v>
      </c>
      <c r="G157" s="910"/>
      <c r="I157" s="661"/>
    </row>
    <row r="158" spans="4:14">
      <c r="D158" s="910" t="s">
        <v>773</v>
      </c>
      <c r="F158" s="9">
        <f ca="1">F31+F61+F91+F110+F133</f>
        <v>-4415957</v>
      </c>
      <c r="I158" s="661"/>
    </row>
    <row r="159" spans="4:14">
      <c r="D159" s="910" t="s">
        <v>774</v>
      </c>
      <c r="F159" s="9">
        <f ca="1">F32+F62+F111</f>
        <v>-18699.53</v>
      </c>
      <c r="I159" s="661"/>
    </row>
    <row r="160" spans="4:14">
      <c r="D160" s="910" t="s">
        <v>261</v>
      </c>
      <c r="F160" s="88">
        <v>288690</v>
      </c>
    </row>
    <row r="161" spans="4:6">
      <c r="D161" s="910" t="s">
        <v>861</v>
      </c>
      <c r="F161" s="1122">
        <v>84871</v>
      </c>
    </row>
    <row r="162" spans="4:6">
      <c r="F162" s="8">
        <f ca="1">SUM(F149:F161)</f>
        <v>1250011.6299999964</v>
      </c>
    </row>
  </sheetData>
  <mergeCells count="1">
    <mergeCell ref="E9:L9"/>
  </mergeCells>
  <printOptions horizontalCentered="1"/>
  <pageMargins left="0.25" right="0.25" top="0.5" bottom="0.3" header="0.5" footer="0.25"/>
  <pageSetup scale="53" fitToHeight="0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69" max="1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3:AI104"/>
  <sheetViews>
    <sheetView zoomScale="80" zoomScaleNormal="80" workbookViewId="0">
      <selection activeCell="M21" sqref="M21"/>
    </sheetView>
  </sheetViews>
  <sheetFormatPr defaultColWidth="9.625" defaultRowHeight="15.75"/>
  <cols>
    <col min="1" max="1" width="17.25" style="1032" bestFit="1" customWidth="1"/>
    <col min="2" max="9" width="16.375" style="1032" customWidth="1"/>
    <col min="10" max="10" width="12.375" style="1032" bestFit="1" customWidth="1"/>
    <col min="11" max="11" width="18" style="1032" bestFit="1" customWidth="1"/>
    <col min="12" max="12" width="14.5" style="1032" bestFit="1" customWidth="1"/>
    <col min="13" max="13" width="9.625" style="1032" customWidth="1"/>
    <col min="14" max="14" width="13.125" style="1032" bestFit="1" customWidth="1"/>
    <col min="15" max="15" width="14.625" style="1032" bestFit="1" customWidth="1"/>
    <col min="16" max="16" width="12" style="1032" bestFit="1" customWidth="1"/>
    <col min="17" max="17" width="14.875" style="1032" bestFit="1" customWidth="1"/>
    <col min="18" max="18" width="12.375" style="1032" bestFit="1" customWidth="1"/>
    <col min="19" max="19" width="12" style="1032" bestFit="1" customWidth="1"/>
    <col min="20" max="20" width="14.875" style="1032" bestFit="1" customWidth="1"/>
    <col min="21" max="21" width="9.625" style="1032" customWidth="1"/>
    <col min="22" max="23" width="9.625" style="1032"/>
    <col min="24" max="24" width="19.625" style="1032" bestFit="1" customWidth="1"/>
    <col min="25" max="25" width="13.25" style="1032" bestFit="1" customWidth="1"/>
    <col min="26" max="16384" width="9.625" style="1032"/>
  </cols>
  <sheetData>
    <row r="3" spans="1:27" ht="18.75">
      <c r="A3" s="1029" t="s">
        <v>46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  <c r="S3" s="1030"/>
      <c r="T3" s="1030"/>
      <c r="U3" s="1031"/>
      <c r="V3" s="1031"/>
      <c r="W3" s="1031"/>
      <c r="X3" s="1031"/>
      <c r="Y3" s="1031"/>
      <c r="Z3" s="1031"/>
      <c r="AA3" s="1031"/>
    </row>
    <row r="4" spans="1:27" ht="18.75">
      <c r="A4" s="1029" t="str">
        <f>'305 Inputs'!B4</f>
        <v>12 Months Ended June 2012</v>
      </c>
      <c r="B4" s="1030"/>
      <c r="C4" s="1030"/>
      <c r="D4" s="1030"/>
      <c r="E4" s="1030"/>
      <c r="F4" s="1030"/>
      <c r="G4" s="1030"/>
      <c r="H4" s="1030"/>
      <c r="I4" s="1030"/>
      <c r="J4" s="1030"/>
      <c r="K4" s="1030"/>
      <c r="L4" s="1030"/>
      <c r="M4" s="1030"/>
      <c r="N4" s="1030"/>
      <c r="O4" s="1030"/>
      <c r="P4" s="1030"/>
      <c r="Q4" s="1030"/>
      <c r="R4" s="1030"/>
      <c r="S4" s="1030"/>
      <c r="T4" s="1030"/>
      <c r="U4" s="1031"/>
      <c r="V4" s="1031"/>
      <c r="W4" s="1031"/>
      <c r="X4" s="1031"/>
      <c r="Y4" s="1031"/>
      <c r="Z4" s="1031"/>
      <c r="AA4" s="1031"/>
    </row>
    <row r="7" spans="1:27">
      <c r="A7" s="1030" t="s">
        <v>66</v>
      </c>
      <c r="B7" s="1033" t="s">
        <v>12</v>
      </c>
      <c r="C7" s="1034" t="s">
        <v>207</v>
      </c>
      <c r="D7" s="1033" t="s">
        <v>207</v>
      </c>
      <c r="E7" s="1034"/>
      <c r="F7" s="1033"/>
      <c r="G7" s="1034" t="s">
        <v>1</v>
      </c>
      <c r="H7" s="1035"/>
      <c r="I7" s="1035"/>
      <c r="J7" s="1036"/>
      <c r="K7" s="1037"/>
      <c r="L7" s="1037"/>
      <c r="M7" s="1037"/>
      <c r="N7" s="1037"/>
      <c r="O7" s="1036"/>
      <c r="P7" s="1035"/>
      <c r="Q7" s="1035"/>
      <c r="R7" s="1035"/>
      <c r="S7" s="1035"/>
    </row>
    <row r="8" spans="1:27">
      <c r="A8" s="1032" t="s">
        <v>17</v>
      </c>
      <c r="B8" s="1033" t="s">
        <v>16</v>
      </c>
      <c r="C8" s="1034" t="s">
        <v>208</v>
      </c>
      <c r="D8" s="1033" t="s">
        <v>209</v>
      </c>
      <c r="E8" s="1034" t="s">
        <v>208</v>
      </c>
      <c r="F8" s="1033" t="s">
        <v>209</v>
      </c>
      <c r="G8" s="1034" t="s">
        <v>26</v>
      </c>
      <c r="H8" s="1036"/>
      <c r="K8" s="1035" t="s">
        <v>210</v>
      </c>
      <c r="L8" s="1035"/>
      <c r="M8" s="1038"/>
      <c r="N8" s="1038"/>
      <c r="O8" s="1038"/>
      <c r="P8" s="1039"/>
      <c r="Q8" s="1036"/>
      <c r="R8" s="1036"/>
      <c r="S8" s="1036"/>
      <c r="T8" s="1036"/>
      <c r="U8" s="1036"/>
    </row>
    <row r="9" spans="1:27">
      <c r="A9" s="1033" t="s">
        <v>24</v>
      </c>
      <c r="B9" s="1040" t="s">
        <v>23</v>
      </c>
      <c r="C9" s="1041" t="s">
        <v>23</v>
      </c>
      <c r="D9" s="1040" t="s">
        <v>23</v>
      </c>
      <c r="E9" s="1041" t="s">
        <v>38</v>
      </c>
      <c r="F9" s="1040" t="s">
        <v>38</v>
      </c>
      <c r="G9" s="1042" t="s">
        <v>200</v>
      </c>
      <c r="H9" s="1036"/>
      <c r="K9" s="1043" t="s">
        <v>842</v>
      </c>
      <c r="L9" s="1043"/>
      <c r="M9" s="1036"/>
      <c r="N9" s="1036"/>
      <c r="O9" s="1036"/>
      <c r="P9" s="1036"/>
      <c r="Q9" s="1036"/>
    </row>
    <row r="10" spans="1:27">
      <c r="A10" s="1044">
        <v>40725</v>
      </c>
      <c r="B10" s="1045">
        <v>10408.592397391754</v>
      </c>
      <c r="C10" s="1046">
        <f>$B10*$L$10/$L$12</f>
        <v>4458.2673278926832</v>
      </c>
      <c r="D10" s="1045">
        <f t="shared" ref="D10:D21" si="0">$B10*$L$11/$L$12</f>
        <v>5950.3250694990702</v>
      </c>
      <c r="E10" s="1047">
        <v>5.858E-2</v>
      </c>
      <c r="F10" s="1048">
        <v>9.264E-2</v>
      </c>
      <c r="G10" s="1049">
        <f>ROUND((C10*E10+D10*F10)*1000,2)/1000</f>
        <v>812.40341000000001</v>
      </c>
      <c r="H10" s="1036"/>
      <c r="I10" s="1050"/>
      <c r="K10" s="1051" t="s">
        <v>211</v>
      </c>
      <c r="L10" s="1052">
        <v>659112532</v>
      </c>
      <c r="M10" s="1036"/>
      <c r="N10" s="1036"/>
      <c r="O10" s="1053"/>
      <c r="P10" s="1036"/>
      <c r="Q10" s="1036"/>
    </row>
    <row r="11" spans="1:27">
      <c r="A11" s="1044">
        <v>40756</v>
      </c>
      <c r="B11" s="1045">
        <v>-9566.3426204780717</v>
      </c>
      <c r="C11" s="1046">
        <f t="shared" ref="C11:C21" si="1">$B11*$L$10/$L$12</f>
        <v>-4097.5101266326819</v>
      </c>
      <c r="D11" s="1045">
        <f t="shared" si="0"/>
        <v>-5468.8324938453889</v>
      </c>
      <c r="E11" s="1047">
        <v>5.858E-2</v>
      </c>
      <c r="F11" s="1048">
        <v>9.264E-2</v>
      </c>
      <c r="G11" s="1049">
        <f t="shared" ref="G11:G21" si="2">ROUND((C11*E11+D11*F11)*1000,2)/1000</f>
        <v>-746.66479000000004</v>
      </c>
      <c r="H11" s="1036"/>
      <c r="I11" s="1050"/>
      <c r="K11" s="1054" t="s">
        <v>212</v>
      </c>
      <c r="L11" s="1055">
        <v>879699115</v>
      </c>
      <c r="M11" s="1036"/>
      <c r="N11" s="1036"/>
      <c r="O11" s="1053"/>
      <c r="P11" s="1036"/>
      <c r="Q11" s="1036"/>
    </row>
    <row r="12" spans="1:27">
      <c r="A12" s="1044">
        <v>40787</v>
      </c>
      <c r="B12" s="1045">
        <v>-2458.8360824459251</v>
      </c>
      <c r="C12" s="1046">
        <f>$B12*$L$10/$L$12</f>
        <v>-1053.182616100835</v>
      </c>
      <c r="D12" s="1045">
        <f t="shared" si="0"/>
        <v>-1405.6534663450902</v>
      </c>
      <c r="E12" s="1047">
        <v>5.858E-2</v>
      </c>
      <c r="F12" s="1048">
        <v>9.264E-2</v>
      </c>
      <c r="G12" s="1049">
        <f t="shared" si="2"/>
        <v>-191.91517000000002</v>
      </c>
      <c r="H12" s="1036"/>
      <c r="I12" s="1050"/>
      <c r="K12" s="1056" t="s">
        <v>9</v>
      </c>
      <c r="L12" s="1045">
        <f>SUM(L10:L11)</f>
        <v>1538811647</v>
      </c>
      <c r="M12" s="1036"/>
      <c r="N12" s="1036"/>
      <c r="O12" s="1053"/>
      <c r="P12" s="1036"/>
      <c r="Q12" s="1036"/>
    </row>
    <row r="13" spans="1:27">
      <c r="A13" s="1044">
        <v>40817</v>
      </c>
      <c r="B13" s="1045">
        <v>5625.1378329838963</v>
      </c>
      <c r="C13" s="1046">
        <f t="shared" si="1"/>
        <v>2409.3909395442788</v>
      </c>
      <c r="D13" s="1045">
        <f t="shared" si="0"/>
        <v>3215.7468934396175</v>
      </c>
      <c r="E13" s="1047">
        <v>5.858E-2</v>
      </c>
      <c r="F13" s="1048">
        <v>9.264E-2</v>
      </c>
      <c r="G13" s="1049">
        <f t="shared" si="2"/>
        <v>439.04890999999998</v>
      </c>
      <c r="H13" s="1036"/>
      <c r="I13" s="1057"/>
      <c r="J13" s="1045"/>
      <c r="K13" s="1038"/>
      <c r="L13" s="1045"/>
      <c r="M13" s="1036"/>
      <c r="N13" s="1036"/>
      <c r="O13" s="1053"/>
      <c r="P13" s="1036"/>
      <c r="Q13" s="1036"/>
    </row>
    <row r="14" spans="1:27">
      <c r="A14" s="1044">
        <v>40848</v>
      </c>
      <c r="B14" s="1045">
        <v>-3059.3210440237071</v>
      </c>
      <c r="C14" s="1046">
        <f t="shared" si="1"/>
        <v>-1310.3857404891016</v>
      </c>
      <c r="D14" s="1045">
        <f t="shared" si="0"/>
        <v>-1748.9353035346055</v>
      </c>
      <c r="E14" s="1047">
        <v>5.858E-2</v>
      </c>
      <c r="F14" s="1048">
        <v>9.264E-2</v>
      </c>
      <c r="G14" s="1049">
        <f t="shared" si="2"/>
        <v>-238.78376</v>
      </c>
      <c r="H14" s="1036"/>
      <c r="I14" s="1044"/>
      <c r="J14" s="1045"/>
      <c r="K14" s="1038"/>
      <c r="L14" s="1045"/>
      <c r="M14" s="1036"/>
      <c r="N14" s="1036"/>
      <c r="O14" s="1053"/>
      <c r="P14" s="1036"/>
      <c r="Q14" s="1036"/>
    </row>
    <row r="15" spans="1:27">
      <c r="A15" s="1044">
        <v>40878</v>
      </c>
      <c r="B15" s="1058">
        <v>-10372.297426621926</v>
      </c>
      <c r="C15" s="1046">
        <f t="shared" si="1"/>
        <v>-4442.7212601659376</v>
      </c>
      <c r="D15" s="1045">
        <f t="shared" si="0"/>
        <v>-5929.5761664559886</v>
      </c>
      <c r="E15" s="1047">
        <v>5.858E-2</v>
      </c>
      <c r="F15" s="1048">
        <v>9.264E-2</v>
      </c>
      <c r="G15" s="1059">
        <f>ROUND((C15*E15+D15*F15)*1000,2)/1000</f>
        <v>-809.57055000000003</v>
      </c>
      <c r="H15" s="1036"/>
      <c r="I15" s="1044"/>
      <c r="J15" s="1045"/>
      <c r="K15" s="1038"/>
      <c r="L15" s="1045"/>
      <c r="M15" s="1036"/>
      <c r="N15" s="1036"/>
      <c r="O15" s="1053"/>
      <c r="P15" s="1036"/>
      <c r="Q15" s="1036"/>
    </row>
    <row r="16" spans="1:27">
      <c r="A16" s="1044">
        <v>40909</v>
      </c>
      <c r="B16" s="1045">
        <v>-8853.1630481348457</v>
      </c>
      <c r="C16" s="1046">
        <f t="shared" si="1"/>
        <v>-3792.0370074148495</v>
      </c>
      <c r="D16" s="1045">
        <f t="shared" si="0"/>
        <v>-5061.1260407199961</v>
      </c>
      <c r="E16" s="1047">
        <v>5.858E-2</v>
      </c>
      <c r="F16" s="1048">
        <v>9.264E-2</v>
      </c>
      <c r="G16" s="1049">
        <f>ROUND((C16*E16+D16*F16)*1000,2)/1000</f>
        <v>-691.00023999999996</v>
      </c>
      <c r="H16" s="1044"/>
      <c r="I16" s="1044"/>
      <c r="J16" s="1045"/>
      <c r="K16" s="1038"/>
      <c r="L16" s="1038"/>
      <c r="M16" s="1036"/>
      <c r="N16" s="1036"/>
      <c r="O16" s="1053"/>
      <c r="P16" s="1036"/>
      <c r="Q16" s="1036"/>
    </row>
    <row r="17" spans="1:22">
      <c r="A17" s="1044">
        <v>40940</v>
      </c>
      <c r="B17" s="1045">
        <v>5627.5345837660079</v>
      </c>
      <c r="C17" s="1046">
        <f t="shared" si="1"/>
        <v>2410.4175294324241</v>
      </c>
      <c r="D17" s="1045">
        <f t="shared" si="0"/>
        <v>3217.1170543335838</v>
      </c>
      <c r="E17" s="1047">
        <v>5.858E-2</v>
      </c>
      <c r="F17" s="1048">
        <v>9.264E-2</v>
      </c>
      <c r="G17" s="1049">
        <f t="shared" si="2"/>
        <v>439.23597999999998</v>
      </c>
      <c r="H17" s="1036"/>
      <c r="I17" s="1044"/>
      <c r="J17" s="1045"/>
      <c r="K17" s="1038"/>
      <c r="L17" s="1038"/>
      <c r="M17" s="1036"/>
      <c r="N17" s="1036"/>
      <c r="O17" s="1053"/>
      <c r="P17" s="1036"/>
      <c r="Q17" s="1036"/>
    </row>
    <row r="18" spans="1:22">
      <c r="A18" s="1044">
        <v>40969</v>
      </c>
      <c r="B18" s="1045">
        <v>-422.82726392856057</v>
      </c>
      <c r="C18" s="1046">
        <f t="shared" si="1"/>
        <v>-181.10777174705504</v>
      </c>
      <c r="D18" s="1045">
        <f t="shared" si="0"/>
        <v>-241.71949218150556</v>
      </c>
      <c r="E18" s="1047">
        <v>5.858E-2</v>
      </c>
      <c r="F18" s="1048">
        <v>9.264E-2</v>
      </c>
      <c r="G18" s="1049">
        <f t="shared" si="2"/>
        <v>-33.002189999999999</v>
      </c>
      <c r="H18" s="1036"/>
      <c r="I18" s="1044"/>
      <c r="J18" s="1045"/>
      <c r="K18" s="1038"/>
      <c r="L18" s="1038"/>
      <c r="M18" s="1036"/>
      <c r="N18" s="1036"/>
      <c r="O18" s="1053"/>
      <c r="P18" s="1036"/>
      <c r="Q18" s="1036"/>
    </row>
    <row r="19" spans="1:22">
      <c r="A19" s="1044">
        <v>41000</v>
      </c>
      <c r="B19" s="1045">
        <v>4577.6493438337739</v>
      </c>
      <c r="C19" s="1046">
        <f t="shared" si="1"/>
        <v>1960.7247290495829</v>
      </c>
      <c r="D19" s="1045">
        <f t="shared" si="0"/>
        <v>2616.9246147841909</v>
      </c>
      <c r="E19" s="1047">
        <v>5.858E-2</v>
      </c>
      <c r="F19" s="1048">
        <v>9.264E-2</v>
      </c>
      <c r="G19" s="1049">
        <f t="shared" si="2"/>
        <v>357.29115000000002</v>
      </c>
      <c r="H19" s="1044"/>
      <c r="I19" s="1044"/>
      <c r="J19" s="1045"/>
      <c r="K19" s="1038"/>
      <c r="L19" s="1038"/>
      <c r="M19" s="1036"/>
      <c r="N19" s="1036"/>
      <c r="O19" s="1053"/>
      <c r="P19" s="1036"/>
      <c r="Q19" s="1036"/>
    </row>
    <row r="20" spans="1:22">
      <c r="A20" s="1044">
        <v>41030</v>
      </c>
      <c r="B20" s="1045">
        <v>1772.6601986089686</v>
      </c>
      <c r="C20" s="1046">
        <f t="shared" si="1"/>
        <v>759.27586989519341</v>
      </c>
      <c r="D20" s="1045">
        <f t="shared" si="0"/>
        <v>1013.3843287137753</v>
      </c>
      <c r="E20" s="1047">
        <v>5.858E-2</v>
      </c>
      <c r="F20" s="1048">
        <v>9.264E-2</v>
      </c>
      <c r="G20" s="1049">
        <f t="shared" si="2"/>
        <v>138.35829999999999</v>
      </c>
      <c r="H20" s="1044"/>
      <c r="I20" s="1050"/>
      <c r="J20" s="1045"/>
      <c r="K20" s="1038"/>
      <c r="L20" s="1038"/>
      <c r="M20" s="1036"/>
      <c r="N20" s="1036"/>
      <c r="O20" s="1053"/>
      <c r="P20" s="1036"/>
      <c r="Q20" s="1036"/>
    </row>
    <row r="21" spans="1:22">
      <c r="A21" s="1044">
        <v>41061</v>
      </c>
      <c r="B21" s="1060">
        <v>4011.4838939019937</v>
      </c>
      <c r="C21" s="1061">
        <f t="shared" si="1"/>
        <v>1718.2215325323452</v>
      </c>
      <c r="D21" s="1060">
        <f t="shared" si="0"/>
        <v>2293.2623613696483</v>
      </c>
      <c r="E21" s="1062">
        <f>0.05949</f>
        <v>5.9490000000000001E-2</v>
      </c>
      <c r="F21" s="1063">
        <f>0.09416</f>
        <v>9.4159999999999994E-2</v>
      </c>
      <c r="G21" s="1064">
        <f t="shared" si="2"/>
        <v>318.15057999999999</v>
      </c>
      <c r="H21" s="1036"/>
      <c r="I21" s="1050"/>
      <c r="J21" s="1045"/>
      <c r="K21" s="1038"/>
      <c r="L21" s="1038"/>
      <c r="M21" s="1036"/>
      <c r="N21" s="1036"/>
      <c r="O21" s="1036"/>
      <c r="P21" s="1036"/>
      <c r="Q21" s="1036"/>
    </row>
    <row r="22" spans="1:22">
      <c r="A22" s="1036" t="s">
        <v>9</v>
      </c>
      <c r="B22" s="1053">
        <f>SUM(B10:B21)</f>
        <v>-2709.7292351466403</v>
      </c>
      <c r="C22" s="1046">
        <f>SUM(C10:C21)</f>
        <v>-1160.6465942039538</v>
      </c>
      <c r="D22" s="1053">
        <f>SUM(D10:D21)</f>
        <v>-1549.0826409426886</v>
      </c>
      <c r="E22" s="1065" t="s">
        <v>31</v>
      </c>
      <c r="F22" s="1032" t="s">
        <v>31</v>
      </c>
      <c r="G22" s="1066">
        <f>SUM(G10:G21)</f>
        <v>-206.4483700000003</v>
      </c>
      <c r="H22" s="1067"/>
      <c r="I22" s="1038"/>
      <c r="J22" s="1045"/>
      <c r="K22" s="1038"/>
      <c r="L22" s="1068"/>
      <c r="M22" s="1036"/>
      <c r="N22" s="1036"/>
      <c r="O22" s="1053"/>
      <c r="P22" s="1036"/>
      <c r="Q22" s="1069"/>
    </row>
    <row r="23" spans="1:22">
      <c r="A23" s="1036"/>
      <c r="B23" s="1053"/>
      <c r="C23" s="1053"/>
      <c r="D23" s="1053"/>
      <c r="E23" s="1053"/>
      <c r="F23" s="1053"/>
      <c r="G23" s="1053"/>
      <c r="H23" s="1053"/>
      <c r="I23" s="1053"/>
      <c r="J23" s="1053"/>
      <c r="L23" s="1070"/>
      <c r="M23" s="1036"/>
      <c r="N23" s="1038"/>
      <c r="O23" s="1045"/>
      <c r="P23" s="1038"/>
      <c r="Q23" s="1068"/>
      <c r="R23" s="1036"/>
      <c r="S23" s="1036"/>
      <c r="T23" s="1053"/>
      <c r="U23" s="1036"/>
      <c r="V23" s="1069"/>
    </row>
    <row r="25" spans="1:22">
      <c r="A25" s="1030" t="s">
        <v>803</v>
      </c>
      <c r="B25" s="1033" t="s">
        <v>12</v>
      </c>
      <c r="C25" s="1034" t="s">
        <v>207</v>
      </c>
      <c r="D25" s="1033" t="s">
        <v>207</v>
      </c>
      <c r="E25" s="1034"/>
      <c r="F25" s="1033"/>
      <c r="G25" s="1034" t="s">
        <v>1</v>
      </c>
      <c r="H25" s="1035"/>
      <c r="I25" s="1035"/>
      <c r="J25" s="1036"/>
      <c r="K25" s="1037"/>
      <c r="L25" s="1037"/>
      <c r="M25" s="1037"/>
      <c r="N25" s="1037"/>
      <c r="O25" s="1036"/>
      <c r="P25" s="1035"/>
      <c r="Q25" s="1035"/>
      <c r="R25" s="1035"/>
      <c r="S25" s="1035"/>
    </row>
    <row r="26" spans="1:22">
      <c r="A26" s="1032" t="s">
        <v>17</v>
      </c>
      <c r="B26" s="1033" t="s">
        <v>16</v>
      </c>
      <c r="C26" s="1034" t="s">
        <v>208</v>
      </c>
      <c r="D26" s="1033" t="s">
        <v>209</v>
      </c>
      <c r="E26" s="1034" t="s">
        <v>208</v>
      </c>
      <c r="F26" s="1033" t="s">
        <v>209</v>
      </c>
      <c r="G26" s="1034" t="s">
        <v>26</v>
      </c>
      <c r="H26" s="1036"/>
      <c r="K26" s="1035" t="s">
        <v>210</v>
      </c>
      <c r="L26" s="1035"/>
      <c r="M26" s="1038"/>
      <c r="N26" s="1038"/>
      <c r="O26" s="1038"/>
      <c r="P26" s="1039"/>
      <c r="Q26" s="1036"/>
      <c r="R26" s="1036"/>
      <c r="S26" s="1036"/>
      <c r="T26" s="1036"/>
      <c r="U26" s="1036"/>
    </row>
    <row r="27" spans="1:22">
      <c r="A27" s="1033" t="s">
        <v>24</v>
      </c>
      <c r="B27" s="1040" t="s">
        <v>23</v>
      </c>
      <c r="C27" s="1041" t="s">
        <v>23</v>
      </c>
      <c r="D27" s="1040" t="s">
        <v>23</v>
      </c>
      <c r="E27" s="1041" t="s">
        <v>38</v>
      </c>
      <c r="F27" s="1040" t="s">
        <v>38</v>
      </c>
      <c r="G27" s="1042" t="s">
        <v>200</v>
      </c>
      <c r="H27" s="1036"/>
      <c r="K27" s="1043" t="str">
        <f>K9</f>
        <v>June 12 Blocking</v>
      </c>
      <c r="L27" s="1043"/>
      <c r="M27" s="1036"/>
      <c r="N27" s="1036"/>
      <c r="O27" s="1036"/>
      <c r="P27" s="1036"/>
      <c r="Q27" s="1036"/>
    </row>
    <row r="28" spans="1:22">
      <c r="A28" s="1044">
        <f>A10</f>
        <v>40725</v>
      </c>
      <c r="B28" s="1045">
        <v>0.24030217579695445</v>
      </c>
      <c r="C28" s="1046">
        <f>$B28*$L$28/$L$30</f>
        <v>0.10565763803342179</v>
      </c>
      <c r="D28" s="1045">
        <f>$B28*$L$29/$L$30</f>
        <v>0.13464453776353266</v>
      </c>
      <c r="E28" s="1047">
        <v>5.858E-2</v>
      </c>
      <c r="F28" s="1048">
        <v>9.264E-2</v>
      </c>
      <c r="G28" s="1049">
        <f t="shared" ref="G28:G34" si="3">ROUND((C28*E28+D28*F28)*1000,2)/1000</f>
        <v>1.866E-2</v>
      </c>
      <c r="H28" s="1036"/>
      <c r="I28" s="1050"/>
      <c r="K28" s="1051" t="s">
        <v>211</v>
      </c>
      <c r="L28" s="1052">
        <v>27802912</v>
      </c>
      <c r="M28" s="1036"/>
      <c r="N28" s="1036"/>
      <c r="O28" s="1053"/>
      <c r="P28" s="1036"/>
      <c r="Q28" s="1036"/>
    </row>
    <row r="29" spans="1:22">
      <c r="A29" s="1044">
        <f t="shared" ref="A29:A39" si="4">A11</f>
        <v>40756</v>
      </c>
      <c r="B29" s="1045">
        <v>2.408781832111194</v>
      </c>
      <c r="C29" s="1046">
        <f t="shared" ref="C29:C39" si="5">$B29*$L$28/$L$30</f>
        <v>1.0591090075427969</v>
      </c>
      <c r="D29" s="1045">
        <f t="shared" ref="D29:D39" si="6">$B29*$L$29/$L$30</f>
        <v>1.3496728245683973</v>
      </c>
      <c r="E29" s="1047">
        <v>5.858E-2</v>
      </c>
      <c r="F29" s="1048">
        <v>9.264E-2</v>
      </c>
      <c r="G29" s="1049">
        <f t="shared" si="3"/>
        <v>0.18708000000000002</v>
      </c>
      <c r="H29" s="1036"/>
      <c r="I29" s="1050"/>
      <c r="K29" s="1054" t="s">
        <v>212</v>
      </c>
      <c r="L29" s="1055">
        <v>35430569</v>
      </c>
      <c r="M29" s="1036"/>
      <c r="N29" s="1036"/>
      <c r="O29" s="1053"/>
      <c r="P29" s="1036"/>
      <c r="Q29" s="1036"/>
    </row>
    <row r="30" spans="1:22">
      <c r="A30" s="1044">
        <f t="shared" si="4"/>
        <v>40787</v>
      </c>
      <c r="B30" s="1045">
        <v>80.854695912271296</v>
      </c>
      <c r="C30" s="1046">
        <f t="shared" si="5"/>
        <v>35.550723440887886</v>
      </c>
      <c r="D30" s="1045">
        <f t="shared" si="6"/>
        <v>45.303972471383418</v>
      </c>
      <c r="E30" s="1047">
        <v>5.858E-2</v>
      </c>
      <c r="F30" s="1048">
        <v>9.264E-2</v>
      </c>
      <c r="G30" s="1049">
        <f t="shared" si="3"/>
        <v>6.2795200000000007</v>
      </c>
      <c r="H30" s="1036"/>
      <c r="I30" s="1050"/>
      <c r="K30" s="1056" t="s">
        <v>9</v>
      </c>
      <c r="L30" s="1045">
        <f>SUM(L28:L29)</f>
        <v>63233481</v>
      </c>
      <c r="M30" s="1036"/>
      <c r="N30" s="1036"/>
      <c r="O30" s="1053"/>
      <c r="P30" s="1036"/>
      <c r="Q30" s="1036"/>
    </row>
    <row r="31" spans="1:22">
      <c r="A31" s="1044">
        <f t="shared" si="4"/>
        <v>40817</v>
      </c>
      <c r="B31" s="1045">
        <v>282.0381090114019</v>
      </c>
      <c r="C31" s="1046">
        <f t="shared" si="5"/>
        <v>124.0083671099874</v>
      </c>
      <c r="D31" s="1045">
        <f t="shared" si="6"/>
        <v>158.02974190141447</v>
      </c>
      <c r="E31" s="1071">
        <v>5.858E-2</v>
      </c>
      <c r="F31" s="1072">
        <v>9.264E-2</v>
      </c>
      <c r="G31" s="1049">
        <f t="shared" si="3"/>
        <v>21.90429</v>
      </c>
      <c r="H31" s="1036"/>
      <c r="I31" s="1057"/>
      <c r="J31" s="1045"/>
      <c r="K31" s="1038"/>
      <c r="L31" s="1045"/>
      <c r="M31" s="1036"/>
      <c r="N31" s="1036"/>
      <c r="O31" s="1053"/>
      <c r="P31" s="1036"/>
      <c r="Q31" s="1036"/>
    </row>
    <row r="32" spans="1:22">
      <c r="A32" s="1044">
        <f t="shared" si="4"/>
        <v>40848</v>
      </c>
      <c r="B32" s="1045">
        <v>-133.74754645333343</v>
      </c>
      <c r="C32" s="1046">
        <f t="shared" si="5"/>
        <v>-58.806999163274618</v>
      </c>
      <c r="D32" s="1045">
        <f t="shared" si="6"/>
        <v>-74.940547290058817</v>
      </c>
      <c r="E32" s="1047">
        <v>5.858E-2</v>
      </c>
      <c r="F32" s="1048">
        <v>9.264E-2</v>
      </c>
      <c r="G32" s="1049">
        <f t="shared" si="3"/>
        <v>-10.387409999999999</v>
      </c>
      <c r="H32" s="1036"/>
      <c r="I32" s="1050"/>
      <c r="J32" s="1045"/>
      <c r="K32" s="1038"/>
      <c r="L32" s="1045"/>
      <c r="M32" s="1036"/>
      <c r="N32" s="1036"/>
      <c r="O32" s="1053"/>
      <c r="P32" s="1036"/>
      <c r="Q32" s="1036"/>
    </row>
    <row r="33" spans="1:21">
      <c r="A33" s="1044">
        <f t="shared" si="4"/>
        <v>40878</v>
      </c>
      <c r="B33" s="1058">
        <v>-471.68831208820848</v>
      </c>
      <c r="C33" s="1046">
        <f t="shared" si="5"/>
        <v>-207.39501329077544</v>
      </c>
      <c r="D33" s="1045">
        <f t="shared" si="6"/>
        <v>-264.29329879743307</v>
      </c>
      <c r="E33" s="1047">
        <v>5.858E-2</v>
      </c>
      <c r="F33" s="1073">
        <v>9.264E-2</v>
      </c>
      <c r="G33" s="1067">
        <f t="shared" si="3"/>
        <v>-36.633330000000001</v>
      </c>
      <c r="H33" s="1036"/>
      <c r="I33" s="1050"/>
      <c r="J33" s="1045"/>
      <c r="K33" s="1038"/>
      <c r="L33" s="1045"/>
      <c r="M33" s="1036"/>
      <c r="N33" s="1036"/>
      <c r="O33" s="1053"/>
      <c r="P33" s="1036"/>
      <c r="Q33" s="1036"/>
    </row>
    <row r="34" spans="1:21">
      <c r="A34" s="1044">
        <f t="shared" si="4"/>
        <v>40909</v>
      </c>
      <c r="B34" s="1045">
        <v>-432.28684061889902</v>
      </c>
      <c r="C34" s="1046">
        <f t="shared" si="5"/>
        <v>-190.0707156780642</v>
      </c>
      <c r="D34" s="1045">
        <f t="shared" si="6"/>
        <v>-242.21612494083482</v>
      </c>
      <c r="E34" s="1047">
        <v>5.858E-2</v>
      </c>
      <c r="F34" s="1048">
        <v>9.264E-2</v>
      </c>
      <c r="G34" s="1049">
        <f t="shared" si="3"/>
        <v>-33.573239999999998</v>
      </c>
      <c r="H34" s="1044"/>
      <c r="I34" s="1050"/>
      <c r="J34" s="1045"/>
      <c r="K34" s="1038"/>
      <c r="L34" s="1038"/>
      <c r="M34" s="1036"/>
      <c r="N34" s="1036"/>
      <c r="O34" s="1053"/>
      <c r="P34" s="1036"/>
      <c r="Q34" s="1036"/>
    </row>
    <row r="35" spans="1:21">
      <c r="A35" s="1044">
        <f t="shared" si="4"/>
        <v>40940</v>
      </c>
      <c r="B35" s="1045">
        <v>284.05774309682488</v>
      </c>
      <c r="C35" s="1046">
        <f t="shared" si="5"/>
        <v>124.89637308184298</v>
      </c>
      <c r="D35" s="1045">
        <f t="shared" si="6"/>
        <v>159.16137001498188</v>
      </c>
      <c r="E35" s="1047">
        <v>5.858E-2</v>
      </c>
      <c r="F35" s="1048">
        <v>9.264E-2</v>
      </c>
      <c r="G35" s="1049">
        <f>ROUND((C35*E35+D35*F35)*1000,2)/1000</f>
        <v>22.061139999999998</v>
      </c>
      <c r="H35" s="1036"/>
      <c r="I35" s="1050"/>
      <c r="J35" s="1045"/>
      <c r="K35" s="1038"/>
      <c r="L35" s="1038"/>
      <c r="M35" s="1036"/>
      <c r="N35" s="1036"/>
      <c r="O35" s="1053"/>
      <c r="P35" s="1036"/>
      <c r="Q35" s="1036"/>
    </row>
    <row r="36" spans="1:21">
      <c r="A36" s="1044">
        <f t="shared" si="4"/>
        <v>40969</v>
      </c>
      <c r="B36" s="1045">
        <v>-22.353270504559237</v>
      </c>
      <c r="C36" s="1046">
        <f t="shared" si="5"/>
        <v>-9.8284327056177112</v>
      </c>
      <c r="D36" s="1045">
        <f t="shared" si="6"/>
        <v>-12.524837798941526</v>
      </c>
      <c r="E36" s="1047">
        <v>5.858E-2</v>
      </c>
      <c r="F36" s="1048">
        <v>9.264E-2</v>
      </c>
      <c r="G36" s="1049">
        <f>ROUND((C36*E36+D36*F36)*1000,2)/1000</f>
        <v>-1.7360499999999999</v>
      </c>
      <c r="H36" s="1036"/>
      <c r="I36" s="1050"/>
      <c r="J36" s="1045"/>
      <c r="K36" s="1038"/>
      <c r="L36" s="1038"/>
      <c r="M36" s="1036"/>
      <c r="N36" s="1036"/>
      <c r="O36" s="1053"/>
      <c r="P36" s="1036"/>
      <c r="Q36" s="1036"/>
    </row>
    <row r="37" spans="1:21">
      <c r="A37" s="1044">
        <f t="shared" si="4"/>
        <v>41000</v>
      </c>
      <c r="B37" s="1045">
        <v>270.2380642773706</v>
      </c>
      <c r="C37" s="1046">
        <f t="shared" si="5"/>
        <v>118.82004598408996</v>
      </c>
      <c r="D37" s="1045">
        <f t="shared" si="6"/>
        <v>151.41801829328065</v>
      </c>
      <c r="E37" s="1047">
        <v>5.858E-2</v>
      </c>
      <c r="F37" s="1048">
        <v>9.264E-2</v>
      </c>
      <c r="G37" s="1049">
        <f>ROUND((C37*E37+D37*F37)*1000,2)/1000</f>
        <v>20.987839999999998</v>
      </c>
      <c r="H37" s="1044"/>
      <c r="I37" s="1050"/>
      <c r="J37" s="1045"/>
      <c r="K37" s="1038"/>
      <c r="L37" s="1038"/>
      <c r="M37" s="1036"/>
      <c r="N37" s="1036"/>
      <c r="O37" s="1053"/>
      <c r="P37" s="1036"/>
      <c r="Q37" s="1036"/>
    </row>
    <row r="38" spans="1:21">
      <c r="A38" s="1044">
        <f t="shared" si="4"/>
        <v>41030</v>
      </c>
      <c r="B38" s="1045">
        <v>74.872895686884448</v>
      </c>
      <c r="C38" s="1046">
        <f t="shared" si="5"/>
        <v>32.92060625236855</v>
      </c>
      <c r="D38" s="1045">
        <f t="shared" si="6"/>
        <v>41.952289434515897</v>
      </c>
      <c r="E38" s="1047">
        <v>5.858E-2</v>
      </c>
      <c r="F38" s="1048">
        <v>9.264E-2</v>
      </c>
      <c r="G38" s="1049">
        <f>ROUND((C38*E38+D38*F38)*1000,2)/1000</f>
        <v>5.8149499999999996</v>
      </c>
      <c r="H38" s="1044"/>
      <c r="I38" s="1050"/>
      <c r="J38" s="1045"/>
      <c r="K38" s="1038"/>
      <c r="L38" s="1038"/>
      <c r="M38" s="1036"/>
      <c r="N38" s="1036"/>
      <c r="O38" s="1053"/>
      <c r="P38" s="1036"/>
      <c r="Q38" s="1036"/>
    </row>
    <row r="39" spans="1:21">
      <c r="A39" s="1044">
        <f t="shared" si="4"/>
        <v>41061</v>
      </c>
      <c r="B39" s="1060">
        <v>-5.9532758977904532</v>
      </c>
      <c r="C39" s="1061">
        <f t="shared" si="5"/>
        <v>-2.6175754249238463</v>
      </c>
      <c r="D39" s="1074">
        <f t="shared" si="6"/>
        <v>-3.3357004728666069</v>
      </c>
      <c r="E39" s="1062">
        <v>5.9490000000000001E-2</v>
      </c>
      <c r="F39" s="1063">
        <v>9.4159999999999994E-2</v>
      </c>
      <c r="G39" s="1064">
        <f>ROUND((C39*E39+D39*F39)*1000,2)/1000</f>
        <v>-0.46981000000000001</v>
      </c>
      <c r="H39" s="1036"/>
      <c r="I39" s="1050"/>
      <c r="J39" s="1045"/>
      <c r="K39" s="1038"/>
      <c r="L39" s="1038"/>
      <c r="M39" s="1036"/>
      <c r="N39" s="1036"/>
      <c r="O39" s="1036"/>
      <c r="P39" s="1036"/>
      <c r="Q39" s="1036"/>
    </row>
    <row r="40" spans="1:21">
      <c r="A40" s="1036" t="s">
        <v>9</v>
      </c>
      <c r="B40" s="1053">
        <f>SUM(B28:B39)</f>
        <v>-71.318653570129399</v>
      </c>
      <c r="C40" s="1046">
        <f>SUM(C28:C39)</f>
        <v>-31.357853747902833</v>
      </c>
      <c r="D40" s="1053">
        <f>SUM(D28:D39)</f>
        <v>-39.960799822226555</v>
      </c>
      <c r="E40" s="1065" t="s">
        <v>31</v>
      </c>
      <c r="F40" s="1032" t="s">
        <v>31</v>
      </c>
      <c r="G40" s="1066">
        <f>SUM(G28:G39)</f>
        <v>-5.5463600000000044</v>
      </c>
      <c r="H40" s="1067"/>
      <c r="I40" s="1038"/>
      <c r="J40" s="1045"/>
      <c r="K40" s="1038"/>
      <c r="L40" s="1068"/>
      <c r="M40" s="1036"/>
      <c r="N40" s="1036"/>
      <c r="O40" s="1053"/>
      <c r="P40" s="1036"/>
      <c r="Q40" s="1069"/>
    </row>
    <row r="41" spans="1:21">
      <c r="A41" s="1036"/>
      <c r="B41" s="1053"/>
      <c r="C41" s="1046"/>
      <c r="D41" s="1053"/>
      <c r="E41" s="1065"/>
      <c r="G41" s="1066"/>
      <c r="H41" s="1067"/>
      <c r="I41" s="1038"/>
      <c r="J41" s="1045"/>
      <c r="K41" s="1038"/>
      <c r="L41" s="1068"/>
      <c r="M41" s="1036"/>
      <c r="N41" s="1036"/>
      <c r="O41" s="1053"/>
      <c r="P41" s="1036"/>
      <c r="Q41" s="1069"/>
    </row>
    <row r="42" spans="1:21">
      <c r="A42" s="1036"/>
      <c r="B42" s="1053"/>
      <c r="C42" s="1046"/>
      <c r="D42" s="1053"/>
      <c r="E42" s="1065"/>
      <c r="G42" s="1066"/>
      <c r="H42" s="1067"/>
      <c r="I42" s="1038"/>
      <c r="J42" s="1045"/>
      <c r="K42" s="1038"/>
      <c r="L42" s="1068"/>
      <c r="M42" s="1036"/>
      <c r="N42" s="1036"/>
      <c r="O42" s="1053"/>
      <c r="P42" s="1036"/>
      <c r="Q42" s="1069"/>
    </row>
    <row r="43" spans="1:21">
      <c r="A43" s="1030" t="s">
        <v>244</v>
      </c>
      <c r="B43" s="1033" t="s">
        <v>12</v>
      </c>
      <c r="C43" s="1034" t="s">
        <v>207</v>
      </c>
      <c r="D43" s="1033" t="s">
        <v>207</v>
      </c>
      <c r="E43" s="1034"/>
      <c r="F43" s="1033"/>
      <c r="G43" s="1034" t="s">
        <v>1</v>
      </c>
      <c r="H43" s="1035"/>
      <c r="I43" s="1035"/>
      <c r="J43" s="1036"/>
      <c r="K43" s="1037"/>
      <c r="L43" s="1037"/>
      <c r="M43" s="1037"/>
      <c r="N43" s="1037"/>
      <c r="O43" s="1036"/>
      <c r="P43" s="1035"/>
      <c r="Q43" s="1035"/>
      <c r="R43" s="1035"/>
      <c r="S43" s="1035"/>
    </row>
    <row r="44" spans="1:21">
      <c r="A44" s="1032" t="s">
        <v>17</v>
      </c>
      <c r="B44" s="1033" t="s">
        <v>16</v>
      </c>
      <c r="C44" s="1034" t="s">
        <v>208</v>
      </c>
      <c r="D44" s="1033" t="s">
        <v>209</v>
      </c>
      <c r="E44" s="1034" t="s">
        <v>208</v>
      </c>
      <c r="F44" s="1033" t="s">
        <v>209</v>
      </c>
      <c r="G44" s="1034" t="s">
        <v>26</v>
      </c>
      <c r="H44" s="1036"/>
      <c r="K44" s="1035" t="s">
        <v>210</v>
      </c>
      <c r="L44" s="1035"/>
      <c r="M44" s="1038"/>
      <c r="N44" s="1038"/>
      <c r="O44" s="1038"/>
      <c r="P44" s="1039"/>
      <c r="Q44" s="1036"/>
      <c r="R44" s="1036"/>
      <c r="S44" s="1036"/>
      <c r="T44" s="1036"/>
      <c r="U44" s="1036"/>
    </row>
    <row r="45" spans="1:21">
      <c r="A45" s="1033" t="s">
        <v>24</v>
      </c>
      <c r="B45" s="1040" t="s">
        <v>23</v>
      </c>
      <c r="C45" s="1041" t="s">
        <v>23</v>
      </c>
      <c r="D45" s="1040" t="s">
        <v>23</v>
      </c>
      <c r="E45" s="1041" t="s">
        <v>38</v>
      </c>
      <c r="F45" s="1040" t="s">
        <v>38</v>
      </c>
      <c r="G45" s="1042" t="s">
        <v>200</v>
      </c>
      <c r="H45" s="1036"/>
      <c r="K45" s="1043" t="str">
        <f>K27</f>
        <v>June 12 Blocking</v>
      </c>
      <c r="L45" s="1043"/>
      <c r="M45" s="1036"/>
      <c r="N45" s="1036"/>
      <c r="O45" s="1036"/>
      <c r="P45" s="1036"/>
      <c r="Q45" s="1036"/>
    </row>
    <row r="46" spans="1:21">
      <c r="A46" s="1044">
        <f>A10</f>
        <v>40725</v>
      </c>
      <c r="B46" s="1045">
        <v>12.725364037022668</v>
      </c>
      <c r="C46" s="1046">
        <f>$B46*$L$46/$L$48</f>
        <v>3.3841737274925991</v>
      </c>
      <c r="D46" s="1053">
        <f>$B46*$L$47/$L$48</f>
        <v>9.3411903095300701</v>
      </c>
      <c r="E46" s="1047">
        <v>5.858E-2</v>
      </c>
      <c r="F46" s="1048">
        <v>9.264E-2</v>
      </c>
      <c r="G46" s="1049">
        <f>ROUND((C46*E46+D46*F46)*1000,2)/1000</f>
        <v>1.0636099999999999</v>
      </c>
      <c r="H46" s="1036"/>
      <c r="K46" s="1051" t="s">
        <v>211</v>
      </c>
      <c r="L46" s="1052">
        <f>574494+130149</f>
        <v>704643</v>
      </c>
      <c r="M46" s="1036"/>
      <c r="N46" s="1036"/>
      <c r="O46" s="1053"/>
      <c r="P46" s="1036"/>
      <c r="Q46" s="1036"/>
    </row>
    <row r="47" spans="1:21">
      <c r="A47" s="1044">
        <f t="shared" ref="A47:A57" si="7">A11</f>
        <v>40756</v>
      </c>
      <c r="B47" s="1045">
        <v>-11.571942389743187</v>
      </c>
      <c r="C47" s="1046">
        <f t="shared" ref="C47:C57" si="8">$B47*$L$46/$L$48</f>
        <v>-3.0774336433513425</v>
      </c>
      <c r="D47" s="1053">
        <f t="shared" ref="D47:D57" si="9">$B47*$L$47/$L$48</f>
        <v>-8.4945087463918441</v>
      </c>
      <c r="E47" s="1047">
        <v>5.858E-2</v>
      </c>
      <c r="F47" s="1048">
        <v>9.264E-2</v>
      </c>
      <c r="G47" s="1049">
        <f t="shared" ref="G47:G57" si="10">ROUND((C47*E47+D47*F47)*1000,2)/1000</f>
        <v>-0.96721000000000001</v>
      </c>
      <c r="H47" s="1036"/>
      <c r="K47" s="1054" t="s">
        <v>212</v>
      </c>
      <c r="L47" s="1055">
        <f>1641760+303236</f>
        <v>1944996</v>
      </c>
      <c r="M47" s="1036"/>
      <c r="N47" s="1036"/>
      <c r="O47" s="1053"/>
      <c r="P47" s="1036"/>
      <c r="Q47" s="1036"/>
    </row>
    <row r="48" spans="1:21">
      <c r="A48" s="1044">
        <f t="shared" si="7"/>
        <v>40787</v>
      </c>
      <c r="B48" s="1045">
        <v>-3.0397115889364597</v>
      </c>
      <c r="C48" s="1046">
        <f t="shared" si="8"/>
        <v>-0.80837861050616844</v>
      </c>
      <c r="D48" s="1053">
        <f t="shared" si="9"/>
        <v>-2.2313329784302911</v>
      </c>
      <c r="E48" s="1047">
        <v>5.858E-2</v>
      </c>
      <c r="F48" s="1048">
        <v>9.264E-2</v>
      </c>
      <c r="G48" s="1049">
        <f t="shared" si="10"/>
        <v>-0.25407000000000002</v>
      </c>
      <c r="H48" s="1036"/>
      <c r="K48" s="1056" t="s">
        <v>9</v>
      </c>
      <c r="L48" s="1045">
        <f>SUM(L46:L47)</f>
        <v>2649639</v>
      </c>
      <c r="M48" s="1036"/>
      <c r="N48" s="1036"/>
      <c r="O48" s="1053"/>
      <c r="P48" s="1036"/>
      <c r="Q48" s="1036"/>
    </row>
    <row r="49" spans="1:35">
      <c r="A49" s="1044">
        <f t="shared" si="7"/>
        <v>40817</v>
      </c>
      <c r="B49" s="1045">
        <v>6.7579732783006552</v>
      </c>
      <c r="C49" s="1046">
        <f t="shared" si="8"/>
        <v>1.79721032364847</v>
      </c>
      <c r="D49" s="1053">
        <f t="shared" si="9"/>
        <v>4.9607629546521856</v>
      </c>
      <c r="E49" s="1071">
        <v>5.858E-2</v>
      </c>
      <c r="F49" s="1072">
        <v>9.264E-2</v>
      </c>
      <c r="G49" s="1049">
        <f t="shared" si="10"/>
        <v>0.56485000000000007</v>
      </c>
      <c r="H49" s="1036"/>
      <c r="I49" s="1056"/>
      <c r="J49" s="1045"/>
      <c r="K49" s="1038"/>
      <c r="L49" s="1038"/>
      <c r="M49" s="1036"/>
      <c r="N49" s="1036"/>
      <c r="O49" s="1053"/>
      <c r="P49" s="1036"/>
      <c r="Q49" s="1036"/>
    </row>
    <row r="50" spans="1:35">
      <c r="A50" s="1044">
        <f t="shared" si="7"/>
        <v>40848</v>
      </c>
      <c r="B50" s="1045">
        <v>-3.5346937938704635</v>
      </c>
      <c r="C50" s="1046">
        <f t="shared" si="8"/>
        <v>-0.94001380527470535</v>
      </c>
      <c r="D50" s="1053">
        <f t="shared" si="9"/>
        <v>-2.5946799885957583</v>
      </c>
      <c r="E50" s="1047">
        <v>5.858E-2</v>
      </c>
      <c r="F50" s="1048">
        <v>9.264E-2</v>
      </c>
      <c r="G50" s="1049">
        <f t="shared" si="10"/>
        <v>-0.29543999999999998</v>
      </c>
      <c r="H50" s="1036"/>
      <c r="I50" s="1056"/>
      <c r="J50" s="1045"/>
      <c r="K50" s="1038"/>
      <c r="L50" s="1045"/>
      <c r="M50" s="1036"/>
      <c r="N50" s="1036"/>
      <c r="O50" s="1053"/>
      <c r="P50" s="1036"/>
      <c r="Q50" s="1036"/>
    </row>
    <row r="51" spans="1:35">
      <c r="A51" s="1044">
        <f t="shared" si="7"/>
        <v>40878</v>
      </c>
      <c r="B51" s="1058">
        <v>-12.23360755136718</v>
      </c>
      <c r="C51" s="1046">
        <f t="shared" si="8"/>
        <v>-3.2533963780794379</v>
      </c>
      <c r="D51" s="1053">
        <f t="shared" si="9"/>
        <v>-8.9802111732877421</v>
      </c>
      <c r="E51" s="1047">
        <v>5.858E-2</v>
      </c>
      <c r="F51" s="1048">
        <v>9.264E-2</v>
      </c>
      <c r="G51" s="1049">
        <f t="shared" si="10"/>
        <v>-1.02251</v>
      </c>
      <c r="H51" s="1036"/>
      <c r="I51" s="1056"/>
      <c r="J51" s="1045"/>
      <c r="K51" s="1038"/>
      <c r="L51" s="1045"/>
      <c r="M51" s="1036"/>
      <c r="N51" s="1036"/>
      <c r="O51" s="1053"/>
      <c r="P51" s="1036"/>
      <c r="Q51" s="1036"/>
    </row>
    <row r="52" spans="1:35">
      <c r="A52" s="1044">
        <f t="shared" si="7"/>
        <v>40909</v>
      </c>
      <c r="B52" s="1045">
        <v>-10.457856515235225</v>
      </c>
      <c r="C52" s="1046">
        <f t="shared" si="8"/>
        <v>-2.7811544849939538</v>
      </c>
      <c r="D52" s="1053">
        <f t="shared" si="9"/>
        <v>-7.6767020302412714</v>
      </c>
      <c r="E52" s="1047">
        <v>5.858E-2</v>
      </c>
      <c r="F52" s="1048">
        <v>9.264E-2</v>
      </c>
      <c r="G52" s="1049">
        <f t="shared" si="10"/>
        <v>-0.87409000000000003</v>
      </c>
      <c r="H52" s="1036"/>
      <c r="I52" s="1056"/>
      <c r="J52" s="1045"/>
      <c r="K52" s="1038"/>
      <c r="L52" s="1038"/>
      <c r="M52" s="1036"/>
      <c r="N52" s="1036"/>
      <c r="O52" s="1053"/>
      <c r="P52" s="1036"/>
      <c r="Q52" s="1036"/>
    </row>
    <row r="53" spans="1:35">
      <c r="A53" s="1044">
        <f t="shared" si="7"/>
        <v>40940</v>
      </c>
      <c r="B53" s="1045">
        <v>6.6507574728670864</v>
      </c>
      <c r="C53" s="1046">
        <f t="shared" si="8"/>
        <v>1.7686974331044651</v>
      </c>
      <c r="D53" s="1053">
        <f t="shared" si="9"/>
        <v>4.8820600397626208</v>
      </c>
      <c r="E53" s="1047">
        <v>5.858E-2</v>
      </c>
      <c r="F53" s="1048">
        <v>9.264E-2</v>
      </c>
      <c r="G53" s="1049">
        <f t="shared" si="10"/>
        <v>0.55588000000000004</v>
      </c>
      <c r="H53" s="1036"/>
      <c r="I53" s="1056"/>
      <c r="J53" s="1045"/>
      <c r="K53" s="1038"/>
      <c r="L53" s="1038"/>
      <c r="M53" s="1036"/>
      <c r="N53" s="1036"/>
      <c r="O53" s="1053"/>
      <c r="P53" s="1036"/>
      <c r="Q53" s="1036"/>
    </row>
    <row r="54" spans="1:35">
      <c r="A54" s="1044">
        <f t="shared" si="7"/>
        <v>40969</v>
      </c>
      <c r="B54" s="1045">
        <v>-0.49585726049022527</v>
      </c>
      <c r="C54" s="1046">
        <f t="shared" si="8"/>
        <v>-0.13186790638408244</v>
      </c>
      <c r="D54" s="1053">
        <f t="shared" si="9"/>
        <v>-0.36398935410614286</v>
      </c>
      <c r="E54" s="1047">
        <v>5.858E-2</v>
      </c>
      <c r="F54" s="1048">
        <v>9.264E-2</v>
      </c>
      <c r="G54" s="1049">
        <f t="shared" si="10"/>
        <v>-4.1439999999999998E-2</v>
      </c>
      <c r="H54" s="1036"/>
      <c r="I54" s="1056"/>
      <c r="J54" s="1045"/>
      <c r="K54" s="1038"/>
      <c r="L54" s="1038"/>
      <c r="M54" s="1036"/>
      <c r="N54" s="1036"/>
      <c r="O54" s="1053"/>
      <c r="P54" s="1036"/>
      <c r="Q54" s="1036"/>
    </row>
    <row r="55" spans="1:35">
      <c r="A55" s="1044">
        <f t="shared" si="7"/>
        <v>41000</v>
      </c>
      <c r="B55" s="1045">
        <v>5.3004423539660355</v>
      </c>
      <c r="C55" s="1046">
        <f t="shared" si="8"/>
        <v>1.4095956474167572</v>
      </c>
      <c r="D55" s="1053">
        <f t="shared" si="9"/>
        <v>3.8908467065492784</v>
      </c>
      <c r="E55" s="1047">
        <v>5.858E-2</v>
      </c>
      <c r="F55" s="1048">
        <v>9.264E-2</v>
      </c>
      <c r="G55" s="1049">
        <f t="shared" si="10"/>
        <v>0.44301999999999997</v>
      </c>
      <c r="H55" s="1036"/>
      <c r="I55" s="1056"/>
      <c r="J55" s="1045"/>
      <c r="K55" s="1038"/>
      <c r="L55" s="1038"/>
      <c r="M55" s="1036"/>
      <c r="N55" s="1036"/>
      <c r="O55" s="1053"/>
      <c r="P55" s="1036"/>
      <c r="Q55" s="1036"/>
    </row>
    <row r="56" spans="1:35">
      <c r="A56" s="1044">
        <f t="shared" si="7"/>
        <v>41030</v>
      </c>
      <c r="B56" s="1045">
        <v>2.0625816155680075</v>
      </c>
      <c r="C56" s="1046">
        <f t="shared" si="8"/>
        <v>0.54852140134512195</v>
      </c>
      <c r="D56" s="1053">
        <f t="shared" si="9"/>
        <v>1.5140602142228856</v>
      </c>
      <c r="E56" s="1047">
        <v>5.858E-2</v>
      </c>
      <c r="F56" s="1048">
        <v>9.264E-2</v>
      </c>
      <c r="G56" s="1049">
        <f t="shared" si="10"/>
        <v>0.17238999999999999</v>
      </c>
      <c r="H56" s="1036"/>
      <c r="I56" s="1056"/>
      <c r="J56" s="1045"/>
      <c r="K56" s="1038"/>
      <c r="L56" s="1038"/>
      <c r="M56" s="1036"/>
      <c r="N56" s="1036"/>
      <c r="O56" s="1053"/>
      <c r="P56" s="1036"/>
      <c r="Q56" s="1036"/>
    </row>
    <row r="57" spans="1:35">
      <c r="A57" s="1044">
        <f t="shared" si="7"/>
        <v>41061</v>
      </c>
      <c r="B57" s="1060">
        <v>4.6860851230058715</v>
      </c>
      <c r="C57" s="1061">
        <f t="shared" si="8"/>
        <v>1.2462139481379262</v>
      </c>
      <c r="D57" s="1074">
        <f t="shared" si="9"/>
        <v>3.4398711748679451</v>
      </c>
      <c r="E57" s="1062">
        <v>5.9490000000000001E-2</v>
      </c>
      <c r="F57" s="1063">
        <v>9.4159999999999994E-2</v>
      </c>
      <c r="G57" s="1075">
        <f t="shared" si="10"/>
        <v>0.39804</v>
      </c>
      <c r="H57" s="1036"/>
      <c r="I57" s="1056"/>
      <c r="J57" s="1045"/>
      <c r="K57" s="1038"/>
      <c r="L57" s="1038"/>
      <c r="M57" s="1036"/>
      <c r="N57" s="1036"/>
      <c r="O57" s="1036"/>
      <c r="P57" s="1036"/>
      <c r="Q57" s="1036"/>
    </row>
    <row r="58" spans="1:35">
      <c r="A58" s="1036" t="s">
        <v>9</v>
      </c>
      <c r="B58" s="1053">
        <f>SUM(B46:B57)</f>
        <v>-3.1504652189124149</v>
      </c>
      <c r="C58" s="1046">
        <f>SUM(C46:C57)</f>
        <v>-0.83783234744435098</v>
      </c>
      <c r="D58" s="1123">
        <f>SUM(D46:D57)</f>
        <v>-2.3126328714680646</v>
      </c>
      <c r="E58" s="1065" t="s">
        <v>31</v>
      </c>
      <c r="F58" s="1032" t="s">
        <v>31</v>
      </c>
      <c r="G58" s="1066">
        <f>SUM(G46:G57)</f>
        <v>-0.25696999999999987</v>
      </c>
      <c r="H58" s="1067"/>
      <c r="I58" s="1038"/>
      <c r="J58" s="1045"/>
      <c r="K58" s="1038"/>
      <c r="L58" s="1068"/>
      <c r="M58" s="1036"/>
      <c r="N58" s="1036"/>
      <c r="O58" s="1053"/>
      <c r="P58" s="1036"/>
      <c r="Q58" s="1069"/>
    </row>
    <row r="59" spans="1:35">
      <c r="A59" s="1036"/>
      <c r="B59" s="1053"/>
      <c r="C59" s="1053"/>
      <c r="D59" s="1053"/>
      <c r="E59" s="1053"/>
      <c r="F59" s="1053"/>
      <c r="G59" s="1053"/>
      <c r="H59" s="1053"/>
      <c r="I59" s="1053"/>
      <c r="J59" s="1053"/>
      <c r="L59" s="1070"/>
      <c r="M59" s="1036"/>
      <c r="N59" s="1038"/>
      <c r="O59" s="1045"/>
      <c r="P59" s="1038"/>
      <c r="Q59" s="1068"/>
      <c r="R59" s="1036"/>
      <c r="S59" s="1036"/>
      <c r="T59" s="1053"/>
      <c r="U59" s="1036"/>
      <c r="V59" s="1069"/>
    </row>
    <row r="60" spans="1:35">
      <c r="A60" s="1030" t="s">
        <v>67</v>
      </c>
      <c r="B60" s="1033" t="s">
        <v>12</v>
      </c>
      <c r="C60" s="1076" t="s">
        <v>207</v>
      </c>
      <c r="D60" s="1033" t="s">
        <v>207</v>
      </c>
      <c r="E60" s="1033" t="s">
        <v>207</v>
      </c>
      <c r="F60" s="1076"/>
      <c r="G60" s="1033"/>
      <c r="H60" s="1033"/>
      <c r="I60" s="1034" t="s">
        <v>1</v>
      </c>
      <c r="J60" s="1053"/>
      <c r="L60" s="1070"/>
      <c r="M60" s="1070"/>
      <c r="N60" s="1030" t="s">
        <v>67</v>
      </c>
      <c r="O60" s="1033" t="s">
        <v>12</v>
      </c>
      <c r="P60" s="1076" t="s">
        <v>207</v>
      </c>
      <c r="Q60" s="1033" t="s">
        <v>207</v>
      </c>
      <c r="R60" s="1033" t="s">
        <v>207</v>
      </c>
      <c r="S60" s="1076"/>
      <c r="T60" s="1033"/>
      <c r="U60" s="1033"/>
      <c r="V60" s="1034" t="s">
        <v>1</v>
      </c>
      <c r="W60" s="1053"/>
      <c r="Y60" s="1070"/>
      <c r="Z60" s="1036"/>
      <c r="AA60" s="1038"/>
      <c r="AB60" s="1045"/>
      <c r="AC60" s="1038"/>
      <c r="AD60" s="1068"/>
      <c r="AE60" s="1036"/>
      <c r="AF60" s="1036"/>
      <c r="AG60" s="1053"/>
      <c r="AH60" s="1036"/>
      <c r="AI60" s="1069"/>
    </row>
    <row r="61" spans="1:35">
      <c r="A61" s="1032" t="s">
        <v>18</v>
      </c>
      <c r="B61" s="1033" t="s">
        <v>16</v>
      </c>
      <c r="C61" s="1076" t="s">
        <v>208</v>
      </c>
      <c r="D61" s="1033" t="s">
        <v>209</v>
      </c>
      <c r="E61" s="1033" t="s">
        <v>213</v>
      </c>
      <c r="F61" s="1076" t="s">
        <v>208</v>
      </c>
      <c r="G61" s="1033" t="s">
        <v>209</v>
      </c>
      <c r="H61" s="1033" t="s">
        <v>213</v>
      </c>
      <c r="I61" s="1034" t="s">
        <v>26</v>
      </c>
      <c r="J61" s="1053"/>
      <c r="K61" s="1035" t="s">
        <v>210</v>
      </c>
      <c r="L61" s="1035"/>
      <c r="M61" s="1035"/>
      <c r="N61" s="1032" t="s">
        <v>17</v>
      </c>
      <c r="O61" s="1033" t="s">
        <v>16</v>
      </c>
      <c r="P61" s="1076" t="s">
        <v>208</v>
      </c>
      <c r="Q61" s="1033" t="s">
        <v>209</v>
      </c>
      <c r="R61" s="1033" t="s">
        <v>213</v>
      </c>
      <c r="S61" s="1076" t="s">
        <v>208</v>
      </c>
      <c r="T61" s="1033" t="s">
        <v>209</v>
      </c>
      <c r="U61" s="1033" t="s">
        <v>213</v>
      </c>
      <c r="V61" s="1034" t="s">
        <v>26</v>
      </c>
      <c r="W61" s="1053"/>
      <c r="X61" s="1035" t="s">
        <v>210</v>
      </c>
      <c r="Y61" s="1035"/>
      <c r="Z61" s="1036"/>
      <c r="AA61" s="1038"/>
      <c r="AB61" s="1045"/>
      <c r="AC61" s="1038"/>
      <c r="AD61" s="1068"/>
      <c r="AE61" s="1036"/>
      <c r="AF61" s="1036"/>
      <c r="AG61" s="1053"/>
      <c r="AH61" s="1036"/>
      <c r="AI61" s="1069"/>
    </row>
    <row r="62" spans="1:35">
      <c r="A62" s="1033" t="s">
        <v>24</v>
      </c>
      <c r="B62" s="1077" t="s">
        <v>23</v>
      </c>
      <c r="C62" s="1078" t="s">
        <v>23</v>
      </c>
      <c r="D62" s="1077" t="s">
        <v>23</v>
      </c>
      <c r="E62" s="1077" t="s">
        <v>23</v>
      </c>
      <c r="F62" s="1078" t="s">
        <v>38</v>
      </c>
      <c r="G62" s="1077" t="s">
        <v>38</v>
      </c>
      <c r="H62" s="1077" t="s">
        <v>38</v>
      </c>
      <c r="I62" s="1042" t="s">
        <v>200</v>
      </c>
      <c r="J62" s="1053"/>
      <c r="K62" s="1043" t="str">
        <f>K45</f>
        <v>June 12 Blocking</v>
      </c>
      <c r="L62" s="1043"/>
      <c r="M62" s="1037"/>
      <c r="N62" s="1033" t="s">
        <v>24</v>
      </c>
      <c r="O62" s="1077" t="s">
        <v>23</v>
      </c>
      <c r="P62" s="1078" t="s">
        <v>23</v>
      </c>
      <c r="Q62" s="1077" t="s">
        <v>23</v>
      </c>
      <c r="R62" s="1077" t="s">
        <v>23</v>
      </c>
      <c r="S62" s="1078" t="s">
        <v>38</v>
      </c>
      <c r="T62" s="1077" t="s">
        <v>38</v>
      </c>
      <c r="U62" s="1077" t="s">
        <v>38</v>
      </c>
      <c r="V62" s="1042" t="s">
        <v>200</v>
      </c>
      <c r="W62" s="1053"/>
      <c r="X62" s="1043" t="str">
        <f>K62</f>
        <v>June 12 Blocking</v>
      </c>
      <c r="Y62" s="1043"/>
      <c r="Z62" s="1036"/>
      <c r="AA62" s="1038"/>
      <c r="AB62" s="1045"/>
      <c r="AC62" s="1038"/>
      <c r="AD62" s="1068"/>
      <c r="AE62" s="1036"/>
      <c r="AF62" s="1036"/>
      <c r="AG62" s="1053"/>
      <c r="AH62" s="1036"/>
      <c r="AI62" s="1069"/>
    </row>
    <row r="63" spans="1:35">
      <c r="A63" s="1044">
        <f>A46</f>
        <v>40725</v>
      </c>
      <c r="B63" s="1053">
        <f>'Temp. Adjustments'!F5*($L$66/($L$66+$Y$66))</f>
        <v>3275.1279349142983</v>
      </c>
      <c r="C63" s="1079">
        <f>$B63*$L$63/$L$66</f>
        <v>797.53149248914792</v>
      </c>
      <c r="D63" s="1053">
        <f>$B63*$L$64/$L$66</f>
        <v>1744.727423602048</v>
      </c>
      <c r="E63" s="1053">
        <f>$B63*$L$65/$L$66</f>
        <v>732.86901882310224</v>
      </c>
      <c r="F63" s="1047">
        <v>9.6240000000000006E-2</v>
      </c>
      <c r="G63" s="1072">
        <v>6.6449999999999995E-2</v>
      </c>
      <c r="H63" s="1073">
        <v>5.7250000000000002E-2</v>
      </c>
      <c r="I63" s="1059">
        <f>ROUND((C63*F63+D63*G63+E63*H63)*1000,2)/1000</f>
        <v>234.64832000000001</v>
      </c>
      <c r="J63" s="1053"/>
      <c r="K63" s="1051" t="s">
        <v>211</v>
      </c>
      <c r="L63" s="1052">
        <v>127352260.99999854</v>
      </c>
      <c r="M63" s="1045"/>
      <c r="N63" s="1044">
        <f>A10</f>
        <v>40725</v>
      </c>
      <c r="O63" s="1053">
        <f>'Temp. Adjustments'!F5*(Temperature!$Y$66/(Temperature!$L$66+Temperature!$Y$66))</f>
        <v>6.4003161358615639</v>
      </c>
      <c r="P63" s="1079">
        <f>$O63*$Y$63/$Y$66</f>
        <v>5.0784872568138217</v>
      </c>
      <c r="Q63" s="1053">
        <f t="shared" ref="Q63:Q74" si="11">$O63*$Y$64/$Y$66</f>
        <v>1.3218288790477426</v>
      </c>
      <c r="R63" s="1053">
        <f>$O63*$Y$65/$Y$66</f>
        <v>0</v>
      </c>
      <c r="S63" s="1047">
        <v>9.6240000000000006E-2</v>
      </c>
      <c r="T63" s="1072">
        <v>6.6449999999999995E-2</v>
      </c>
      <c r="U63" s="1073">
        <v>5.7250000000000002E-2</v>
      </c>
      <c r="V63" s="1059">
        <f>ROUND((P63*S63+Q63*T63+R63*U63)*1000,2)/1000</f>
        <v>0.57659000000000005</v>
      </c>
      <c r="W63" s="1053"/>
      <c r="X63" s="1051" t="s">
        <v>211</v>
      </c>
      <c r="Y63" s="1052">
        <v>810948.33333333326</v>
      </c>
      <c r="Z63" s="1036"/>
      <c r="AA63" s="1038"/>
      <c r="AB63" s="1045"/>
      <c r="AC63" s="1038"/>
      <c r="AD63" s="1068"/>
      <c r="AE63" s="1036"/>
      <c r="AF63" s="1036"/>
      <c r="AG63" s="1053"/>
      <c r="AH63" s="1036"/>
      <c r="AI63" s="1069"/>
    </row>
    <row r="64" spans="1:35">
      <c r="A64" s="1044">
        <f t="shared" ref="A64:A74" si="12">A47</f>
        <v>40756</v>
      </c>
      <c r="B64" s="1053">
        <f>'Temp. Adjustments'!F6*($L$66/($L$66+$Y$66))</f>
        <v>-4643.2015023631538</v>
      </c>
      <c r="C64" s="1079">
        <f t="shared" ref="C64:C74" si="13">$B64*$L$63/$L$66</f>
        <v>-1130.673212679993</v>
      </c>
      <c r="D64" s="1053">
        <f t="shared" ref="D64:D74" si="14">$B64*$L$64/$L$66</f>
        <v>-2473.5281050006402</v>
      </c>
      <c r="E64" s="1053">
        <f t="shared" ref="E64:E74" si="15">$B64*$L$65/$L$66</f>
        <v>-1039.0001846825207</v>
      </c>
      <c r="F64" s="1047">
        <f>$S$63</f>
        <v>9.6240000000000006E-2</v>
      </c>
      <c r="G64" s="1072">
        <f>$T$63</f>
        <v>6.6449999999999995E-2</v>
      </c>
      <c r="H64" s="1073">
        <f>$U$63</f>
        <v>5.7250000000000002E-2</v>
      </c>
      <c r="I64" s="1059">
        <f t="shared" ref="I64:I74" si="16">ROUND((C64*F64+D64*G64+E64*H64)*1000,2)/1000</f>
        <v>-332.66469000000001</v>
      </c>
      <c r="J64" s="1053"/>
      <c r="K64" s="1051" t="s">
        <v>212</v>
      </c>
      <c r="L64" s="1045">
        <v>278603395.99999738</v>
      </c>
      <c r="M64" s="1045"/>
      <c r="N64" s="1044">
        <f t="shared" ref="N64:N74" si="17">A11</f>
        <v>40756</v>
      </c>
      <c r="O64" s="1053">
        <f>'Temp. Adjustments'!F6*(Temperature!$Y$66/(Temperature!$L$66+Temperature!$Y$66))</f>
        <v>-9.0738310344536792</v>
      </c>
      <c r="P64" s="1079">
        <f t="shared" ref="P64:P74" si="18">$O64*$Y$63/$Y$66</f>
        <v>-7.1998529917540779</v>
      </c>
      <c r="Q64" s="1053">
        <f t="shared" si="11"/>
        <v>-1.8739780426996007</v>
      </c>
      <c r="R64" s="1053">
        <f t="shared" ref="R64:R74" si="19">$O64*$Y$65/$Y$66</f>
        <v>0</v>
      </c>
      <c r="S64" s="1047">
        <f>$S$63</f>
        <v>9.6240000000000006E-2</v>
      </c>
      <c r="T64" s="1072">
        <f>$T$63</f>
        <v>6.6449999999999995E-2</v>
      </c>
      <c r="U64" s="1073">
        <f>$U$63</f>
        <v>5.7250000000000002E-2</v>
      </c>
      <c r="V64" s="1059">
        <f t="shared" ref="V64:V74" si="20">ROUND((P64*S64+Q64*T64+R64*U64)*1000,2)/1000</f>
        <v>-0.81744000000000006</v>
      </c>
      <c r="W64" s="1053"/>
      <c r="X64" s="1051" t="s">
        <v>212</v>
      </c>
      <c r="Y64" s="1045">
        <v>211073.66666666669</v>
      </c>
      <c r="Z64" s="1036"/>
      <c r="AA64" s="1038"/>
      <c r="AB64" s="1045"/>
      <c r="AC64" s="1038"/>
      <c r="AD64" s="1068"/>
      <c r="AE64" s="1036"/>
      <c r="AF64" s="1036"/>
      <c r="AG64" s="1053"/>
      <c r="AH64" s="1036"/>
      <c r="AI64" s="1069"/>
    </row>
    <row r="65" spans="1:35">
      <c r="A65" s="1044">
        <f t="shared" si="12"/>
        <v>40787</v>
      </c>
      <c r="B65" s="1053">
        <f>'Temp. Adjustments'!F7*($L$66/($L$66+$Y$66))</f>
        <v>-2798.4883765527907</v>
      </c>
      <c r="C65" s="1079">
        <f t="shared" si="13"/>
        <v>-681.46425300606847</v>
      </c>
      <c r="D65" s="1053">
        <f t="shared" si="14"/>
        <v>-1490.8118132279903</v>
      </c>
      <c r="E65" s="1053">
        <f t="shared" si="15"/>
        <v>-626.21231031873185</v>
      </c>
      <c r="F65" s="1047">
        <f t="shared" ref="F65" si="21">$S$63</f>
        <v>9.6240000000000006E-2</v>
      </c>
      <c r="G65" s="1072">
        <f t="shared" ref="G65" si="22">$T$63</f>
        <v>6.6449999999999995E-2</v>
      </c>
      <c r="H65" s="1073">
        <f t="shared" ref="H65" si="23">$U$63</f>
        <v>5.7250000000000002E-2</v>
      </c>
      <c r="I65" s="1059">
        <f t="shared" si="16"/>
        <v>-200.49922000000001</v>
      </c>
      <c r="J65" s="1053"/>
      <c r="K65" s="1080" t="s">
        <v>214</v>
      </c>
      <c r="L65" s="1055">
        <v>117026760.00000405</v>
      </c>
      <c r="M65" s="1045"/>
      <c r="N65" s="1044">
        <f t="shared" si="17"/>
        <v>40787</v>
      </c>
      <c r="O65" s="1053">
        <f>'Temp. Adjustments'!F7*(Temperature!$Y$66/(Temperature!$L$66+Temperature!$Y$66))</f>
        <v>-5.4688582151342882</v>
      </c>
      <c r="P65" s="1079">
        <f t="shared" si="18"/>
        <v>-4.3393992054960249</v>
      </c>
      <c r="Q65" s="1053">
        <f t="shared" si="11"/>
        <v>-1.1294590096382626</v>
      </c>
      <c r="R65" s="1053">
        <f t="shared" si="19"/>
        <v>0</v>
      </c>
      <c r="S65" s="1047">
        <f t="shared" ref="S65" si="24">$S$63</f>
        <v>9.6240000000000006E-2</v>
      </c>
      <c r="T65" s="1072">
        <f t="shared" ref="T65" si="25">$T$63</f>
        <v>6.6449999999999995E-2</v>
      </c>
      <c r="U65" s="1073">
        <f t="shared" ref="U65" si="26">$U$63</f>
        <v>5.7250000000000002E-2</v>
      </c>
      <c r="V65" s="1059">
        <f t="shared" si="20"/>
        <v>-0.49268000000000001</v>
      </c>
      <c r="W65" s="1053"/>
      <c r="X65" s="1080" t="s">
        <v>214</v>
      </c>
      <c r="Y65" s="1055">
        <v>0</v>
      </c>
      <c r="Z65" s="1036"/>
      <c r="AA65" s="1038"/>
      <c r="AB65" s="1045"/>
      <c r="AC65" s="1038"/>
      <c r="AD65" s="1068"/>
      <c r="AE65" s="1036"/>
      <c r="AF65" s="1036"/>
      <c r="AG65" s="1053"/>
      <c r="AH65" s="1036"/>
      <c r="AI65" s="1069"/>
    </row>
    <row r="66" spans="1:35">
      <c r="A66" s="1044">
        <f t="shared" si="12"/>
        <v>40817</v>
      </c>
      <c r="B66" s="1053">
        <f>'Temp. Adjustments'!F8*($L$66/($L$66+$Y$66))</f>
        <v>1674.3659725802554</v>
      </c>
      <c r="C66" s="1079">
        <f t="shared" si="13"/>
        <v>407.7274596969043</v>
      </c>
      <c r="D66" s="1053">
        <f t="shared" si="14"/>
        <v>891.96889024224618</v>
      </c>
      <c r="E66" s="1053">
        <f t="shared" si="15"/>
        <v>374.66962264110481</v>
      </c>
      <c r="F66" s="1047">
        <f>0.09624</f>
        <v>9.6240000000000006E-2</v>
      </c>
      <c r="G66" s="1072">
        <v>6.6449999999999995E-2</v>
      </c>
      <c r="H66" s="1073">
        <v>5.7250000000000002E-2</v>
      </c>
      <c r="I66" s="1059">
        <f t="shared" si="16"/>
        <v>119.96086</v>
      </c>
      <c r="J66" s="1053"/>
      <c r="K66" s="1056" t="s">
        <v>9</v>
      </c>
      <c r="L66" s="1045">
        <f>SUM(L63:L65)</f>
        <v>522982417</v>
      </c>
      <c r="M66" s="1045"/>
      <c r="N66" s="1044">
        <f t="shared" si="17"/>
        <v>40817</v>
      </c>
      <c r="O66" s="1053">
        <f>'Temp. Adjustments'!F8*(Temperature!$Y$66/(Temperature!$L$66+Temperature!$Y$66))</f>
        <v>3.2720772331977228</v>
      </c>
      <c r="P66" s="1079">
        <f t="shared" si="18"/>
        <v>2.5963096477371694</v>
      </c>
      <c r="Q66" s="1053">
        <f t="shared" si="11"/>
        <v>0.67576758546055282</v>
      </c>
      <c r="R66" s="1053">
        <f t="shared" si="19"/>
        <v>0</v>
      </c>
      <c r="S66" s="1047">
        <f>0.09624</f>
        <v>9.6240000000000006E-2</v>
      </c>
      <c r="T66" s="1072">
        <v>6.6449999999999995E-2</v>
      </c>
      <c r="U66" s="1073">
        <v>5.7250000000000002E-2</v>
      </c>
      <c r="V66" s="1059">
        <f t="shared" si="20"/>
        <v>0.29476999999999998</v>
      </c>
      <c r="W66" s="1053"/>
      <c r="X66" s="1056" t="s">
        <v>9</v>
      </c>
      <c r="Y66" s="1045">
        <f>SUM(Y63:Y65)</f>
        <v>1022022</v>
      </c>
      <c r="Z66" s="1036"/>
      <c r="AA66" s="1038"/>
      <c r="AB66" s="1045"/>
      <c r="AC66" s="1038"/>
      <c r="AD66" s="1068"/>
      <c r="AE66" s="1036"/>
      <c r="AF66" s="1036"/>
      <c r="AG66" s="1053"/>
      <c r="AH66" s="1036"/>
      <c r="AI66" s="1069"/>
    </row>
    <row r="67" spans="1:35">
      <c r="A67" s="1044">
        <f t="shared" si="12"/>
        <v>40848</v>
      </c>
      <c r="B67" s="1053">
        <f>'Temp. Adjustments'!F9*($L$66/($L$66+$Y$66))</f>
        <v>-1044.0313477458687</v>
      </c>
      <c r="C67" s="1079">
        <f t="shared" si="13"/>
        <v>-254.23369575790559</v>
      </c>
      <c r="D67" s="1053">
        <f t="shared" si="14"/>
        <v>-556.17678445287629</v>
      </c>
      <c r="E67" s="1053">
        <f t="shared" si="15"/>
        <v>-233.62086753508686</v>
      </c>
      <c r="F67" s="1047">
        <f>$S$66</f>
        <v>9.6240000000000006E-2</v>
      </c>
      <c r="G67" s="1072">
        <f>$T$66</f>
        <v>6.6449999999999995E-2</v>
      </c>
      <c r="H67" s="1073">
        <f>$U$66</f>
        <v>5.7250000000000002E-2</v>
      </c>
      <c r="I67" s="1059">
        <f t="shared" si="16"/>
        <v>-74.800190000000001</v>
      </c>
      <c r="J67" s="1053"/>
      <c r="L67" s="1070"/>
      <c r="M67" s="1070"/>
      <c r="N67" s="1044">
        <f t="shared" si="17"/>
        <v>40848</v>
      </c>
      <c r="O67" s="1053">
        <f>'Temp. Adjustments'!F9*(Temperature!$Y$66/(Temperature!$L$66+Temperature!$Y$66))</f>
        <v>-2.0402655450764962</v>
      </c>
      <c r="P67" s="1079">
        <f t="shared" si="18"/>
        <v>-1.6188985592650738</v>
      </c>
      <c r="Q67" s="1053">
        <f t="shared" si="11"/>
        <v>-0.42136698581142223</v>
      </c>
      <c r="R67" s="1053">
        <f t="shared" si="19"/>
        <v>0</v>
      </c>
      <c r="S67" s="1047">
        <f>$S$66</f>
        <v>9.6240000000000006E-2</v>
      </c>
      <c r="T67" s="1072">
        <f>$T$66</f>
        <v>6.6449999999999995E-2</v>
      </c>
      <c r="U67" s="1073">
        <f>$U$66</f>
        <v>5.7250000000000002E-2</v>
      </c>
      <c r="V67" s="1059">
        <f t="shared" si="20"/>
        <v>-0.18380000000000002</v>
      </c>
      <c r="W67" s="1053"/>
      <c r="Y67" s="1070"/>
      <c r="Z67" s="1036"/>
      <c r="AA67" s="1038"/>
      <c r="AB67" s="1045"/>
      <c r="AC67" s="1038"/>
      <c r="AD67" s="1068"/>
      <c r="AE67" s="1036"/>
      <c r="AF67" s="1036"/>
      <c r="AG67" s="1053"/>
      <c r="AH67" s="1036"/>
      <c r="AI67" s="1069"/>
    </row>
    <row r="68" spans="1:35">
      <c r="A68" s="1044">
        <f t="shared" si="12"/>
        <v>40878</v>
      </c>
      <c r="B68" s="1053">
        <f>'Temp. Adjustments'!F10*($L$66/($L$66+$Y$66))</f>
        <v>-2166.3563082641717</v>
      </c>
      <c r="C68" s="1079">
        <f t="shared" si="13"/>
        <v>-527.5327908185717</v>
      </c>
      <c r="D68" s="1053">
        <f t="shared" si="14"/>
        <v>-1154.062172664622</v>
      </c>
      <c r="E68" s="1053">
        <f t="shared" si="15"/>
        <v>-484.76134478097765</v>
      </c>
      <c r="F68" s="1047">
        <f t="shared" ref="F68:F73" si="27">$S$66</f>
        <v>9.6240000000000006E-2</v>
      </c>
      <c r="G68" s="1072">
        <f t="shared" ref="G68:G73" si="28">$T$66</f>
        <v>6.6449999999999995E-2</v>
      </c>
      <c r="H68" s="1073">
        <f t="shared" ref="H68:H73" si="29">$U$66</f>
        <v>5.7250000000000002E-2</v>
      </c>
      <c r="I68" s="1067">
        <f t="shared" si="16"/>
        <v>-155.20976999999999</v>
      </c>
      <c r="J68" s="1053"/>
      <c r="K68" s="1038"/>
      <c r="L68" s="1045"/>
      <c r="M68" s="1045"/>
      <c r="N68" s="1044">
        <f t="shared" si="17"/>
        <v>40878</v>
      </c>
      <c r="O68" s="1053">
        <f>'Temp. Adjustments'!F10*(Temperature!$Y$66/(Temperature!$L$66+Temperature!$Y$66))</f>
        <v>-4.2335339294681589</v>
      </c>
      <c r="P68" s="1079">
        <f t="shared" si="18"/>
        <v>-3.3592009606567377</v>
      </c>
      <c r="Q68" s="1053">
        <f t="shared" si="11"/>
        <v>-0.87433296881142064</v>
      </c>
      <c r="R68" s="1053">
        <f t="shared" si="19"/>
        <v>0</v>
      </c>
      <c r="S68" s="1047">
        <f t="shared" ref="S68:S73" si="30">$S$66</f>
        <v>9.6240000000000006E-2</v>
      </c>
      <c r="T68" s="1072">
        <f t="shared" ref="T68:T73" si="31">$T$66</f>
        <v>6.6449999999999995E-2</v>
      </c>
      <c r="U68" s="1073">
        <f t="shared" ref="U68:U73" si="32">$U$66</f>
        <v>5.7250000000000002E-2</v>
      </c>
      <c r="V68" s="1067">
        <f t="shared" si="20"/>
        <v>-0.38139000000000001</v>
      </c>
      <c r="W68" s="1053"/>
      <c r="X68" s="1038"/>
      <c r="Y68" s="1045"/>
      <c r="Z68" s="1036"/>
      <c r="AA68" s="1038"/>
      <c r="AB68" s="1045"/>
      <c r="AC68" s="1038"/>
      <c r="AD68" s="1068"/>
      <c r="AE68" s="1036"/>
      <c r="AF68" s="1036"/>
      <c r="AG68" s="1053"/>
      <c r="AH68" s="1036"/>
      <c r="AI68" s="1069"/>
    </row>
    <row r="69" spans="1:35">
      <c r="A69" s="1044">
        <f t="shared" si="12"/>
        <v>40909</v>
      </c>
      <c r="B69" s="1053">
        <f>'Temp. Adjustments'!F11*($L$66/($L$66+$Y$66))</f>
        <v>-1850.1285731323126</v>
      </c>
      <c r="C69" s="1079">
        <f t="shared" si="13"/>
        <v>-450.52768366608615</v>
      </c>
      <c r="D69" s="1053">
        <f t="shared" si="14"/>
        <v>-985.60121097014201</v>
      </c>
      <c r="E69" s="1053">
        <f t="shared" si="15"/>
        <v>-413.9996784960843</v>
      </c>
      <c r="F69" s="1047">
        <f t="shared" si="27"/>
        <v>9.6240000000000006E-2</v>
      </c>
      <c r="G69" s="1072">
        <f t="shared" si="28"/>
        <v>6.6449999999999995E-2</v>
      </c>
      <c r="H69" s="1073">
        <f t="shared" si="29"/>
        <v>5.7250000000000002E-2</v>
      </c>
      <c r="I69" s="1059">
        <f t="shared" si="16"/>
        <v>-132.55347</v>
      </c>
      <c r="J69" s="1053"/>
      <c r="K69" s="1038"/>
      <c r="L69" s="1045"/>
      <c r="M69" s="1045"/>
      <c r="N69" s="1044">
        <f t="shared" si="17"/>
        <v>40909</v>
      </c>
      <c r="O69" s="1053">
        <f>'Temp. Adjustments'!F11*(Temperature!$Y$66/(Temperature!$L$66+Temperature!$Y$66))</f>
        <v>-3.6155557875473132</v>
      </c>
      <c r="P69" s="1079">
        <f t="shared" si="18"/>
        <v>-2.8688511010381195</v>
      </c>
      <c r="Q69" s="1053">
        <f t="shared" si="11"/>
        <v>-0.74670468650919364</v>
      </c>
      <c r="R69" s="1053">
        <f t="shared" si="19"/>
        <v>0</v>
      </c>
      <c r="S69" s="1047">
        <f t="shared" si="30"/>
        <v>9.6240000000000006E-2</v>
      </c>
      <c r="T69" s="1072">
        <f t="shared" si="31"/>
        <v>6.6449999999999995E-2</v>
      </c>
      <c r="U69" s="1073">
        <f t="shared" si="32"/>
        <v>5.7250000000000002E-2</v>
      </c>
      <c r="V69" s="1059">
        <f t="shared" si="20"/>
        <v>-0.32572000000000001</v>
      </c>
      <c r="W69" s="1053"/>
      <c r="X69" s="1038"/>
      <c r="Y69" s="1045"/>
      <c r="Z69" s="1036"/>
      <c r="AA69" s="1038"/>
      <c r="AB69" s="1045"/>
      <c r="AC69" s="1038"/>
      <c r="AD69" s="1068"/>
      <c r="AE69" s="1036"/>
      <c r="AF69" s="1036"/>
      <c r="AG69" s="1053"/>
      <c r="AH69" s="1036"/>
      <c r="AI69" s="1069"/>
    </row>
    <row r="70" spans="1:35">
      <c r="A70" s="1044">
        <f t="shared" si="12"/>
        <v>40940</v>
      </c>
      <c r="B70" s="1053">
        <f>'Temp. Adjustments'!F12*($L$66/($L$66+$Y$66))</f>
        <v>1091.1092075323395</v>
      </c>
      <c r="C70" s="1079">
        <f t="shared" si="13"/>
        <v>265.69769854645051</v>
      </c>
      <c r="D70" s="1053">
        <f t="shared" si="14"/>
        <v>581.25612017540493</v>
      </c>
      <c r="E70" s="1053">
        <f t="shared" si="15"/>
        <v>244.15538881048406</v>
      </c>
      <c r="F70" s="1047">
        <f t="shared" si="27"/>
        <v>9.6240000000000006E-2</v>
      </c>
      <c r="G70" s="1072">
        <f t="shared" si="28"/>
        <v>6.6449999999999995E-2</v>
      </c>
      <c r="H70" s="1073">
        <f t="shared" si="29"/>
        <v>5.7250000000000002E-2</v>
      </c>
      <c r="I70" s="1059">
        <f t="shared" si="16"/>
        <v>78.173109999999994</v>
      </c>
      <c r="J70" s="1053"/>
      <c r="L70" s="1070"/>
      <c r="M70" s="1070"/>
      <c r="N70" s="1044">
        <f t="shared" si="17"/>
        <v>40940</v>
      </c>
      <c r="O70" s="1053">
        <f>'Temp. Adjustments'!F12*(Temperature!$Y$66/(Temperature!$L$66+Temperature!$Y$66))</f>
        <v>2.132265977310317</v>
      </c>
      <c r="P70" s="1079">
        <f t="shared" si="18"/>
        <v>1.6918985506409574</v>
      </c>
      <c r="Q70" s="1053">
        <f t="shared" si="11"/>
        <v>0.44036742666935946</v>
      </c>
      <c r="R70" s="1053">
        <f t="shared" si="19"/>
        <v>0</v>
      </c>
      <c r="S70" s="1047">
        <f t="shared" si="30"/>
        <v>9.6240000000000006E-2</v>
      </c>
      <c r="T70" s="1072">
        <f t="shared" si="31"/>
        <v>6.6449999999999995E-2</v>
      </c>
      <c r="U70" s="1073">
        <f t="shared" si="32"/>
        <v>5.7250000000000002E-2</v>
      </c>
      <c r="V70" s="1059">
        <f t="shared" si="20"/>
        <v>0.19209000000000001</v>
      </c>
      <c r="W70" s="1053"/>
      <c r="Y70" s="1070"/>
      <c r="Z70" s="1036"/>
      <c r="AA70" s="1038"/>
      <c r="AB70" s="1045"/>
      <c r="AC70" s="1038"/>
      <c r="AD70" s="1068"/>
      <c r="AE70" s="1036"/>
      <c r="AF70" s="1036"/>
      <c r="AG70" s="1053"/>
      <c r="AH70" s="1036"/>
      <c r="AI70" s="1069"/>
    </row>
    <row r="71" spans="1:35">
      <c r="A71" s="1044">
        <f t="shared" si="12"/>
        <v>40969</v>
      </c>
      <c r="B71" s="1053">
        <f>'Temp. Adjustments'!F13*($L$66/($L$66+$Y$66))</f>
        <v>32.052174234480354</v>
      </c>
      <c r="C71" s="1079">
        <f t="shared" si="13"/>
        <v>7.8050747521153676</v>
      </c>
      <c r="D71" s="1053">
        <f t="shared" si="14"/>
        <v>17.074846688220195</v>
      </c>
      <c r="E71" s="1053">
        <f t="shared" si="15"/>
        <v>7.1722527941447911</v>
      </c>
      <c r="F71" s="1047">
        <f t="shared" si="27"/>
        <v>9.6240000000000006E-2</v>
      </c>
      <c r="G71" s="1072">
        <f t="shared" si="28"/>
        <v>6.6449999999999995E-2</v>
      </c>
      <c r="H71" s="1073">
        <f t="shared" si="29"/>
        <v>5.7250000000000002E-2</v>
      </c>
      <c r="I71" s="1059">
        <f t="shared" si="16"/>
        <v>2.2964000000000002</v>
      </c>
      <c r="J71" s="1053"/>
      <c r="L71" s="1070"/>
      <c r="M71" s="1070"/>
      <c r="N71" s="1044">
        <f>A18</f>
        <v>40969</v>
      </c>
      <c r="O71" s="1053">
        <f>'Temp. Adjustments'!F13*(Temperature!$Y$66/(Temperature!$L$66+Temperature!$Y$66))</f>
        <v>6.2636957095771897E-2</v>
      </c>
      <c r="P71" s="1079">
        <f t="shared" si="18"/>
        <v>4.9700824406801146E-2</v>
      </c>
      <c r="Q71" s="1053">
        <f t="shared" si="11"/>
        <v>1.2936132688970746E-2</v>
      </c>
      <c r="R71" s="1053">
        <f t="shared" si="19"/>
        <v>0</v>
      </c>
      <c r="S71" s="1047">
        <f t="shared" si="30"/>
        <v>9.6240000000000006E-2</v>
      </c>
      <c r="T71" s="1072">
        <f t="shared" si="31"/>
        <v>6.6449999999999995E-2</v>
      </c>
      <c r="U71" s="1073">
        <f t="shared" si="32"/>
        <v>5.7250000000000002E-2</v>
      </c>
      <c r="V71" s="1059">
        <f t="shared" si="20"/>
        <v>5.64E-3</v>
      </c>
      <c r="W71" s="1053"/>
      <c r="Y71" s="1070"/>
      <c r="Z71" s="1036"/>
      <c r="AA71" s="1038"/>
      <c r="AB71" s="1045"/>
      <c r="AC71" s="1038"/>
      <c r="AD71" s="1068"/>
      <c r="AE71" s="1036"/>
      <c r="AF71" s="1036"/>
      <c r="AG71" s="1053"/>
      <c r="AH71" s="1036"/>
      <c r="AI71" s="1069"/>
    </row>
    <row r="72" spans="1:35">
      <c r="A72" s="1044">
        <f t="shared" si="12"/>
        <v>41000</v>
      </c>
      <c r="B72" s="1053">
        <f>'Temp. Adjustments'!F14*($L$66/($L$66+$Y$66))</f>
        <v>96.152822212864436</v>
      </c>
      <c r="C72" s="1079">
        <f t="shared" si="13"/>
        <v>23.414323144135778</v>
      </c>
      <c r="D72" s="1053">
        <f t="shared" si="14"/>
        <v>51.222568737885531</v>
      </c>
      <c r="E72" s="1053">
        <f t="shared" si="15"/>
        <v>21.515930330843119</v>
      </c>
      <c r="F72" s="1047">
        <f t="shared" si="27"/>
        <v>9.6240000000000006E-2</v>
      </c>
      <c r="G72" s="1072">
        <f t="shared" si="28"/>
        <v>6.6449999999999995E-2</v>
      </c>
      <c r="H72" s="1073">
        <f t="shared" si="29"/>
        <v>5.7250000000000002E-2</v>
      </c>
      <c r="I72" s="1059">
        <f t="shared" si="16"/>
        <v>6.8889199999999997</v>
      </c>
      <c r="J72" s="1053"/>
      <c r="L72" s="1070"/>
      <c r="M72" s="1070"/>
      <c r="N72" s="1044">
        <f t="shared" si="17"/>
        <v>41000</v>
      </c>
      <c r="O72" s="1053">
        <f>'Temp. Adjustments'!F14*(Temperature!$Y$66/(Temperature!$L$66+Temperature!$Y$66))</f>
        <v>0.18790363971956658</v>
      </c>
      <c r="P72" s="1079">
        <f t="shared" si="18"/>
        <v>0.14909673515623895</v>
      </c>
      <c r="Q72" s="1053">
        <f t="shared" si="11"/>
        <v>3.8806904563327631E-2</v>
      </c>
      <c r="R72" s="1053">
        <f t="shared" si="19"/>
        <v>0</v>
      </c>
      <c r="S72" s="1047">
        <f t="shared" si="30"/>
        <v>9.6240000000000006E-2</v>
      </c>
      <c r="T72" s="1072">
        <f t="shared" si="31"/>
        <v>6.6449999999999995E-2</v>
      </c>
      <c r="U72" s="1073">
        <f t="shared" si="32"/>
        <v>5.7250000000000002E-2</v>
      </c>
      <c r="V72" s="1059">
        <f t="shared" si="20"/>
        <v>1.6930000000000001E-2</v>
      </c>
      <c r="W72" s="1053"/>
      <c r="Y72" s="1070"/>
      <c r="Z72" s="1036"/>
      <c r="AA72" s="1038"/>
      <c r="AB72" s="1045"/>
      <c r="AC72" s="1038"/>
      <c r="AD72" s="1068"/>
      <c r="AE72" s="1036"/>
      <c r="AF72" s="1036"/>
      <c r="AG72" s="1053"/>
      <c r="AH72" s="1036"/>
      <c r="AI72" s="1069"/>
    </row>
    <row r="73" spans="1:35">
      <c r="A73" s="1044">
        <f t="shared" si="12"/>
        <v>41030</v>
      </c>
      <c r="B73" s="1053">
        <f>'Temp. Adjustments'!F15*($L$66/($L$66+$Y$66))</f>
        <v>214.79369050783137</v>
      </c>
      <c r="C73" s="1079">
        <f t="shared" si="13"/>
        <v>52.304745332779035</v>
      </c>
      <c r="D73" s="1053">
        <f t="shared" si="14"/>
        <v>114.42497810562955</v>
      </c>
      <c r="E73" s="1053">
        <f t="shared" si="15"/>
        <v>48.063967069422773</v>
      </c>
      <c r="F73" s="1047">
        <f t="shared" si="27"/>
        <v>9.6240000000000006E-2</v>
      </c>
      <c r="G73" s="1072">
        <f t="shared" si="28"/>
        <v>6.6449999999999995E-2</v>
      </c>
      <c r="H73" s="1073">
        <f t="shared" si="29"/>
        <v>5.7250000000000002E-2</v>
      </c>
      <c r="I73" s="1059">
        <f t="shared" si="16"/>
        <v>15.389010000000001</v>
      </c>
      <c r="J73" s="1053"/>
      <c r="L73" s="1070"/>
      <c r="M73" s="1070"/>
      <c r="N73" s="1044">
        <f t="shared" si="17"/>
        <v>41030</v>
      </c>
      <c r="O73" s="1053">
        <f>'Temp. Adjustments'!F15*(Temperature!$Y$66/(Temperature!$L$66+Temperature!$Y$66))</f>
        <v>0.41975383879912509</v>
      </c>
      <c r="P73" s="1079">
        <f t="shared" si="18"/>
        <v>0.33306394185684762</v>
      </c>
      <c r="Q73" s="1053">
        <f t="shared" si="11"/>
        <v>8.6689896942277439E-2</v>
      </c>
      <c r="R73" s="1053">
        <f t="shared" si="19"/>
        <v>0</v>
      </c>
      <c r="S73" s="1047">
        <f t="shared" si="30"/>
        <v>9.6240000000000006E-2</v>
      </c>
      <c r="T73" s="1072">
        <f t="shared" si="31"/>
        <v>6.6449999999999995E-2</v>
      </c>
      <c r="U73" s="1073">
        <f t="shared" si="32"/>
        <v>5.7250000000000002E-2</v>
      </c>
      <c r="V73" s="1059">
        <f t="shared" si="20"/>
        <v>3.7810000000000003E-2</v>
      </c>
      <c r="W73" s="1053"/>
      <c r="Y73" s="1070"/>
      <c r="Z73" s="1036"/>
      <c r="AA73" s="1038"/>
      <c r="AB73" s="1045"/>
      <c r="AC73" s="1038"/>
      <c r="AD73" s="1068"/>
      <c r="AE73" s="1036"/>
      <c r="AF73" s="1036"/>
      <c r="AG73" s="1053"/>
      <c r="AH73" s="1036"/>
      <c r="AI73" s="1069"/>
    </row>
    <row r="74" spans="1:35">
      <c r="A74" s="1044">
        <f t="shared" si="12"/>
        <v>41061</v>
      </c>
      <c r="B74" s="1081">
        <f>'Temp. Adjustments'!F16*($L$66/($L$66+$Y$66))</f>
        <v>1548.3151146296798</v>
      </c>
      <c r="C74" s="1082">
        <f t="shared" si="13"/>
        <v>377.03261941320994</v>
      </c>
      <c r="D74" s="1055">
        <f t="shared" si="14"/>
        <v>824.81902831152729</v>
      </c>
      <c r="E74" s="1083">
        <f t="shared" si="15"/>
        <v>346.46346690494244</v>
      </c>
      <c r="F74" s="1062">
        <v>9.7659999999999997E-2</v>
      </c>
      <c r="G74" s="1084">
        <f>0.06746</f>
        <v>6.7460000000000006E-2</v>
      </c>
      <c r="H74" s="1085">
        <f>0.05812</f>
        <v>5.8119999999999998E-2</v>
      </c>
      <c r="I74" s="1086">
        <f t="shared" si="16"/>
        <v>112.59975</v>
      </c>
      <c r="J74" s="1053"/>
      <c r="L74" s="1070"/>
      <c r="M74" s="1070"/>
      <c r="N74" s="1044">
        <f t="shared" si="17"/>
        <v>41061</v>
      </c>
      <c r="O74" s="1081">
        <f>'Temp. Adjustments'!F16*(Temperature!$Y$66/(Temperature!$L$66+Temperature!$Y$66))</f>
        <v>3.0257462940366016</v>
      </c>
      <c r="P74" s="1082">
        <f t="shared" si="18"/>
        <v>2.4008523439206706</v>
      </c>
      <c r="Q74" s="1055">
        <f t="shared" si="11"/>
        <v>0.62489395011593074</v>
      </c>
      <c r="R74" s="1083">
        <f t="shared" si="19"/>
        <v>0</v>
      </c>
      <c r="S74" s="1062">
        <v>9.7659999999999997E-2</v>
      </c>
      <c r="T74" s="1084">
        <f>0.06746</f>
        <v>6.7460000000000006E-2</v>
      </c>
      <c r="U74" s="1085">
        <f>0.05812</f>
        <v>5.8119999999999998E-2</v>
      </c>
      <c r="V74" s="1086">
        <f t="shared" si="20"/>
        <v>0.27661999999999998</v>
      </c>
      <c r="W74" s="1053"/>
      <c r="Y74" s="1070"/>
      <c r="Z74" s="1036"/>
      <c r="AA74" s="1038"/>
      <c r="AB74" s="1045"/>
      <c r="AC74" s="1038"/>
      <c r="AD74" s="1068"/>
      <c r="AE74" s="1036"/>
      <c r="AF74" s="1036"/>
      <c r="AG74" s="1053"/>
      <c r="AH74" s="1036"/>
      <c r="AI74" s="1069"/>
    </row>
    <row r="75" spans="1:35">
      <c r="A75" s="1036" t="s">
        <v>9</v>
      </c>
      <c r="B75" s="1053">
        <f>SUM(B63:B74)</f>
        <v>-4570.289191446549</v>
      </c>
      <c r="C75" s="1079">
        <f>SUM(C63:C74)</f>
        <v>-1112.9182225538821</v>
      </c>
      <c r="D75" s="1053">
        <f>SUM(D63:D74)</f>
        <v>-2434.6862304533097</v>
      </c>
      <c r="E75" s="1053">
        <f>SUM(E63:E74)</f>
        <v>-1022.6847384393573</v>
      </c>
      <c r="F75" s="1087" t="s">
        <v>31</v>
      </c>
      <c r="G75" s="1088" t="s">
        <v>31</v>
      </c>
      <c r="H75" s="1088" t="s">
        <v>31</v>
      </c>
      <c r="I75" s="1089">
        <f>SUM(I63:I74)</f>
        <v>-325.77097000000003</v>
      </c>
      <c r="J75" s="1067"/>
      <c r="L75" s="1070"/>
      <c r="M75" s="1070"/>
      <c r="N75" s="1036" t="s">
        <v>9</v>
      </c>
      <c r="O75" s="1053">
        <f>SUM(O63:O74)</f>
        <v>-8.9313444356592679</v>
      </c>
      <c r="P75" s="1079">
        <f>SUM(P63:P74)</f>
        <v>-7.0867935176775276</v>
      </c>
      <c r="Q75" s="1053">
        <f>SUM(Q63:Q74)</f>
        <v>-1.8445509179817383</v>
      </c>
      <c r="R75" s="1053">
        <f>SUM(R63:R74)</f>
        <v>0</v>
      </c>
      <c r="S75" s="1087" t="s">
        <v>31</v>
      </c>
      <c r="T75" s="1088" t="s">
        <v>31</v>
      </c>
      <c r="U75" s="1088" t="s">
        <v>31</v>
      </c>
      <c r="V75" s="1089">
        <f>SUM(V63:V74)</f>
        <v>-0.80057999999999996</v>
      </c>
      <c r="W75" s="1067"/>
      <c r="Y75" s="1070"/>
      <c r="Z75" s="1036"/>
      <c r="AA75" s="1038"/>
      <c r="AB75" s="1045"/>
      <c r="AC75" s="1038"/>
      <c r="AD75" s="1068"/>
      <c r="AE75" s="1036"/>
      <c r="AF75" s="1036"/>
      <c r="AG75" s="1053"/>
      <c r="AH75" s="1036"/>
      <c r="AI75" s="1069"/>
    </row>
    <row r="76" spans="1:35">
      <c r="A76" s="1036"/>
      <c r="B76" s="1053"/>
      <c r="C76" s="1053"/>
      <c r="D76" s="1053"/>
      <c r="E76" s="1053"/>
      <c r="F76" s="1053"/>
      <c r="G76" s="1053"/>
      <c r="H76" s="1053"/>
      <c r="I76" s="1053"/>
      <c r="J76" s="1053"/>
      <c r="L76" s="1070"/>
      <c r="M76" s="1036"/>
      <c r="N76" s="1038"/>
      <c r="O76" s="1045"/>
      <c r="P76" s="1038"/>
      <c r="Q76" s="1068"/>
      <c r="R76" s="1036"/>
      <c r="S76" s="1036"/>
      <c r="T76" s="1053"/>
      <c r="U76" s="1036"/>
      <c r="V76" s="1069"/>
    </row>
    <row r="77" spans="1:35">
      <c r="A77" s="1030" t="s">
        <v>843</v>
      </c>
      <c r="B77" s="1033" t="s">
        <v>12</v>
      </c>
      <c r="C77" s="1034"/>
      <c r="D77" s="1034" t="s">
        <v>1</v>
      </c>
      <c r="E77" s="1053"/>
      <c r="F77" s="1053"/>
      <c r="G77" s="1053"/>
      <c r="H77" s="1053"/>
      <c r="J77" s="1070"/>
      <c r="K77" s="1036"/>
      <c r="L77" s="1038"/>
      <c r="M77" s="1045"/>
      <c r="N77" s="1038"/>
      <c r="O77" s="1068"/>
      <c r="P77" s="1036"/>
      <c r="Q77" s="1036"/>
      <c r="R77" s="1053"/>
      <c r="S77" s="1036"/>
      <c r="T77" s="1069"/>
    </row>
    <row r="78" spans="1:35">
      <c r="A78" s="1032" t="s">
        <v>18</v>
      </c>
      <c r="B78" s="1033" t="s">
        <v>16</v>
      </c>
      <c r="C78" s="1034" t="s">
        <v>208</v>
      </c>
      <c r="D78" s="1034" t="s">
        <v>26</v>
      </c>
      <c r="H78" s="1035"/>
      <c r="I78" s="1035"/>
    </row>
    <row r="79" spans="1:35">
      <c r="A79" s="1033" t="s">
        <v>24</v>
      </c>
      <c r="B79" s="1040" t="s">
        <v>23</v>
      </c>
      <c r="C79" s="1041" t="s">
        <v>38</v>
      </c>
      <c r="D79" s="1042" t="s">
        <v>200</v>
      </c>
      <c r="E79" s="1036"/>
      <c r="H79" s="1035"/>
      <c r="I79" s="1035"/>
      <c r="J79" s="1036"/>
      <c r="K79" s="1037"/>
      <c r="L79" s="1037"/>
      <c r="M79" s="1037"/>
      <c r="N79" s="1037"/>
    </row>
    <row r="80" spans="1:35">
      <c r="A80" s="1044">
        <f>A10</f>
        <v>40725</v>
      </c>
      <c r="B80" s="1045">
        <f>'Temp. Adjustments'!I5</f>
        <v>3121.5329892998998</v>
      </c>
      <c r="C80" s="1047">
        <v>6.3339999999999994E-2</v>
      </c>
      <c r="D80" s="1049">
        <f>ROUND((B80*C80)*1000,2)/1000</f>
        <v>197.71789999999999</v>
      </c>
      <c r="E80" s="1053"/>
      <c r="H80" s="1035"/>
      <c r="I80" s="1035"/>
      <c r="J80" s="1036"/>
      <c r="K80" s="1038"/>
      <c r="L80" s="1038"/>
      <c r="M80" s="1038"/>
      <c r="N80" s="1039"/>
    </row>
    <row r="81" spans="1:20">
      <c r="A81" s="1044">
        <f t="shared" ref="A81:A91" si="33">A11</f>
        <v>40756</v>
      </c>
      <c r="B81" s="1045">
        <f>'Temp. Adjustments'!I6</f>
        <v>-841.46939950400304</v>
      </c>
      <c r="C81" s="1047">
        <v>6.3339999999999994E-2</v>
      </c>
      <c r="D81" s="1049">
        <f t="shared" ref="D81:D91" si="34">ROUND((B81*C81)*1000,2)/1000</f>
        <v>-53.298670000000001</v>
      </c>
      <c r="E81" s="1053"/>
      <c r="H81" s="1035"/>
      <c r="I81" s="1035"/>
      <c r="J81" s="1036"/>
      <c r="K81" s="1039"/>
      <c r="L81" s="1039"/>
      <c r="M81" s="1039"/>
      <c r="N81" s="1039"/>
    </row>
    <row r="82" spans="1:20">
      <c r="A82" s="1044">
        <f t="shared" si="33"/>
        <v>40787</v>
      </c>
      <c r="B82" s="1045">
        <f>'Temp. Adjustments'!I7</f>
        <v>-5460.3979490708198</v>
      </c>
      <c r="C82" s="1047">
        <v>6.3339999999999994E-2</v>
      </c>
      <c r="D82" s="1049">
        <f t="shared" si="34"/>
        <v>-345.86160999999998</v>
      </c>
      <c r="E82" s="1053"/>
      <c r="H82" s="1035"/>
      <c r="I82" s="1035"/>
      <c r="J82" s="1036"/>
      <c r="K82" s="1056"/>
      <c r="L82" s="1045"/>
      <c r="M82" s="1038"/>
      <c r="N82" s="1038"/>
    </row>
    <row r="83" spans="1:20">
      <c r="A83" s="1044">
        <f t="shared" si="33"/>
        <v>40817</v>
      </c>
      <c r="B83" s="1045">
        <f>'Temp. Adjustments'!I8</f>
        <v>-2554.8158971907801</v>
      </c>
      <c r="C83" s="1047">
        <v>6.3339999999999994E-2</v>
      </c>
      <c r="D83" s="1049">
        <f t="shared" si="34"/>
        <v>-161.82204000000002</v>
      </c>
      <c r="E83" s="1053"/>
      <c r="H83" s="1035"/>
      <c r="I83" s="1035"/>
      <c r="J83" s="1036"/>
      <c r="K83" s="1056"/>
      <c r="L83" s="1045"/>
      <c r="M83" s="1038"/>
      <c r="N83" s="1038"/>
    </row>
    <row r="84" spans="1:20">
      <c r="A84" s="1044">
        <f t="shared" si="33"/>
        <v>40848</v>
      </c>
      <c r="B84" s="1045">
        <f>'Temp. Adjustments'!I9</f>
        <v>-37.2640218976494</v>
      </c>
      <c r="C84" s="1047">
        <v>6.3339999999999994E-2</v>
      </c>
      <c r="D84" s="1049">
        <f t="shared" si="34"/>
        <v>-2.3603000000000001</v>
      </c>
      <c r="E84" s="1053"/>
      <c r="G84" s="1090"/>
      <c r="H84" s="1038"/>
      <c r="I84" s="1045"/>
      <c r="J84" s="1036"/>
      <c r="K84" s="1056"/>
      <c r="L84" s="1045"/>
      <c r="M84" s="1038"/>
      <c r="N84" s="1038"/>
    </row>
    <row r="85" spans="1:20">
      <c r="A85" s="1044">
        <f t="shared" si="33"/>
        <v>40878</v>
      </c>
      <c r="B85" s="1045">
        <f>'Temp. Adjustments'!I10</f>
        <v>0</v>
      </c>
      <c r="C85" s="1047">
        <v>6.3339999999999994E-2</v>
      </c>
      <c r="D85" s="1049">
        <f t="shared" si="34"/>
        <v>0</v>
      </c>
      <c r="E85" s="1053"/>
      <c r="H85" s="1038"/>
      <c r="I85" s="1045"/>
      <c r="J85" s="1036"/>
      <c r="K85" s="1056"/>
      <c r="L85" s="1045"/>
      <c r="M85" s="1038"/>
      <c r="N85" s="1038"/>
    </row>
    <row r="86" spans="1:20">
      <c r="A86" s="1044">
        <f t="shared" si="33"/>
        <v>40909</v>
      </c>
      <c r="B86" s="1045">
        <f>'Temp. Adjustments'!I11</f>
        <v>0</v>
      </c>
      <c r="C86" s="1047">
        <v>6.3339999999999994E-2</v>
      </c>
      <c r="D86" s="1049">
        <f t="shared" si="34"/>
        <v>0</v>
      </c>
      <c r="E86" s="1053"/>
      <c r="J86" s="1036"/>
      <c r="K86" s="1056"/>
      <c r="L86" s="1045"/>
      <c r="M86" s="1038"/>
      <c r="N86" s="1038"/>
    </row>
    <row r="87" spans="1:20">
      <c r="A87" s="1044">
        <f t="shared" si="33"/>
        <v>40940</v>
      </c>
      <c r="B87" s="1045">
        <f>'Temp. Adjustments'!I12</f>
        <v>2.91494380352847</v>
      </c>
      <c r="C87" s="1047">
        <v>6.3339999999999994E-2</v>
      </c>
      <c r="D87" s="1049">
        <f t="shared" si="34"/>
        <v>0.18462999999999999</v>
      </c>
      <c r="E87" s="1053"/>
      <c r="J87" s="1036"/>
      <c r="K87" s="1056"/>
      <c r="L87" s="1045"/>
      <c r="M87" s="1038"/>
      <c r="N87" s="1038"/>
    </row>
    <row r="88" spans="1:20">
      <c r="A88" s="1044">
        <f t="shared" si="33"/>
        <v>40969</v>
      </c>
      <c r="B88" s="1045">
        <f>'Temp. Adjustments'!I13</f>
        <v>38.160156769981398</v>
      </c>
      <c r="C88" s="1047">
        <v>6.3339999999999994E-2</v>
      </c>
      <c r="D88" s="1049">
        <f t="shared" si="34"/>
        <v>2.4170599999999998</v>
      </c>
      <c r="E88" s="1053"/>
      <c r="J88" s="1036"/>
      <c r="K88" s="1056"/>
      <c r="L88" s="1045"/>
      <c r="M88" s="1038"/>
      <c r="N88" s="1038"/>
    </row>
    <row r="89" spans="1:20">
      <c r="A89" s="1044">
        <f t="shared" si="33"/>
        <v>41000</v>
      </c>
      <c r="B89" s="1045">
        <f>'Temp. Adjustments'!I14</f>
        <v>339.99472370373104</v>
      </c>
      <c r="C89" s="1047">
        <v>6.3339999999999994E-2</v>
      </c>
      <c r="D89" s="1049">
        <f t="shared" si="34"/>
        <v>21.535270000000001</v>
      </c>
      <c r="E89" s="1053"/>
      <c r="J89" s="1036"/>
      <c r="K89" s="1056"/>
      <c r="L89" s="1045"/>
      <c r="M89" s="1038"/>
      <c r="N89" s="1038"/>
    </row>
    <row r="90" spans="1:20">
      <c r="A90" s="1044">
        <f t="shared" si="33"/>
        <v>41030</v>
      </c>
      <c r="B90" s="1045">
        <f>'Temp. Adjustments'!I15</f>
        <v>1097.9695007417001</v>
      </c>
      <c r="C90" s="1047">
        <v>6.3339999999999994E-2</v>
      </c>
      <c r="D90" s="1049">
        <f t="shared" si="34"/>
        <v>69.545389999999998</v>
      </c>
      <c r="E90" s="1053"/>
      <c r="J90" s="1036"/>
      <c r="K90" s="1056"/>
      <c r="L90" s="1045"/>
      <c r="M90" s="1038"/>
      <c r="N90" s="1038"/>
    </row>
    <row r="91" spans="1:20">
      <c r="A91" s="1044">
        <f t="shared" si="33"/>
        <v>41061</v>
      </c>
      <c r="B91" s="1083">
        <f>'Temp. Adjustments'!I16</f>
        <v>2214.8873176810202</v>
      </c>
      <c r="C91" s="1062">
        <f>0.06439</f>
        <v>6.4390000000000003E-2</v>
      </c>
      <c r="D91" s="1064">
        <f t="shared" si="34"/>
        <v>142.61659</v>
      </c>
      <c r="E91" s="1053"/>
      <c r="J91" s="1036"/>
      <c r="K91" s="1056"/>
      <c r="L91" s="1045"/>
      <c r="M91" s="1038"/>
      <c r="N91" s="1038"/>
    </row>
    <row r="92" spans="1:20">
      <c r="A92" s="1036" t="s">
        <v>9</v>
      </c>
      <c r="B92" s="1053">
        <f>SUM(B80:B91)</f>
        <v>-2078.4876356633904</v>
      </c>
      <c r="C92" s="1065" t="s">
        <v>31</v>
      </c>
      <c r="D92" s="1066">
        <f>SUM(D80:D91)</f>
        <v>-129.32577999999998</v>
      </c>
      <c r="E92" s="1067"/>
      <c r="J92" s="1036"/>
      <c r="K92" s="1056"/>
      <c r="L92" s="1045"/>
      <c r="M92" s="1038"/>
      <c r="N92" s="1038"/>
    </row>
    <row r="93" spans="1:20">
      <c r="A93" s="1091"/>
      <c r="K93" s="1036"/>
      <c r="P93" s="1036"/>
      <c r="Q93" s="1056"/>
      <c r="R93" s="1045"/>
      <c r="S93" s="1038"/>
      <c r="T93" s="1038"/>
    </row>
    <row r="94" spans="1:20">
      <c r="B94" s="1092"/>
      <c r="K94" s="1036"/>
      <c r="P94" s="1036"/>
      <c r="Q94" s="1038"/>
      <c r="R94" s="1045"/>
      <c r="S94" s="1093"/>
      <c r="T94" s="947"/>
    </row>
    <row r="95" spans="1:20">
      <c r="J95" s="948" t="s">
        <v>31</v>
      </c>
      <c r="Q95" s="1094"/>
      <c r="R95" s="1094"/>
      <c r="S95" s="1094"/>
      <c r="T95" s="1094"/>
    </row>
    <row r="96" spans="1:20">
      <c r="A96" s="1036"/>
      <c r="B96" s="1036" t="s">
        <v>25</v>
      </c>
      <c r="C96" s="1036" t="s">
        <v>1</v>
      </c>
      <c r="D96" s="1036"/>
      <c r="E96" s="1036"/>
      <c r="G96" s="1036"/>
      <c r="H96" s="1036"/>
      <c r="J96" s="1036"/>
      <c r="K96" s="1036"/>
      <c r="L96" s="1036"/>
      <c r="M96" s="1036"/>
      <c r="N96" s="1036"/>
      <c r="O96" s="1036"/>
      <c r="P96" s="1036"/>
      <c r="Q96" s="1036"/>
      <c r="R96" s="1036"/>
      <c r="S96" s="1036"/>
    </row>
    <row r="97" spans="1:20">
      <c r="A97" s="1036" t="s">
        <v>27</v>
      </c>
      <c r="B97" s="1053">
        <f>(B22+B40+B58+O75)*1000</f>
        <v>-2793129.6983713415</v>
      </c>
      <c r="C97" s="1095">
        <f>(G22+G40+G58+V75)*1000</f>
        <v>-213052.28000000029</v>
      </c>
      <c r="D97" s="1053">
        <f>B97+B99+B101</f>
        <v>-9441906.5254812818</v>
      </c>
      <c r="E97" s="1095">
        <f>C97+C99+C101</f>
        <v>-668149.03000000038</v>
      </c>
      <c r="G97" s="1053"/>
      <c r="H97" s="1053"/>
      <c r="J97" s="1036"/>
      <c r="K97" s="1036" t="s">
        <v>31</v>
      </c>
      <c r="L97" s="1036"/>
      <c r="M97" s="1036"/>
      <c r="N97" s="1036"/>
      <c r="O97" s="1036"/>
      <c r="P97" s="1036"/>
      <c r="Q97" s="1036"/>
      <c r="R97" s="1036"/>
      <c r="S97" s="1036"/>
    </row>
    <row r="99" spans="1:20">
      <c r="A99" s="1036" t="s">
        <v>28</v>
      </c>
      <c r="B99" s="1053">
        <f>(B75)*1000</f>
        <v>-4570289.1914465493</v>
      </c>
      <c r="C99" s="1095">
        <f>(I75)*1000</f>
        <v>-325770.97000000003</v>
      </c>
      <c r="D99" s="1036"/>
      <c r="E99" s="1036"/>
      <c r="G99" s="1053"/>
      <c r="H99" s="1053"/>
      <c r="J99" s="1036"/>
      <c r="K99" s="1036"/>
      <c r="L99" s="1036"/>
      <c r="M99" s="1036"/>
      <c r="N99" s="1036"/>
      <c r="O99" s="1036"/>
      <c r="P99" s="1036"/>
      <c r="Q99" s="1036"/>
      <c r="R99" s="1036"/>
      <c r="S99" s="1036"/>
    </row>
    <row r="100" spans="1:20">
      <c r="A100" s="1036"/>
      <c r="B100" s="1053"/>
      <c r="C100" s="1095"/>
      <c r="D100" s="1036"/>
      <c r="E100" s="1036"/>
      <c r="G100" s="1053"/>
      <c r="H100" s="1053"/>
      <c r="J100" s="1036"/>
      <c r="K100" s="1036"/>
      <c r="L100" s="1036"/>
      <c r="M100" s="1036"/>
      <c r="N100" s="1036"/>
      <c r="O100" s="1036"/>
      <c r="P100" s="1036"/>
      <c r="Q100" s="1036"/>
      <c r="R100" s="1036"/>
      <c r="S100" s="1036"/>
    </row>
    <row r="101" spans="1:20">
      <c r="A101" s="1036" t="s">
        <v>216</v>
      </c>
      <c r="B101" s="1053">
        <f>(B92)*1000</f>
        <v>-2078487.6356633904</v>
      </c>
      <c r="C101" s="1095">
        <f>(D92)*1000</f>
        <v>-129325.77999999998</v>
      </c>
      <c r="D101" s="1036"/>
      <c r="E101" s="1036"/>
      <c r="G101" s="1053"/>
      <c r="H101" s="1053"/>
      <c r="J101" s="1036"/>
      <c r="K101" s="1036"/>
      <c r="L101" s="1036"/>
      <c r="M101" s="1036"/>
      <c r="N101" s="1036"/>
      <c r="O101" s="1036"/>
      <c r="P101" s="1036"/>
      <c r="Q101" s="1036"/>
      <c r="R101" s="1036"/>
      <c r="S101" s="1036"/>
    </row>
    <row r="103" spans="1:20">
      <c r="A103" s="1032" t="s">
        <v>215</v>
      </c>
      <c r="B103" s="1036"/>
      <c r="C103" s="1036"/>
      <c r="D103" s="1036"/>
      <c r="E103" s="1036"/>
      <c r="F103" s="1036"/>
      <c r="G103" s="1036"/>
      <c r="H103" s="1036"/>
      <c r="I103" s="1036"/>
      <c r="J103" s="1036"/>
      <c r="K103" s="1036"/>
      <c r="L103" s="1036"/>
      <c r="M103" s="1036"/>
      <c r="N103" s="1036"/>
      <c r="O103" s="1036"/>
      <c r="P103" s="1036"/>
      <c r="Q103" s="1036"/>
      <c r="R103" s="1036"/>
      <c r="S103" s="1036"/>
      <c r="T103" s="1036"/>
    </row>
    <row r="104" spans="1:20">
      <c r="A104" s="1036" t="s">
        <v>31</v>
      </c>
      <c r="B104" s="1036"/>
      <c r="C104" s="1036"/>
      <c r="D104" s="1036"/>
      <c r="E104" s="1036"/>
      <c r="F104" s="1036"/>
      <c r="G104" s="1036"/>
      <c r="H104" s="1036"/>
      <c r="I104" s="1036"/>
      <c r="J104" s="1036"/>
      <c r="K104" s="1036"/>
      <c r="L104" s="1036"/>
      <c r="M104" s="1036"/>
      <c r="N104" s="1036"/>
      <c r="O104" s="1036"/>
      <c r="P104" s="1036"/>
      <c r="Q104" s="1036"/>
      <c r="R104" s="1036"/>
      <c r="S104" s="1036"/>
      <c r="T104" s="1036"/>
    </row>
  </sheetData>
  <printOptions horizontalCentered="1"/>
  <pageMargins left="0.25" right="0.25" top="0.5" bottom="0.3" header="0.5" footer="0.25"/>
  <pageSetup scale="53" fitToHeight="2" orientation="portrait" r:id="rId1"/>
  <headerFooter alignWithMargins="0">
    <oddFooter>&amp;LTestimony of Christopher T. Mickelson
Docket UE-130043&amp;RExhibit No. ___ (CTM-5)
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zoomScale="110" zoomScaleNormal="110" zoomScaleSheetLayoutView="70" workbookViewId="0">
      <pane xSplit="2" ySplit="1" topLeftCell="C2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RowHeight="12.75"/>
  <cols>
    <col min="1" max="1" width="9" style="996"/>
    <col min="2" max="2" width="6.375" style="996" customWidth="1"/>
    <col min="3" max="3" width="10.625" style="996" bestFit="1" customWidth="1"/>
    <col min="4" max="4" width="9.875" style="996" customWidth="1"/>
    <col min="5" max="5" width="10.125" style="996" customWidth="1"/>
    <col min="6" max="8" width="9.875" style="996" bestFit="1" customWidth="1"/>
    <col min="9" max="11" width="9.5" style="996" customWidth="1"/>
    <col min="12" max="12" width="8.625" style="996" customWidth="1"/>
    <col min="13" max="15" width="9.25" style="996" customWidth="1"/>
    <col min="16" max="16" width="9" style="996"/>
    <col min="17" max="17" width="5.125" style="996" customWidth="1"/>
    <col min="18" max="26" width="9" style="996"/>
    <col min="27" max="27" width="9.125" style="996" customWidth="1"/>
    <col min="28" max="28" width="9" style="996"/>
    <col min="29" max="29" width="4.25" style="996" customWidth="1"/>
    <col min="30" max="257" width="9" style="996"/>
    <col min="258" max="258" width="6.375" style="996" customWidth="1"/>
    <col min="259" max="259" width="10.625" style="996" bestFit="1" customWidth="1"/>
    <col min="260" max="260" width="9.875" style="996" customWidth="1"/>
    <col min="261" max="261" width="10.125" style="996" customWidth="1"/>
    <col min="262" max="264" width="9.875" style="996" bestFit="1" customWidth="1"/>
    <col min="265" max="267" width="9.5" style="996" customWidth="1"/>
    <col min="268" max="268" width="8.625" style="996" customWidth="1"/>
    <col min="269" max="271" width="9.25" style="996" customWidth="1"/>
    <col min="272" max="272" width="9" style="996"/>
    <col min="273" max="273" width="5.125" style="996" customWidth="1"/>
    <col min="274" max="282" width="9" style="996"/>
    <col min="283" max="283" width="9.125" style="996" customWidth="1"/>
    <col min="284" max="284" width="9" style="996"/>
    <col min="285" max="285" width="4.25" style="996" customWidth="1"/>
    <col min="286" max="513" width="9" style="996"/>
    <col min="514" max="514" width="6.375" style="996" customWidth="1"/>
    <col min="515" max="515" width="10.625" style="996" bestFit="1" customWidth="1"/>
    <col min="516" max="516" width="9.875" style="996" customWidth="1"/>
    <col min="517" max="517" width="10.125" style="996" customWidth="1"/>
    <col min="518" max="520" width="9.875" style="996" bestFit="1" customWidth="1"/>
    <col min="521" max="523" width="9.5" style="996" customWidth="1"/>
    <col min="524" max="524" width="8.625" style="996" customWidth="1"/>
    <col min="525" max="527" width="9.25" style="996" customWidth="1"/>
    <col min="528" max="528" width="9" style="996"/>
    <col min="529" max="529" width="5.125" style="996" customWidth="1"/>
    <col min="530" max="538" width="9" style="996"/>
    <col min="539" max="539" width="9.125" style="996" customWidth="1"/>
    <col min="540" max="540" width="9" style="996"/>
    <col min="541" max="541" width="4.25" style="996" customWidth="1"/>
    <col min="542" max="769" width="9" style="996"/>
    <col min="770" max="770" width="6.375" style="996" customWidth="1"/>
    <col min="771" max="771" width="10.625" style="996" bestFit="1" customWidth="1"/>
    <col min="772" max="772" width="9.875" style="996" customWidth="1"/>
    <col min="773" max="773" width="10.125" style="996" customWidth="1"/>
    <col min="774" max="776" width="9.875" style="996" bestFit="1" customWidth="1"/>
    <col min="777" max="779" width="9.5" style="996" customWidth="1"/>
    <col min="780" max="780" width="8.625" style="996" customWidth="1"/>
    <col min="781" max="783" width="9.25" style="996" customWidth="1"/>
    <col min="784" max="784" width="9" style="996"/>
    <col min="785" max="785" width="5.125" style="996" customWidth="1"/>
    <col min="786" max="794" width="9" style="996"/>
    <col min="795" max="795" width="9.125" style="996" customWidth="1"/>
    <col min="796" max="796" width="9" style="996"/>
    <col min="797" max="797" width="4.25" style="996" customWidth="1"/>
    <col min="798" max="1025" width="9" style="996"/>
    <col min="1026" max="1026" width="6.375" style="996" customWidth="1"/>
    <col min="1027" max="1027" width="10.625" style="996" bestFit="1" customWidth="1"/>
    <col min="1028" max="1028" width="9.875" style="996" customWidth="1"/>
    <col min="1029" max="1029" width="10.125" style="996" customWidth="1"/>
    <col min="1030" max="1032" width="9.875" style="996" bestFit="1" customWidth="1"/>
    <col min="1033" max="1035" width="9.5" style="996" customWidth="1"/>
    <col min="1036" max="1036" width="8.625" style="996" customWidth="1"/>
    <col min="1037" max="1039" width="9.25" style="996" customWidth="1"/>
    <col min="1040" max="1040" width="9" style="996"/>
    <col min="1041" max="1041" width="5.125" style="996" customWidth="1"/>
    <col min="1042" max="1050" width="9" style="996"/>
    <col min="1051" max="1051" width="9.125" style="996" customWidth="1"/>
    <col min="1052" max="1052" width="9" style="996"/>
    <col min="1053" max="1053" width="4.25" style="996" customWidth="1"/>
    <col min="1054" max="1281" width="9" style="996"/>
    <col min="1282" max="1282" width="6.375" style="996" customWidth="1"/>
    <col min="1283" max="1283" width="10.625" style="996" bestFit="1" customWidth="1"/>
    <col min="1284" max="1284" width="9.875" style="996" customWidth="1"/>
    <col min="1285" max="1285" width="10.125" style="996" customWidth="1"/>
    <col min="1286" max="1288" width="9.875" style="996" bestFit="1" customWidth="1"/>
    <col min="1289" max="1291" width="9.5" style="996" customWidth="1"/>
    <col min="1292" max="1292" width="8.625" style="996" customWidth="1"/>
    <col min="1293" max="1295" width="9.25" style="996" customWidth="1"/>
    <col min="1296" max="1296" width="9" style="996"/>
    <col min="1297" max="1297" width="5.125" style="996" customWidth="1"/>
    <col min="1298" max="1306" width="9" style="996"/>
    <col min="1307" max="1307" width="9.125" style="996" customWidth="1"/>
    <col min="1308" max="1308" width="9" style="996"/>
    <col min="1309" max="1309" width="4.25" style="996" customWidth="1"/>
    <col min="1310" max="1537" width="9" style="996"/>
    <col min="1538" max="1538" width="6.375" style="996" customWidth="1"/>
    <col min="1539" max="1539" width="10.625" style="996" bestFit="1" customWidth="1"/>
    <col min="1540" max="1540" width="9.875" style="996" customWidth="1"/>
    <col min="1541" max="1541" width="10.125" style="996" customWidth="1"/>
    <col min="1542" max="1544" width="9.875" style="996" bestFit="1" customWidth="1"/>
    <col min="1545" max="1547" width="9.5" style="996" customWidth="1"/>
    <col min="1548" max="1548" width="8.625" style="996" customWidth="1"/>
    <col min="1549" max="1551" width="9.25" style="996" customWidth="1"/>
    <col min="1552" max="1552" width="9" style="996"/>
    <col min="1553" max="1553" width="5.125" style="996" customWidth="1"/>
    <col min="1554" max="1562" width="9" style="996"/>
    <col min="1563" max="1563" width="9.125" style="996" customWidth="1"/>
    <col min="1564" max="1564" width="9" style="996"/>
    <col min="1565" max="1565" width="4.25" style="996" customWidth="1"/>
    <col min="1566" max="1793" width="9" style="996"/>
    <col min="1794" max="1794" width="6.375" style="996" customWidth="1"/>
    <col min="1795" max="1795" width="10.625" style="996" bestFit="1" customWidth="1"/>
    <col min="1796" max="1796" width="9.875" style="996" customWidth="1"/>
    <col min="1797" max="1797" width="10.125" style="996" customWidth="1"/>
    <col min="1798" max="1800" width="9.875" style="996" bestFit="1" customWidth="1"/>
    <col min="1801" max="1803" width="9.5" style="996" customWidth="1"/>
    <col min="1804" max="1804" width="8.625" style="996" customWidth="1"/>
    <col min="1805" max="1807" width="9.25" style="996" customWidth="1"/>
    <col min="1808" max="1808" width="9" style="996"/>
    <col min="1809" max="1809" width="5.125" style="996" customWidth="1"/>
    <col min="1810" max="1818" width="9" style="996"/>
    <col min="1819" max="1819" width="9.125" style="996" customWidth="1"/>
    <col min="1820" max="1820" width="9" style="996"/>
    <col min="1821" max="1821" width="4.25" style="996" customWidth="1"/>
    <col min="1822" max="2049" width="9" style="996"/>
    <col min="2050" max="2050" width="6.375" style="996" customWidth="1"/>
    <col min="2051" max="2051" width="10.625" style="996" bestFit="1" customWidth="1"/>
    <col min="2052" max="2052" width="9.875" style="996" customWidth="1"/>
    <col min="2053" max="2053" width="10.125" style="996" customWidth="1"/>
    <col min="2054" max="2056" width="9.875" style="996" bestFit="1" customWidth="1"/>
    <col min="2057" max="2059" width="9.5" style="996" customWidth="1"/>
    <col min="2060" max="2060" width="8.625" style="996" customWidth="1"/>
    <col min="2061" max="2063" width="9.25" style="996" customWidth="1"/>
    <col min="2064" max="2064" width="9" style="996"/>
    <col min="2065" max="2065" width="5.125" style="996" customWidth="1"/>
    <col min="2066" max="2074" width="9" style="996"/>
    <col min="2075" max="2075" width="9.125" style="996" customWidth="1"/>
    <col min="2076" max="2076" width="9" style="996"/>
    <col min="2077" max="2077" width="4.25" style="996" customWidth="1"/>
    <col min="2078" max="2305" width="9" style="996"/>
    <col min="2306" max="2306" width="6.375" style="996" customWidth="1"/>
    <col min="2307" max="2307" width="10.625" style="996" bestFit="1" customWidth="1"/>
    <col min="2308" max="2308" width="9.875" style="996" customWidth="1"/>
    <col min="2309" max="2309" width="10.125" style="996" customWidth="1"/>
    <col min="2310" max="2312" width="9.875" style="996" bestFit="1" customWidth="1"/>
    <col min="2313" max="2315" width="9.5" style="996" customWidth="1"/>
    <col min="2316" max="2316" width="8.625" style="996" customWidth="1"/>
    <col min="2317" max="2319" width="9.25" style="996" customWidth="1"/>
    <col min="2320" max="2320" width="9" style="996"/>
    <col min="2321" max="2321" width="5.125" style="996" customWidth="1"/>
    <col min="2322" max="2330" width="9" style="996"/>
    <col min="2331" max="2331" width="9.125" style="996" customWidth="1"/>
    <col min="2332" max="2332" width="9" style="996"/>
    <col min="2333" max="2333" width="4.25" style="996" customWidth="1"/>
    <col min="2334" max="2561" width="9" style="996"/>
    <col min="2562" max="2562" width="6.375" style="996" customWidth="1"/>
    <col min="2563" max="2563" width="10.625" style="996" bestFit="1" customWidth="1"/>
    <col min="2564" max="2564" width="9.875" style="996" customWidth="1"/>
    <col min="2565" max="2565" width="10.125" style="996" customWidth="1"/>
    <col min="2566" max="2568" width="9.875" style="996" bestFit="1" customWidth="1"/>
    <col min="2569" max="2571" width="9.5" style="996" customWidth="1"/>
    <col min="2572" max="2572" width="8.625" style="996" customWidth="1"/>
    <col min="2573" max="2575" width="9.25" style="996" customWidth="1"/>
    <col min="2576" max="2576" width="9" style="996"/>
    <col min="2577" max="2577" width="5.125" style="996" customWidth="1"/>
    <col min="2578" max="2586" width="9" style="996"/>
    <col min="2587" max="2587" width="9.125" style="996" customWidth="1"/>
    <col min="2588" max="2588" width="9" style="996"/>
    <col min="2589" max="2589" width="4.25" style="996" customWidth="1"/>
    <col min="2590" max="2817" width="9" style="996"/>
    <col min="2818" max="2818" width="6.375" style="996" customWidth="1"/>
    <col min="2819" max="2819" width="10.625" style="996" bestFit="1" customWidth="1"/>
    <col min="2820" max="2820" width="9.875" style="996" customWidth="1"/>
    <col min="2821" max="2821" width="10.125" style="996" customWidth="1"/>
    <col min="2822" max="2824" width="9.875" style="996" bestFit="1" customWidth="1"/>
    <col min="2825" max="2827" width="9.5" style="996" customWidth="1"/>
    <col min="2828" max="2828" width="8.625" style="996" customWidth="1"/>
    <col min="2829" max="2831" width="9.25" style="996" customWidth="1"/>
    <col min="2832" max="2832" width="9" style="996"/>
    <col min="2833" max="2833" width="5.125" style="996" customWidth="1"/>
    <col min="2834" max="2842" width="9" style="996"/>
    <col min="2843" max="2843" width="9.125" style="996" customWidth="1"/>
    <col min="2844" max="2844" width="9" style="996"/>
    <col min="2845" max="2845" width="4.25" style="996" customWidth="1"/>
    <col min="2846" max="3073" width="9" style="996"/>
    <col min="3074" max="3074" width="6.375" style="996" customWidth="1"/>
    <col min="3075" max="3075" width="10.625" style="996" bestFit="1" customWidth="1"/>
    <col min="3076" max="3076" width="9.875" style="996" customWidth="1"/>
    <col min="3077" max="3077" width="10.125" style="996" customWidth="1"/>
    <col min="3078" max="3080" width="9.875" style="996" bestFit="1" customWidth="1"/>
    <col min="3081" max="3083" width="9.5" style="996" customWidth="1"/>
    <col min="3084" max="3084" width="8.625" style="996" customWidth="1"/>
    <col min="3085" max="3087" width="9.25" style="996" customWidth="1"/>
    <col min="3088" max="3088" width="9" style="996"/>
    <col min="3089" max="3089" width="5.125" style="996" customWidth="1"/>
    <col min="3090" max="3098" width="9" style="996"/>
    <col min="3099" max="3099" width="9.125" style="996" customWidth="1"/>
    <col min="3100" max="3100" width="9" style="996"/>
    <col min="3101" max="3101" width="4.25" style="996" customWidth="1"/>
    <col min="3102" max="3329" width="9" style="996"/>
    <col min="3330" max="3330" width="6.375" style="996" customWidth="1"/>
    <col min="3331" max="3331" width="10.625" style="996" bestFit="1" customWidth="1"/>
    <col min="3332" max="3332" width="9.875" style="996" customWidth="1"/>
    <col min="3333" max="3333" width="10.125" style="996" customWidth="1"/>
    <col min="3334" max="3336" width="9.875" style="996" bestFit="1" customWidth="1"/>
    <col min="3337" max="3339" width="9.5" style="996" customWidth="1"/>
    <col min="3340" max="3340" width="8.625" style="996" customWidth="1"/>
    <col min="3341" max="3343" width="9.25" style="996" customWidth="1"/>
    <col min="3344" max="3344" width="9" style="996"/>
    <col min="3345" max="3345" width="5.125" style="996" customWidth="1"/>
    <col min="3346" max="3354" width="9" style="996"/>
    <col min="3355" max="3355" width="9.125" style="996" customWidth="1"/>
    <col min="3356" max="3356" width="9" style="996"/>
    <col min="3357" max="3357" width="4.25" style="996" customWidth="1"/>
    <col min="3358" max="3585" width="9" style="996"/>
    <col min="3586" max="3586" width="6.375" style="996" customWidth="1"/>
    <col min="3587" max="3587" width="10.625" style="996" bestFit="1" customWidth="1"/>
    <col min="3588" max="3588" width="9.875" style="996" customWidth="1"/>
    <col min="3589" max="3589" width="10.125" style="996" customWidth="1"/>
    <col min="3590" max="3592" width="9.875" style="996" bestFit="1" customWidth="1"/>
    <col min="3593" max="3595" width="9.5" style="996" customWidth="1"/>
    <col min="3596" max="3596" width="8.625" style="996" customWidth="1"/>
    <col min="3597" max="3599" width="9.25" style="996" customWidth="1"/>
    <col min="3600" max="3600" width="9" style="996"/>
    <col min="3601" max="3601" width="5.125" style="996" customWidth="1"/>
    <col min="3602" max="3610" width="9" style="996"/>
    <col min="3611" max="3611" width="9.125" style="996" customWidth="1"/>
    <col min="3612" max="3612" width="9" style="996"/>
    <col min="3613" max="3613" width="4.25" style="996" customWidth="1"/>
    <col min="3614" max="3841" width="9" style="996"/>
    <col min="3842" max="3842" width="6.375" style="996" customWidth="1"/>
    <col min="3843" max="3843" width="10.625" style="996" bestFit="1" customWidth="1"/>
    <col min="3844" max="3844" width="9.875" style="996" customWidth="1"/>
    <col min="3845" max="3845" width="10.125" style="996" customWidth="1"/>
    <col min="3846" max="3848" width="9.875" style="996" bestFit="1" customWidth="1"/>
    <col min="3849" max="3851" width="9.5" style="996" customWidth="1"/>
    <col min="3852" max="3852" width="8.625" style="996" customWidth="1"/>
    <col min="3853" max="3855" width="9.25" style="996" customWidth="1"/>
    <col min="3856" max="3856" width="9" style="996"/>
    <col min="3857" max="3857" width="5.125" style="996" customWidth="1"/>
    <col min="3858" max="3866" width="9" style="996"/>
    <col min="3867" max="3867" width="9.125" style="996" customWidth="1"/>
    <col min="3868" max="3868" width="9" style="996"/>
    <col min="3869" max="3869" width="4.25" style="996" customWidth="1"/>
    <col min="3870" max="4097" width="9" style="996"/>
    <col min="4098" max="4098" width="6.375" style="996" customWidth="1"/>
    <col min="4099" max="4099" width="10.625" style="996" bestFit="1" customWidth="1"/>
    <col min="4100" max="4100" width="9.875" style="996" customWidth="1"/>
    <col min="4101" max="4101" width="10.125" style="996" customWidth="1"/>
    <col min="4102" max="4104" width="9.875" style="996" bestFit="1" customWidth="1"/>
    <col min="4105" max="4107" width="9.5" style="996" customWidth="1"/>
    <col min="4108" max="4108" width="8.625" style="996" customWidth="1"/>
    <col min="4109" max="4111" width="9.25" style="996" customWidth="1"/>
    <col min="4112" max="4112" width="9" style="996"/>
    <col min="4113" max="4113" width="5.125" style="996" customWidth="1"/>
    <col min="4114" max="4122" width="9" style="996"/>
    <col min="4123" max="4123" width="9.125" style="996" customWidth="1"/>
    <col min="4124" max="4124" width="9" style="996"/>
    <col min="4125" max="4125" width="4.25" style="996" customWidth="1"/>
    <col min="4126" max="4353" width="9" style="996"/>
    <col min="4354" max="4354" width="6.375" style="996" customWidth="1"/>
    <col min="4355" max="4355" width="10.625" style="996" bestFit="1" customWidth="1"/>
    <col min="4356" max="4356" width="9.875" style="996" customWidth="1"/>
    <col min="4357" max="4357" width="10.125" style="996" customWidth="1"/>
    <col min="4358" max="4360" width="9.875" style="996" bestFit="1" customWidth="1"/>
    <col min="4361" max="4363" width="9.5" style="996" customWidth="1"/>
    <col min="4364" max="4364" width="8.625" style="996" customWidth="1"/>
    <col min="4365" max="4367" width="9.25" style="996" customWidth="1"/>
    <col min="4368" max="4368" width="9" style="996"/>
    <col min="4369" max="4369" width="5.125" style="996" customWidth="1"/>
    <col min="4370" max="4378" width="9" style="996"/>
    <col min="4379" max="4379" width="9.125" style="996" customWidth="1"/>
    <col min="4380" max="4380" width="9" style="996"/>
    <col min="4381" max="4381" width="4.25" style="996" customWidth="1"/>
    <col min="4382" max="4609" width="9" style="996"/>
    <col min="4610" max="4610" width="6.375" style="996" customWidth="1"/>
    <col min="4611" max="4611" width="10.625" style="996" bestFit="1" customWidth="1"/>
    <col min="4612" max="4612" width="9.875" style="996" customWidth="1"/>
    <col min="4613" max="4613" width="10.125" style="996" customWidth="1"/>
    <col min="4614" max="4616" width="9.875" style="996" bestFit="1" customWidth="1"/>
    <col min="4617" max="4619" width="9.5" style="996" customWidth="1"/>
    <col min="4620" max="4620" width="8.625" style="996" customWidth="1"/>
    <col min="4621" max="4623" width="9.25" style="996" customWidth="1"/>
    <col min="4624" max="4624" width="9" style="996"/>
    <col min="4625" max="4625" width="5.125" style="996" customWidth="1"/>
    <col min="4626" max="4634" width="9" style="996"/>
    <col min="4635" max="4635" width="9.125" style="996" customWidth="1"/>
    <col min="4636" max="4636" width="9" style="996"/>
    <col min="4637" max="4637" width="4.25" style="996" customWidth="1"/>
    <col min="4638" max="4865" width="9" style="996"/>
    <col min="4866" max="4866" width="6.375" style="996" customWidth="1"/>
    <col min="4867" max="4867" width="10.625" style="996" bestFit="1" customWidth="1"/>
    <col min="4868" max="4868" width="9.875" style="996" customWidth="1"/>
    <col min="4869" max="4869" width="10.125" style="996" customWidth="1"/>
    <col min="4870" max="4872" width="9.875" style="996" bestFit="1" customWidth="1"/>
    <col min="4873" max="4875" width="9.5" style="996" customWidth="1"/>
    <col min="4876" max="4876" width="8.625" style="996" customWidth="1"/>
    <col min="4877" max="4879" width="9.25" style="996" customWidth="1"/>
    <col min="4880" max="4880" width="9" style="996"/>
    <col min="4881" max="4881" width="5.125" style="996" customWidth="1"/>
    <col min="4882" max="4890" width="9" style="996"/>
    <col min="4891" max="4891" width="9.125" style="996" customWidth="1"/>
    <col min="4892" max="4892" width="9" style="996"/>
    <col min="4893" max="4893" width="4.25" style="996" customWidth="1"/>
    <col min="4894" max="5121" width="9" style="996"/>
    <col min="5122" max="5122" width="6.375" style="996" customWidth="1"/>
    <col min="5123" max="5123" width="10.625" style="996" bestFit="1" customWidth="1"/>
    <col min="5124" max="5124" width="9.875" style="996" customWidth="1"/>
    <col min="5125" max="5125" width="10.125" style="996" customWidth="1"/>
    <col min="5126" max="5128" width="9.875" style="996" bestFit="1" customWidth="1"/>
    <col min="5129" max="5131" width="9.5" style="996" customWidth="1"/>
    <col min="5132" max="5132" width="8.625" style="996" customWidth="1"/>
    <col min="5133" max="5135" width="9.25" style="996" customWidth="1"/>
    <col min="5136" max="5136" width="9" style="996"/>
    <col min="5137" max="5137" width="5.125" style="996" customWidth="1"/>
    <col min="5138" max="5146" width="9" style="996"/>
    <col min="5147" max="5147" width="9.125" style="996" customWidth="1"/>
    <col min="5148" max="5148" width="9" style="996"/>
    <col min="5149" max="5149" width="4.25" style="996" customWidth="1"/>
    <col min="5150" max="5377" width="9" style="996"/>
    <col min="5378" max="5378" width="6.375" style="996" customWidth="1"/>
    <col min="5379" max="5379" width="10.625" style="996" bestFit="1" customWidth="1"/>
    <col min="5380" max="5380" width="9.875" style="996" customWidth="1"/>
    <col min="5381" max="5381" width="10.125" style="996" customWidth="1"/>
    <col min="5382" max="5384" width="9.875" style="996" bestFit="1" customWidth="1"/>
    <col min="5385" max="5387" width="9.5" style="996" customWidth="1"/>
    <col min="5388" max="5388" width="8.625" style="996" customWidth="1"/>
    <col min="5389" max="5391" width="9.25" style="996" customWidth="1"/>
    <col min="5392" max="5392" width="9" style="996"/>
    <col min="5393" max="5393" width="5.125" style="996" customWidth="1"/>
    <col min="5394" max="5402" width="9" style="996"/>
    <col min="5403" max="5403" width="9.125" style="996" customWidth="1"/>
    <col min="5404" max="5404" width="9" style="996"/>
    <col min="5405" max="5405" width="4.25" style="996" customWidth="1"/>
    <col min="5406" max="5633" width="9" style="996"/>
    <col min="5634" max="5634" width="6.375" style="996" customWidth="1"/>
    <col min="5635" max="5635" width="10.625" style="996" bestFit="1" customWidth="1"/>
    <col min="5636" max="5636" width="9.875" style="996" customWidth="1"/>
    <col min="5637" max="5637" width="10.125" style="996" customWidth="1"/>
    <col min="5638" max="5640" width="9.875" style="996" bestFit="1" customWidth="1"/>
    <col min="5641" max="5643" width="9.5" style="996" customWidth="1"/>
    <col min="5644" max="5644" width="8.625" style="996" customWidth="1"/>
    <col min="5645" max="5647" width="9.25" style="996" customWidth="1"/>
    <col min="5648" max="5648" width="9" style="996"/>
    <col min="5649" max="5649" width="5.125" style="996" customWidth="1"/>
    <col min="5650" max="5658" width="9" style="996"/>
    <col min="5659" max="5659" width="9.125" style="996" customWidth="1"/>
    <col min="5660" max="5660" width="9" style="996"/>
    <col min="5661" max="5661" width="4.25" style="996" customWidth="1"/>
    <col min="5662" max="5889" width="9" style="996"/>
    <col min="5890" max="5890" width="6.375" style="996" customWidth="1"/>
    <col min="5891" max="5891" width="10.625" style="996" bestFit="1" customWidth="1"/>
    <col min="5892" max="5892" width="9.875" style="996" customWidth="1"/>
    <col min="5893" max="5893" width="10.125" style="996" customWidth="1"/>
    <col min="5894" max="5896" width="9.875" style="996" bestFit="1" customWidth="1"/>
    <col min="5897" max="5899" width="9.5" style="996" customWidth="1"/>
    <col min="5900" max="5900" width="8.625" style="996" customWidth="1"/>
    <col min="5901" max="5903" width="9.25" style="996" customWidth="1"/>
    <col min="5904" max="5904" width="9" style="996"/>
    <col min="5905" max="5905" width="5.125" style="996" customWidth="1"/>
    <col min="5906" max="5914" width="9" style="996"/>
    <col min="5915" max="5915" width="9.125" style="996" customWidth="1"/>
    <col min="5916" max="5916" width="9" style="996"/>
    <col min="5917" max="5917" width="4.25" style="996" customWidth="1"/>
    <col min="5918" max="6145" width="9" style="996"/>
    <col min="6146" max="6146" width="6.375" style="996" customWidth="1"/>
    <col min="6147" max="6147" width="10.625" style="996" bestFit="1" customWidth="1"/>
    <col min="6148" max="6148" width="9.875" style="996" customWidth="1"/>
    <col min="6149" max="6149" width="10.125" style="996" customWidth="1"/>
    <col min="6150" max="6152" width="9.875" style="996" bestFit="1" customWidth="1"/>
    <col min="6153" max="6155" width="9.5" style="996" customWidth="1"/>
    <col min="6156" max="6156" width="8.625" style="996" customWidth="1"/>
    <col min="6157" max="6159" width="9.25" style="996" customWidth="1"/>
    <col min="6160" max="6160" width="9" style="996"/>
    <col min="6161" max="6161" width="5.125" style="996" customWidth="1"/>
    <col min="6162" max="6170" width="9" style="996"/>
    <col min="6171" max="6171" width="9.125" style="996" customWidth="1"/>
    <col min="6172" max="6172" width="9" style="996"/>
    <col min="6173" max="6173" width="4.25" style="996" customWidth="1"/>
    <col min="6174" max="6401" width="9" style="996"/>
    <col min="6402" max="6402" width="6.375" style="996" customWidth="1"/>
    <col min="6403" max="6403" width="10.625" style="996" bestFit="1" customWidth="1"/>
    <col min="6404" max="6404" width="9.875" style="996" customWidth="1"/>
    <col min="6405" max="6405" width="10.125" style="996" customWidth="1"/>
    <col min="6406" max="6408" width="9.875" style="996" bestFit="1" customWidth="1"/>
    <col min="6409" max="6411" width="9.5" style="996" customWidth="1"/>
    <col min="6412" max="6412" width="8.625" style="996" customWidth="1"/>
    <col min="6413" max="6415" width="9.25" style="996" customWidth="1"/>
    <col min="6416" max="6416" width="9" style="996"/>
    <col min="6417" max="6417" width="5.125" style="996" customWidth="1"/>
    <col min="6418" max="6426" width="9" style="996"/>
    <col min="6427" max="6427" width="9.125" style="996" customWidth="1"/>
    <col min="6428" max="6428" width="9" style="996"/>
    <col min="6429" max="6429" width="4.25" style="996" customWidth="1"/>
    <col min="6430" max="6657" width="9" style="996"/>
    <col min="6658" max="6658" width="6.375" style="996" customWidth="1"/>
    <col min="6659" max="6659" width="10.625" style="996" bestFit="1" customWidth="1"/>
    <col min="6660" max="6660" width="9.875" style="996" customWidth="1"/>
    <col min="6661" max="6661" width="10.125" style="996" customWidth="1"/>
    <col min="6662" max="6664" width="9.875" style="996" bestFit="1" customWidth="1"/>
    <col min="6665" max="6667" width="9.5" style="996" customWidth="1"/>
    <col min="6668" max="6668" width="8.625" style="996" customWidth="1"/>
    <col min="6669" max="6671" width="9.25" style="996" customWidth="1"/>
    <col min="6672" max="6672" width="9" style="996"/>
    <col min="6673" max="6673" width="5.125" style="996" customWidth="1"/>
    <col min="6674" max="6682" width="9" style="996"/>
    <col min="6683" max="6683" width="9.125" style="996" customWidth="1"/>
    <col min="6684" max="6684" width="9" style="996"/>
    <col min="6685" max="6685" width="4.25" style="996" customWidth="1"/>
    <col min="6686" max="6913" width="9" style="996"/>
    <col min="6914" max="6914" width="6.375" style="996" customWidth="1"/>
    <col min="6915" max="6915" width="10.625" style="996" bestFit="1" customWidth="1"/>
    <col min="6916" max="6916" width="9.875" style="996" customWidth="1"/>
    <col min="6917" max="6917" width="10.125" style="996" customWidth="1"/>
    <col min="6918" max="6920" width="9.875" style="996" bestFit="1" customWidth="1"/>
    <col min="6921" max="6923" width="9.5" style="996" customWidth="1"/>
    <col min="6924" max="6924" width="8.625" style="996" customWidth="1"/>
    <col min="6925" max="6927" width="9.25" style="996" customWidth="1"/>
    <col min="6928" max="6928" width="9" style="996"/>
    <col min="6929" max="6929" width="5.125" style="996" customWidth="1"/>
    <col min="6930" max="6938" width="9" style="996"/>
    <col min="6939" max="6939" width="9.125" style="996" customWidth="1"/>
    <col min="6940" max="6940" width="9" style="996"/>
    <col min="6941" max="6941" width="4.25" style="996" customWidth="1"/>
    <col min="6942" max="7169" width="9" style="996"/>
    <col min="7170" max="7170" width="6.375" style="996" customWidth="1"/>
    <col min="7171" max="7171" width="10.625" style="996" bestFit="1" customWidth="1"/>
    <col min="7172" max="7172" width="9.875" style="996" customWidth="1"/>
    <col min="7173" max="7173" width="10.125" style="996" customWidth="1"/>
    <col min="7174" max="7176" width="9.875" style="996" bestFit="1" customWidth="1"/>
    <col min="7177" max="7179" width="9.5" style="996" customWidth="1"/>
    <col min="7180" max="7180" width="8.625" style="996" customWidth="1"/>
    <col min="7181" max="7183" width="9.25" style="996" customWidth="1"/>
    <col min="7184" max="7184" width="9" style="996"/>
    <col min="7185" max="7185" width="5.125" style="996" customWidth="1"/>
    <col min="7186" max="7194" width="9" style="996"/>
    <col min="7195" max="7195" width="9.125" style="996" customWidth="1"/>
    <col min="7196" max="7196" width="9" style="996"/>
    <col min="7197" max="7197" width="4.25" style="996" customWidth="1"/>
    <col min="7198" max="7425" width="9" style="996"/>
    <col min="7426" max="7426" width="6.375" style="996" customWidth="1"/>
    <col min="7427" max="7427" width="10.625" style="996" bestFit="1" customWidth="1"/>
    <col min="7428" max="7428" width="9.875" style="996" customWidth="1"/>
    <col min="7429" max="7429" width="10.125" style="996" customWidth="1"/>
    <col min="7430" max="7432" width="9.875" style="996" bestFit="1" customWidth="1"/>
    <col min="7433" max="7435" width="9.5" style="996" customWidth="1"/>
    <col min="7436" max="7436" width="8.625" style="996" customWidth="1"/>
    <col min="7437" max="7439" width="9.25" style="996" customWidth="1"/>
    <col min="7440" max="7440" width="9" style="996"/>
    <col min="7441" max="7441" width="5.125" style="996" customWidth="1"/>
    <col min="7442" max="7450" width="9" style="996"/>
    <col min="7451" max="7451" width="9.125" style="996" customWidth="1"/>
    <col min="7452" max="7452" width="9" style="996"/>
    <col min="7453" max="7453" width="4.25" style="996" customWidth="1"/>
    <col min="7454" max="7681" width="9" style="996"/>
    <col min="7682" max="7682" width="6.375" style="996" customWidth="1"/>
    <col min="7683" max="7683" width="10.625" style="996" bestFit="1" customWidth="1"/>
    <col min="7684" max="7684" width="9.875" style="996" customWidth="1"/>
    <col min="7685" max="7685" width="10.125" style="996" customWidth="1"/>
    <col min="7686" max="7688" width="9.875" style="996" bestFit="1" customWidth="1"/>
    <col min="7689" max="7691" width="9.5" style="996" customWidth="1"/>
    <col min="7692" max="7692" width="8.625" style="996" customWidth="1"/>
    <col min="7693" max="7695" width="9.25" style="996" customWidth="1"/>
    <col min="7696" max="7696" width="9" style="996"/>
    <col min="7697" max="7697" width="5.125" style="996" customWidth="1"/>
    <col min="7698" max="7706" width="9" style="996"/>
    <col min="7707" max="7707" width="9.125" style="996" customWidth="1"/>
    <col min="7708" max="7708" width="9" style="996"/>
    <col min="7709" max="7709" width="4.25" style="996" customWidth="1"/>
    <col min="7710" max="7937" width="9" style="996"/>
    <col min="7938" max="7938" width="6.375" style="996" customWidth="1"/>
    <col min="7939" max="7939" width="10.625" style="996" bestFit="1" customWidth="1"/>
    <col min="7940" max="7940" width="9.875" style="996" customWidth="1"/>
    <col min="7941" max="7941" width="10.125" style="996" customWidth="1"/>
    <col min="7942" max="7944" width="9.875" style="996" bestFit="1" customWidth="1"/>
    <col min="7945" max="7947" width="9.5" style="996" customWidth="1"/>
    <col min="7948" max="7948" width="8.625" style="996" customWidth="1"/>
    <col min="7949" max="7951" width="9.25" style="996" customWidth="1"/>
    <col min="7952" max="7952" width="9" style="996"/>
    <col min="7953" max="7953" width="5.125" style="996" customWidth="1"/>
    <col min="7954" max="7962" width="9" style="996"/>
    <col min="7963" max="7963" width="9.125" style="996" customWidth="1"/>
    <col min="7964" max="7964" width="9" style="996"/>
    <col min="7965" max="7965" width="4.25" style="996" customWidth="1"/>
    <col min="7966" max="8193" width="9" style="996"/>
    <col min="8194" max="8194" width="6.375" style="996" customWidth="1"/>
    <col min="8195" max="8195" width="10.625" style="996" bestFit="1" customWidth="1"/>
    <col min="8196" max="8196" width="9.875" style="996" customWidth="1"/>
    <col min="8197" max="8197" width="10.125" style="996" customWidth="1"/>
    <col min="8198" max="8200" width="9.875" style="996" bestFit="1" customWidth="1"/>
    <col min="8201" max="8203" width="9.5" style="996" customWidth="1"/>
    <col min="8204" max="8204" width="8.625" style="996" customWidth="1"/>
    <col min="8205" max="8207" width="9.25" style="996" customWidth="1"/>
    <col min="8208" max="8208" width="9" style="996"/>
    <col min="8209" max="8209" width="5.125" style="996" customWidth="1"/>
    <col min="8210" max="8218" width="9" style="996"/>
    <col min="8219" max="8219" width="9.125" style="996" customWidth="1"/>
    <col min="8220" max="8220" width="9" style="996"/>
    <col min="8221" max="8221" width="4.25" style="996" customWidth="1"/>
    <col min="8222" max="8449" width="9" style="996"/>
    <col min="8450" max="8450" width="6.375" style="996" customWidth="1"/>
    <col min="8451" max="8451" width="10.625" style="996" bestFit="1" customWidth="1"/>
    <col min="8452" max="8452" width="9.875" style="996" customWidth="1"/>
    <col min="8453" max="8453" width="10.125" style="996" customWidth="1"/>
    <col min="8454" max="8456" width="9.875" style="996" bestFit="1" customWidth="1"/>
    <col min="8457" max="8459" width="9.5" style="996" customWidth="1"/>
    <col min="8460" max="8460" width="8.625" style="996" customWidth="1"/>
    <col min="8461" max="8463" width="9.25" style="996" customWidth="1"/>
    <col min="8464" max="8464" width="9" style="996"/>
    <col min="8465" max="8465" width="5.125" style="996" customWidth="1"/>
    <col min="8466" max="8474" width="9" style="996"/>
    <col min="8475" max="8475" width="9.125" style="996" customWidth="1"/>
    <col min="8476" max="8476" width="9" style="996"/>
    <col min="8477" max="8477" width="4.25" style="996" customWidth="1"/>
    <col min="8478" max="8705" width="9" style="996"/>
    <col min="8706" max="8706" width="6.375" style="996" customWidth="1"/>
    <col min="8707" max="8707" width="10.625" style="996" bestFit="1" customWidth="1"/>
    <col min="8708" max="8708" width="9.875" style="996" customWidth="1"/>
    <col min="8709" max="8709" width="10.125" style="996" customWidth="1"/>
    <col min="8710" max="8712" width="9.875" style="996" bestFit="1" customWidth="1"/>
    <col min="8713" max="8715" width="9.5" style="996" customWidth="1"/>
    <col min="8716" max="8716" width="8.625" style="996" customWidth="1"/>
    <col min="8717" max="8719" width="9.25" style="996" customWidth="1"/>
    <col min="8720" max="8720" width="9" style="996"/>
    <col min="8721" max="8721" width="5.125" style="996" customWidth="1"/>
    <col min="8722" max="8730" width="9" style="996"/>
    <col min="8731" max="8731" width="9.125" style="996" customWidth="1"/>
    <col min="8732" max="8732" width="9" style="996"/>
    <col min="8733" max="8733" width="4.25" style="996" customWidth="1"/>
    <col min="8734" max="8961" width="9" style="996"/>
    <col min="8962" max="8962" width="6.375" style="996" customWidth="1"/>
    <col min="8963" max="8963" width="10.625" style="996" bestFit="1" customWidth="1"/>
    <col min="8964" max="8964" width="9.875" style="996" customWidth="1"/>
    <col min="8965" max="8965" width="10.125" style="996" customWidth="1"/>
    <col min="8966" max="8968" width="9.875" style="996" bestFit="1" customWidth="1"/>
    <col min="8969" max="8971" width="9.5" style="996" customWidth="1"/>
    <col min="8972" max="8972" width="8.625" style="996" customWidth="1"/>
    <col min="8973" max="8975" width="9.25" style="996" customWidth="1"/>
    <col min="8976" max="8976" width="9" style="996"/>
    <col min="8977" max="8977" width="5.125" style="996" customWidth="1"/>
    <col min="8978" max="8986" width="9" style="996"/>
    <col min="8987" max="8987" width="9.125" style="996" customWidth="1"/>
    <col min="8988" max="8988" width="9" style="996"/>
    <col min="8989" max="8989" width="4.25" style="996" customWidth="1"/>
    <col min="8990" max="9217" width="9" style="996"/>
    <col min="9218" max="9218" width="6.375" style="996" customWidth="1"/>
    <col min="9219" max="9219" width="10.625" style="996" bestFit="1" customWidth="1"/>
    <col min="9220" max="9220" width="9.875" style="996" customWidth="1"/>
    <col min="9221" max="9221" width="10.125" style="996" customWidth="1"/>
    <col min="9222" max="9224" width="9.875" style="996" bestFit="1" customWidth="1"/>
    <col min="9225" max="9227" width="9.5" style="996" customWidth="1"/>
    <col min="9228" max="9228" width="8.625" style="996" customWidth="1"/>
    <col min="9229" max="9231" width="9.25" style="996" customWidth="1"/>
    <col min="9232" max="9232" width="9" style="996"/>
    <col min="9233" max="9233" width="5.125" style="996" customWidth="1"/>
    <col min="9234" max="9242" width="9" style="996"/>
    <col min="9243" max="9243" width="9.125" style="996" customWidth="1"/>
    <col min="9244" max="9244" width="9" style="996"/>
    <col min="9245" max="9245" width="4.25" style="996" customWidth="1"/>
    <col min="9246" max="9473" width="9" style="996"/>
    <col min="9474" max="9474" width="6.375" style="996" customWidth="1"/>
    <col min="9475" max="9475" width="10.625" style="996" bestFit="1" customWidth="1"/>
    <col min="9476" max="9476" width="9.875" style="996" customWidth="1"/>
    <col min="9477" max="9477" width="10.125" style="996" customWidth="1"/>
    <col min="9478" max="9480" width="9.875" style="996" bestFit="1" customWidth="1"/>
    <col min="9481" max="9483" width="9.5" style="996" customWidth="1"/>
    <col min="9484" max="9484" width="8.625" style="996" customWidth="1"/>
    <col min="9485" max="9487" width="9.25" style="996" customWidth="1"/>
    <col min="9488" max="9488" width="9" style="996"/>
    <col min="9489" max="9489" width="5.125" style="996" customWidth="1"/>
    <col min="9490" max="9498" width="9" style="996"/>
    <col min="9499" max="9499" width="9.125" style="996" customWidth="1"/>
    <col min="9500" max="9500" width="9" style="996"/>
    <col min="9501" max="9501" width="4.25" style="996" customWidth="1"/>
    <col min="9502" max="9729" width="9" style="996"/>
    <col min="9730" max="9730" width="6.375" style="996" customWidth="1"/>
    <col min="9731" max="9731" width="10.625" style="996" bestFit="1" customWidth="1"/>
    <col min="9732" max="9732" width="9.875" style="996" customWidth="1"/>
    <col min="9733" max="9733" width="10.125" style="996" customWidth="1"/>
    <col min="9734" max="9736" width="9.875" style="996" bestFit="1" customWidth="1"/>
    <col min="9737" max="9739" width="9.5" style="996" customWidth="1"/>
    <col min="9740" max="9740" width="8.625" style="996" customWidth="1"/>
    <col min="9741" max="9743" width="9.25" style="996" customWidth="1"/>
    <col min="9744" max="9744" width="9" style="996"/>
    <col min="9745" max="9745" width="5.125" style="996" customWidth="1"/>
    <col min="9746" max="9754" width="9" style="996"/>
    <col min="9755" max="9755" width="9.125" style="996" customWidth="1"/>
    <col min="9756" max="9756" width="9" style="996"/>
    <col min="9757" max="9757" width="4.25" style="996" customWidth="1"/>
    <col min="9758" max="9985" width="9" style="996"/>
    <col min="9986" max="9986" width="6.375" style="996" customWidth="1"/>
    <col min="9987" max="9987" width="10.625" style="996" bestFit="1" customWidth="1"/>
    <col min="9988" max="9988" width="9.875" style="996" customWidth="1"/>
    <col min="9989" max="9989" width="10.125" style="996" customWidth="1"/>
    <col min="9990" max="9992" width="9.875" style="996" bestFit="1" customWidth="1"/>
    <col min="9993" max="9995" width="9.5" style="996" customWidth="1"/>
    <col min="9996" max="9996" width="8.625" style="996" customWidth="1"/>
    <col min="9997" max="9999" width="9.25" style="996" customWidth="1"/>
    <col min="10000" max="10000" width="9" style="996"/>
    <col min="10001" max="10001" width="5.125" style="996" customWidth="1"/>
    <col min="10002" max="10010" width="9" style="996"/>
    <col min="10011" max="10011" width="9.125" style="996" customWidth="1"/>
    <col min="10012" max="10012" width="9" style="996"/>
    <col min="10013" max="10013" width="4.25" style="996" customWidth="1"/>
    <col min="10014" max="10241" width="9" style="996"/>
    <col min="10242" max="10242" width="6.375" style="996" customWidth="1"/>
    <col min="10243" max="10243" width="10.625" style="996" bestFit="1" customWidth="1"/>
    <col min="10244" max="10244" width="9.875" style="996" customWidth="1"/>
    <col min="10245" max="10245" width="10.125" style="996" customWidth="1"/>
    <col min="10246" max="10248" width="9.875" style="996" bestFit="1" customWidth="1"/>
    <col min="10249" max="10251" width="9.5" style="996" customWidth="1"/>
    <col min="10252" max="10252" width="8.625" style="996" customWidth="1"/>
    <col min="10253" max="10255" width="9.25" style="996" customWidth="1"/>
    <col min="10256" max="10256" width="9" style="996"/>
    <col min="10257" max="10257" width="5.125" style="996" customWidth="1"/>
    <col min="10258" max="10266" width="9" style="996"/>
    <col min="10267" max="10267" width="9.125" style="996" customWidth="1"/>
    <col min="10268" max="10268" width="9" style="996"/>
    <col min="10269" max="10269" width="4.25" style="996" customWidth="1"/>
    <col min="10270" max="10497" width="9" style="996"/>
    <col min="10498" max="10498" width="6.375" style="996" customWidth="1"/>
    <col min="10499" max="10499" width="10.625" style="996" bestFit="1" customWidth="1"/>
    <col min="10500" max="10500" width="9.875" style="996" customWidth="1"/>
    <col min="10501" max="10501" width="10.125" style="996" customWidth="1"/>
    <col min="10502" max="10504" width="9.875" style="996" bestFit="1" customWidth="1"/>
    <col min="10505" max="10507" width="9.5" style="996" customWidth="1"/>
    <col min="10508" max="10508" width="8.625" style="996" customWidth="1"/>
    <col min="10509" max="10511" width="9.25" style="996" customWidth="1"/>
    <col min="10512" max="10512" width="9" style="996"/>
    <col min="10513" max="10513" width="5.125" style="996" customWidth="1"/>
    <col min="10514" max="10522" width="9" style="996"/>
    <col min="10523" max="10523" width="9.125" style="996" customWidth="1"/>
    <col min="10524" max="10524" width="9" style="996"/>
    <col min="10525" max="10525" width="4.25" style="996" customWidth="1"/>
    <col min="10526" max="10753" width="9" style="996"/>
    <col min="10754" max="10754" width="6.375" style="996" customWidth="1"/>
    <col min="10755" max="10755" width="10.625" style="996" bestFit="1" customWidth="1"/>
    <col min="10756" max="10756" width="9.875" style="996" customWidth="1"/>
    <col min="10757" max="10757" width="10.125" style="996" customWidth="1"/>
    <col min="10758" max="10760" width="9.875" style="996" bestFit="1" customWidth="1"/>
    <col min="10761" max="10763" width="9.5" style="996" customWidth="1"/>
    <col min="10764" max="10764" width="8.625" style="996" customWidth="1"/>
    <col min="10765" max="10767" width="9.25" style="996" customWidth="1"/>
    <col min="10768" max="10768" width="9" style="996"/>
    <col min="10769" max="10769" width="5.125" style="996" customWidth="1"/>
    <col min="10770" max="10778" width="9" style="996"/>
    <col min="10779" max="10779" width="9.125" style="996" customWidth="1"/>
    <col min="10780" max="10780" width="9" style="996"/>
    <col min="10781" max="10781" width="4.25" style="996" customWidth="1"/>
    <col min="10782" max="11009" width="9" style="996"/>
    <col min="11010" max="11010" width="6.375" style="996" customWidth="1"/>
    <col min="11011" max="11011" width="10.625" style="996" bestFit="1" customWidth="1"/>
    <col min="11012" max="11012" width="9.875" style="996" customWidth="1"/>
    <col min="11013" max="11013" width="10.125" style="996" customWidth="1"/>
    <col min="11014" max="11016" width="9.875" style="996" bestFit="1" customWidth="1"/>
    <col min="11017" max="11019" width="9.5" style="996" customWidth="1"/>
    <col min="11020" max="11020" width="8.625" style="996" customWidth="1"/>
    <col min="11021" max="11023" width="9.25" style="996" customWidth="1"/>
    <col min="11024" max="11024" width="9" style="996"/>
    <col min="11025" max="11025" width="5.125" style="996" customWidth="1"/>
    <col min="11026" max="11034" width="9" style="996"/>
    <col min="11035" max="11035" width="9.125" style="996" customWidth="1"/>
    <col min="11036" max="11036" width="9" style="996"/>
    <col min="11037" max="11037" width="4.25" style="996" customWidth="1"/>
    <col min="11038" max="11265" width="9" style="996"/>
    <col min="11266" max="11266" width="6.375" style="996" customWidth="1"/>
    <col min="11267" max="11267" width="10.625" style="996" bestFit="1" customWidth="1"/>
    <col min="11268" max="11268" width="9.875" style="996" customWidth="1"/>
    <col min="11269" max="11269" width="10.125" style="996" customWidth="1"/>
    <col min="11270" max="11272" width="9.875" style="996" bestFit="1" customWidth="1"/>
    <col min="11273" max="11275" width="9.5" style="996" customWidth="1"/>
    <col min="11276" max="11276" width="8.625" style="996" customWidth="1"/>
    <col min="11277" max="11279" width="9.25" style="996" customWidth="1"/>
    <col min="11280" max="11280" width="9" style="996"/>
    <col min="11281" max="11281" width="5.125" style="996" customWidth="1"/>
    <col min="11282" max="11290" width="9" style="996"/>
    <col min="11291" max="11291" width="9.125" style="996" customWidth="1"/>
    <col min="11292" max="11292" width="9" style="996"/>
    <col min="11293" max="11293" width="4.25" style="996" customWidth="1"/>
    <col min="11294" max="11521" width="9" style="996"/>
    <col min="11522" max="11522" width="6.375" style="996" customWidth="1"/>
    <col min="11523" max="11523" width="10.625" style="996" bestFit="1" customWidth="1"/>
    <col min="11524" max="11524" width="9.875" style="996" customWidth="1"/>
    <col min="11525" max="11525" width="10.125" style="996" customWidth="1"/>
    <col min="11526" max="11528" width="9.875" style="996" bestFit="1" customWidth="1"/>
    <col min="11529" max="11531" width="9.5" style="996" customWidth="1"/>
    <col min="11532" max="11532" width="8.625" style="996" customWidth="1"/>
    <col min="11533" max="11535" width="9.25" style="996" customWidth="1"/>
    <col min="11536" max="11536" width="9" style="996"/>
    <col min="11537" max="11537" width="5.125" style="996" customWidth="1"/>
    <col min="11538" max="11546" width="9" style="996"/>
    <col min="11547" max="11547" width="9.125" style="996" customWidth="1"/>
    <col min="11548" max="11548" width="9" style="996"/>
    <col min="11549" max="11549" width="4.25" style="996" customWidth="1"/>
    <col min="11550" max="11777" width="9" style="996"/>
    <col min="11778" max="11778" width="6.375" style="996" customWidth="1"/>
    <col min="11779" max="11779" width="10.625" style="996" bestFit="1" customWidth="1"/>
    <col min="11780" max="11780" width="9.875" style="996" customWidth="1"/>
    <col min="11781" max="11781" width="10.125" style="996" customWidth="1"/>
    <col min="11782" max="11784" width="9.875" style="996" bestFit="1" customWidth="1"/>
    <col min="11785" max="11787" width="9.5" style="996" customWidth="1"/>
    <col min="11788" max="11788" width="8.625" style="996" customWidth="1"/>
    <col min="11789" max="11791" width="9.25" style="996" customWidth="1"/>
    <col min="11792" max="11792" width="9" style="996"/>
    <col min="11793" max="11793" width="5.125" style="996" customWidth="1"/>
    <col min="11794" max="11802" width="9" style="996"/>
    <col min="11803" max="11803" width="9.125" style="996" customWidth="1"/>
    <col min="11804" max="11804" width="9" style="996"/>
    <col min="11805" max="11805" width="4.25" style="996" customWidth="1"/>
    <col min="11806" max="12033" width="9" style="996"/>
    <col min="12034" max="12034" width="6.375" style="996" customWidth="1"/>
    <col min="12035" max="12035" width="10.625" style="996" bestFit="1" customWidth="1"/>
    <col min="12036" max="12036" width="9.875" style="996" customWidth="1"/>
    <col min="12037" max="12037" width="10.125" style="996" customWidth="1"/>
    <col min="12038" max="12040" width="9.875" style="996" bestFit="1" customWidth="1"/>
    <col min="12041" max="12043" width="9.5" style="996" customWidth="1"/>
    <col min="12044" max="12044" width="8.625" style="996" customWidth="1"/>
    <col min="12045" max="12047" width="9.25" style="996" customWidth="1"/>
    <col min="12048" max="12048" width="9" style="996"/>
    <col min="12049" max="12049" width="5.125" style="996" customWidth="1"/>
    <col min="12050" max="12058" width="9" style="996"/>
    <col min="12059" max="12059" width="9.125" style="996" customWidth="1"/>
    <col min="12060" max="12060" width="9" style="996"/>
    <col min="12061" max="12061" width="4.25" style="996" customWidth="1"/>
    <col min="12062" max="12289" width="9" style="996"/>
    <col min="12290" max="12290" width="6.375" style="996" customWidth="1"/>
    <col min="12291" max="12291" width="10.625" style="996" bestFit="1" customWidth="1"/>
    <col min="12292" max="12292" width="9.875" style="996" customWidth="1"/>
    <col min="12293" max="12293" width="10.125" style="996" customWidth="1"/>
    <col min="12294" max="12296" width="9.875" style="996" bestFit="1" customWidth="1"/>
    <col min="12297" max="12299" width="9.5" style="996" customWidth="1"/>
    <col min="12300" max="12300" width="8.625" style="996" customWidth="1"/>
    <col min="12301" max="12303" width="9.25" style="996" customWidth="1"/>
    <col min="12304" max="12304" width="9" style="996"/>
    <col min="12305" max="12305" width="5.125" style="996" customWidth="1"/>
    <col min="12306" max="12314" width="9" style="996"/>
    <col min="12315" max="12315" width="9.125" style="996" customWidth="1"/>
    <col min="12316" max="12316" width="9" style="996"/>
    <col min="12317" max="12317" width="4.25" style="996" customWidth="1"/>
    <col min="12318" max="12545" width="9" style="996"/>
    <col min="12546" max="12546" width="6.375" style="996" customWidth="1"/>
    <col min="12547" max="12547" width="10.625" style="996" bestFit="1" customWidth="1"/>
    <col min="12548" max="12548" width="9.875" style="996" customWidth="1"/>
    <col min="12549" max="12549" width="10.125" style="996" customWidth="1"/>
    <col min="12550" max="12552" width="9.875" style="996" bestFit="1" customWidth="1"/>
    <col min="12553" max="12555" width="9.5" style="996" customWidth="1"/>
    <col min="12556" max="12556" width="8.625" style="996" customWidth="1"/>
    <col min="12557" max="12559" width="9.25" style="996" customWidth="1"/>
    <col min="12560" max="12560" width="9" style="996"/>
    <col min="12561" max="12561" width="5.125" style="996" customWidth="1"/>
    <col min="12562" max="12570" width="9" style="996"/>
    <col min="12571" max="12571" width="9.125" style="996" customWidth="1"/>
    <col min="12572" max="12572" width="9" style="996"/>
    <col min="12573" max="12573" width="4.25" style="996" customWidth="1"/>
    <col min="12574" max="12801" width="9" style="996"/>
    <col min="12802" max="12802" width="6.375" style="996" customWidth="1"/>
    <col min="12803" max="12803" width="10.625" style="996" bestFit="1" customWidth="1"/>
    <col min="12804" max="12804" width="9.875" style="996" customWidth="1"/>
    <col min="12805" max="12805" width="10.125" style="996" customWidth="1"/>
    <col min="12806" max="12808" width="9.875" style="996" bestFit="1" customWidth="1"/>
    <col min="12809" max="12811" width="9.5" style="996" customWidth="1"/>
    <col min="12812" max="12812" width="8.625" style="996" customWidth="1"/>
    <col min="12813" max="12815" width="9.25" style="996" customWidth="1"/>
    <col min="12816" max="12816" width="9" style="996"/>
    <col min="12817" max="12817" width="5.125" style="996" customWidth="1"/>
    <col min="12818" max="12826" width="9" style="996"/>
    <col min="12827" max="12827" width="9.125" style="996" customWidth="1"/>
    <col min="12828" max="12828" width="9" style="996"/>
    <col min="12829" max="12829" width="4.25" style="996" customWidth="1"/>
    <col min="12830" max="13057" width="9" style="996"/>
    <col min="13058" max="13058" width="6.375" style="996" customWidth="1"/>
    <col min="13059" max="13059" width="10.625" style="996" bestFit="1" customWidth="1"/>
    <col min="13060" max="13060" width="9.875" style="996" customWidth="1"/>
    <col min="13061" max="13061" width="10.125" style="996" customWidth="1"/>
    <col min="13062" max="13064" width="9.875" style="996" bestFit="1" customWidth="1"/>
    <col min="13065" max="13067" width="9.5" style="996" customWidth="1"/>
    <col min="13068" max="13068" width="8.625" style="996" customWidth="1"/>
    <col min="13069" max="13071" width="9.25" style="996" customWidth="1"/>
    <col min="13072" max="13072" width="9" style="996"/>
    <col min="13073" max="13073" width="5.125" style="996" customWidth="1"/>
    <col min="13074" max="13082" width="9" style="996"/>
    <col min="13083" max="13083" width="9.125" style="996" customWidth="1"/>
    <col min="13084" max="13084" width="9" style="996"/>
    <col min="13085" max="13085" width="4.25" style="996" customWidth="1"/>
    <col min="13086" max="13313" width="9" style="996"/>
    <col min="13314" max="13314" width="6.375" style="996" customWidth="1"/>
    <col min="13315" max="13315" width="10.625" style="996" bestFit="1" customWidth="1"/>
    <col min="13316" max="13316" width="9.875" style="996" customWidth="1"/>
    <col min="13317" max="13317" width="10.125" style="996" customWidth="1"/>
    <col min="13318" max="13320" width="9.875" style="996" bestFit="1" customWidth="1"/>
    <col min="13321" max="13323" width="9.5" style="996" customWidth="1"/>
    <col min="13324" max="13324" width="8.625" style="996" customWidth="1"/>
    <col min="13325" max="13327" width="9.25" style="996" customWidth="1"/>
    <col min="13328" max="13328" width="9" style="996"/>
    <col min="13329" max="13329" width="5.125" style="996" customWidth="1"/>
    <col min="13330" max="13338" width="9" style="996"/>
    <col min="13339" max="13339" width="9.125" style="996" customWidth="1"/>
    <col min="13340" max="13340" width="9" style="996"/>
    <col min="13341" max="13341" width="4.25" style="996" customWidth="1"/>
    <col min="13342" max="13569" width="9" style="996"/>
    <col min="13570" max="13570" width="6.375" style="996" customWidth="1"/>
    <col min="13571" max="13571" width="10.625" style="996" bestFit="1" customWidth="1"/>
    <col min="13572" max="13572" width="9.875" style="996" customWidth="1"/>
    <col min="13573" max="13573" width="10.125" style="996" customWidth="1"/>
    <col min="13574" max="13576" width="9.875" style="996" bestFit="1" customWidth="1"/>
    <col min="13577" max="13579" width="9.5" style="996" customWidth="1"/>
    <col min="13580" max="13580" width="8.625" style="996" customWidth="1"/>
    <col min="13581" max="13583" width="9.25" style="996" customWidth="1"/>
    <col min="13584" max="13584" width="9" style="996"/>
    <col min="13585" max="13585" width="5.125" style="996" customWidth="1"/>
    <col min="13586" max="13594" width="9" style="996"/>
    <col min="13595" max="13595" width="9.125" style="996" customWidth="1"/>
    <col min="13596" max="13596" width="9" style="996"/>
    <col min="13597" max="13597" width="4.25" style="996" customWidth="1"/>
    <col min="13598" max="13825" width="9" style="996"/>
    <col min="13826" max="13826" width="6.375" style="996" customWidth="1"/>
    <col min="13827" max="13827" width="10.625" style="996" bestFit="1" customWidth="1"/>
    <col min="13828" max="13828" width="9.875" style="996" customWidth="1"/>
    <col min="13829" max="13829" width="10.125" style="996" customWidth="1"/>
    <col min="13830" max="13832" width="9.875" style="996" bestFit="1" customWidth="1"/>
    <col min="13833" max="13835" width="9.5" style="996" customWidth="1"/>
    <col min="13836" max="13836" width="8.625" style="996" customWidth="1"/>
    <col min="13837" max="13839" width="9.25" style="996" customWidth="1"/>
    <col min="13840" max="13840" width="9" style="996"/>
    <col min="13841" max="13841" width="5.125" style="996" customWidth="1"/>
    <col min="13842" max="13850" width="9" style="996"/>
    <col min="13851" max="13851" width="9.125" style="996" customWidth="1"/>
    <col min="13852" max="13852" width="9" style="996"/>
    <col min="13853" max="13853" width="4.25" style="996" customWidth="1"/>
    <col min="13854" max="14081" width="9" style="996"/>
    <col min="14082" max="14082" width="6.375" style="996" customWidth="1"/>
    <col min="14083" max="14083" width="10.625" style="996" bestFit="1" customWidth="1"/>
    <col min="14084" max="14084" width="9.875" style="996" customWidth="1"/>
    <col min="14085" max="14085" width="10.125" style="996" customWidth="1"/>
    <col min="14086" max="14088" width="9.875" style="996" bestFit="1" customWidth="1"/>
    <col min="14089" max="14091" width="9.5" style="996" customWidth="1"/>
    <col min="14092" max="14092" width="8.625" style="996" customWidth="1"/>
    <col min="14093" max="14095" width="9.25" style="996" customWidth="1"/>
    <col min="14096" max="14096" width="9" style="996"/>
    <col min="14097" max="14097" width="5.125" style="996" customWidth="1"/>
    <col min="14098" max="14106" width="9" style="996"/>
    <col min="14107" max="14107" width="9.125" style="996" customWidth="1"/>
    <col min="14108" max="14108" width="9" style="996"/>
    <col min="14109" max="14109" width="4.25" style="996" customWidth="1"/>
    <col min="14110" max="14337" width="9" style="996"/>
    <col min="14338" max="14338" width="6.375" style="996" customWidth="1"/>
    <col min="14339" max="14339" width="10.625" style="996" bestFit="1" customWidth="1"/>
    <col min="14340" max="14340" width="9.875" style="996" customWidth="1"/>
    <col min="14341" max="14341" width="10.125" style="996" customWidth="1"/>
    <col min="14342" max="14344" width="9.875" style="996" bestFit="1" customWidth="1"/>
    <col min="14345" max="14347" width="9.5" style="996" customWidth="1"/>
    <col min="14348" max="14348" width="8.625" style="996" customWidth="1"/>
    <col min="14349" max="14351" width="9.25" style="996" customWidth="1"/>
    <col min="14352" max="14352" width="9" style="996"/>
    <col min="14353" max="14353" width="5.125" style="996" customWidth="1"/>
    <col min="14354" max="14362" width="9" style="996"/>
    <col min="14363" max="14363" width="9.125" style="996" customWidth="1"/>
    <col min="14364" max="14364" width="9" style="996"/>
    <col min="14365" max="14365" width="4.25" style="996" customWidth="1"/>
    <col min="14366" max="14593" width="9" style="996"/>
    <col min="14594" max="14594" width="6.375" style="996" customWidth="1"/>
    <col min="14595" max="14595" width="10.625" style="996" bestFit="1" customWidth="1"/>
    <col min="14596" max="14596" width="9.875" style="996" customWidth="1"/>
    <col min="14597" max="14597" width="10.125" style="996" customWidth="1"/>
    <col min="14598" max="14600" width="9.875" style="996" bestFit="1" customWidth="1"/>
    <col min="14601" max="14603" width="9.5" style="996" customWidth="1"/>
    <col min="14604" max="14604" width="8.625" style="996" customWidth="1"/>
    <col min="14605" max="14607" width="9.25" style="996" customWidth="1"/>
    <col min="14608" max="14608" width="9" style="996"/>
    <col min="14609" max="14609" width="5.125" style="996" customWidth="1"/>
    <col min="14610" max="14618" width="9" style="996"/>
    <col min="14619" max="14619" width="9.125" style="996" customWidth="1"/>
    <col min="14620" max="14620" width="9" style="996"/>
    <col min="14621" max="14621" width="4.25" style="996" customWidth="1"/>
    <col min="14622" max="14849" width="9" style="996"/>
    <col min="14850" max="14850" width="6.375" style="996" customWidth="1"/>
    <col min="14851" max="14851" width="10.625" style="996" bestFit="1" customWidth="1"/>
    <col min="14852" max="14852" width="9.875" style="996" customWidth="1"/>
    <col min="14853" max="14853" width="10.125" style="996" customWidth="1"/>
    <col min="14854" max="14856" width="9.875" style="996" bestFit="1" customWidth="1"/>
    <col min="14857" max="14859" width="9.5" style="996" customWidth="1"/>
    <col min="14860" max="14860" width="8.625" style="996" customWidth="1"/>
    <col min="14861" max="14863" width="9.25" style="996" customWidth="1"/>
    <col min="14864" max="14864" width="9" style="996"/>
    <col min="14865" max="14865" width="5.125" style="996" customWidth="1"/>
    <col min="14866" max="14874" width="9" style="996"/>
    <col min="14875" max="14875" width="9.125" style="996" customWidth="1"/>
    <col min="14876" max="14876" width="9" style="996"/>
    <col min="14877" max="14877" width="4.25" style="996" customWidth="1"/>
    <col min="14878" max="15105" width="9" style="996"/>
    <col min="15106" max="15106" width="6.375" style="996" customWidth="1"/>
    <col min="15107" max="15107" width="10.625" style="996" bestFit="1" customWidth="1"/>
    <col min="15108" max="15108" width="9.875" style="996" customWidth="1"/>
    <col min="15109" max="15109" width="10.125" style="996" customWidth="1"/>
    <col min="15110" max="15112" width="9.875" style="996" bestFit="1" customWidth="1"/>
    <col min="15113" max="15115" width="9.5" style="996" customWidth="1"/>
    <col min="15116" max="15116" width="8.625" style="996" customWidth="1"/>
    <col min="15117" max="15119" width="9.25" style="996" customWidth="1"/>
    <col min="15120" max="15120" width="9" style="996"/>
    <col min="15121" max="15121" width="5.125" style="996" customWidth="1"/>
    <col min="15122" max="15130" width="9" style="996"/>
    <col min="15131" max="15131" width="9.125" style="996" customWidth="1"/>
    <col min="15132" max="15132" width="9" style="996"/>
    <col min="15133" max="15133" width="4.25" style="996" customWidth="1"/>
    <col min="15134" max="15361" width="9" style="996"/>
    <col min="15362" max="15362" width="6.375" style="996" customWidth="1"/>
    <col min="15363" max="15363" width="10.625" style="996" bestFit="1" customWidth="1"/>
    <col min="15364" max="15364" width="9.875" style="996" customWidth="1"/>
    <col min="15365" max="15365" width="10.125" style="996" customWidth="1"/>
    <col min="15366" max="15368" width="9.875" style="996" bestFit="1" customWidth="1"/>
    <col min="15369" max="15371" width="9.5" style="996" customWidth="1"/>
    <col min="15372" max="15372" width="8.625" style="996" customWidth="1"/>
    <col min="15373" max="15375" width="9.25" style="996" customWidth="1"/>
    <col min="15376" max="15376" width="9" style="996"/>
    <col min="15377" max="15377" width="5.125" style="996" customWidth="1"/>
    <col min="15378" max="15386" width="9" style="996"/>
    <col min="15387" max="15387" width="9.125" style="996" customWidth="1"/>
    <col min="15388" max="15388" width="9" style="996"/>
    <col min="15389" max="15389" width="4.25" style="996" customWidth="1"/>
    <col min="15390" max="15617" width="9" style="996"/>
    <col min="15618" max="15618" width="6.375" style="996" customWidth="1"/>
    <col min="15619" max="15619" width="10.625" style="996" bestFit="1" customWidth="1"/>
    <col min="15620" max="15620" width="9.875" style="996" customWidth="1"/>
    <col min="15621" max="15621" width="10.125" style="996" customWidth="1"/>
    <col min="15622" max="15624" width="9.875" style="996" bestFit="1" customWidth="1"/>
    <col min="15625" max="15627" width="9.5" style="996" customWidth="1"/>
    <col min="15628" max="15628" width="8.625" style="996" customWidth="1"/>
    <col min="15629" max="15631" width="9.25" style="996" customWidth="1"/>
    <col min="15632" max="15632" width="9" style="996"/>
    <col min="15633" max="15633" width="5.125" style="996" customWidth="1"/>
    <col min="15634" max="15642" width="9" style="996"/>
    <col min="15643" max="15643" width="9.125" style="996" customWidth="1"/>
    <col min="15644" max="15644" width="9" style="996"/>
    <col min="15645" max="15645" width="4.25" style="996" customWidth="1"/>
    <col min="15646" max="15873" width="9" style="996"/>
    <col min="15874" max="15874" width="6.375" style="996" customWidth="1"/>
    <col min="15875" max="15875" width="10.625" style="996" bestFit="1" customWidth="1"/>
    <col min="15876" max="15876" width="9.875" style="996" customWidth="1"/>
    <col min="15877" max="15877" width="10.125" style="996" customWidth="1"/>
    <col min="15878" max="15880" width="9.875" style="996" bestFit="1" customWidth="1"/>
    <col min="15881" max="15883" width="9.5" style="996" customWidth="1"/>
    <col min="15884" max="15884" width="8.625" style="996" customWidth="1"/>
    <col min="15885" max="15887" width="9.25" style="996" customWidth="1"/>
    <col min="15888" max="15888" width="9" style="996"/>
    <col min="15889" max="15889" width="5.125" style="996" customWidth="1"/>
    <col min="15890" max="15898" width="9" style="996"/>
    <col min="15899" max="15899" width="9.125" style="996" customWidth="1"/>
    <col min="15900" max="15900" width="9" style="996"/>
    <col min="15901" max="15901" width="4.25" style="996" customWidth="1"/>
    <col min="15902" max="16129" width="9" style="996"/>
    <col min="16130" max="16130" width="6.375" style="996" customWidth="1"/>
    <col min="16131" max="16131" width="10.625" style="996" bestFit="1" customWidth="1"/>
    <col min="16132" max="16132" width="9.875" style="996" customWidth="1"/>
    <col min="16133" max="16133" width="10.125" style="996" customWidth="1"/>
    <col min="16134" max="16136" width="9.875" style="996" bestFit="1" customWidth="1"/>
    <col min="16137" max="16139" width="9.5" style="996" customWidth="1"/>
    <col min="16140" max="16140" width="8.625" style="996" customWidth="1"/>
    <col min="16141" max="16143" width="9.25" style="996" customWidth="1"/>
    <col min="16144" max="16144" width="9" style="996"/>
    <col min="16145" max="16145" width="5.125" style="996" customWidth="1"/>
    <col min="16146" max="16154" width="9" style="996"/>
    <col min="16155" max="16155" width="9.125" style="996" customWidth="1"/>
    <col min="16156" max="16156" width="9" style="996"/>
    <col min="16157" max="16157" width="4.25" style="996" customWidth="1"/>
    <col min="16158" max="16384" width="9" style="996"/>
  </cols>
  <sheetData>
    <row r="1" spans="1:15">
      <c r="A1" s="993"/>
      <c r="B1" s="993"/>
      <c r="C1" s="994"/>
      <c r="D1" s="994"/>
      <c r="E1" s="994"/>
      <c r="F1" s="994"/>
      <c r="G1" s="994"/>
      <c r="H1" s="994"/>
      <c r="I1" s="994"/>
      <c r="J1" s="994"/>
      <c r="K1" s="994"/>
      <c r="L1" s="995"/>
      <c r="M1" s="995"/>
      <c r="N1" s="995"/>
      <c r="O1" s="995"/>
    </row>
    <row r="2" spans="1:15" s="997" customFormat="1">
      <c r="A2" s="997" t="s">
        <v>667</v>
      </c>
      <c r="B2" s="996"/>
      <c r="C2" s="996"/>
      <c r="D2" s="996"/>
      <c r="E2" s="996"/>
      <c r="F2" s="996"/>
      <c r="G2" s="996"/>
      <c r="H2" s="996"/>
      <c r="I2" s="996"/>
      <c r="J2" s="996"/>
      <c r="K2" s="996"/>
      <c r="L2" s="996"/>
      <c r="M2" s="996"/>
      <c r="N2" s="996"/>
      <c r="O2" s="996"/>
    </row>
    <row r="3" spans="1:15">
      <c r="A3" s="998" t="s">
        <v>711</v>
      </c>
      <c r="B3" s="999"/>
      <c r="C3" s="998" t="s">
        <v>712</v>
      </c>
      <c r="D3" s="999"/>
      <c r="E3" s="1000"/>
      <c r="F3" s="998" t="s">
        <v>713</v>
      </c>
      <c r="G3" s="999"/>
      <c r="H3" s="1000"/>
      <c r="I3" s="1001" t="s">
        <v>834</v>
      </c>
      <c r="J3" s="998" t="s">
        <v>835</v>
      </c>
      <c r="K3" s="1000"/>
      <c r="L3" s="1002"/>
      <c r="M3" s="1003"/>
      <c r="N3" s="1003"/>
      <c r="O3" s="1004"/>
    </row>
    <row r="4" spans="1:15">
      <c r="A4" s="1005" t="s">
        <v>668</v>
      </c>
      <c r="B4" s="1006" t="s">
        <v>24</v>
      </c>
      <c r="C4" s="1005" t="s">
        <v>714</v>
      </c>
      <c r="D4" s="1006" t="s">
        <v>836</v>
      </c>
      <c r="E4" s="1007" t="s">
        <v>715</v>
      </c>
      <c r="F4" s="1005" t="s">
        <v>716</v>
      </c>
      <c r="G4" s="1006" t="s">
        <v>717</v>
      </c>
      <c r="H4" s="1007" t="s">
        <v>837</v>
      </c>
      <c r="I4" s="1008" t="s">
        <v>838</v>
      </c>
      <c r="J4" s="1005" t="s">
        <v>716</v>
      </c>
      <c r="K4" s="1007" t="s">
        <v>717</v>
      </c>
      <c r="L4" s="1005" t="s">
        <v>718</v>
      </c>
      <c r="M4" s="1006" t="s">
        <v>839</v>
      </c>
      <c r="N4" s="1006" t="s">
        <v>840</v>
      </c>
      <c r="O4" s="1007" t="s">
        <v>841</v>
      </c>
    </row>
    <row r="5" spans="1:15">
      <c r="A5" s="1009">
        <v>2011</v>
      </c>
      <c r="B5" s="1010">
        <v>7</v>
      </c>
      <c r="C5" s="1011">
        <v>10408.592397391754</v>
      </c>
      <c r="D5" s="1012">
        <v>0.24030217579695445</v>
      </c>
      <c r="E5" s="1013">
        <v>12.725364037022668</v>
      </c>
      <c r="F5" s="1011">
        <v>3281.5282510501602</v>
      </c>
      <c r="G5" s="1012">
        <v>0</v>
      </c>
      <c r="H5" s="1013">
        <v>0</v>
      </c>
      <c r="I5" s="1014">
        <v>3121.5329892998998</v>
      </c>
      <c r="J5" s="1011">
        <v>0</v>
      </c>
      <c r="K5" s="1013">
        <v>0</v>
      </c>
      <c r="L5" s="1011">
        <v>10421.558063604572</v>
      </c>
      <c r="M5" s="1012">
        <v>3281.5282510501602</v>
      </c>
      <c r="N5" s="1012">
        <v>3121.5329892998998</v>
      </c>
      <c r="O5" s="1013">
        <v>0</v>
      </c>
    </row>
    <row r="6" spans="1:15">
      <c r="A6" s="1015">
        <v>2011</v>
      </c>
      <c r="B6" s="1016">
        <v>8</v>
      </c>
      <c r="C6" s="1017">
        <v>-9566.3426204780717</v>
      </c>
      <c r="D6" s="994">
        <v>2.408781832111194</v>
      </c>
      <c r="E6" s="1018">
        <v>-11.571942389743187</v>
      </c>
      <c r="F6" s="1017">
        <v>-4652.2753333976079</v>
      </c>
      <c r="G6" s="994">
        <v>0</v>
      </c>
      <c r="H6" s="1018">
        <v>0</v>
      </c>
      <c r="I6" s="1019">
        <v>-841.46939950400304</v>
      </c>
      <c r="J6" s="1017">
        <v>0</v>
      </c>
      <c r="K6" s="1018">
        <v>0</v>
      </c>
      <c r="L6" s="1017">
        <v>-9575.505781035703</v>
      </c>
      <c r="M6" s="994">
        <v>-4652.2753333976079</v>
      </c>
      <c r="N6" s="994">
        <v>-841.46939950400304</v>
      </c>
      <c r="O6" s="1018">
        <v>0</v>
      </c>
    </row>
    <row r="7" spans="1:15">
      <c r="A7" s="1015">
        <v>2011</v>
      </c>
      <c r="B7" s="1016">
        <v>9</v>
      </c>
      <c r="C7" s="1017">
        <v>-2458.8360824459251</v>
      </c>
      <c r="D7" s="994">
        <v>80.854695912271296</v>
      </c>
      <c r="E7" s="1018">
        <v>-3.0397115889364597</v>
      </c>
      <c r="F7" s="1017">
        <v>-2803.957234767925</v>
      </c>
      <c r="G7" s="994">
        <v>0</v>
      </c>
      <c r="H7" s="1018">
        <v>0</v>
      </c>
      <c r="I7" s="1019">
        <v>-5460.3979490708198</v>
      </c>
      <c r="J7" s="1017">
        <v>0</v>
      </c>
      <c r="K7" s="1018">
        <v>0</v>
      </c>
      <c r="L7" s="1017">
        <v>-2381.02109812259</v>
      </c>
      <c r="M7" s="994">
        <v>-2803.957234767925</v>
      </c>
      <c r="N7" s="994">
        <v>-5460.3979490708198</v>
      </c>
      <c r="O7" s="1018">
        <v>0</v>
      </c>
    </row>
    <row r="8" spans="1:15">
      <c r="A8" s="1015">
        <v>2011</v>
      </c>
      <c r="B8" s="1016">
        <v>10</v>
      </c>
      <c r="C8" s="1017">
        <v>5625.1378329838963</v>
      </c>
      <c r="D8" s="994">
        <v>282.0381090114019</v>
      </c>
      <c r="E8" s="1018">
        <v>6.7579732783006552</v>
      </c>
      <c r="F8" s="1017">
        <v>1677.6380498134531</v>
      </c>
      <c r="G8" s="994">
        <v>0</v>
      </c>
      <c r="H8" s="1018">
        <v>0</v>
      </c>
      <c r="I8" s="1019">
        <v>-2554.8158971907801</v>
      </c>
      <c r="J8" s="1017">
        <v>0</v>
      </c>
      <c r="K8" s="1018">
        <v>0</v>
      </c>
      <c r="L8" s="1017">
        <v>5913.9339152735984</v>
      </c>
      <c r="M8" s="994">
        <v>1677.6380498134531</v>
      </c>
      <c r="N8" s="994">
        <v>-2554.8158971907801</v>
      </c>
      <c r="O8" s="1018">
        <v>0</v>
      </c>
    </row>
    <row r="9" spans="1:15">
      <c r="A9" s="1015">
        <v>2011</v>
      </c>
      <c r="B9" s="1016">
        <v>11</v>
      </c>
      <c r="C9" s="1017">
        <v>-3059.3210440237071</v>
      </c>
      <c r="D9" s="994">
        <v>-133.74754645333343</v>
      </c>
      <c r="E9" s="1018">
        <v>-3.5346937938704635</v>
      </c>
      <c r="F9" s="1017">
        <v>-1046.0716132909454</v>
      </c>
      <c r="G9" s="994">
        <v>0</v>
      </c>
      <c r="H9" s="1018">
        <v>0</v>
      </c>
      <c r="I9" s="1019">
        <v>-37.2640218976494</v>
      </c>
      <c r="J9" s="1017">
        <v>0</v>
      </c>
      <c r="K9" s="1018">
        <v>0</v>
      </c>
      <c r="L9" s="1017">
        <v>-3196.603284270911</v>
      </c>
      <c r="M9" s="994">
        <v>-1046.0716132909454</v>
      </c>
      <c r="N9" s="994">
        <v>-37.2640218976494</v>
      </c>
      <c r="O9" s="1018">
        <v>0</v>
      </c>
    </row>
    <row r="10" spans="1:15">
      <c r="A10" s="1015">
        <v>2011</v>
      </c>
      <c r="B10" s="1016">
        <v>12</v>
      </c>
      <c r="C10" s="1017">
        <v>-10372.297426621926</v>
      </c>
      <c r="D10" s="994">
        <v>-471.68831208820848</v>
      </c>
      <c r="E10" s="1018">
        <v>-12.23360755136718</v>
      </c>
      <c r="F10" s="1017">
        <v>-2170.5898421936399</v>
      </c>
      <c r="G10" s="994">
        <v>0</v>
      </c>
      <c r="H10" s="1018">
        <v>0</v>
      </c>
      <c r="I10" s="1019">
        <v>0</v>
      </c>
      <c r="J10" s="1017">
        <v>0</v>
      </c>
      <c r="K10" s="1018">
        <v>0</v>
      </c>
      <c r="L10" s="1017">
        <v>-10856.219346261501</v>
      </c>
      <c r="M10" s="994">
        <v>-2170.5898421936399</v>
      </c>
      <c r="N10" s="994">
        <v>0</v>
      </c>
      <c r="O10" s="1018">
        <v>0</v>
      </c>
    </row>
    <row r="11" spans="1:15" ht="15.75" customHeight="1">
      <c r="A11" s="1015">
        <v>2012</v>
      </c>
      <c r="B11" s="1016">
        <v>1</v>
      </c>
      <c r="C11" s="1017">
        <v>-8853.1630481348457</v>
      </c>
      <c r="D11" s="994">
        <v>-432.28684061889902</v>
      </c>
      <c r="E11" s="1018">
        <v>-10.457856515235225</v>
      </c>
      <c r="F11" s="1017">
        <v>-1853.74412891986</v>
      </c>
      <c r="G11" s="994">
        <v>0</v>
      </c>
      <c r="H11" s="1018">
        <v>0</v>
      </c>
      <c r="I11" s="1019">
        <v>0</v>
      </c>
      <c r="J11" s="1017">
        <v>0</v>
      </c>
      <c r="K11" s="1018">
        <v>0</v>
      </c>
      <c r="L11" s="1017">
        <v>-9295.9077452689799</v>
      </c>
      <c r="M11" s="994">
        <v>-1853.74412891986</v>
      </c>
      <c r="N11" s="994">
        <v>0</v>
      </c>
      <c r="O11" s="1018">
        <v>0</v>
      </c>
    </row>
    <row r="12" spans="1:15">
      <c r="A12" s="1015">
        <v>2012</v>
      </c>
      <c r="B12" s="1016">
        <v>2</v>
      </c>
      <c r="C12" s="1017">
        <v>5627.5345837660079</v>
      </c>
      <c r="D12" s="994">
        <v>284.05774309682488</v>
      </c>
      <c r="E12" s="1018">
        <v>6.6507574728670864</v>
      </c>
      <c r="F12" s="1017">
        <v>1093.2414735096499</v>
      </c>
      <c r="G12" s="994">
        <v>0</v>
      </c>
      <c r="H12" s="1018">
        <v>0</v>
      </c>
      <c r="I12" s="1019">
        <v>2.91494380352847</v>
      </c>
      <c r="J12" s="1017">
        <v>0</v>
      </c>
      <c r="K12" s="1018">
        <v>0</v>
      </c>
      <c r="L12" s="1017">
        <v>5918.2430843356997</v>
      </c>
      <c r="M12" s="994">
        <v>1093.2414735096499</v>
      </c>
      <c r="N12" s="994">
        <v>2.91494380352847</v>
      </c>
      <c r="O12" s="1018">
        <v>0</v>
      </c>
    </row>
    <row r="13" spans="1:15" ht="15.75" customHeight="1">
      <c r="A13" s="1015">
        <v>2012</v>
      </c>
      <c r="B13" s="1016">
        <v>3</v>
      </c>
      <c r="C13" s="1017">
        <v>-422.82726392856057</v>
      </c>
      <c r="D13" s="994">
        <v>-22.353270504559237</v>
      </c>
      <c r="E13" s="1018">
        <v>-0.49585726049022527</v>
      </c>
      <c r="F13" s="1017">
        <v>32.114811191576131</v>
      </c>
      <c r="G13" s="994">
        <v>0</v>
      </c>
      <c r="H13" s="1018">
        <v>0</v>
      </c>
      <c r="I13" s="1019">
        <v>38.160156769981398</v>
      </c>
      <c r="J13" s="1017">
        <v>0</v>
      </c>
      <c r="K13" s="1018">
        <v>0</v>
      </c>
      <c r="L13" s="1017">
        <v>-445.67639169361001</v>
      </c>
      <c r="M13" s="994">
        <v>32.114811191576131</v>
      </c>
      <c r="N13" s="994">
        <v>38.160156769981398</v>
      </c>
      <c r="O13" s="1018">
        <v>0</v>
      </c>
    </row>
    <row r="14" spans="1:15">
      <c r="A14" s="1015">
        <v>2012</v>
      </c>
      <c r="B14" s="1016">
        <v>4</v>
      </c>
      <c r="C14" s="1017">
        <v>4577.6493438337739</v>
      </c>
      <c r="D14" s="994">
        <v>270.2380642773706</v>
      </c>
      <c r="E14" s="1018">
        <v>5.3004423539660355</v>
      </c>
      <c r="F14" s="1017">
        <v>96.340725852584001</v>
      </c>
      <c r="G14" s="994">
        <v>0</v>
      </c>
      <c r="H14" s="1018">
        <v>0</v>
      </c>
      <c r="I14" s="1019">
        <v>339.99472370373104</v>
      </c>
      <c r="J14" s="1017">
        <v>0</v>
      </c>
      <c r="K14" s="1018">
        <v>0</v>
      </c>
      <c r="L14" s="1017">
        <v>4853.1878504651104</v>
      </c>
      <c r="M14" s="994">
        <v>96.340725852584001</v>
      </c>
      <c r="N14" s="994">
        <v>339.99472370373104</v>
      </c>
      <c r="O14" s="1018">
        <v>0</v>
      </c>
    </row>
    <row r="15" spans="1:15">
      <c r="A15" s="1015">
        <v>2012</v>
      </c>
      <c r="B15" s="1016">
        <v>5</v>
      </c>
      <c r="C15" s="1017">
        <v>1772.6601986089686</v>
      </c>
      <c r="D15" s="994">
        <v>74.872895686884448</v>
      </c>
      <c r="E15" s="1018">
        <v>2.0625816155680075</v>
      </c>
      <c r="F15" s="1017">
        <v>215.2134443466305</v>
      </c>
      <c r="G15" s="994">
        <v>0</v>
      </c>
      <c r="H15" s="1018">
        <v>0</v>
      </c>
      <c r="I15" s="1019">
        <v>1097.9695007417001</v>
      </c>
      <c r="J15" s="1017">
        <v>0</v>
      </c>
      <c r="K15" s="1018">
        <v>0</v>
      </c>
      <c r="L15" s="1017">
        <v>1849.595675911421</v>
      </c>
      <c r="M15" s="994">
        <v>215.2134443466305</v>
      </c>
      <c r="N15" s="994">
        <v>1097.9695007417001</v>
      </c>
      <c r="O15" s="1018">
        <v>0</v>
      </c>
    </row>
    <row r="16" spans="1:15">
      <c r="A16" s="1020">
        <v>2012</v>
      </c>
      <c r="B16" s="1021">
        <v>6</v>
      </c>
      <c r="C16" s="1022">
        <v>4011.4838939019937</v>
      </c>
      <c r="D16" s="1023">
        <v>-5.9532758977904532</v>
      </c>
      <c r="E16" s="1024">
        <v>4.6860851230058715</v>
      </c>
      <c r="F16" s="1022">
        <v>1551.3408609237165</v>
      </c>
      <c r="G16" s="1023">
        <v>0</v>
      </c>
      <c r="H16" s="1024">
        <v>0</v>
      </c>
      <c r="I16" s="1025">
        <v>2214.8873176810202</v>
      </c>
      <c r="J16" s="1022">
        <v>0</v>
      </c>
      <c r="K16" s="1024">
        <v>0</v>
      </c>
      <c r="L16" s="1022">
        <v>4010.2167031272093</v>
      </c>
      <c r="M16" s="1023">
        <v>1551.3408609237165</v>
      </c>
      <c r="N16" s="1023">
        <v>2214.8873176810202</v>
      </c>
      <c r="O16" s="1024">
        <v>0</v>
      </c>
    </row>
    <row r="17" spans="3:15">
      <c r="E17" s="1026"/>
    </row>
    <row r="18" spans="3:15">
      <c r="C18" s="1027"/>
      <c r="D18" s="1027"/>
      <c r="E18" s="1027"/>
      <c r="F18" s="1027"/>
      <c r="G18" s="1027"/>
      <c r="H18" s="1027"/>
      <c r="I18" s="1027"/>
      <c r="J18" s="1027"/>
      <c r="K18" s="1027"/>
      <c r="L18" s="1027"/>
      <c r="M18" s="1027"/>
      <c r="N18" s="1027"/>
      <c r="O18" s="1027"/>
    </row>
    <row r="19" spans="3:15">
      <c r="E19" s="1026"/>
    </row>
    <row r="20" spans="3:15">
      <c r="E20" s="1026"/>
    </row>
    <row r="21" spans="3:15">
      <c r="E21" s="1026"/>
    </row>
    <row r="22" spans="3:15">
      <c r="E22" s="1026"/>
    </row>
    <row r="23" spans="3:15">
      <c r="E23" s="1026"/>
    </row>
    <row r="24" spans="3:15">
      <c r="E24" s="1026"/>
    </row>
    <row r="25" spans="3:15">
      <c r="E25" s="1026"/>
    </row>
    <row r="26" spans="3:15">
      <c r="E26" s="1026"/>
    </row>
    <row r="28" spans="3:15">
      <c r="C28" s="1028"/>
      <c r="D28" s="1028"/>
      <c r="F28" s="1028"/>
    </row>
    <row r="29" spans="3:15">
      <c r="E29" s="1026"/>
    </row>
    <row r="30" spans="3:15">
      <c r="E30" s="1026"/>
    </row>
    <row r="31" spans="3:15">
      <c r="E31" s="1026"/>
    </row>
    <row r="32" spans="3:15">
      <c r="E32" s="1026"/>
    </row>
    <row r="33" spans="3:15">
      <c r="E33" s="1026"/>
    </row>
    <row r="34" spans="3:15">
      <c r="E34" s="1026"/>
    </row>
    <row r="35" spans="3:15">
      <c r="E35" s="1026"/>
    </row>
    <row r="36" spans="3:15">
      <c r="E36" s="1026"/>
    </row>
    <row r="37" spans="3:15">
      <c r="E37" s="1026"/>
    </row>
    <row r="38" spans="3:15">
      <c r="E38" s="1026"/>
    </row>
    <row r="39" spans="3:15">
      <c r="E39" s="1026"/>
    </row>
    <row r="41" spans="3:15">
      <c r="C41" s="1028"/>
      <c r="D41" s="1028"/>
      <c r="F41" s="1028"/>
      <c r="I41" s="1028"/>
      <c r="J41" s="1028"/>
      <c r="K41" s="1028"/>
      <c r="M41" s="1028"/>
      <c r="N41" s="1028"/>
      <c r="O41" s="1028"/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Q130"/>
  <sheetViews>
    <sheetView view="pageBreakPreview" zoomScale="90" zoomScaleNormal="100" zoomScaleSheetLayoutView="90" workbookViewId="0">
      <pane xSplit="1" ySplit="5" topLeftCell="B6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ColWidth="8" defaultRowHeight="12.75"/>
  <cols>
    <col min="1" max="1" width="13.25" style="121" customWidth="1"/>
    <col min="2" max="2" width="7" style="121" customWidth="1"/>
    <col min="3" max="3" width="15.75" style="122" bestFit="1" customWidth="1"/>
    <col min="4" max="4" width="1.625" style="122" customWidth="1"/>
    <col min="5" max="5" width="13" style="122" bestFit="1" customWidth="1"/>
    <col min="6" max="6" width="1.625" style="122" customWidth="1"/>
    <col min="7" max="7" width="15.75" style="122" bestFit="1" customWidth="1"/>
    <col min="8" max="8" width="1.625" style="122" customWidth="1"/>
    <col min="9" max="9" width="14.75" style="120" bestFit="1" customWidth="1"/>
    <col min="10" max="10" width="8.625" style="121" bestFit="1" customWidth="1"/>
    <col min="11" max="12" width="15.875" style="121" bestFit="1" customWidth="1"/>
    <col min="13" max="13" width="16.375" style="121" customWidth="1"/>
    <col min="14" max="14" width="1.625" style="122" customWidth="1"/>
    <col min="15" max="15" width="13.5" style="121" customWidth="1"/>
    <col min="16" max="16" width="14.25" style="121" bestFit="1" customWidth="1"/>
    <col min="17" max="17" width="14.125" style="121" bestFit="1" customWidth="1"/>
    <col min="18" max="16384" width="8" style="121"/>
  </cols>
  <sheetData>
    <row r="1" spans="1:17" ht="15.75">
      <c r="A1" s="117" t="s">
        <v>256</v>
      </c>
      <c r="B1" s="118"/>
      <c r="C1" s="119"/>
      <c r="D1" s="119"/>
      <c r="E1" s="119"/>
      <c r="F1" s="119"/>
      <c r="G1" s="119"/>
      <c r="H1" s="119"/>
    </row>
    <row r="3" spans="1:17">
      <c r="C3" s="119" t="s">
        <v>25</v>
      </c>
      <c r="D3" s="119"/>
      <c r="L3" s="123" t="s">
        <v>257</v>
      </c>
    </row>
    <row r="4" spans="1:17">
      <c r="E4" s="125" t="s">
        <v>261</v>
      </c>
      <c r="J4" s="123" t="s">
        <v>258</v>
      </c>
      <c r="L4" s="123" t="s">
        <v>259</v>
      </c>
    </row>
    <row r="5" spans="1:17">
      <c r="A5" s="121" t="s">
        <v>260</v>
      </c>
      <c r="C5" s="124">
        <v>305</v>
      </c>
      <c r="D5" s="124"/>
      <c r="E5" s="125" t="s">
        <v>293</v>
      </c>
      <c r="F5" s="125"/>
      <c r="G5" s="125" t="s">
        <v>262</v>
      </c>
      <c r="H5" s="125"/>
      <c r="I5" s="126" t="s">
        <v>263</v>
      </c>
      <c r="J5" s="123" t="s">
        <v>264</v>
      </c>
      <c r="K5" s="123" t="s">
        <v>265</v>
      </c>
      <c r="L5" s="123" t="s">
        <v>266</v>
      </c>
      <c r="N5" s="125"/>
    </row>
    <row r="6" spans="1:17">
      <c r="A6" s="121" t="s">
        <v>267</v>
      </c>
      <c r="C6" s="127"/>
      <c r="D6" s="127"/>
      <c r="E6" s="128"/>
      <c r="F6" s="125"/>
      <c r="G6" s="125"/>
      <c r="H6" s="125"/>
      <c r="I6" s="133"/>
      <c r="J6" s="144"/>
      <c r="K6" s="123"/>
      <c r="L6" s="123"/>
      <c r="N6" s="125"/>
    </row>
    <row r="7" spans="1:17" s="743" customFormat="1">
      <c r="A7" s="743" t="s">
        <v>268</v>
      </c>
      <c r="C7" s="744">
        <f>VLOOKUP(A7,'305 Inputs'!$E$116:$H$142,4,FALSE)</f>
        <v>1538101036</v>
      </c>
      <c r="D7" s="744"/>
      <c r="E7" s="745">
        <f>-244921+309641</f>
        <v>64720</v>
      </c>
      <c r="F7" s="746"/>
      <c r="G7" s="744">
        <f t="shared" ref="G7:G13" si="0">C7+E7</f>
        <v>1538165756</v>
      </c>
      <c r="H7" s="744"/>
      <c r="I7" s="747">
        <f>1538177431+302</f>
        <v>1538177733</v>
      </c>
      <c r="J7" s="743">
        <f t="shared" ref="J7:J12" si="1">ROUND(I7/G7*100,3)-100</f>
        <v>1.0000000000047748E-3</v>
      </c>
      <c r="K7" s="748">
        <f t="shared" ref="K7:K13" si="2">I7-G7</f>
        <v>11977</v>
      </c>
      <c r="L7" s="748">
        <f t="shared" ref="L7:L13" si="3">IF(ABS(J7)&lt;=0.5,0,IF(G7&gt;I7,(G7*0.995)-I7,(G7*1.005)-I7))</f>
        <v>0</v>
      </c>
      <c r="N7" s="746"/>
    </row>
    <row r="8" spans="1:17" s="743" customFormat="1">
      <c r="A8" s="743" t="s">
        <v>269</v>
      </c>
      <c r="C8" s="744">
        <f>VLOOKUP(A8,'305 Inputs'!$E$116:$H$142,4,FALSE)</f>
        <v>63258258</v>
      </c>
      <c r="D8" s="744"/>
      <c r="E8" s="745">
        <f>-10683+-14098</f>
        <v>-24781</v>
      </c>
      <c r="F8" s="746"/>
      <c r="G8" s="744">
        <f t="shared" si="0"/>
        <v>63233477</v>
      </c>
      <c r="H8" s="744"/>
      <c r="I8" s="747">
        <v>63233481</v>
      </c>
      <c r="J8" s="743">
        <f t="shared" si="1"/>
        <v>0</v>
      </c>
      <c r="K8" s="748">
        <f t="shared" si="2"/>
        <v>4</v>
      </c>
      <c r="L8" s="748">
        <f t="shared" si="3"/>
        <v>0</v>
      </c>
      <c r="N8" s="746"/>
    </row>
    <row r="9" spans="1:17" s="743" customFormat="1">
      <c r="A9" s="743" t="s">
        <v>270</v>
      </c>
      <c r="C9" s="744">
        <f>VLOOKUP(A9,'305 Inputs'!$E$116:$H$142,4,FALSE)</f>
        <v>2216109</v>
      </c>
      <c r="D9" s="962"/>
      <c r="E9" s="745">
        <v>144</v>
      </c>
      <c r="F9" s="746"/>
      <c r="G9" s="744">
        <f t="shared" si="0"/>
        <v>2216253</v>
      </c>
      <c r="H9" s="744"/>
      <c r="I9" s="747">
        <v>2216254</v>
      </c>
      <c r="J9" s="743">
        <f t="shared" si="1"/>
        <v>0</v>
      </c>
      <c r="K9" s="748">
        <f t="shared" si="2"/>
        <v>1</v>
      </c>
      <c r="L9" s="748">
        <f t="shared" si="3"/>
        <v>0</v>
      </c>
      <c r="N9" s="746"/>
    </row>
    <row r="10" spans="1:17" s="743" customFormat="1">
      <c r="A10" s="743" t="s">
        <v>271</v>
      </c>
      <c r="C10" s="744">
        <f>VLOOKUP(A10,'305 Inputs'!$E$116:$H$142,4,FALSE)</f>
        <v>433385</v>
      </c>
      <c r="D10" s="744"/>
      <c r="E10" s="745">
        <v>0</v>
      </c>
      <c r="F10" s="746"/>
      <c r="G10" s="744">
        <f t="shared" si="0"/>
        <v>433385</v>
      </c>
      <c r="H10" s="744"/>
      <c r="I10" s="747">
        <v>433385</v>
      </c>
      <c r="J10" s="743">
        <f t="shared" si="1"/>
        <v>0</v>
      </c>
      <c r="K10" s="748">
        <f t="shared" si="2"/>
        <v>0</v>
      </c>
      <c r="L10" s="748">
        <f t="shared" si="3"/>
        <v>0</v>
      </c>
      <c r="M10" s="749"/>
      <c r="N10" s="746"/>
      <c r="P10" s="749"/>
    </row>
    <row r="11" spans="1:17" s="743" customFormat="1">
      <c r="A11" s="743" t="s">
        <v>252</v>
      </c>
      <c r="C11" s="744">
        <f>VLOOKUP(A11,'305 Inputs'!$E$116:$H$142,4,FALSE)</f>
        <v>655942</v>
      </c>
      <c r="D11" s="744"/>
      <c r="E11" s="745">
        <f>-22916+888</f>
        <v>-22028</v>
      </c>
      <c r="F11" s="746"/>
      <c r="G11" s="744">
        <f t="shared" si="0"/>
        <v>633914</v>
      </c>
      <c r="H11" s="744"/>
      <c r="I11" s="747">
        <v>633914</v>
      </c>
      <c r="J11" s="743">
        <f t="shared" si="1"/>
        <v>0</v>
      </c>
      <c r="K11" s="748">
        <f t="shared" si="2"/>
        <v>0</v>
      </c>
      <c r="L11" s="748">
        <f t="shared" si="3"/>
        <v>0</v>
      </c>
      <c r="M11" s="749"/>
      <c r="N11" s="746"/>
      <c r="P11" s="749"/>
    </row>
    <row r="12" spans="1:17" s="743" customFormat="1">
      <c r="A12" s="743" t="s">
        <v>272</v>
      </c>
      <c r="C12" s="744">
        <f>VLOOKUP(A12,'305 Inputs'!$E$116:$H$142,4,FALSE)</f>
        <v>1071989</v>
      </c>
      <c r="D12" s="744"/>
      <c r="E12" s="745">
        <f>-933--1479</f>
        <v>546</v>
      </c>
      <c r="F12" s="746"/>
      <c r="G12" s="744">
        <f t="shared" si="0"/>
        <v>1072535</v>
      </c>
      <c r="H12" s="744"/>
      <c r="I12" s="747">
        <f>1072028</f>
        <v>1072028</v>
      </c>
      <c r="J12" s="743">
        <f t="shared" si="1"/>
        <v>-4.6999999999997044E-2</v>
      </c>
      <c r="K12" s="748">
        <f t="shared" si="2"/>
        <v>-507</v>
      </c>
      <c r="L12" s="748">
        <f t="shared" si="3"/>
        <v>0</v>
      </c>
      <c r="N12" s="746"/>
    </row>
    <row r="13" spans="1:17" s="743" customFormat="1">
      <c r="A13" s="743" t="s">
        <v>763</v>
      </c>
      <c r="C13" s="744">
        <f>VLOOKUP(A13,'305 Inputs'!$E$116:$H$142,4,FALSE)</f>
        <v>1020058</v>
      </c>
      <c r="D13" s="744"/>
      <c r="E13" s="745">
        <f>-126+2090</f>
        <v>1964</v>
      </c>
      <c r="F13" s="746"/>
      <c r="G13" s="744">
        <f t="shared" si="0"/>
        <v>1022022</v>
      </c>
      <c r="H13" s="744"/>
      <c r="I13" s="747">
        <v>1022022</v>
      </c>
      <c r="J13" s="743">
        <f>ROUND(I13/G13*100,3)-100</f>
        <v>0</v>
      </c>
      <c r="K13" s="748">
        <f t="shared" si="2"/>
        <v>0</v>
      </c>
      <c r="L13" s="748">
        <f t="shared" si="3"/>
        <v>0</v>
      </c>
      <c r="M13" s="749" t="s">
        <v>31</v>
      </c>
      <c r="N13" s="746"/>
      <c r="O13" s="749"/>
      <c r="P13" s="749"/>
      <c r="Q13" s="749"/>
    </row>
    <row r="14" spans="1:17" s="130" customFormat="1">
      <c r="A14" s="130" t="s">
        <v>273</v>
      </c>
      <c r="C14" s="132">
        <f>SUM(C7:C13)</f>
        <v>1606756777</v>
      </c>
      <c r="D14" s="132"/>
      <c r="E14" s="132">
        <f>SUM(E7:E13)</f>
        <v>20565</v>
      </c>
      <c r="F14" s="127"/>
      <c r="G14" s="132">
        <f>SUM(G7:G13)</f>
        <v>1606777342</v>
      </c>
      <c r="H14" s="132"/>
      <c r="I14" s="132">
        <f>SUM(I7:I13)</f>
        <v>1606788817</v>
      </c>
      <c r="K14" s="134">
        <f>SUM(K7:K13)</f>
        <v>11475</v>
      </c>
      <c r="L14" s="134"/>
      <c r="M14" s="135"/>
      <c r="N14" s="132"/>
      <c r="P14" s="135"/>
    </row>
    <row r="15" spans="1:17" s="130" customFormat="1">
      <c r="C15" s="132"/>
      <c r="D15" s="132"/>
      <c r="E15" s="127"/>
      <c r="F15" s="127"/>
      <c r="G15" s="127"/>
      <c r="H15" s="127"/>
      <c r="I15" s="133"/>
      <c r="K15" s="134"/>
      <c r="L15" s="134"/>
      <c r="M15" s="135"/>
      <c r="N15" s="127"/>
      <c r="O15" s="960" t="s">
        <v>31</v>
      </c>
      <c r="P15" s="135"/>
    </row>
    <row r="16" spans="1:17" s="130" customFormat="1">
      <c r="C16" s="132"/>
      <c r="D16" s="132"/>
      <c r="E16" s="127"/>
      <c r="F16" s="127"/>
      <c r="G16" s="127"/>
      <c r="H16" s="127"/>
      <c r="I16" s="133"/>
      <c r="K16" s="134"/>
      <c r="L16" s="134"/>
      <c r="M16" s="135"/>
      <c r="N16" s="127"/>
      <c r="P16" s="135"/>
    </row>
    <row r="17" spans="1:17" s="130" customFormat="1">
      <c r="A17" s="130" t="s">
        <v>274</v>
      </c>
      <c r="C17" s="132"/>
      <c r="D17" s="132"/>
      <c r="E17" s="127"/>
      <c r="F17" s="127"/>
      <c r="G17" s="127"/>
      <c r="H17" s="127"/>
      <c r="I17" s="133"/>
      <c r="K17" s="134"/>
      <c r="L17" s="134"/>
      <c r="M17" s="135"/>
      <c r="N17" s="127"/>
      <c r="P17" s="135"/>
    </row>
    <row r="18" spans="1:17" s="743" customFormat="1">
      <c r="A18" s="743" t="s">
        <v>51</v>
      </c>
      <c r="C18" s="744">
        <f>VLOOKUP(A18,'305 Inputs'!$E$7:$H$43,4,FALSE)+'305 Inputs'!H29</f>
        <v>522286831</v>
      </c>
      <c r="D18" s="744"/>
      <c r="E18" s="745">
        <f>-304382+539887</f>
        <v>235505</v>
      </c>
      <c r="F18" s="746"/>
      <c r="G18" s="744">
        <f t="shared" ref="G18:G27" si="4">C18+E18</f>
        <v>522522336</v>
      </c>
      <c r="H18" s="744"/>
      <c r="I18" s="747">
        <v>522524003</v>
      </c>
      <c r="J18" s="743">
        <f>ROUND(I18/G18*100,3)-100</f>
        <v>0</v>
      </c>
      <c r="K18" s="748">
        <f t="shared" ref="K18:K27" si="5">I18-G18</f>
        <v>1667</v>
      </c>
      <c r="L18" s="748">
        <f t="shared" ref="L18:L28" si="6">IF(ABS(J18)&lt;=0.5,0,IF(G18&gt;I18,(G18*0.995)-I18,(G18*1.005)-I18))</f>
        <v>0</v>
      </c>
      <c r="M18" s="749" t="s">
        <v>31</v>
      </c>
      <c r="N18" s="746"/>
      <c r="O18" s="749"/>
      <c r="P18" s="749"/>
      <c r="Q18" s="749"/>
    </row>
    <row r="19" spans="1:17" s="743" customFormat="1">
      <c r="A19" s="743" t="s">
        <v>52</v>
      </c>
      <c r="C19" s="744">
        <f>VLOOKUP(A19,'305 Inputs'!$E$7:$H$43,4,FALSE)+'305 Inputs'!H37</f>
        <v>1268465</v>
      </c>
      <c r="D19" s="744"/>
      <c r="E19" s="745">
        <f>882</f>
        <v>882</v>
      </c>
      <c r="F19" s="746"/>
      <c r="G19" s="744">
        <f t="shared" si="4"/>
        <v>1269347</v>
      </c>
      <c r="H19" s="744"/>
      <c r="I19" s="747">
        <f>864+1115063+153420</f>
        <v>1269347</v>
      </c>
      <c r="J19" s="743">
        <f>ROUND(I19/G19*100,3)-100</f>
        <v>0</v>
      </c>
      <c r="K19" s="748">
        <f t="shared" si="5"/>
        <v>0</v>
      </c>
      <c r="L19" s="748">
        <f t="shared" si="6"/>
        <v>0</v>
      </c>
      <c r="M19" s="743" t="s">
        <v>31</v>
      </c>
      <c r="N19" s="1111"/>
    </row>
    <row r="20" spans="1:17" s="743" customFormat="1">
      <c r="A20" s="966" t="s">
        <v>300</v>
      </c>
      <c r="C20" s="744">
        <f>VLOOKUP(A20,'305 Inputs'!$E$7:$H$43,4,FALSE)</f>
        <v>351175</v>
      </c>
      <c r="D20" s="744"/>
      <c r="E20" s="745">
        <f>--80+156</f>
        <v>236</v>
      </c>
      <c r="F20" s="746"/>
      <c r="G20" s="744">
        <f t="shared" si="4"/>
        <v>351411</v>
      </c>
      <c r="H20" s="744"/>
      <c r="I20" s="747">
        <f>4402+347009</f>
        <v>351411</v>
      </c>
      <c r="J20" s="743">
        <f>ROUND(I20/G20*100,3)-100</f>
        <v>0</v>
      </c>
      <c r="K20" s="748">
        <f t="shared" si="5"/>
        <v>0</v>
      </c>
      <c r="L20" s="748">
        <f t="shared" si="6"/>
        <v>0</v>
      </c>
      <c r="N20" s="746"/>
    </row>
    <row r="21" spans="1:17" s="130" customFormat="1">
      <c r="A21" s="130" t="s">
        <v>275</v>
      </c>
      <c r="C21" s="132">
        <v>0</v>
      </c>
      <c r="D21" s="132"/>
      <c r="E21" s="959">
        <v>0</v>
      </c>
      <c r="F21" s="127"/>
      <c r="G21" s="132">
        <f t="shared" si="4"/>
        <v>0</v>
      </c>
      <c r="H21" s="132"/>
      <c r="I21" s="133">
        <v>0</v>
      </c>
      <c r="J21" s="130">
        <v>0</v>
      </c>
      <c r="K21" s="134">
        <f t="shared" si="5"/>
        <v>0</v>
      </c>
      <c r="L21" s="134">
        <f t="shared" si="6"/>
        <v>0</v>
      </c>
      <c r="N21" s="127"/>
    </row>
    <row r="22" spans="1:17" s="743" customFormat="1">
      <c r="A22" s="743" t="s">
        <v>53</v>
      </c>
      <c r="C22" s="744">
        <f>VLOOKUP(A22,'305 Inputs'!$E$7:$H$43,4,FALSE)+'305 Inputs'!H33</f>
        <v>752246252</v>
      </c>
      <c r="D22" s="744"/>
      <c r="E22" s="745">
        <f>38280+3040+610362+334601-1112399-1146000-60999--1103239--1004440--47079</f>
        <v>821643</v>
      </c>
      <c r="F22" s="746"/>
      <c r="G22" s="744">
        <f t="shared" si="4"/>
        <v>753067895</v>
      </c>
      <c r="H22" s="744"/>
      <c r="I22" s="747">
        <f>310352+43578988+35115904+3686800+12483521+3940714+275354820+378596796</f>
        <v>753067895</v>
      </c>
      <c r="J22" s="743">
        <f t="shared" ref="J22:J27" si="7">ROUND(I22/G22*100,3)-100</f>
        <v>0</v>
      </c>
      <c r="K22" s="748">
        <f t="shared" si="5"/>
        <v>0</v>
      </c>
      <c r="L22" s="748">
        <f t="shared" si="6"/>
        <v>0</v>
      </c>
      <c r="N22" s="746"/>
    </row>
    <row r="23" spans="1:17" s="743" customFormat="1">
      <c r="A23" s="743" t="s">
        <v>54</v>
      </c>
      <c r="C23" s="744">
        <f>VLOOKUP(A23,'305 Inputs'!$E$7:$H$43,4,FALSE)</f>
        <v>141713341</v>
      </c>
      <c r="D23" s="744"/>
      <c r="E23" s="745">
        <f>1334000-759900</f>
        <v>574100</v>
      </c>
      <c r="F23" s="746"/>
      <c r="G23" s="744">
        <f t="shared" si="4"/>
        <v>142287441</v>
      </c>
      <c r="H23" s="744"/>
      <c r="I23" s="747">
        <f>58901000+83386441</f>
        <v>142287441</v>
      </c>
      <c r="J23" s="743">
        <f t="shared" si="7"/>
        <v>0</v>
      </c>
      <c r="K23" s="748">
        <f t="shared" si="5"/>
        <v>0</v>
      </c>
      <c r="L23" s="748">
        <f t="shared" si="6"/>
        <v>0</v>
      </c>
      <c r="N23" s="746"/>
    </row>
    <row r="24" spans="1:17" s="743" customFormat="1">
      <c r="A24" s="743" t="s">
        <v>55</v>
      </c>
      <c r="C24" s="744">
        <f>VLOOKUP(A24,'305 Inputs'!$E$7:$H$43,4,FALSE)+'305 Inputs'!H35</f>
        <v>2230059</v>
      </c>
      <c r="D24" s="744"/>
      <c r="E24" s="745">
        <f>640+1989-1170-182</f>
        <v>1277</v>
      </c>
      <c r="F24" s="746"/>
      <c r="G24" s="744">
        <f t="shared" si="4"/>
        <v>2231336</v>
      </c>
      <c r="H24" s="744"/>
      <c r="I24" s="747">
        <f>1643386+590032</f>
        <v>2233418</v>
      </c>
      <c r="J24" s="743">
        <f t="shared" si="7"/>
        <v>9.3000000000003524E-2</v>
      </c>
      <c r="K24" s="748">
        <f t="shared" si="5"/>
        <v>2082</v>
      </c>
      <c r="L24" s="748">
        <f t="shared" si="6"/>
        <v>0</v>
      </c>
      <c r="N24" s="746"/>
    </row>
    <row r="25" spans="1:17" s="743" customFormat="1">
      <c r="A25" s="743" t="s">
        <v>56</v>
      </c>
      <c r="C25" s="744">
        <f>VLOOKUP(A25,'305 Inputs'!$E$7:$H$43,4,FALSE)</f>
        <v>282514</v>
      </c>
      <c r="D25" s="744"/>
      <c r="E25" s="745">
        <f>12--720</f>
        <v>732</v>
      </c>
      <c r="F25" s="746"/>
      <c r="G25" s="744">
        <f t="shared" si="4"/>
        <v>283246</v>
      </c>
      <c r="H25" s="744"/>
      <c r="I25" s="747">
        <f>77267+205979</f>
        <v>283246</v>
      </c>
      <c r="J25" s="743">
        <f t="shared" si="7"/>
        <v>0</v>
      </c>
      <c r="K25" s="748">
        <f t="shared" si="5"/>
        <v>0</v>
      </c>
      <c r="L25" s="748">
        <f t="shared" si="6"/>
        <v>0</v>
      </c>
      <c r="N25" s="746"/>
    </row>
    <row r="26" spans="1:17" s="743" customFormat="1">
      <c r="A26" s="743" t="s">
        <v>220</v>
      </c>
      <c r="C26" s="744">
        <f>VLOOKUP(A26,'305 Inputs'!$E$7:$H$43,4,FALSE)</f>
        <v>435783</v>
      </c>
      <c r="D26" s="744"/>
      <c r="E26" s="745">
        <f>--22631</f>
        <v>22631</v>
      </c>
      <c r="F26" s="746"/>
      <c r="G26" s="744">
        <f t="shared" ref="G26" si="8">C26+E26</f>
        <v>458414</v>
      </c>
      <c r="H26" s="744"/>
      <c r="I26" s="747">
        <v>458414</v>
      </c>
      <c r="J26" s="743">
        <f t="shared" si="7"/>
        <v>0</v>
      </c>
      <c r="K26" s="748">
        <f t="shared" ref="K26" si="9">I26-G26</f>
        <v>0</v>
      </c>
      <c r="L26" s="748">
        <f t="shared" ref="L26" si="10">IF(ABS(J26)&lt;=0.5,0,IF(G26&gt;I26,(G26*0.995)-I26,(G26*1.005)-I26))</f>
        <v>0</v>
      </c>
      <c r="N26" s="746"/>
    </row>
    <row r="27" spans="1:17" s="743" customFormat="1">
      <c r="A27" s="743" t="s">
        <v>699</v>
      </c>
      <c r="C27" s="744">
        <f>VLOOKUP(A27,'305 Inputs'!$E$7:$H$43,4,FALSE)</f>
        <v>99360</v>
      </c>
      <c r="D27" s="744"/>
      <c r="E27" s="745">
        <v>0</v>
      </c>
      <c r="F27" s="746"/>
      <c r="G27" s="744">
        <f t="shared" si="4"/>
        <v>99360</v>
      </c>
      <c r="H27" s="744"/>
      <c r="I27" s="747">
        <f>99360</f>
        <v>99360</v>
      </c>
      <c r="J27" s="743">
        <f t="shared" si="7"/>
        <v>0</v>
      </c>
      <c r="K27" s="748">
        <f t="shared" si="5"/>
        <v>0</v>
      </c>
      <c r="L27" s="748">
        <f t="shared" si="6"/>
        <v>0</v>
      </c>
      <c r="N27" s="746"/>
    </row>
    <row r="28" spans="1:17">
      <c r="A28" s="121" t="s">
        <v>276</v>
      </c>
      <c r="C28" s="132">
        <f>SUM(C18:C27)</f>
        <v>1420913780</v>
      </c>
      <c r="D28" s="132"/>
      <c r="E28" s="132">
        <f>SUM(E18:E27)</f>
        <v>1657006</v>
      </c>
      <c r="G28" s="120">
        <f>SUM(G18:G27)</f>
        <v>1422570786</v>
      </c>
      <c r="H28" s="120"/>
      <c r="I28" s="120">
        <f>SUM(I18:I27)</f>
        <v>1422574535</v>
      </c>
      <c r="K28" s="145">
        <f>SUM(K18:K27)</f>
        <v>3749</v>
      </c>
      <c r="L28" s="134">
        <f t="shared" si="6"/>
        <v>0</v>
      </c>
    </row>
    <row r="29" spans="1:17">
      <c r="C29" s="132"/>
      <c r="D29" s="132"/>
      <c r="E29" s="132"/>
      <c r="G29" s="125"/>
      <c r="H29" s="125"/>
      <c r="I29" s="137"/>
      <c r="K29" s="145"/>
      <c r="L29" s="145"/>
    </row>
    <row r="30" spans="1:17">
      <c r="C30" s="136"/>
      <c r="D30" s="136"/>
      <c r="E30" s="132"/>
      <c r="I30" s="137"/>
      <c r="K30" s="145"/>
      <c r="L30" s="144"/>
    </row>
    <row r="31" spans="1:17">
      <c r="A31" s="121" t="s">
        <v>277</v>
      </c>
      <c r="C31" s="132"/>
      <c r="D31" s="132"/>
      <c r="E31" s="132"/>
      <c r="F31" s="125"/>
      <c r="G31" s="125"/>
      <c r="H31" s="125"/>
      <c r="I31" s="137"/>
      <c r="K31" s="144"/>
      <c r="L31" s="144"/>
      <c r="N31" s="125"/>
    </row>
    <row r="32" spans="1:17" s="743" customFormat="1">
      <c r="A32" s="743" t="s">
        <v>51</v>
      </c>
      <c r="C32" s="744">
        <f>VLOOKUP(A32,'305 Inputs'!$E$51:$H$71,4,FALSE)+'305 Inputs'!H64</f>
        <v>17374697</v>
      </c>
      <c r="D32" s="744"/>
      <c r="E32" s="745">
        <f>-1713+47116</f>
        <v>45403</v>
      </c>
      <c r="F32" s="746"/>
      <c r="G32" s="744">
        <f t="shared" ref="G32:G40" si="11">C32+E32</f>
        <v>17420100</v>
      </c>
      <c r="H32" s="744"/>
      <c r="I32" s="747">
        <f>17420100</f>
        <v>17420100</v>
      </c>
      <c r="J32" s="743">
        <f t="shared" ref="J32:J40" si="12">ROUND(I32/G32*100,3)-100</f>
        <v>0</v>
      </c>
      <c r="K32" s="748">
        <f t="shared" ref="K32:K40" si="13">I32-G32</f>
        <v>0</v>
      </c>
      <c r="L32" s="748">
        <f t="shared" ref="L32:L40" si="14">IF(ABS(J32)&lt;=0.5,0,IF(G32&gt;I32,(G32*0.995)-I32,(G32*1.005)-I32))</f>
        <v>0</v>
      </c>
      <c r="M32" s="748"/>
      <c r="N32" s="744"/>
      <c r="O32" s="748"/>
    </row>
    <row r="33" spans="1:14" s="743" customFormat="1">
      <c r="A33" s="743" t="s">
        <v>52</v>
      </c>
      <c r="C33" s="744">
        <f>VLOOKUP(A33,'305 Inputs'!$E$51:$H$71,4,FALSE)</f>
        <v>33313</v>
      </c>
      <c r="D33" s="744"/>
      <c r="E33" s="745">
        <v>0</v>
      </c>
      <c r="F33" s="746"/>
      <c r="G33" s="744">
        <f t="shared" si="11"/>
        <v>33313</v>
      </c>
      <c r="H33" s="744"/>
      <c r="I33" s="747">
        <f>33313</f>
        <v>33313</v>
      </c>
      <c r="J33" s="743">
        <f t="shared" si="12"/>
        <v>0</v>
      </c>
      <c r="K33" s="748">
        <f t="shared" si="13"/>
        <v>0</v>
      </c>
      <c r="L33" s="748">
        <f t="shared" si="14"/>
        <v>0</v>
      </c>
      <c r="N33" s="744"/>
    </row>
    <row r="34" spans="1:14" s="743" customFormat="1">
      <c r="A34" s="966" t="s">
        <v>300</v>
      </c>
      <c r="C34" s="744">
        <f>VLOOKUP(A34,'305 Inputs'!$E$51:$H$71,4,FALSE)</f>
        <v>6067</v>
      </c>
      <c r="D34" s="744"/>
      <c r="E34" s="745">
        <f>0</f>
        <v>0</v>
      </c>
      <c r="F34" s="746"/>
      <c r="G34" s="744">
        <f t="shared" si="11"/>
        <v>6067</v>
      </c>
      <c r="H34" s="744"/>
      <c r="I34" s="747">
        <v>6067</v>
      </c>
      <c r="J34" s="743">
        <f t="shared" si="12"/>
        <v>0</v>
      </c>
      <c r="K34" s="748">
        <f t="shared" si="13"/>
        <v>0</v>
      </c>
      <c r="L34" s="748">
        <f t="shared" si="14"/>
        <v>0</v>
      </c>
      <c r="N34" s="744"/>
    </row>
    <row r="35" spans="1:14" s="743" customFormat="1">
      <c r="A35" s="743" t="s">
        <v>53</v>
      </c>
      <c r="C35" s="744">
        <f>VLOOKUP(A35,'305 Inputs'!$E$51:$H$71,4,FALSE)+'305 Inputs'!H68</f>
        <v>109208584</v>
      </c>
      <c r="D35" s="744"/>
      <c r="E35" s="745">
        <f>2240+12600+36720+376440-44400</f>
        <v>383600</v>
      </c>
      <c r="F35" s="746"/>
      <c r="G35" s="744">
        <f t="shared" si="11"/>
        <v>109592184</v>
      </c>
      <c r="H35" s="744"/>
      <c r="I35" s="747">
        <f>3144161+150240+12600+297600+1358400+747880+30286202+73595101</f>
        <v>109592184</v>
      </c>
      <c r="J35" s="743">
        <f t="shared" si="12"/>
        <v>0</v>
      </c>
      <c r="K35" s="748">
        <f t="shared" si="13"/>
        <v>0</v>
      </c>
      <c r="L35" s="748">
        <f t="shared" si="14"/>
        <v>0</v>
      </c>
      <c r="N35" s="744"/>
    </row>
    <row r="36" spans="1:14" s="743" customFormat="1">
      <c r="A36" s="743" t="s">
        <v>167</v>
      </c>
      <c r="C36" s="744">
        <f>VLOOKUP(A36,'305 Inputs'!$E$51:$H$71,4,FALSE)</f>
        <v>1706000</v>
      </c>
      <c r="D36" s="744"/>
      <c r="E36" s="745">
        <f>86000-81000</f>
        <v>5000</v>
      </c>
      <c r="F36" s="746"/>
      <c r="G36" s="744">
        <f t="shared" si="11"/>
        <v>1711000</v>
      </c>
      <c r="H36" s="744"/>
      <c r="I36" s="747">
        <f>1699425+11575</f>
        <v>1711000</v>
      </c>
      <c r="J36" s="743">
        <f t="shared" si="12"/>
        <v>0</v>
      </c>
      <c r="K36" s="748">
        <f t="shared" si="13"/>
        <v>0</v>
      </c>
      <c r="L36" s="748">
        <f t="shared" si="14"/>
        <v>0</v>
      </c>
      <c r="N36" s="744"/>
    </row>
    <row r="37" spans="1:14" s="743" customFormat="1">
      <c r="A37" s="743" t="s">
        <v>54</v>
      </c>
      <c r="C37" s="744">
        <f>VLOOKUP(A37,'305 Inputs'!$E$51:$H$71,4,FALSE)-C38</f>
        <v>213510352</v>
      </c>
      <c r="D37" s="744"/>
      <c r="E37" s="745">
        <f>-5400-E38</f>
        <v>-5400</v>
      </c>
      <c r="F37" s="746"/>
      <c r="G37" s="744">
        <f t="shared" si="11"/>
        <v>213504952</v>
      </c>
      <c r="H37" s="744"/>
      <c r="I37" s="747">
        <f>4585200+208919752</f>
        <v>213504952</v>
      </c>
      <c r="J37" s="743">
        <f t="shared" si="12"/>
        <v>0</v>
      </c>
      <c r="K37" s="748">
        <f t="shared" si="13"/>
        <v>0</v>
      </c>
      <c r="L37" s="748">
        <f t="shared" si="14"/>
        <v>0</v>
      </c>
      <c r="N37" s="744"/>
    </row>
    <row r="38" spans="1:14" s="743" customFormat="1">
      <c r="A38" s="743" t="s">
        <v>593</v>
      </c>
      <c r="C38" s="744">
        <f>467514000</f>
        <v>467514000</v>
      </c>
      <c r="D38" s="744"/>
      <c r="E38" s="745">
        <v>0</v>
      </c>
      <c r="F38" s="746"/>
      <c r="G38" s="744">
        <f t="shared" ref="G38" si="15">C38+E38</f>
        <v>467514000</v>
      </c>
      <c r="H38" s="744"/>
      <c r="I38" s="747">
        <v>467514000</v>
      </c>
      <c r="J38" s="743">
        <f t="shared" ref="J38" si="16">ROUND(I38/G38*100,3)-100</f>
        <v>0</v>
      </c>
      <c r="K38" s="748">
        <f t="shared" ref="K38" si="17">I38-G38</f>
        <v>0</v>
      </c>
      <c r="L38" s="748">
        <f t="shared" ref="L38" si="18">IF(ABS(J38)&lt;=0.5,0,IF(G38&gt;I38,(G38*0.995)-I38,(G38*1.005)-I38))</f>
        <v>0</v>
      </c>
      <c r="N38" s="744"/>
    </row>
    <row r="39" spans="1:14" s="743" customFormat="1">
      <c r="A39" s="743" t="s">
        <v>60</v>
      </c>
      <c r="C39" s="744">
        <v>0</v>
      </c>
      <c r="D39" s="744"/>
      <c r="E39" s="745">
        <v>0</v>
      </c>
      <c r="F39" s="746"/>
      <c r="G39" s="744">
        <f t="shared" si="11"/>
        <v>0</v>
      </c>
      <c r="H39" s="744"/>
      <c r="I39" s="747">
        <v>0</v>
      </c>
      <c r="J39" s="743" t="e">
        <f t="shared" si="12"/>
        <v>#DIV/0!</v>
      </c>
      <c r="K39" s="748">
        <f t="shared" si="13"/>
        <v>0</v>
      </c>
      <c r="L39" s="748" t="e">
        <f t="shared" si="14"/>
        <v>#DIV/0!</v>
      </c>
      <c r="N39" s="744"/>
    </row>
    <row r="40" spans="1:14" s="743" customFormat="1">
      <c r="A40" s="743" t="s">
        <v>55</v>
      </c>
      <c r="C40" s="744">
        <f>VLOOKUP(A40,'305 Inputs'!$E$51:$H$71,4,FALSE)+'305 Inputs'!H70</f>
        <v>150285</v>
      </c>
      <c r="D40" s="744"/>
      <c r="E40" s="745">
        <f>215+874-581</f>
        <v>508</v>
      </c>
      <c r="F40" s="746"/>
      <c r="G40" s="744">
        <f t="shared" si="11"/>
        <v>150793</v>
      </c>
      <c r="H40" s="744"/>
      <c r="I40" s="747">
        <f>120664+29388</f>
        <v>150052</v>
      </c>
      <c r="J40" s="743">
        <f t="shared" si="12"/>
        <v>-0.49099999999999966</v>
      </c>
      <c r="K40" s="748">
        <f t="shared" si="13"/>
        <v>-741</v>
      </c>
      <c r="L40" s="748">
        <f t="shared" si="14"/>
        <v>0</v>
      </c>
      <c r="N40" s="744"/>
    </row>
    <row r="41" spans="1:14" s="130" customFormat="1">
      <c r="A41" s="130" t="s">
        <v>278</v>
      </c>
      <c r="C41" s="132">
        <f>SUM(C32:C40)</f>
        <v>809503298</v>
      </c>
      <c r="D41" s="132"/>
      <c r="E41" s="132">
        <f>SUM(E32:E40)</f>
        <v>429111</v>
      </c>
      <c r="F41" s="127"/>
      <c r="G41" s="132">
        <f>SUM(G32:G40)</f>
        <v>809932409</v>
      </c>
      <c r="H41" s="132"/>
      <c r="I41" s="132">
        <f>SUM(I32:I40)</f>
        <v>809931668</v>
      </c>
      <c r="K41" s="132">
        <f>SUM(K32:K40)</f>
        <v>-741</v>
      </c>
      <c r="L41" s="134"/>
      <c r="N41" s="132"/>
    </row>
    <row r="42" spans="1:14" s="130" customFormat="1">
      <c r="C42" s="132"/>
      <c r="D42" s="132"/>
      <c r="E42" s="127"/>
      <c r="F42" s="127"/>
      <c r="G42" s="132"/>
      <c r="H42" s="132"/>
      <c r="I42" s="133"/>
      <c r="K42" s="132"/>
      <c r="L42" s="134"/>
      <c r="N42" s="132"/>
    </row>
    <row r="43" spans="1:14" s="130" customFormat="1">
      <c r="C43" s="132"/>
      <c r="D43" s="132"/>
      <c r="E43" s="127"/>
      <c r="F43" s="127"/>
      <c r="G43" s="132"/>
      <c r="H43" s="132"/>
      <c r="I43" s="133"/>
      <c r="K43" s="132"/>
      <c r="L43" s="134"/>
      <c r="N43" s="132"/>
    </row>
    <row r="44" spans="1:14" s="130" customFormat="1">
      <c r="A44" s="130" t="s">
        <v>279</v>
      </c>
      <c r="C44" s="132"/>
      <c r="D44" s="132"/>
      <c r="E44" s="127"/>
      <c r="F44" s="127"/>
      <c r="G44" s="132"/>
      <c r="H44" s="132"/>
      <c r="I44" s="133"/>
      <c r="K44" s="132"/>
      <c r="L44" s="134"/>
      <c r="N44" s="132"/>
    </row>
    <row r="45" spans="1:14" s="743" customFormat="1">
      <c r="A45" s="743" t="s">
        <v>58</v>
      </c>
      <c r="C45" s="744">
        <f>VLOOKUP(A45,'305 Inputs'!$E$77:$H$94,4,FALSE)</f>
        <v>146674202</v>
      </c>
      <c r="D45" s="744"/>
      <c r="E45" s="745">
        <f>9164+911533+664833-30919-260062-91786</f>
        <v>1202763</v>
      </c>
      <c r="F45" s="746"/>
      <c r="G45" s="744">
        <f>C45+E45</f>
        <v>147876965</v>
      </c>
      <c r="H45" s="744"/>
      <c r="I45" s="747">
        <f>24408+5713553+88448788+53690217</f>
        <v>147876966</v>
      </c>
      <c r="J45" s="743">
        <f>ROUND(I45/G45*100,3)-100</f>
        <v>0</v>
      </c>
      <c r="K45" s="748">
        <f t="shared" ref="K45:K55" si="19">I45-G45</f>
        <v>1</v>
      </c>
      <c r="L45" s="748">
        <f>IF(ABS(J45)&lt;=0.5,0,IF(G45&gt;I45,(G45*0.995)-I45,(G45*1.005)-I45))</f>
        <v>0</v>
      </c>
      <c r="N45" s="744"/>
    </row>
    <row r="46" spans="1:14" s="743" customFormat="1">
      <c r="A46" s="743" t="s">
        <v>59</v>
      </c>
      <c r="C46" s="744">
        <f>VLOOKUP(A46,'305 Inputs'!$E$77:$H$94,4,FALSE)</f>
        <v>5321277</v>
      </c>
      <c r="D46" s="744"/>
      <c r="E46" s="745">
        <f>10486+71859+5400-6561-874</f>
        <v>80310</v>
      </c>
      <c r="F46" s="746"/>
      <c r="G46" s="744">
        <f>C46+E46</f>
        <v>5401587</v>
      </c>
      <c r="H46" s="744"/>
      <c r="I46" s="747">
        <f>422494+3044200+1934893</f>
        <v>5401587</v>
      </c>
      <c r="J46" s="743">
        <f>ROUND(I46/G46*100,3)-100</f>
        <v>0</v>
      </c>
      <c r="K46" s="748">
        <f t="shared" si="19"/>
        <v>0</v>
      </c>
      <c r="L46" s="748">
        <f>IF(ABS(J46)&lt;=0.5,0,IF(G46&gt;I46,(G46*0.995)-I46,(G46*1.005)-I46))</f>
        <v>0</v>
      </c>
      <c r="N46" s="744"/>
    </row>
    <row r="47" spans="1:14" s="130" customFormat="1">
      <c r="A47" s="130" t="s">
        <v>280</v>
      </c>
      <c r="C47" s="132">
        <f>SUM(C45:C46)</f>
        <v>151995479</v>
      </c>
      <c r="D47" s="132"/>
      <c r="E47" s="132">
        <f>SUM(E45:E46)</f>
        <v>1283073</v>
      </c>
      <c r="F47" s="127"/>
      <c r="G47" s="132">
        <f>SUM(G45:G46)</f>
        <v>153278552</v>
      </c>
      <c r="H47" s="132"/>
      <c r="I47" s="132">
        <f>SUM(I45:I46)</f>
        <v>153278553</v>
      </c>
      <c r="K47" s="134">
        <f t="shared" si="19"/>
        <v>1</v>
      </c>
      <c r="L47" s="134"/>
      <c r="N47" s="132"/>
    </row>
    <row r="48" spans="1:14" s="130" customFormat="1">
      <c r="C48" s="132"/>
      <c r="D48" s="132"/>
      <c r="E48" s="127"/>
      <c r="F48" s="127"/>
      <c r="G48" s="132"/>
      <c r="H48" s="132"/>
      <c r="I48" s="133"/>
      <c r="K48" s="134">
        <f t="shared" si="19"/>
        <v>0</v>
      </c>
      <c r="L48" s="134"/>
      <c r="N48" s="132"/>
    </row>
    <row r="49" spans="1:14" s="130" customFormat="1">
      <c r="C49" s="132"/>
      <c r="D49" s="132"/>
      <c r="E49" s="127"/>
      <c r="F49" s="127"/>
      <c r="G49" s="132"/>
      <c r="H49" s="132"/>
      <c r="I49" s="133"/>
      <c r="K49" s="134">
        <f t="shared" si="19"/>
        <v>0</v>
      </c>
      <c r="L49" s="134"/>
      <c r="N49" s="132"/>
    </row>
    <row r="50" spans="1:14" s="130" customFormat="1">
      <c r="A50" s="130" t="s">
        <v>281</v>
      </c>
      <c r="C50" s="132"/>
      <c r="D50" s="132"/>
      <c r="E50" s="127"/>
      <c r="F50" s="127"/>
      <c r="G50" s="132"/>
      <c r="H50" s="132"/>
      <c r="I50" s="133"/>
      <c r="K50" s="134">
        <f t="shared" si="19"/>
        <v>0</v>
      </c>
      <c r="L50" s="134"/>
      <c r="N50" s="132"/>
    </row>
    <row r="51" spans="1:14" s="743" customFormat="1">
      <c r="A51" s="743" t="s">
        <v>61</v>
      </c>
      <c r="C51" s="962">
        <f>VLOOKUP(A51,'305 Inputs'!$E$101:$H$110,4,FALSE)</f>
        <v>316726</v>
      </c>
      <c r="D51" s="744"/>
      <c r="E51" s="745">
        <f>-2736</f>
        <v>-2736</v>
      </c>
      <c r="F51" s="746"/>
      <c r="G51" s="744">
        <f>C51+E51</f>
        <v>313990</v>
      </c>
      <c r="H51" s="744"/>
      <c r="I51" s="747">
        <f>314125</f>
        <v>314125</v>
      </c>
      <c r="J51" s="743">
        <f>ROUND(I51/G51*100,3)-100</f>
        <v>4.3000000000006366E-2</v>
      </c>
      <c r="K51" s="748">
        <f t="shared" si="19"/>
        <v>135</v>
      </c>
      <c r="L51" s="748">
        <f>IF(ABS(J51)&lt;=0.5,0,IF(G51&gt;I51,(G51*0.995)-I51,(G51*1.005)-I51))</f>
        <v>0</v>
      </c>
      <c r="N51" s="744"/>
    </row>
    <row r="52" spans="1:14" s="743" customFormat="1">
      <c r="A52" s="743" t="s">
        <v>62</v>
      </c>
      <c r="C52" s="962">
        <f>VLOOKUP(A52,'305 Inputs'!$E$101:$H$110,4,FALSE)</f>
        <v>3282893</v>
      </c>
      <c r="D52" s="744"/>
      <c r="E52" s="745">
        <f>226749-1404</f>
        <v>225345</v>
      </c>
      <c r="F52" s="746"/>
      <c r="G52" s="744">
        <f>C52+E52</f>
        <v>3508238</v>
      </c>
      <c r="H52" s="744"/>
      <c r="I52" s="747">
        <f>3523707</f>
        <v>3523707</v>
      </c>
      <c r="J52" s="743">
        <f>ROUND(I52/G52*100,3)-100</f>
        <v>0.4410000000000025</v>
      </c>
      <c r="K52" s="748">
        <f t="shared" si="19"/>
        <v>15469</v>
      </c>
      <c r="L52" s="748">
        <f>IF(ABS(J52)&lt;=0.5,0,IF(G52&gt;I52,(G52*0.995)-I52,(G52*1.005)-I52))</f>
        <v>0</v>
      </c>
      <c r="N52" s="744"/>
    </row>
    <row r="53" spans="1:14" s="743" customFormat="1">
      <c r="A53" s="743" t="s">
        <v>63</v>
      </c>
      <c r="C53" s="962">
        <f>VLOOKUP(A53,'305 Inputs'!$E$101:$H$110,4,FALSE)</f>
        <v>1167018</v>
      </c>
      <c r="D53" s="744"/>
      <c r="E53" s="745">
        <f>1075-1006</f>
        <v>69</v>
      </c>
      <c r="F53" s="746"/>
      <c r="G53" s="744">
        <f>C53+E53</f>
        <v>1167087</v>
      </c>
      <c r="H53" s="744"/>
      <c r="I53" s="747">
        <v>1167081</v>
      </c>
      <c r="J53" s="743">
        <f>ROUND(I53/G53*100,3)-100</f>
        <v>-1.0000000000047748E-3</v>
      </c>
      <c r="K53" s="748">
        <f t="shared" si="19"/>
        <v>-6</v>
      </c>
      <c r="L53" s="748">
        <f>IF(ABS(J53)&lt;=0.5,0,IF(G53&gt;I53,(G53*0.995)-I53,(G53*1.005)-I53))</f>
        <v>0</v>
      </c>
      <c r="N53" s="744"/>
    </row>
    <row r="54" spans="1:14" s="743" customFormat="1">
      <c r="A54" s="743" t="s">
        <v>64</v>
      </c>
      <c r="C54" s="962">
        <f>VLOOKUP(A54,'305 Inputs'!$E$101:$H$110,4,FALSE)</f>
        <v>3317369</v>
      </c>
      <c r="D54" s="744"/>
      <c r="E54" s="745">
        <f>30993-18145</f>
        <v>12848</v>
      </c>
      <c r="F54" s="746"/>
      <c r="G54" s="744">
        <f>C54+E54</f>
        <v>3330217</v>
      </c>
      <c r="H54" s="744"/>
      <c r="I54" s="747">
        <v>3331018</v>
      </c>
      <c r="J54" s="743">
        <f>ROUND(I54/G54*100,3)-100</f>
        <v>2.4000000000000909E-2</v>
      </c>
      <c r="K54" s="748">
        <f t="shared" si="19"/>
        <v>801</v>
      </c>
      <c r="L54" s="748">
        <f>IF(ABS(J54)&lt;=0.5,0,IF(G54&gt;I54,(G54*0.995)-I54,(G54*1.005)-I54))</f>
        <v>0</v>
      </c>
      <c r="N54" s="744"/>
    </row>
    <row r="55" spans="1:14" s="743" customFormat="1">
      <c r="A55" s="743" t="s">
        <v>65</v>
      </c>
      <c r="C55" s="962">
        <f>VLOOKUP(A55,'305 Inputs'!$E$101:$H$110,4,FALSE)</f>
        <v>1960705</v>
      </c>
      <c r="D55" s="744"/>
      <c r="E55" s="745">
        <f>-2470-172+1204</f>
        <v>-1438</v>
      </c>
      <c r="F55" s="746"/>
      <c r="G55" s="744">
        <f>C55+E55</f>
        <v>1959267</v>
      </c>
      <c r="H55" s="744"/>
      <c r="I55" s="747">
        <v>1960718</v>
      </c>
      <c r="J55" s="743">
        <f>ROUND(I55/G55*100,3)-100</f>
        <v>7.3999999999998067E-2</v>
      </c>
      <c r="K55" s="748">
        <f t="shared" si="19"/>
        <v>1451</v>
      </c>
      <c r="L55" s="748">
        <f>IF(ABS(J55)&lt;=0.5,0,IF(G55&gt;I55,(G55*0.995)-I55,(G55*1.005)-I55))</f>
        <v>0</v>
      </c>
      <c r="N55" s="744"/>
    </row>
    <row r="56" spans="1:14">
      <c r="A56" s="121" t="s">
        <v>282</v>
      </c>
      <c r="C56" s="132">
        <f>SUM(C51:C55)</f>
        <v>10044711</v>
      </c>
      <c r="D56" s="132"/>
      <c r="E56" s="132">
        <f>SUM(E51:E55)</f>
        <v>234088</v>
      </c>
      <c r="G56" s="120">
        <f>SUM(G51:G55)</f>
        <v>10278799</v>
      </c>
      <c r="H56" s="120"/>
      <c r="I56" s="120">
        <f>SUM(I51:I55)</f>
        <v>10296649</v>
      </c>
      <c r="K56" s="120">
        <f>SUM(K51:K55)</f>
        <v>17850</v>
      </c>
      <c r="L56" s="145"/>
      <c r="N56" s="120"/>
    </row>
    <row r="57" spans="1:14">
      <c r="C57" s="132"/>
      <c r="D57" s="132"/>
      <c r="E57" s="127"/>
      <c r="G57" s="120"/>
      <c r="H57" s="120"/>
      <c r="K57" s="120"/>
      <c r="L57" s="145"/>
      <c r="N57" s="120"/>
    </row>
    <row r="58" spans="1:14">
      <c r="A58" s="121" t="s">
        <v>283</v>
      </c>
      <c r="C58" s="132">
        <f>C56+C47+C41+C28+C14</f>
        <v>3999214045</v>
      </c>
      <c r="D58" s="132"/>
      <c r="E58" s="132">
        <f>E56+E47+E41+E28+E14</f>
        <v>3623843</v>
      </c>
      <c r="G58" s="120">
        <f>G56+G47+G41+G28+G14</f>
        <v>4002837888</v>
      </c>
      <c r="H58" s="120"/>
      <c r="I58" s="120">
        <f>I56+I47+I41+I28+I14</f>
        <v>4002870222</v>
      </c>
      <c r="J58" s="121">
        <f>ROUND(I58/G58*100,3)-100</f>
        <v>1.0000000000047748E-3</v>
      </c>
      <c r="K58" s="145">
        <f>I58-G58</f>
        <v>32334</v>
      </c>
      <c r="L58" s="134">
        <f>IF(ABS(J58)&lt;=0.5,0,IF(G58&gt;I58,(G58*0.995)-I58,(G58*1.005)-I58))</f>
        <v>0</v>
      </c>
      <c r="N58" s="120">
        <f>N56+N47+N41+N28+N14</f>
        <v>0</v>
      </c>
    </row>
    <row r="59" spans="1:14">
      <c r="C59" s="127"/>
      <c r="D59" s="127"/>
      <c r="E59" s="127"/>
      <c r="J59" s="130"/>
      <c r="K59" s="134"/>
    </row>
    <row r="60" spans="1:14">
      <c r="C60" s="127"/>
      <c r="D60" s="127"/>
      <c r="E60" s="127"/>
      <c r="K60" s="145"/>
    </row>
    <row r="61" spans="1:14">
      <c r="C61" s="128"/>
      <c r="D61" s="128"/>
      <c r="E61" s="127"/>
      <c r="K61" s="145"/>
    </row>
    <row r="62" spans="1:14">
      <c r="A62" s="121" t="s">
        <v>284</v>
      </c>
      <c r="C62" s="138"/>
      <c r="D62" s="138"/>
      <c r="E62" s="139"/>
      <c r="F62" s="140"/>
      <c r="G62" s="140"/>
      <c r="H62" s="140"/>
      <c r="I62" s="140"/>
      <c r="J62" s="130"/>
      <c r="L62" s="145"/>
      <c r="N62" s="140"/>
    </row>
    <row r="63" spans="1:14">
      <c r="A63" s="121" t="s">
        <v>272</v>
      </c>
      <c r="C63" s="132">
        <f>SUMIF($A$6:$A$55,$A63,C$6:C$55)</f>
        <v>1071989</v>
      </c>
      <c r="D63" s="132"/>
      <c r="E63" s="132">
        <f>SUMIF($A$6:$A$55,$A63,E$6:E$55)</f>
        <v>546</v>
      </c>
      <c r="F63" s="120"/>
      <c r="G63" s="120">
        <f>SUMIF($A$6:$A$55,$A63,G$6:G$55)</f>
        <v>1072535</v>
      </c>
      <c r="H63" s="120"/>
      <c r="I63" s="120">
        <f>SUMIF($A$6:$A$55,$A63,I$6:I$55)</f>
        <v>1072028</v>
      </c>
      <c r="J63" s="121">
        <f>ROUND(I63/G63*100,3)-100</f>
        <v>-4.6999999999997044E-2</v>
      </c>
      <c r="K63" s="145">
        <f>I63-G63</f>
        <v>-507</v>
      </c>
      <c r="L63" s="134">
        <f>IF(ABS(J63)&lt;=0.5,0,IF(G63&gt;I63,(G63*0.995)-I63,(G63*1.005)-I63))</f>
        <v>0</v>
      </c>
      <c r="M63" s="135"/>
      <c r="N63" s="120">
        <f>SUMIF($A$6:$A$55,"=02OALT015R",N$6:N$55)</f>
        <v>0</v>
      </c>
    </row>
    <row r="64" spans="1:14">
      <c r="A64" s="121" t="s">
        <v>55</v>
      </c>
      <c r="C64" s="132">
        <f>SUMIF($A$6:$A$55,$A64,C$6:C$55)</f>
        <v>2380344</v>
      </c>
      <c r="D64" s="132"/>
      <c r="E64" s="132">
        <f>SUMIF($A$6:$A$55,$A64,E$6:E$55)</f>
        <v>1785</v>
      </c>
      <c r="F64" s="120"/>
      <c r="G64" s="120">
        <f>SUMIF($A$6:$A$55,$A64,G$6:G$55)</f>
        <v>2382129</v>
      </c>
      <c r="H64" s="120"/>
      <c r="I64" s="120">
        <f>SUMIF($A$6:$A$55,$A64,I$6:I$55)</f>
        <v>2383470</v>
      </c>
      <c r="K64" s="145">
        <f>I64-G64</f>
        <v>1341</v>
      </c>
      <c r="L64" s="134">
        <f>IF(ABS(J64)&lt;=0.5,0,IF(G64&gt;I64,(G64*0.995)-I64,(G64*1.005)-I64))</f>
        <v>0</v>
      </c>
      <c r="M64" s="135"/>
      <c r="N64" s="120">
        <f>SUMIF($A$6:$A$55,"=02OALT015N",N$6:N$55)</f>
        <v>0</v>
      </c>
    </row>
    <row r="65" spans="1:14">
      <c r="A65" s="121" t="s">
        <v>285</v>
      </c>
      <c r="C65" s="129">
        <f>SUM(C63:C64)</f>
        <v>3452333</v>
      </c>
      <c r="D65" s="129"/>
      <c r="E65" s="129">
        <f>SUM(E63:E64)</f>
        <v>2331</v>
      </c>
      <c r="F65" s="126"/>
      <c r="G65" s="126">
        <f>SUM(G63:G64)</f>
        <v>3454664</v>
      </c>
      <c r="H65" s="126"/>
      <c r="I65" s="126">
        <f>SUM(I63:I64)</f>
        <v>3455498</v>
      </c>
      <c r="J65" s="121">
        <f>ROUND(I65/G65*100,3)-100</f>
        <v>2.4000000000000909E-2</v>
      </c>
      <c r="K65" s="145">
        <f>I65-G65</f>
        <v>834</v>
      </c>
      <c r="L65" s="134">
        <f>IF(ABS(J65)&lt;=0.5,0,IF(G65&gt;I65,(G65*0.995)-I65,(G65*1.005)-I65))</f>
        <v>0</v>
      </c>
      <c r="M65" s="135"/>
      <c r="N65" s="126">
        <f>SUM(N63:N64)</f>
        <v>0</v>
      </c>
    </row>
    <row r="66" spans="1:14">
      <c r="C66" s="129"/>
      <c r="D66" s="129"/>
      <c r="E66" s="129"/>
      <c r="F66" s="126"/>
      <c r="G66" s="126"/>
      <c r="H66" s="126"/>
      <c r="I66" s="126"/>
      <c r="J66" s="130"/>
      <c r="K66" s="132"/>
      <c r="L66" s="134"/>
      <c r="M66" s="135"/>
      <c r="N66" s="126"/>
    </row>
    <row r="67" spans="1:14">
      <c r="A67" s="121" t="s">
        <v>268</v>
      </c>
      <c r="C67" s="132">
        <f>SUMIF($A$6:$A$55,$A67,C$6:C$55)</f>
        <v>1538101036</v>
      </c>
      <c r="D67" s="132"/>
      <c r="E67" s="132">
        <f>SUMIF($A$6:$A$55,$A67,E$6:E$55)</f>
        <v>64720</v>
      </c>
      <c r="F67" s="120"/>
      <c r="G67" s="120">
        <f>SUMIF($A$6:$A$55,$A67,G$6:G$55)</f>
        <v>1538165756</v>
      </c>
      <c r="H67" s="120"/>
      <c r="I67" s="120">
        <f>SUMIF($A$6:$A$55,$A67,I$6:I$55)</f>
        <v>1538177733</v>
      </c>
      <c r="J67" s="121">
        <f>ROUND(I67/G67*100,3)-100</f>
        <v>1.0000000000047748E-3</v>
      </c>
      <c r="K67" s="145">
        <f>I67-G67</f>
        <v>11977</v>
      </c>
      <c r="L67" s="134">
        <f>IF(ABS(J67)&lt;=0.5,0,IF(G67&gt;I67,(G67*0.995)-I67,(G67*1.005)-I67))</f>
        <v>0</v>
      </c>
      <c r="M67" s="135"/>
      <c r="N67" s="120">
        <f>SUMIF($A$6:$A$55,"=02RESD0016",N$6:N$55)</f>
        <v>0</v>
      </c>
    </row>
    <row r="68" spans="1:14">
      <c r="A68" s="121" t="s">
        <v>269</v>
      </c>
      <c r="C68" s="132">
        <f>SUMIF($A$6:$A$55,$A68,C$6:C$55)</f>
        <v>63258258</v>
      </c>
      <c r="D68" s="132"/>
      <c r="E68" s="132">
        <f>SUMIF($A$6:$A$55,$A68,E$6:E$55)</f>
        <v>-24781</v>
      </c>
      <c r="F68" s="120"/>
      <c r="G68" s="120">
        <f>SUMIF($A$6:$A$55,$A68,G$6:G$55)</f>
        <v>63233477</v>
      </c>
      <c r="H68" s="120"/>
      <c r="I68" s="120">
        <f>SUMIF($A$6:$A$55,$A68,I$6:I$55)</f>
        <v>63233481</v>
      </c>
      <c r="J68" s="121">
        <f>ROUND(I68/G68*100,3)-100</f>
        <v>0</v>
      </c>
      <c r="K68" s="145">
        <f>I68-G68</f>
        <v>4</v>
      </c>
      <c r="L68" s="134">
        <f>IF(ABS(J68)&lt;=0.5,0,IF(G68&gt;I68,(G68*0.995)-I68,(G68*1.005)-I68))</f>
        <v>0</v>
      </c>
      <c r="M68" s="135"/>
      <c r="N68" s="120">
        <f>SUMIF($A$6:$A$55,"=02RESD0017",N$6:N$55)</f>
        <v>0</v>
      </c>
    </row>
    <row r="69" spans="1:14">
      <c r="A69" s="130" t="s">
        <v>252</v>
      </c>
      <c r="C69" s="132">
        <f>SUMIF($A$6:$A$55,$A69,C$6:C$55)</f>
        <v>655942</v>
      </c>
      <c r="D69" s="132"/>
      <c r="E69" s="132">
        <f>SUMIF($A$6:$A$55,$A69,E$6:E$55)</f>
        <v>-22028</v>
      </c>
      <c r="F69" s="120"/>
      <c r="G69" s="120">
        <f>SUMIF($A$6:$A$55,$A69,G$6:G$55)</f>
        <v>633914</v>
      </c>
      <c r="H69" s="120"/>
      <c r="I69" s="120">
        <f>SUMIF($A$6:$A$55,$A69,I$6:I$55)</f>
        <v>633914</v>
      </c>
      <c r="J69" s="121">
        <f>ROUND(I69/G69*100,3)-100</f>
        <v>0</v>
      </c>
      <c r="K69" s="145">
        <f>I69-G69</f>
        <v>0</v>
      </c>
      <c r="L69" s="134">
        <f>IF(ABS(J69)&lt;=0.5,0,IF(G69&gt;I69,(G69*0.995)-I69,(G69*1.005)-I69))</f>
        <v>0</v>
      </c>
      <c r="M69" s="135"/>
      <c r="N69" s="120">
        <f>SUMIF($A$6:$A$55,"=02RESD0017",N$6:N$55)</f>
        <v>0</v>
      </c>
    </row>
    <row r="70" spans="1:14">
      <c r="A70" s="121" t="s">
        <v>286</v>
      </c>
      <c r="C70" s="129">
        <f>SUM(C67:C69)</f>
        <v>1602015236</v>
      </c>
      <c r="D70" s="129"/>
      <c r="E70" s="129">
        <f>SUM(E67:E69)</f>
        <v>17911</v>
      </c>
      <c r="F70" s="126"/>
      <c r="G70" s="126">
        <f>SUM(G67:G69)</f>
        <v>1602033147</v>
      </c>
      <c r="H70" s="126"/>
      <c r="I70" s="126">
        <f>SUM(I67:I69)</f>
        <v>1602045128</v>
      </c>
      <c r="J70" s="121">
        <f>ROUND(I70/G70*100,3)-100</f>
        <v>1.0000000000047748E-3</v>
      </c>
      <c r="K70" s="145">
        <f>I70-G70</f>
        <v>11981</v>
      </c>
      <c r="L70" s="652" t="s">
        <v>31</v>
      </c>
      <c r="M70" s="135"/>
      <c r="N70" s="126">
        <f>SUM(N67:N69)</f>
        <v>0</v>
      </c>
    </row>
    <row r="71" spans="1:14">
      <c r="C71" s="129"/>
      <c r="D71" s="129"/>
      <c r="E71" s="129"/>
      <c r="F71" s="126"/>
      <c r="G71" s="126"/>
      <c r="H71" s="126"/>
      <c r="I71" s="126"/>
      <c r="J71" s="130"/>
      <c r="K71" s="132"/>
      <c r="L71" s="134"/>
      <c r="M71" s="135"/>
      <c r="N71" s="126"/>
    </row>
    <row r="72" spans="1:14">
      <c r="A72" s="121" t="s">
        <v>270</v>
      </c>
      <c r="C72" s="132">
        <f>SUMIF($A$6:$A$55,$A72,C$6:C$55)</f>
        <v>2216109</v>
      </c>
      <c r="D72" s="132"/>
      <c r="E72" s="132">
        <f>SUMIF($A$6:$A$55,$A72,E$6:E$55)</f>
        <v>144</v>
      </c>
      <c r="F72" s="120"/>
      <c r="G72" s="120">
        <f>SUMIF($A$6:$A$55,$A72,G$6:G$55)</f>
        <v>2216253</v>
      </c>
      <c r="H72" s="120"/>
      <c r="I72" s="120">
        <f>SUMIF($A$6:$A$55,$A72,I$6:I$55)</f>
        <v>2216254</v>
      </c>
      <c r="J72" s="121">
        <f>ROUND(I72/G72*100,3)-100</f>
        <v>0</v>
      </c>
      <c r="K72" s="145">
        <f>I72-G72</f>
        <v>1</v>
      </c>
      <c r="L72" s="134">
        <f>IF(ABS(J72)&lt;=0.5,0,IF(G72&gt;I72,(G72*0.995)-I72,(G72*1.005)-I72))</f>
        <v>0</v>
      </c>
      <c r="M72" s="135"/>
      <c r="N72" s="120">
        <f>SUMIF($A$6:$A$55,"=02RESD0018",N$6:N$55)</f>
        <v>0</v>
      </c>
    </row>
    <row r="73" spans="1:14">
      <c r="A73" s="121" t="s">
        <v>271</v>
      </c>
      <c r="C73" s="132">
        <f>SUMIF($A$6:$A$55,$A73,C$6:C$55)</f>
        <v>433385</v>
      </c>
      <c r="D73" s="132"/>
      <c r="E73" s="132">
        <f>SUMIF($A$6:$A$55,$A73,E$6:E$55)</f>
        <v>0</v>
      </c>
      <c r="F73" s="120"/>
      <c r="G73" s="120">
        <f>SUMIF($A$6:$A$55,$A73,G$6:G$55)</f>
        <v>433385</v>
      </c>
      <c r="H73" s="120"/>
      <c r="I73" s="120">
        <f>SUMIF($A$6:$A$55,$A73,I$6:I$55)</f>
        <v>433385</v>
      </c>
      <c r="J73" s="121">
        <f>ROUND(I73/G73*100,3)-100</f>
        <v>0</v>
      </c>
      <c r="K73" s="145">
        <f>I73-G73</f>
        <v>0</v>
      </c>
      <c r="L73" s="134">
        <f>IF(ABS(J73)&lt;=0.5,0,IF(G73&gt;I73,(G73*0.995)-I73,(G73*1.005)-I73))</f>
        <v>0</v>
      </c>
      <c r="M73" s="135"/>
      <c r="N73" s="120">
        <f>SUMIF($A$6:$A$55,"=02RESD018X",N$6:N$55)</f>
        <v>0</v>
      </c>
    </row>
    <row r="74" spans="1:14">
      <c r="A74" s="121" t="s">
        <v>287</v>
      </c>
      <c r="C74" s="129">
        <f>SUM(C72:C73)</f>
        <v>2649494</v>
      </c>
      <c r="D74" s="129"/>
      <c r="E74" s="129">
        <f>SUM(E72:E73)</f>
        <v>144</v>
      </c>
      <c r="F74" s="126"/>
      <c r="G74" s="126">
        <f>SUM(G72:G73)</f>
        <v>2649638</v>
      </c>
      <c r="H74" s="126"/>
      <c r="I74" s="126">
        <f>SUM(I72:I73)</f>
        <v>2649639</v>
      </c>
      <c r="J74" s="121">
        <f>ROUND(I74/G74*100,3)-100</f>
        <v>0</v>
      </c>
      <c r="K74" s="145">
        <f>I74-G74</f>
        <v>1</v>
      </c>
      <c r="L74" s="134">
        <f>IF(ABS(J74)&lt;=0.5,0,IF(G74&gt;I74,(G74*0.995)-I74,(G74*1.005)-I74))</f>
        <v>0</v>
      </c>
      <c r="M74" s="135"/>
      <c r="N74" s="126">
        <f>SUM(N72:N73)</f>
        <v>0</v>
      </c>
    </row>
    <row r="75" spans="1:14">
      <c r="C75" s="129"/>
      <c r="D75" s="129"/>
      <c r="E75" s="132"/>
      <c r="F75" s="120"/>
      <c r="G75" s="120"/>
      <c r="H75" s="120"/>
      <c r="J75" s="130"/>
      <c r="K75" s="132"/>
      <c r="L75" s="134"/>
      <c r="M75" s="135"/>
      <c r="N75" s="120"/>
    </row>
    <row r="76" spans="1:14">
      <c r="A76" s="121" t="s">
        <v>51</v>
      </c>
      <c r="C76" s="132">
        <f>SUMIF($A$6:$A$55,$A76,C$6:C$55)</f>
        <v>539661528</v>
      </c>
      <c r="D76" s="132"/>
      <c r="E76" s="132">
        <f>SUMIF($A$6:$A$55,$A76,E$6:E$55)+E26</f>
        <v>303539</v>
      </c>
      <c r="F76" s="120"/>
      <c r="G76" s="120">
        <f>SUMIF($A$6:$A$55,$A76,G$6:G$55)</f>
        <v>539942436</v>
      </c>
      <c r="H76" s="120"/>
      <c r="I76" s="120">
        <f>SUMIF($A$6:$A$55,$A76,I$6:I$55)</f>
        <v>539944103</v>
      </c>
      <c r="J76" s="121">
        <f>ROUND(I76/G76*100,3)-100</f>
        <v>0</v>
      </c>
      <c r="K76" s="145">
        <f>I76-G76</f>
        <v>1667</v>
      </c>
      <c r="L76" s="134">
        <f>IF(ABS(J76)&lt;=0.5,0,IF(G76&gt;I76,(G76*0.995)-I76,(G76*1.005)-I76))</f>
        <v>0</v>
      </c>
      <c r="M76" s="135"/>
      <c r="N76" s="120">
        <f>SUMIF($A$6:$A$55,"=02GNSV0024",N$6:N$55)</f>
        <v>0</v>
      </c>
    </row>
    <row r="77" spans="1:14">
      <c r="A77" s="121" t="s">
        <v>52</v>
      </c>
      <c r="C77" s="132">
        <f>SUMIF($A$6:$A$55,$A77,C$6:C$55)</f>
        <v>1301778</v>
      </c>
      <c r="D77" s="132"/>
      <c r="E77" s="132">
        <f>SUMIF($A$6:$A$55,$A77,E$6:E$55)</f>
        <v>882</v>
      </c>
      <c r="F77" s="120"/>
      <c r="G77" s="120">
        <f>SUMIF($A$6:$A$55,$A77,G$6:G$55)</f>
        <v>1302660</v>
      </c>
      <c r="H77" s="120"/>
      <c r="I77" s="120">
        <f>SUMIF($A$6:$A$55,$A77,I$6:I$55)</f>
        <v>1302660</v>
      </c>
      <c r="J77" s="121">
        <f>ROUND(I77/G77*100,3)-100</f>
        <v>0</v>
      </c>
      <c r="K77" s="145">
        <f>I77-G77</f>
        <v>0</v>
      </c>
      <c r="L77" s="134">
        <f>IF(ABS(J77)&lt;=0.5,0,IF(G77&gt;I77,(G77*0.995)-I77,(G77*1.005)-I77))</f>
        <v>0</v>
      </c>
      <c r="M77" s="135"/>
      <c r="N77" s="120">
        <f>SUMIF($A$6:$A$55,"=02GNSV024F",N$6:N$55)</f>
        <v>0</v>
      </c>
    </row>
    <row r="78" spans="1:14">
      <c r="A78" s="141" t="s">
        <v>300</v>
      </c>
      <c r="C78" s="132">
        <f>SUMIF($A$6:$A$55,$A78,C$6:C$55)</f>
        <v>357242</v>
      </c>
      <c r="D78" s="132"/>
      <c r="E78" s="132">
        <f>SUMIF($A$6:$A$55,$A78,E$6:E$55)</f>
        <v>236</v>
      </c>
      <c r="F78" s="120"/>
      <c r="G78" s="120">
        <f>SUMIF($A$6:$A$55,$A78,G$6:G$55)</f>
        <v>357478</v>
      </c>
      <c r="H78" s="120"/>
      <c r="I78" s="120">
        <f>SUMIF($A$6:$A$55,$A78,I$6:I$55)</f>
        <v>357478</v>
      </c>
      <c r="J78" s="121">
        <f>ROUND(I78/G78*100,3)-100</f>
        <v>0</v>
      </c>
      <c r="K78" s="145">
        <f>I78-G78</f>
        <v>0</v>
      </c>
      <c r="L78" s="134">
        <f>IF(ABS(J78)&lt;=0.5,0,IF(G78&gt;I78,(G78*0.995)-I78,(G78*1.005)-I78))</f>
        <v>0</v>
      </c>
      <c r="M78" s="135"/>
      <c r="N78" s="120">
        <f>SUMIF($A$6:$A$55,"=02GNSV24FP",N$6:N$55)</f>
        <v>0</v>
      </c>
    </row>
    <row r="79" spans="1:14">
      <c r="A79" s="130" t="s">
        <v>763</v>
      </c>
      <c r="C79" s="132">
        <f>SUMIF($A$6:$A$55,$A79,C$6:C$55)</f>
        <v>1020058</v>
      </c>
      <c r="D79" s="132"/>
      <c r="E79" s="132">
        <f>SUMIF($A$6:$A$55,$A79,E$6:E$55)</f>
        <v>1964</v>
      </c>
      <c r="F79" s="120"/>
      <c r="G79" s="120">
        <f>SUMIF($A$6:$A$55,$A79,G$6:G$55)</f>
        <v>1022022</v>
      </c>
      <c r="H79" s="120"/>
      <c r="I79" s="120">
        <f>SUMIF($A$6:$A$55,$A79,I$6:I$55)</f>
        <v>1022022</v>
      </c>
      <c r="J79" s="121">
        <f>ROUND(I79/G79*100,3)-100</f>
        <v>0</v>
      </c>
      <c r="K79" s="145">
        <f>I79-G79</f>
        <v>0</v>
      </c>
      <c r="L79" s="134">
        <f>IF(ABS(J79)&lt;=0.5,0,IF(G79&gt;I79,(G79*0.995)-I79,(G79*1.005)-I79))</f>
        <v>0</v>
      </c>
      <c r="M79" s="135"/>
      <c r="N79" s="120">
        <f>SUMIF($A$6:$A$55,"=02GNSV24FP",N$6:N$55)</f>
        <v>0</v>
      </c>
    </row>
    <row r="80" spans="1:14">
      <c r="A80" s="121" t="s">
        <v>288</v>
      </c>
      <c r="C80" s="132">
        <f>SUM(C76:C79)</f>
        <v>542340606</v>
      </c>
      <c r="D80" s="132"/>
      <c r="E80" s="132">
        <f>SUM(E76:E79)</f>
        <v>306621</v>
      </c>
      <c r="F80" s="120"/>
      <c r="G80" s="120">
        <f>SUM(G76:G79)</f>
        <v>542624596</v>
      </c>
      <c r="H80" s="120"/>
      <c r="I80" s="120">
        <f>SUM(I76:I79)</f>
        <v>542626263</v>
      </c>
      <c r="J80" s="121">
        <f>ROUND(I80/G80*100,3)-100</f>
        <v>0</v>
      </c>
      <c r="K80" s="145">
        <f>I80-G80</f>
        <v>1667</v>
      </c>
      <c r="L80" s="134">
        <f>IF(ABS(J80)&lt;=0.5,0,IF(G80&gt;I80,(G80*0.995)-I80,(G80*1.005)-I80))</f>
        <v>0</v>
      </c>
      <c r="M80" s="135"/>
      <c r="N80" s="120">
        <f>SUM(N76:N78)</f>
        <v>0</v>
      </c>
    </row>
    <row r="81" spans="1:14">
      <c r="C81" s="132"/>
      <c r="D81" s="132"/>
      <c r="E81" s="132"/>
      <c r="F81" s="120"/>
      <c r="G81" s="120"/>
      <c r="H81" s="120"/>
      <c r="J81" s="130"/>
      <c r="K81" s="132"/>
      <c r="L81" s="134"/>
      <c r="M81" s="135"/>
      <c r="N81" s="120"/>
    </row>
    <row r="82" spans="1:14">
      <c r="A82" s="121" t="s">
        <v>53</v>
      </c>
      <c r="C82" s="132">
        <f>SUMIF($A$6:$A$55,$A82,C$6:C$55)</f>
        <v>861454836</v>
      </c>
      <c r="D82" s="132"/>
      <c r="E82" s="132">
        <f>SUMIF($A$6:$A$55,$A82,E$6:E$55)</f>
        <v>1205243</v>
      </c>
      <c r="F82" s="120"/>
      <c r="G82" s="120">
        <f>SUMIF($A$6:$A$55,$A82,G$6:G$55)</f>
        <v>862660079</v>
      </c>
      <c r="H82" s="120"/>
      <c r="I82" s="120">
        <f>SUMIF($A$6:$A$55,$A82,I$6:I$55)</f>
        <v>862660079</v>
      </c>
      <c r="J82" s="121">
        <f>ROUND(I82/G82*100,3)-100</f>
        <v>0</v>
      </c>
      <c r="K82" s="145">
        <f>I82-G82</f>
        <v>0</v>
      </c>
      <c r="L82" s="134">
        <f>IF(ABS(J82)&lt;=0.5,0,IF(G82&gt;I82,(G82*0.995)-I82,(G82*1.005)-I82))</f>
        <v>0</v>
      </c>
      <c r="M82" s="135"/>
      <c r="N82" s="120">
        <f>SUMIF($A$6:$A$55,"=02LGSV0036",N$6:N$55)</f>
        <v>0</v>
      </c>
    </row>
    <row r="83" spans="1:14">
      <c r="A83" s="121" t="s">
        <v>289</v>
      </c>
      <c r="C83" s="132">
        <f>SUM(C82:C82)</f>
        <v>861454836</v>
      </c>
      <c r="D83" s="132"/>
      <c r="E83" s="132">
        <f>SUM(E82:E82)</f>
        <v>1205243</v>
      </c>
      <c r="F83" s="120"/>
      <c r="G83" s="120">
        <f>SUM(G82:G82)</f>
        <v>862660079</v>
      </c>
      <c r="H83" s="120"/>
      <c r="I83" s="120">
        <f>SUM(I82:I82)</f>
        <v>862660079</v>
      </c>
      <c r="J83" s="121">
        <f>ROUND(I83/G83*100,3)-100</f>
        <v>0</v>
      </c>
      <c r="K83" s="145">
        <f>I83-G83</f>
        <v>0</v>
      </c>
      <c r="L83" s="134">
        <f>IF(ABS(J83)&lt;=0.5,0,IF(G83&gt;I83,(G83*0.995)-I83,(G83*1.005)-I83))</f>
        <v>0</v>
      </c>
      <c r="M83" s="135"/>
      <c r="N83" s="120">
        <f>SUM(N82:N82)</f>
        <v>0</v>
      </c>
    </row>
    <row r="84" spans="1:14">
      <c r="C84" s="132"/>
      <c r="D84" s="132"/>
      <c r="E84" s="132"/>
      <c r="F84" s="120"/>
      <c r="G84" s="120"/>
      <c r="H84" s="120"/>
      <c r="K84" s="145"/>
      <c r="L84" s="134"/>
      <c r="M84" s="135"/>
      <c r="N84" s="120"/>
    </row>
    <row r="85" spans="1:14">
      <c r="A85" s="130" t="s">
        <v>220</v>
      </c>
      <c r="C85" s="132">
        <f>SUMIF($A$6:$A$55,$A85,C$6:C$55)</f>
        <v>435783</v>
      </c>
      <c r="D85" s="132"/>
      <c r="E85" s="132">
        <f>SUMIF($A$6:$A$55,$A85,E$6:E$55)</f>
        <v>22631</v>
      </c>
      <c r="F85" s="120"/>
      <c r="G85" s="120">
        <f>SUMIF($A$6:$A$55,$A85,G$6:G$55)</f>
        <v>458414</v>
      </c>
      <c r="H85" s="120"/>
      <c r="I85" s="120">
        <f>SUMIF($A$6:$A$55,$A85,I$6:I$55)</f>
        <v>458414</v>
      </c>
      <c r="J85" s="121">
        <f>ROUND(I85/G85*100,3)-100</f>
        <v>0</v>
      </c>
      <c r="K85" s="145">
        <f>I85-G85</f>
        <v>0</v>
      </c>
      <c r="L85" s="134">
        <f>IF(ABS(J85)&lt;=0.5,0,IF(G85&gt;I85,(G85*0.995)-I85,(G85*1.005)-I85))</f>
        <v>0</v>
      </c>
      <c r="M85" s="135"/>
      <c r="N85" s="120">
        <f>SUMIF($A$6:$A$55,"=02LGSV0036",N$6:N$55)</f>
        <v>0</v>
      </c>
    </row>
    <row r="86" spans="1:14">
      <c r="A86" s="130" t="s">
        <v>699</v>
      </c>
      <c r="C86" s="132">
        <f>SUMIF($A$6:$A$55,$A86,C$6:C$55)</f>
        <v>99360</v>
      </c>
      <c r="D86" s="132"/>
      <c r="E86" s="132">
        <f>SUMIF($A$6:$A$55,$A86,E$6:E$55)</f>
        <v>0</v>
      </c>
      <c r="F86" s="120"/>
      <c r="G86" s="120">
        <f>SUMIF($A$6:$A$55,$A86,G$6:G$55)</f>
        <v>99360</v>
      </c>
      <c r="H86" s="120"/>
      <c r="I86" s="120">
        <f>SUMIF($A$6:$A$55,$A86,I$6:I$55)</f>
        <v>99360</v>
      </c>
      <c r="J86" s="121">
        <f>ROUND(I86/G86*100,3)-100</f>
        <v>0</v>
      </c>
      <c r="K86" s="145">
        <f>I86-G86</f>
        <v>0</v>
      </c>
      <c r="L86" s="134">
        <f>IF(ABS(J86)&lt;=0.5,0,IF(G86&gt;I86,(G86*0.995)-I86,(G86*1.005)-I86))</f>
        <v>0</v>
      </c>
      <c r="M86" s="135"/>
      <c r="N86" s="120">
        <f>SUMIF($A$6:$A$55,"=02LGSV0036",N$6:N$55)</f>
        <v>0</v>
      </c>
    </row>
    <row r="87" spans="1:14">
      <c r="C87" s="132"/>
      <c r="D87" s="132"/>
      <c r="E87" s="132"/>
      <c r="F87" s="120"/>
      <c r="G87" s="120"/>
      <c r="H87" s="120"/>
      <c r="J87" s="130"/>
      <c r="K87" s="132"/>
      <c r="L87" s="134"/>
      <c r="M87" s="135"/>
      <c r="N87" s="120"/>
    </row>
    <row r="88" spans="1:14">
      <c r="A88" s="121" t="s">
        <v>58</v>
      </c>
      <c r="C88" s="132">
        <f>SUMIF($A$6:$A$55,$A88,C$6:C$55)</f>
        <v>146674202</v>
      </c>
      <c r="D88" s="132"/>
      <c r="E88" s="132">
        <f>SUMIF($A$6:$A$55,$A88,E$6:E$55)</f>
        <v>1202763</v>
      </c>
      <c r="F88" s="120"/>
      <c r="G88" s="120">
        <f>SUMIF($A$6:$A$55,$A88,G$6:G$55)</f>
        <v>147876965</v>
      </c>
      <c r="H88" s="120"/>
      <c r="I88" s="120">
        <f>SUMIF($A$6:$A$55,$A88,I$6:I$55)</f>
        <v>147876966</v>
      </c>
      <c r="J88" s="121">
        <f>ROUND(I88/G88*100,3)-100</f>
        <v>0</v>
      </c>
      <c r="K88" s="145">
        <f>I88-G88</f>
        <v>1</v>
      </c>
      <c r="L88" s="134">
        <f>IF(ABS(J88)&lt;=0.5,0,IF(G88&gt;I88,(G88*0.995)-I88,(G88*1.005)-I88))</f>
        <v>0</v>
      </c>
      <c r="M88" s="135"/>
      <c r="N88" s="120">
        <f>SUMIF($A$6:$A$55,"=02APSV0040",N$6:N$55)</f>
        <v>0</v>
      </c>
    </row>
    <row r="89" spans="1:14">
      <c r="A89" s="121" t="s">
        <v>59</v>
      </c>
      <c r="C89" s="132">
        <f>SUMIF($A$6:$A$55,$A89,C$6:C$55)</f>
        <v>5321277</v>
      </c>
      <c r="D89" s="132"/>
      <c r="E89" s="132">
        <f>SUMIF($A$6:$A$55,$A89,E$6:E$55)</f>
        <v>80310</v>
      </c>
      <c r="F89" s="120"/>
      <c r="G89" s="120">
        <f>SUMIF($A$6:$A$55,$A89,G$6:G$55)</f>
        <v>5401587</v>
      </c>
      <c r="H89" s="120"/>
      <c r="I89" s="120">
        <f>SUMIF($A$6:$A$55,$A89,I$6:I$55)</f>
        <v>5401587</v>
      </c>
      <c r="J89" s="121">
        <f>ROUND(I89/G89*100,3)-100</f>
        <v>0</v>
      </c>
      <c r="K89" s="145">
        <f>I89-G89</f>
        <v>0</v>
      </c>
      <c r="L89" s="134">
        <f>IF(ABS(J89)&lt;=0.5,0,IF(G89&gt;I89,(G89*0.995)-I89,(G89*1.005)-I89))</f>
        <v>0</v>
      </c>
      <c r="M89" s="135"/>
      <c r="N89" s="120">
        <f>SUMIF($A$6:$A$55,"=02APSV040X",N$6:N$55)</f>
        <v>0</v>
      </c>
    </row>
    <row r="90" spans="1:14">
      <c r="A90" s="121" t="s">
        <v>290</v>
      </c>
      <c r="C90" s="132">
        <f>SUM(C88:C89)</f>
        <v>151995479</v>
      </c>
      <c r="D90" s="132"/>
      <c r="E90" s="132">
        <f>SUM(E88:E89)</f>
        <v>1283073</v>
      </c>
      <c r="F90" s="120"/>
      <c r="G90" s="120">
        <f>SUM(G88:G89)</f>
        <v>153278552</v>
      </c>
      <c r="H90" s="120"/>
      <c r="I90" s="120">
        <f>SUM(I88:I89)</f>
        <v>153278553</v>
      </c>
      <c r="J90" s="121">
        <f>ROUND(I90/G90*100,3)-100</f>
        <v>0</v>
      </c>
      <c r="K90" s="145">
        <f>I90-G90</f>
        <v>1</v>
      </c>
      <c r="L90" s="134">
        <f>IF(ABS(J90)&lt;=0.5,0,IF(G90&gt;I90,(G90*0.995)-I90,(G90*1.005)-I90))</f>
        <v>0</v>
      </c>
      <c r="M90" s="135"/>
      <c r="N90" s="120">
        <f>SUM(N88:N89)</f>
        <v>0</v>
      </c>
    </row>
    <row r="91" spans="1:14">
      <c r="C91" s="132"/>
      <c r="D91" s="132"/>
      <c r="E91" s="132"/>
      <c r="F91" s="120"/>
      <c r="G91" s="120"/>
      <c r="H91" s="120"/>
      <c r="J91" s="130"/>
      <c r="K91" s="132"/>
      <c r="L91" s="134"/>
      <c r="M91" s="135"/>
      <c r="N91" s="120"/>
    </row>
    <row r="92" spans="1:14">
      <c r="A92" s="121" t="s">
        <v>167</v>
      </c>
      <c r="C92" s="132">
        <f>SUMIF($A$6:$A$55,$A92,C$6:C$55)</f>
        <v>1706000</v>
      </c>
      <c r="D92" s="132"/>
      <c r="E92" s="132">
        <f>SUMIF($A$6:$A$55,$A92,E$6:E$55)</f>
        <v>5000</v>
      </c>
      <c r="F92" s="120"/>
      <c r="G92" s="120">
        <f>SUMIF($A$6:$A$55,$A92,G$6:G$55)</f>
        <v>1711000</v>
      </c>
      <c r="H92" s="120"/>
      <c r="I92" s="120">
        <f>SUMIF($A$6:$A$55,$A92,I$6:I$55)</f>
        <v>1711000</v>
      </c>
      <c r="J92" s="121">
        <f>ROUND(I92/G92*100,3)-100</f>
        <v>0</v>
      </c>
      <c r="K92" s="145">
        <f>I92-G92</f>
        <v>0</v>
      </c>
      <c r="L92" s="134">
        <f>IF(ABS(J92)&lt;=0.5,0,IF(G92&gt;I92,(G92*0.995)-I92,(G92*1.005)-I92))</f>
        <v>0</v>
      </c>
      <c r="M92" s="135"/>
      <c r="N92" s="120">
        <f>SUMIF($A$6:$A$55,"=02PRSV47TM",N$6:N$55)</f>
        <v>0</v>
      </c>
    </row>
    <row r="93" spans="1:14">
      <c r="C93" s="132"/>
      <c r="D93" s="132"/>
      <c r="E93" s="132"/>
      <c r="F93" s="120"/>
      <c r="G93" s="120"/>
      <c r="H93" s="120"/>
      <c r="J93" s="130"/>
      <c r="K93" s="132"/>
      <c r="L93" s="134"/>
      <c r="M93" s="135"/>
      <c r="N93" s="120"/>
    </row>
    <row r="94" spans="1:14">
      <c r="A94" s="121" t="s">
        <v>54</v>
      </c>
      <c r="C94" s="132">
        <f>SUMIF($A$6:$A$55,$A94,C$6:C$55)+C38</f>
        <v>822737693</v>
      </c>
      <c r="D94" s="132"/>
      <c r="E94" s="132">
        <f>SUMIF($A$6:$A$55,$A94,E$6:E$55)+E38</f>
        <v>568700</v>
      </c>
      <c r="F94" s="120"/>
      <c r="G94" s="120">
        <f>C94+E94</f>
        <v>823306393</v>
      </c>
      <c r="H94" s="120"/>
      <c r="I94" s="120">
        <f>SUMIF($A$6:$A$55,$A94,I$6:I$55)+I38</f>
        <v>823306393</v>
      </c>
      <c r="J94" s="121">
        <f>ROUND(I94/G94*100,3)-100</f>
        <v>0</v>
      </c>
      <c r="K94" s="145">
        <f>I94-G94</f>
        <v>0</v>
      </c>
      <c r="L94" s="134">
        <f>IF(ABS(J94)&lt;=0.5,0,IF(G94&gt;I94,(G94*0.995)-I94,(G94*1.005)-I94))</f>
        <v>0</v>
      </c>
      <c r="M94" s="135"/>
      <c r="N94" s="120">
        <f>SUMIF($A$6:$A$55,"=02LGSV048T",N$6:N$55)</f>
        <v>0</v>
      </c>
    </row>
    <row r="95" spans="1:14">
      <c r="A95" s="121" t="s">
        <v>60</v>
      </c>
      <c r="C95" s="132">
        <f>SUMIF($A$6:$A$55,$A95,C$6:C$55)</f>
        <v>0</v>
      </c>
      <c r="D95" s="132"/>
      <c r="E95" s="132">
        <f>SUMIF($A$6:$A$55,$A95,E$6:E$55)</f>
        <v>0</v>
      </c>
      <c r="F95" s="120"/>
      <c r="G95" s="120">
        <f>SUMIF($A$6:$A$55,$A95,G$6:G$55)</f>
        <v>0</v>
      </c>
      <c r="H95" s="120"/>
      <c r="I95" s="120">
        <f>SUMIF($A$6:$A$55,$A95,I$6:I$55)</f>
        <v>0</v>
      </c>
      <c r="J95" s="121" t="e">
        <f>ROUND(I95/G95*100,3)-100</f>
        <v>#DIV/0!</v>
      </c>
      <c r="K95" s="145">
        <f>I95-G95</f>
        <v>0</v>
      </c>
      <c r="L95" s="134" t="e">
        <f>IF(ABS(J95)&lt;=0.5,0,IF(G95&gt;I95,(G95*0.995)-I95,(G95*1.005)-I95))</f>
        <v>#DIV/0!</v>
      </c>
      <c r="M95" s="135"/>
      <c r="N95" s="120">
        <f>SUMIF($A$6:$A$55,"=02LGSV048M",N$6:N$55)</f>
        <v>0</v>
      </c>
    </row>
    <row r="96" spans="1:14">
      <c r="A96" s="121" t="s">
        <v>291</v>
      </c>
      <c r="C96" s="132">
        <f>SUM(C94:C95)</f>
        <v>822737693</v>
      </c>
      <c r="D96" s="132"/>
      <c r="E96" s="132">
        <f>SUM(E94:E95)</f>
        <v>568700</v>
      </c>
      <c r="F96" s="120"/>
      <c r="G96" s="120">
        <f>SUM(G94:G95)</f>
        <v>823306393</v>
      </c>
      <c r="H96" s="120"/>
      <c r="I96" s="120">
        <f>SUM(I94:I95)</f>
        <v>823306393</v>
      </c>
      <c r="J96" s="121">
        <f>ROUND(I96/G96*100,3)-100</f>
        <v>0</v>
      </c>
      <c r="K96" s="145">
        <f>I96-G96</f>
        <v>0</v>
      </c>
      <c r="L96" s="134">
        <f>IF(ABS(J96)&lt;=0.5,0,IF(G96&gt;I96,(G96*0.995)-I96,(G96*1.005)-I96))</f>
        <v>0</v>
      </c>
      <c r="M96" s="135"/>
      <c r="N96" s="120">
        <f>SUM(N94:N95)</f>
        <v>0</v>
      </c>
    </row>
    <row r="97" spans="1:14">
      <c r="C97" s="132"/>
      <c r="D97" s="132"/>
      <c r="E97" s="132"/>
      <c r="F97" s="120"/>
      <c r="G97" s="120"/>
      <c r="H97" s="120"/>
      <c r="J97" s="130"/>
      <c r="K97" s="132"/>
      <c r="L97" s="134"/>
      <c r="M97" s="135"/>
      <c r="N97" s="120"/>
    </row>
    <row r="98" spans="1:14">
      <c r="A98" s="121" t="s">
        <v>64</v>
      </c>
      <c r="C98" s="132">
        <f>SUMIF($A$6:$A$55,$A98,C$6:C$55)</f>
        <v>3317369</v>
      </c>
      <c r="D98" s="132"/>
      <c r="E98" s="132">
        <f>SUMIF($A$6:$A$55,$A98,E$6:E$55)</f>
        <v>12848</v>
      </c>
      <c r="F98" s="120"/>
      <c r="G98" s="120">
        <f>SUMIF($A$6:$A$55,$A98,G$6:G$55)</f>
        <v>3330217</v>
      </c>
      <c r="H98" s="120"/>
      <c r="I98" s="120">
        <f>SUMIF($A$6:$A$55,$A98,I$6:I$55)</f>
        <v>3331018</v>
      </c>
      <c r="J98" s="121">
        <f>ROUND(I98/G98*100,3)-100</f>
        <v>2.4000000000000909E-2</v>
      </c>
      <c r="K98" s="145">
        <f>I98-G98</f>
        <v>801</v>
      </c>
      <c r="L98" s="134">
        <f>IF(ABS(J98)&lt;=0.5,0,IF(G98&gt;I98,(G98*0.995)-I98,(G98*1.005)-I98))</f>
        <v>0</v>
      </c>
      <c r="M98" s="135"/>
      <c r="N98" s="120">
        <f>SUMIF($A$6:$A$55,"=02HPSV0051",N$6:N$55)</f>
        <v>0</v>
      </c>
    </row>
    <row r="99" spans="1:14">
      <c r="C99" s="132"/>
      <c r="D99" s="132"/>
      <c r="E99" s="132"/>
      <c r="F99" s="120"/>
      <c r="G99" s="120"/>
      <c r="H99" s="120"/>
      <c r="J99" s="130"/>
      <c r="K99" s="132"/>
      <c r="L99" s="134"/>
      <c r="M99" s="135"/>
      <c r="N99" s="120"/>
    </row>
    <row r="100" spans="1:14">
      <c r="A100" s="121" t="s">
        <v>61</v>
      </c>
      <c r="C100" s="132">
        <f>SUMIF($A$6:$A$55,$A100,C$6:C$55)</f>
        <v>316726</v>
      </c>
      <c r="D100" s="132"/>
      <c r="E100" s="132">
        <f>SUMIF($A$6:$A$55,$A100,E$6:E$55)</f>
        <v>-2736</v>
      </c>
      <c r="F100" s="120"/>
      <c r="G100" s="120">
        <f>SUMIF($A$6:$A$55,$A100,G$6:G$55)</f>
        <v>313990</v>
      </c>
      <c r="H100" s="120"/>
      <c r="I100" s="120">
        <f>SUMIF($A$6:$A$55,$A100,I$6:I$55)</f>
        <v>314125</v>
      </c>
      <c r="J100" s="121">
        <f>ROUND(I100/G100*100,3)-100</f>
        <v>4.3000000000006366E-2</v>
      </c>
      <c r="K100" s="145">
        <f>I100-G100</f>
        <v>135</v>
      </c>
      <c r="L100" s="134">
        <f>IF(ABS(J100)&lt;=0.5,0,IF(G100&gt;I100,(G100*0.995)-I100,(G100*1.005)-I100))</f>
        <v>0</v>
      </c>
      <c r="M100" s="135"/>
      <c r="N100" s="120">
        <f>SUMIF($A$6:$A$55,"=02COSL0052",N$6:N$55)</f>
        <v>0</v>
      </c>
    </row>
    <row r="101" spans="1:14">
      <c r="C101" s="132"/>
      <c r="D101" s="132"/>
      <c r="E101" s="132"/>
      <c r="F101" s="120"/>
      <c r="G101" s="120"/>
      <c r="H101" s="120"/>
      <c r="J101" s="130"/>
      <c r="K101" s="132"/>
      <c r="L101" s="134"/>
      <c r="M101" s="135"/>
      <c r="N101" s="120"/>
    </row>
    <row r="102" spans="1:14">
      <c r="A102" s="121" t="s">
        <v>62</v>
      </c>
      <c r="C102" s="132">
        <f>SUMIF($A$6:$A$55,$A102,C$6:C$55)</f>
        <v>3282893</v>
      </c>
      <c r="D102" s="132"/>
      <c r="E102" s="132">
        <f>SUMIF($A$6:$A$55,$A102,E$6:E$55)</f>
        <v>225345</v>
      </c>
      <c r="F102" s="120"/>
      <c r="G102" s="120">
        <f>SUMIF($A$6:$A$55,$A102,G$6:G$55)</f>
        <v>3508238</v>
      </c>
      <c r="H102" s="120"/>
      <c r="I102" s="120">
        <f>SUMIF($A$6:$A$55,$A102,I$6:I$55)</f>
        <v>3523707</v>
      </c>
      <c r="J102" s="121">
        <f>ROUND(I102/G102*100,3)-100</f>
        <v>0.4410000000000025</v>
      </c>
      <c r="K102" s="145">
        <f>I102-G102</f>
        <v>15469</v>
      </c>
      <c r="L102" s="134">
        <f>IF(ABS(J102)&lt;=0.5,0,IF(G102&gt;I102,(G102*0.995)-I102,(G102*1.005)-I102))</f>
        <v>0</v>
      </c>
      <c r="M102" s="135"/>
      <c r="N102" s="120">
        <f>SUMIF($A$6:$A$55,"=02CUSL053F",N$6:N$55)</f>
        <v>0</v>
      </c>
    </row>
    <row r="103" spans="1:14">
      <c r="A103" s="121" t="s">
        <v>63</v>
      </c>
      <c r="C103" s="132">
        <f>SUMIF($A$6:$A$55,$A103,C$6:C$55)</f>
        <v>1167018</v>
      </c>
      <c r="D103" s="132"/>
      <c r="E103" s="132">
        <f>SUMIF($A$6:$A$55,$A103,E$6:E$55)</f>
        <v>69</v>
      </c>
      <c r="F103" s="120"/>
      <c r="G103" s="120">
        <f>SUMIF($A$6:$A$55,$A103,G$6:G$55)</f>
        <v>1167087</v>
      </c>
      <c r="H103" s="120"/>
      <c r="I103" s="120">
        <f>SUMIF($A$6:$A$55,$A103,I$6:I$55)</f>
        <v>1167081</v>
      </c>
      <c r="J103" s="121">
        <f>ROUND(I103/G103*100,3)-100</f>
        <v>-1.0000000000047748E-3</v>
      </c>
      <c r="K103" s="145">
        <f>I103-G103</f>
        <v>-6</v>
      </c>
      <c r="L103" s="134">
        <f>IF(ABS(J103)&lt;=0.5,0,IF(G103&gt;I103,(G103*0.995)-I103,(G103*1.005)-I103))</f>
        <v>0</v>
      </c>
      <c r="M103" s="135"/>
      <c r="N103" s="120">
        <f>SUMIF($A$6:$A$55,"=02CUSL053M",N$6:N$55)</f>
        <v>0</v>
      </c>
    </row>
    <row r="104" spans="1:14">
      <c r="A104" s="121" t="s">
        <v>292</v>
      </c>
      <c r="C104" s="132">
        <f>SUM(C102:C103)</f>
        <v>4449911</v>
      </c>
      <c r="D104" s="132"/>
      <c r="E104" s="132">
        <f>SUM(E102:E103)</f>
        <v>225414</v>
      </c>
      <c r="F104" s="120"/>
      <c r="G104" s="120">
        <f>SUM(G102:G103)</f>
        <v>4675325</v>
      </c>
      <c r="H104" s="120"/>
      <c r="I104" s="120">
        <f>SUM(I102:I103)</f>
        <v>4690788</v>
      </c>
      <c r="J104" s="121">
        <f>ROUND(I104/G104*100,3)-100</f>
        <v>0.33100000000000307</v>
      </c>
      <c r="K104" s="145">
        <f>I104-G104</f>
        <v>15463</v>
      </c>
      <c r="L104" s="134">
        <f>IF(ABS(J104)&lt;=0.5,0,IF(G104&gt;I104,(G104*0.995)-I104,(G104*1.005)-I104))</f>
        <v>0</v>
      </c>
      <c r="M104" s="135"/>
      <c r="N104" s="120">
        <f>SUM(N102:N103)</f>
        <v>0</v>
      </c>
    </row>
    <row r="105" spans="1:14">
      <c r="C105" s="132"/>
      <c r="D105" s="132"/>
      <c r="E105" s="132"/>
      <c r="F105" s="120"/>
      <c r="G105" s="120"/>
      <c r="H105" s="120"/>
      <c r="J105" s="130"/>
      <c r="K105" s="132"/>
      <c r="L105" s="134"/>
      <c r="M105" s="135"/>
      <c r="N105" s="120"/>
    </row>
    <row r="106" spans="1:14">
      <c r="A106" s="121" t="s">
        <v>56</v>
      </c>
      <c r="C106" s="132">
        <f>SUMIF($A$6:$A$55,$A106,C$6:C$55)</f>
        <v>282514</v>
      </c>
      <c r="D106" s="132"/>
      <c r="E106" s="132">
        <f>SUMIF($A$6:$A$55,$A106,E$6:E$55)</f>
        <v>732</v>
      </c>
      <c r="F106" s="120"/>
      <c r="G106" s="120">
        <f>SUMIF($A$6:$A$55,$A106,G$6:G$55)</f>
        <v>283246</v>
      </c>
      <c r="H106" s="120"/>
      <c r="I106" s="120">
        <f>SUMIF($A$6:$A$55,$A106,I$6:I$55)</f>
        <v>283246</v>
      </c>
      <c r="J106" s="121">
        <f>ROUND(I106/G106*100,3)-100</f>
        <v>0</v>
      </c>
      <c r="K106" s="145">
        <f>I106-G106</f>
        <v>0</v>
      </c>
      <c r="L106" s="134">
        <f>IF(ABS(J106)&lt;=0.5,0,IF(G106&gt;I106,(G106*0.995)-I106,(G106*1.005)-I106))</f>
        <v>0</v>
      </c>
      <c r="M106" s="135"/>
      <c r="N106" s="120">
        <f>SUMIF($A$6:$A$55,"=02RCFL0054",N$6:N$55)</f>
        <v>0</v>
      </c>
    </row>
    <row r="107" spans="1:14">
      <c r="C107" s="132"/>
      <c r="D107" s="132"/>
      <c r="E107" s="132"/>
      <c r="F107" s="120"/>
      <c r="G107" s="120"/>
      <c r="H107" s="120"/>
      <c r="J107" s="130"/>
      <c r="K107" s="132"/>
      <c r="L107" s="134"/>
      <c r="M107" s="135"/>
      <c r="N107" s="120"/>
    </row>
    <row r="108" spans="1:14">
      <c r="A108" s="121" t="s">
        <v>65</v>
      </c>
      <c r="C108" s="132">
        <f>SUMIF($A$6:$A$55,$A108,C$6:C$55)</f>
        <v>1960705</v>
      </c>
      <c r="D108" s="132"/>
      <c r="E108" s="132">
        <f>SUMIF($A$6:$A$55,$A108,E$6:E$55)</f>
        <v>-1438</v>
      </c>
      <c r="F108" s="120"/>
      <c r="G108" s="120">
        <f>SUMIF($A$6:$A$55,$A108,G$6:G$55)</f>
        <v>1959267</v>
      </c>
      <c r="H108" s="120"/>
      <c r="I108" s="120">
        <f>SUMIF($A$6:$A$55,$A108,I$6:I$55)</f>
        <v>1960718</v>
      </c>
      <c r="J108" s="121">
        <f>ROUND(I108/G108*100,3)-100</f>
        <v>7.3999999999998067E-2</v>
      </c>
      <c r="K108" s="145">
        <f>I108-G108</f>
        <v>1451</v>
      </c>
      <c r="L108" s="134">
        <f>IF(ABS(J108)&lt;=0.5,0,IF(G108&gt;I108,(G108*0.995)-I108,(G108*1.005)-I108))</f>
        <v>0</v>
      </c>
      <c r="M108" s="135"/>
      <c r="N108" s="120">
        <f>SUMIF($A$6:$A$55,"=02MVSL0057",N$6:N$55)</f>
        <v>0</v>
      </c>
    </row>
    <row r="109" spans="1:14">
      <c r="C109" s="132"/>
      <c r="D109" s="132"/>
      <c r="E109" s="132"/>
      <c r="F109" s="120"/>
      <c r="G109" s="120"/>
      <c r="H109" s="120"/>
      <c r="J109" s="130"/>
      <c r="K109" s="132"/>
      <c r="L109" s="134"/>
      <c r="M109" s="135"/>
      <c r="N109" s="120"/>
    </row>
    <row r="110" spans="1:14">
      <c r="A110" s="121" t="s">
        <v>283</v>
      </c>
      <c r="C110" s="132">
        <f>C108+C106+C104+C100+C98+C96+C92+C90+C86+C85+C83+C80+C74+C70+C65</f>
        <v>3999214045</v>
      </c>
      <c r="D110" s="132"/>
      <c r="E110" s="132">
        <f>E108+E106+E104+E100+E98+E96+E92+E90+E86+E83+E80+E74+E70+E65</f>
        <v>3623843</v>
      </c>
      <c r="F110" s="120"/>
      <c r="G110" s="120">
        <f>G108+G106+G104+G100+G98+G96+G92+G90+G86+G85+G83+G80+G74+G70+G65</f>
        <v>4002837888</v>
      </c>
      <c r="H110" s="120"/>
      <c r="I110" s="120">
        <f>I108+I106+I104+I100+I98+I96+I92+I90+I86+I85+I83+I80+I74+I70+I65</f>
        <v>4002870222</v>
      </c>
      <c r="J110" s="121">
        <f>ROUND(I110/G110*100,3)-100</f>
        <v>1.0000000000047748E-3</v>
      </c>
      <c r="K110" s="145">
        <f>I110-G110</f>
        <v>32334</v>
      </c>
      <c r="L110" s="134">
        <f>IF(ABS(J110)&lt;=0.5,0,IF(G110&gt;I110,(G110*0.995)-I110,(G110*1.005)-I110))</f>
        <v>0</v>
      </c>
      <c r="M110" s="135"/>
      <c r="N110" s="120">
        <f>N108+N106+N104+N100+N98+N96+N92+N90+N83+N80+N74+N70+N65</f>
        <v>0</v>
      </c>
    </row>
    <row r="111" spans="1:14">
      <c r="C111" s="127"/>
      <c r="D111" s="127"/>
      <c r="E111" s="127"/>
      <c r="G111" s="127"/>
      <c r="I111" s="127"/>
    </row>
    <row r="112" spans="1:14">
      <c r="C112" s="132">
        <f>C110-C58</f>
        <v>0</v>
      </c>
      <c r="D112" s="132"/>
      <c r="E112" s="132">
        <f>E110-E58</f>
        <v>0</v>
      </c>
      <c r="F112" s="120"/>
      <c r="G112" s="132">
        <f>G110-G58</f>
        <v>0</v>
      </c>
      <c r="H112" s="120"/>
      <c r="I112" s="132">
        <f>I110-I58</f>
        <v>0</v>
      </c>
      <c r="K112" s="127">
        <f>K110-K58</f>
        <v>0</v>
      </c>
    </row>
    <row r="113" spans="3:5">
      <c r="C113" s="127"/>
      <c r="D113" s="127"/>
      <c r="E113" s="127"/>
    </row>
    <row r="114" spans="3:5">
      <c r="C114" s="127"/>
      <c r="D114" s="127"/>
      <c r="E114" s="127"/>
    </row>
    <row r="115" spans="3:5">
      <c r="C115" s="127"/>
      <c r="D115" s="127"/>
      <c r="E115" s="127"/>
    </row>
    <row r="116" spans="3:5">
      <c r="C116" s="127"/>
      <c r="D116" s="127"/>
      <c r="E116" s="127"/>
    </row>
    <row r="117" spans="3:5">
      <c r="C117" s="127"/>
      <c r="D117" s="127"/>
      <c r="E117" s="127"/>
    </row>
    <row r="118" spans="3:5">
      <c r="C118" s="127"/>
      <c r="D118" s="127"/>
      <c r="E118" s="127"/>
    </row>
    <row r="119" spans="3:5">
      <c r="C119" s="127"/>
      <c r="D119" s="127"/>
      <c r="E119" s="127"/>
    </row>
    <row r="120" spans="3:5">
      <c r="C120" s="127"/>
      <c r="D120" s="127"/>
      <c r="E120" s="127"/>
    </row>
    <row r="121" spans="3:5">
      <c r="C121" s="127"/>
      <c r="D121" s="127"/>
      <c r="E121" s="127"/>
    </row>
    <row r="122" spans="3:5">
      <c r="C122" s="127"/>
      <c r="D122" s="127"/>
      <c r="E122" s="127"/>
    </row>
    <row r="123" spans="3:5">
      <c r="C123" s="127"/>
      <c r="D123" s="127"/>
      <c r="E123" s="127"/>
    </row>
    <row r="124" spans="3:5">
      <c r="C124" s="127"/>
      <c r="D124" s="127"/>
      <c r="E124" s="127"/>
    </row>
    <row r="125" spans="3:5">
      <c r="C125" s="127"/>
      <c r="D125" s="127"/>
      <c r="E125" s="127"/>
    </row>
    <row r="126" spans="3:5">
      <c r="C126" s="127"/>
      <c r="D126" s="127"/>
      <c r="E126" s="127"/>
    </row>
    <row r="127" spans="3:5">
      <c r="C127" s="127"/>
      <c r="D127" s="127"/>
      <c r="E127" s="127"/>
    </row>
    <row r="128" spans="3:5">
      <c r="C128" s="127"/>
      <c r="D128" s="127"/>
      <c r="E128" s="127"/>
    </row>
    <row r="129" spans="3:11">
      <c r="C129" s="127"/>
      <c r="D129" s="127"/>
      <c r="E129" s="127"/>
    </row>
    <row r="130" spans="3:11">
      <c r="C130" s="127"/>
      <c r="D130" s="127"/>
      <c r="E130" s="127"/>
      <c r="K130" s="141" t="s">
        <v>31</v>
      </c>
    </row>
  </sheetData>
  <phoneticPr fontId="38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59" max="10" man="1"/>
  </rowBreaks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>
    <pageSetUpPr fitToPage="1"/>
  </sheetPr>
  <dimension ref="A1:AQ1252"/>
  <sheetViews>
    <sheetView view="pageBreakPreview" zoomScale="60" zoomScaleNormal="75" workbookViewId="0">
      <pane ySplit="6" topLeftCell="A1220" activePane="bottomLeft" state="frozen"/>
      <selection activeCell="AL29" sqref="AL29"/>
      <selection pane="bottomLeft" activeCell="AL29" sqref="AL29"/>
    </sheetView>
  </sheetViews>
  <sheetFormatPr defaultColWidth="10.25" defaultRowHeight="15"/>
  <cols>
    <col min="1" max="1" width="30.5" style="1569" customWidth="1"/>
    <col min="2" max="2" width="16.125" style="1569" bestFit="1" customWidth="1"/>
    <col min="3" max="3" width="14.875" style="1569" hidden="1" customWidth="1"/>
    <col min="4" max="4" width="2.125" style="1569" hidden="1" customWidth="1"/>
    <col min="5" max="5" width="16.875" style="1569" hidden="1" customWidth="1"/>
    <col min="6" max="6" width="12" style="1569" customWidth="1"/>
    <col min="7" max="7" width="2.625" style="1569" customWidth="1"/>
    <col min="8" max="8" width="17.625" style="1569" bestFit="1" customWidth="1"/>
    <col min="9" max="9" width="12.25" style="1569" bestFit="1" customWidth="1"/>
    <col min="10" max="10" width="2.125" style="1569" bestFit="1" customWidth="1"/>
    <col min="11" max="11" width="16.75" style="1569" bestFit="1" customWidth="1"/>
    <col min="12" max="12" width="1.25" style="1569" customWidth="1"/>
    <col min="13" max="13" width="16.375" style="1569" hidden="1" customWidth="1"/>
    <col min="14" max="14" width="14.5" style="1569" bestFit="1" customWidth="1"/>
    <col min="15" max="15" width="15.125" style="1589" bestFit="1" customWidth="1"/>
    <col min="16" max="16" width="10.5" style="1589" bestFit="1" customWidth="1"/>
    <col min="17" max="17" width="8.125" style="1589" bestFit="1" customWidth="1"/>
    <col min="18" max="18" width="13" style="1569" customWidth="1"/>
    <col min="19" max="19" width="17" style="1569" customWidth="1"/>
    <col min="20" max="20" width="13" style="1569" customWidth="1"/>
    <col min="21" max="21" width="14.125" style="1569" bestFit="1" customWidth="1"/>
    <col min="22" max="22" width="14.75" style="1569" customWidth="1"/>
    <col min="23" max="23" width="13.25" style="1569" bestFit="1" customWidth="1"/>
    <col min="24" max="24" width="13" style="1569" bestFit="1" customWidth="1"/>
    <col min="25" max="25" width="12.25" style="1569" bestFit="1" customWidth="1"/>
    <col min="26" max="26" width="5.5" style="1569" bestFit="1" customWidth="1"/>
    <col min="27" max="27" width="18" style="1569" customWidth="1"/>
    <col min="28" max="28" width="10.25" style="1569" customWidth="1"/>
    <col min="29" max="29" width="12.125" style="1569" customWidth="1"/>
    <col min="30" max="16384" width="10.25" style="1569"/>
  </cols>
  <sheetData>
    <row r="1" spans="1:36">
      <c r="A1" s="1867" t="s">
        <v>1032</v>
      </c>
      <c r="B1" s="1867"/>
      <c r="C1" s="1867"/>
      <c r="D1" s="1867"/>
      <c r="E1" s="1867"/>
      <c r="F1" s="1867"/>
      <c r="G1" s="1867"/>
      <c r="H1" s="1867"/>
      <c r="I1" s="1867"/>
      <c r="J1" s="1867"/>
      <c r="K1" s="1867"/>
      <c r="M1" s="1570"/>
      <c r="N1" s="1570"/>
      <c r="O1" s="1571"/>
      <c r="P1" s="1571"/>
      <c r="Q1" s="1571"/>
      <c r="R1" s="1570"/>
      <c r="S1" s="1570"/>
      <c r="T1" s="1570"/>
      <c r="U1" s="1570"/>
      <c r="V1" s="1570"/>
      <c r="W1" s="1570"/>
      <c r="X1" s="1570"/>
      <c r="Y1" s="1570"/>
      <c r="Z1" s="1570"/>
      <c r="AA1" s="1570"/>
      <c r="AB1" s="1570"/>
      <c r="AC1" s="1570"/>
      <c r="AD1" s="1570"/>
      <c r="AE1" s="1570"/>
      <c r="AF1" s="1570"/>
      <c r="AG1" s="1570"/>
      <c r="AH1" s="1570"/>
    </row>
    <row r="2" spans="1:36">
      <c r="A2" s="1867" t="s">
        <v>1066</v>
      </c>
      <c r="B2" s="1867"/>
      <c r="C2" s="1867"/>
      <c r="D2" s="1867"/>
      <c r="E2" s="1867"/>
      <c r="F2" s="1867"/>
      <c r="G2" s="1867"/>
      <c r="H2" s="1867"/>
      <c r="I2" s="1867"/>
      <c r="J2" s="1867"/>
      <c r="K2" s="1867"/>
      <c r="M2" s="1570"/>
      <c r="N2" s="1570"/>
      <c r="O2" s="1571"/>
      <c r="P2" s="1571"/>
      <c r="Q2" s="1571"/>
      <c r="R2" s="1570"/>
      <c r="S2" s="1570"/>
      <c r="T2" s="1570"/>
      <c r="U2" s="1570"/>
      <c r="V2" s="1570"/>
      <c r="W2" s="1570"/>
      <c r="X2" s="1570"/>
      <c r="Y2" s="1570"/>
      <c r="Z2" s="1570"/>
      <c r="AA2" s="1570"/>
      <c r="AB2" s="1570"/>
      <c r="AC2" s="1570"/>
      <c r="AD2" s="1570"/>
      <c r="AE2" s="1570"/>
      <c r="AF2" s="1570"/>
      <c r="AG2" s="1570"/>
      <c r="AH2" s="1570"/>
    </row>
    <row r="3" spans="1:36">
      <c r="A3" s="1867" t="s">
        <v>1033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M3" s="1570"/>
      <c r="N3" s="1570"/>
      <c r="O3" s="1571"/>
      <c r="P3" s="1571"/>
      <c r="Q3" s="1571"/>
      <c r="R3" s="1570"/>
      <c r="S3" s="1570"/>
      <c r="T3" s="1570"/>
      <c r="U3" s="1570"/>
      <c r="V3" s="1570"/>
      <c r="W3" s="1570"/>
      <c r="X3" s="1570"/>
      <c r="Y3" s="1570"/>
      <c r="Z3" s="1570"/>
      <c r="AA3" s="1570"/>
      <c r="AB3" s="1570"/>
      <c r="AC3" s="1570"/>
      <c r="AD3" s="1570"/>
      <c r="AE3" s="1570"/>
      <c r="AF3" s="1570"/>
      <c r="AG3" s="1570"/>
      <c r="AH3" s="1570"/>
    </row>
    <row r="4" spans="1:36">
      <c r="A4" s="1868" t="s">
        <v>1034</v>
      </c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M4" s="1570"/>
      <c r="N4" s="1570"/>
      <c r="O4" s="1571"/>
      <c r="P4" s="1571"/>
      <c r="Q4" s="1571"/>
      <c r="R4" s="1570"/>
      <c r="S4" s="1570"/>
      <c r="T4" s="1570"/>
      <c r="U4" s="1570"/>
      <c r="V4" s="1570"/>
      <c r="W4" s="1570"/>
      <c r="X4" s="1570"/>
      <c r="Y4" s="1570"/>
      <c r="Z4" s="1570"/>
      <c r="AA4" s="1570"/>
      <c r="AB4" s="1570"/>
      <c r="AC4" s="1570"/>
      <c r="AD4" s="1570"/>
      <c r="AE4" s="1570"/>
      <c r="AF4" s="1570"/>
      <c r="AG4" s="1570"/>
      <c r="AH4" s="1570"/>
    </row>
    <row r="5" spans="1:36">
      <c r="A5" s="253"/>
      <c r="B5" s="252"/>
      <c r="C5" s="253"/>
      <c r="D5" s="253"/>
      <c r="E5" s="254" t="s">
        <v>594</v>
      </c>
      <c r="F5" s="253"/>
      <c r="G5" s="253"/>
      <c r="H5" s="1572"/>
      <c r="I5" s="253"/>
      <c r="J5" s="254"/>
      <c r="K5" s="254"/>
      <c r="M5" s="1570"/>
      <c r="N5" s="1570"/>
      <c r="O5" s="1571"/>
      <c r="P5" s="1571"/>
      <c r="Q5" s="1571"/>
      <c r="R5" s="1570"/>
      <c r="S5" s="1570"/>
      <c r="T5" s="1570"/>
      <c r="U5" s="1570"/>
      <c r="V5" s="1570"/>
      <c r="W5" s="1570"/>
      <c r="X5" s="1570"/>
      <c r="Y5" s="1570"/>
      <c r="Z5" s="1570"/>
      <c r="AA5" s="1570"/>
      <c r="AB5" s="1570"/>
      <c r="AC5" s="1570"/>
      <c r="AD5" s="1570"/>
      <c r="AE5" s="1570"/>
      <c r="AF5" s="1570"/>
      <c r="AG5" s="1570"/>
      <c r="AH5" s="1570"/>
    </row>
    <row r="6" spans="1:36" ht="29.25">
      <c r="A6" s="1355" t="s">
        <v>204</v>
      </c>
      <c r="B6" s="1355" t="s">
        <v>1062</v>
      </c>
      <c r="C6" s="1356" t="s">
        <v>13</v>
      </c>
      <c r="D6" s="1357"/>
      <c r="E6" s="1356" t="s">
        <v>306</v>
      </c>
      <c r="F6" s="1356" t="s">
        <v>527</v>
      </c>
      <c r="G6" s="1358"/>
      <c r="H6" s="1359" t="s">
        <v>1064</v>
      </c>
      <c r="I6" s="1356" t="s">
        <v>528</v>
      </c>
      <c r="J6" s="1356"/>
      <c r="K6" s="1356" t="s">
        <v>1063</v>
      </c>
      <c r="M6" s="256"/>
      <c r="N6" s="1570"/>
      <c r="O6" s="1571"/>
      <c r="P6" s="1571"/>
      <c r="Q6" s="1571"/>
      <c r="R6" s="1570"/>
      <c r="S6" s="1570"/>
      <c r="T6" s="1570"/>
      <c r="U6" s="1570"/>
      <c r="V6" s="1570"/>
      <c r="W6" s="1570"/>
      <c r="X6" s="1570"/>
      <c r="Y6" s="1570"/>
      <c r="Z6" s="1570"/>
      <c r="AA6" s="1570"/>
      <c r="AB6" s="1570"/>
      <c r="AC6" s="1570"/>
      <c r="AD6" s="1570"/>
      <c r="AE6" s="1570"/>
      <c r="AF6" s="1570"/>
      <c r="AG6" s="1570"/>
      <c r="AH6" s="1570"/>
    </row>
    <row r="7" spans="1:36">
      <c r="A7" s="1573" t="s">
        <v>354</v>
      </c>
      <c r="E7" s="1574"/>
      <c r="H7" s="1574"/>
      <c r="M7" s="1570"/>
      <c r="N7" s="1570"/>
      <c r="O7" s="1571"/>
      <c r="P7" s="1571"/>
      <c r="Q7" s="1571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</row>
    <row r="8" spans="1:36">
      <c r="A8" s="1569" t="s">
        <v>355</v>
      </c>
      <c r="E8" s="1574"/>
      <c r="H8" s="1574"/>
      <c r="M8" s="1570"/>
      <c r="N8" s="1570"/>
      <c r="O8" s="1571"/>
      <c r="P8" s="1571"/>
      <c r="Q8" s="1571"/>
      <c r="R8" s="1570"/>
      <c r="S8" s="1570"/>
      <c r="T8" s="1570"/>
      <c r="U8" s="1570"/>
      <c r="V8" s="1570"/>
      <c r="W8" s="1570"/>
      <c r="X8" s="1570"/>
      <c r="Y8" s="1570"/>
      <c r="Z8" s="1570"/>
      <c r="AA8" s="1570"/>
      <c r="AB8" s="1570"/>
      <c r="AC8" s="1570"/>
      <c r="AD8" s="1570"/>
      <c r="AE8" s="1570"/>
      <c r="AF8" s="1570"/>
      <c r="AG8" s="1570"/>
      <c r="AH8" s="1570"/>
    </row>
    <row r="9" spans="1:36">
      <c r="E9" s="1574"/>
      <c r="H9" s="1574"/>
      <c r="M9" s="1570"/>
      <c r="N9" s="1570"/>
      <c r="O9" s="1571"/>
      <c r="P9" s="1571"/>
      <c r="Q9" s="1571"/>
      <c r="R9" s="1570"/>
      <c r="S9" s="1570"/>
      <c r="T9" s="1570"/>
      <c r="U9" s="1570"/>
      <c r="V9" s="1570"/>
      <c r="W9" s="1570"/>
      <c r="X9" s="1570"/>
      <c r="Y9" s="1570"/>
      <c r="Z9" s="1570"/>
      <c r="AA9" s="1570"/>
      <c r="AB9" s="1570"/>
      <c r="AC9" s="1570"/>
      <c r="AD9" s="1570"/>
      <c r="AE9" s="1570"/>
      <c r="AF9" s="1570"/>
      <c r="AG9" s="1570"/>
      <c r="AH9" s="1570"/>
    </row>
    <row r="10" spans="1:36">
      <c r="A10" s="1569" t="s">
        <v>356</v>
      </c>
      <c r="E10" s="1574"/>
      <c r="H10" s="1574"/>
      <c r="M10" s="1570"/>
      <c r="N10" s="1570"/>
      <c r="O10" s="1571"/>
      <c r="P10" s="1571"/>
      <c r="Q10" s="1571"/>
      <c r="R10" s="1570"/>
      <c r="S10" s="1570"/>
      <c r="T10" s="1570"/>
      <c r="U10" s="1570"/>
      <c r="V10" s="1570"/>
      <c r="W10" s="1570"/>
      <c r="X10" s="1570"/>
      <c r="Y10" s="1570"/>
      <c r="Z10" s="1570"/>
      <c r="AA10" s="1570"/>
      <c r="AB10" s="1570"/>
      <c r="AC10" s="1570"/>
      <c r="AD10" s="1570"/>
      <c r="AE10" s="1570"/>
      <c r="AF10" s="1570"/>
      <c r="AG10" s="1570"/>
      <c r="AH10" s="1570"/>
    </row>
    <row r="11" spans="1:36">
      <c r="A11" s="1569" t="s">
        <v>357</v>
      </c>
      <c r="B11" s="1575">
        <f>B29+B47+B65</f>
        <v>28072</v>
      </c>
      <c r="C11" s="1576">
        <v>10.119999999999999</v>
      </c>
      <c r="E11" s="1577">
        <f>E29+E47+E65</f>
        <v>284088</v>
      </c>
      <c r="F11" s="1576">
        <v>10.63</v>
      </c>
      <c r="H11" s="1577">
        <f>H29+H47+H65</f>
        <v>298405.36000000004</v>
      </c>
      <c r="I11" s="1576">
        <f>F11</f>
        <v>10.63</v>
      </c>
      <c r="K11" s="1577">
        <f>K29+K47+K65</f>
        <v>298405</v>
      </c>
      <c r="M11" s="1578" t="e">
        <f>I11*#REF!</f>
        <v>#REF!</v>
      </c>
      <c r="O11" s="1579" t="s">
        <v>31</v>
      </c>
      <c r="P11" s="1580"/>
      <c r="Q11" s="1580"/>
      <c r="R11" s="1580"/>
      <c r="S11" s="1580"/>
      <c r="T11" s="1581"/>
      <c r="U11" s="1581"/>
      <c r="V11" s="1581"/>
      <c r="W11" s="1581"/>
      <c r="X11" s="1570"/>
      <c r="Y11" s="1570"/>
      <c r="Z11" s="1570"/>
      <c r="AA11" s="1570"/>
      <c r="AB11" s="1570"/>
      <c r="AC11" s="1570"/>
      <c r="AD11" s="1570"/>
      <c r="AE11" s="1570"/>
      <c r="AF11" s="1570"/>
      <c r="AG11" s="1570"/>
      <c r="AH11" s="1570"/>
      <c r="AJ11" s="1578"/>
    </row>
    <row r="12" spans="1:36">
      <c r="A12" s="1569" t="s">
        <v>358</v>
      </c>
      <c r="B12" s="1575">
        <f>B30+B48+B66</f>
        <v>4572</v>
      </c>
      <c r="C12" s="1576">
        <v>19.25</v>
      </c>
      <c r="E12" s="1577">
        <f>E30+E48+E66</f>
        <v>88012</v>
      </c>
      <c r="F12" s="1576">
        <v>20.23</v>
      </c>
      <c r="H12" s="1577">
        <f>H30+H48+H66</f>
        <v>92491.56</v>
      </c>
      <c r="I12" s="1576">
        <f t="shared" ref="I12:I18" si="0">F12</f>
        <v>20.23</v>
      </c>
      <c r="K12" s="1577">
        <f>K30+K48+K66</f>
        <v>92491</v>
      </c>
      <c r="M12" s="1578" t="e">
        <f>I12*#REF!</f>
        <v>#REF!</v>
      </c>
      <c r="O12" s="1579"/>
      <c r="P12" s="1580"/>
      <c r="Q12" s="1580"/>
      <c r="R12" s="1580"/>
      <c r="S12" s="1580"/>
      <c r="T12" s="1581"/>
      <c r="U12" s="1581"/>
      <c r="V12" s="1581"/>
      <c r="W12" s="1581"/>
      <c r="X12" s="1570"/>
      <c r="Y12" s="1570"/>
      <c r="Z12" s="1570"/>
      <c r="AA12" s="1570"/>
      <c r="AB12" s="1570"/>
      <c r="AC12" s="1570"/>
      <c r="AD12" s="1570"/>
      <c r="AE12" s="1570"/>
      <c r="AF12" s="1570"/>
      <c r="AG12" s="1570"/>
      <c r="AH12" s="1570"/>
      <c r="AJ12" s="1578"/>
    </row>
    <row r="13" spans="1:36">
      <c r="A13" s="1569" t="s">
        <v>359</v>
      </c>
      <c r="B13" s="1575">
        <f>B31+B49+B67</f>
        <v>600</v>
      </c>
      <c r="C13" s="1576">
        <v>39.840000000000003</v>
      </c>
      <c r="E13" s="1577">
        <f>E31+E49+E67</f>
        <v>23904</v>
      </c>
      <c r="F13" s="1576">
        <v>41.86</v>
      </c>
      <c r="H13" s="1577">
        <f>H31+H49+H67</f>
        <v>25116</v>
      </c>
      <c r="I13" s="1576">
        <f t="shared" si="0"/>
        <v>41.86</v>
      </c>
      <c r="K13" s="1577">
        <f>K31+K49+K67</f>
        <v>25116</v>
      </c>
      <c r="M13" s="1578" t="e">
        <f>I13*#REF!</f>
        <v>#REF!</v>
      </c>
      <c r="O13" s="1579"/>
      <c r="P13" s="1580"/>
      <c r="Q13" s="1580"/>
      <c r="R13" s="1580"/>
      <c r="S13" s="1580"/>
      <c r="T13" s="1581"/>
      <c r="U13" s="1581"/>
      <c r="V13" s="1581"/>
      <c r="W13" s="1581"/>
      <c r="X13" s="1570"/>
      <c r="Y13" s="1570"/>
      <c r="Z13" s="1570"/>
      <c r="AA13" s="1570"/>
      <c r="AB13" s="1570"/>
      <c r="AC13" s="1570"/>
      <c r="AD13" s="1570"/>
      <c r="AE13" s="1570"/>
      <c r="AF13" s="1570"/>
      <c r="AG13" s="1570"/>
      <c r="AH13" s="1570"/>
      <c r="AJ13" s="1578"/>
    </row>
    <row r="14" spans="1:36">
      <c r="A14" s="1569" t="s">
        <v>360</v>
      </c>
      <c r="B14" s="1575"/>
      <c r="C14" s="1576"/>
      <c r="E14" s="1577"/>
      <c r="F14" s="1582"/>
      <c r="H14" s="1577"/>
      <c r="I14" s="1576"/>
      <c r="K14" s="1577"/>
      <c r="M14" s="1578"/>
      <c r="O14" s="1569"/>
      <c r="P14" s="1580"/>
      <c r="Q14" s="1580"/>
      <c r="R14" s="1580"/>
      <c r="S14" s="1580"/>
      <c r="T14" s="1583"/>
      <c r="U14" s="1583"/>
      <c r="V14" s="1583"/>
      <c r="W14" s="1583"/>
      <c r="X14" s="1570"/>
      <c r="Y14" s="1570"/>
      <c r="Z14" s="1570"/>
      <c r="AA14" s="1570"/>
      <c r="AB14" s="1570"/>
      <c r="AC14" s="1570"/>
      <c r="AD14" s="1570"/>
      <c r="AE14" s="1570"/>
      <c r="AF14" s="1570"/>
      <c r="AG14" s="1570"/>
      <c r="AH14" s="1570"/>
      <c r="AJ14" s="1578"/>
    </row>
    <row r="15" spans="1:36">
      <c r="A15" s="1569" t="s">
        <v>361</v>
      </c>
      <c r="B15" s="1575">
        <f t="shared" ref="B15:B22" si="1">B33+B51+B69</f>
        <v>1930</v>
      </c>
      <c r="C15" s="1576">
        <v>11.51</v>
      </c>
      <c r="E15" s="1577">
        <f>E33+E51+E69</f>
        <v>22214</v>
      </c>
      <c r="F15" s="1576">
        <v>12.09</v>
      </c>
      <c r="H15" s="1577">
        <f>H33+H51+H69</f>
        <v>23333.700000000004</v>
      </c>
      <c r="I15" s="1576">
        <f t="shared" si="0"/>
        <v>12.09</v>
      </c>
      <c r="K15" s="1577">
        <f>K33+K51+K69</f>
        <v>23333</v>
      </c>
      <c r="M15" s="1578" t="e">
        <f>I15*#REF!</f>
        <v>#REF!</v>
      </c>
      <c r="O15" s="1579"/>
      <c r="P15" s="1580"/>
      <c r="Q15" s="1580"/>
      <c r="R15" s="1580"/>
      <c r="S15" s="1580"/>
      <c r="T15" s="1581"/>
      <c r="U15" s="1581"/>
      <c r="V15" s="1581"/>
      <c r="W15" s="1581"/>
      <c r="X15" s="1570"/>
      <c r="Y15" s="1570"/>
      <c r="Z15" s="1570"/>
      <c r="AA15" s="1570"/>
      <c r="AB15" s="1570"/>
      <c r="AC15" s="1570"/>
      <c r="AD15" s="1570"/>
      <c r="AE15" s="1570"/>
      <c r="AF15" s="1570"/>
      <c r="AG15" s="1570"/>
      <c r="AH15" s="1570"/>
      <c r="AJ15" s="1578"/>
    </row>
    <row r="16" spans="1:36">
      <c r="A16" s="1569" t="s">
        <v>362</v>
      </c>
      <c r="B16" s="1575">
        <f t="shared" si="1"/>
        <v>1764</v>
      </c>
      <c r="C16" s="1576">
        <v>16.900000000000002</v>
      </c>
      <c r="E16" s="1577">
        <f>E34+E52+E70</f>
        <v>29811</v>
      </c>
      <c r="F16" s="1576">
        <v>17.760000000000002</v>
      </c>
      <c r="H16" s="1577">
        <f>H34+H52+H70</f>
        <v>31328.640000000003</v>
      </c>
      <c r="I16" s="1576">
        <f t="shared" si="0"/>
        <v>17.760000000000002</v>
      </c>
      <c r="K16" s="1577">
        <f>K34+K52+K70</f>
        <v>31329</v>
      </c>
      <c r="M16" s="1578" t="e">
        <f>I16*#REF!</f>
        <v>#REF!</v>
      </c>
      <c r="O16" s="1579"/>
      <c r="P16" s="1580"/>
      <c r="Q16" s="1580"/>
      <c r="R16" s="1580"/>
      <c r="S16" s="1580"/>
      <c r="T16" s="1581"/>
      <c r="U16" s="1581"/>
      <c r="V16" s="1581"/>
      <c r="W16" s="1581"/>
      <c r="X16" s="1570"/>
      <c r="Y16" s="1570"/>
      <c r="Z16" s="1570"/>
      <c r="AA16" s="1570"/>
      <c r="AB16" s="1570"/>
      <c r="AC16" s="1570"/>
      <c r="AD16" s="1570"/>
      <c r="AE16" s="1570"/>
      <c r="AF16" s="1570"/>
      <c r="AG16" s="1570"/>
      <c r="AH16" s="1570"/>
      <c r="AJ16" s="1578"/>
    </row>
    <row r="17" spans="1:36">
      <c r="A17" s="1569" t="s">
        <v>363</v>
      </c>
      <c r="B17" s="1575">
        <f t="shared" si="1"/>
        <v>456</v>
      </c>
      <c r="C17" s="1576">
        <v>27.26</v>
      </c>
      <c r="E17" s="1577">
        <f>E35+E53+E71</f>
        <v>12430</v>
      </c>
      <c r="F17" s="1576">
        <v>28.64</v>
      </c>
      <c r="H17" s="1577">
        <f>H35+H53+H71</f>
        <v>13059.840000000002</v>
      </c>
      <c r="I17" s="1576">
        <f t="shared" si="0"/>
        <v>28.64</v>
      </c>
      <c r="K17" s="1577">
        <f>K35+K53+K71</f>
        <v>13060</v>
      </c>
      <c r="M17" s="1578" t="e">
        <f>I17*#REF!</f>
        <v>#REF!</v>
      </c>
      <c r="O17" s="1579"/>
      <c r="P17" s="1580"/>
      <c r="Q17" s="1580"/>
      <c r="R17" s="1580"/>
      <c r="S17" s="1580"/>
      <c r="T17" s="1581"/>
      <c r="U17" s="1581"/>
      <c r="V17" s="1581"/>
      <c r="W17" s="1581"/>
      <c r="X17" s="1570"/>
      <c r="Y17" s="1570"/>
      <c r="Z17" s="1570"/>
      <c r="AA17" s="1570"/>
      <c r="AB17" s="1570"/>
      <c r="AC17" s="1570"/>
      <c r="AD17" s="1570"/>
      <c r="AE17" s="1570"/>
      <c r="AF17" s="1570"/>
      <c r="AG17" s="1570"/>
      <c r="AH17" s="1570"/>
      <c r="AJ17" s="1578"/>
    </row>
    <row r="18" spans="1:36">
      <c r="A18" s="1569" t="s">
        <v>364</v>
      </c>
      <c r="B18" s="1575">
        <f t="shared" si="1"/>
        <v>625</v>
      </c>
      <c r="C18" s="1584">
        <v>1</v>
      </c>
      <c r="D18" s="1570"/>
      <c r="E18" s="1577">
        <f>E36+E54+E72</f>
        <v>625</v>
      </c>
      <c r="F18" s="1584">
        <v>1</v>
      </c>
      <c r="G18" s="1570"/>
      <c r="H18" s="1577">
        <f>H36+H54+H72</f>
        <v>625</v>
      </c>
      <c r="I18" s="1576">
        <f t="shared" si="0"/>
        <v>1</v>
      </c>
      <c r="J18" s="1570"/>
      <c r="K18" s="1577">
        <f>K36+K54+K72</f>
        <v>625</v>
      </c>
      <c r="M18" s="1578" t="e">
        <f>I18*#REF!</f>
        <v>#REF!</v>
      </c>
      <c r="O18" s="1579"/>
      <c r="P18" s="1569" t="s">
        <v>31</v>
      </c>
      <c r="Q18" s="1569"/>
      <c r="R18" s="1580"/>
      <c r="S18" s="1580"/>
      <c r="X18" s="1570"/>
      <c r="Y18" s="1570"/>
      <c r="Z18" s="1570"/>
      <c r="AA18" s="1570"/>
      <c r="AB18" s="1570"/>
      <c r="AC18" s="1570"/>
      <c r="AD18" s="1570"/>
      <c r="AE18" s="1570"/>
      <c r="AF18" s="1570"/>
      <c r="AG18" s="1570"/>
      <c r="AH18" s="1570"/>
      <c r="AJ18" s="1578"/>
    </row>
    <row r="19" spans="1:36">
      <c r="A19" s="1569" t="s">
        <v>930</v>
      </c>
      <c r="B19" s="1575">
        <f t="shared" si="1"/>
        <v>3455498</v>
      </c>
      <c r="C19" s="1584"/>
      <c r="D19" s="1570"/>
      <c r="E19" s="1577"/>
      <c r="F19" s="1584"/>
      <c r="G19" s="1570"/>
      <c r="H19" s="1577"/>
      <c r="I19" s="1389">
        <v>0</v>
      </c>
      <c r="J19" s="1585" t="s">
        <v>377</v>
      </c>
      <c r="K19" s="1577">
        <f>K37+K55+K73</f>
        <v>0</v>
      </c>
      <c r="M19" s="1578"/>
      <c r="N19" s="1578">
        <f>'NPC Spread'!J37</f>
        <v>79017.888474984095</v>
      </c>
      <c r="O19" s="1579" t="s">
        <v>913</v>
      </c>
      <c r="P19" s="1569"/>
      <c r="Q19" s="1569"/>
      <c r="R19" s="1580"/>
      <c r="S19" s="1580"/>
      <c r="X19" s="1570"/>
      <c r="Y19" s="1570"/>
      <c r="Z19" s="1570"/>
      <c r="AA19" s="1570"/>
      <c r="AB19" s="1570"/>
      <c r="AC19" s="1570"/>
      <c r="AD19" s="1570"/>
      <c r="AE19" s="1570"/>
      <c r="AF19" s="1570"/>
      <c r="AG19" s="1570"/>
      <c r="AH19" s="1570"/>
      <c r="AJ19" s="1578"/>
    </row>
    <row r="20" spans="1:36">
      <c r="A20" s="1569" t="s">
        <v>365</v>
      </c>
      <c r="B20" s="1575">
        <f t="shared" si="1"/>
        <v>31190</v>
      </c>
      <c r="C20" s="1576"/>
      <c r="E20" s="1577"/>
      <c r="F20" s="1576"/>
      <c r="H20" s="1577"/>
      <c r="I20" s="1576"/>
      <c r="K20" s="1577"/>
      <c r="M20" s="1578"/>
      <c r="O20" s="1578"/>
      <c r="P20" s="1569"/>
      <c r="Q20" s="1569"/>
      <c r="X20" s="1570"/>
      <c r="Y20" s="1570"/>
      <c r="Z20" s="1570"/>
      <c r="AA20" s="1570"/>
      <c r="AB20" s="1570"/>
      <c r="AC20" s="1570"/>
      <c r="AD20" s="1570"/>
      <c r="AE20" s="1570"/>
      <c r="AF20" s="1570"/>
      <c r="AG20" s="1570"/>
      <c r="AH20" s="1570"/>
      <c r="AJ20" s="1578"/>
    </row>
    <row r="21" spans="1:36">
      <c r="A21" s="1569" t="s">
        <v>35</v>
      </c>
      <c r="B21" s="1575">
        <f t="shared" si="1"/>
        <v>3455498</v>
      </c>
      <c r="C21" s="1584"/>
      <c r="D21" s="1570"/>
      <c r="E21" s="1577">
        <f>E39+E57+E75</f>
        <v>461084</v>
      </c>
      <c r="F21" s="1584"/>
      <c r="G21" s="1570"/>
      <c r="H21" s="1577">
        <f>H39+H57+H75</f>
        <v>484360.10000000003</v>
      </c>
      <c r="I21" s="1584"/>
      <c r="J21" s="1570"/>
      <c r="K21" s="1586">
        <f>K39+K57+K75</f>
        <v>484359</v>
      </c>
      <c r="M21" s="1578" t="e">
        <f>SUM(M11:M20)</f>
        <v>#REF!</v>
      </c>
      <c r="O21" s="1587"/>
      <c r="P21" s="1569"/>
      <c r="Q21" s="1569"/>
      <c r="X21" s="1570"/>
      <c r="Y21" s="1570"/>
      <c r="Z21" s="1570"/>
      <c r="AA21" s="1570"/>
      <c r="AB21" s="1570"/>
      <c r="AC21" s="1570"/>
      <c r="AD21" s="1570"/>
      <c r="AE21" s="1570"/>
      <c r="AF21" s="1570"/>
      <c r="AG21" s="1570"/>
      <c r="AH21" s="1570"/>
      <c r="AJ21" s="1578"/>
    </row>
    <row r="22" spans="1:36">
      <c r="A22" s="1569" t="s">
        <v>366</v>
      </c>
      <c r="B22" s="1575">
        <f t="shared" ca="1" si="1"/>
        <v>-3768.1420658745119</v>
      </c>
      <c r="C22" s="1584"/>
      <c r="D22" s="1570"/>
      <c r="E22" s="1588" t="e">
        <f>E40+E58+E76</f>
        <v>#REF!</v>
      </c>
      <c r="F22" s="1584"/>
      <c r="G22" s="1570"/>
      <c r="H22" s="1588">
        <f ca="1">H40+H58+H76</f>
        <v>-572.02550248989303</v>
      </c>
      <c r="I22" s="1584"/>
      <c r="J22" s="1570"/>
      <c r="K22" s="1588">
        <f ca="1">H22</f>
        <v>-572.02550248989303</v>
      </c>
      <c r="P22" s="1590" t="s">
        <v>31</v>
      </c>
      <c r="Q22" s="1590"/>
      <c r="X22" s="1570"/>
      <c r="Y22" s="1570"/>
      <c r="Z22" s="1570"/>
      <c r="AA22" s="1570"/>
      <c r="AB22" s="1570"/>
      <c r="AC22" s="1570"/>
      <c r="AD22" s="1570"/>
      <c r="AE22" s="1570"/>
      <c r="AF22" s="1570"/>
      <c r="AG22" s="1570"/>
      <c r="AH22" s="1570"/>
      <c r="AJ22" s="1578"/>
    </row>
    <row r="23" spans="1:36" ht="17.25" customHeight="1" thickBot="1">
      <c r="A23" s="1569" t="s">
        <v>9</v>
      </c>
      <c r="B23" s="1591">
        <f ca="1">B21+B22</f>
        <v>3451729.8579341257</v>
      </c>
      <c r="C23" s="1592"/>
      <c r="D23" s="1592"/>
      <c r="E23" s="1592" t="e">
        <f>E21+E22</f>
        <v>#REF!</v>
      </c>
      <c r="F23" s="1593"/>
      <c r="G23" s="1592"/>
      <c r="H23" s="1592">
        <f ca="1">H21+H22</f>
        <v>483788.07449751016</v>
      </c>
      <c r="I23" s="1593"/>
      <c r="J23" s="1592"/>
      <c r="K23" s="1592">
        <f ca="1">K21+K22</f>
        <v>483786.97449751012</v>
      </c>
      <c r="N23" s="1594" t="s">
        <v>367</v>
      </c>
      <c r="O23" s="1595">
        <f>'Rate Spread-Staff'!Q35*1000</f>
        <v>483788.07449751016</v>
      </c>
      <c r="P23" s="1596">
        <f>'Rate Spread-Staff'!V35</f>
        <v>0</v>
      </c>
      <c r="Q23" s="1597"/>
      <c r="R23" s="1598"/>
      <c r="S23" s="1598"/>
      <c r="X23" s="1570"/>
      <c r="Y23" s="1570"/>
      <c r="Z23" s="1570"/>
      <c r="AA23" s="1570"/>
      <c r="AB23" s="1570"/>
      <c r="AC23" s="1570"/>
      <c r="AD23" s="1570"/>
      <c r="AE23" s="1570"/>
      <c r="AF23" s="1570"/>
      <c r="AG23" s="1570"/>
      <c r="AH23" s="1570"/>
      <c r="AJ23" s="1578"/>
    </row>
    <row r="24" spans="1:36" ht="15.75" thickTop="1">
      <c r="B24" s="1599"/>
      <c r="C24" s="1599"/>
      <c r="D24" s="1599"/>
      <c r="E24" s="1574"/>
      <c r="F24" s="1600" t="s">
        <v>31</v>
      </c>
      <c r="G24" s="1599"/>
      <c r="H24" s="1574"/>
      <c r="I24" s="1585" t="s">
        <v>31</v>
      </c>
      <c r="J24" s="1599"/>
      <c r="K24" s="1577" t="s">
        <v>31</v>
      </c>
      <c r="N24" s="1601" t="s">
        <v>265</v>
      </c>
      <c r="O24" s="1602">
        <f ca="1">O23-K23</f>
        <v>1.1000000000349246</v>
      </c>
      <c r="P24" s="1603">
        <v>-0.15720000000000001</v>
      </c>
      <c r="Q24" s="1604"/>
      <c r="R24" s="1598"/>
      <c r="S24" s="1598"/>
      <c r="X24" s="1570"/>
      <c r="Y24" s="1570"/>
      <c r="Z24" s="1570"/>
      <c r="AA24" s="1570"/>
      <c r="AB24" s="1570"/>
      <c r="AC24" s="1570"/>
      <c r="AD24" s="1570"/>
      <c r="AE24" s="1570"/>
      <c r="AF24" s="1570"/>
      <c r="AG24" s="1570"/>
      <c r="AH24" s="1570"/>
      <c r="AJ24" s="1578"/>
    </row>
    <row r="25" spans="1:36" hidden="1">
      <c r="A25" s="1573" t="s">
        <v>354</v>
      </c>
      <c r="E25" s="1574"/>
      <c r="H25" s="1574"/>
      <c r="O25" s="1605" t="s">
        <v>31</v>
      </c>
      <c r="P25" s="1569"/>
      <c r="Q25" s="1569"/>
      <c r="X25" s="1570"/>
      <c r="Y25" s="1570"/>
      <c r="Z25" s="1570"/>
      <c r="AA25" s="1570"/>
      <c r="AB25" s="1570"/>
      <c r="AC25" s="1570"/>
      <c r="AD25" s="1570"/>
      <c r="AE25" s="1570"/>
      <c r="AF25" s="1570"/>
      <c r="AG25" s="1570"/>
      <c r="AH25" s="1570"/>
      <c r="AJ25" s="1578"/>
    </row>
    <row r="26" spans="1:36" hidden="1">
      <c r="A26" s="1569" t="s">
        <v>368</v>
      </c>
      <c r="E26" s="1574"/>
      <c r="H26" s="1574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  <c r="AD26" s="1570"/>
      <c r="AE26" s="1570"/>
      <c r="AF26" s="1570"/>
      <c r="AG26" s="1570"/>
      <c r="AH26" s="1570"/>
      <c r="AJ26" s="1578"/>
    </row>
    <row r="27" spans="1:36" hidden="1">
      <c r="C27" s="1575"/>
      <c r="E27" s="1574"/>
      <c r="H27" s="1574"/>
      <c r="M27" s="1530"/>
      <c r="N27" s="1530"/>
      <c r="O27" s="1530"/>
      <c r="P27" s="1530"/>
      <c r="Q27" s="1530"/>
      <c r="R27" s="1530"/>
      <c r="S27" s="1530"/>
      <c r="T27" s="1530"/>
      <c r="U27" s="1530"/>
      <c r="V27" s="1530"/>
      <c r="W27" s="1530"/>
      <c r="X27" s="1530"/>
      <c r="Y27" s="1530"/>
      <c r="Z27" s="1530"/>
      <c r="AA27" s="1530"/>
      <c r="AB27" s="1530"/>
      <c r="AC27" s="1530"/>
      <c r="AD27" s="1570"/>
      <c r="AE27" s="1570"/>
      <c r="AF27" s="1570"/>
      <c r="AG27" s="1570"/>
      <c r="AH27" s="1570"/>
      <c r="AJ27" s="1578"/>
    </row>
    <row r="28" spans="1:36" hidden="1">
      <c r="A28" s="1569" t="s">
        <v>356</v>
      </c>
      <c r="E28" s="1574"/>
      <c r="H28" s="1574"/>
      <c r="M28" s="1530"/>
      <c r="N28" s="1530"/>
      <c r="O28" s="1530"/>
      <c r="P28" s="1571"/>
      <c r="Q28" s="1571"/>
      <c r="R28" s="1532"/>
      <c r="S28" s="1532"/>
      <c r="T28" s="1533"/>
      <c r="U28" s="1533"/>
      <c r="V28" s="1533"/>
      <c r="W28" s="1533"/>
      <c r="X28" s="1606"/>
      <c r="Y28" s="1534"/>
      <c r="Z28" s="1530"/>
      <c r="AA28" s="1530"/>
      <c r="AB28" s="1530"/>
      <c r="AC28" s="1530"/>
      <c r="AD28" s="1570"/>
      <c r="AE28" s="1570"/>
      <c r="AF28" s="1570"/>
      <c r="AG28" s="1570"/>
      <c r="AH28" s="1570"/>
      <c r="AJ28" s="1578"/>
    </row>
    <row r="29" spans="1:36" hidden="1">
      <c r="A29" s="1569" t="s">
        <v>357</v>
      </c>
      <c r="B29" s="1575">
        <f>12787+107</f>
        <v>12894</v>
      </c>
      <c r="C29" s="1576">
        <v>10.119999999999999</v>
      </c>
      <c r="E29" s="1577">
        <f>ROUND(C29*$B29,0)</f>
        <v>130487</v>
      </c>
      <c r="F29" s="1576">
        <v>10.63</v>
      </c>
      <c r="H29" s="1577">
        <f>F29*B29</f>
        <v>137063.22</v>
      </c>
      <c r="I29" s="1576">
        <f>$I$11</f>
        <v>10.63</v>
      </c>
      <c r="K29" s="1577">
        <f>ROUND(I29*$B29,0)</f>
        <v>137063</v>
      </c>
      <c r="M29" s="1570"/>
      <c r="N29" s="1570"/>
      <c r="O29" s="1606"/>
      <c r="P29" s="1571"/>
      <c r="Q29" s="1571"/>
      <c r="R29" s="1530"/>
      <c r="S29" s="1530"/>
      <c r="T29" s="1538"/>
      <c r="U29" s="1538"/>
      <c r="V29" s="1538"/>
      <c r="W29" s="1538"/>
      <c r="X29" s="1607"/>
      <c r="Y29" s="1530"/>
      <c r="Z29" s="1606"/>
      <c r="AA29" s="1606"/>
      <c r="AB29" s="1608"/>
      <c r="AC29" s="1606"/>
      <c r="AD29" s="1570"/>
      <c r="AE29" s="1570"/>
      <c r="AF29" s="1570"/>
      <c r="AG29" s="1570"/>
      <c r="AH29" s="1570"/>
      <c r="AJ29" s="1578"/>
    </row>
    <row r="30" spans="1:36" hidden="1">
      <c r="A30" s="1569" t="s">
        <v>358</v>
      </c>
      <c r="B30" s="1575">
        <f>264+12</f>
        <v>276</v>
      </c>
      <c r="C30" s="1576">
        <v>19.25</v>
      </c>
      <c r="E30" s="1577">
        <f>ROUND(C30*$B30,0)</f>
        <v>5313</v>
      </c>
      <c r="F30" s="1576">
        <v>20.23</v>
      </c>
      <c r="H30" s="1577">
        <f t="shared" ref="H30:H31" si="2">F30*B30</f>
        <v>5583.4800000000005</v>
      </c>
      <c r="I30" s="1576">
        <f>$I$12</f>
        <v>20.23</v>
      </c>
      <c r="K30" s="1577">
        <f>ROUND(I30*$B30,0)</f>
        <v>5583</v>
      </c>
      <c r="M30" s="1570"/>
      <c r="N30" s="1570"/>
      <c r="O30" s="1606"/>
      <c r="P30" s="1571"/>
      <c r="Q30" s="1571"/>
      <c r="R30" s="1570"/>
      <c r="S30" s="1570"/>
      <c r="T30" s="1423"/>
      <c r="U30" s="1423"/>
      <c r="V30" s="1423"/>
      <c r="W30" s="1423"/>
      <c r="X30" s="1530"/>
      <c r="Y30" s="1530"/>
      <c r="Z30" s="1606"/>
      <c r="AA30" s="1606"/>
      <c r="AB30" s="1608"/>
      <c r="AC30" s="1606"/>
      <c r="AD30" s="1570"/>
      <c r="AE30" s="1570"/>
      <c r="AF30" s="1570"/>
      <c r="AG30" s="1570"/>
      <c r="AH30" s="1570"/>
      <c r="AJ30" s="1578"/>
    </row>
    <row r="31" spans="1:36" hidden="1">
      <c r="A31" s="1569" t="s">
        <v>359</v>
      </c>
      <c r="B31" s="1575">
        <v>2</v>
      </c>
      <c r="C31" s="1576">
        <v>39.840000000000003</v>
      </c>
      <c r="E31" s="1577">
        <f>ROUND(C31*$B31,0)</f>
        <v>80</v>
      </c>
      <c r="F31" s="1576">
        <v>41.86</v>
      </c>
      <c r="H31" s="1577">
        <f t="shared" si="2"/>
        <v>83.72</v>
      </c>
      <c r="I31" s="1576">
        <f>$I$13</f>
        <v>41.86</v>
      </c>
      <c r="K31" s="1577">
        <f>ROUND(I31*$B31,0)</f>
        <v>84</v>
      </c>
      <c r="M31" s="1570"/>
      <c r="N31" s="1570"/>
      <c r="O31" s="1606"/>
      <c r="P31" s="1571"/>
      <c r="Q31" s="1571"/>
      <c r="R31" s="1570"/>
      <c r="S31" s="1570"/>
      <c r="T31" s="1423"/>
      <c r="U31" s="1423"/>
      <c r="V31" s="1423"/>
      <c r="W31" s="1423"/>
      <c r="X31" s="1530"/>
      <c r="Y31" s="1530"/>
      <c r="Z31" s="1606"/>
      <c r="AA31" s="1606"/>
      <c r="AB31" s="1608"/>
      <c r="AC31" s="1606"/>
      <c r="AD31" s="1570"/>
      <c r="AE31" s="1570"/>
      <c r="AF31" s="1570"/>
      <c r="AG31" s="1570"/>
      <c r="AH31" s="1570"/>
      <c r="AJ31" s="1578"/>
    </row>
    <row r="32" spans="1:36" hidden="1">
      <c r="A32" s="1569" t="s">
        <v>360</v>
      </c>
      <c r="B32" s="1575"/>
      <c r="C32" s="1576"/>
      <c r="E32" s="1577"/>
      <c r="F32" s="1576"/>
      <c r="H32" s="1577"/>
      <c r="I32" s="1576"/>
      <c r="K32" s="1577"/>
      <c r="M32" s="1570"/>
      <c r="N32" s="1570"/>
      <c r="O32" s="1606"/>
      <c r="P32" s="1571"/>
      <c r="Q32" s="1571"/>
      <c r="R32" s="1570"/>
      <c r="S32" s="1570"/>
      <c r="T32" s="1423"/>
      <c r="U32" s="1423"/>
      <c r="V32" s="1423"/>
      <c r="W32" s="1423"/>
      <c r="X32" s="1530"/>
      <c r="Y32" s="1530"/>
      <c r="Z32" s="1606"/>
      <c r="AA32" s="1606"/>
      <c r="AB32" s="1608"/>
      <c r="AC32" s="1606"/>
      <c r="AD32" s="1570"/>
      <c r="AE32" s="1570"/>
      <c r="AF32" s="1570"/>
      <c r="AG32" s="1570"/>
      <c r="AH32" s="1570"/>
      <c r="AJ32" s="1578"/>
    </row>
    <row r="33" spans="1:36" hidden="1">
      <c r="A33" s="1569" t="s">
        <v>361</v>
      </c>
      <c r="B33" s="1575">
        <f>814</f>
        <v>814</v>
      </c>
      <c r="C33" s="1576">
        <v>11.51</v>
      </c>
      <c r="E33" s="1577">
        <f>ROUND(C33*$B33,0)</f>
        <v>9369</v>
      </c>
      <c r="F33" s="1576">
        <v>12.09</v>
      </c>
      <c r="H33" s="1577">
        <f t="shared" ref="H33:H36" si="3">F33*B33</f>
        <v>9841.26</v>
      </c>
      <c r="I33" s="1576">
        <f>$I$15</f>
        <v>12.09</v>
      </c>
      <c r="K33" s="1577">
        <f>ROUND(I33*$B33,0)</f>
        <v>9841</v>
      </c>
      <c r="M33" s="1570"/>
      <c r="N33" s="1570"/>
      <c r="O33" s="1606"/>
      <c r="P33" s="1571"/>
      <c r="Q33" s="1571"/>
      <c r="R33" s="1570"/>
      <c r="S33" s="1570"/>
      <c r="T33" s="1423"/>
      <c r="U33" s="1423"/>
      <c r="V33" s="1423"/>
      <c r="W33" s="1423"/>
      <c r="X33" s="1530"/>
      <c r="Y33" s="1530"/>
      <c r="Z33" s="1606"/>
      <c r="AA33" s="1606"/>
      <c r="AB33" s="1608"/>
      <c r="AC33" s="1606"/>
      <c r="AD33" s="1570"/>
      <c r="AE33" s="1570"/>
      <c r="AF33" s="1570"/>
      <c r="AG33" s="1570"/>
      <c r="AH33" s="1570"/>
      <c r="AJ33" s="1578"/>
    </row>
    <row r="34" spans="1:36" hidden="1">
      <c r="A34" s="1569" t="s">
        <v>362</v>
      </c>
      <c r="B34" s="1575">
        <f>216</f>
        <v>216</v>
      </c>
      <c r="C34" s="1576">
        <v>16.900000000000002</v>
      </c>
      <c r="E34" s="1577">
        <f>ROUND(C34*$B34,0)</f>
        <v>3650</v>
      </c>
      <c r="F34" s="1576">
        <v>17.760000000000002</v>
      </c>
      <c r="H34" s="1577">
        <f t="shared" si="3"/>
        <v>3836.1600000000003</v>
      </c>
      <c r="I34" s="1576">
        <f>$I$16</f>
        <v>17.760000000000002</v>
      </c>
      <c r="K34" s="1577">
        <f>ROUND(I34*$B34,0)</f>
        <v>3836</v>
      </c>
      <c r="M34" s="1570"/>
      <c r="N34" s="1570"/>
      <c r="O34" s="1606"/>
      <c r="P34" s="1571"/>
      <c r="Q34" s="1571"/>
      <c r="R34" s="1570"/>
      <c r="S34" s="1570"/>
      <c r="T34" s="1423"/>
      <c r="U34" s="1423"/>
      <c r="V34" s="1423"/>
      <c r="W34" s="1423"/>
      <c r="X34" s="1530"/>
      <c r="Y34" s="1530"/>
      <c r="Z34" s="1606"/>
      <c r="AA34" s="1606"/>
      <c r="AB34" s="1608"/>
      <c r="AC34" s="1606"/>
      <c r="AD34" s="1570"/>
      <c r="AE34" s="1570"/>
      <c r="AF34" s="1570"/>
      <c r="AG34" s="1570"/>
      <c r="AH34" s="1570"/>
      <c r="AJ34" s="1578"/>
    </row>
    <row r="35" spans="1:36" hidden="1">
      <c r="A35" s="1569" t="s">
        <v>363</v>
      </c>
      <c r="B35" s="1575">
        <f>12</f>
        <v>12</v>
      </c>
      <c r="C35" s="1576">
        <v>27.26</v>
      </c>
      <c r="E35" s="1577">
        <f>ROUND(C35*$B35,0)</f>
        <v>327</v>
      </c>
      <c r="F35" s="1576">
        <v>28.64</v>
      </c>
      <c r="H35" s="1577">
        <f t="shared" si="3"/>
        <v>343.68</v>
      </c>
      <c r="I35" s="1576">
        <f>$I$17</f>
        <v>28.64</v>
      </c>
      <c r="K35" s="1577">
        <f>ROUND(I35*$B35,0)</f>
        <v>344</v>
      </c>
      <c r="M35" s="1570"/>
      <c r="N35" s="1570"/>
      <c r="O35" s="1606"/>
      <c r="P35" s="1571"/>
      <c r="Q35" s="1571"/>
      <c r="R35" s="1570"/>
      <c r="S35" s="1570"/>
      <c r="T35" s="1423"/>
      <c r="U35" s="1423"/>
      <c r="V35" s="1423"/>
      <c r="W35" s="1423"/>
      <c r="X35" s="1530"/>
      <c r="Y35" s="1530"/>
      <c r="Z35" s="1606"/>
      <c r="AA35" s="1606"/>
      <c r="AB35" s="1608"/>
      <c r="AC35" s="1606"/>
      <c r="AD35" s="1570"/>
      <c r="AE35" s="1570"/>
      <c r="AF35" s="1570"/>
      <c r="AG35" s="1570"/>
      <c r="AH35" s="1570"/>
      <c r="AJ35" s="1578"/>
    </row>
    <row r="36" spans="1:36" hidden="1">
      <c r="A36" s="1569" t="s">
        <v>364</v>
      </c>
      <c r="B36" s="1575">
        <f>107+12+2</f>
        <v>121</v>
      </c>
      <c r="C36" s="1576">
        <v>1</v>
      </c>
      <c r="D36" s="1570"/>
      <c r="E36" s="1588">
        <f>ROUND(C36*$B36,0)</f>
        <v>121</v>
      </c>
      <c r="F36" s="1576">
        <v>1</v>
      </c>
      <c r="G36" s="1570"/>
      <c r="H36" s="1577">
        <f t="shared" si="3"/>
        <v>121</v>
      </c>
      <c r="I36" s="1584">
        <f>$I$18</f>
        <v>1</v>
      </c>
      <c r="J36" s="1570"/>
      <c r="K36" s="1588">
        <f>ROUND(I36*$B36,0)</f>
        <v>121</v>
      </c>
      <c r="M36" s="1530"/>
      <c r="N36" s="1530"/>
      <c r="O36" s="1606"/>
      <c r="P36" s="1571"/>
      <c r="Q36" s="1571"/>
      <c r="R36" s="1570"/>
      <c r="S36" s="1570"/>
      <c r="T36" s="1530"/>
      <c r="U36" s="1530"/>
      <c r="V36" s="1530"/>
      <c r="W36" s="1530"/>
      <c r="X36" s="1530"/>
      <c r="Y36" s="1530"/>
      <c r="Z36" s="1606"/>
      <c r="AA36" s="1606"/>
      <c r="AB36" s="1606"/>
      <c r="AC36" s="1606"/>
      <c r="AD36" s="1570"/>
      <c r="AE36" s="1570"/>
      <c r="AF36" s="1570"/>
      <c r="AG36" s="1570"/>
      <c r="AH36" s="1570"/>
      <c r="AJ36" s="1578"/>
    </row>
    <row r="37" spans="1:36" hidden="1">
      <c r="A37" s="1569" t="s">
        <v>930</v>
      </c>
      <c r="B37" s="1575">
        <f>B39</f>
        <v>1072028</v>
      </c>
      <c r="C37" s="1584"/>
      <c r="D37" s="1570"/>
      <c r="E37" s="1577"/>
      <c r="F37" s="1584"/>
      <c r="G37" s="1570"/>
      <c r="H37" s="1577"/>
      <c r="I37" s="1389">
        <f>I19</f>
        <v>0</v>
      </c>
      <c r="J37" s="1585" t="s">
        <v>377</v>
      </c>
      <c r="K37" s="1577">
        <f>I37*B37/100</f>
        <v>0</v>
      </c>
      <c r="M37" s="1578"/>
      <c r="O37" s="1579"/>
      <c r="P37" s="1569"/>
      <c r="Q37" s="1569"/>
      <c r="R37" s="1580"/>
      <c r="S37" s="1580"/>
      <c r="X37" s="1570"/>
      <c r="Y37" s="1570"/>
      <c r="Z37" s="1570"/>
      <c r="AA37" s="1570"/>
      <c r="AB37" s="1570"/>
      <c r="AC37" s="1570"/>
      <c r="AD37" s="1570"/>
      <c r="AE37" s="1570"/>
      <c r="AF37" s="1570"/>
      <c r="AG37" s="1570"/>
      <c r="AH37" s="1570"/>
      <c r="AJ37" s="1578"/>
    </row>
    <row r="38" spans="1:36" hidden="1">
      <c r="A38" s="1569" t="s">
        <v>365</v>
      </c>
      <c r="B38" s="1575">
        <f>13970</f>
        <v>13970</v>
      </c>
      <c r="C38" s="1576"/>
      <c r="E38" s="1577"/>
      <c r="F38" s="1576"/>
      <c r="H38" s="1577"/>
      <c r="I38" s="1576"/>
      <c r="K38" s="1577"/>
      <c r="M38" s="1530"/>
      <c r="N38" s="1530"/>
      <c r="O38" s="1530"/>
      <c r="P38" s="1530"/>
      <c r="Q38" s="1530"/>
      <c r="R38" s="1530"/>
      <c r="S38" s="1530"/>
      <c r="T38" s="1530"/>
      <c r="U38" s="1530"/>
      <c r="V38" s="1530"/>
      <c r="W38" s="1530"/>
      <c r="X38" s="1530"/>
      <c r="Y38" s="1530"/>
      <c r="Z38" s="1531"/>
      <c r="AA38" s="1530"/>
      <c r="AB38" s="1530"/>
      <c r="AC38" s="1530"/>
      <c r="AD38" s="1570"/>
      <c r="AE38" s="1570"/>
      <c r="AF38" s="1570"/>
      <c r="AG38" s="1570"/>
      <c r="AH38" s="1570"/>
      <c r="AJ38" s="1578"/>
    </row>
    <row r="39" spans="1:36" hidden="1">
      <c r="A39" s="1569" t="s">
        <v>35</v>
      </c>
      <c r="B39" s="1575">
        <f>1072028</f>
        <v>1072028</v>
      </c>
      <c r="C39" s="1584"/>
      <c r="D39" s="1570"/>
      <c r="E39" s="1588">
        <f>SUM(E29:E36)</f>
        <v>149347</v>
      </c>
      <c r="F39" s="1584"/>
      <c r="G39" s="1570"/>
      <c r="H39" s="1588">
        <f>SUM(H29:H36)</f>
        <v>156872.52000000002</v>
      </c>
      <c r="I39" s="1584"/>
      <c r="J39" s="1570"/>
      <c r="K39" s="1588">
        <f>SUM(K29:K37)</f>
        <v>156872</v>
      </c>
      <c r="M39" s="1530"/>
      <c r="N39" s="1530"/>
      <c r="O39" s="1423"/>
      <c r="P39" s="1530"/>
      <c r="Q39" s="1530"/>
      <c r="R39" s="1570"/>
      <c r="S39" s="1570"/>
      <c r="T39" s="1570"/>
      <c r="U39" s="1570"/>
      <c r="V39" s="1570"/>
      <c r="W39" s="1570"/>
      <c r="X39" s="1570"/>
      <c r="Y39" s="1530"/>
      <c r="Z39" s="1530"/>
      <c r="AA39" s="1530"/>
      <c r="AB39" s="1530"/>
      <c r="AC39" s="1530"/>
      <c r="AD39" s="1570"/>
      <c r="AE39" s="1570"/>
      <c r="AF39" s="1570"/>
      <c r="AG39" s="1570"/>
      <c r="AH39" s="1570"/>
      <c r="AJ39" s="1578"/>
    </row>
    <row r="40" spans="1:36" hidden="1">
      <c r="A40" s="1569" t="s">
        <v>366</v>
      </c>
      <c r="B40" s="1575">
        <f ca="1">'Table 2'!H21</f>
        <v>-68.662768611323841</v>
      </c>
      <c r="C40" s="1584"/>
      <c r="D40" s="1570"/>
      <c r="E40" s="1588" t="e">
        <f>#REF!</f>
        <v>#REF!</v>
      </c>
      <c r="F40" s="1584"/>
      <c r="G40" s="1570"/>
      <c r="H40" s="1588">
        <f ca="1">'Table 3'!E21</f>
        <v>15.339848949801738</v>
      </c>
      <c r="I40" s="1584"/>
      <c r="J40" s="1570"/>
      <c r="K40" s="1588">
        <f ca="1">H40</f>
        <v>15.339848949801738</v>
      </c>
      <c r="M40" s="1422"/>
      <c r="N40" s="1422"/>
      <c r="O40" s="1423"/>
      <c r="P40" s="1530"/>
      <c r="Q40" s="1530"/>
      <c r="R40" s="1530"/>
      <c r="S40" s="1530"/>
      <c r="T40" s="1538"/>
      <c r="U40" s="1538"/>
      <c r="V40" s="1538"/>
      <c r="W40" s="1538"/>
      <c r="X40" s="1606"/>
      <c r="Y40" s="1530"/>
      <c r="Z40" s="1530"/>
      <c r="AA40" s="1530"/>
      <c r="AB40" s="1530"/>
      <c r="AC40" s="1530"/>
      <c r="AD40" s="1570"/>
      <c r="AE40" s="1570"/>
      <c r="AF40" s="1570"/>
      <c r="AG40" s="1570"/>
      <c r="AH40" s="1570"/>
      <c r="AJ40" s="1578"/>
    </row>
    <row r="41" spans="1:36" ht="15.75" hidden="1" thickBot="1">
      <c r="A41" s="1569" t="s">
        <v>9</v>
      </c>
      <c r="B41" s="1591">
        <f ca="1">B39+B40</f>
        <v>1071959.3372313888</v>
      </c>
      <c r="C41" s="1592"/>
      <c r="D41" s="1592"/>
      <c r="E41" s="1592" t="e">
        <f>E39+E40</f>
        <v>#REF!</v>
      </c>
      <c r="F41" s="1593"/>
      <c r="G41" s="1592"/>
      <c r="H41" s="1592">
        <f ca="1">H39+H40</f>
        <v>156887.85984894983</v>
      </c>
      <c r="I41" s="1593"/>
      <c r="J41" s="1592"/>
      <c r="K41" s="1592">
        <f ca="1">K39+K40</f>
        <v>156887.33984894981</v>
      </c>
      <c r="M41" s="1424"/>
      <c r="N41" s="1424"/>
      <c r="O41" s="1597"/>
      <c r="P41" s="1530"/>
      <c r="Q41" s="1530"/>
      <c r="R41" s="1530"/>
      <c r="S41" s="1530"/>
      <c r="T41" s="1530"/>
      <c r="U41" s="1530"/>
      <c r="V41" s="1530"/>
      <c r="W41" s="1530"/>
      <c r="X41" s="1530"/>
      <c r="Y41" s="1530"/>
      <c r="Z41" s="1530"/>
      <c r="AA41" s="1530"/>
      <c r="AB41" s="1530"/>
      <c r="AC41" s="1530"/>
      <c r="AD41" s="1570"/>
      <c r="AE41" s="1570"/>
      <c r="AF41" s="1570"/>
      <c r="AG41" s="1570"/>
      <c r="AH41" s="1570"/>
      <c r="AJ41" s="1578"/>
    </row>
    <row r="42" spans="1:36" ht="15.75" hidden="1" thickTop="1">
      <c r="B42" s="1599"/>
      <c r="C42" s="1599"/>
      <c r="D42" s="1599"/>
      <c r="E42" s="1574"/>
      <c r="F42" s="1600" t="s">
        <v>31</v>
      </c>
      <c r="G42" s="1599"/>
      <c r="H42" s="1574"/>
      <c r="I42" s="1585" t="s">
        <v>31</v>
      </c>
      <c r="J42" s="1599"/>
      <c r="K42" s="1577" t="s">
        <v>31</v>
      </c>
      <c r="M42" s="1570"/>
      <c r="N42" s="1570"/>
      <c r="O42" s="1571"/>
      <c r="P42" s="1571"/>
      <c r="Q42" s="1571"/>
      <c r="R42" s="1570"/>
      <c r="S42" s="1570"/>
      <c r="T42" s="1570"/>
      <c r="U42" s="1570"/>
      <c r="V42" s="1570"/>
      <c r="W42" s="1570"/>
      <c r="X42" s="1570"/>
      <c r="Y42" s="1530"/>
      <c r="Z42" s="1530"/>
      <c r="AA42" s="1530"/>
      <c r="AB42" s="1530"/>
      <c r="AC42" s="1530"/>
      <c r="AD42" s="1570"/>
      <c r="AE42" s="1570"/>
      <c r="AF42" s="1570"/>
      <c r="AG42" s="1570"/>
      <c r="AH42" s="1570"/>
      <c r="AJ42" s="1578"/>
    </row>
    <row r="43" spans="1:36" hidden="1">
      <c r="A43" s="1573" t="s">
        <v>354</v>
      </c>
      <c r="E43" s="1574"/>
      <c r="H43" s="1574"/>
      <c r="M43" s="1570"/>
      <c r="N43" s="1570"/>
      <c r="O43" s="1571"/>
      <c r="P43" s="1571"/>
      <c r="Q43" s="1571"/>
      <c r="R43" s="1570"/>
      <c r="S43" s="1570"/>
      <c r="T43" s="1570"/>
      <c r="U43" s="1570"/>
      <c r="V43" s="1570"/>
      <c r="W43" s="1570"/>
      <c r="X43" s="1570"/>
      <c r="Y43" s="1530"/>
      <c r="Z43" s="1530"/>
      <c r="AA43" s="1530"/>
      <c r="AB43" s="1530"/>
      <c r="AC43" s="1530"/>
      <c r="AD43" s="1570"/>
      <c r="AE43" s="1570"/>
      <c r="AF43" s="1570"/>
      <c r="AG43" s="1570"/>
      <c r="AH43" s="1570"/>
      <c r="AJ43" s="1578"/>
    </row>
    <row r="44" spans="1:36" hidden="1">
      <c r="A44" s="1569" t="s">
        <v>369</v>
      </c>
      <c r="E44" s="1574"/>
      <c r="H44" s="1574"/>
      <c r="M44" s="1530"/>
      <c r="N44" s="1530"/>
      <c r="O44" s="1530"/>
      <c r="P44" s="1530"/>
      <c r="Q44" s="1530"/>
      <c r="R44" s="1530"/>
      <c r="S44" s="1530"/>
      <c r="T44" s="1530"/>
      <c r="U44" s="1530"/>
      <c r="V44" s="1530"/>
      <c r="W44" s="1530"/>
      <c r="X44" s="1530"/>
      <c r="Y44" s="1530"/>
      <c r="Z44" s="1530"/>
      <c r="AA44" s="1530"/>
      <c r="AB44" s="1530"/>
      <c r="AC44" s="1530"/>
      <c r="AD44" s="1570"/>
      <c r="AE44" s="1570"/>
      <c r="AF44" s="1570"/>
      <c r="AG44" s="1570"/>
      <c r="AH44" s="1570"/>
      <c r="AJ44" s="1578"/>
    </row>
    <row r="45" spans="1:36" hidden="1">
      <c r="E45" s="1574"/>
      <c r="H45" s="1574"/>
      <c r="M45" s="1530"/>
      <c r="N45" s="1530"/>
      <c r="O45" s="1530"/>
      <c r="P45" s="1530"/>
      <c r="Q45" s="1530"/>
      <c r="R45" s="1530"/>
      <c r="S45" s="1530"/>
      <c r="T45" s="1530"/>
      <c r="U45" s="1530"/>
      <c r="V45" s="1530"/>
      <c r="W45" s="1530"/>
      <c r="X45" s="1530"/>
      <c r="Y45" s="1530"/>
      <c r="Z45" s="1530"/>
      <c r="AA45" s="1530"/>
      <c r="AB45" s="1530"/>
      <c r="AC45" s="1530"/>
      <c r="AD45" s="1570"/>
      <c r="AE45" s="1570"/>
      <c r="AF45" s="1570"/>
      <c r="AG45" s="1570"/>
      <c r="AH45" s="1570"/>
      <c r="AJ45" s="1578"/>
    </row>
    <row r="46" spans="1:36" hidden="1">
      <c r="A46" s="1569" t="s">
        <v>356</v>
      </c>
      <c r="E46" s="1574"/>
      <c r="H46" s="1574"/>
      <c r="M46" s="1530"/>
      <c r="N46" s="1530"/>
      <c r="O46" s="1530"/>
      <c r="P46" s="1571"/>
      <c r="Q46" s="1571"/>
      <c r="R46" s="1532"/>
      <c r="S46" s="1532"/>
      <c r="T46" s="1533"/>
      <c r="U46" s="1533"/>
      <c r="V46" s="1533"/>
      <c r="W46" s="1533"/>
      <c r="X46" s="1606"/>
      <c r="Y46" s="1534"/>
      <c r="Z46" s="1530"/>
      <c r="AA46" s="1530"/>
      <c r="AB46" s="1530"/>
      <c r="AC46" s="1530"/>
      <c r="AD46" s="1570"/>
      <c r="AE46" s="1570"/>
      <c r="AF46" s="1570"/>
      <c r="AG46" s="1570"/>
      <c r="AH46" s="1570"/>
      <c r="AJ46" s="1578"/>
    </row>
    <row r="47" spans="1:36" hidden="1">
      <c r="A47" s="1569" t="s">
        <v>357</v>
      </c>
      <c r="B47" s="1575">
        <f>14482+60</f>
        <v>14542</v>
      </c>
      <c r="C47" s="1576">
        <v>10.119999999999999</v>
      </c>
      <c r="E47" s="1577">
        <f>ROUND(C47*$B47,0)</f>
        <v>147165</v>
      </c>
      <c r="F47" s="1576">
        <v>10.63</v>
      </c>
      <c r="H47" s="1577">
        <f t="shared" ref="H47:H49" si="4">F47*B47</f>
        <v>154581.46000000002</v>
      </c>
      <c r="I47" s="1576">
        <f>$I$11</f>
        <v>10.63</v>
      </c>
      <c r="K47" s="1577">
        <f>ROUND(I47*$B47,0)</f>
        <v>154581</v>
      </c>
      <c r="M47" s="1570"/>
      <c r="N47" s="1570"/>
      <c r="O47" s="1606"/>
      <c r="P47" s="1571"/>
      <c r="Q47" s="1571"/>
      <c r="R47" s="1530"/>
      <c r="S47" s="1530"/>
      <c r="T47" s="1538"/>
      <c r="U47" s="1538"/>
      <c r="V47" s="1538"/>
      <c r="W47" s="1538"/>
      <c r="X47" s="1607"/>
      <c r="Y47" s="1530"/>
      <c r="Z47" s="1606"/>
      <c r="AA47" s="1606"/>
      <c r="AB47" s="1608"/>
      <c r="AC47" s="1606"/>
      <c r="AD47" s="1570"/>
      <c r="AE47" s="1570"/>
      <c r="AF47" s="1570"/>
      <c r="AG47" s="1570"/>
      <c r="AH47" s="1570"/>
      <c r="AJ47" s="1578"/>
    </row>
    <row r="48" spans="1:36" hidden="1">
      <c r="A48" s="1569" t="s">
        <v>358</v>
      </c>
      <c r="B48" s="1575">
        <f>3634+252</f>
        <v>3886</v>
      </c>
      <c r="C48" s="1576">
        <v>19.25</v>
      </c>
      <c r="E48" s="1577">
        <f>ROUND(C48*$B48,0)</f>
        <v>74806</v>
      </c>
      <c r="F48" s="1576">
        <v>20.23</v>
      </c>
      <c r="H48" s="1577">
        <f t="shared" si="4"/>
        <v>78613.78</v>
      </c>
      <c r="I48" s="1576">
        <f>$I$12</f>
        <v>20.23</v>
      </c>
      <c r="K48" s="1577">
        <f>ROUND(I48*$B48,0)</f>
        <v>78614</v>
      </c>
      <c r="M48" s="1570"/>
      <c r="N48" s="1570"/>
      <c r="O48" s="1606"/>
      <c r="P48" s="1571"/>
      <c r="Q48" s="1571"/>
      <c r="R48" s="1570"/>
      <c r="S48" s="1570"/>
      <c r="T48" s="1423"/>
      <c r="U48" s="1423"/>
      <c r="V48" s="1423"/>
      <c r="W48" s="1423"/>
      <c r="X48" s="1530"/>
      <c r="Y48" s="1530"/>
      <c r="Z48" s="1606"/>
      <c r="AA48" s="1606"/>
      <c r="AB48" s="1608"/>
      <c r="AC48" s="1606"/>
      <c r="AD48" s="1570"/>
      <c r="AE48" s="1570"/>
      <c r="AF48" s="1570"/>
      <c r="AG48" s="1570"/>
      <c r="AH48" s="1570"/>
      <c r="AJ48" s="1578"/>
    </row>
    <row r="49" spans="1:36" hidden="1">
      <c r="A49" s="1569" t="s">
        <v>359</v>
      </c>
      <c r="B49" s="1575">
        <f>502+48</f>
        <v>550</v>
      </c>
      <c r="C49" s="1576">
        <v>39.840000000000003</v>
      </c>
      <c r="E49" s="1577">
        <f>ROUND(C49*$B49,0)</f>
        <v>21912</v>
      </c>
      <c r="F49" s="1576">
        <v>41.86</v>
      </c>
      <c r="H49" s="1577">
        <f t="shared" si="4"/>
        <v>23023</v>
      </c>
      <c r="I49" s="1576">
        <f>$I$13</f>
        <v>41.86</v>
      </c>
      <c r="K49" s="1577">
        <f>ROUND(I49*$B49,0)</f>
        <v>23023</v>
      </c>
      <c r="M49" s="1570"/>
      <c r="N49" s="1570"/>
      <c r="O49" s="1606"/>
      <c r="P49" s="1571"/>
      <c r="Q49" s="1571"/>
      <c r="R49" s="1570"/>
      <c r="S49" s="1570"/>
      <c r="T49" s="1423"/>
      <c r="U49" s="1423"/>
      <c r="V49" s="1423"/>
      <c r="W49" s="1423"/>
      <c r="X49" s="1530"/>
      <c r="Y49" s="1530"/>
      <c r="Z49" s="1606"/>
      <c r="AA49" s="1606"/>
      <c r="AB49" s="1608"/>
      <c r="AC49" s="1606"/>
      <c r="AD49" s="1570"/>
      <c r="AE49" s="1570"/>
      <c r="AF49" s="1570"/>
      <c r="AG49" s="1570"/>
      <c r="AH49" s="1570"/>
      <c r="AJ49" s="1578"/>
    </row>
    <row r="50" spans="1:36" hidden="1">
      <c r="A50" s="1569" t="s">
        <v>360</v>
      </c>
      <c r="B50" s="1575"/>
      <c r="C50" s="1576"/>
      <c r="E50" s="1577"/>
      <c r="F50" s="1576"/>
      <c r="H50" s="1577"/>
      <c r="I50" s="1576"/>
      <c r="K50" s="1577"/>
      <c r="M50" s="1570"/>
      <c r="N50" s="1570"/>
      <c r="O50" s="1606"/>
      <c r="P50" s="1571"/>
      <c r="Q50" s="1571"/>
      <c r="R50" s="1570"/>
      <c r="S50" s="1570"/>
      <c r="T50" s="1423"/>
      <c r="U50" s="1423"/>
      <c r="V50" s="1423"/>
      <c r="W50" s="1423"/>
      <c r="X50" s="1530"/>
      <c r="Y50" s="1530"/>
      <c r="Z50" s="1606"/>
      <c r="AA50" s="1606"/>
      <c r="AB50" s="1608"/>
      <c r="AC50" s="1606"/>
      <c r="AD50" s="1570"/>
      <c r="AE50" s="1570"/>
      <c r="AF50" s="1570"/>
      <c r="AG50" s="1570"/>
      <c r="AH50" s="1570"/>
      <c r="AJ50" s="1578"/>
    </row>
    <row r="51" spans="1:36" hidden="1">
      <c r="A51" s="1569" t="s">
        <v>361</v>
      </c>
      <c r="B51" s="1575">
        <f>1092+12</f>
        <v>1104</v>
      </c>
      <c r="C51" s="1576">
        <v>11.51</v>
      </c>
      <c r="E51" s="1577">
        <f>ROUND(C51*$B51,0)</f>
        <v>12707</v>
      </c>
      <c r="F51" s="1576">
        <v>12.09</v>
      </c>
      <c r="H51" s="1577">
        <f t="shared" ref="H51:H54" si="5">F51*B51</f>
        <v>13347.36</v>
      </c>
      <c r="I51" s="1576">
        <f>$I$15</f>
        <v>12.09</v>
      </c>
      <c r="K51" s="1577">
        <f>ROUND(I51*$B51,0)</f>
        <v>13347</v>
      </c>
      <c r="M51" s="1570"/>
      <c r="N51" s="1570"/>
      <c r="O51" s="1606"/>
      <c r="P51" s="1571"/>
      <c r="Q51" s="1571"/>
      <c r="R51" s="1570"/>
      <c r="S51" s="1570"/>
      <c r="T51" s="1423"/>
      <c r="U51" s="1423"/>
      <c r="V51" s="1423"/>
      <c r="W51" s="1423"/>
      <c r="X51" s="1530"/>
      <c r="Y51" s="1530"/>
      <c r="Z51" s="1606"/>
      <c r="AA51" s="1606"/>
      <c r="AB51" s="1608"/>
      <c r="AC51" s="1606"/>
      <c r="AD51" s="1570"/>
      <c r="AE51" s="1570"/>
      <c r="AF51" s="1570"/>
      <c r="AG51" s="1570"/>
      <c r="AH51" s="1570"/>
      <c r="AJ51" s="1578"/>
    </row>
    <row r="52" spans="1:36" hidden="1">
      <c r="A52" s="1569" t="s">
        <v>362</v>
      </c>
      <c r="B52" s="1575">
        <f>1452</f>
        <v>1452</v>
      </c>
      <c r="C52" s="1576">
        <v>16.900000000000002</v>
      </c>
      <c r="E52" s="1577">
        <f>ROUND(C52*$B52,0)</f>
        <v>24539</v>
      </c>
      <c r="F52" s="1576">
        <v>17.760000000000002</v>
      </c>
      <c r="H52" s="1577">
        <f t="shared" si="5"/>
        <v>25787.520000000004</v>
      </c>
      <c r="I52" s="1576">
        <f>$I$16</f>
        <v>17.760000000000002</v>
      </c>
      <c r="K52" s="1577">
        <f>ROUND(I52*$B52,0)</f>
        <v>25788</v>
      </c>
      <c r="M52" s="1570"/>
      <c r="N52" s="1570"/>
      <c r="O52" s="1606"/>
      <c r="P52" s="1571"/>
      <c r="Q52" s="1571"/>
      <c r="R52" s="1570"/>
      <c r="S52" s="1570"/>
      <c r="T52" s="1423"/>
      <c r="U52" s="1423"/>
      <c r="V52" s="1423"/>
      <c r="W52" s="1423"/>
      <c r="X52" s="1530"/>
      <c r="Y52" s="1530"/>
      <c r="Z52" s="1606"/>
      <c r="AA52" s="1606"/>
      <c r="AB52" s="1608"/>
      <c r="AC52" s="1606"/>
      <c r="AD52" s="1570"/>
      <c r="AE52" s="1570"/>
      <c r="AF52" s="1570"/>
      <c r="AG52" s="1570"/>
      <c r="AH52" s="1570"/>
      <c r="AJ52" s="1578"/>
    </row>
    <row r="53" spans="1:36" hidden="1">
      <c r="A53" s="1569" t="s">
        <v>363</v>
      </c>
      <c r="B53" s="1575">
        <f>420</f>
        <v>420</v>
      </c>
      <c r="C53" s="1576">
        <v>27.26</v>
      </c>
      <c r="E53" s="1577">
        <f>ROUND(C53*$B53,0)</f>
        <v>11449</v>
      </c>
      <c r="F53" s="1576">
        <v>28.64</v>
      </c>
      <c r="H53" s="1577">
        <f t="shared" si="5"/>
        <v>12028.800000000001</v>
      </c>
      <c r="I53" s="1576">
        <f>$I$17</f>
        <v>28.64</v>
      </c>
      <c r="K53" s="1577">
        <f>ROUND(I53*$B53,0)</f>
        <v>12029</v>
      </c>
      <c r="M53" s="1570"/>
      <c r="N53" s="1570"/>
      <c r="O53" s="1606"/>
      <c r="P53" s="1571"/>
      <c r="Q53" s="1571"/>
      <c r="R53" s="1570"/>
      <c r="S53" s="1570"/>
      <c r="T53" s="1423"/>
      <c r="U53" s="1423"/>
      <c r="V53" s="1423"/>
      <c r="W53" s="1423"/>
      <c r="X53" s="1530"/>
      <c r="Y53" s="1530"/>
      <c r="Z53" s="1606"/>
      <c r="AA53" s="1606"/>
      <c r="AB53" s="1608"/>
      <c r="AC53" s="1606"/>
      <c r="AD53" s="1570"/>
      <c r="AE53" s="1570"/>
      <c r="AF53" s="1570"/>
      <c r="AG53" s="1570"/>
      <c r="AH53" s="1570"/>
      <c r="AJ53" s="1578"/>
    </row>
    <row r="54" spans="1:36" hidden="1">
      <c r="A54" s="1569" t="s">
        <v>364</v>
      </c>
      <c r="B54" s="1575">
        <f>60+252+60</f>
        <v>372</v>
      </c>
      <c r="C54" s="1576">
        <v>1</v>
      </c>
      <c r="D54" s="1570"/>
      <c r="E54" s="1588">
        <f>ROUND(C54*$B54,0)</f>
        <v>372</v>
      </c>
      <c r="F54" s="1576">
        <v>1</v>
      </c>
      <c r="G54" s="1570"/>
      <c r="H54" s="1577">
        <f t="shared" si="5"/>
        <v>372</v>
      </c>
      <c r="I54" s="1584">
        <f>$I$18</f>
        <v>1</v>
      </c>
      <c r="J54" s="1570"/>
      <c r="K54" s="1588">
        <f>ROUND(I54*$B54,0)</f>
        <v>372</v>
      </c>
      <c r="M54" s="1530"/>
      <c r="N54" s="1530"/>
      <c r="O54" s="1606"/>
      <c r="P54" s="1571"/>
      <c r="Q54" s="1571"/>
      <c r="R54" s="1570"/>
      <c r="S54" s="1570"/>
      <c r="T54" s="1530"/>
      <c r="U54" s="1530"/>
      <c r="V54" s="1530"/>
      <c r="W54" s="1530"/>
      <c r="X54" s="1530"/>
      <c r="Y54" s="1530"/>
      <c r="Z54" s="1606"/>
      <c r="AA54" s="1606"/>
      <c r="AB54" s="1606"/>
      <c r="AC54" s="1606"/>
      <c r="AD54" s="1570"/>
      <c r="AE54" s="1570"/>
      <c r="AF54" s="1570"/>
      <c r="AG54" s="1570"/>
      <c r="AH54" s="1570"/>
      <c r="AJ54" s="1578"/>
    </row>
    <row r="55" spans="1:36" hidden="1">
      <c r="A55" s="1569" t="s">
        <v>930</v>
      </c>
      <c r="B55" s="1575">
        <f>B57</f>
        <v>2233418</v>
      </c>
      <c r="C55" s="1584"/>
      <c r="D55" s="1570"/>
      <c r="E55" s="1577"/>
      <c r="F55" s="1584"/>
      <c r="G55" s="1570"/>
      <c r="H55" s="1577"/>
      <c r="I55" s="1389">
        <f>I19</f>
        <v>0</v>
      </c>
      <c r="J55" s="1585" t="s">
        <v>377</v>
      </c>
      <c r="K55" s="1577">
        <f>I55*B55/100</f>
        <v>0</v>
      </c>
      <c r="M55" s="1578"/>
      <c r="O55" s="1579"/>
      <c r="P55" s="1569"/>
      <c r="Q55" s="1569"/>
      <c r="R55" s="1580"/>
      <c r="S55" s="1580"/>
      <c r="X55" s="1570"/>
      <c r="Y55" s="1570"/>
      <c r="Z55" s="1570"/>
      <c r="AA55" s="1570"/>
      <c r="AB55" s="1570"/>
      <c r="AC55" s="1570"/>
      <c r="AD55" s="1570"/>
      <c r="AE55" s="1570"/>
      <c r="AF55" s="1570"/>
      <c r="AG55" s="1570"/>
      <c r="AH55" s="1570"/>
      <c r="AJ55" s="1578"/>
    </row>
    <row r="56" spans="1:36" hidden="1">
      <c r="A56" s="1569" t="s">
        <v>365</v>
      </c>
      <c r="B56" s="1575">
        <f>10262+6261</f>
        <v>16523</v>
      </c>
      <c r="C56" s="1576"/>
      <c r="E56" s="1577"/>
      <c r="F56" s="1576"/>
      <c r="H56" s="1577"/>
      <c r="I56" s="1576"/>
      <c r="K56" s="1577"/>
      <c r="M56" s="1530"/>
      <c r="N56" s="1530"/>
      <c r="O56" s="1530"/>
      <c r="P56" s="1530"/>
      <c r="Q56" s="1530"/>
      <c r="R56" s="1530"/>
      <c r="S56" s="1530"/>
      <c r="T56" s="1530"/>
      <c r="U56" s="1530"/>
      <c r="V56" s="1530"/>
      <c r="W56" s="1530"/>
      <c r="X56" s="1530"/>
      <c r="Y56" s="1530"/>
      <c r="Z56" s="1531"/>
      <c r="AA56" s="1530"/>
      <c r="AB56" s="1530"/>
      <c r="AC56" s="1530"/>
      <c r="AD56" s="1570"/>
      <c r="AE56" s="1570"/>
      <c r="AF56" s="1570"/>
      <c r="AG56" s="1570"/>
      <c r="AH56" s="1570"/>
      <c r="AJ56" s="1578"/>
    </row>
    <row r="57" spans="1:36" hidden="1">
      <c r="A57" s="1569" t="s">
        <v>35</v>
      </c>
      <c r="B57" s="1575">
        <f>1643386+590032</f>
        <v>2233418</v>
      </c>
      <c r="C57" s="1584"/>
      <c r="D57" s="1570"/>
      <c r="E57" s="1588">
        <f>SUM(E47:E54)</f>
        <v>292950</v>
      </c>
      <c r="F57" s="1584"/>
      <c r="G57" s="1570"/>
      <c r="H57" s="1588">
        <f>SUM(H47:H54)</f>
        <v>307753.92000000004</v>
      </c>
      <c r="I57" s="1584"/>
      <c r="J57" s="1570"/>
      <c r="K57" s="1588">
        <f>SUM(K47:K55)</f>
        <v>307754</v>
      </c>
      <c r="M57" s="1530"/>
      <c r="N57" s="1530"/>
      <c r="O57" s="1423"/>
      <c r="P57" s="1530"/>
      <c r="Q57" s="1530"/>
      <c r="R57" s="1570"/>
      <c r="S57" s="1570"/>
      <c r="T57" s="1570"/>
      <c r="U57" s="1570"/>
      <c r="V57" s="1570"/>
      <c r="W57" s="1570"/>
      <c r="X57" s="1570"/>
      <c r="Y57" s="1530"/>
      <c r="Z57" s="1530"/>
      <c r="AA57" s="1530"/>
      <c r="AB57" s="1530"/>
      <c r="AC57" s="1530"/>
      <c r="AD57" s="1570"/>
      <c r="AE57" s="1570"/>
      <c r="AF57" s="1570"/>
      <c r="AG57" s="1570"/>
      <c r="AH57" s="1570"/>
      <c r="AJ57" s="1578"/>
    </row>
    <row r="58" spans="1:36" hidden="1">
      <c r="A58" s="1569" t="s">
        <v>366</v>
      </c>
      <c r="B58" s="1575">
        <f>'Table 2'!H52</f>
        <v>-5758.1427362705708</v>
      </c>
      <c r="C58" s="1584"/>
      <c r="D58" s="1570"/>
      <c r="E58" s="1588" t="e">
        <f>#REF!</f>
        <v>#REF!</v>
      </c>
      <c r="F58" s="1584"/>
      <c r="G58" s="1570"/>
      <c r="H58" s="1588">
        <f ca="1">'Table 3'!E52</f>
        <v>-910.80858255895487</v>
      </c>
      <c r="I58" s="1584"/>
      <c r="J58" s="1570"/>
      <c r="K58" s="1588">
        <f ca="1">H58</f>
        <v>-910.80858255895487</v>
      </c>
      <c r="M58" s="1422"/>
      <c r="N58" s="1422"/>
      <c r="O58" s="1423"/>
      <c r="P58" s="1530"/>
      <c r="Q58" s="1530"/>
      <c r="R58" s="1530"/>
      <c r="S58" s="1530"/>
      <c r="T58" s="1538"/>
      <c r="U58" s="1538"/>
      <c r="V58" s="1538"/>
      <c r="W58" s="1538"/>
      <c r="X58" s="1606"/>
      <c r="Y58" s="1530"/>
      <c r="Z58" s="1530"/>
      <c r="AA58" s="1530"/>
      <c r="AB58" s="1530"/>
      <c r="AC58" s="1530"/>
      <c r="AD58" s="1570"/>
      <c r="AE58" s="1570"/>
      <c r="AF58" s="1570"/>
      <c r="AG58" s="1570"/>
      <c r="AH58" s="1570"/>
      <c r="AJ58" s="1578"/>
    </row>
    <row r="59" spans="1:36" ht="15.75" hidden="1" thickBot="1">
      <c r="A59" s="1569" t="s">
        <v>9</v>
      </c>
      <c r="B59" s="1591">
        <f>B57+B58</f>
        <v>2227659.8572637294</v>
      </c>
      <c r="C59" s="1592"/>
      <c r="D59" s="1592"/>
      <c r="E59" s="1592" t="e">
        <f>E57+E58</f>
        <v>#REF!</v>
      </c>
      <c r="F59" s="1593"/>
      <c r="G59" s="1592"/>
      <c r="H59" s="1592">
        <f ca="1">H57+H58</f>
        <v>306843.11141744111</v>
      </c>
      <c r="I59" s="1593"/>
      <c r="J59" s="1592"/>
      <c r="K59" s="1592">
        <f ca="1">K57+K58</f>
        <v>306843.19141744106</v>
      </c>
      <c r="M59" s="1424"/>
      <c r="N59" s="1424"/>
      <c r="O59" s="1597"/>
      <c r="P59" s="1530"/>
      <c r="Q59" s="1530"/>
      <c r="R59" s="1530"/>
      <c r="S59" s="1530"/>
      <c r="T59" s="1530"/>
      <c r="U59" s="1530"/>
      <c r="V59" s="1530"/>
      <c r="W59" s="1530"/>
      <c r="X59" s="1530"/>
      <c r="Y59" s="1530"/>
      <c r="Z59" s="1530"/>
      <c r="AA59" s="1530"/>
      <c r="AB59" s="1530"/>
      <c r="AC59" s="1530"/>
      <c r="AD59" s="1570"/>
      <c r="AE59" s="1570"/>
      <c r="AF59" s="1570"/>
      <c r="AG59" s="1570"/>
      <c r="AH59" s="1570"/>
      <c r="AJ59" s="1578"/>
    </row>
    <row r="60" spans="1:36" ht="15.75" hidden="1" thickTop="1">
      <c r="B60" s="1599"/>
      <c r="C60" s="1599"/>
      <c r="D60" s="1599"/>
      <c r="E60" s="1574"/>
      <c r="F60" s="1600" t="s">
        <v>31</v>
      </c>
      <c r="G60" s="1599"/>
      <c r="H60" s="1574"/>
      <c r="I60" s="1585" t="s">
        <v>31</v>
      </c>
      <c r="J60" s="1599"/>
      <c r="K60" s="1577" t="s">
        <v>31</v>
      </c>
      <c r="M60" s="1570"/>
      <c r="N60" s="1570"/>
      <c r="O60" s="1571"/>
      <c r="P60" s="1571"/>
      <c r="Q60" s="1571"/>
      <c r="R60" s="1570"/>
      <c r="S60" s="1570"/>
      <c r="T60" s="1570"/>
      <c r="U60" s="1570"/>
      <c r="V60" s="1570"/>
      <c r="W60" s="1570"/>
      <c r="X60" s="1570"/>
      <c r="Y60" s="1570"/>
      <c r="Z60" s="1570"/>
      <c r="AA60" s="1570"/>
      <c r="AB60" s="1570"/>
      <c r="AC60" s="1570"/>
      <c r="AD60" s="1570"/>
      <c r="AE60" s="1570"/>
      <c r="AF60" s="1570"/>
      <c r="AG60" s="1570"/>
      <c r="AH60" s="1570"/>
      <c r="AJ60" s="1578"/>
    </row>
    <row r="61" spans="1:36" hidden="1">
      <c r="A61" s="1573" t="s">
        <v>354</v>
      </c>
      <c r="E61" s="1574"/>
      <c r="H61" s="1574"/>
      <c r="M61" s="1570"/>
      <c r="N61" s="1570"/>
      <c r="O61" s="1571"/>
      <c r="P61" s="1571"/>
      <c r="Q61" s="1571"/>
      <c r="R61" s="1570"/>
      <c r="S61" s="1570"/>
      <c r="T61" s="1570"/>
      <c r="U61" s="1570"/>
      <c r="V61" s="1570"/>
      <c r="W61" s="1570"/>
      <c r="X61" s="1570"/>
      <c r="Y61" s="1570"/>
      <c r="Z61" s="1570"/>
      <c r="AA61" s="1570"/>
      <c r="AB61" s="1570"/>
      <c r="AC61" s="1570"/>
      <c r="AD61" s="1570"/>
      <c r="AE61" s="1570"/>
      <c r="AF61" s="1570"/>
      <c r="AG61" s="1570"/>
      <c r="AH61" s="1570"/>
      <c r="AJ61" s="1578"/>
    </row>
    <row r="62" spans="1:36" hidden="1">
      <c r="A62" s="1569" t="s">
        <v>370</v>
      </c>
      <c r="E62" s="1574"/>
      <c r="H62" s="1574"/>
      <c r="M62" s="1530"/>
      <c r="N62" s="1530"/>
      <c r="O62" s="1530"/>
      <c r="P62" s="1530"/>
      <c r="Q62" s="1530"/>
      <c r="R62" s="1530"/>
      <c r="S62" s="1530"/>
      <c r="T62" s="1530"/>
      <c r="U62" s="1530"/>
      <c r="V62" s="1530"/>
      <c r="W62" s="1530"/>
      <c r="X62" s="1530"/>
      <c r="Y62" s="1530"/>
      <c r="Z62" s="1530"/>
      <c r="AA62" s="1530"/>
      <c r="AB62" s="1530"/>
      <c r="AC62" s="1530"/>
      <c r="AD62" s="1570"/>
      <c r="AE62" s="1570"/>
      <c r="AF62" s="1570"/>
      <c r="AG62" s="1570"/>
      <c r="AH62" s="1570"/>
      <c r="AJ62" s="1578"/>
    </row>
    <row r="63" spans="1:36" hidden="1">
      <c r="E63" s="1574"/>
      <c r="H63" s="1574"/>
      <c r="M63" s="1530"/>
      <c r="N63" s="1530"/>
      <c r="O63" s="1530"/>
      <c r="P63" s="1530"/>
      <c r="Q63" s="1530"/>
      <c r="R63" s="1530"/>
      <c r="S63" s="1530"/>
      <c r="T63" s="1530"/>
      <c r="U63" s="1530"/>
      <c r="V63" s="1530"/>
      <c r="W63" s="1530"/>
      <c r="X63" s="1530"/>
      <c r="Y63" s="1530"/>
      <c r="Z63" s="1530"/>
      <c r="AA63" s="1530"/>
      <c r="AB63" s="1530"/>
      <c r="AC63" s="1530"/>
      <c r="AD63" s="1570"/>
      <c r="AE63" s="1570"/>
      <c r="AF63" s="1570"/>
      <c r="AG63" s="1570"/>
      <c r="AH63" s="1570"/>
      <c r="AJ63" s="1578"/>
    </row>
    <row r="64" spans="1:36" hidden="1">
      <c r="A64" s="1569" t="s">
        <v>356</v>
      </c>
      <c r="E64" s="1574"/>
      <c r="H64" s="1574"/>
      <c r="M64" s="1530"/>
      <c r="N64" s="1530"/>
      <c r="O64" s="1530"/>
      <c r="P64" s="1571"/>
      <c r="Q64" s="1571"/>
      <c r="R64" s="1532"/>
      <c r="S64" s="1532"/>
      <c r="T64" s="1533"/>
      <c r="U64" s="1533"/>
      <c r="V64" s="1533"/>
      <c r="W64" s="1533"/>
      <c r="X64" s="1606"/>
      <c r="Y64" s="1534"/>
      <c r="Z64" s="1530"/>
      <c r="AA64" s="1530"/>
      <c r="AB64" s="1530"/>
      <c r="AC64" s="1530"/>
      <c r="AD64" s="1570"/>
      <c r="AE64" s="1570"/>
      <c r="AF64" s="1570"/>
      <c r="AG64" s="1570"/>
      <c r="AH64" s="1570"/>
      <c r="AJ64" s="1578"/>
    </row>
    <row r="65" spans="1:36" hidden="1">
      <c r="A65" s="1569" t="s">
        <v>357</v>
      </c>
      <c r="B65" s="1575">
        <f>504+132</f>
        <v>636</v>
      </c>
      <c r="C65" s="1576">
        <v>10.119999999999999</v>
      </c>
      <c r="E65" s="1577">
        <f>ROUND(C65*$B65,0)</f>
        <v>6436</v>
      </c>
      <c r="F65" s="1576">
        <v>10.63</v>
      </c>
      <c r="H65" s="1577">
        <f t="shared" ref="H65:H67" si="6">F65*B65</f>
        <v>6760.68</v>
      </c>
      <c r="I65" s="1576">
        <f>$I$11</f>
        <v>10.63</v>
      </c>
      <c r="K65" s="1577">
        <f>ROUND(I65*$B65,0)</f>
        <v>6761</v>
      </c>
      <c r="M65" s="1570"/>
      <c r="N65" s="1570"/>
      <c r="O65" s="1606"/>
      <c r="P65" s="1571"/>
      <c r="Q65" s="1571"/>
      <c r="R65" s="1530"/>
      <c r="S65" s="1530"/>
      <c r="T65" s="1538"/>
      <c r="U65" s="1538"/>
      <c r="V65" s="1538"/>
      <c r="W65" s="1538"/>
      <c r="X65" s="1607"/>
      <c r="Y65" s="1530"/>
      <c r="Z65" s="1606"/>
      <c r="AA65" s="1606"/>
      <c r="AB65" s="1608"/>
      <c r="AC65" s="1606"/>
      <c r="AD65" s="1570"/>
      <c r="AE65" s="1570"/>
      <c r="AF65" s="1570"/>
      <c r="AG65" s="1570"/>
      <c r="AH65" s="1570"/>
      <c r="AJ65" s="1578"/>
    </row>
    <row r="66" spans="1:36" hidden="1">
      <c r="A66" s="1569" t="s">
        <v>358</v>
      </c>
      <c r="B66" s="1575">
        <f>410</f>
        <v>410</v>
      </c>
      <c r="C66" s="1576">
        <v>19.25</v>
      </c>
      <c r="E66" s="1577">
        <f>ROUND(C66*$B66,0)</f>
        <v>7893</v>
      </c>
      <c r="F66" s="1576">
        <v>20.23</v>
      </c>
      <c r="H66" s="1577">
        <f t="shared" si="6"/>
        <v>8294.2999999999993</v>
      </c>
      <c r="I66" s="1576">
        <f>$I$12</f>
        <v>20.23</v>
      </c>
      <c r="K66" s="1577">
        <f>ROUND(I66*$B66,0)</f>
        <v>8294</v>
      </c>
      <c r="M66" s="1570"/>
      <c r="N66" s="1570"/>
      <c r="O66" s="1606"/>
      <c r="P66" s="1571"/>
      <c r="Q66" s="1571"/>
      <c r="R66" s="1570"/>
      <c r="S66" s="1570"/>
      <c r="T66" s="1423"/>
      <c r="U66" s="1423"/>
      <c r="V66" s="1423"/>
      <c r="W66" s="1423"/>
      <c r="X66" s="1530"/>
      <c r="Y66" s="1530"/>
      <c r="Z66" s="1606"/>
      <c r="AA66" s="1606"/>
      <c r="AB66" s="1608"/>
      <c r="AC66" s="1606"/>
      <c r="AD66" s="1570"/>
      <c r="AE66" s="1570"/>
      <c r="AF66" s="1570"/>
      <c r="AG66" s="1570"/>
      <c r="AH66" s="1570"/>
      <c r="AJ66" s="1578"/>
    </row>
    <row r="67" spans="1:36" hidden="1">
      <c r="A67" s="1569" t="s">
        <v>359</v>
      </c>
      <c r="B67" s="1575">
        <f>48</f>
        <v>48</v>
      </c>
      <c r="C67" s="1576">
        <v>39.840000000000003</v>
      </c>
      <c r="E67" s="1577">
        <f>ROUND(C67*$B67,0)</f>
        <v>1912</v>
      </c>
      <c r="F67" s="1576">
        <v>41.86</v>
      </c>
      <c r="H67" s="1577">
        <f t="shared" si="6"/>
        <v>2009.28</v>
      </c>
      <c r="I67" s="1576">
        <f>$I$13</f>
        <v>41.86</v>
      </c>
      <c r="K67" s="1577">
        <f>ROUND(I67*$B67,0)</f>
        <v>2009</v>
      </c>
      <c r="M67" s="1570"/>
      <c r="N67" s="1570"/>
      <c r="O67" s="1606"/>
      <c r="P67" s="1571"/>
      <c r="Q67" s="1571"/>
      <c r="R67" s="1570"/>
      <c r="S67" s="1570"/>
      <c r="T67" s="1423"/>
      <c r="U67" s="1423"/>
      <c r="V67" s="1423"/>
      <c r="W67" s="1423"/>
      <c r="X67" s="1530"/>
      <c r="Y67" s="1530"/>
      <c r="Z67" s="1606"/>
      <c r="AA67" s="1606"/>
      <c r="AB67" s="1608"/>
      <c r="AC67" s="1606"/>
      <c r="AD67" s="1570"/>
      <c r="AE67" s="1570"/>
      <c r="AF67" s="1570"/>
      <c r="AG67" s="1570"/>
      <c r="AH67" s="1570"/>
      <c r="AJ67" s="1578"/>
    </row>
    <row r="68" spans="1:36" hidden="1">
      <c r="A68" s="1569" t="s">
        <v>360</v>
      </c>
      <c r="B68" s="1575"/>
      <c r="C68" s="1576"/>
      <c r="E68" s="1577"/>
      <c r="F68" s="1576"/>
      <c r="H68" s="1577"/>
      <c r="I68" s="1576"/>
      <c r="K68" s="1577"/>
      <c r="M68" s="1570"/>
      <c r="N68" s="1570"/>
      <c r="O68" s="1606"/>
      <c r="P68" s="1571"/>
      <c r="Q68" s="1571"/>
      <c r="R68" s="1570"/>
      <c r="S68" s="1570"/>
      <c r="T68" s="1423"/>
      <c r="U68" s="1423"/>
      <c r="V68" s="1423"/>
      <c r="W68" s="1423"/>
      <c r="X68" s="1530"/>
      <c r="Y68" s="1530"/>
      <c r="Z68" s="1606"/>
      <c r="AA68" s="1606"/>
      <c r="AB68" s="1608"/>
      <c r="AC68" s="1606"/>
      <c r="AD68" s="1570"/>
      <c r="AE68" s="1570"/>
      <c r="AF68" s="1570"/>
      <c r="AG68" s="1570"/>
      <c r="AH68" s="1570"/>
      <c r="AJ68" s="1578"/>
    </row>
    <row r="69" spans="1:36" hidden="1">
      <c r="A69" s="1569" t="s">
        <v>361</v>
      </c>
      <c r="B69" s="1575">
        <f>12</f>
        <v>12</v>
      </c>
      <c r="C69" s="1576">
        <v>11.51</v>
      </c>
      <c r="E69" s="1577">
        <f>ROUND(C69*$B69,0)</f>
        <v>138</v>
      </c>
      <c r="F69" s="1576">
        <v>12.09</v>
      </c>
      <c r="H69" s="1577">
        <f t="shared" ref="H69:H72" si="7">F69*B69</f>
        <v>145.07999999999998</v>
      </c>
      <c r="I69" s="1576">
        <f>$I$15</f>
        <v>12.09</v>
      </c>
      <c r="K69" s="1577">
        <f>ROUND(I69*$B69,0)</f>
        <v>145</v>
      </c>
      <c r="M69" s="1570"/>
      <c r="N69" s="1570"/>
      <c r="O69" s="1606"/>
      <c r="P69" s="1571"/>
      <c r="Q69" s="1571"/>
      <c r="R69" s="1570"/>
      <c r="S69" s="1570"/>
      <c r="T69" s="1423"/>
      <c r="U69" s="1423"/>
      <c r="V69" s="1423"/>
      <c r="W69" s="1423"/>
      <c r="X69" s="1530"/>
      <c r="Y69" s="1530"/>
      <c r="Z69" s="1606"/>
      <c r="AA69" s="1606"/>
      <c r="AB69" s="1608"/>
      <c r="AC69" s="1606"/>
      <c r="AD69" s="1570"/>
      <c r="AE69" s="1570"/>
      <c r="AF69" s="1570"/>
      <c r="AG69" s="1570"/>
      <c r="AH69" s="1570"/>
      <c r="AJ69" s="1578"/>
    </row>
    <row r="70" spans="1:36" hidden="1">
      <c r="A70" s="1569" t="s">
        <v>362</v>
      </c>
      <c r="B70" s="1575">
        <f>96</f>
        <v>96</v>
      </c>
      <c r="C70" s="1576">
        <v>16.900000000000002</v>
      </c>
      <c r="E70" s="1577">
        <f>ROUND(C70*$B70,0)</f>
        <v>1622</v>
      </c>
      <c r="F70" s="1576">
        <v>17.760000000000002</v>
      </c>
      <c r="H70" s="1577">
        <f t="shared" si="7"/>
        <v>1704.96</v>
      </c>
      <c r="I70" s="1576">
        <f>$I$16</f>
        <v>17.760000000000002</v>
      </c>
      <c r="K70" s="1577">
        <f>ROUND(I70*$B70,0)</f>
        <v>1705</v>
      </c>
      <c r="M70" s="1570"/>
      <c r="N70" s="1570"/>
      <c r="O70" s="1606"/>
      <c r="P70" s="1571"/>
      <c r="Q70" s="1571"/>
      <c r="R70" s="1570"/>
      <c r="S70" s="1570"/>
      <c r="T70" s="1423"/>
      <c r="U70" s="1423"/>
      <c r="V70" s="1423"/>
      <c r="W70" s="1423"/>
      <c r="X70" s="1530"/>
      <c r="Y70" s="1530"/>
      <c r="Z70" s="1606"/>
      <c r="AA70" s="1606"/>
      <c r="AB70" s="1608"/>
      <c r="AC70" s="1606"/>
      <c r="AD70" s="1570"/>
      <c r="AE70" s="1570"/>
      <c r="AF70" s="1570"/>
      <c r="AG70" s="1570"/>
      <c r="AH70" s="1570"/>
      <c r="AJ70" s="1578"/>
    </row>
    <row r="71" spans="1:36" hidden="1">
      <c r="A71" s="1569" t="s">
        <v>363</v>
      </c>
      <c r="B71" s="1575">
        <f>24</f>
        <v>24</v>
      </c>
      <c r="C71" s="1576">
        <v>27.26</v>
      </c>
      <c r="E71" s="1577">
        <f>ROUND(C71*$B71,0)</f>
        <v>654</v>
      </c>
      <c r="F71" s="1576">
        <v>28.64</v>
      </c>
      <c r="H71" s="1577">
        <f t="shared" si="7"/>
        <v>687.36</v>
      </c>
      <c r="I71" s="1576">
        <f>$I$17</f>
        <v>28.64</v>
      </c>
      <c r="K71" s="1577">
        <f>ROUND(I71*$B71,0)</f>
        <v>687</v>
      </c>
      <c r="M71" s="1570"/>
      <c r="N71" s="1570"/>
      <c r="O71" s="1606"/>
      <c r="P71" s="1571"/>
      <c r="Q71" s="1571"/>
      <c r="R71" s="1570"/>
      <c r="S71" s="1570"/>
      <c r="T71" s="1423"/>
      <c r="U71" s="1423"/>
      <c r="V71" s="1423"/>
      <c r="W71" s="1423"/>
      <c r="X71" s="1530"/>
      <c r="Y71" s="1530"/>
      <c r="Z71" s="1606"/>
      <c r="AA71" s="1606"/>
      <c r="AB71" s="1608"/>
      <c r="AC71" s="1606"/>
      <c r="AD71" s="1570"/>
      <c r="AE71" s="1570"/>
      <c r="AF71" s="1570"/>
      <c r="AG71" s="1570"/>
      <c r="AH71" s="1570"/>
      <c r="AJ71" s="1578"/>
    </row>
    <row r="72" spans="1:36" hidden="1">
      <c r="A72" s="1569" t="s">
        <v>364</v>
      </c>
      <c r="B72" s="1575">
        <f>132</f>
        <v>132</v>
      </c>
      <c r="C72" s="1576">
        <v>1</v>
      </c>
      <c r="D72" s="1570"/>
      <c r="E72" s="1588">
        <f>ROUND(C72*$B72,0)</f>
        <v>132</v>
      </c>
      <c r="F72" s="1576">
        <v>1</v>
      </c>
      <c r="G72" s="1570"/>
      <c r="H72" s="1577">
        <f t="shared" si="7"/>
        <v>132</v>
      </c>
      <c r="I72" s="1584">
        <f>$I$18</f>
        <v>1</v>
      </c>
      <c r="J72" s="1570"/>
      <c r="K72" s="1588">
        <f>ROUND(I72*$B72,0)</f>
        <v>132</v>
      </c>
      <c r="M72" s="1530"/>
      <c r="N72" s="1530"/>
      <c r="O72" s="1606"/>
      <c r="P72" s="1571"/>
      <c r="Q72" s="1571"/>
      <c r="R72" s="1570"/>
      <c r="S72" s="1570"/>
      <c r="T72" s="1530"/>
      <c r="U72" s="1530"/>
      <c r="V72" s="1530"/>
      <c r="W72" s="1530"/>
      <c r="X72" s="1530"/>
      <c r="Y72" s="1530"/>
      <c r="Z72" s="1606"/>
      <c r="AA72" s="1606"/>
      <c r="AB72" s="1606"/>
      <c r="AC72" s="1606"/>
      <c r="AD72" s="1570"/>
      <c r="AE72" s="1570"/>
      <c r="AF72" s="1570"/>
      <c r="AG72" s="1570"/>
      <c r="AH72" s="1570"/>
      <c r="AJ72" s="1578"/>
    </row>
    <row r="73" spans="1:36" hidden="1">
      <c r="A73" s="1569" t="s">
        <v>930</v>
      </c>
      <c r="B73" s="1575">
        <f>B75</f>
        <v>150052</v>
      </c>
      <c r="C73" s="1584"/>
      <c r="D73" s="1570"/>
      <c r="E73" s="1577"/>
      <c r="F73" s="1584"/>
      <c r="G73" s="1570"/>
      <c r="H73" s="1577"/>
      <c r="I73" s="1389">
        <f>I19</f>
        <v>0</v>
      </c>
      <c r="J73" s="1585" t="s">
        <v>377</v>
      </c>
      <c r="K73" s="1577">
        <f>I73*B73/100</f>
        <v>0</v>
      </c>
      <c r="M73" s="1578"/>
      <c r="O73" s="1579"/>
      <c r="P73" s="1569"/>
      <c r="Q73" s="1569"/>
      <c r="R73" s="1580"/>
      <c r="S73" s="1580"/>
      <c r="X73" s="1570"/>
      <c r="Y73" s="1570"/>
      <c r="Z73" s="1570"/>
      <c r="AA73" s="1570"/>
      <c r="AB73" s="1570"/>
      <c r="AC73" s="1570"/>
      <c r="AD73" s="1570"/>
      <c r="AE73" s="1570"/>
      <c r="AF73" s="1570"/>
      <c r="AG73" s="1570"/>
      <c r="AH73" s="1570"/>
      <c r="AJ73" s="1578"/>
    </row>
    <row r="74" spans="1:36" hidden="1">
      <c r="A74" s="1569" t="s">
        <v>365</v>
      </c>
      <c r="B74" s="1575">
        <f>505+192</f>
        <v>697</v>
      </c>
      <c r="C74" s="1576"/>
      <c r="E74" s="1577"/>
      <c r="F74" s="1576"/>
      <c r="H74" s="1577"/>
      <c r="I74" s="1576"/>
      <c r="K74" s="1577"/>
      <c r="M74" s="1530"/>
      <c r="N74" s="1530"/>
      <c r="O74" s="1530"/>
      <c r="P74" s="1530"/>
      <c r="Q74" s="1530"/>
      <c r="R74" s="1530"/>
      <c r="S74" s="1530"/>
      <c r="T74" s="1530"/>
      <c r="U74" s="1530"/>
      <c r="V74" s="1530"/>
      <c r="W74" s="1530"/>
      <c r="X74" s="1530"/>
      <c r="Y74" s="1530"/>
      <c r="Z74" s="1531"/>
      <c r="AA74" s="1530"/>
      <c r="AB74" s="1530"/>
      <c r="AC74" s="1530"/>
      <c r="AD74" s="1570"/>
      <c r="AE74" s="1570"/>
      <c r="AF74" s="1570"/>
      <c r="AG74" s="1570"/>
      <c r="AH74" s="1570"/>
      <c r="AJ74" s="1578"/>
    </row>
    <row r="75" spans="1:36" hidden="1">
      <c r="A75" s="1569" t="s">
        <v>35</v>
      </c>
      <c r="B75" s="1575">
        <f>120664+29388</f>
        <v>150052</v>
      </c>
      <c r="C75" s="1584"/>
      <c r="D75" s="1570"/>
      <c r="E75" s="1588">
        <f>SUM(E65:E72)</f>
        <v>18787</v>
      </c>
      <c r="F75" s="1584"/>
      <c r="G75" s="1570"/>
      <c r="H75" s="1588">
        <f>SUM(H65:H72)</f>
        <v>19733.66</v>
      </c>
      <c r="I75" s="1584"/>
      <c r="J75" s="1570"/>
      <c r="K75" s="1588">
        <f>SUM(K65:K73)</f>
        <v>19733</v>
      </c>
      <c r="M75" s="1530"/>
      <c r="N75" s="1530"/>
      <c r="O75" s="1423"/>
      <c r="P75" s="1530"/>
      <c r="Q75" s="1530"/>
      <c r="R75" s="1570"/>
      <c r="S75" s="1570"/>
      <c r="T75" s="1570"/>
      <c r="U75" s="1570"/>
      <c r="V75" s="1570"/>
      <c r="W75" s="1570"/>
      <c r="X75" s="1570"/>
      <c r="Y75" s="1530"/>
      <c r="Z75" s="1530"/>
      <c r="AA75" s="1530"/>
      <c r="AB75" s="1530"/>
      <c r="AC75" s="1530"/>
      <c r="AD75" s="1570"/>
      <c r="AE75" s="1570"/>
      <c r="AF75" s="1570"/>
      <c r="AG75" s="1570"/>
      <c r="AH75" s="1570"/>
      <c r="AJ75" s="1578"/>
    </row>
    <row r="76" spans="1:36" hidden="1">
      <c r="A76" s="1569" t="s">
        <v>366</v>
      </c>
      <c r="B76" s="1575">
        <f ca="1">'Table 2'!H84</f>
        <v>2058.6634390073832</v>
      </c>
      <c r="C76" s="1584"/>
      <c r="D76" s="1570"/>
      <c r="E76" s="1588" t="e">
        <f>#REF!</f>
        <v>#REF!</v>
      </c>
      <c r="F76" s="1584"/>
      <c r="G76" s="1570"/>
      <c r="H76" s="1588">
        <f ca="1">'Table 3'!E84</f>
        <v>323.44323111926008</v>
      </c>
      <c r="I76" s="1584"/>
      <c r="J76" s="1570"/>
      <c r="K76" s="1588">
        <f ca="1">H76</f>
        <v>323.44323111926008</v>
      </c>
      <c r="M76" s="1422"/>
      <c r="N76" s="1422"/>
      <c r="O76" s="1423"/>
      <c r="P76" s="1530"/>
      <c r="Q76" s="1530"/>
      <c r="R76" s="1530"/>
      <c r="S76" s="1530"/>
      <c r="T76" s="1538"/>
      <c r="U76" s="1538"/>
      <c r="V76" s="1538"/>
      <c r="W76" s="1538"/>
      <c r="X76" s="1606"/>
      <c r="Y76" s="1530"/>
      <c r="Z76" s="1530"/>
      <c r="AA76" s="1530"/>
      <c r="AB76" s="1530"/>
      <c r="AC76" s="1530"/>
      <c r="AD76" s="1570"/>
      <c r="AE76" s="1570"/>
      <c r="AF76" s="1570"/>
      <c r="AG76" s="1570"/>
      <c r="AH76" s="1570"/>
      <c r="AJ76" s="1578"/>
    </row>
    <row r="77" spans="1:36" ht="15.75" hidden="1" thickBot="1">
      <c r="A77" s="1569" t="s">
        <v>9</v>
      </c>
      <c r="B77" s="1591">
        <f ca="1">B75+B76</f>
        <v>152110.66343900739</v>
      </c>
      <c r="C77" s="1592"/>
      <c r="D77" s="1592"/>
      <c r="E77" s="1592" t="e">
        <f>E75+E76</f>
        <v>#REF!</v>
      </c>
      <c r="F77" s="1593"/>
      <c r="G77" s="1592"/>
      <c r="H77" s="1592">
        <f ca="1">H75+H76</f>
        <v>20057.103231119261</v>
      </c>
      <c r="I77" s="1593"/>
      <c r="J77" s="1592"/>
      <c r="K77" s="1592">
        <f ca="1">K75+K76</f>
        <v>20056.443231119261</v>
      </c>
      <c r="M77" s="1424"/>
      <c r="N77" s="1424"/>
      <c r="O77" s="1597"/>
      <c r="P77" s="1530"/>
      <c r="Q77" s="1530"/>
      <c r="R77" s="1530"/>
      <c r="S77" s="1530"/>
      <c r="T77" s="1530"/>
      <c r="U77" s="1530"/>
      <c r="V77" s="1530"/>
      <c r="W77" s="1530"/>
      <c r="X77" s="1530"/>
      <c r="Y77" s="1530"/>
      <c r="Z77" s="1530"/>
      <c r="AA77" s="1530"/>
      <c r="AB77" s="1530"/>
      <c r="AC77" s="1530"/>
      <c r="AD77" s="1570"/>
      <c r="AE77" s="1570"/>
      <c r="AF77" s="1570"/>
      <c r="AG77" s="1570"/>
      <c r="AH77" s="1570"/>
      <c r="AJ77" s="1578"/>
    </row>
    <row r="78" spans="1:36" ht="15.75" hidden="1" thickTop="1">
      <c r="B78" s="1599"/>
      <c r="C78" s="1599"/>
      <c r="D78" s="1599"/>
      <c r="E78" s="1574"/>
      <c r="F78" s="1600" t="s">
        <v>31</v>
      </c>
      <c r="G78" s="1599"/>
      <c r="H78" s="1574"/>
      <c r="I78" s="1585" t="s">
        <v>31</v>
      </c>
      <c r="J78" s="1599"/>
      <c r="K78" s="1577" t="s">
        <v>31</v>
      </c>
      <c r="M78" s="1570"/>
      <c r="N78" s="1570"/>
      <c r="O78" s="1571"/>
      <c r="P78" s="1571"/>
      <c r="Q78" s="1571"/>
      <c r="R78" s="1570"/>
      <c r="S78" s="1570"/>
      <c r="T78" s="1570"/>
      <c r="U78" s="1570"/>
      <c r="V78" s="1570"/>
      <c r="W78" s="1570"/>
      <c r="X78" s="1570"/>
      <c r="Y78" s="1570"/>
      <c r="Z78" s="1570"/>
      <c r="AA78" s="1570"/>
      <c r="AB78" s="1570"/>
      <c r="AC78" s="1570"/>
      <c r="AD78" s="1570"/>
      <c r="AE78" s="1570"/>
      <c r="AF78" s="1570"/>
      <c r="AG78" s="1570"/>
      <c r="AH78" s="1570"/>
      <c r="AJ78" s="1578"/>
    </row>
    <row r="79" spans="1:36" hidden="1">
      <c r="A79" s="1609" t="s">
        <v>371</v>
      </c>
      <c r="B79" s="1585"/>
      <c r="C79" s="1610"/>
      <c r="D79" s="1610"/>
      <c r="E79" s="1585"/>
      <c r="F79" s="1610"/>
      <c r="G79" s="1585"/>
      <c r="H79" s="1585"/>
      <c r="I79" s="1610"/>
      <c r="J79" s="1585"/>
      <c r="K79" s="1585"/>
      <c r="M79" s="1570"/>
      <c r="N79" s="1570"/>
      <c r="O79" s="1571"/>
      <c r="P79" s="1571"/>
      <c r="Q79" s="1571"/>
      <c r="R79" s="1570"/>
      <c r="S79" s="1570"/>
      <c r="T79" s="1570"/>
      <c r="U79" s="1570"/>
      <c r="V79" s="1570"/>
      <c r="W79" s="1570"/>
      <c r="X79" s="1570"/>
      <c r="Y79" s="1570"/>
      <c r="Z79" s="1570"/>
      <c r="AA79" s="1570"/>
      <c r="AB79" s="1570"/>
      <c r="AC79" s="1570"/>
      <c r="AD79" s="1570"/>
      <c r="AE79" s="1570"/>
      <c r="AF79" s="1570"/>
      <c r="AG79" s="1570"/>
      <c r="AH79" s="1570"/>
      <c r="AJ79" s="1578"/>
    </row>
    <row r="80" spans="1:36" hidden="1">
      <c r="A80" s="1585" t="s">
        <v>372</v>
      </c>
      <c r="B80" s="1585"/>
      <c r="C80" s="1610"/>
      <c r="D80" s="1610"/>
      <c r="E80" s="1585"/>
      <c r="F80" s="1610"/>
      <c r="G80" s="1585"/>
      <c r="H80" s="1585"/>
      <c r="I80" s="1610"/>
      <c r="J80" s="1585"/>
      <c r="K80" s="1585"/>
      <c r="M80" s="1611"/>
      <c r="N80" s="1611"/>
      <c r="O80" s="1571"/>
      <c r="P80" s="1571"/>
      <c r="Q80" s="1571"/>
      <c r="R80" s="1570"/>
      <c r="S80" s="1570"/>
      <c r="T80" s="1570"/>
      <c r="U80" s="1570"/>
      <c r="V80" s="1570"/>
      <c r="W80" s="1570"/>
      <c r="X80" s="1570"/>
      <c r="Y80" s="1570"/>
      <c r="Z80" s="1570"/>
      <c r="AA80" s="1570"/>
      <c r="AB80" s="1570"/>
      <c r="AC80" s="1570"/>
      <c r="AD80" s="1570"/>
      <c r="AE80" s="1570"/>
      <c r="AF80" s="1570"/>
      <c r="AG80" s="1570"/>
      <c r="AH80" s="1570"/>
      <c r="AJ80" s="1578"/>
    </row>
    <row r="81" spans="1:36" hidden="1">
      <c r="A81" s="1612"/>
      <c r="B81" s="1585"/>
      <c r="C81" s="1610"/>
      <c r="D81" s="1610"/>
      <c r="E81" s="1585"/>
      <c r="F81" s="1610"/>
      <c r="G81" s="1585"/>
      <c r="H81" s="1585"/>
      <c r="I81" s="1610"/>
      <c r="J81" s="1585"/>
      <c r="K81" s="1585"/>
      <c r="M81" s="1570"/>
      <c r="N81" s="1570"/>
      <c r="O81" s="1571"/>
      <c r="P81" s="1613" t="s">
        <v>649</v>
      </c>
      <c r="Q81" s="1613"/>
      <c r="R81" s="1570"/>
      <c r="S81" s="1570"/>
      <c r="T81" s="1570"/>
      <c r="U81" s="1570"/>
      <c r="V81" s="1570"/>
      <c r="W81" s="1570"/>
      <c r="X81" s="1570"/>
      <c r="Y81" s="1570"/>
      <c r="Z81" s="1570"/>
      <c r="AA81" s="1570"/>
      <c r="AB81" s="1570"/>
      <c r="AC81" s="1570"/>
      <c r="AD81" s="1570"/>
      <c r="AE81" s="1570"/>
      <c r="AF81" s="1570"/>
      <c r="AG81" s="1570"/>
      <c r="AH81" s="1570"/>
      <c r="AJ81" s="1578"/>
    </row>
    <row r="82" spans="1:36" hidden="1">
      <c r="A82" s="1585" t="s">
        <v>373</v>
      </c>
      <c r="B82" s="1610">
        <f t="shared" ref="B82:B87" si="8">B99+B114+B129+B144</f>
        <v>1251563.7333333334</v>
      </c>
      <c r="C82" s="1614">
        <v>6</v>
      </c>
      <c r="D82" s="1585"/>
      <c r="E82" s="1577">
        <f t="shared" ref="E82:E87" si="9">E99+E114+E129+E144</f>
        <v>7509382</v>
      </c>
      <c r="F82" s="1614">
        <v>6</v>
      </c>
      <c r="G82" s="1585"/>
      <c r="H82" s="1577">
        <f t="shared" ref="H82:H87" si="10">H99+H114+H129+H144</f>
        <v>7509382</v>
      </c>
      <c r="I82" s="1614">
        <v>10</v>
      </c>
      <c r="J82" s="1585"/>
      <c r="K82" s="1577">
        <f t="shared" ref="K82:K87" si="11">K99+K114+K129+K144</f>
        <v>12515637</v>
      </c>
      <c r="M82" s="1578" t="e">
        <f>I82*#REF!</f>
        <v>#REF!</v>
      </c>
      <c r="P82" s="1598">
        <f t="shared" ref="P82:P87" si="12">(I82-F82)/F82</f>
        <v>0.66666666666666663</v>
      </c>
      <c r="Q82" s="1615"/>
      <c r="R82" s="1616" t="s">
        <v>31</v>
      </c>
      <c r="AC82" s="1570"/>
      <c r="AD82" s="1570"/>
      <c r="AE82" s="1570"/>
      <c r="AF82" s="1570"/>
      <c r="AG82" s="1570"/>
      <c r="AH82" s="1570"/>
      <c r="AJ82" s="1578"/>
    </row>
    <row r="83" spans="1:36" hidden="1">
      <c r="A83" s="1585" t="s">
        <v>376</v>
      </c>
      <c r="B83" s="1610">
        <f t="shared" si="8"/>
        <v>686427244.71970081</v>
      </c>
      <c r="C83" s="1389">
        <v>5.1929999999999996</v>
      </c>
      <c r="D83" s="1585" t="s">
        <v>377</v>
      </c>
      <c r="E83" s="1577">
        <f t="shared" si="9"/>
        <v>35646167</v>
      </c>
      <c r="F83" s="1389">
        <v>5.9489999999999998</v>
      </c>
      <c r="G83" s="1585" t="s">
        <v>377</v>
      </c>
      <c r="H83" s="1577">
        <f t="shared" si="10"/>
        <v>40835558</v>
      </c>
      <c r="I83" s="1389">
        <f>ROUND(F83*(1+$P$95),2)+I88</f>
        <v>4.4109999999999996</v>
      </c>
      <c r="J83" s="1585" t="s">
        <v>377</v>
      </c>
      <c r="K83" s="1577">
        <f t="shared" si="11"/>
        <v>30278306</v>
      </c>
      <c r="M83" s="1578" t="e">
        <f>(I83/100)*#REF!</f>
        <v>#REF!</v>
      </c>
      <c r="O83" s="1589" t="s">
        <v>31</v>
      </c>
      <c r="P83" s="1598">
        <f>(I83+I88-F83)/F83</f>
        <v>-0.19784837787863516</v>
      </c>
      <c r="Q83" s="1615"/>
      <c r="R83" s="1615">
        <f>(F84-F83)/F83</f>
        <v>0.58278702302908059</v>
      </c>
      <c r="T83" s="1615"/>
      <c r="V83" s="1578"/>
      <c r="W83" s="1578"/>
      <c r="X83" s="1615"/>
      <c r="AC83" s="1570"/>
      <c r="AD83" s="1570"/>
      <c r="AE83" s="1570"/>
      <c r="AF83" s="1570"/>
      <c r="AG83" s="1570"/>
      <c r="AH83" s="1570"/>
      <c r="AJ83" s="1578"/>
    </row>
    <row r="84" spans="1:36" hidden="1">
      <c r="A84" s="1585" t="s">
        <v>378</v>
      </c>
      <c r="B84" s="1610">
        <f t="shared" si="8"/>
        <v>915483323.92636359</v>
      </c>
      <c r="C84" s="1389">
        <v>8.1929999999999996</v>
      </c>
      <c r="D84" s="1585" t="s">
        <v>377</v>
      </c>
      <c r="E84" s="1577">
        <f t="shared" si="9"/>
        <v>75005549</v>
      </c>
      <c r="F84" s="1389">
        <v>9.4160000000000004</v>
      </c>
      <c r="G84" s="1585" t="s">
        <v>377</v>
      </c>
      <c r="H84" s="1577">
        <f t="shared" si="10"/>
        <v>86201910</v>
      </c>
      <c r="I84" s="1389">
        <f>ROUND(F84*(1+$P$95),2)+I89</f>
        <v>6.9720000000000004</v>
      </c>
      <c r="J84" s="1585" t="s">
        <v>377</v>
      </c>
      <c r="K84" s="1577">
        <f t="shared" si="11"/>
        <v>63827497</v>
      </c>
      <c r="M84" s="1578" t="e">
        <f>(I84/100)*#REF!</f>
        <v>#REF!</v>
      </c>
      <c r="N84" s="1617"/>
      <c r="P84" s="1598">
        <f>(I84+I89-F84)/F84</f>
        <v>-0.19881053525913336</v>
      </c>
      <c r="Q84" s="1615"/>
      <c r="R84" s="1615">
        <f>(I84-I83)/I83</f>
        <v>0.58059396962140131</v>
      </c>
      <c r="T84" s="1615"/>
      <c r="V84" s="1618"/>
      <c r="W84" s="1618"/>
      <c r="X84" s="1615"/>
      <c r="AC84" s="1570"/>
      <c r="AD84" s="1570"/>
      <c r="AE84" s="1570"/>
      <c r="AF84" s="1570"/>
      <c r="AG84" s="1570"/>
      <c r="AH84" s="1570"/>
      <c r="AJ84" s="1578"/>
    </row>
    <row r="85" spans="1:36" hidden="1">
      <c r="A85" s="1585" t="s">
        <v>380</v>
      </c>
      <c r="B85" s="1610">
        <f t="shared" si="8"/>
        <v>5557</v>
      </c>
      <c r="C85" s="1614">
        <v>1.6</v>
      </c>
      <c r="D85" s="1585"/>
      <c r="E85" s="1577">
        <f t="shared" si="9"/>
        <v>8891</v>
      </c>
      <c r="F85" s="1614">
        <v>1.65</v>
      </c>
      <c r="G85" s="1585"/>
      <c r="H85" s="1577">
        <f t="shared" si="10"/>
        <v>9169</v>
      </c>
      <c r="I85" s="1614">
        <v>1.65</v>
      </c>
      <c r="J85" s="1585"/>
      <c r="K85" s="1577">
        <f t="shared" si="11"/>
        <v>9169</v>
      </c>
      <c r="M85" s="1578" t="e">
        <f>I85*#REF!</f>
        <v>#REF!</v>
      </c>
      <c r="P85" s="1598">
        <f t="shared" si="12"/>
        <v>0</v>
      </c>
      <c r="Q85" s="1615"/>
      <c r="R85" s="1589"/>
      <c r="V85" s="1578"/>
      <c r="W85" s="1578"/>
      <c r="X85" s="1615"/>
      <c r="AC85" s="1570"/>
      <c r="AD85" s="1570"/>
      <c r="AE85" s="1570"/>
      <c r="AF85" s="1570"/>
      <c r="AG85" s="1570"/>
      <c r="AH85" s="1570"/>
      <c r="AJ85" s="1578"/>
    </row>
    <row r="86" spans="1:36" hidden="1">
      <c r="A86" s="1619" t="s">
        <v>382</v>
      </c>
      <c r="B86" s="1610">
        <f t="shared" si="8"/>
        <v>752</v>
      </c>
      <c r="C86" s="1614">
        <v>3.1</v>
      </c>
      <c r="D86" s="1619"/>
      <c r="E86" s="1577">
        <f t="shared" si="9"/>
        <v>2331</v>
      </c>
      <c r="F86" s="1614">
        <v>3.2</v>
      </c>
      <c r="G86" s="1619"/>
      <c r="H86" s="1577">
        <f t="shared" si="10"/>
        <v>2407</v>
      </c>
      <c r="I86" s="1614">
        <f>ROUND(I85/F85*F86,2)</f>
        <v>3.2</v>
      </c>
      <c r="J86" s="1619"/>
      <c r="K86" s="1577">
        <f t="shared" si="11"/>
        <v>2407</v>
      </c>
      <c r="M86" s="1578" t="e">
        <f>I86*#REF!</f>
        <v>#REF!</v>
      </c>
      <c r="P86" s="1598">
        <f t="shared" si="12"/>
        <v>0</v>
      </c>
      <c r="Q86" s="1615"/>
      <c r="R86" s="1589"/>
      <c r="AC86" s="1570"/>
      <c r="AD86" s="1570"/>
      <c r="AE86" s="1570"/>
      <c r="AF86" s="1570"/>
      <c r="AG86" s="1570"/>
      <c r="AH86" s="1570"/>
      <c r="AJ86" s="1578"/>
    </row>
    <row r="87" spans="1:36" hidden="1">
      <c r="A87" s="1619" t="s">
        <v>383</v>
      </c>
      <c r="B87" s="1610">
        <f t="shared" si="8"/>
        <v>68</v>
      </c>
      <c r="C87" s="1620">
        <v>-1.6</v>
      </c>
      <c r="D87" s="1619"/>
      <c r="E87" s="1577">
        <f t="shared" si="9"/>
        <v>-109</v>
      </c>
      <c r="F87" s="1620">
        <v>-1.65</v>
      </c>
      <c r="G87" s="1619"/>
      <c r="H87" s="1577">
        <f t="shared" si="10"/>
        <v>-112</v>
      </c>
      <c r="I87" s="1620">
        <f>-I85</f>
        <v>-1.65</v>
      </c>
      <c r="J87" s="1619"/>
      <c r="K87" s="1577">
        <f t="shared" si="11"/>
        <v>-112</v>
      </c>
      <c r="M87" s="1578" t="e">
        <f>I87*#REF!</f>
        <v>#REF!</v>
      </c>
      <c r="P87" s="1598">
        <f t="shared" si="12"/>
        <v>0</v>
      </c>
      <c r="Q87" s="1615"/>
      <c r="R87" s="1589"/>
      <c r="AC87" s="1570"/>
      <c r="AD87" s="1570"/>
      <c r="AE87" s="1570"/>
      <c r="AF87" s="1570"/>
      <c r="AG87" s="1570"/>
      <c r="AH87" s="1570"/>
      <c r="AJ87" s="1578"/>
    </row>
    <row r="88" spans="1:36" hidden="1">
      <c r="A88" s="1569" t="s">
        <v>931</v>
      </c>
      <c r="B88" s="1610">
        <f>B83</f>
        <v>686427244.71970081</v>
      </c>
      <c r="C88" s="1584"/>
      <c r="D88" s="1570"/>
      <c r="E88" s="1577"/>
      <c r="F88" s="1584"/>
      <c r="G88" s="1570"/>
      <c r="H88" s="1577"/>
      <c r="I88" s="1389">
        <f>ROUND((H83/(H83+H84)*N88)/B83*100,3)</f>
        <v>0.36099999999999999</v>
      </c>
      <c r="J88" s="1585" t="s">
        <v>377</v>
      </c>
      <c r="K88" s="1577">
        <f t="shared" ref="K88:K89" si="13">K105+K120+K135+K150</f>
        <v>2478002.3534381199</v>
      </c>
      <c r="M88" s="1578"/>
      <c r="N88" s="1578">
        <v>7710935</v>
      </c>
      <c r="O88" s="1579" t="s">
        <v>913</v>
      </c>
      <c r="P88" s="1569"/>
      <c r="Q88" s="1569"/>
      <c r="R88" s="1580"/>
      <c r="S88" s="1580"/>
      <c r="X88" s="1570"/>
      <c r="Y88" s="1570"/>
      <c r="Z88" s="1570"/>
      <c r="AA88" s="1570"/>
      <c r="AB88" s="1570"/>
      <c r="AC88" s="1570"/>
      <c r="AD88" s="1570"/>
      <c r="AE88" s="1570"/>
      <c r="AF88" s="1570"/>
      <c r="AG88" s="1570"/>
      <c r="AH88" s="1570"/>
      <c r="AJ88" s="1578"/>
    </row>
    <row r="89" spans="1:36" hidden="1">
      <c r="A89" s="1569" t="s">
        <v>932</v>
      </c>
      <c r="B89" s="1610">
        <f>B84</f>
        <v>915483323.92636359</v>
      </c>
      <c r="C89" s="1584"/>
      <c r="D89" s="1570"/>
      <c r="E89" s="1577"/>
      <c r="F89" s="1584"/>
      <c r="G89" s="1570"/>
      <c r="H89" s="1577"/>
      <c r="I89" s="1389">
        <f>ROUND((H84/($H$83+$H$84)*$N$88)/B84*100,3)</f>
        <v>0.57199999999999995</v>
      </c>
      <c r="J89" s="1585" t="s">
        <v>377</v>
      </c>
      <c r="K89" s="1577">
        <f t="shared" si="13"/>
        <v>5236564.6128588002</v>
      </c>
      <c r="M89" s="1578"/>
      <c r="N89" s="1578"/>
      <c r="O89" s="1579"/>
      <c r="P89" s="1569"/>
      <c r="Q89" s="1569"/>
      <c r="R89" s="1615">
        <f>(I89-I88)/I88</f>
        <v>0.58448753462603875</v>
      </c>
      <c r="S89" s="1580"/>
      <c r="X89" s="1570"/>
      <c r="Y89" s="1570"/>
      <c r="Z89" s="1570"/>
      <c r="AA89" s="1570"/>
      <c r="AB89" s="1570"/>
      <c r="AC89" s="1570"/>
      <c r="AD89" s="1570"/>
      <c r="AE89" s="1570"/>
      <c r="AF89" s="1570"/>
      <c r="AG89" s="1570"/>
      <c r="AH89" s="1570"/>
      <c r="AJ89" s="1578"/>
    </row>
    <row r="90" spans="1:36" hidden="1">
      <c r="A90" s="1621" t="s">
        <v>915</v>
      </c>
      <c r="B90" s="1622"/>
      <c r="C90" s="1623"/>
      <c r="D90" s="1624"/>
      <c r="E90" s="1625"/>
      <c r="F90" s="1626">
        <f>F83</f>
        <v>5.9489999999999998</v>
      </c>
      <c r="G90" s="1627" t="s">
        <v>377</v>
      </c>
      <c r="H90" s="1625"/>
      <c r="I90" s="1626">
        <f>I83+I88</f>
        <v>4.7719999999999994</v>
      </c>
      <c r="J90" s="1627" t="s">
        <v>377</v>
      </c>
      <c r="K90" s="1625"/>
      <c r="M90" s="1578"/>
      <c r="N90" s="1578">
        <v>6.2779999999999996</v>
      </c>
      <c r="O90" s="1579"/>
      <c r="P90" s="1569"/>
      <c r="Q90" s="1569"/>
      <c r="R90" s="1580"/>
      <c r="S90" s="1580"/>
      <c r="X90" s="1570"/>
      <c r="Y90" s="1570"/>
      <c r="Z90" s="1570"/>
      <c r="AA90" s="1570"/>
      <c r="AB90" s="1570"/>
      <c r="AC90" s="1570"/>
      <c r="AD90" s="1570"/>
      <c r="AE90" s="1570"/>
      <c r="AF90" s="1570"/>
      <c r="AG90" s="1570"/>
      <c r="AH90" s="1570"/>
      <c r="AJ90" s="1578"/>
    </row>
    <row r="91" spans="1:36" hidden="1">
      <c r="A91" s="1621" t="s">
        <v>916</v>
      </c>
      <c r="B91" s="1622"/>
      <c r="C91" s="1623"/>
      <c r="D91" s="1624"/>
      <c r="E91" s="1625"/>
      <c r="F91" s="1626">
        <f>F84</f>
        <v>9.4160000000000004</v>
      </c>
      <c r="G91" s="1627" t="s">
        <v>377</v>
      </c>
      <c r="H91" s="1625"/>
      <c r="I91" s="1626">
        <f>I84+I89</f>
        <v>7.5440000000000005</v>
      </c>
      <c r="J91" s="1627" t="s">
        <v>377</v>
      </c>
      <c r="K91" s="1625"/>
      <c r="M91" s="1578"/>
      <c r="N91" s="1578">
        <v>10.826000000000001</v>
      </c>
      <c r="O91" s="1579"/>
      <c r="P91" s="1569"/>
      <c r="Q91" s="1569"/>
      <c r="R91" s="1615">
        <f>(I91-I90)/I90</f>
        <v>0.58088851634534822</v>
      </c>
      <c r="S91" s="1580"/>
      <c r="X91" s="1570"/>
      <c r="Y91" s="1570"/>
      <c r="Z91" s="1570"/>
      <c r="AA91" s="1570"/>
      <c r="AB91" s="1570"/>
      <c r="AC91" s="1570"/>
      <c r="AD91" s="1570"/>
      <c r="AE91" s="1570"/>
      <c r="AF91" s="1570"/>
      <c r="AG91" s="1570"/>
      <c r="AH91" s="1570"/>
      <c r="AJ91" s="1578"/>
    </row>
    <row r="92" spans="1:36" hidden="1">
      <c r="A92" s="1585" t="s">
        <v>384</v>
      </c>
      <c r="B92" s="1610">
        <f>B107+B122+B137+B152</f>
        <v>1601910568.6460643</v>
      </c>
      <c r="C92" s="1628"/>
      <c r="D92" s="1577"/>
      <c r="E92" s="1577">
        <f>E107+E122+E137+E152</f>
        <v>118172211</v>
      </c>
      <c r="F92" s="1629"/>
      <c r="G92" s="1577"/>
      <c r="H92" s="1577">
        <f>H107+H122+H137+H152</f>
        <v>134558314</v>
      </c>
      <c r="I92" s="1577"/>
      <c r="J92" s="1577"/>
      <c r="K92" s="1577">
        <f t="shared" ref="K92" si="14">K107+K122+K137+K152</f>
        <v>114347470.96629693</v>
      </c>
      <c r="M92" s="1578" t="e">
        <f>SUM(M82:M87)</f>
        <v>#REF!</v>
      </c>
      <c r="O92" s="1598"/>
      <c r="AC92" s="1570"/>
      <c r="AD92" s="1570"/>
      <c r="AE92" s="1570"/>
      <c r="AF92" s="1570"/>
      <c r="AG92" s="1570"/>
      <c r="AH92" s="1570"/>
      <c r="AJ92" s="1578"/>
    </row>
    <row r="93" spans="1:36" hidden="1">
      <c r="A93" s="1585" t="s">
        <v>366</v>
      </c>
      <c r="B93" s="1630">
        <f ca="1">B108+B123+B138+B153</f>
        <v>-102779.74541931186</v>
      </c>
      <c r="C93" s="1600"/>
      <c r="D93" s="1600"/>
      <c r="E93" s="1631" t="e">
        <f>E108+E123+E138+E153</f>
        <v>#REF!</v>
      </c>
      <c r="F93" s="1600"/>
      <c r="G93" s="1600"/>
      <c r="H93" s="1630">
        <f ca="1">H108+H123+H138+H153</f>
        <v>12973.103934514973</v>
      </c>
      <c r="I93" s="1600"/>
      <c r="J93" s="1600"/>
      <c r="K93" s="1631">
        <f ca="1">H93</f>
        <v>12973.103934514973</v>
      </c>
      <c r="AC93" s="1570"/>
      <c r="AD93" s="1570"/>
      <c r="AE93" s="1570"/>
      <c r="AF93" s="1570"/>
      <c r="AG93" s="1570"/>
      <c r="AH93" s="1570"/>
      <c r="AJ93" s="1578"/>
    </row>
    <row r="94" spans="1:36" ht="15.75" hidden="1" thickBot="1">
      <c r="A94" s="1585" t="s">
        <v>385</v>
      </c>
      <c r="B94" s="1632">
        <f ca="1">B92+B93</f>
        <v>1601807788.900645</v>
      </c>
      <c r="C94" s="1593"/>
      <c r="D94" s="1593"/>
      <c r="E94" s="1593" t="e">
        <f>E92+E93</f>
        <v>#REF!</v>
      </c>
      <c r="F94" s="1593"/>
      <c r="G94" s="1593"/>
      <c r="H94" s="1593">
        <f ca="1">H92+H93</f>
        <v>134571287.10393453</v>
      </c>
      <c r="I94" s="1593"/>
      <c r="J94" s="1593"/>
      <c r="K94" s="1593">
        <f ca="1">K92+K93</f>
        <v>114360444.07023144</v>
      </c>
      <c r="N94" s="1594" t="s">
        <v>367</v>
      </c>
      <c r="O94" s="1633">
        <f>'Rate Spread-Staff'!Q16*1000</f>
        <v>142026536.40949252</v>
      </c>
      <c r="P94" s="1596">
        <f>'Rate Spread-Staff'!V16</f>
        <v>5.5400000000000005E-2</v>
      </c>
      <c r="Q94" s="1597"/>
      <c r="R94" s="1569" t="s">
        <v>31</v>
      </c>
      <c r="S94" s="1569" t="s">
        <v>31</v>
      </c>
      <c r="AC94" s="1570"/>
      <c r="AD94" s="1570"/>
      <c r="AE94" s="1570"/>
      <c r="AF94" s="1570"/>
      <c r="AG94" s="1570"/>
      <c r="AH94" s="1570"/>
      <c r="AJ94" s="1578"/>
    </row>
    <row r="95" spans="1:36" ht="15.75" hidden="1" thickTop="1">
      <c r="A95" s="1585"/>
      <c r="B95" s="1610"/>
      <c r="C95" s="1610"/>
      <c r="D95" s="1610"/>
      <c r="F95" s="1585" t="s">
        <v>31</v>
      </c>
      <c r="G95" s="1585"/>
      <c r="I95" s="1585" t="s">
        <v>31</v>
      </c>
      <c r="J95" s="1585"/>
      <c r="K95" s="1577" t="s">
        <v>31</v>
      </c>
      <c r="N95" s="1601" t="s">
        <v>265</v>
      </c>
      <c r="O95" s="1414">
        <f ca="1">O94-K94</f>
        <v>27666092.339261085</v>
      </c>
      <c r="P95" s="1603">
        <v>-0.32</v>
      </c>
      <c r="Q95" s="1634"/>
      <c r="AC95" s="1570"/>
      <c r="AD95" s="1570"/>
      <c r="AE95" s="1570"/>
      <c r="AF95" s="1570"/>
      <c r="AG95" s="1570"/>
      <c r="AH95" s="1570"/>
      <c r="AJ95" s="1578"/>
    </row>
    <row r="96" spans="1:36" hidden="1">
      <c r="A96" s="1609" t="s">
        <v>386</v>
      </c>
      <c r="B96" s="1585" t="s">
        <v>31</v>
      </c>
      <c r="C96" s="1610" t="s">
        <v>31</v>
      </c>
      <c r="D96" s="1610"/>
      <c r="E96" s="1585"/>
      <c r="F96" s="1610"/>
      <c r="G96" s="1585"/>
      <c r="H96" s="1585"/>
      <c r="I96" s="1610"/>
      <c r="J96" s="1585"/>
      <c r="K96" s="1585"/>
      <c r="M96" s="1570"/>
      <c r="N96" s="1570"/>
      <c r="O96" s="1604"/>
      <c r="P96" s="1571"/>
      <c r="Q96" s="1571"/>
      <c r="R96" s="1570"/>
      <c r="S96" s="1570"/>
      <c r="T96" s="1570"/>
      <c r="U96" s="1570"/>
      <c r="V96" s="1570"/>
      <c r="W96" s="1570"/>
      <c r="X96" s="1570"/>
      <c r="Y96" s="1570"/>
      <c r="Z96" s="1570"/>
      <c r="AA96" s="1570"/>
      <c r="AB96" s="1570"/>
      <c r="AC96" s="1570"/>
      <c r="AD96" s="1570"/>
      <c r="AE96" s="1570"/>
      <c r="AF96" s="1570"/>
      <c r="AG96" s="1570"/>
      <c r="AH96" s="1570"/>
      <c r="AJ96" s="1578"/>
    </row>
    <row r="97" spans="1:36" hidden="1">
      <c r="A97" s="1585" t="s">
        <v>333</v>
      </c>
      <c r="B97" s="1585" t="s">
        <v>31</v>
      </c>
      <c r="C97" s="1610"/>
      <c r="D97" s="1610"/>
      <c r="E97" s="1585"/>
      <c r="F97" s="1610"/>
      <c r="G97" s="1585"/>
      <c r="H97" s="1585"/>
      <c r="I97" s="1610"/>
      <c r="J97" s="1585"/>
      <c r="K97" s="1585"/>
      <c r="M97" s="1570"/>
      <c r="N97" s="1570"/>
      <c r="O97" s="1571"/>
      <c r="P97" s="1571"/>
      <c r="Q97" s="1571"/>
      <c r="R97" s="1570"/>
      <c r="S97" s="1570"/>
      <c r="T97" s="1570"/>
      <c r="U97" s="1570"/>
      <c r="V97" s="1570"/>
      <c r="W97" s="1570"/>
      <c r="X97" s="1570"/>
      <c r="Y97" s="1570"/>
      <c r="Z97" s="1570"/>
      <c r="AA97" s="1570"/>
      <c r="AB97" s="1570"/>
      <c r="AC97" s="1570"/>
      <c r="AD97" s="1570"/>
      <c r="AE97" s="1570"/>
      <c r="AF97" s="1570"/>
      <c r="AG97" s="1570"/>
      <c r="AH97" s="1570"/>
      <c r="AJ97" s="1578"/>
    </row>
    <row r="98" spans="1:36" hidden="1">
      <c r="A98" s="1635" t="s">
        <v>701</v>
      </c>
      <c r="B98" s="1585"/>
      <c r="C98" s="1610"/>
      <c r="D98" s="1610"/>
      <c r="E98" s="1585"/>
      <c r="F98" s="1610"/>
      <c r="G98" s="1585"/>
      <c r="H98" s="1585"/>
      <c r="I98" s="1610"/>
      <c r="J98" s="1585"/>
      <c r="K98" s="1585"/>
      <c r="M98" s="1570"/>
      <c r="N98" s="1570"/>
      <c r="O98" s="1571"/>
      <c r="P98" s="1571"/>
      <c r="Q98" s="1571"/>
      <c r="R98" s="1570" t="s">
        <v>31</v>
      </c>
      <c r="S98" s="1570"/>
      <c r="T98" s="1570"/>
      <c r="U98" s="1570"/>
      <c r="V98" s="1570"/>
      <c r="W98" s="1570"/>
      <c r="X98" s="1570"/>
      <c r="Y98" s="1570"/>
      <c r="Z98" s="1570"/>
      <c r="AA98" s="1570"/>
      <c r="AB98" s="1570"/>
      <c r="AC98" s="1570"/>
      <c r="AD98" s="1570"/>
      <c r="AE98" s="1570"/>
      <c r="AF98" s="1570"/>
      <c r="AG98" s="1570"/>
      <c r="AH98" s="1570"/>
      <c r="AJ98" s="1578"/>
    </row>
    <row r="99" spans="1:36" hidden="1">
      <c r="A99" s="1585" t="s">
        <v>373</v>
      </c>
      <c r="B99" s="1610">
        <f>1200879+2+446</f>
        <v>1201327</v>
      </c>
      <c r="C99" s="1614">
        <v>6</v>
      </c>
      <c r="D99" s="1585"/>
      <c r="E99" s="1577">
        <f>ROUND(C99*$B99,0)</f>
        <v>7207962</v>
      </c>
      <c r="F99" s="1614">
        <v>6</v>
      </c>
      <c r="G99" s="1585"/>
      <c r="H99" s="1577">
        <f>ROUND(F99*B99,0)</f>
        <v>7207962</v>
      </c>
      <c r="I99" s="1614">
        <f>$I$82</f>
        <v>10</v>
      </c>
      <c r="J99" s="1585"/>
      <c r="K99" s="1577">
        <f>ROUND(I99*$B99,0)</f>
        <v>12013270</v>
      </c>
      <c r="M99" s="1570"/>
      <c r="N99" s="1570"/>
      <c r="O99" s="1571"/>
      <c r="P99" s="1571"/>
      <c r="Q99" s="1571"/>
      <c r="R99" s="1570"/>
      <c r="S99" s="1570"/>
      <c r="T99" s="1570"/>
      <c r="U99" s="1570"/>
      <c r="V99" s="1570"/>
      <c r="W99" s="1570"/>
      <c r="X99" s="1570"/>
      <c r="Y99" s="1570"/>
      <c r="Z99" s="1570"/>
      <c r="AA99" s="1570"/>
      <c r="AB99" s="1570"/>
      <c r="AC99" s="1570"/>
      <c r="AD99" s="1570"/>
      <c r="AE99" s="1570"/>
      <c r="AF99" s="1570"/>
      <c r="AG99" s="1570"/>
      <c r="AH99" s="1570"/>
      <c r="AJ99" s="1578"/>
    </row>
    <row r="100" spans="1:36" hidden="1">
      <c r="A100" s="1585" t="s">
        <v>376</v>
      </c>
      <c r="B100" s="1610">
        <f>658941587+302+170643+Temperature!C22*1000</f>
        <v>657951885.40579605</v>
      </c>
      <c r="C100" s="1389">
        <v>5.1929999999999996</v>
      </c>
      <c r="D100" s="1585" t="s">
        <v>377</v>
      </c>
      <c r="E100" s="1577">
        <f>ROUND(C100*$B100/100,0)</f>
        <v>34167441</v>
      </c>
      <c r="F100" s="1389">
        <v>5.9489999999999998</v>
      </c>
      <c r="G100" s="1585" t="s">
        <v>377</v>
      </c>
      <c r="H100" s="1577">
        <f>ROUND(B100*F100/100,0)</f>
        <v>39141558</v>
      </c>
      <c r="I100" s="1389">
        <f>$I$83</f>
        <v>4.4109999999999996</v>
      </c>
      <c r="J100" s="1585" t="s">
        <v>377</v>
      </c>
      <c r="K100" s="1577">
        <f>ROUND(I100*$B100/100,0)</f>
        <v>29022258</v>
      </c>
      <c r="M100" s="1570"/>
      <c r="N100" s="1570"/>
      <c r="O100" s="1571"/>
      <c r="P100" s="1571"/>
      <c r="Q100" s="1571"/>
      <c r="R100" s="1570"/>
      <c r="S100" s="1570"/>
      <c r="T100" s="1570"/>
      <c r="U100" s="1570"/>
      <c r="V100" s="1570"/>
      <c r="W100" s="1570"/>
      <c r="X100" s="1570"/>
      <c r="Y100" s="1570"/>
      <c r="Z100" s="1570"/>
      <c r="AA100" s="1570"/>
      <c r="AB100" s="1570"/>
      <c r="AC100" s="1570"/>
      <c r="AD100" s="1570"/>
      <c r="AE100" s="1570"/>
      <c r="AF100" s="1570"/>
      <c r="AG100" s="1570"/>
      <c r="AH100" s="1570"/>
      <c r="AJ100" s="1578"/>
    </row>
    <row r="101" spans="1:36" hidden="1">
      <c r="A101" s="1585" t="s">
        <v>378</v>
      </c>
      <c r="B101" s="1610">
        <f>1538177431+302+633914-B100+Temperature!B22*1000</f>
        <v>878150032.35905731</v>
      </c>
      <c r="C101" s="1389">
        <v>8.1929999999999996</v>
      </c>
      <c r="D101" s="1585" t="s">
        <v>377</v>
      </c>
      <c r="E101" s="1577">
        <f>ROUND(C101*$B101/100,0)</f>
        <v>71946832</v>
      </c>
      <c r="F101" s="1389">
        <v>9.4159999999999986</v>
      </c>
      <c r="G101" s="1585" t="s">
        <v>377</v>
      </c>
      <c r="H101" s="1577">
        <f>ROUND(B101*F101/100,0)</f>
        <v>82686607</v>
      </c>
      <c r="I101" s="1389">
        <f>$I$84</f>
        <v>6.9720000000000004</v>
      </c>
      <c r="J101" s="1585" t="s">
        <v>377</v>
      </c>
      <c r="K101" s="1577">
        <f>ROUND(I101*$B101/100,0)</f>
        <v>61224620</v>
      </c>
      <c r="M101" s="1570"/>
      <c r="N101" s="1570"/>
      <c r="O101" s="1571"/>
      <c r="P101" s="1571"/>
      <c r="Q101" s="1571"/>
      <c r="R101" s="1570"/>
      <c r="S101" s="1570"/>
      <c r="T101" s="1570"/>
      <c r="U101" s="1570"/>
      <c r="V101" s="1570"/>
      <c r="W101" s="1570"/>
      <c r="X101" s="1570"/>
      <c r="Y101" s="1570"/>
      <c r="Z101" s="1570"/>
      <c r="AA101" s="1570"/>
      <c r="AB101" s="1570"/>
      <c r="AC101" s="1570"/>
      <c r="AD101" s="1570"/>
      <c r="AE101" s="1570"/>
      <c r="AF101" s="1570"/>
      <c r="AG101" s="1570"/>
      <c r="AH101" s="1570"/>
      <c r="AJ101" s="1578"/>
    </row>
    <row r="102" spans="1:36" hidden="1">
      <c r="A102" s="1585" t="s">
        <v>380</v>
      </c>
      <c r="B102" s="1610">
        <v>0</v>
      </c>
      <c r="C102" s="1614">
        <v>1.6</v>
      </c>
      <c r="D102" s="1585"/>
      <c r="E102" s="1577">
        <f>ROUND(C102*$B102,0)</f>
        <v>0</v>
      </c>
      <c r="F102" s="1614">
        <v>1.65</v>
      </c>
      <c r="G102" s="1585"/>
      <c r="H102" s="1577">
        <v>0</v>
      </c>
      <c r="I102" s="1614">
        <f>$I$85</f>
        <v>1.65</v>
      </c>
      <c r="J102" s="1585"/>
      <c r="K102" s="1577">
        <f>ROUND(I102*$B102,0)</f>
        <v>0</v>
      </c>
      <c r="M102" s="1570"/>
      <c r="N102" s="1570"/>
      <c r="O102" s="1571"/>
      <c r="P102" s="1571"/>
      <c r="Q102" s="1571"/>
      <c r="R102" s="1570"/>
      <c r="S102" s="1570"/>
      <c r="T102" s="1570"/>
      <c r="U102" s="1570"/>
      <c r="V102" s="1570"/>
      <c r="W102" s="1570"/>
      <c r="X102" s="1570"/>
      <c r="Y102" s="1570"/>
      <c r="Z102" s="1570"/>
      <c r="AA102" s="1570"/>
      <c r="AB102" s="1570"/>
      <c r="AC102" s="1570"/>
      <c r="AD102" s="1570"/>
      <c r="AE102" s="1570"/>
      <c r="AF102" s="1570"/>
      <c r="AG102" s="1570"/>
      <c r="AH102" s="1570"/>
      <c r="AJ102" s="1578"/>
    </row>
    <row r="103" spans="1:36" hidden="1">
      <c r="A103" s="1619" t="s">
        <v>382</v>
      </c>
      <c r="B103" s="1610">
        <v>0</v>
      </c>
      <c r="C103" s="1614">
        <v>3.1</v>
      </c>
      <c r="D103" s="1619"/>
      <c r="E103" s="1577">
        <f>ROUND(C103*$B103,0)</f>
        <v>0</v>
      </c>
      <c r="F103" s="1614">
        <v>3.2</v>
      </c>
      <c r="G103" s="1619"/>
      <c r="H103" s="1577">
        <v>0</v>
      </c>
      <c r="I103" s="1614">
        <f>$I$86</f>
        <v>3.2</v>
      </c>
      <c r="J103" s="1619"/>
      <c r="K103" s="1577">
        <f>ROUND(I103*$B103,0)</f>
        <v>0</v>
      </c>
      <c r="M103" s="1570"/>
      <c r="N103" s="1570"/>
      <c r="O103" s="1571"/>
      <c r="P103" s="1571"/>
      <c r="Q103" s="1571"/>
      <c r="R103" s="1570"/>
      <c r="S103" s="1570"/>
      <c r="T103" s="1570"/>
      <c r="U103" s="1570"/>
      <c r="V103" s="1570"/>
      <c r="W103" s="1570"/>
      <c r="X103" s="1570"/>
      <c r="Y103" s="1570"/>
      <c r="Z103" s="1570"/>
      <c r="AA103" s="1570"/>
      <c r="AB103" s="1570"/>
      <c r="AC103" s="1570"/>
      <c r="AD103" s="1570"/>
      <c r="AE103" s="1570"/>
      <c r="AF103" s="1570"/>
      <c r="AG103" s="1570"/>
      <c r="AH103" s="1570"/>
      <c r="AJ103" s="1578"/>
    </row>
    <row r="104" spans="1:36" hidden="1">
      <c r="A104" s="1619" t="s">
        <v>383</v>
      </c>
      <c r="B104" s="1610">
        <v>0</v>
      </c>
      <c r="C104" s="1620">
        <v>-1.6</v>
      </c>
      <c r="D104" s="1619"/>
      <c r="E104" s="1577">
        <f>ROUND(C104*$B104,0)</f>
        <v>0</v>
      </c>
      <c r="F104" s="1620">
        <v>-1.65</v>
      </c>
      <c r="G104" s="1619"/>
      <c r="H104" s="1577">
        <v>0</v>
      </c>
      <c r="I104" s="1620">
        <f>-I102</f>
        <v>-1.65</v>
      </c>
      <c r="J104" s="1619"/>
      <c r="K104" s="1577">
        <f>ROUND(I104*$B104,0)</f>
        <v>0</v>
      </c>
      <c r="M104" s="1570"/>
      <c r="N104" s="1570"/>
      <c r="O104" s="1571"/>
      <c r="P104" s="1571"/>
      <c r="Q104" s="1571"/>
      <c r="R104" s="1570"/>
      <c r="S104" s="1570"/>
      <c r="T104" s="1570"/>
      <c r="U104" s="1570"/>
      <c r="V104" s="1570"/>
      <c r="W104" s="1570"/>
      <c r="X104" s="1570"/>
      <c r="Y104" s="1570"/>
      <c r="Z104" s="1570"/>
      <c r="AA104" s="1570"/>
      <c r="AB104" s="1570"/>
      <c r="AC104" s="1570"/>
      <c r="AD104" s="1570"/>
      <c r="AE104" s="1570"/>
      <c r="AF104" s="1570"/>
      <c r="AG104" s="1570"/>
      <c r="AH104" s="1570"/>
      <c r="AJ104" s="1578"/>
    </row>
    <row r="105" spans="1:36" hidden="1">
      <c r="A105" s="1569" t="s">
        <v>931</v>
      </c>
      <c r="B105" s="1575">
        <f>B100</f>
        <v>657951885.40579605</v>
      </c>
      <c r="C105" s="1584"/>
      <c r="D105" s="1570"/>
      <c r="E105" s="1577"/>
      <c r="F105" s="1584"/>
      <c r="G105" s="1570"/>
      <c r="H105" s="1577"/>
      <c r="I105" s="1389">
        <f>I88</f>
        <v>0.36099999999999999</v>
      </c>
      <c r="J105" s="1585" t="s">
        <v>377</v>
      </c>
      <c r="K105" s="1577">
        <f t="shared" ref="K105:K106" si="15">I105*B105/100</f>
        <v>2375206.3063149238</v>
      </c>
      <c r="M105" s="1578"/>
      <c r="O105" s="1579"/>
      <c r="P105" s="1569"/>
      <c r="Q105" s="1569"/>
      <c r="R105" s="1580"/>
      <c r="S105" s="1580"/>
      <c r="X105" s="1570"/>
      <c r="Y105" s="1570"/>
      <c r="Z105" s="1570"/>
      <c r="AA105" s="1570"/>
      <c r="AB105" s="1570"/>
      <c r="AC105" s="1570"/>
      <c r="AD105" s="1570"/>
      <c r="AE105" s="1570"/>
      <c r="AF105" s="1570"/>
      <c r="AG105" s="1570"/>
      <c r="AH105" s="1570"/>
      <c r="AJ105" s="1578"/>
    </row>
    <row r="106" spans="1:36" hidden="1">
      <c r="A106" s="1569" t="s">
        <v>932</v>
      </c>
      <c r="B106" s="1575">
        <f>B101</f>
        <v>878150032.35905731</v>
      </c>
      <c r="C106" s="1584"/>
      <c r="D106" s="1570"/>
      <c r="E106" s="1577"/>
      <c r="F106" s="1584"/>
      <c r="G106" s="1570"/>
      <c r="H106" s="1577"/>
      <c r="I106" s="1389">
        <f>I89</f>
        <v>0.57199999999999995</v>
      </c>
      <c r="J106" s="1585" t="s">
        <v>377</v>
      </c>
      <c r="K106" s="1577">
        <f t="shared" si="15"/>
        <v>5023018.185093808</v>
      </c>
      <c r="M106" s="1578"/>
      <c r="O106" s="1579"/>
      <c r="P106" s="1569"/>
      <c r="Q106" s="1569"/>
      <c r="R106" s="1580"/>
      <c r="S106" s="1580"/>
      <c r="X106" s="1570"/>
      <c r="Y106" s="1570"/>
      <c r="Z106" s="1570"/>
      <c r="AA106" s="1570"/>
      <c r="AB106" s="1570"/>
      <c r="AC106" s="1570"/>
      <c r="AD106" s="1570"/>
      <c r="AE106" s="1570"/>
      <c r="AF106" s="1570"/>
      <c r="AG106" s="1570"/>
      <c r="AH106" s="1570"/>
      <c r="AJ106" s="1578"/>
    </row>
    <row r="107" spans="1:36" hidden="1">
      <c r="A107" s="1585" t="s">
        <v>384</v>
      </c>
      <c r="B107" s="1610">
        <f>SUM(B100:B101)</f>
        <v>1536101917.7648535</v>
      </c>
      <c r="C107" s="1628"/>
      <c r="D107" s="1577"/>
      <c r="E107" s="1577">
        <f>SUM(E99:E104)</f>
        <v>113322235</v>
      </c>
      <c r="F107" s="1629"/>
      <c r="G107" s="1577"/>
      <c r="H107" s="1577">
        <f>SUM(H99:H104)</f>
        <v>129036127</v>
      </c>
      <c r="I107" s="1577"/>
      <c r="J107" s="1577"/>
      <c r="K107" s="1577">
        <f>SUM(K99:K106)</f>
        <v>109658372.49140874</v>
      </c>
      <c r="M107" s="1570"/>
      <c r="N107" s="1570"/>
      <c r="O107" s="1636"/>
      <c r="P107" s="1571"/>
      <c r="Q107" s="1571"/>
      <c r="R107" s="1570"/>
      <c r="S107" s="1570"/>
      <c r="T107" s="1570"/>
      <c r="U107" s="1570"/>
      <c r="V107" s="1570"/>
      <c r="W107" s="1570"/>
      <c r="X107" s="1570"/>
      <c r="Y107" s="1570"/>
      <c r="Z107" s="1570"/>
      <c r="AA107" s="1570"/>
      <c r="AB107" s="1570"/>
      <c r="AC107" s="1570"/>
      <c r="AD107" s="1570"/>
      <c r="AE107" s="1570"/>
      <c r="AF107" s="1570"/>
      <c r="AG107" s="1570"/>
      <c r="AH107" s="1570"/>
      <c r="AJ107" s="1578"/>
    </row>
    <row r="108" spans="1:36" hidden="1">
      <c r="A108" s="1585" t="s">
        <v>366</v>
      </c>
      <c r="B108" s="1637">
        <f ca="1">'Table 2'!H13+'Table 2'!H17</f>
        <v>-98559.970767906168</v>
      </c>
      <c r="C108" s="1600"/>
      <c r="D108" s="1600"/>
      <c r="E108" s="1631" t="e">
        <f>#REF!</f>
        <v>#REF!</v>
      </c>
      <c r="F108" s="1600"/>
      <c r="G108" s="1600"/>
      <c r="H108" s="1630">
        <f ca="1">'Table 3'!E13+'Table 3'!E17</f>
        <v>12440.360107517636</v>
      </c>
      <c r="I108" s="1600"/>
      <c r="J108" s="1600"/>
      <c r="K108" s="1631">
        <f ca="1">H108</f>
        <v>12440.360107517636</v>
      </c>
      <c r="M108" s="1422"/>
      <c r="N108" s="1422"/>
      <c r="O108" s="1423"/>
      <c r="P108" s="1571"/>
      <c r="Q108" s="1571"/>
      <c r="R108" s="1570"/>
      <c r="S108" s="1570"/>
      <c r="T108" s="1570"/>
      <c r="U108" s="1570"/>
      <c r="V108" s="1570"/>
      <c r="W108" s="1570"/>
      <c r="X108" s="1570"/>
      <c r="Y108" s="1570"/>
      <c r="Z108" s="1570"/>
      <c r="AA108" s="1570"/>
      <c r="AB108" s="1570"/>
      <c r="AC108" s="1570"/>
      <c r="AD108" s="1570"/>
      <c r="AE108" s="1570"/>
      <c r="AF108" s="1570"/>
      <c r="AG108" s="1570"/>
      <c r="AH108" s="1570"/>
      <c r="AJ108" s="1578"/>
    </row>
    <row r="109" spans="1:36" ht="15.75" hidden="1" thickBot="1">
      <c r="A109" s="1585" t="s">
        <v>385</v>
      </c>
      <c r="B109" s="1632">
        <f ca="1">B107+B108</f>
        <v>1536003357.7940855</v>
      </c>
      <c r="C109" s="1593"/>
      <c r="D109" s="1593"/>
      <c r="E109" s="1593" t="e">
        <f>E107+E108</f>
        <v>#REF!</v>
      </c>
      <c r="F109" s="1593"/>
      <c r="G109" s="1593"/>
      <c r="H109" s="1593">
        <f ca="1">SUM(H107:H108)</f>
        <v>129048567.36010751</v>
      </c>
      <c r="I109" s="1593"/>
      <c r="J109" s="1593"/>
      <c r="K109" s="1593">
        <f ca="1">K107+K108</f>
        <v>109670812.85151625</v>
      </c>
      <c r="M109" s="1424"/>
      <c r="N109" s="1424"/>
      <c r="O109" s="1597"/>
      <c r="P109" s="1571"/>
      <c r="Q109" s="1571"/>
      <c r="R109" s="1570"/>
      <c r="S109" s="1570"/>
      <c r="T109" s="1570"/>
      <c r="U109" s="1570"/>
      <c r="V109" s="1570"/>
      <c r="W109" s="1570"/>
      <c r="X109" s="1570"/>
      <c r="Y109" s="1570"/>
      <c r="Z109" s="1570"/>
      <c r="AA109" s="1570"/>
      <c r="AB109" s="1570"/>
      <c r="AC109" s="1570"/>
      <c r="AD109" s="1570"/>
      <c r="AE109" s="1570"/>
      <c r="AF109" s="1570"/>
      <c r="AG109" s="1570"/>
      <c r="AH109" s="1570"/>
      <c r="AJ109" s="1578"/>
    </row>
    <row r="110" spans="1:36" ht="15.75" hidden="1" thickTop="1">
      <c r="A110" s="1585"/>
      <c r="B110" s="1610"/>
      <c r="C110" s="1610"/>
      <c r="D110" s="1610"/>
      <c r="F110" s="1585" t="s">
        <v>31</v>
      </c>
      <c r="G110" s="1585"/>
      <c r="H110" s="1578" t="s">
        <v>31</v>
      </c>
      <c r="I110" s="1585" t="s">
        <v>31</v>
      </c>
      <c r="J110" s="1585"/>
      <c r="K110" s="1577" t="s">
        <v>31</v>
      </c>
      <c r="M110" s="1570"/>
      <c r="N110" s="1570"/>
      <c r="O110" s="1571"/>
      <c r="P110" s="1571"/>
      <c r="Q110" s="1571"/>
      <c r="R110" s="1570"/>
      <c r="S110" s="1570"/>
      <c r="T110" s="1570"/>
      <c r="U110" s="1570"/>
      <c r="V110" s="1570"/>
      <c r="W110" s="1570"/>
      <c r="X110" s="1570"/>
      <c r="Y110" s="1570"/>
      <c r="Z110" s="1570"/>
      <c r="AA110" s="1570"/>
      <c r="AB110" s="1570"/>
      <c r="AC110" s="1570"/>
      <c r="AD110" s="1570"/>
      <c r="AE110" s="1570"/>
      <c r="AF110" s="1570"/>
      <c r="AG110" s="1570"/>
      <c r="AH110" s="1570"/>
      <c r="AJ110" s="1578"/>
    </row>
    <row r="111" spans="1:36" hidden="1">
      <c r="A111" s="1609" t="s">
        <v>387</v>
      </c>
      <c r="B111" s="1585" t="s">
        <v>31</v>
      </c>
      <c r="C111" s="1610"/>
      <c r="D111" s="1610"/>
      <c r="E111" s="1585"/>
      <c r="F111" s="1610"/>
      <c r="G111" s="1585"/>
      <c r="H111" s="1585"/>
      <c r="I111" s="1610"/>
      <c r="J111" s="1585"/>
      <c r="K111" s="1585"/>
      <c r="M111" s="1570"/>
      <c r="N111" s="1570"/>
      <c r="O111" s="1571"/>
      <c r="P111" s="1571"/>
      <c r="Q111" s="1571"/>
      <c r="R111" s="1570"/>
      <c r="S111" s="1570"/>
      <c r="T111" s="1570"/>
      <c r="U111" s="1570"/>
      <c r="V111" s="1570"/>
      <c r="W111" s="1570"/>
      <c r="X111" s="1570"/>
      <c r="Y111" s="1570"/>
      <c r="Z111" s="1570"/>
      <c r="AA111" s="1570"/>
      <c r="AB111" s="1570"/>
      <c r="AC111" s="1570"/>
      <c r="AD111" s="1570"/>
      <c r="AE111" s="1570"/>
      <c r="AF111" s="1570"/>
      <c r="AG111" s="1570"/>
      <c r="AH111" s="1570"/>
      <c r="AJ111" s="1578"/>
    </row>
    <row r="112" spans="1:36" hidden="1">
      <c r="A112" s="1585" t="s">
        <v>333</v>
      </c>
      <c r="B112" s="1585"/>
      <c r="C112" s="1610"/>
      <c r="D112" s="1610"/>
      <c r="E112" s="1585"/>
      <c r="F112" s="1610"/>
      <c r="G112" s="1585"/>
      <c r="H112" s="1585"/>
      <c r="I112" s="1610"/>
      <c r="J112" s="1585"/>
      <c r="K112" s="1585"/>
      <c r="M112" s="1570"/>
      <c r="N112" s="1570"/>
      <c r="O112" s="1571"/>
      <c r="P112" s="1571"/>
      <c r="Q112" s="1571"/>
      <c r="R112" s="1570"/>
      <c r="S112" s="1570"/>
      <c r="T112" s="1570"/>
      <c r="U112" s="1570"/>
      <c r="V112" s="1570"/>
      <c r="W112" s="1570"/>
      <c r="X112" s="1570"/>
      <c r="Y112" s="1570"/>
      <c r="Z112" s="1570"/>
      <c r="AA112" s="1570"/>
      <c r="AB112" s="1570"/>
      <c r="AC112" s="1570"/>
      <c r="AD112" s="1570"/>
      <c r="AE112" s="1570"/>
      <c r="AF112" s="1570"/>
      <c r="AG112" s="1570"/>
      <c r="AH112" s="1570"/>
      <c r="AJ112" s="1578"/>
    </row>
    <row r="113" spans="1:36" hidden="1">
      <c r="A113" s="1612"/>
      <c r="B113" s="1585"/>
      <c r="C113" s="1610"/>
      <c r="D113" s="1610"/>
      <c r="E113" s="1585"/>
      <c r="F113" s="1610"/>
      <c r="G113" s="1585"/>
      <c r="H113" s="1585"/>
      <c r="I113" s="1610"/>
      <c r="J113" s="1585"/>
      <c r="K113" s="1585"/>
      <c r="M113" s="1570"/>
      <c r="N113" s="1570"/>
      <c r="O113" s="1571"/>
      <c r="P113" s="1571"/>
      <c r="Q113" s="1571"/>
      <c r="R113" s="1570"/>
      <c r="S113" s="1570"/>
      <c r="T113" s="1570"/>
      <c r="U113" s="1570"/>
      <c r="V113" s="1570"/>
      <c r="W113" s="1570"/>
      <c r="X113" s="1570"/>
      <c r="Y113" s="1570"/>
      <c r="Z113" s="1570"/>
      <c r="AA113" s="1570"/>
      <c r="AB113" s="1570"/>
      <c r="AC113" s="1570"/>
      <c r="AD113" s="1570"/>
      <c r="AE113" s="1570"/>
      <c r="AF113" s="1570"/>
      <c r="AG113" s="1570"/>
      <c r="AH113" s="1570"/>
      <c r="AJ113" s="1578"/>
    </row>
    <row r="114" spans="1:36" hidden="1">
      <c r="A114" s="1585" t="s">
        <v>373</v>
      </c>
      <c r="B114" s="1610">
        <v>48990.733333333301</v>
      </c>
      <c r="C114" s="1614">
        <v>6</v>
      </c>
      <c r="D114" s="1585"/>
      <c r="E114" s="1577">
        <f>ROUND(C114*$B114,0)</f>
        <v>293944</v>
      </c>
      <c r="F114" s="1614">
        <v>6</v>
      </c>
      <c r="G114" s="1585"/>
      <c r="H114" s="1577">
        <f>ROUND(F114*B114,0)</f>
        <v>293944</v>
      </c>
      <c r="I114" s="1614">
        <f>$I$82</f>
        <v>10</v>
      </c>
      <c r="J114" s="1585"/>
      <c r="K114" s="1577">
        <f>ROUND(I114*$B114,0)</f>
        <v>489907</v>
      </c>
      <c r="M114" s="1570"/>
      <c r="N114" s="1570"/>
      <c r="O114" s="1571"/>
      <c r="P114" s="1571"/>
      <c r="Q114" s="1571"/>
      <c r="R114" s="1570"/>
      <c r="S114" s="1570"/>
      <c r="T114" s="1570"/>
      <c r="U114" s="1570"/>
      <c r="V114" s="1570"/>
      <c r="W114" s="1570"/>
      <c r="X114" s="1570"/>
      <c r="Y114" s="1570"/>
      <c r="Z114" s="1570"/>
      <c r="AA114" s="1570"/>
      <c r="AB114" s="1570"/>
      <c r="AC114" s="1570"/>
      <c r="AD114" s="1570"/>
      <c r="AE114" s="1570"/>
      <c r="AF114" s="1570"/>
      <c r="AG114" s="1570"/>
      <c r="AH114" s="1570"/>
      <c r="AJ114" s="1578"/>
    </row>
    <row r="115" spans="1:36" hidden="1">
      <c r="A115" s="1585" t="s">
        <v>376</v>
      </c>
      <c r="B115" s="1610">
        <f>27802912+Temperature!C40*1000</f>
        <v>27771554.146252096</v>
      </c>
      <c r="C115" s="1389">
        <v>5.1929999999999996</v>
      </c>
      <c r="D115" s="1585" t="s">
        <v>377</v>
      </c>
      <c r="E115" s="1577">
        <f>ROUND(C115*$B115/100,0)</f>
        <v>1442177</v>
      </c>
      <c r="F115" s="1389">
        <v>5.9489999999999998</v>
      </c>
      <c r="G115" s="1585" t="s">
        <v>377</v>
      </c>
      <c r="H115" s="1577">
        <f>ROUND(B115*F115/100,0)</f>
        <v>1652130</v>
      </c>
      <c r="I115" s="1389">
        <f>$I$83</f>
        <v>4.4109999999999996</v>
      </c>
      <c r="J115" s="1585" t="s">
        <v>377</v>
      </c>
      <c r="K115" s="1577">
        <f>ROUND(I115*$B115/100,0)</f>
        <v>1225003</v>
      </c>
      <c r="M115" s="1570"/>
      <c r="N115" s="1570"/>
      <c r="O115" s="1571"/>
      <c r="P115" s="1571"/>
      <c r="Q115" s="1571"/>
      <c r="R115" s="1570"/>
      <c r="S115" s="1570"/>
      <c r="T115" s="1570"/>
      <c r="U115" s="1570"/>
      <c r="V115" s="1570"/>
      <c r="W115" s="1570"/>
      <c r="X115" s="1570"/>
      <c r="Y115" s="1570"/>
      <c r="Z115" s="1570"/>
      <c r="AA115" s="1570"/>
      <c r="AB115" s="1570"/>
      <c r="AC115" s="1570"/>
      <c r="AD115" s="1570"/>
      <c r="AE115" s="1570"/>
      <c r="AF115" s="1570"/>
      <c r="AG115" s="1570"/>
      <c r="AH115" s="1570"/>
      <c r="AJ115" s="1578"/>
    </row>
    <row r="116" spans="1:36" hidden="1">
      <c r="A116" s="1585" t="s">
        <v>378</v>
      </c>
      <c r="B116" s="1610">
        <f>63233481-B115+Temperature!C40*1000+Temperature!D40*1000</f>
        <v>35390608.200177774</v>
      </c>
      <c r="C116" s="1389">
        <v>8.1929999999999996</v>
      </c>
      <c r="D116" s="1585" t="s">
        <v>377</v>
      </c>
      <c r="E116" s="1577">
        <f>ROUND(C116*$B116/100,0)</f>
        <v>2899553</v>
      </c>
      <c r="F116" s="1389">
        <v>9.4159999999999986</v>
      </c>
      <c r="G116" s="1585" t="s">
        <v>377</v>
      </c>
      <c r="H116" s="1577">
        <f>ROUND(B116*F116/100,0)</f>
        <v>3332380</v>
      </c>
      <c r="I116" s="1389">
        <f>$I$84</f>
        <v>6.9720000000000004</v>
      </c>
      <c r="J116" s="1585" t="s">
        <v>377</v>
      </c>
      <c r="K116" s="1577">
        <f>ROUND(I116*$B116/100,0)</f>
        <v>2467433</v>
      </c>
      <c r="M116" s="1570"/>
      <c r="N116" s="1570"/>
      <c r="O116" s="1571"/>
      <c r="P116" s="1571"/>
      <c r="Q116" s="1571"/>
      <c r="R116" s="1570"/>
      <c r="S116" s="1570"/>
      <c r="T116" s="1570"/>
      <c r="U116" s="1570"/>
      <c r="V116" s="1570"/>
      <c r="W116" s="1570"/>
      <c r="X116" s="1570"/>
      <c r="Y116" s="1570"/>
      <c r="Z116" s="1570"/>
      <c r="AA116" s="1570"/>
      <c r="AB116" s="1570"/>
      <c r="AC116" s="1570"/>
      <c r="AD116" s="1570"/>
      <c r="AE116" s="1570"/>
      <c r="AF116" s="1570"/>
      <c r="AG116" s="1570"/>
      <c r="AH116" s="1570"/>
      <c r="AJ116" s="1578"/>
    </row>
    <row r="117" spans="1:36" hidden="1">
      <c r="A117" s="1585" t="s">
        <v>380</v>
      </c>
      <c r="B117" s="1610">
        <v>0</v>
      </c>
      <c r="C117" s="1614">
        <v>1.6</v>
      </c>
      <c r="D117" s="1585"/>
      <c r="E117" s="1577">
        <f>ROUND(C117*$B117,0)</f>
        <v>0</v>
      </c>
      <c r="F117" s="1614">
        <v>1.65</v>
      </c>
      <c r="G117" s="1585"/>
      <c r="H117" s="1577">
        <v>0</v>
      </c>
      <c r="I117" s="1614">
        <f>$I$85</f>
        <v>1.65</v>
      </c>
      <c r="J117" s="1585"/>
      <c r="K117" s="1577">
        <f>ROUND(I117*$B117,0)</f>
        <v>0</v>
      </c>
      <c r="M117" s="1570"/>
      <c r="N117" s="1570"/>
      <c r="O117" s="1571"/>
      <c r="P117" s="1571"/>
      <c r="Q117" s="1571"/>
      <c r="R117" s="1570"/>
      <c r="S117" s="1570"/>
      <c r="T117" s="1570"/>
      <c r="U117" s="1570"/>
      <c r="V117" s="1570"/>
      <c r="W117" s="1570"/>
      <c r="X117" s="1570"/>
      <c r="Y117" s="1570"/>
      <c r="Z117" s="1570"/>
      <c r="AA117" s="1570"/>
      <c r="AB117" s="1570"/>
      <c r="AC117" s="1570"/>
      <c r="AD117" s="1570"/>
      <c r="AE117" s="1570"/>
      <c r="AF117" s="1570"/>
      <c r="AG117" s="1570"/>
      <c r="AH117" s="1570"/>
      <c r="AJ117" s="1578"/>
    </row>
    <row r="118" spans="1:36" hidden="1">
      <c r="A118" s="1619" t="s">
        <v>382</v>
      </c>
      <c r="B118" s="1610">
        <v>0</v>
      </c>
      <c r="C118" s="1614">
        <v>3.1</v>
      </c>
      <c r="D118" s="1619"/>
      <c r="E118" s="1577">
        <f>ROUND(C118*$B118,0)</f>
        <v>0</v>
      </c>
      <c r="F118" s="1614">
        <v>3.2</v>
      </c>
      <c r="G118" s="1619"/>
      <c r="H118" s="1577">
        <v>0</v>
      </c>
      <c r="I118" s="1614">
        <f>$I$86</f>
        <v>3.2</v>
      </c>
      <c r="J118" s="1619"/>
      <c r="K118" s="1577">
        <f>ROUND(I118*$B118,0)</f>
        <v>0</v>
      </c>
      <c r="M118" s="1570"/>
      <c r="N118" s="1570"/>
      <c r="O118" s="1571"/>
      <c r="P118" s="1571"/>
      <c r="Q118" s="1571"/>
      <c r="R118" s="1570"/>
      <c r="S118" s="1570"/>
      <c r="T118" s="1570"/>
      <c r="U118" s="1570"/>
      <c r="V118" s="1570"/>
      <c r="W118" s="1570"/>
      <c r="X118" s="1570"/>
      <c r="Y118" s="1570"/>
      <c r="Z118" s="1570"/>
      <c r="AA118" s="1570"/>
      <c r="AB118" s="1570"/>
      <c r="AC118" s="1570"/>
      <c r="AD118" s="1570"/>
      <c r="AE118" s="1570"/>
      <c r="AF118" s="1570"/>
      <c r="AG118" s="1570"/>
      <c r="AH118" s="1570"/>
      <c r="AJ118" s="1578"/>
    </row>
    <row r="119" spans="1:36" hidden="1">
      <c r="A119" s="1619" t="s">
        <v>383</v>
      </c>
      <c r="B119" s="1610">
        <v>0</v>
      </c>
      <c r="C119" s="1620">
        <v>-1.6</v>
      </c>
      <c r="D119" s="1619"/>
      <c r="E119" s="1577">
        <f>ROUND(C119*$B119,0)</f>
        <v>0</v>
      </c>
      <c r="F119" s="1620">
        <v>-1.65</v>
      </c>
      <c r="G119" s="1619"/>
      <c r="H119" s="1577">
        <v>0</v>
      </c>
      <c r="I119" s="1620">
        <f>-I117</f>
        <v>-1.65</v>
      </c>
      <c r="J119" s="1619"/>
      <c r="K119" s="1577">
        <f>ROUND(I119*$B119,0)</f>
        <v>0</v>
      </c>
      <c r="M119" s="1570"/>
      <c r="N119" s="1570"/>
      <c r="O119" s="1571"/>
      <c r="P119" s="1571"/>
      <c r="Q119" s="1571"/>
      <c r="R119" s="1570"/>
      <c r="S119" s="1570"/>
      <c r="T119" s="1570"/>
      <c r="U119" s="1570"/>
      <c r="V119" s="1570"/>
      <c r="W119" s="1570"/>
      <c r="X119" s="1570"/>
      <c r="Y119" s="1570"/>
      <c r="Z119" s="1570"/>
      <c r="AA119" s="1570"/>
      <c r="AB119" s="1570"/>
      <c r="AC119" s="1570"/>
      <c r="AD119" s="1570"/>
      <c r="AE119" s="1570"/>
      <c r="AF119" s="1570"/>
      <c r="AG119" s="1570"/>
      <c r="AH119" s="1570"/>
      <c r="AJ119" s="1578"/>
    </row>
    <row r="120" spans="1:36" hidden="1">
      <c r="A120" s="1569" t="s">
        <v>931</v>
      </c>
      <c r="B120" s="1575">
        <f>B115</f>
        <v>27771554.146252096</v>
      </c>
      <c r="C120" s="1584"/>
      <c r="D120" s="1570"/>
      <c r="E120" s="1577"/>
      <c r="F120" s="1584"/>
      <c r="G120" s="1570"/>
      <c r="H120" s="1577"/>
      <c r="I120" s="1389">
        <f>I105</f>
        <v>0.36099999999999999</v>
      </c>
      <c r="J120" s="1585" t="s">
        <v>377</v>
      </c>
      <c r="K120" s="1577">
        <f t="shared" ref="K120:K121" si="16">I120*B120/100</f>
        <v>100255.31046797005</v>
      </c>
      <c r="M120" s="1578"/>
      <c r="O120" s="1579"/>
      <c r="P120" s="1569"/>
      <c r="Q120" s="1569"/>
      <c r="R120" s="1580"/>
      <c r="S120" s="1580"/>
      <c r="X120" s="1570"/>
      <c r="Y120" s="1570"/>
      <c r="Z120" s="1570"/>
      <c r="AA120" s="1570"/>
      <c r="AB120" s="1570"/>
      <c r="AC120" s="1570"/>
      <c r="AD120" s="1570"/>
      <c r="AE120" s="1570"/>
      <c r="AF120" s="1570"/>
      <c r="AG120" s="1570"/>
      <c r="AH120" s="1570"/>
      <c r="AJ120" s="1578"/>
    </row>
    <row r="121" spans="1:36" hidden="1">
      <c r="A121" s="1569" t="s">
        <v>932</v>
      </c>
      <c r="B121" s="1575">
        <f>B116</f>
        <v>35390608.200177774</v>
      </c>
      <c r="C121" s="1584"/>
      <c r="D121" s="1570"/>
      <c r="E121" s="1577"/>
      <c r="F121" s="1584"/>
      <c r="G121" s="1570"/>
      <c r="H121" s="1577"/>
      <c r="I121" s="1389">
        <f>I106</f>
        <v>0.57199999999999995</v>
      </c>
      <c r="J121" s="1585" t="s">
        <v>377</v>
      </c>
      <c r="K121" s="1577">
        <f t="shared" si="16"/>
        <v>202434.27890501686</v>
      </c>
      <c r="M121" s="1578"/>
      <c r="O121" s="1579"/>
      <c r="P121" s="1569"/>
      <c r="Q121" s="1569"/>
      <c r="R121" s="1580"/>
      <c r="S121" s="1580"/>
      <c r="X121" s="1570"/>
      <c r="Y121" s="1570"/>
      <c r="Z121" s="1570"/>
      <c r="AA121" s="1570"/>
      <c r="AB121" s="1570"/>
      <c r="AC121" s="1570"/>
      <c r="AD121" s="1570"/>
      <c r="AE121" s="1570"/>
      <c r="AF121" s="1570"/>
      <c r="AG121" s="1570"/>
      <c r="AH121" s="1570"/>
      <c r="AJ121" s="1578"/>
    </row>
    <row r="122" spans="1:36" hidden="1">
      <c r="A122" s="1585" t="s">
        <v>384</v>
      </c>
      <c r="B122" s="1610">
        <f>SUM(B115:B116)</f>
        <v>63162162.34642987</v>
      </c>
      <c r="C122" s="1628"/>
      <c r="D122" s="1577"/>
      <c r="E122" s="1577">
        <f>SUM(E114:E119)</f>
        <v>4635674</v>
      </c>
      <c r="F122" s="1629"/>
      <c r="G122" s="1577"/>
      <c r="H122" s="1577">
        <f>SUM(H114:H119)</f>
        <v>5278454</v>
      </c>
      <c r="I122" s="1577"/>
      <c r="J122" s="1577"/>
      <c r="K122" s="1577">
        <f>SUM(K114:K121)</f>
        <v>4485032.5893729869</v>
      </c>
      <c r="M122" s="1570"/>
      <c r="N122" s="1570"/>
      <c r="O122" s="1571"/>
      <c r="P122" s="1571"/>
      <c r="Q122" s="1571"/>
      <c r="R122" s="1570"/>
      <c r="S122" s="1570"/>
      <c r="T122" s="1570"/>
      <c r="U122" s="1570"/>
      <c r="V122" s="1570"/>
      <c r="W122" s="1570"/>
      <c r="X122" s="1570"/>
      <c r="Y122" s="1570"/>
      <c r="Z122" s="1570"/>
      <c r="AA122" s="1570"/>
      <c r="AB122" s="1570"/>
      <c r="AC122" s="1570"/>
      <c r="AD122" s="1570"/>
      <c r="AE122" s="1570"/>
      <c r="AF122" s="1570"/>
      <c r="AG122" s="1570"/>
      <c r="AH122" s="1570"/>
      <c r="AJ122" s="1578"/>
    </row>
    <row r="123" spans="1:36" hidden="1">
      <c r="A123" s="1585" t="s">
        <v>366</v>
      </c>
      <c r="B123" s="1637">
        <f ca="1">'Table 2'!H14</f>
        <v>-4050.066849352972</v>
      </c>
      <c r="C123" s="1600"/>
      <c r="D123" s="1600"/>
      <c r="E123" s="1631" t="e">
        <f>#REF!</f>
        <v>#REF!</v>
      </c>
      <c r="F123" s="1600"/>
      <c r="G123" s="1600"/>
      <c r="H123" s="1630">
        <f ca="1">'Table 3'!E14</f>
        <v>509.23332391723989</v>
      </c>
      <c r="I123" s="1600"/>
      <c r="J123" s="1600"/>
      <c r="K123" s="1631">
        <f ca="1">H123</f>
        <v>509.23332391723989</v>
      </c>
      <c r="M123" s="1422"/>
      <c r="N123" s="1422"/>
      <c r="O123" s="1423"/>
      <c r="P123" s="1571"/>
      <c r="Q123" s="1571"/>
      <c r="R123" s="1570"/>
      <c r="S123" s="1570"/>
      <c r="T123" s="1570"/>
      <c r="U123" s="1570"/>
      <c r="V123" s="1570"/>
      <c r="W123" s="1570"/>
      <c r="X123" s="1570"/>
      <c r="Y123" s="1570"/>
      <c r="Z123" s="1570"/>
      <c r="AA123" s="1570"/>
      <c r="AB123" s="1570"/>
      <c r="AC123" s="1570"/>
      <c r="AD123" s="1570"/>
      <c r="AE123" s="1570"/>
      <c r="AF123" s="1570"/>
      <c r="AG123" s="1570"/>
      <c r="AH123" s="1570"/>
      <c r="AJ123" s="1578"/>
    </row>
    <row r="124" spans="1:36" ht="15.75" hidden="1" thickBot="1">
      <c r="A124" s="1585" t="s">
        <v>385</v>
      </c>
      <c r="B124" s="1632">
        <f ca="1">B122+B123</f>
        <v>63158112.279580519</v>
      </c>
      <c r="C124" s="1593"/>
      <c r="D124" s="1593"/>
      <c r="E124" s="1593" t="e">
        <f>E122+E123</f>
        <v>#REF!</v>
      </c>
      <c r="F124" s="1593"/>
      <c r="G124" s="1593"/>
      <c r="H124" s="1593">
        <f ca="1">SUM(H122:H123)</f>
        <v>5278963.2333239168</v>
      </c>
      <c r="I124" s="1593"/>
      <c r="J124" s="1593"/>
      <c r="K124" s="1593">
        <f ca="1">K122+K123</f>
        <v>4485541.8226969037</v>
      </c>
      <c r="M124" s="1424"/>
      <c r="N124" s="1424"/>
      <c r="O124" s="1597"/>
      <c r="P124" s="1571"/>
      <c r="Q124" s="1571"/>
      <c r="R124" s="1570"/>
      <c r="S124" s="1570"/>
      <c r="T124" s="1570"/>
      <c r="U124" s="1570"/>
      <c r="V124" s="1570"/>
      <c r="W124" s="1570"/>
      <c r="X124" s="1570"/>
      <c r="Y124" s="1570"/>
      <c r="Z124" s="1570"/>
      <c r="AA124" s="1570"/>
      <c r="AB124" s="1570"/>
      <c r="AC124" s="1570"/>
      <c r="AD124" s="1570"/>
      <c r="AE124" s="1570"/>
      <c r="AF124" s="1570"/>
      <c r="AG124" s="1570"/>
      <c r="AH124" s="1570"/>
      <c r="AJ124" s="1578"/>
    </row>
    <row r="125" spans="1:36" ht="15.75" hidden="1" thickTop="1">
      <c r="A125" s="1585"/>
      <c r="B125" s="1610"/>
      <c r="C125" s="1610"/>
      <c r="D125" s="1610"/>
      <c r="F125" s="1585" t="s">
        <v>31</v>
      </c>
      <c r="G125" s="1585"/>
      <c r="I125" s="1585" t="s">
        <v>31</v>
      </c>
      <c r="J125" s="1585"/>
      <c r="K125" s="1577" t="s">
        <v>31</v>
      </c>
      <c r="M125" s="1570"/>
      <c r="N125" s="1570"/>
      <c r="O125" s="1571"/>
      <c r="P125" s="1571"/>
      <c r="Q125" s="1571"/>
      <c r="R125" s="1570"/>
      <c r="S125" s="1570"/>
      <c r="T125" s="1570"/>
      <c r="U125" s="1570"/>
      <c r="V125" s="1570"/>
      <c r="W125" s="1570"/>
      <c r="X125" s="1570"/>
      <c r="Y125" s="1570"/>
      <c r="Z125" s="1570"/>
      <c r="AA125" s="1570"/>
      <c r="AB125" s="1570"/>
      <c r="AC125" s="1570"/>
      <c r="AD125" s="1570"/>
      <c r="AE125" s="1570"/>
      <c r="AF125" s="1570"/>
      <c r="AG125" s="1570"/>
      <c r="AH125" s="1570"/>
      <c r="AJ125" s="1578"/>
    </row>
    <row r="126" spans="1:36" hidden="1">
      <c r="A126" s="1609" t="s">
        <v>388</v>
      </c>
      <c r="B126" s="1585"/>
      <c r="C126" s="1610"/>
      <c r="D126" s="1610"/>
      <c r="E126" s="1585"/>
      <c r="F126" s="1610"/>
      <c r="G126" s="1585"/>
      <c r="H126" s="1585"/>
      <c r="I126" s="1610"/>
      <c r="J126" s="1585"/>
      <c r="K126" s="1585"/>
      <c r="M126" s="1570"/>
      <c r="N126" s="1570"/>
      <c r="O126" s="1571"/>
      <c r="P126" s="1571"/>
      <c r="Q126" s="1571"/>
      <c r="R126" s="1570"/>
      <c r="S126" s="1570"/>
      <c r="T126" s="1570"/>
      <c r="U126" s="1570"/>
      <c r="V126" s="1570"/>
      <c r="W126" s="1570"/>
      <c r="X126" s="1570"/>
      <c r="Y126" s="1570"/>
      <c r="Z126" s="1570"/>
      <c r="AA126" s="1570"/>
      <c r="AB126" s="1570"/>
      <c r="AC126" s="1570"/>
      <c r="AD126" s="1570"/>
      <c r="AE126" s="1570"/>
      <c r="AF126" s="1570"/>
      <c r="AG126" s="1570"/>
      <c r="AH126" s="1570"/>
      <c r="AJ126" s="1578"/>
    </row>
    <row r="127" spans="1:36" hidden="1">
      <c r="A127" s="1585" t="s">
        <v>333</v>
      </c>
      <c r="B127" s="1585"/>
      <c r="C127" s="1610"/>
      <c r="D127" s="1610"/>
      <c r="E127" s="1585"/>
      <c r="F127" s="1610"/>
      <c r="G127" s="1585"/>
      <c r="H127" s="1585"/>
      <c r="I127" s="1610"/>
      <c r="J127" s="1585"/>
      <c r="K127" s="1585"/>
      <c r="M127" s="1570"/>
      <c r="N127" s="1570"/>
      <c r="O127" s="1571"/>
      <c r="P127" s="1571"/>
      <c r="Q127" s="1571"/>
      <c r="R127" s="1570"/>
      <c r="S127" s="1570"/>
      <c r="T127" s="1570"/>
      <c r="U127" s="1570"/>
      <c r="V127" s="1570"/>
      <c r="W127" s="1570"/>
      <c r="X127" s="1570"/>
      <c r="Y127" s="1570"/>
      <c r="Z127" s="1570"/>
      <c r="AA127" s="1570"/>
      <c r="AB127" s="1570"/>
      <c r="AC127" s="1570"/>
      <c r="AD127" s="1570"/>
      <c r="AE127" s="1570"/>
      <c r="AF127" s="1570"/>
      <c r="AG127" s="1570"/>
      <c r="AH127" s="1570"/>
      <c r="AJ127" s="1578"/>
    </row>
    <row r="128" spans="1:36" hidden="1">
      <c r="A128" s="1612"/>
      <c r="B128" s="1585"/>
      <c r="C128" s="1610"/>
      <c r="D128" s="1610"/>
      <c r="E128" s="1585"/>
      <c r="F128" s="1610"/>
      <c r="G128" s="1585"/>
      <c r="H128" s="1585"/>
      <c r="I128" s="1610"/>
      <c r="J128" s="1585"/>
      <c r="K128" s="1585"/>
      <c r="M128" s="1570"/>
      <c r="N128" s="1570"/>
      <c r="O128" s="1571"/>
      <c r="P128" s="1571"/>
      <c r="Q128" s="1571"/>
      <c r="R128" s="1570"/>
      <c r="S128" s="1570"/>
      <c r="T128" s="1570"/>
      <c r="U128" s="1570"/>
      <c r="V128" s="1570"/>
      <c r="W128" s="1570"/>
      <c r="X128" s="1570"/>
      <c r="Y128" s="1570"/>
      <c r="Z128" s="1570"/>
      <c r="AA128" s="1570"/>
      <c r="AB128" s="1570"/>
      <c r="AC128" s="1570"/>
      <c r="AD128" s="1570"/>
      <c r="AE128" s="1570"/>
      <c r="AF128" s="1570"/>
      <c r="AG128" s="1570"/>
      <c r="AH128" s="1570"/>
      <c r="AJ128" s="1578"/>
    </row>
    <row r="129" spans="1:36" hidden="1">
      <c r="A129" s="1585" t="s">
        <v>373</v>
      </c>
      <c r="B129" s="1610">
        <f>1028</f>
        <v>1028</v>
      </c>
      <c r="C129" s="1614">
        <v>6</v>
      </c>
      <c r="D129" s="1585"/>
      <c r="E129" s="1577">
        <f>ROUND(C129*$B129,0)</f>
        <v>6168</v>
      </c>
      <c r="F129" s="1614">
        <v>6</v>
      </c>
      <c r="G129" s="1585"/>
      <c r="H129" s="1577">
        <f>ROUND(F129*B129,0)</f>
        <v>6168</v>
      </c>
      <c r="I129" s="1614">
        <f>$I$82</f>
        <v>10</v>
      </c>
      <c r="J129" s="1585"/>
      <c r="K129" s="1577">
        <f>ROUND(I129*$B129,0)</f>
        <v>10280</v>
      </c>
      <c r="M129" s="1570"/>
      <c r="N129" s="1570"/>
      <c r="O129" s="1571"/>
      <c r="P129" s="1571"/>
      <c r="Q129" s="1571"/>
      <c r="R129" s="1570"/>
      <c r="S129" s="1570"/>
      <c r="T129" s="1570"/>
      <c r="U129" s="1570"/>
      <c r="V129" s="1570"/>
      <c r="W129" s="1570"/>
      <c r="X129" s="1570"/>
      <c r="Y129" s="1570"/>
      <c r="Z129" s="1570"/>
      <c r="AA129" s="1570"/>
      <c r="AB129" s="1570"/>
      <c r="AC129" s="1570"/>
      <c r="AD129" s="1570"/>
      <c r="AE129" s="1570"/>
      <c r="AF129" s="1570"/>
      <c r="AG129" s="1570"/>
      <c r="AH129" s="1570"/>
      <c r="AJ129" s="1578"/>
    </row>
    <row r="130" spans="1:36" hidden="1">
      <c r="A130" s="1585" t="s">
        <v>376</v>
      </c>
      <c r="B130" s="1610">
        <f>574494+Temperature!C58*1000</f>
        <v>573656.16765255562</v>
      </c>
      <c r="C130" s="1389">
        <v>5.1929999999999996</v>
      </c>
      <c r="D130" s="1585" t="s">
        <v>377</v>
      </c>
      <c r="E130" s="1577">
        <f>ROUND(C130*$B130/100,0)</f>
        <v>29790</v>
      </c>
      <c r="F130" s="1389">
        <v>5.9489999999999998</v>
      </c>
      <c r="G130" s="1585" t="s">
        <v>377</v>
      </c>
      <c r="H130" s="1577">
        <f>ROUND(B130*F130/100,0)</f>
        <v>34127</v>
      </c>
      <c r="I130" s="1389">
        <f>$I$83</f>
        <v>4.4109999999999996</v>
      </c>
      <c r="J130" s="1585" t="s">
        <v>377</v>
      </c>
      <c r="K130" s="1577">
        <f>ROUND(I130*$B130/100,0)</f>
        <v>25304</v>
      </c>
      <c r="M130" s="1570"/>
      <c r="N130" s="1570"/>
      <c r="O130" s="1571"/>
      <c r="P130" s="1571"/>
      <c r="Q130" s="1571"/>
      <c r="R130" s="1570"/>
      <c r="S130" s="1570"/>
      <c r="T130" s="1570"/>
      <c r="U130" s="1570"/>
      <c r="V130" s="1570"/>
      <c r="W130" s="1570"/>
      <c r="X130" s="1570"/>
      <c r="Y130" s="1570"/>
      <c r="Z130" s="1570"/>
      <c r="AA130" s="1570"/>
      <c r="AB130" s="1570"/>
      <c r="AC130" s="1570"/>
      <c r="AD130" s="1570"/>
      <c r="AE130" s="1570"/>
      <c r="AF130" s="1570"/>
      <c r="AG130" s="1570"/>
      <c r="AH130" s="1570"/>
      <c r="AJ130" s="1578"/>
    </row>
    <row r="131" spans="1:36" hidden="1">
      <c r="A131" s="1585" t="s">
        <v>378</v>
      </c>
      <c r="B131" s="1610">
        <f>2216254-B130+Temperature!C58*1000+Temperature!D58*1000</f>
        <v>1639447.3671285319</v>
      </c>
      <c r="C131" s="1389">
        <v>8.1929999999999996</v>
      </c>
      <c r="D131" s="1585" t="s">
        <v>377</v>
      </c>
      <c r="E131" s="1577">
        <f>ROUND(C131*$B131/100,0)</f>
        <v>134320</v>
      </c>
      <c r="F131" s="1389">
        <v>9.4159999999999986</v>
      </c>
      <c r="G131" s="1585" t="s">
        <v>377</v>
      </c>
      <c r="H131" s="1577">
        <f>ROUND(B131*F131/100,0)</f>
        <v>154370</v>
      </c>
      <c r="I131" s="1389">
        <f>$I$84</f>
        <v>6.9720000000000004</v>
      </c>
      <c r="J131" s="1585" t="s">
        <v>377</v>
      </c>
      <c r="K131" s="1577">
        <f>ROUND(I131*$B131/100,0)</f>
        <v>114302</v>
      </c>
      <c r="M131" s="1570"/>
      <c r="N131" s="1570"/>
      <c r="O131" s="1571"/>
      <c r="P131" s="1571"/>
      <c r="Q131" s="1571"/>
      <c r="R131" s="1570"/>
      <c r="S131" s="1570"/>
      <c r="T131" s="1570"/>
      <c r="U131" s="1570"/>
      <c r="V131" s="1570"/>
      <c r="W131" s="1570"/>
      <c r="X131" s="1570"/>
      <c r="Y131" s="1570"/>
      <c r="Z131" s="1570"/>
      <c r="AA131" s="1570"/>
      <c r="AB131" s="1570"/>
      <c r="AC131" s="1570"/>
      <c r="AD131" s="1570"/>
      <c r="AE131" s="1570"/>
      <c r="AF131" s="1570"/>
      <c r="AG131" s="1570"/>
      <c r="AH131" s="1570"/>
      <c r="AJ131" s="1578"/>
    </row>
    <row r="132" spans="1:36" hidden="1">
      <c r="A132" s="1585" t="s">
        <v>380</v>
      </c>
      <c r="B132" s="1610">
        <f>4742</f>
        <v>4742</v>
      </c>
      <c r="C132" s="1614">
        <v>1.6</v>
      </c>
      <c r="D132" s="1585"/>
      <c r="E132" s="1577">
        <f>ROUND(C132*$B132,0)</f>
        <v>7587</v>
      </c>
      <c r="F132" s="1614">
        <v>1.65</v>
      </c>
      <c r="G132" s="1585"/>
      <c r="H132" s="1577">
        <f t="shared" ref="H132:H133" si="17">ROUND(F132*B132,0)</f>
        <v>7824</v>
      </c>
      <c r="I132" s="1614">
        <f>$I$85</f>
        <v>1.65</v>
      </c>
      <c r="J132" s="1585"/>
      <c r="K132" s="1577">
        <f>ROUND(I132*$B132,0)</f>
        <v>7824</v>
      </c>
      <c r="M132" s="1570"/>
      <c r="N132" s="1570"/>
      <c r="O132" s="1571"/>
      <c r="P132" s="1571"/>
      <c r="Q132" s="1571"/>
      <c r="R132" s="1570"/>
      <c r="S132" s="1570"/>
      <c r="T132" s="1570"/>
      <c r="U132" s="1570"/>
      <c r="V132" s="1570"/>
      <c r="W132" s="1570"/>
      <c r="X132" s="1570"/>
      <c r="Y132" s="1570"/>
      <c r="Z132" s="1570"/>
      <c r="AA132" s="1570"/>
      <c r="AB132" s="1570"/>
      <c r="AC132" s="1570"/>
      <c r="AD132" s="1570"/>
      <c r="AE132" s="1570"/>
      <c r="AF132" s="1570"/>
      <c r="AG132" s="1570"/>
      <c r="AH132" s="1570"/>
      <c r="AJ132" s="1578"/>
    </row>
    <row r="133" spans="1:36" hidden="1">
      <c r="A133" s="1619" t="s">
        <v>382</v>
      </c>
      <c r="B133" s="1610">
        <f>638</f>
        <v>638</v>
      </c>
      <c r="C133" s="1614">
        <v>3.1</v>
      </c>
      <c r="D133" s="1619"/>
      <c r="E133" s="1577">
        <f>ROUND(C133*$B133,0)</f>
        <v>1978</v>
      </c>
      <c r="F133" s="1614">
        <v>3.2</v>
      </c>
      <c r="G133" s="1619"/>
      <c r="H133" s="1577">
        <f t="shared" si="17"/>
        <v>2042</v>
      </c>
      <c r="I133" s="1614">
        <f>$I$86</f>
        <v>3.2</v>
      </c>
      <c r="J133" s="1619"/>
      <c r="K133" s="1577">
        <f>ROUND(I133*$B133,0)</f>
        <v>2042</v>
      </c>
      <c r="M133" s="1570"/>
      <c r="N133" s="1570"/>
      <c r="O133" s="1571"/>
      <c r="P133" s="1571"/>
      <c r="Q133" s="1571"/>
      <c r="R133" s="1570"/>
      <c r="S133" s="1570"/>
      <c r="T133" s="1570"/>
      <c r="U133" s="1570"/>
      <c r="V133" s="1570"/>
      <c r="W133" s="1570"/>
      <c r="X133" s="1570"/>
      <c r="Y133" s="1570"/>
      <c r="Z133" s="1570"/>
      <c r="AA133" s="1570"/>
      <c r="AB133" s="1570"/>
      <c r="AC133" s="1570"/>
      <c r="AD133" s="1570"/>
      <c r="AE133" s="1570"/>
      <c r="AF133" s="1570"/>
      <c r="AG133" s="1570"/>
      <c r="AH133" s="1570"/>
      <c r="AJ133" s="1578"/>
    </row>
    <row r="134" spans="1:36" hidden="1">
      <c r="A134" s="1619" t="s">
        <v>383</v>
      </c>
      <c r="B134" s="1610">
        <v>52</v>
      </c>
      <c r="C134" s="1620">
        <v>-1.6</v>
      </c>
      <c r="D134" s="1619"/>
      <c r="E134" s="1577">
        <f>ROUND(C134*$B134,0)</f>
        <v>-83</v>
      </c>
      <c r="F134" s="1620">
        <v>-1.65</v>
      </c>
      <c r="G134" s="1619"/>
      <c r="H134" s="1577">
        <f>ROUND(F134*B134,0)</f>
        <v>-86</v>
      </c>
      <c r="I134" s="1620">
        <f>-I132</f>
        <v>-1.65</v>
      </c>
      <c r="J134" s="1619"/>
      <c r="K134" s="1577">
        <f>ROUND(I134*$B134,0)</f>
        <v>-86</v>
      </c>
      <c r="M134" s="1570"/>
      <c r="N134" s="1570"/>
      <c r="O134" s="1571"/>
      <c r="P134" s="1571"/>
      <c r="Q134" s="1571"/>
      <c r="R134" s="1570"/>
      <c r="S134" s="1570"/>
      <c r="T134" s="1570"/>
      <c r="U134" s="1570"/>
      <c r="V134" s="1570"/>
      <c r="W134" s="1570"/>
      <c r="X134" s="1570"/>
      <c r="Y134" s="1570"/>
      <c r="Z134" s="1570"/>
      <c r="AA134" s="1570"/>
      <c r="AB134" s="1570"/>
      <c r="AC134" s="1570"/>
      <c r="AD134" s="1570"/>
      <c r="AE134" s="1570"/>
      <c r="AF134" s="1570"/>
      <c r="AG134" s="1570"/>
      <c r="AH134" s="1570"/>
      <c r="AJ134" s="1578"/>
    </row>
    <row r="135" spans="1:36" hidden="1">
      <c r="A135" s="1569" t="s">
        <v>931</v>
      </c>
      <c r="B135" s="1575">
        <f>B130</f>
        <v>573656.16765255562</v>
      </c>
      <c r="C135" s="1584"/>
      <c r="D135" s="1570"/>
      <c r="E135" s="1577"/>
      <c r="F135" s="1584"/>
      <c r="G135" s="1570"/>
      <c r="H135" s="1577"/>
      <c r="I135" s="1389">
        <f>I120</f>
        <v>0.36099999999999999</v>
      </c>
      <c r="J135" s="1585" t="s">
        <v>377</v>
      </c>
      <c r="K135" s="1577">
        <f t="shared" ref="K135:K136" si="18">I135*B135/100</f>
        <v>2070.8987652257256</v>
      </c>
      <c r="M135" s="1578"/>
      <c r="O135" s="1579"/>
      <c r="P135" s="1569"/>
      <c r="Q135" s="1569"/>
      <c r="R135" s="1580"/>
      <c r="S135" s="1580"/>
      <c r="X135" s="1570"/>
      <c r="Y135" s="1570"/>
      <c r="Z135" s="1570"/>
      <c r="AA135" s="1570"/>
      <c r="AB135" s="1570"/>
      <c r="AC135" s="1570"/>
      <c r="AD135" s="1570"/>
      <c r="AE135" s="1570"/>
      <c r="AF135" s="1570"/>
      <c r="AG135" s="1570"/>
      <c r="AH135" s="1570"/>
      <c r="AJ135" s="1578"/>
    </row>
    <row r="136" spans="1:36" hidden="1">
      <c r="A136" s="1569" t="s">
        <v>932</v>
      </c>
      <c r="B136" s="1575">
        <f>B131</f>
        <v>1639447.3671285319</v>
      </c>
      <c r="C136" s="1584"/>
      <c r="D136" s="1570"/>
      <c r="E136" s="1577"/>
      <c r="F136" s="1584"/>
      <c r="G136" s="1570"/>
      <c r="H136" s="1577"/>
      <c r="I136" s="1389">
        <f>I121</f>
        <v>0.57199999999999995</v>
      </c>
      <c r="J136" s="1585" t="s">
        <v>377</v>
      </c>
      <c r="K136" s="1577">
        <f t="shared" si="18"/>
        <v>9377.6389399752024</v>
      </c>
      <c r="M136" s="1578"/>
      <c r="O136" s="1579"/>
      <c r="P136" s="1569"/>
      <c r="Q136" s="1569"/>
      <c r="R136" s="1580"/>
      <c r="S136" s="1580"/>
      <c r="X136" s="1570"/>
      <c r="Y136" s="1570"/>
      <c r="Z136" s="1570"/>
      <c r="AA136" s="1570"/>
      <c r="AB136" s="1570"/>
      <c r="AC136" s="1570"/>
      <c r="AD136" s="1570"/>
      <c r="AE136" s="1570"/>
      <c r="AF136" s="1570"/>
      <c r="AG136" s="1570"/>
      <c r="AH136" s="1570"/>
      <c r="AJ136" s="1578"/>
    </row>
    <row r="137" spans="1:36" hidden="1">
      <c r="A137" s="1585" t="s">
        <v>384</v>
      </c>
      <c r="B137" s="1610">
        <f>SUM(B130:B131)</f>
        <v>2213103.5347810877</v>
      </c>
      <c r="C137" s="1628"/>
      <c r="D137" s="1577"/>
      <c r="E137" s="1577">
        <f>SUM(E129:E134)</f>
        <v>179760</v>
      </c>
      <c r="F137" s="1629"/>
      <c r="G137" s="1577"/>
      <c r="H137" s="1577">
        <f>SUM(H129:H134)</f>
        <v>204445</v>
      </c>
      <c r="I137" s="1577"/>
      <c r="J137" s="1577"/>
      <c r="K137" s="1577">
        <f>SUM(K129:K136)</f>
        <v>171114.53770520093</v>
      </c>
      <c r="M137" s="1570"/>
      <c r="N137" s="1570"/>
      <c r="O137" s="1571"/>
      <c r="P137" s="1571"/>
      <c r="Q137" s="1571"/>
      <c r="R137" s="1570"/>
      <c r="S137" s="1570"/>
      <c r="T137" s="1570"/>
      <c r="U137" s="1570"/>
      <c r="V137" s="1570"/>
      <c r="W137" s="1570"/>
      <c r="X137" s="1570"/>
      <c r="Y137" s="1570"/>
      <c r="Z137" s="1570"/>
      <c r="AA137" s="1570"/>
      <c r="AB137" s="1570"/>
      <c r="AC137" s="1570"/>
      <c r="AD137" s="1570"/>
      <c r="AE137" s="1570"/>
      <c r="AF137" s="1570"/>
      <c r="AG137" s="1570"/>
      <c r="AH137" s="1570"/>
      <c r="AJ137" s="1578"/>
    </row>
    <row r="138" spans="1:36" hidden="1">
      <c r="A138" s="1585" t="s">
        <v>366</v>
      </c>
      <c r="B138" s="1637">
        <f ca="1">'Table 2'!H15</f>
        <v>-141.94975056245792</v>
      </c>
      <c r="C138" s="1600"/>
      <c r="D138" s="1600"/>
      <c r="E138" s="1631" t="e">
        <f>#REF!</f>
        <v>#REF!</v>
      </c>
      <c r="F138" s="1600"/>
      <c r="G138" s="1600"/>
      <c r="H138" s="1631">
        <f ca="1">'Table 3'!E15</f>
        <v>19.723602875558147</v>
      </c>
      <c r="I138" s="1600"/>
      <c r="J138" s="1600"/>
      <c r="K138" s="1631">
        <f ca="1">H138</f>
        <v>19.723602875558147</v>
      </c>
      <c r="M138" s="1422"/>
      <c r="N138" s="1422"/>
      <c r="O138" s="1423"/>
      <c r="P138" s="1571"/>
      <c r="Q138" s="1571"/>
      <c r="R138" s="1570"/>
      <c r="S138" s="1570"/>
      <c r="T138" s="1570"/>
      <c r="U138" s="1570"/>
      <c r="V138" s="1570"/>
      <c r="W138" s="1570"/>
      <c r="X138" s="1570"/>
      <c r="Y138" s="1570"/>
      <c r="Z138" s="1570"/>
      <c r="AA138" s="1570"/>
      <c r="AB138" s="1570"/>
      <c r="AC138" s="1570"/>
      <c r="AD138" s="1570"/>
      <c r="AE138" s="1570"/>
      <c r="AF138" s="1570"/>
      <c r="AG138" s="1570"/>
      <c r="AH138" s="1570"/>
      <c r="AJ138" s="1578"/>
    </row>
    <row r="139" spans="1:36" ht="15.75" hidden="1" thickBot="1">
      <c r="A139" s="1585" t="s">
        <v>385</v>
      </c>
      <c r="B139" s="1632">
        <f ca="1">B137+B138</f>
        <v>2212961.585030525</v>
      </c>
      <c r="C139" s="1593"/>
      <c r="D139" s="1593"/>
      <c r="E139" s="1593" t="e">
        <f>E137+E138</f>
        <v>#REF!</v>
      </c>
      <c r="F139" s="1593"/>
      <c r="G139" s="1593"/>
      <c r="H139" s="1593">
        <f ca="1">H137+H138</f>
        <v>204464.72360287557</v>
      </c>
      <c r="I139" s="1593"/>
      <c r="J139" s="1593"/>
      <c r="K139" s="1593">
        <f ca="1">K137+K138</f>
        <v>171134.2613080765</v>
      </c>
      <c r="M139" s="1424"/>
      <c r="N139" s="1424"/>
      <c r="O139" s="1597"/>
      <c r="P139" s="1571"/>
      <c r="Q139" s="1571"/>
      <c r="R139" s="1570"/>
      <c r="S139" s="1570"/>
      <c r="T139" s="1570"/>
      <c r="U139" s="1570"/>
      <c r="V139" s="1570"/>
      <c r="W139" s="1570"/>
      <c r="X139" s="1570"/>
      <c r="Y139" s="1570"/>
      <c r="Z139" s="1570"/>
      <c r="AA139" s="1570"/>
      <c r="AB139" s="1570"/>
      <c r="AC139" s="1570"/>
      <c r="AD139" s="1570"/>
      <c r="AE139" s="1570"/>
      <c r="AF139" s="1570"/>
      <c r="AG139" s="1570"/>
      <c r="AH139" s="1570"/>
      <c r="AJ139" s="1578"/>
    </row>
    <row r="140" spans="1:36" ht="15.75" hidden="1" thickTop="1">
      <c r="A140" s="1585"/>
      <c r="B140" s="1610"/>
      <c r="C140" s="1610"/>
      <c r="D140" s="1610"/>
      <c r="F140" s="1585" t="s">
        <v>31</v>
      </c>
      <c r="G140" s="1585"/>
      <c r="I140" s="1585" t="s">
        <v>31</v>
      </c>
      <c r="J140" s="1585"/>
      <c r="K140" s="1577" t="s">
        <v>31</v>
      </c>
      <c r="M140" s="1570"/>
      <c r="N140" s="1570"/>
      <c r="O140" s="1571"/>
      <c r="P140" s="1571"/>
      <c r="Q140" s="1571"/>
      <c r="R140" s="1570"/>
      <c r="S140" s="1570"/>
      <c r="T140" s="1570"/>
      <c r="U140" s="1570"/>
      <c r="V140" s="1570"/>
      <c r="W140" s="1570"/>
      <c r="X140" s="1570"/>
      <c r="Y140" s="1570"/>
      <c r="Z140" s="1570"/>
      <c r="AA140" s="1570"/>
      <c r="AB140" s="1570"/>
      <c r="AC140" s="1570"/>
      <c r="AD140" s="1570"/>
      <c r="AE140" s="1570"/>
      <c r="AF140" s="1570"/>
      <c r="AG140" s="1570"/>
      <c r="AH140" s="1570"/>
      <c r="AJ140" s="1578"/>
    </row>
    <row r="141" spans="1:36" hidden="1">
      <c r="A141" s="1609" t="s">
        <v>389</v>
      </c>
      <c r="B141" s="1585"/>
      <c r="C141" s="1610"/>
      <c r="D141" s="1610"/>
      <c r="E141" s="1585"/>
      <c r="F141" s="1610"/>
      <c r="G141" s="1585"/>
      <c r="H141" s="1585"/>
      <c r="I141" s="1610"/>
      <c r="J141" s="1585"/>
      <c r="K141" s="1585"/>
      <c r="M141" s="1570"/>
      <c r="N141" s="1570"/>
      <c r="O141" s="1571"/>
      <c r="P141" s="1571"/>
      <c r="Q141" s="1571"/>
      <c r="R141" s="1570"/>
      <c r="S141" s="1570"/>
      <c r="T141" s="1570"/>
      <c r="U141" s="1570"/>
      <c r="V141" s="1570"/>
      <c r="W141" s="1570"/>
      <c r="X141" s="1570"/>
      <c r="Y141" s="1570"/>
      <c r="Z141" s="1570"/>
      <c r="AA141" s="1570"/>
      <c r="AB141" s="1570"/>
      <c r="AC141" s="1570"/>
      <c r="AD141" s="1570"/>
      <c r="AE141" s="1570"/>
      <c r="AF141" s="1570"/>
      <c r="AG141" s="1570"/>
      <c r="AH141" s="1570"/>
      <c r="AJ141" s="1578"/>
    </row>
    <row r="142" spans="1:36" hidden="1">
      <c r="A142" s="1585" t="s">
        <v>333</v>
      </c>
      <c r="B142" s="1585"/>
      <c r="C142" s="1610"/>
      <c r="D142" s="1610"/>
      <c r="E142" s="1585"/>
      <c r="F142" s="1610"/>
      <c r="G142" s="1585"/>
      <c r="H142" s="1585"/>
      <c r="I142" s="1610"/>
      <c r="J142" s="1585"/>
      <c r="K142" s="1585"/>
      <c r="M142" s="1570"/>
      <c r="N142" s="1570"/>
      <c r="O142" s="1571"/>
      <c r="P142" s="1571"/>
      <c r="Q142" s="1571"/>
      <c r="R142" s="1570"/>
      <c r="S142" s="1570"/>
      <c r="T142" s="1570"/>
      <c r="U142" s="1570"/>
      <c r="V142" s="1570"/>
      <c r="W142" s="1570"/>
      <c r="X142" s="1570"/>
      <c r="Y142" s="1570"/>
      <c r="Z142" s="1570"/>
      <c r="AA142" s="1570"/>
      <c r="AB142" s="1570"/>
      <c r="AC142" s="1570"/>
      <c r="AD142" s="1570"/>
      <c r="AE142" s="1570"/>
      <c r="AF142" s="1570"/>
      <c r="AG142" s="1570"/>
      <c r="AH142" s="1570"/>
      <c r="AJ142" s="1578"/>
    </row>
    <row r="143" spans="1:36" hidden="1">
      <c r="A143" s="1612"/>
      <c r="B143" s="1585"/>
      <c r="C143" s="1610"/>
      <c r="D143" s="1610"/>
      <c r="E143" s="1585"/>
      <c r="F143" s="1610"/>
      <c r="G143" s="1585"/>
      <c r="H143" s="1585"/>
      <c r="I143" s="1610"/>
      <c r="J143" s="1585"/>
      <c r="K143" s="1585"/>
      <c r="M143" s="1570"/>
      <c r="N143" s="1570"/>
      <c r="O143" s="1571"/>
      <c r="P143" s="1571"/>
      <c r="Q143" s="1571"/>
      <c r="R143" s="1570"/>
      <c r="S143" s="1570"/>
      <c r="T143" s="1570"/>
      <c r="U143" s="1570"/>
      <c r="V143" s="1570"/>
      <c r="W143" s="1570"/>
      <c r="X143" s="1570"/>
      <c r="Y143" s="1570"/>
      <c r="Z143" s="1570"/>
      <c r="AA143" s="1570"/>
      <c r="AB143" s="1570"/>
      <c r="AC143" s="1570"/>
      <c r="AD143" s="1570"/>
      <c r="AE143" s="1570"/>
      <c r="AF143" s="1570"/>
      <c r="AG143" s="1570"/>
      <c r="AH143" s="1570"/>
      <c r="AJ143" s="1578"/>
    </row>
    <row r="144" spans="1:36" hidden="1">
      <c r="A144" s="1585" t="s">
        <v>373</v>
      </c>
      <c r="B144" s="1610">
        <v>218</v>
      </c>
      <c r="C144" s="1614">
        <v>6</v>
      </c>
      <c r="D144" s="1585"/>
      <c r="E144" s="1577">
        <f>ROUND(C144*$B144,0)</f>
        <v>1308</v>
      </c>
      <c r="F144" s="1614">
        <v>6</v>
      </c>
      <c r="G144" s="1585"/>
      <c r="H144" s="1577">
        <f>ROUND(F144*B144,0)</f>
        <v>1308</v>
      </c>
      <c r="I144" s="1614">
        <f>$I$82</f>
        <v>10</v>
      </c>
      <c r="J144" s="1585"/>
      <c r="K144" s="1577">
        <f>ROUND(I144*$B144,0)</f>
        <v>2180</v>
      </c>
      <c r="M144" s="1570"/>
      <c r="N144" s="1570"/>
      <c r="O144" s="1571"/>
      <c r="P144" s="1571"/>
      <c r="Q144" s="1571"/>
      <c r="R144" s="1570"/>
      <c r="S144" s="1570"/>
      <c r="T144" s="1570"/>
      <c r="U144" s="1570"/>
      <c r="V144" s="1570"/>
      <c r="W144" s="1570"/>
      <c r="X144" s="1570"/>
      <c r="Y144" s="1570"/>
      <c r="Z144" s="1570"/>
      <c r="AA144" s="1570"/>
      <c r="AB144" s="1570"/>
      <c r="AC144" s="1570"/>
      <c r="AD144" s="1570"/>
      <c r="AE144" s="1570"/>
      <c r="AF144" s="1570"/>
      <c r="AG144" s="1570"/>
      <c r="AH144" s="1570"/>
      <c r="AJ144" s="1578"/>
    </row>
    <row r="145" spans="1:43" hidden="1">
      <c r="A145" s="1585" t="s">
        <v>376</v>
      </c>
      <c r="B145" s="1610">
        <v>130149</v>
      </c>
      <c r="C145" s="1389">
        <v>5.1929999999999996</v>
      </c>
      <c r="D145" s="1585" t="s">
        <v>377</v>
      </c>
      <c r="E145" s="1577">
        <f>ROUND(C145*$B145/100,0)</f>
        <v>6759</v>
      </c>
      <c r="F145" s="1389">
        <v>5.9489999999999998</v>
      </c>
      <c r="G145" s="1585" t="s">
        <v>377</v>
      </c>
      <c r="H145" s="1577">
        <f>ROUND(B145*F145/100,0)</f>
        <v>7743</v>
      </c>
      <c r="I145" s="1389">
        <f>$I$83</f>
        <v>4.4109999999999996</v>
      </c>
      <c r="J145" s="1585" t="s">
        <v>377</v>
      </c>
      <c r="K145" s="1577">
        <f>ROUND(I145*$B145/100,0)</f>
        <v>5741</v>
      </c>
      <c r="M145" s="1570"/>
      <c r="N145" s="1570"/>
      <c r="O145" s="1571"/>
      <c r="P145" s="1571"/>
      <c r="Q145" s="1571"/>
      <c r="R145" s="1570"/>
      <c r="S145" s="1570"/>
      <c r="T145" s="1570"/>
      <c r="U145" s="1570"/>
      <c r="V145" s="1570"/>
      <c r="W145" s="1570"/>
      <c r="X145" s="1570"/>
      <c r="Y145" s="1570"/>
      <c r="Z145" s="1570"/>
      <c r="AA145" s="1570"/>
      <c r="AB145" s="1570"/>
      <c r="AC145" s="1570"/>
      <c r="AD145" s="1570"/>
      <c r="AE145" s="1570"/>
      <c r="AF145" s="1570"/>
      <c r="AG145" s="1570"/>
      <c r="AH145" s="1570"/>
      <c r="AJ145" s="1578"/>
    </row>
    <row r="146" spans="1:43" hidden="1">
      <c r="A146" s="1585" t="s">
        <v>378</v>
      </c>
      <c r="B146" s="1610">
        <f>433385-B145</f>
        <v>303236</v>
      </c>
      <c r="C146" s="1389">
        <v>8.1929999999999996</v>
      </c>
      <c r="D146" s="1585" t="s">
        <v>377</v>
      </c>
      <c r="E146" s="1577">
        <f>ROUND(C146*$B146/100,0)</f>
        <v>24844</v>
      </c>
      <c r="F146" s="1389">
        <v>9.4159999999999986</v>
      </c>
      <c r="G146" s="1585" t="s">
        <v>377</v>
      </c>
      <c r="H146" s="1577">
        <f>ROUND(B146*F146/100,0)</f>
        <v>28553</v>
      </c>
      <c r="I146" s="1389">
        <f>$I$84</f>
        <v>6.9720000000000004</v>
      </c>
      <c r="J146" s="1585" t="s">
        <v>377</v>
      </c>
      <c r="K146" s="1577">
        <f>ROUND(I146*$B146/100,0)</f>
        <v>21142</v>
      </c>
      <c r="M146" s="1570"/>
      <c r="N146" s="1570"/>
      <c r="O146" s="1571"/>
      <c r="P146" s="1571"/>
      <c r="Q146" s="1571"/>
      <c r="R146" s="1570"/>
      <c r="S146" s="1570"/>
      <c r="T146" s="1570"/>
      <c r="U146" s="1570"/>
      <c r="V146" s="1570"/>
      <c r="W146" s="1570"/>
      <c r="X146" s="1570"/>
      <c r="Y146" s="1570"/>
      <c r="Z146" s="1570"/>
      <c r="AA146" s="1570"/>
      <c r="AB146" s="1570"/>
      <c r="AC146" s="1570"/>
      <c r="AD146" s="1570"/>
      <c r="AE146" s="1570"/>
      <c r="AF146" s="1570"/>
      <c r="AG146" s="1570"/>
      <c r="AH146" s="1570"/>
      <c r="AJ146" s="1578"/>
    </row>
    <row r="147" spans="1:43" hidden="1">
      <c r="A147" s="1585" t="s">
        <v>380</v>
      </c>
      <c r="B147" s="1610">
        <v>815</v>
      </c>
      <c r="C147" s="1614">
        <v>1.6</v>
      </c>
      <c r="D147" s="1585"/>
      <c r="E147" s="1577">
        <f>ROUND(C147*$B147,0)</f>
        <v>1304</v>
      </c>
      <c r="F147" s="1614">
        <v>1.65</v>
      </c>
      <c r="G147" s="1585"/>
      <c r="H147" s="1577">
        <f t="shared" ref="H147:H148" si="19">ROUND(F147*B147,0)</f>
        <v>1345</v>
      </c>
      <c r="I147" s="1614">
        <f>$I$85</f>
        <v>1.65</v>
      </c>
      <c r="J147" s="1585"/>
      <c r="K147" s="1577">
        <f>ROUND(I147*$B147,0)</f>
        <v>1345</v>
      </c>
      <c r="M147" s="1570"/>
      <c r="N147" s="1570"/>
      <c r="O147" s="1571"/>
      <c r="P147" s="1571"/>
      <c r="Q147" s="1571"/>
      <c r="R147" s="1570"/>
      <c r="S147" s="1570"/>
      <c r="T147" s="1570"/>
      <c r="U147" s="1570"/>
      <c r="V147" s="1570"/>
      <c r="W147" s="1570"/>
      <c r="X147" s="1570"/>
      <c r="Y147" s="1570"/>
      <c r="Z147" s="1570"/>
      <c r="AA147" s="1570"/>
      <c r="AB147" s="1570"/>
      <c r="AC147" s="1570"/>
      <c r="AD147" s="1570"/>
      <c r="AE147" s="1570"/>
      <c r="AF147" s="1570"/>
      <c r="AG147" s="1570"/>
      <c r="AH147" s="1570"/>
      <c r="AJ147" s="1578"/>
    </row>
    <row r="148" spans="1:43" hidden="1">
      <c r="A148" s="1619" t="s">
        <v>382</v>
      </c>
      <c r="B148" s="1610">
        <v>114</v>
      </c>
      <c r="C148" s="1614">
        <v>3.1</v>
      </c>
      <c r="D148" s="1619"/>
      <c r="E148" s="1577">
        <f>ROUND(C148*$B148,0)</f>
        <v>353</v>
      </c>
      <c r="F148" s="1614">
        <v>3.2</v>
      </c>
      <c r="G148" s="1619"/>
      <c r="H148" s="1577">
        <f t="shared" si="19"/>
        <v>365</v>
      </c>
      <c r="I148" s="1614">
        <f>$I$86</f>
        <v>3.2</v>
      </c>
      <c r="J148" s="1619"/>
      <c r="K148" s="1577">
        <f>ROUND(I148*$B148,0)</f>
        <v>365</v>
      </c>
      <c r="M148" s="1570"/>
      <c r="N148" s="1570"/>
      <c r="O148" s="1571"/>
      <c r="P148" s="1571"/>
      <c r="Q148" s="1571"/>
      <c r="R148" s="1570"/>
      <c r="S148" s="1570"/>
      <c r="T148" s="1570"/>
      <c r="U148" s="1570"/>
      <c r="V148" s="1570"/>
      <c r="W148" s="1570"/>
      <c r="X148" s="1570"/>
      <c r="Y148" s="1570"/>
      <c r="Z148" s="1570"/>
      <c r="AA148" s="1570"/>
      <c r="AB148" s="1570"/>
      <c r="AC148" s="1570"/>
      <c r="AD148" s="1570"/>
      <c r="AE148" s="1570"/>
      <c r="AF148" s="1570"/>
      <c r="AG148" s="1570"/>
      <c r="AH148" s="1570"/>
      <c r="AJ148" s="1578"/>
    </row>
    <row r="149" spans="1:43" hidden="1">
      <c r="A149" s="1619" t="s">
        <v>383</v>
      </c>
      <c r="B149" s="1610">
        <v>16</v>
      </c>
      <c r="C149" s="1620">
        <v>-1.6</v>
      </c>
      <c r="D149" s="1619"/>
      <c r="E149" s="1577">
        <f>ROUND(C149*$B149,0)</f>
        <v>-26</v>
      </c>
      <c r="F149" s="1620">
        <v>-1.65</v>
      </c>
      <c r="G149" s="1619"/>
      <c r="H149" s="1577">
        <f>ROUND(F149*B149,0)</f>
        <v>-26</v>
      </c>
      <c r="I149" s="1620">
        <f>-I147</f>
        <v>-1.65</v>
      </c>
      <c r="J149" s="1619"/>
      <c r="K149" s="1577">
        <f>ROUND(I149*$B149,0)</f>
        <v>-26</v>
      </c>
      <c r="M149" s="1570"/>
      <c r="N149" s="1570"/>
      <c r="O149" s="1571"/>
      <c r="P149" s="1571"/>
      <c r="Q149" s="1571"/>
      <c r="R149" s="1570"/>
      <c r="S149" s="1570"/>
      <c r="T149" s="1570"/>
      <c r="U149" s="1570"/>
      <c r="V149" s="1570"/>
      <c r="W149" s="1570"/>
      <c r="X149" s="1570"/>
      <c r="Y149" s="1570"/>
      <c r="Z149" s="1570"/>
      <c r="AA149" s="1570"/>
      <c r="AB149" s="1570"/>
      <c r="AC149" s="1570"/>
      <c r="AD149" s="1570"/>
      <c r="AE149" s="1570"/>
      <c r="AF149" s="1570"/>
      <c r="AG149" s="1570"/>
      <c r="AH149" s="1570"/>
      <c r="AJ149" s="1578"/>
    </row>
    <row r="150" spans="1:43" hidden="1">
      <c r="A150" s="1569" t="s">
        <v>931</v>
      </c>
      <c r="B150" s="1575">
        <f>B145</f>
        <v>130149</v>
      </c>
      <c r="C150" s="1584"/>
      <c r="D150" s="1570"/>
      <c r="E150" s="1577"/>
      <c r="F150" s="1584"/>
      <c r="G150" s="1570"/>
      <c r="H150" s="1577"/>
      <c r="I150" s="1389">
        <f>I135</f>
        <v>0.36099999999999999</v>
      </c>
      <c r="J150" s="1585" t="s">
        <v>377</v>
      </c>
      <c r="K150" s="1577">
        <f t="shared" ref="K150:K151" si="20">I150*B150/100</f>
        <v>469.83788999999996</v>
      </c>
      <c r="M150" s="1578"/>
      <c r="O150" s="1579"/>
      <c r="P150" s="1569"/>
      <c r="Q150" s="1569"/>
      <c r="R150" s="1580"/>
      <c r="S150" s="1580"/>
      <c r="X150" s="1570"/>
      <c r="Y150" s="1570"/>
      <c r="Z150" s="1570"/>
      <c r="AA150" s="1570"/>
      <c r="AB150" s="1570"/>
      <c r="AC150" s="1570"/>
      <c r="AD150" s="1570"/>
      <c r="AE150" s="1570"/>
      <c r="AF150" s="1570"/>
      <c r="AG150" s="1570"/>
      <c r="AH150" s="1570"/>
      <c r="AJ150" s="1578"/>
    </row>
    <row r="151" spans="1:43" hidden="1">
      <c r="A151" s="1569" t="s">
        <v>932</v>
      </c>
      <c r="B151" s="1575">
        <f>B146</f>
        <v>303236</v>
      </c>
      <c r="C151" s="1584"/>
      <c r="D151" s="1570"/>
      <c r="E151" s="1577"/>
      <c r="F151" s="1584"/>
      <c r="G151" s="1570"/>
      <c r="H151" s="1577"/>
      <c r="I151" s="1389">
        <f>I136</f>
        <v>0.57199999999999995</v>
      </c>
      <c r="J151" s="1585" t="s">
        <v>377</v>
      </c>
      <c r="K151" s="1577">
        <f t="shared" si="20"/>
        <v>1734.50992</v>
      </c>
      <c r="M151" s="1578"/>
      <c r="O151" s="1579"/>
      <c r="P151" s="1569"/>
      <c r="Q151" s="1569"/>
      <c r="R151" s="1580"/>
      <c r="S151" s="1580"/>
      <c r="X151" s="1570"/>
      <c r="Y151" s="1570"/>
      <c r="Z151" s="1570"/>
      <c r="AA151" s="1570"/>
      <c r="AB151" s="1570"/>
      <c r="AC151" s="1570"/>
      <c r="AD151" s="1570"/>
      <c r="AE151" s="1570"/>
      <c r="AF151" s="1570"/>
      <c r="AG151" s="1570"/>
      <c r="AH151" s="1570"/>
      <c r="AJ151" s="1578"/>
    </row>
    <row r="152" spans="1:43" hidden="1">
      <c r="A152" s="1585" t="s">
        <v>384</v>
      </c>
      <c r="B152" s="1610">
        <f>SUM(B145:B146)</f>
        <v>433385</v>
      </c>
      <c r="C152" s="1628"/>
      <c r="D152" s="1577"/>
      <c r="E152" s="1577">
        <f>SUM(E144:E149)</f>
        <v>34542</v>
      </c>
      <c r="F152" s="1629"/>
      <c r="G152" s="1577"/>
      <c r="H152" s="1577">
        <f>SUM(H144:H149)</f>
        <v>39288</v>
      </c>
      <c r="I152" s="1577"/>
      <c r="J152" s="1577"/>
      <c r="K152" s="1577">
        <f>SUM(K144:K151)</f>
        <v>32951.347809999999</v>
      </c>
      <c r="M152" s="1570"/>
      <c r="N152" s="1570"/>
      <c r="O152" s="1571"/>
      <c r="P152" s="1571"/>
      <c r="Q152" s="1571"/>
      <c r="R152" s="1570"/>
      <c r="S152" s="1570"/>
      <c r="T152" s="1570"/>
      <c r="U152" s="1570"/>
      <c r="V152" s="1570"/>
      <c r="W152" s="1570"/>
      <c r="X152" s="1570"/>
      <c r="Y152" s="1570"/>
      <c r="Z152" s="1570"/>
      <c r="AA152" s="1570"/>
      <c r="AB152" s="1570"/>
      <c r="AC152" s="1570"/>
      <c r="AD152" s="1570"/>
      <c r="AE152" s="1570"/>
      <c r="AF152" s="1570"/>
      <c r="AG152" s="1570"/>
      <c r="AH152" s="1570"/>
      <c r="AJ152" s="1578"/>
    </row>
    <row r="153" spans="1:43" hidden="1">
      <c r="A153" s="1585" t="s">
        <v>366</v>
      </c>
      <c r="B153" s="1637">
        <f ca="1">'Table 2'!H16</f>
        <v>-27.758051490267285</v>
      </c>
      <c r="C153" s="1600"/>
      <c r="D153" s="1600"/>
      <c r="E153" s="1631" t="e">
        <f>#REF!</f>
        <v>#REF!</v>
      </c>
      <c r="F153" s="1600"/>
      <c r="G153" s="1600"/>
      <c r="H153" s="1631">
        <f ca="1">'Table 3'!E16</f>
        <v>3.7869002045382243</v>
      </c>
      <c r="I153" s="1600"/>
      <c r="J153" s="1600"/>
      <c r="K153" s="1631">
        <f ca="1">H153</f>
        <v>3.7869002045382243</v>
      </c>
      <c r="M153" s="1422"/>
      <c r="N153" s="1422"/>
      <c r="O153" s="1423"/>
      <c r="P153" s="1571"/>
      <c r="Q153" s="1571"/>
      <c r="R153" s="1570"/>
      <c r="S153" s="1570"/>
      <c r="T153" s="1570"/>
      <c r="U153" s="1570"/>
      <c r="V153" s="1570"/>
      <c r="W153" s="1570"/>
      <c r="X153" s="1570"/>
      <c r="Y153" s="1570"/>
      <c r="Z153" s="1570"/>
      <c r="AA153" s="1570"/>
      <c r="AB153" s="1570"/>
      <c r="AC153" s="1570"/>
      <c r="AD153" s="1570"/>
      <c r="AE153" s="1570"/>
      <c r="AF153" s="1570"/>
      <c r="AG153" s="1570"/>
      <c r="AH153" s="1570"/>
      <c r="AJ153" s="1578"/>
    </row>
    <row r="154" spans="1:43" ht="15.75" hidden="1" thickBot="1">
      <c r="A154" s="1585" t="s">
        <v>385</v>
      </c>
      <c r="B154" s="1632">
        <f ca="1">B152+B153</f>
        <v>433357.24194850971</v>
      </c>
      <c r="C154" s="1593"/>
      <c r="D154" s="1593"/>
      <c r="E154" s="1593" t="e">
        <f>E152+E153</f>
        <v>#REF!</v>
      </c>
      <c r="F154" s="1593"/>
      <c r="G154" s="1593"/>
      <c r="H154" s="1593">
        <f ca="1">H152+H153</f>
        <v>39291.786900204541</v>
      </c>
      <c r="I154" s="1593"/>
      <c r="J154" s="1593"/>
      <c r="K154" s="1593">
        <f ca="1">K152+K153</f>
        <v>32955.13471020454</v>
      </c>
      <c r="M154" s="1424"/>
      <c r="N154" s="1424"/>
      <c r="O154" s="1597"/>
      <c r="P154" s="1571"/>
      <c r="Q154" s="1571"/>
      <c r="R154" s="1570"/>
      <c r="S154" s="1570"/>
      <c r="T154" s="1570"/>
      <c r="U154" s="1570"/>
      <c r="V154" s="1570"/>
      <c r="W154" s="1570"/>
      <c r="X154" s="1570"/>
      <c r="Y154" s="1570"/>
      <c r="Z154" s="1570"/>
      <c r="AA154" s="1570"/>
      <c r="AB154" s="1570"/>
      <c r="AC154" s="1570"/>
      <c r="AD154" s="1570"/>
      <c r="AE154" s="1570"/>
      <c r="AF154" s="1570"/>
      <c r="AG154" s="1570"/>
      <c r="AH154" s="1570"/>
      <c r="AJ154" s="1578"/>
    </row>
    <row r="155" spans="1:43" hidden="1">
      <c r="A155" s="1585"/>
      <c r="B155" s="1610"/>
      <c r="C155" s="1610"/>
      <c r="D155" s="1610"/>
      <c r="F155" s="1585" t="s">
        <v>31</v>
      </c>
      <c r="G155" s="1585"/>
      <c r="I155" s="1585" t="s">
        <v>31</v>
      </c>
      <c r="J155" s="1585"/>
      <c r="K155" s="1577" t="s">
        <v>31</v>
      </c>
      <c r="M155" s="1570"/>
      <c r="N155" s="1570"/>
      <c r="O155" s="1571"/>
      <c r="P155" s="1571"/>
      <c r="Q155" s="1571"/>
      <c r="R155" s="1570"/>
      <c r="S155" s="1570"/>
      <c r="T155" s="1570"/>
      <c r="U155" s="1570"/>
      <c r="V155" s="1570"/>
      <c r="W155" s="1570"/>
      <c r="X155" s="1570"/>
      <c r="Y155" s="1570"/>
      <c r="Z155" s="1570"/>
      <c r="AA155" s="1570"/>
      <c r="AB155" s="1570"/>
      <c r="AC155" s="1570"/>
      <c r="AD155" s="1570"/>
      <c r="AE155" s="1570"/>
      <c r="AF155" s="1570"/>
      <c r="AG155" s="1570"/>
      <c r="AH155" s="1570"/>
      <c r="AJ155" s="1578"/>
    </row>
    <row r="156" spans="1:43">
      <c r="A156" s="1609" t="s">
        <v>390</v>
      </c>
      <c r="B156" s="1585" t="s">
        <v>31</v>
      </c>
      <c r="C156" s="1577" t="s">
        <v>31</v>
      </c>
      <c r="D156" s="1577"/>
      <c r="E156" s="1585" t="s">
        <v>31</v>
      </c>
      <c r="F156" s="1577"/>
      <c r="G156" s="1585"/>
      <c r="H156" s="1585"/>
      <c r="I156" s="1577"/>
      <c r="J156" s="1585"/>
      <c r="K156" s="1585"/>
      <c r="M156" s="1570"/>
      <c r="N156" s="1570"/>
      <c r="O156" s="1571"/>
      <c r="P156" s="1571"/>
      <c r="Q156" s="1571"/>
      <c r="R156" s="1570"/>
      <c r="S156" s="1570"/>
      <c r="T156" s="1570"/>
      <c r="U156" s="1570"/>
      <c r="V156" s="1570"/>
      <c r="W156" s="1570"/>
      <c r="X156" s="1570"/>
      <c r="Y156" s="1570"/>
      <c r="Z156" s="1570"/>
      <c r="AA156" s="1570"/>
      <c r="AB156" s="1570"/>
      <c r="AC156" s="1570"/>
      <c r="AD156" s="1570"/>
      <c r="AE156" s="1570"/>
      <c r="AF156" s="1570"/>
      <c r="AG156" s="1570"/>
      <c r="AH156" s="1570"/>
      <c r="AJ156" s="1578"/>
    </row>
    <row r="157" spans="1:43">
      <c r="A157" s="1585" t="s">
        <v>391</v>
      </c>
      <c r="B157" s="1585"/>
      <c r="C157" s="1577"/>
      <c r="D157" s="1577"/>
      <c r="E157" s="1585"/>
      <c r="F157" s="1577"/>
      <c r="G157" s="1585"/>
      <c r="H157" s="1585"/>
      <c r="I157" s="1577"/>
      <c r="J157" s="1585"/>
      <c r="K157" s="1585"/>
      <c r="M157" s="1570"/>
      <c r="N157" s="1570"/>
      <c r="O157" s="1571"/>
      <c r="P157" s="1571"/>
      <c r="Q157" s="1571"/>
      <c r="R157" s="1570"/>
      <c r="S157" s="1570"/>
      <c r="T157" s="1570"/>
      <c r="U157" s="1570"/>
      <c r="V157" s="1570"/>
      <c r="W157" s="1570"/>
      <c r="X157" s="1570"/>
      <c r="Y157" s="1570"/>
      <c r="Z157" s="1570"/>
      <c r="AA157" s="1570"/>
      <c r="AB157" s="1570"/>
      <c r="AC157" s="1570"/>
      <c r="AD157" s="1570"/>
      <c r="AE157" s="1570"/>
      <c r="AF157" s="1570"/>
      <c r="AG157" s="1570"/>
      <c r="AH157" s="1570"/>
      <c r="AJ157" s="1578"/>
    </row>
    <row r="158" spans="1:43">
      <c r="A158" s="1585"/>
      <c r="B158" s="1585"/>
      <c r="C158" s="1577"/>
      <c r="D158" s="1577"/>
      <c r="E158" s="1585"/>
      <c r="F158" s="1577"/>
      <c r="G158" s="1585"/>
      <c r="H158" s="1585"/>
      <c r="I158" s="1577"/>
      <c r="J158" s="1585"/>
      <c r="K158" s="1585"/>
      <c r="M158" s="1570"/>
      <c r="N158" s="1570"/>
      <c r="P158" s="1571"/>
      <c r="Q158" s="1571"/>
      <c r="R158" s="1570"/>
      <c r="S158" s="1570"/>
      <c r="T158" s="1570"/>
      <c r="U158" s="1570"/>
      <c r="V158" s="1570"/>
      <c r="W158" s="1570"/>
      <c r="X158" s="1570"/>
      <c r="Y158" s="1570"/>
      <c r="Z158" s="1570"/>
      <c r="AA158" s="1570"/>
      <c r="AB158" s="1570"/>
      <c r="AC158" s="1570"/>
      <c r="AD158" s="1570"/>
      <c r="AE158" s="1570"/>
      <c r="AF158" s="1570"/>
      <c r="AG158" s="1570"/>
      <c r="AH158" s="1570"/>
      <c r="AJ158" s="1578"/>
    </row>
    <row r="159" spans="1:43">
      <c r="A159" s="1585" t="s">
        <v>392</v>
      </c>
      <c r="B159" s="1585"/>
      <c r="C159" s="1577"/>
      <c r="D159" s="1577"/>
      <c r="E159" s="1585"/>
      <c r="F159" s="1577"/>
      <c r="G159" s="1585"/>
      <c r="H159" s="1585"/>
      <c r="I159" s="1577"/>
      <c r="J159" s="1585"/>
      <c r="K159" s="1585"/>
      <c r="M159" s="1570"/>
      <c r="N159" s="1570"/>
      <c r="O159" s="1571"/>
      <c r="P159" s="1613" t="s">
        <v>649</v>
      </c>
      <c r="Q159" s="1613"/>
      <c r="R159" s="1570"/>
      <c r="S159" s="1570"/>
      <c r="T159" s="1570"/>
      <c r="U159" s="1570"/>
      <c r="V159" s="1570"/>
      <c r="W159" s="1570"/>
      <c r="X159" s="1570"/>
      <c r="Y159" s="1570"/>
      <c r="Z159" s="1570"/>
      <c r="AA159" s="1570"/>
      <c r="AB159" s="1570"/>
      <c r="AC159" s="1570"/>
      <c r="AD159" s="1570"/>
      <c r="AE159" s="1570"/>
      <c r="AF159" s="1570"/>
      <c r="AG159" s="1570"/>
      <c r="AH159" s="1570"/>
      <c r="AJ159" s="1578"/>
    </row>
    <row r="160" spans="1:43">
      <c r="A160" s="1585" t="s">
        <v>393</v>
      </c>
      <c r="B160" s="1610">
        <f>B481</f>
        <v>1</v>
      </c>
      <c r="C160" s="1614">
        <v>91.679999999999993</v>
      </c>
      <c r="D160" s="1577"/>
      <c r="E160" s="1577">
        <f t="shared" ref="E160:H162" si="21">E446</f>
        <v>92</v>
      </c>
      <c r="F160" s="1614">
        <v>104.52000000000001</v>
      </c>
      <c r="G160" s="1585"/>
      <c r="H160" s="1577">
        <f t="shared" si="21"/>
        <v>105</v>
      </c>
      <c r="I160" s="1614">
        <f>I164*12</f>
        <v>107.03999999999999</v>
      </c>
      <c r="J160" s="1585"/>
      <c r="K160" s="1577">
        <f>K446</f>
        <v>107</v>
      </c>
      <c r="M160" s="1578" t="e">
        <f>I160*#REF!</f>
        <v>#REF!</v>
      </c>
      <c r="P160" s="1615">
        <f>(I160-F160)/F160</f>
        <v>2.4110218140068709E-2</v>
      </c>
      <c r="Q160" s="1598"/>
      <c r="T160" s="1638"/>
      <c r="V160" s="1638"/>
      <c r="X160" s="1638"/>
      <c r="Y160" s="1638"/>
      <c r="AJ160" s="1570"/>
      <c r="AK160" s="1570"/>
      <c r="AL160" s="1570"/>
      <c r="AM160" s="1570"/>
      <c r="AN160" s="1570"/>
      <c r="AO160" s="1570"/>
      <c r="AQ160" s="1578"/>
    </row>
    <row r="161" spans="1:43">
      <c r="A161" s="1585" t="s">
        <v>394</v>
      </c>
      <c r="B161" s="1610">
        <f>B447</f>
        <v>88.747945205479496</v>
      </c>
      <c r="C161" s="1614">
        <v>136.32</v>
      </c>
      <c r="D161" s="1577"/>
      <c r="E161" s="1577">
        <f t="shared" si="21"/>
        <v>12098</v>
      </c>
      <c r="F161" s="1614">
        <v>155.76</v>
      </c>
      <c r="G161" s="1585"/>
      <c r="H161" s="1577">
        <f t="shared" si="21"/>
        <v>13824</v>
      </c>
      <c r="I161" s="1614">
        <f>I165*12</f>
        <v>159.6</v>
      </c>
      <c r="J161" s="1585"/>
      <c r="K161" s="1577">
        <f>K447</f>
        <v>14165</v>
      </c>
      <c r="M161" s="1578" t="e">
        <f>I161*#REF!</f>
        <v>#REF!</v>
      </c>
      <c r="N161" s="1578"/>
      <c r="P161" s="1615">
        <f>(I161-F161)/F161</f>
        <v>2.4653312788906031E-2</v>
      </c>
      <c r="Q161" s="1598"/>
      <c r="S161" s="1578"/>
      <c r="T161" s="1639"/>
      <c r="U161" s="1578"/>
      <c r="V161" s="1639"/>
      <c r="W161" s="1578"/>
      <c r="X161" s="1578"/>
      <c r="Y161" s="1639"/>
      <c r="Z161" s="1615"/>
      <c r="AA161" s="1578"/>
      <c r="AB161" s="1578"/>
      <c r="AJ161" s="1570"/>
      <c r="AK161" s="1570"/>
      <c r="AL161" s="1570"/>
      <c r="AM161" s="1570"/>
      <c r="AN161" s="1570"/>
      <c r="AO161" s="1570"/>
      <c r="AQ161" s="1578"/>
    </row>
    <row r="162" spans="1:43">
      <c r="A162" s="1585" t="s">
        <v>395</v>
      </c>
      <c r="B162" s="1610">
        <f>B448</f>
        <v>3368.9150684931501</v>
      </c>
      <c r="C162" s="1614">
        <v>9.66</v>
      </c>
      <c r="D162" s="1577"/>
      <c r="E162" s="1577">
        <f t="shared" si="21"/>
        <v>32544</v>
      </c>
      <c r="F162" s="1614">
        <v>11.040000000000001</v>
      </c>
      <c r="G162" s="1585"/>
      <c r="H162" s="1577">
        <f t="shared" si="21"/>
        <v>37193</v>
      </c>
      <c r="I162" s="1614">
        <f>I166*12</f>
        <v>11.399999999999999</v>
      </c>
      <c r="J162" s="1585"/>
      <c r="K162" s="1577">
        <f>K448</f>
        <v>38406</v>
      </c>
      <c r="M162" s="1578" t="e">
        <f>I162*#REF!</f>
        <v>#REF!</v>
      </c>
      <c r="P162" s="1615">
        <f>(I162-F162)/F162</f>
        <v>3.2608695652173697E-2</v>
      </c>
      <c r="Q162" s="1598"/>
      <c r="S162" s="1578"/>
      <c r="T162" s="1639"/>
      <c r="U162" s="1578"/>
      <c r="V162" s="1639"/>
      <c r="W162" s="1578"/>
      <c r="X162" s="1578"/>
      <c r="Y162" s="1639"/>
      <c r="Z162" s="1615"/>
      <c r="AA162" s="1578"/>
      <c r="AB162" s="1578"/>
      <c r="AJ162" s="1570"/>
      <c r="AK162" s="1570"/>
      <c r="AL162" s="1570"/>
      <c r="AM162" s="1570"/>
      <c r="AN162" s="1570"/>
      <c r="AO162" s="1570"/>
      <c r="AQ162" s="1578"/>
    </row>
    <row r="163" spans="1:43">
      <c r="A163" s="1585" t="s">
        <v>396</v>
      </c>
      <c r="B163" s="1599"/>
      <c r="C163" s="1577"/>
      <c r="D163" s="1577"/>
      <c r="E163" s="1585"/>
      <c r="F163" s="1577"/>
      <c r="G163" s="1585"/>
      <c r="H163" s="1585"/>
      <c r="I163" s="1577"/>
      <c r="J163" s="1585"/>
      <c r="K163" s="1585"/>
      <c r="P163" s="1640"/>
      <c r="Q163" s="1640"/>
      <c r="S163" s="1578"/>
      <c r="T163" s="1639"/>
      <c r="U163" s="1578"/>
      <c r="V163" s="1639"/>
      <c r="W163" s="1578"/>
      <c r="X163" s="1578"/>
      <c r="Y163" s="1639"/>
      <c r="Z163" s="1615"/>
      <c r="AA163" s="1578"/>
      <c r="AB163" s="1578"/>
      <c r="AJ163" s="1570"/>
      <c r="AK163" s="1570"/>
      <c r="AL163" s="1570"/>
      <c r="AM163" s="1570"/>
      <c r="AN163" s="1570"/>
      <c r="AO163" s="1570"/>
      <c r="AQ163" s="1578"/>
    </row>
    <row r="164" spans="1:43">
      <c r="A164" s="1585" t="s">
        <v>393</v>
      </c>
      <c r="B164" s="1599">
        <f>B203+B340</f>
        <v>163154.29999999361</v>
      </c>
      <c r="C164" s="1614">
        <v>7.64</v>
      </c>
      <c r="D164" s="1574"/>
      <c r="E164" s="1588">
        <f>E203+E340</f>
        <v>1202713</v>
      </c>
      <c r="F164" s="1614">
        <v>8.7100000000000009</v>
      </c>
      <c r="G164" s="1600"/>
      <c r="H164" s="1588">
        <f>H203+H340</f>
        <v>1421074</v>
      </c>
      <c r="I164" s="1614">
        <f>ROUNDUP(F164+(F164*$P$196), 2)</f>
        <v>8.92</v>
      </c>
      <c r="J164" s="1600"/>
      <c r="K164" s="1588">
        <f>K203+K340</f>
        <v>1455337</v>
      </c>
      <c r="M164" s="1578" t="e">
        <f>I164*#REF!</f>
        <v>#REF!</v>
      </c>
      <c r="P164" s="1615">
        <f>(I164-F164)/F164</f>
        <v>2.4110218140068779E-2</v>
      </c>
      <c r="Q164" s="1598"/>
      <c r="S164" s="1578"/>
      <c r="T164" s="1639"/>
      <c r="U164" s="1578"/>
      <c r="V164" s="1639"/>
      <c r="W164" s="1578"/>
      <c r="X164" s="1578"/>
      <c r="Y164" s="1639"/>
      <c r="Z164" s="1615"/>
      <c r="AA164" s="1578"/>
      <c r="AB164" s="1578"/>
      <c r="AJ164" s="1570"/>
      <c r="AK164" s="1570"/>
      <c r="AL164" s="1570"/>
      <c r="AM164" s="1570"/>
      <c r="AN164" s="1570"/>
      <c r="AO164" s="1570"/>
      <c r="AQ164" s="1578"/>
    </row>
    <row r="165" spans="1:43">
      <c r="A165" s="1585" t="s">
        <v>394</v>
      </c>
      <c r="B165" s="1599">
        <f>B204+B341</f>
        <v>62611.199999999109</v>
      </c>
      <c r="C165" s="1614">
        <v>11.36</v>
      </c>
      <c r="D165" s="1641"/>
      <c r="E165" s="1588">
        <f>E204+E341</f>
        <v>707158</v>
      </c>
      <c r="F165" s="1614">
        <v>12.98</v>
      </c>
      <c r="G165" s="1642"/>
      <c r="H165" s="1588">
        <f>H204+H341</f>
        <v>812693</v>
      </c>
      <c r="I165" s="1614">
        <f t="shared" ref="I165:I166" si="22">ROUNDUP(F165+(F165*$P$196), 2)</f>
        <v>13.299999999999999</v>
      </c>
      <c r="J165" s="1642"/>
      <c r="K165" s="1588">
        <f>K204+K341</f>
        <v>832728</v>
      </c>
      <c r="M165" s="1578" t="e">
        <f>I165*#REF!</f>
        <v>#REF!</v>
      </c>
      <c r="P165" s="1615">
        <f>(I165-F165)/F165</f>
        <v>2.4653312788905892E-2</v>
      </c>
      <c r="Q165" s="1598"/>
      <c r="R165" s="1589"/>
      <c r="S165" s="1578"/>
      <c r="T165" s="1639"/>
      <c r="U165" s="1578"/>
      <c r="V165" s="1643"/>
      <c r="W165" s="1578"/>
      <c r="X165" s="1578"/>
      <c r="Y165" s="1643"/>
      <c r="AA165" s="1570"/>
      <c r="AB165" s="1570"/>
      <c r="AC165" s="1570"/>
      <c r="AD165" s="1570"/>
      <c r="AE165" s="1570"/>
      <c r="AF165" s="1570"/>
      <c r="AG165" s="1570"/>
      <c r="AH165" s="1570"/>
      <c r="AJ165" s="1578"/>
    </row>
    <row r="166" spans="1:43">
      <c r="A166" s="1585" t="s">
        <v>395</v>
      </c>
      <c r="B166" s="1599">
        <f>B205+B342</f>
        <v>1220817.5</v>
      </c>
      <c r="C166" s="1614">
        <v>0.81</v>
      </c>
      <c r="D166" s="1641"/>
      <c r="E166" s="1588">
        <f>E205+E342</f>
        <v>988060</v>
      </c>
      <c r="F166" s="1614">
        <v>0.92</v>
      </c>
      <c r="G166" s="1642"/>
      <c r="H166" s="1588">
        <f>H205+H342</f>
        <v>1123153</v>
      </c>
      <c r="I166" s="1614">
        <f t="shared" si="22"/>
        <v>0.95</v>
      </c>
      <c r="J166" s="1642"/>
      <c r="K166" s="1588">
        <f>K205+K342</f>
        <v>1159776</v>
      </c>
      <c r="M166" s="1578" t="e">
        <f>I166*#REF!</f>
        <v>#REF!</v>
      </c>
      <c r="P166" s="1615">
        <f>(I166-F166)/F166</f>
        <v>3.2608695652173822E-2</v>
      </c>
      <c r="Q166" s="1598"/>
      <c r="R166" s="1589"/>
      <c r="U166" s="1644"/>
      <c r="V166" s="1644"/>
      <c r="W166" s="1644"/>
      <c r="X166" s="1644"/>
      <c r="Y166" s="1644"/>
      <c r="AA166" s="1570"/>
      <c r="AB166" s="1570"/>
      <c r="AC166" s="1570"/>
      <c r="AD166" s="1570"/>
      <c r="AE166" s="1570"/>
      <c r="AF166" s="1570"/>
      <c r="AG166" s="1570"/>
      <c r="AH166" s="1570"/>
      <c r="AJ166" s="1578"/>
    </row>
    <row r="167" spans="1:43">
      <c r="A167" s="1585" t="s">
        <v>397</v>
      </c>
      <c r="B167" s="1599">
        <f>SUM(B164:B165)</f>
        <v>225765.49999999272</v>
      </c>
      <c r="C167" s="1614"/>
      <c r="D167" s="1574"/>
      <c r="E167" s="1588"/>
      <c r="F167" s="1614"/>
      <c r="G167" s="1600"/>
      <c r="H167" s="1588"/>
      <c r="I167" s="1614"/>
      <c r="J167" s="1600"/>
      <c r="K167" s="1588"/>
      <c r="P167" s="1640"/>
      <c r="Q167" s="1640"/>
      <c r="R167" s="1589"/>
      <c r="AA167" s="1570"/>
      <c r="AB167" s="1570"/>
      <c r="AC167" s="1570"/>
      <c r="AD167" s="1570"/>
      <c r="AE167" s="1570"/>
      <c r="AF167" s="1570"/>
      <c r="AG167" s="1570"/>
      <c r="AH167" s="1570"/>
      <c r="AJ167" s="1578"/>
    </row>
    <row r="168" spans="1:43">
      <c r="A168" s="1585" t="s">
        <v>365</v>
      </c>
      <c r="B168" s="1599">
        <f t="shared" ref="B168:B176" si="23">B206+B344+B450</f>
        <v>223761.49999999272</v>
      </c>
      <c r="C168" s="1614"/>
      <c r="D168" s="1574"/>
      <c r="E168" s="1588"/>
      <c r="F168" s="1614"/>
      <c r="G168" s="1600"/>
      <c r="H168" s="1588"/>
      <c r="I168" s="1614"/>
      <c r="J168" s="1600"/>
      <c r="K168" s="1588"/>
      <c r="P168" s="1640"/>
      <c r="Q168" s="1640"/>
      <c r="R168" s="1589"/>
      <c r="AA168" s="1570"/>
      <c r="AB168" s="1570"/>
      <c r="AC168" s="1570"/>
      <c r="AD168" s="1570"/>
      <c r="AE168" s="1570"/>
      <c r="AF168" s="1570"/>
      <c r="AG168" s="1570"/>
      <c r="AH168" s="1570"/>
      <c r="AJ168" s="1578"/>
    </row>
    <row r="169" spans="1:43">
      <c r="A169" s="1585" t="s">
        <v>398</v>
      </c>
      <c r="B169" s="1599">
        <f t="shared" si="23"/>
        <v>794203.5</v>
      </c>
      <c r="C169" s="1614">
        <v>2.98</v>
      </c>
      <c r="D169" s="1600"/>
      <c r="E169" s="1588">
        <f>E207+E345+E451</f>
        <v>2365218</v>
      </c>
      <c r="F169" s="1614">
        <v>3.4</v>
      </c>
      <c r="G169" s="1600"/>
      <c r="H169" s="1588">
        <f>H207+H345+H451</f>
        <v>2700291</v>
      </c>
      <c r="I169" s="1614">
        <f>ROUNDUP(F169+(F169*$P$196), 2)</f>
        <v>3.4899999999999998</v>
      </c>
      <c r="J169" s="1600"/>
      <c r="K169" s="1588">
        <f>K207+K345+K451</f>
        <v>2771770</v>
      </c>
      <c r="M169" s="1578" t="e">
        <f>I169*#REF!</f>
        <v>#REF!</v>
      </c>
      <c r="P169" s="1615">
        <f>(I169-F169)/F169</f>
        <v>2.6470588235294076E-2</v>
      </c>
      <c r="Q169" s="1598"/>
      <c r="R169" s="1589"/>
      <c r="AA169" s="1570"/>
      <c r="AB169" s="1570"/>
      <c r="AC169" s="1570"/>
      <c r="AD169" s="1570"/>
      <c r="AE169" s="1570"/>
      <c r="AF169" s="1570"/>
      <c r="AG169" s="1570"/>
      <c r="AH169" s="1570"/>
      <c r="AJ169" s="1578"/>
    </row>
    <row r="170" spans="1:43">
      <c r="A170" s="1585" t="s">
        <v>400</v>
      </c>
      <c r="B170" s="1599">
        <f t="shared" si="23"/>
        <v>131920471.98392698</v>
      </c>
      <c r="C170" s="1389">
        <v>8.5489999999999995</v>
      </c>
      <c r="D170" s="1600" t="s">
        <v>377</v>
      </c>
      <c r="E170" s="1588">
        <f>E208+E346+E452</f>
        <v>11121071</v>
      </c>
      <c r="F170" s="1389">
        <v>9.766</v>
      </c>
      <c r="G170" s="1600" t="s">
        <v>377</v>
      </c>
      <c r="H170" s="1588">
        <f>H208+H346+H452</f>
        <v>12883355</v>
      </c>
      <c r="I170" s="1389">
        <f>ROUNDUP(F170+(F170*$P$196), 3)-0.014</f>
        <v>9.9879999999999995</v>
      </c>
      <c r="J170" s="1600" t="s">
        <v>377</v>
      </c>
      <c r="K170" s="1588">
        <f>K208+K346+K452</f>
        <v>13176218</v>
      </c>
      <c r="M170" s="1578" t="e">
        <f>(I170/100)*#REF!</f>
        <v>#REF!</v>
      </c>
      <c r="P170" s="1615">
        <f>(I170+I174-F170)/F170</f>
        <v>2.2731927093999543E-2</v>
      </c>
      <c r="Q170" s="1598"/>
      <c r="R170" s="1589"/>
      <c r="S170" s="1645"/>
      <c r="T170" s="1645"/>
      <c r="U170" s="1645"/>
      <c r="V170" s="1645"/>
      <c r="W170" s="1645"/>
      <c r="X170" s="1645"/>
      <c r="AA170" s="1570"/>
      <c r="AB170" s="1570"/>
      <c r="AC170" s="1570"/>
      <c r="AD170" s="1570"/>
      <c r="AE170" s="1570"/>
      <c r="AF170" s="1570"/>
      <c r="AG170" s="1570"/>
      <c r="AH170" s="1570"/>
      <c r="AJ170" s="1578"/>
    </row>
    <row r="171" spans="1:43">
      <c r="A171" s="1585" t="s">
        <v>401</v>
      </c>
      <c r="B171" s="1599">
        <f t="shared" si="23"/>
        <v>286256333.21862602</v>
      </c>
      <c r="C171" s="1389">
        <v>5.9020000000000001</v>
      </c>
      <c r="D171" s="1600" t="s">
        <v>377</v>
      </c>
      <c r="E171" s="1588">
        <f>E209+E347+E453</f>
        <v>16863945</v>
      </c>
      <c r="F171" s="1389">
        <v>6.7460000000000004</v>
      </c>
      <c r="G171" s="1600" t="s">
        <v>377</v>
      </c>
      <c r="H171" s="1588">
        <f>H209+H347+H453</f>
        <v>19310851</v>
      </c>
      <c r="I171" s="1389">
        <f>ROUNDDOWN(F171+(F171*$P$196), 3)</f>
        <v>6.9080000000000004</v>
      </c>
      <c r="J171" s="1600" t="s">
        <v>377</v>
      </c>
      <c r="K171" s="1588">
        <f>K209+K347+K453</f>
        <v>19774587</v>
      </c>
      <c r="M171" s="1578" t="e">
        <f>(I171/100)*#REF!</f>
        <v>#REF!</v>
      </c>
      <c r="N171" s="1646"/>
      <c r="P171" s="1615">
        <f>(I171+I175-F171)/F171</f>
        <v>2.401423065520307E-2</v>
      </c>
      <c r="Q171" s="1598"/>
      <c r="R171" s="1589"/>
      <c r="AA171" s="1570"/>
      <c r="AB171" s="1570"/>
      <c r="AC171" s="1570"/>
      <c r="AD171" s="1570"/>
      <c r="AE171" s="1570"/>
      <c r="AF171" s="1570"/>
      <c r="AG171" s="1570"/>
      <c r="AH171" s="1570"/>
      <c r="AJ171" s="1578"/>
    </row>
    <row r="172" spans="1:43">
      <c r="A172" s="1585" t="s">
        <v>402</v>
      </c>
      <c r="B172" s="1599">
        <f t="shared" si="23"/>
        <v>120328651.26156484</v>
      </c>
      <c r="C172" s="1389">
        <v>5.0839999999999996</v>
      </c>
      <c r="D172" s="1600" t="s">
        <v>377</v>
      </c>
      <c r="E172" s="1588">
        <f>E210+E348+E454</f>
        <v>6117509</v>
      </c>
      <c r="F172" s="1389">
        <v>5.8120000000000003</v>
      </c>
      <c r="G172" s="1600" t="s">
        <v>377</v>
      </c>
      <c r="H172" s="1588">
        <f>H210+H348+H454</f>
        <v>6993501</v>
      </c>
      <c r="I172" s="1389">
        <f>ROUNDDOWN(F172+(F172*$P$196), 3)</f>
        <v>5.952</v>
      </c>
      <c r="J172" s="1600" t="s">
        <v>377</v>
      </c>
      <c r="K172" s="1588">
        <f>K210+K348+K454</f>
        <v>7161962</v>
      </c>
      <c r="M172" s="1578" t="e">
        <f>(I172/100)*#REF!</f>
        <v>#REF!</v>
      </c>
      <c r="N172" s="1617"/>
      <c r="P172" s="1615">
        <f>(I172+I176-F172)/F172</f>
        <v>2.408809359944936E-2</v>
      </c>
      <c r="Q172" s="1598"/>
      <c r="R172" s="1589"/>
      <c r="S172" s="1578"/>
      <c r="T172" s="1578"/>
      <c r="AA172" s="1570"/>
      <c r="AB172" s="1570"/>
      <c r="AC172" s="1570"/>
      <c r="AD172" s="1570"/>
      <c r="AE172" s="1570"/>
      <c r="AF172" s="1570"/>
      <c r="AG172" s="1570"/>
      <c r="AH172" s="1570"/>
      <c r="AJ172" s="1578"/>
    </row>
    <row r="173" spans="1:43">
      <c r="A173" s="1585" t="s">
        <v>403</v>
      </c>
      <c r="B173" s="1599">
        <f t="shared" si="23"/>
        <v>111858.08888888868</v>
      </c>
      <c r="C173" s="1647">
        <v>50</v>
      </c>
      <c r="D173" s="1574" t="s">
        <v>377</v>
      </c>
      <c r="E173" s="1588">
        <f>E211+E349+E455</f>
        <v>55928</v>
      </c>
      <c r="F173" s="1647">
        <v>56</v>
      </c>
      <c r="G173" s="1600" t="s">
        <v>377</v>
      </c>
      <c r="H173" s="1588">
        <f>H211+H349+H455</f>
        <v>62641</v>
      </c>
      <c r="I173" s="1614">
        <f>ROUNDDOWN(F173+(F173*$P$196), 0)</f>
        <v>57</v>
      </c>
      <c r="J173" s="1600" t="s">
        <v>377</v>
      </c>
      <c r="K173" s="1588">
        <f>K211+K349+K455</f>
        <v>63760</v>
      </c>
      <c r="M173" s="1578" t="e">
        <f>(I173/100)*#REF!</f>
        <v>#REF!</v>
      </c>
      <c r="P173" s="1615">
        <f>(I173-F173)/F173</f>
        <v>1.7857142857142856E-2</v>
      </c>
      <c r="Q173" s="1598"/>
      <c r="R173" s="1589"/>
      <c r="AA173" s="1570"/>
      <c r="AB173" s="1570"/>
      <c r="AC173" s="1570"/>
      <c r="AD173" s="1570"/>
      <c r="AE173" s="1570"/>
      <c r="AF173" s="1570"/>
      <c r="AG173" s="1570"/>
      <c r="AH173" s="1570"/>
      <c r="AJ173" s="1578"/>
    </row>
    <row r="174" spans="1:43" s="1621" customFormat="1">
      <c r="A174" s="1621" t="s">
        <v>933</v>
      </c>
      <c r="B174" s="1648">
        <f t="shared" si="23"/>
        <v>131920471.98392698</v>
      </c>
      <c r="C174" s="1623"/>
      <c r="D174" s="1624"/>
      <c r="E174" s="1625"/>
      <c r="F174" s="1623"/>
      <c r="G174" s="1624"/>
      <c r="H174" s="1625"/>
      <c r="I174" s="1626">
        <v>0</v>
      </c>
      <c r="J174" s="1649" t="s">
        <v>377</v>
      </c>
      <c r="K174" s="1650">
        <f t="shared" ref="K174:K176" si="24">K212+K350+K456</f>
        <v>0</v>
      </c>
      <c r="M174" s="1651"/>
      <c r="N174" s="1651">
        <f>'NPC Spread'!E33</f>
        <v>18054120.492522724</v>
      </c>
      <c r="O174" s="1652" t="s">
        <v>913</v>
      </c>
      <c r="R174" s="1653"/>
      <c r="S174" s="1653"/>
      <c r="X174" s="1624"/>
      <c r="Y174" s="1624"/>
      <c r="Z174" s="1624"/>
      <c r="AA174" s="1624"/>
      <c r="AB174" s="1624"/>
      <c r="AC174" s="1624"/>
      <c r="AD174" s="1624"/>
      <c r="AE174" s="1624"/>
      <c r="AF174" s="1624"/>
      <c r="AG174" s="1624"/>
      <c r="AH174" s="1624"/>
      <c r="AJ174" s="1651"/>
    </row>
    <row r="175" spans="1:43" s="1621" customFormat="1">
      <c r="A175" s="1621" t="s">
        <v>934</v>
      </c>
      <c r="B175" s="1648">
        <f t="shared" si="23"/>
        <v>286256333.21862602</v>
      </c>
      <c r="C175" s="1623"/>
      <c r="D175" s="1624"/>
      <c r="E175" s="1625"/>
      <c r="F175" s="1623"/>
      <c r="G175" s="1624"/>
      <c r="H175" s="1625"/>
      <c r="I175" s="1626">
        <v>0</v>
      </c>
      <c r="J175" s="1649" t="s">
        <v>377</v>
      </c>
      <c r="K175" s="1650">
        <f t="shared" si="24"/>
        <v>0</v>
      </c>
      <c r="M175" s="1651"/>
      <c r="O175" s="1652"/>
      <c r="R175" s="1653"/>
      <c r="S175" s="1653"/>
      <c r="X175" s="1624"/>
      <c r="Y175" s="1624"/>
      <c r="Z175" s="1624"/>
      <c r="AA175" s="1624"/>
      <c r="AB175" s="1624"/>
      <c r="AC175" s="1624"/>
      <c r="AD175" s="1624"/>
      <c r="AE175" s="1624"/>
      <c r="AF175" s="1624"/>
      <c r="AG175" s="1624"/>
      <c r="AH175" s="1624"/>
      <c r="AJ175" s="1651"/>
    </row>
    <row r="176" spans="1:43" s="1621" customFormat="1">
      <c r="A176" s="1621" t="s">
        <v>935</v>
      </c>
      <c r="B176" s="1648">
        <f t="shared" si="23"/>
        <v>120328651.26156484</v>
      </c>
      <c r="C176" s="1623"/>
      <c r="D176" s="1624"/>
      <c r="E176" s="1625"/>
      <c r="F176" s="1623"/>
      <c r="G176" s="1624"/>
      <c r="H176" s="1625"/>
      <c r="I176" s="1626">
        <v>0</v>
      </c>
      <c r="J176" s="1649" t="s">
        <v>377</v>
      </c>
      <c r="K176" s="1650">
        <f t="shared" si="24"/>
        <v>0</v>
      </c>
      <c r="M176" s="1651"/>
      <c r="O176" s="1652"/>
      <c r="R176" s="1653"/>
      <c r="S176" s="1653"/>
      <c r="X176" s="1624"/>
      <c r="Y176" s="1624"/>
      <c r="Z176" s="1624"/>
      <c r="AA176" s="1624"/>
      <c r="AB176" s="1624"/>
      <c r="AC176" s="1624"/>
      <c r="AD176" s="1624"/>
      <c r="AE176" s="1624"/>
      <c r="AF176" s="1624"/>
      <c r="AG176" s="1624"/>
      <c r="AH176" s="1624"/>
      <c r="AJ176" s="1651"/>
    </row>
    <row r="177" spans="1:36">
      <c r="A177" s="1569" t="s">
        <v>917</v>
      </c>
      <c r="B177" s="1599"/>
      <c r="C177" s="1584"/>
      <c r="D177" s="1570"/>
      <c r="E177" s="1577"/>
      <c r="F177" s="1389">
        <f>F170</f>
        <v>9.766</v>
      </c>
      <c r="G177" s="1600" t="s">
        <v>377</v>
      </c>
      <c r="H177" s="1577"/>
      <c r="I177" s="1389">
        <f>I170+I174</f>
        <v>9.9879999999999995</v>
      </c>
      <c r="J177" s="1600" t="s">
        <v>377</v>
      </c>
      <c r="K177" s="1588"/>
      <c r="M177" s="1578"/>
      <c r="O177" s="1579"/>
      <c r="P177" s="1569"/>
      <c r="Q177" s="1569"/>
      <c r="R177" s="1580"/>
      <c r="S177" s="1580"/>
      <c r="X177" s="1570"/>
      <c r="Y177" s="1570"/>
      <c r="Z177" s="1570"/>
      <c r="AA177" s="1570"/>
      <c r="AB177" s="1570"/>
      <c r="AC177" s="1570"/>
      <c r="AD177" s="1570"/>
      <c r="AE177" s="1570"/>
      <c r="AF177" s="1570"/>
      <c r="AG177" s="1570"/>
      <c r="AH177" s="1570"/>
      <c r="AJ177" s="1578"/>
    </row>
    <row r="178" spans="1:36">
      <c r="A178" s="1569" t="s">
        <v>918</v>
      </c>
      <c r="B178" s="1599"/>
      <c r="C178" s="1584"/>
      <c r="D178" s="1570"/>
      <c r="E178" s="1577"/>
      <c r="F178" s="1389">
        <f t="shared" ref="F178:F179" si="25">F171</f>
        <v>6.7460000000000004</v>
      </c>
      <c r="G178" s="1600" t="s">
        <v>377</v>
      </c>
      <c r="H178" s="1577"/>
      <c r="I178" s="1389">
        <f t="shared" ref="I178:I179" si="26">I171+I175</f>
        <v>6.9080000000000004</v>
      </c>
      <c r="J178" s="1600" t="s">
        <v>377</v>
      </c>
      <c r="K178" s="1588"/>
      <c r="M178" s="1578"/>
      <c r="O178" s="1579"/>
      <c r="P178" s="1569"/>
      <c r="Q178" s="1569"/>
      <c r="R178" s="1580"/>
      <c r="S178" s="1580"/>
      <c r="X178" s="1570"/>
      <c r="Y178" s="1570"/>
      <c r="Z178" s="1570"/>
      <c r="AA178" s="1570"/>
      <c r="AB178" s="1570"/>
      <c r="AC178" s="1570"/>
      <c r="AD178" s="1570"/>
      <c r="AE178" s="1570"/>
      <c r="AF178" s="1570"/>
      <c r="AG178" s="1570"/>
      <c r="AH178" s="1570"/>
      <c r="AJ178" s="1578"/>
    </row>
    <row r="179" spans="1:36">
      <c r="A179" s="1569" t="s">
        <v>919</v>
      </c>
      <c r="B179" s="1599"/>
      <c r="C179" s="1584"/>
      <c r="D179" s="1570"/>
      <c r="E179" s="1577"/>
      <c r="F179" s="1389">
        <f t="shared" si="25"/>
        <v>5.8120000000000003</v>
      </c>
      <c r="G179" s="1600" t="s">
        <v>377</v>
      </c>
      <c r="H179" s="1577"/>
      <c r="I179" s="1389">
        <f t="shared" si="26"/>
        <v>5.952</v>
      </c>
      <c r="J179" s="1600" t="s">
        <v>377</v>
      </c>
      <c r="K179" s="1588"/>
      <c r="M179" s="1578"/>
      <c r="O179" s="1579"/>
      <c r="P179" s="1569"/>
      <c r="Q179" s="1569"/>
      <c r="R179" s="1580"/>
      <c r="S179" s="1580"/>
      <c r="X179" s="1570"/>
      <c r="Y179" s="1570"/>
      <c r="Z179" s="1570"/>
      <c r="AA179" s="1570"/>
      <c r="AB179" s="1570"/>
      <c r="AC179" s="1570"/>
      <c r="AD179" s="1570"/>
      <c r="AE179" s="1570"/>
      <c r="AF179" s="1570"/>
      <c r="AG179" s="1570"/>
      <c r="AH179" s="1570"/>
      <c r="AJ179" s="1578"/>
    </row>
    <row r="180" spans="1:36">
      <c r="A180" s="1654" t="s">
        <v>404</v>
      </c>
      <c r="B180" s="1599"/>
      <c r="C180" s="1655">
        <v>-0.01</v>
      </c>
      <c r="D180" s="1574"/>
      <c r="E180" s="1588"/>
      <c r="F180" s="1655">
        <v>-0.01</v>
      </c>
      <c r="G180" s="1600"/>
      <c r="H180" s="1588"/>
      <c r="I180" s="1655">
        <v>-0.01</v>
      </c>
      <c r="J180" s="1600"/>
      <c r="K180" s="1588"/>
      <c r="O180" s="1656"/>
      <c r="AA180" s="1570"/>
      <c r="AB180" s="1570"/>
      <c r="AC180" s="1570"/>
      <c r="AD180" s="1570"/>
      <c r="AE180" s="1570"/>
      <c r="AF180" s="1570"/>
      <c r="AG180" s="1570"/>
      <c r="AH180" s="1570"/>
      <c r="AJ180" s="1578"/>
    </row>
    <row r="181" spans="1:36">
      <c r="A181" s="1585" t="s">
        <v>393</v>
      </c>
      <c r="B181" s="1599">
        <f t="shared" ref="B181:B195" si="27">B216+B354+B460</f>
        <v>72.066666666666706</v>
      </c>
      <c r="C181" s="1657">
        <v>7.64</v>
      </c>
      <c r="D181" s="1574"/>
      <c r="E181" s="1588">
        <f t="shared" ref="E181:E190" si="28">E216+E354+E460</f>
        <v>-6</v>
      </c>
      <c r="F181" s="1657">
        <v>8.7100000000000009</v>
      </c>
      <c r="G181" s="1574"/>
      <c r="H181" s="1588">
        <f t="shared" ref="H181:H190" si="29">H216+H354+H460</f>
        <v>-6</v>
      </c>
      <c r="I181" s="1657">
        <f>I164</f>
        <v>8.92</v>
      </c>
      <c r="J181" s="1574"/>
      <c r="K181" s="1588">
        <f t="shared" ref="K181:K190" si="30">K216+K354+K460</f>
        <v>-6</v>
      </c>
      <c r="M181" s="1578" t="e">
        <f>-(I181/100)*#REF!</f>
        <v>#REF!</v>
      </c>
      <c r="AA181" s="1570"/>
      <c r="AB181" s="1570"/>
      <c r="AC181" s="1570"/>
      <c r="AD181" s="1570"/>
      <c r="AE181" s="1570"/>
      <c r="AF181" s="1570"/>
      <c r="AG181" s="1570"/>
      <c r="AH181" s="1570"/>
      <c r="AJ181" s="1578"/>
    </row>
    <row r="182" spans="1:36">
      <c r="A182" s="1585" t="s">
        <v>394</v>
      </c>
      <c r="B182" s="1599">
        <f t="shared" si="27"/>
        <v>138.7000000000001</v>
      </c>
      <c r="C182" s="1657">
        <v>11.36</v>
      </c>
      <c r="D182" s="1574"/>
      <c r="E182" s="1588">
        <f t="shared" si="28"/>
        <v>-14</v>
      </c>
      <c r="F182" s="1657">
        <v>12.98</v>
      </c>
      <c r="G182" s="1574"/>
      <c r="H182" s="1588">
        <f t="shared" si="29"/>
        <v>-17</v>
      </c>
      <c r="I182" s="1657">
        <f>I165</f>
        <v>13.299999999999999</v>
      </c>
      <c r="J182" s="1574"/>
      <c r="K182" s="1588">
        <f t="shared" si="30"/>
        <v>-18</v>
      </c>
      <c r="M182" s="1578" t="e">
        <f>-(I182/100)*#REF!</f>
        <v>#REF!</v>
      </c>
      <c r="O182" s="1589" t="s">
        <v>31</v>
      </c>
      <c r="AC182" s="1570"/>
      <c r="AD182" s="1570"/>
      <c r="AE182" s="1570"/>
      <c r="AF182" s="1570"/>
      <c r="AG182" s="1570"/>
      <c r="AH182" s="1570"/>
      <c r="AJ182" s="1578"/>
    </row>
    <row r="183" spans="1:36">
      <c r="A183" s="1585" t="s">
        <v>405</v>
      </c>
      <c r="B183" s="1599">
        <f t="shared" si="27"/>
        <v>2126</v>
      </c>
      <c r="C183" s="1657">
        <v>0.81</v>
      </c>
      <c r="D183" s="1574"/>
      <c r="E183" s="1588">
        <f t="shared" si="28"/>
        <v>-17</v>
      </c>
      <c r="F183" s="1657">
        <v>0.92</v>
      </c>
      <c r="G183" s="1574"/>
      <c r="H183" s="1588">
        <f t="shared" si="29"/>
        <v>-19</v>
      </c>
      <c r="I183" s="1657">
        <f>I166</f>
        <v>0.95</v>
      </c>
      <c r="J183" s="1574"/>
      <c r="K183" s="1588">
        <f t="shared" si="30"/>
        <v>-21</v>
      </c>
      <c r="M183" s="1578" t="e">
        <f>-(I183/100)*#REF!</f>
        <v>#REF!</v>
      </c>
      <c r="P183" s="1589" t="s">
        <v>31</v>
      </c>
      <c r="R183" s="1569" t="s">
        <v>31</v>
      </c>
      <c r="AC183" s="1570"/>
      <c r="AD183" s="1570"/>
      <c r="AE183" s="1570"/>
      <c r="AF183" s="1570"/>
      <c r="AG183" s="1570"/>
      <c r="AH183" s="1570"/>
      <c r="AJ183" s="1578"/>
    </row>
    <row r="184" spans="1:36">
      <c r="A184" s="1585" t="s">
        <v>406</v>
      </c>
      <c r="B184" s="1599">
        <f t="shared" si="27"/>
        <v>844.5</v>
      </c>
      <c r="C184" s="1657">
        <v>2.98</v>
      </c>
      <c r="D184" s="1600"/>
      <c r="E184" s="1588">
        <f t="shared" si="28"/>
        <v>-25</v>
      </c>
      <c r="F184" s="1657">
        <v>3.4</v>
      </c>
      <c r="G184" s="1600"/>
      <c r="H184" s="1588">
        <f t="shared" si="29"/>
        <v>-28</v>
      </c>
      <c r="I184" s="1657">
        <f>I169</f>
        <v>3.4899999999999998</v>
      </c>
      <c r="J184" s="1600"/>
      <c r="K184" s="1588">
        <f t="shared" si="30"/>
        <v>-30</v>
      </c>
      <c r="M184" s="1578" t="e">
        <f>-(I184/100)*#REF!</f>
        <v>#REF!</v>
      </c>
      <c r="Q184" s="1589" t="s">
        <v>31</v>
      </c>
      <c r="AC184" s="1570"/>
      <c r="AD184" s="1570"/>
      <c r="AE184" s="1570"/>
      <c r="AF184" s="1570"/>
      <c r="AG184" s="1570"/>
      <c r="AH184" s="1570"/>
      <c r="AJ184" s="1578"/>
    </row>
    <row r="185" spans="1:36">
      <c r="A185" s="1585" t="s">
        <v>408</v>
      </c>
      <c r="B185" s="1599">
        <f t="shared" si="27"/>
        <v>153019.66666666669</v>
      </c>
      <c r="C185" s="1658">
        <v>8.5489999999999995</v>
      </c>
      <c r="D185" s="1600" t="s">
        <v>377</v>
      </c>
      <c r="E185" s="1588">
        <f t="shared" si="28"/>
        <v>-130</v>
      </c>
      <c r="F185" s="1658">
        <v>9.766</v>
      </c>
      <c r="G185" s="1600" t="s">
        <v>377</v>
      </c>
      <c r="H185" s="1588">
        <f t="shared" si="29"/>
        <v>-150</v>
      </c>
      <c r="I185" s="1658">
        <f>I170</f>
        <v>9.9879999999999995</v>
      </c>
      <c r="J185" s="1600" t="s">
        <v>377</v>
      </c>
      <c r="K185" s="1588">
        <f t="shared" si="30"/>
        <v>-153</v>
      </c>
      <c r="M185" s="1578" t="e">
        <f>-((I185/100)*#REF!)/100</f>
        <v>#REF!</v>
      </c>
      <c r="AC185" s="1570"/>
      <c r="AD185" s="1570"/>
      <c r="AE185" s="1570"/>
      <c r="AF185" s="1570"/>
      <c r="AG185" s="1570"/>
      <c r="AH185" s="1570"/>
      <c r="AJ185" s="1578"/>
    </row>
    <row r="186" spans="1:36">
      <c r="A186" s="1585" t="s">
        <v>401</v>
      </c>
      <c r="B186" s="1599">
        <f t="shared" si="27"/>
        <v>574098.33333333279</v>
      </c>
      <c r="C186" s="1658">
        <v>5.9020000000000001</v>
      </c>
      <c r="D186" s="1600" t="s">
        <v>377</v>
      </c>
      <c r="E186" s="1588">
        <f t="shared" si="28"/>
        <v>-339</v>
      </c>
      <c r="F186" s="1658">
        <v>6.7460000000000004</v>
      </c>
      <c r="G186" s="1600" t="s">
        <v>377</v>
      </c>
      <c r="H186" s="1588">
        <f t="shared" si="29"/>
        <v>-387</v>
      </c>
      <c r="I186" s="1658">
        <f>I171</f>
        <v>6.9080000000000004</v>
      </c>
      <c r="J186" s="1600" t="s">
        <v>377</v>
      </c>
      <c r="K186" s="1588">
        <f t="shared" si="30"/>
        <v>-397</v>
      </c>
      <c r="M186" s="1578" t="e">
        <f>-((I186/100)*#REF!)/100</f>
        <v>#REF!</v>
      </c>
      <c r="AC186" s="1570"/>
      <c r="AD186" s="1570"/>
      <c r="AE186" s="1570"/>
      <c r="AF186" s="1570"/>
      <c r="AG186" s="1570"/>
      <c r="AH186" s="1570"/>
      <c r="AJ186" s="1578"/>
    </row>
    <row r="187" spans="1:36">
      <c r="A187" s="1585" t="s">
        <v>402</v>
      </c>
      <c r="B187" s="1599">
        <f t="shared" si="27"/>
        <v>124578.00000000047</v>
      </c>
      <c r="C187" s="1658">
        <v>5.0839999999999996</v>
      </c>
      <c r="D187" s="1600" t="s">
        <v>377</v>
      </c>
      <c r="E187" s="1588">
        <f t="shared" si="28"/>
        <v>-63</v>
      </c>
      <c r="F187" s="1658">
        <v>5.8120000000000003</v>
      </c>
      <c r="G187" s="1600" t="s">
        <v>377</v>
      </c>
      <c r="H187" s="1588">
        <f t="shared" si="29"/>
        <v>-72</v>
      </c>
      <c r="I187" s="1658">
        <f>I172</f>
        <v>5.952</v>
      </c>
      <c r="J187" s="1600" t="s">
        <v>377</v>
      </c>
      <c r="K187" s="1588">
        <f t="shared" si="30"/>
        <v>-74</v>
      </c>
      <c r="M187" s="1578" t="e">
        <f>-((I187/100)*#REF!)/100</f>
        <v>#REF!</v>
      </c>
      <c r="AA187" s="1570"/>
      <c r="AB187" s="1570"/>
      <c r="AC187" s="1570"/>
      <c r="AD187" s="1570"/>
      <c r="AE187" s="1570"/>
      <c r="AF187" s="1570"/>
      <c r="AG187" s="1570"/>
      <c r="AH187" s="1570"/>
      <c r="AJ187" s="1578"/>
    </row>
    <row r="188" spans="1:36">
      <c r="A188" s="1585" t="s">
        <v>403</v>
      </c>
      <c r="B188" s="1599">
        <f t="shared" si="27"/>
        <v>2643.7</v>
      </c>
      <c r="C188" s="1659">
        <v>50</v>
      </c>
      <c r="D188" s="1600" t="s">
        <v>377</v>
      </c>
      <c r="E188" s="1588">
        <f t="shared" si="28"/>
        <v>-13</v>
      </c>
      <c r="F188" s="1659">
        <v>56</v>
      </c>
      <c r="G188" s="1600" t="s">
        <v>377</v>
      </c>
      <c r="H188" s="1588">
        <f t="shared" si="29"/>
        <v>-15</v>
      </c>
      <c r="I188" s="1659">
        <f>I173</f>
        <v>57</v>
      </c>
      <c r="J188" s="1600" t="s">
        <v>377</v>
      </c>
      <c r="K188" s="1588">
        <f t="shared" si="30"/>
        <v>-15</v>
      </c>
      <c r="M188" s="1578" t="e">
        <f>-((I188/100)*#REF!)/100</f>
        <v>#REF!</v>
      </c>
      <c r="AA188" s="1570"/>
      <c r="AB188" s="1570"/>
      <c r="AC188" s="1570"/>
      <c r="AD188" s="1570"/>
      <c r="AE188" s="1570"/>
      <c r="AF188" s="1570"/>
      <c r="AG188" s="1570"/>
      <c r="AH188" s="1570"/>
      <c r="AJ188" s="1578"/>
    </row>
    <row r="189" spans="1:36">
      <c r="A189" s="1585" t="s">
        <v>410</v>
      </c>
      <c r="B189" s="1599">
        <f t="shared" si="27"/>
        <v>135.13333333333341</v>
      </c>
      <c r="C189" s="1660">
        <v>60</v>
      </c>
      <c r="D189" s="1574"/>
      <c r="E189" s="1588">
        <f t="shared" si="28"/>
        <v>8108</v>
      </c>
      <c r="F189" s="1660">
        <v>60</v>
      </c>
      <c r="G189" s="1600"/>
      <c r="H189" s="1588">
        <f t="shared" si="29"/>
        <v>8108</v>
      </c>
      <c r="I189" s="1660">
        <f>'Blocking - detail'!$I$172</f>
        <v>60</v>
      </c>
      <c r="J189" s="1600"/>
      <c r="K189" s="1588">
        <f t="shared" si="30"/>
        <v>8108</v>
      </c>
      <c r="M189" s="1578" t="e">
        <f>I189*#REF!</f>
        <v>#REF!</v>
      </c>
      <c r="P189" s="1589" t="s">
        <v>31</v>
      </c>
      <c r="AA189" s="1570"/>
      <c r="AB189" s="1570"/>
      <c r="AC189" s="1570"/>
      <c r="AD189" s="1570"/>
      <c r="AE189" s="1570"/>
      <c r="AF189" s="1570"/>
      <c r="AG189" s="1570"/>
      <c r="AH189" s="1570"/>
      <c r="AJ189" s="1578"/>
    </row>
    <row r="190" spans="1:36">
      <c r="A190" s="1585" t="s">
        <v>411</v>
      </c>
      <c r="B190" s="1599">
        <f t="shared" si="27"/>
        <v>2126</v>
      </c>
      <c r="C190" s="1661">
        <v>-30</v>
      </c>
      <c r="D190" s="1574" t="s">
        <v>377</v>
      </c>
      <c r="E190" s="1588">
        <f t="shared" si="28"/>
        <v>-638</v>
      </c>
      <c r="F190" s="1661">
        <v>-30</v>
      </c>
      <c r="G190" s="1600" t="s">
        <v>377</v>
      </c>
      <c r="H190" s="1588">
        <f t="shared" si="29"/>
        <v>-638</v>
      </c>
      <c r="I190" s="1661">
        <f>'Blocking - detail'!$I$173</f>
        <v>-30</v>
      </c>
      <c r="J190" s="1600" t="s">
        <v>377</v>
      </c>
      <c r="K190" s="1588">
        <f t="shared" si="30"/>
        <v>-638</v>
      </c>
      <c r="M190" s="1578" t="e">
        <f>(I190/100)*#REF!</f>
        <v>#REF!</v>
      </c>
      <c r="R190" s="1662"/>
      <c r="S190" s="1662"/>
      <c r="AA190" s="1570"/>
      <c r="AB190" s="1570"/>
      <c r="AC190" s="1570"/>
      <c r="AD190" s="1570"/>
      <c r="AE190" s="1570"/>
      <c r="AF190" s="1570"/>
      <c r="AG190" s="1570"/>
      <c r="AH190" s="1570"/>
      <c r="AJ190" s="1578"/>
    </row>
    <row r="191" spans="1:36" s="1621" customFormat="1">
      <c r="A191" s="1621" t="s">
        <v>933</v>
      </c>
      <c r="B191" s="1648">
        <f t="shared" si="27"/>
        <v>153019.66666666669</v>
      </c>
      <c r="C191" s="1623"/>
      <c r="D191" s="1624"/>
      <c r="E191" s="1625"/>
      <c r="F191" s="1623"/>
      <c r="G191" s="1624"/>
      <c r="H191" s="1625"/>
      <c r="I191" s="1626">
        <f>I174</f>
        <v>0</v>
      </c>
      <c r="J191" s="1649" t="s">
        <v>377</v>
      </c>
      <c r="K191" s="1650">
        <f t="shared" ref="K191:K193" si="31">K226+K364+K470</f>
        <v>0</v>
      </c>
      <c r="M191" s="1651"/>
      <c r="O191" s="1652"/>
      <c r="R191" s="1653"/>
      <c r="S191" s="1653"/>
      <c r="X191" s="1624"/>
      <c r="Y191" s="1624"/>
      <c r="Z191" s="1624"/>
      <c r="AA191" s="1624"/>
      <c r="AB191" s="1624"/>
      <c r="AC191" s="1624"/>
      <c r="AD191" s="1624"/>
      <c r="AE191" s="1624"/>
      <c r="AF191" s="1624"/>
      <c r="AG191" s="1624"/>
      <c r="AH191" s="1624"/>
      <c r="AJ191" s="1651"/>
    </row>
    <row r="192" spans="1:36" s="1621" customFormat="1">
      <c r="A192" s="1621" t="s">
        <v>934</v>
      </c>
      <c r="B192" s="1648">
        <f t="shared" si="27"/>
        <v>536845318.46411794</v>
      </c>
      <c r="C192" s="1623"/>
      <c r="D192" s="1624"/>
      <c r="E192" s="1625"/>
      <c r="F192" s="1623"/>
      <c r="G192" s="1624"/>
      <c r="H192" s="1625"/>
      <c r="I192" s="1626">
        <f>I175</f>
        <v>0</v>
      </c>
      <c r="J192" s="1649" t="s">
        <v>377</v>
      </c>
      <c r="K192" s="1650">
        <f t="shared" si="31"/>
        <v>0</v>
      </c>
      <c r="M192" s="1651"/>
      <c r="O192" s="1652"/>
      <c r="R192" s="1653"/>
      <c r="S192" s="1653"/>
      <c r="X192" s="1624"/>
      <c r="Y192" s="1624"/>
      <c r="Z192" s="1624"/>
      <c r="AA192" s="1624"/>
      <c r="AB192" s="1624"/>
      <c r="AC192" s="1624"/>
      <c r="AD192" s="1624"/>
      <c r="AE192" s="1624"/>
      <c r="AF192" s="1624"/>
      <c r="AG192" s="1624"/>
      <c r="AH192" s="1624"/>
      <c r="AJ192" s="1651"/>
    </row>
    <row r="193" spans="1:36" s="1621" customFormat="1">
      <c r="A193" s="1621" t="s">
        <v>935</v>
      </c>
      <c r="B193" s="1648">
        <f t="shared" ca="1" si="27"/>
        <v>-1106026.6645171219</v>
      </c>
      <c r="C193" s="1623"/>
      <c r="D193" s="1624"/>
      <c r="E193" s="1625"/>
      <c r="F193" s="1623"/>
      <c r="G193" s="1624"/>
      <c r="H193" s="1625"/>
      <c r="I193" s="1626">
        <f>I176</f>
        <v>0</v>
      </c>
      <c r="J193" s="1649" t="s">
        <v>377</v>
      </c>
      <c r="K193" s="1650">
        <f t="shared" si="31"/>
        <v>0</v>
      </c>
      <c r="M193" s="1651"/>
      <c r="O193" s="1652"/>
      <c r="R193" s="1653"/>
      <c r="S193" s="1653"/>
      <c r="X193" s="1624"/>
      <c r="Y193" s="1624"/>
      <c r="Z193" s="1624"/>
      <c r="AA193" s="1624"/>
      <c r="AB193" s="1624"/>
      <c r="AC193" s="1624"/>
      <c r="AD193" s="1624"/>
      <c r="AE193" s="1624"/>
      <c r="AF193" s="1624"/>
      <c r="AG193" s="1624"/>
      <c r="AH193" s="1624"/>
      <c r="AJ193" s="1651"/>
    </row>
    <row r="194" spans="1:36">
      <c r="A194" s="1585" t="s">
        <v>384</v>
      </c>
      <c r="B194" s="1599">
        <f t="shared" si="27"/>
        <v>538505456.464118</v>
      </c>
      <c r="C194" s="1647"/>
      <c r="D194" s="1577"/>
      <c r="E194" s="1588">
        <f>E229+E367+E473</f>
        <v>39473199</v>
      </c>
      <c r="F194" s="1647"/>
      <c r="G194" s="1600"/>
      <c r="H194" s="1588">
        <f>H229+H367+H473</f>
        <v>45365456</v>
      </c>
      <c r="I194" s="1647"/>
      <c r="J194" s="1600"/>
      <c r="K194" s="1588">
        <f t="shared" ref="K194" si="32">K229+K367+K473</f>
        <v>46455572</v>
      </c>
      <c r="M194" s="1578" t="e">
        <f>SUM(M160:M190)</f>
        <v>#REF!</v>
      </c>
      <c r="AA194" s="1570"/>
      <c r="AB194" s="1570"/>
      <c r="AC194" s="1570"/>
      <c r="AD194" s="1570"/>
      <c r="AE194" s="1570"/>
      <c r="AF194" s="1570"/>
      <c r="AG194" s="1570"/>
      <c r="AH194" s="1570"/>
      <c r="AJ194" s="1578"/>
    </row>
    <row r="195" spans="1:36">
      <c r="A195" s="1585" t="s">
        <v>366</v>
      </c>
      <c r="B195" s="1663">
        <f t="shared" ca="1" si="27"/>
        <v>-1109664.9810797435</v>
      </c>
      <c r="C195" s="1600"/>
      <c r="D195" s="1600"/>
      <c r="E195" s="1664" t="e">
        <f>E230+E368+E474</f>
        <v>#REF!</v>
      </c>
      <c r="F195" s="1600"/>
      <c r="G195" s="1600"/>
      <c r="H195" s="1664">
        <f ca="1">H230+H368+H474</f>
        <v>-104118.6695298296</v>
      </c>
      <c r="I195" s="1600"/>
      <c r="J195" s="1600"/>
      <c r="K195" s="1664">
        <f ca="1">H195</f>
        <v>-104118.6695298296</v>
      </c>
      <c r="M195" s="1665"/>
      <c r="P195" s="1615"/>
      <c r="Q195" s="1615"/>
      <c r="AA195" s="1570"/>
      <c r="AB195" s="1570"/>
      <c r="AC195" s="1570"/>
      <c r="AD195" s="1570"/>
      <c r="AE195" s="1570"/>
      <c r="AF195" s="1570"/>
      <c r="AG195" s="1570"/>
      <c r="AH195" s="1570"/>
      <c r="AJ195" s="1578"/>
    </row>
    <row r="196" spans="1:36" ht="15.75" thickBot="1">
      <c r="A196" s="1585" t="s">
        <v>385</v>
      </c>
      <c r="B196" s="1632">
        <f ca="1">SUM(B194:B195)</f>
        <v>537395791.48303831</v>
      </c>
      <c r="C196" s="1666"/>
      <c r="D196" s="1667"/>
      <c r="E196" s="1668" t="e">
        <f>E194+E195</f>
        <v>#REF!</v>
      </c>
      <c r="F196" s="1669"/>
      <c r="G196" s="1670"/>
      <c r="H196" s="1668">
        <f ca="1">H194+H195</f>
        <v>45261337.330470167</v>
      </c>
      <c r="I196" s="1671"/>
      <c r="J196" s="1670"/>
      <c r="K196" s="1668">
        <f ca="1">K194+K195</f>
        <v>46351453.330470167</v>
      </c>
      <c r="M196" s="1672"/>
      <c r="N196" s="1594" t="s">
        <v>412</v>
      </c>
      <c r="O196" s="1673">
        <f>'Rate Spread-Staff'!Q22*1000</f>
        <v>46352135.5601345</v>
      </c>
      <c r="P196" s="1674">
        <f>'Rate Spread-Staff'!V22</f>
        <v>2.41E-2</v>
      </c>
      <c r="Q196" s="1597"/>
      <c r="R196" s="1598" t="s">
        <v>31</v>
      </c>
      <c r="AA196" s="1570"/>
      <c r="AB196" s="1570"/>
      <c r="AC196" s="1570"/>
      <c r="AD196" s="1570"/>
      <c r="AE196" s="1570"/>
      <c r="AF196" s="1570"/>
      <c r="AG196" s="1570"/>
      <c r="AH196" s="1570"/>
      <c r="AJ196" s="1578"/>
    </row>
    <row r="197" spans="1:36" ht="15.75" thickTop="1">
      <c r="A197" s="1585"/>
      <c r="B197" s="1610"/>
      <c r="C197" s="1660"/>
      <c r="D197" s="1577"/>
      <c r="E197" s="1577"/>
      <c r="F197" s="1660"/>
      <c r="G197" s="1585"/>
      <c r="H197" s="1577" t="s">
        <v>31</v>
      </c>
      <c r="I197" s="1660"/>
      <c r="J197" s="1585"/>
      <c r="K197" s="1577" t="s">
        <v>31</v>
      </c>
      <c r="N197" s="1601" t="s">
        <v>265</v>
      </c>
      <c r="O197" s="1602">
        <f ca="1">O196-K196</f>
        <v>682.22966433316469</v>
      </c>
      <c r="P197" s="1675" t="s">
        <v>31</v>
      </c>
      <c r="Q197" s="1676"/>
      <c r="AA197" s="1570"/>
      <c r="AB197" s="1570"/>
      <c r="AC197" s="1570"/>
      <c r="AD197" s="1570"/>
      <c r="AE197" s="1570"/>
      <c r="AF197" s="1570"/>
      <c r="AG197" s="1570"/>
      <c r="AH197" s="1570"/>
      <c r="AJ197" s="1578"/>
    </row>
    <row r="198" spans="1:36" hidden="1">
      <c r="A198" s="1585"/>
      <c r="B198" s="1610"/>
      <c r="C198" s="1660"/>
      <c r="D198" s="1577"/>
      <c r="E198" s="1577"/>
      <c r="F198" s="1660"/>
      <c r="G198" s="1585"/>
      <c r="H198" s="1577"/>
      <c r="I198" s="1660"/>
      <c r="J198" s="1585"/>
      <c r="AA198" s="1570"/>
      <c r="AB198" s="1570"/>
      <c r="AC198" s="1570"/>
      <c r="AD198" s="1570"/>
      <c r="AE198" s="1570"/>
      <c r="AF198" s="1570"/>
      <c r="AG198" s="1570"/>
      <c r="AH198" s="1570"/>
      <c r="AJ198" s="1578"/>
    </row>
    <row r="199" spans="1:36" hidden="1">
      <c r="A199" s="1609" t="s">
        <v>390</v>
      </c>
      <c r="B199" s="1585"/>
      <c r="C199" s="1577"/>
      <c r="D199" s="1577"/>
      <c r="E199" s="1585" t="s">
        <v>31</v>
      </c>
      <c r="F199" s="1577"/>
      <c r="G199" s="1585"/>
      <c r="H199" s="1585"/>
      <c r="I199" s="1577"/>
      <c r="J199" s="1585"/>
      <c r="K199" s="1585"/>
      <c r="O199" s="1677" t="s">
        <v>31</v>
      </c>
      <c r="P199" s="1598"/>
      <c r="Q199" s="1598"/>
      <c r="AA199" s="1570"/>
      <c r="AB199" s="1570"/>
      <c r="AC199" s="1570"/>
      <c r="AD199" s="1570"/>
      <c r="AE199" s="1570"/>
      <c r="AF199" s="1570"/>
      <c r="AG199" s="1570"/>
      <c r="AH199" s="1570"/>
      <c r="AJ199" s="1578"/>
    </row>
    <row r="200" spans="1:36" hidden="1">
      <c r="A200" s="1585" t="s">
        <v>413</v>
      </c>
      <c r="B200" s="1585"/>
      <c r="C200" s="1577"/>
      <c r="D200" s="1577"/>
      <c r="E200" s="1585"/>
      <c r="F200" s="1577"/>
      <c r="G200" s="1585"/>
      <c r="H200" s="1585"/>
      <c r="I200" s="1577"/>
      <c r="J200" s="1585"/>
      <c r="K200" s="1585"/>
      <c r="M200" s="1678"/>
      <c r="N200" s="1678"/>
      <c r="O200" s="1571"/>
      <c r="P200" s="1571"/>
      <c r="Q200" s="1571"/>
      <c r="R200" s="1570"/>
      <c r="S200" s="1570"/>
      <c r="T200" s="1570"/>
      <c r="U200" s="1570"/>
      <c r="V200" s="1570"/>
      <c r="W200" s="1570"/>
      <c r="X200" s="1570"/>
      <c r="Y200" s="1570"/>
      <c r="Z200" s="1570"/>
      <c r="AA200" s="1570"/>
      <c r="AB200" s="1570"/>
      <c r="AC200" s="1570"/>
      <c r="AD200" s="1570"/>
      <c r="AE200" s="1570"/>
      <c r="AF200" s="1570"/>
      <c r="AG200" s="1570"/>
      <c r="AH200" s="1570"/>
      <c r="AJ200" s="1578"/>
    </row>
    <row r="201" spans="1:36" hidden="1">
      <c r="A201" s="1585"/>
      <c r="B201" s="1585"/>
      <c r="C201" s="1577"/>
      <c r="D201" s="1577"/>
      <c r="E201" s="1585"/>
      <c r="F201" s="1577"/>
      <c r="G201" s="1585"/>
      <c r="H201" s="1585"/>
      <c r="I201" s="1577"/>
      <c r="J201" s="1585"/>
      <c r="K201" s="1585"/>
      <c r="M201" s="1678"/>
      <c r="N201" s="1678"/>
      <c r="O201" s="1571"/>
      <c r="P201" s="1571"/>
      <c r="Q201" s="1571"/>
      <c r="R201" s="1570"/>
      <c r="S201" s="1570"/>
      <c r="T201" s="1570"/>
      <c r="U201" s="1570"/>
      <c r="V201" s="1570"/>
      <c r="W201" s="1570"/>
      <c r="X201" s="1570"/>
      <c r="Y201" s="1570"/>
      <c r="Z201" s="1570"/>
      <c r="AA201" s="1570"/>
      <c r="AB201" s="1570"/>
      <c r="AC201" s="1570"/>
      <c r="AD201" s="1570"/>
      <c r="AE201" s="1570"/>
      <c r="AF201" s="1570"/>
      <c r="AG201" s="1570"/>
      <c r="AH201" s="1570"/>
      <c r="AJ201" s="1578"/>
    </row>
    <row r="202" spans="1:36" hidden="1">
      <c r="A202" s="1585" t="s">
        <v>396</v>
      </c>
      <c r="B202" s="1599"/>
      <c r="C202" s="1577"/>
      <c r="D202" s="1577"/>
      <c r="E202" s="1585"/>
      <c r="F202" s="1577"/>
      <c r="G202" s="1585"/>
      <c r="H202" s="1585"/>
      <c r="I202" s="1577"/>
      <c r="J202" s="1585"/>
      <c r="K202" s="1585"/>
      <c r="M202" s="1570"/>
      <c r="N202" s="1570"/>
      <c r="O202" s="1571"/>
      <c r="P202" s="1571"/>
      <c r="Q202" s="1571"/>
      <c r="R202" s="1570"/>
      <c r="S202" s="1570"/>
      <c r="T202" s="1570"/>
      <c r="U202" s="1570"/>
      <c r="V202" s="1570"/>
      <c r="W202" s="1570"/>
      <c r="X202" s="1570"/>
      <c r="Y202" s="1570"/>
      <c r="Z202" s="1570"/>
      <c r="AA202" s="1570"/>
      <c r="AB202" s="1570"/>
      <c r="AC202" s="1570"/>
      <c r="AD202" s="1570"/>
      <c r="AE202" s="1570"/>
      <c r="AF202" s="1570"/>
      <c r="AG202" s="1570"/>
      <c r="AH202" s="1570"/>
      <c r="AJ202" s="1578"/>
    </row>
    <row r="203" spans="1:36" hidden="1">
      <c r="A203" s="1585" t="s">
        <v>393</v>
      </c>
      <c r="B203" s="1599">
        <f>B272+B306+B237</f>
        <v>158636.29999999361</v>
      </c>
      <c r="C203" s="1614">
        <v>7.64</v>
      </c>
      <c r="D203" s="1574"/>
      <c r="E203" s="1577">
        <f>E272+E306</f>
        <v>1168196</v>
      </c>
      <c r="F203" s="1614">
        <v>8.7100000000000009</v>
      </c>
      <c r="G203" s="1600"/>
      <c r="H203" s="1577">
        <f>H272+H306+H237</f>
        <v>1381722</v>
      </c>
      <c r="I203" s="1614">
        <f>$I$164</f>
        <v>8.92</v>
      </c>
      <c r="J203" s="1600"/>
      <c r="K203" s="1577">
        <f>K272+K306+K237</f>
        <v>1415036</v>
      </c>
      <c r="M203" s="1570"/>
      <c r="N203" s="1570"/>
      <c r="O203" s="1571"/>
      <c r="P203" s="1571"/>
      <c r="Q203" s="1571"/>
      <c r="R203" s="1570"/>
      <c r="S203" s="1570"/>
      <c r="T203" s="1570"/>
      <c r="U203" s="1570"/>
      <c r="V203" s="1570"/>
      <c r="W203" s="1570"/>
      <c r="X203" s="1570"/>
      <c r="Y203" s="1570"/>
      <c r="Z203" s="1570"/>
      <c r="AA203" s="1570"/>
      <c r="AB203" s="1570"/>
      <c r="AC203" s="1570"/>
      <c r="AD203" s="1570"/>
      <c r="AE203" s="1570"/>
      <c r="AF203" s="1570"/>
      <c r="AG203" s="1570"/>
      <c r="AH203" s="1570"/>
      <c r="AJ203" s="1578"/>
    </row>
    <row r="204" spans="1:36" hidden="1">
      <c r="A204" s="1585" t="s">
        <v>394</v>
      </c>
      <c r="B204" s="1599">
        <f>B273+B307+B238</f>
        <v>62611.199999999109</v>
      </c>
      <c r="C204" s="1614">
        <v>11.36</v>
      </c>
      <c r="D204" s="1641"/>
      <c r="E204" s="1577">
        <f>E273+E307</f>
        <v>707158</v>
      </c>
      <c r="F204" s="1614">
        <v>12.98</v>
      </c>
      <c r="G204" s="1642"/>
      <c r="H204" s="1577">
        <f>H273+H307+H238</f>
        <v>812693</v>
      </c>
      <c r="I204" s="1614">
        <f>$I$165</f>
        <v>13.299999999999999</v>
      </c>
      <c r="J204" s="1642"/>
      <c r="K204" s="1577">
        <f>K273+K307+K238</f>
        <v>832728</v>
      </c>
      <c r="M204" s="1570"/>
      <c r="N204" s="1570"/>
      <c r="O204" s="1571"/>
      <c r="P204" s="1571"/>
      <c r="Q204" s="1571"/>
      <c r="R204" s="1570"/>
      <c r="S204" s="1570"/>
      <c r="T204" s="1570"/>
      <c r="U204" s="1570"/>
      <c r="V204" s="1570"/>
      <c r="W204" s="1570"/>
      <c r="X204" s="1570"/>
      <c r="Y204" s="1570"/>
      <c r="Z204" s="1570"/>
      <c r="AA204" s="1570"/>
      <c r="AB204" s="1570"/>
      <c r="AC204" s="1570"/>
      <c r="AD204" s="1570"/>
      <c r="AE204" s="1570"/>
      <c r="AF204" s="1570"/>
      <c r="AG204" s="1570"/>
      <c r="AH204" s="1570"/>
      <c r="AJ204" s="1578"/>
    </row>
    <row r="205" spans="1:36" hidden="1">
      <c r="A205" s="1585" t="s">
        <v>395</v>
      </c>
      <c r="B205" s="1599">
        <f>B274+B308+B239</f>
        <v>1220817.5</v>
      </c>
      <c r="C205" s="1614">
        <v>0.81</v>
      </c>
      <c r="D205" s="1641"/>
      <c r="E205" s="1577">
        <f>E274+E308</f>
        <v>988060</v>
      </c>
      <c r="F205" s="1614">
        <v>0.92</v>
      </c>
      <c r="G205" s="1642"/>
      <c r="H205" s="1577">
        <f>H274+H308+H239</f>
        <v>1123153</v>
      </c>
      <c r="I205" s="1614">
        <f>$I$166</f>
        <v>0.95</v>
      </c>
      <c r="J205" s="1642"/>
      <c r="K205" s="1577">
        <f>K274+K308+K239</f>
        <v>1159776</v>
      </c>
      <c r="M205" s="1570"/>
      <c r="N205" s="1570"/>
      <c r="O205" s="1571"/>
      <c r="P205" s="1571"/>
      <c r="Q205" s="1571"/>
      <c r="R205" s="1570"/>
      <c r="S205" s="1570"/>
      <c r="T205" s="1570"/>
      <c r="U205" s="1570"/>
      <c r="V205" s="1570"/>
      <c r="W205" s="1570"/>
      <c r="X205" s="1570"/>
      <c r="Y205" s="1570"/>
      <c r="Z205" s="1570"/>
      <c r="AA205" s="1570"/>
      <c r="AB205" s="1570"/>
      <c r="AC205" s="1570"/>
      <c r="AD205" s="1570"/>
      <c r="AE205" s="1570"/>
      <c r="AF205" s="1570"/>
      <c r="AG205" s="1570"/>
      <c r="AH205" s="1570"/>
      <c r="AJ205" s="1578"/>
    </row>
    <row r="206" spans="1:36" hidden="1">
      <c r="A206" s="1585" t="s">
        <v>397</v>
      </c>
      <c r="B206" s="1599">
        <f>SUM(B203:B204)</f>
        <v>221247.49999999272</v>
      </c>
      <c r="C206" s="1614"/>
      <c r="D206" s="1574"/>
      <c r="E206" s="1577"/>
      <c r="F206" s="1614"/>
      <c r="G206" s="1600"/>
      <c r="H206" s="1577"/>
      <c r="I206" s="1614"/>
      <c r="J206" s="1600"/>
      <c r="K206" s="1577"/>
      <c r="M206" s="1570"/>
      <c r="N206" s="1570"/>
      <c r="O206" s="1571"/>
      <c r="P206" s="1571"/>
      <c r="Q206" s="1571"/>
      <c r="R206" s="1570"/>
      <c r="S206" s="1570"/>
      <c r="T206" s="1570"/>
      <c r="U206" s="1570"/>
      <c r="V206" s="1570"/>
      <c r="W206" s="1570"/>
      <c r="X206" s="1570"/>
      <c r="Y206" s="1570"/>
      <c r="Z206" s="1570"/>
      <c r="AA206" s="1570"/>
      <c r="AB206" s="1570"/>
      <c r="AC206" s="1570"/>
      <c r="AD206" s="1570"/>
      <c r="AE206" s="1570"/>
      <c r="AF206" s="1570"/>
      <c r="AG206" s="1570"/>
      <c r="AH206" s="1570"/>
      <c r="AJ206" s="1578"/>
    </row>
    <row r="207" spans="1:36" hidden="1">
      <c r="A207" s="1585" t="s">
        <v>398</v>
      </c>
      <c r="B207" s="1599">
        <f t="shared" ref="B207:B212" si="33">B276+B310+B241</f>
        <v>781307.5</v>
      </c>
      <c r="C207" s="1660">
        <v>2.98</v>
      </c>
      <c r="D207" s="1600"/>
      <c r="E207" s="1577">
        <f>E276+E310</f>
        <v>2326788</v>
      </c>
      <c r="F207" s="1660">
        <v>3.4</v>
      </c>
      <c r="G207" s="1600"/>
      <c r="H207" s="1577">
        <f>H276+H310+H241</f>
        <v>2656445</v>
      </c>
      <c r="I207" s="1660">
        <f>$I$169</f>
        <v>3.4899999999999998</v>
      </c>
      <c r="J207" s="1600"/>
      <c r="K207" s="1577">
        <f>K276+K310+K241</f>
        <v>2726763</v>
      </c>
      <c r="M207" s="1570"/>
      <c r="N207" s="1570"/>
      <c r="O207" s="1571"/>
      <c r="P207" s="1571"/>
      <c r="Q207" s="1571"/>
      <c r="R207" s="1570"/>
      <c r="S207" s="1570"/>
      <c r="T207" s="1570"/>
      <c r="U207" s="1570"/>
      <c r="V207" s="1570"/>
      <c r="W207" s="1570"/>
      <c r="X207" s="1570"/>
      <c r="Y207" s="1570"/>
      <c r="Z207" s="1570"/>
      <c r="AA207" s="1570"/>
      <c r="AB207" s="1570"/>
      <c r="AC207" s="1570"/>
      <c r="AD207" s="1570"/>
      <c r="AE207" s="1570"/>
      <c r="AF207" s="1570"/>
      <c r="AG207" s="1570"/>
      <c r="AH207" s="1570"/>
      <c r="AJ207" s="1578"/>
    </row>
    <row r="208" spans="1:36" hidden="1">
      <c r="A208" s="1585" t="s">
        <v>400</v>
      </c>
      <c r="B208" s="1599">
        <f t="shared" si="33"/>
        <v>130571195.98392698</v>
      </c>
      <c r="C208" s="1389">
        <v>8.5489999999999995</v>
      </c>
      <c r="D208" s="1600" t="s">
        <v>377</v>
      </c>
      <c r="E208" s="1577">
        <f>E277+E311</f>
        <v>11005721</v>
      </c>
      <c r="F208" s="1389">
        <v>9.766</v>
      </c>
      <c r="G208" s="1600" t="s">
        <v>377</v>
      </c>
      <c r="H208" s="1577">
        <f>H277+H311+H242</f>
        <v>12751584</v>
      </c>
      <c r="I208" s="1389">
        <f>$I$170</f>
        <v>9.9879999999999995</v>
      </c>
      <c r="J208" s="1600" t="s">
        <v>377</v>
      </c>
      <c r="K208" s="1577">
        <f>K277+K311+K242</f>
        <v>13041452</v>
      </c>
      <c r="M208" s="1570"/>
      <c r="N208" s="1570"/>
      <c r="O208" s="1571"/>
      <c r="P208" s="1571"/>
      <c r="Q208" s="1571"/>
      <c r="R208" s="1570"/>
      <c r="S208" s="1570"/>
      <c r="T208" s="1570"/>
      <c r="U208" s="1570"/>
      <c r="V208" s="1570"/>
      <c r="W208" s="1570"/>
      <c r="X208" s="1570"/>
      <c r="Y208" s="1570"/>
      <c r="Z208" s="1570"/>
      <c r="AA208" s="1570"/>
      <c r="AB208" s="1570"/>
      <c r="AC208" s="1570"/>
      <c r="AD208" s="1570"/>
      <c r="AE208" s="1570"/>
      <c r="AF208" s="1570"/>
      <c r="AG208" s="1570"/>
      <c r="AH208" s="1570"/>
      <c r="AJ208" s="1578"/>
    </row>
    <row r="209" spans="1:36" hidden="1">
      <c r="A209" s="1585" t="s">
        <v>401</v>
      </c>
      <c r="B209" s="1599">
        <f t="shared" si="33"/>
        <v>286080284.21862602</v>
      </c>
      <c r="C209" s="1389">
        <v>5.9020000000000001</v>
      </c>
      <c r="D209" s="1600" t="s">
        <v>377</v>
      </c>
      <c r="E209" s="1577">
        <f>E278+E312</f>
        <v>16853555</v>
      </c>
      <c r="F209" s="1389">
        <v>6.7460000000000004</v>
      </c>
      <c r="G209" s="1600" t="s">
        <v>377</v>
      </c>
      <c r="H209" s="1577">
        <f>H278+H312+H243</f>
        <v>19298975</v>
      </c>
      <c r="I209" s="1389">
        <f>$I$171</f>
        <v>6.9080000000000004</v>
      </c>
      <c r="J209" s="1600" t="s">
        <v>377</v>
      </c>
      <c r="K209" s="1577">
        <f>K278+K312+K243</f>
        <v>19762426</v>
      </c>
      <c r="M209" s="1570"/>
      <c r="N209" s="1570"/>
      <c r="O209" s="1571"/>
      <c r="P209" s="1571"/>
      <c r="Q209" s="1571"/>
      <c r="R209" s="1570"/>
      <c r="S209" s="1570"/>
      <c r="T209" s="1570"/>
      <c r="U209" s="1570"/>
      <c r="V209" s="1570"/>
      <c r="W209" s="1570"/>
      <c r="X209" s="1570"/>
      <c r="Y209" s="1570"/>
      <c r="Z209" s="1570"/>
      <c r="AA209" s="1570"/>
      <c r="AB209" s="1570"/>
      <c r="AC209" s="1570"/>
      <c r="AD209" s="1570"/>
      <c r="AE209" s="1570"/>
      <c r="AF209" s="1570"/>
      <c r="AG209" s="1570"/>
      <c r="AH209" s="1570"/>
      <c r="AJ209" s="1578"/>
    </row>
    <row r="210" spans="1:36" hidden="1">
      <c r="A210" s="1585" t="s">
        <v>402</v>
      </c>
      <c r="B210" s="1599">
        <f t="shared" si="33"/>
        <v>120193838.26156484</v>
      </c>
      <c r="C210" s="1389">
        <v>5.0839999999999996</v>
      </c>
      <c r="D210" s="1600" t="s">
        <v>377</v>
      </c>
      <c r="E210" s="1577">
        <f>E279+E313</f>
        <v>6110655</v>
      </c>
      <c r="F210" s="1389">
        <v>5.8120000000000003</v>
      </c>
      <c r="G210" s="1600" t="s">
        <v>377</v>
      </c>
      <c r="H210" s="1577">
        <f>H279+H313+H244</f>
        <v>6985666</v>
      </c>
      <c r="I210" s="1389">
        <f>$I$172</f>
        <v>5.952</v>
      </c>
      <c r="J210" s="1600" t="s">
        <v>377</v>
      </c>
      <c r="K210" s="1577">
        <f>K279+K313+K244</f>
        <v>7153938</v>
      </c>
      <c r="M210" s="1570"/>
      <c r="N210" s="1570"/>
      <c r="O210" s="1571"/>
      <c r="P210" s="1571"/>
      <c r="Q210" s="1571"/>
      <c r="R210" s="1570"/>
      <c r="S210" s="1570"/>
      <c r="T210" s="1570"/>
      <c r="U210" s="1570"/>
      <c r="V210" s="1570"/>
      <c r="W210" s="1570"/>
      <c r="X210" s="1570"/>
      <c r="Y210" s="1570"/>
      <c r="Z210" s="1570"/>
      <c r="AA210" s="1570"/>
      <c r="AB210" s="1570"/>
      <c r="AC210" s="1570"/>
      <c r="AD210" s="1570"/>
      <c r="AE210" s="1570"/>
      <c r="AF210" s="1570"/>
      <c r="AG210" s="1570"/>
      <c r="AH210" s="1570"/>
      <c r="AJ210" s="1578"/>
    </row>
    <row r="211" spans="1:36" hidden="1">
      <c r="A211" s="1585" t="s">
        <v>403</v>
      </c>
      <c r="B211" s="1599">
        <f t="shared" si="33"/>
        <v>110441.09999999979</v>
      </c>
      <c r="C211" s="1647">
        <v>50</v>
      </c>
      <c r="D211" s="1574" t="s">
        <v>377</v>
      </c>
      <c r="E211" s="1577">
        <f>E280+E314</f>
        <v>55220</v>
      </c>
      <c r="F211" s="1647">
        <v>56</v>
      </c>
      <c r="G211" s="1600" t="s">
        <v>377</v>
      </c>
      <c r="H211" s="1577">
        <f>H280+H314+H245</f>
        <v>61847</v>
      </c>
      <c r="I211" s="1647">
        <f>$I$173</f>
        <v>57</v>
      </c>
      <c r="J211" s="1600" t="s">
        <v>377</v>
      </c>
      <c r="K211" s="1577">
        <f>K280+K314+K245</f>
        <v>62952</v>
      </c>
      <c r="M211" s="1570"/>
      <c r="N211" s="1570"/>
      <c r="O211" s="1571"/>
      <c r="P211" s="1571"/>
      <c r="Q211" s="1571"/>
      <c r="R211" s="1570"/>
      <c r="S211" s="1570"/>
      <c r="T211" s="1570"/>
      <c r="U211" s="1570"/>
      <c r="V211" s="1570"/>
      <c r="W211" s="1570"/>
      <c r="X211" s="1570"/>
      <c r="Y211" s="1570"/>
      <c r="Z211" s="1570"/>
      <c r="AA211" s="1570"/>
      <c r="AB211" s="1570"/>
      <c r="AC211" s="1570"/>
      <c r="AD211" s="1570"/>
      <c r="AE211" s="1570"/>
      <c r="AF211" s="1570"/>
      <c r="AG211" s="1570"/>
      <c r="AH211" s="1570"/>
      <c r="AJ211" s="1578"/>
    </row>
    <row r="212" spans="1:36" hidden="1">
      <c r="A212" s="1569" t="s">
        <v>933</v>
      </c>
      <c r="B212" s="1599">
        <f t="shared" si="33"/>
        <v>130571195.98392698</v>
      </c>
      <c r="C212" s="1584"/>
      <c r="D212" s="1570"/>
      <c r="E212" s="1577"/>
      <c r="F212" s="1584"/>
      <c r="G212" s="1570"/>
      <c r="H212" s="1577"/>
      <c r="I212" s="1389">
        <f>I174</f>
        <v>0</v>
      </c>
      <c r="J212" s="1600" t="s">
        <v>377</v>
      </c>
      <c r="K212" s="1577">
        <f t="shared" ref="K212:K214" si="34">K281+K315+K246</f>
        <v>0</v>
      </c>
      <c r="M212" s="1578"/>
      <c r="O212" s="1579"/>
      <c r="P212" s="1569"/>
      <c r="Q212" s="1569"/>
      <c r="R212" s="1580"/>
      <c r="S212" s="1580"/>
      <c r="X212" s="1570"/>
      <c r="Y212" s="1570"/>
      <c r="Z212" s="1570"/>
      <c r="AA212" s="1570"/>
      <c r="AB212" s="1570"/>
      <c r="AC212" s="1570"/>
      <c r="AD212" s="1570"/>
      <c r="AE212" s="1570"/>
      <c r="AF212" s="1570"/>
      <c r="AG212" s="1570"/>
      <c r="AH212" s="1570"/>
      <c r="AJ212" s="1578"/>
    </row>
    <row r="213" spans="1:36" hidden="1">
      <c r="A213" s="1569" t="s">
        <v>934</v>
      </c>
      <c r="B213" s="1599">
        <f t="shared" ref="B213:B214" si="35">B282+B316+B247</f>
        <v>286080284.21862602</v>
      </c>
      <c r="C213" s="1584"/>
      <c r="D213" s="1570"/>
      <c r="E213" s="1577"/>
      <c r="F213" s="1584"/>
      <c r="G213" s="1570"/>
      <c r="H213" s="1577"/>
      <c r="I213" s="1389">
        <f>I175</f>
        <v>0</v>
      </c>
      <c r="J213" s="1600" t="s">
        <v>377</v>
      </c>
      <c r="K213" s="1577">
        <f t="shared" si="34"/>
        <v>0</v>
      </c>
      <c r="M213" s="1578"/>
      <c r="O213" s="1579"/>
      <c r="P213" s="1569"/>
      <c r="Q213" s="1569"/>
      <c r="R213" s="1580"/>
      <c r="S213" s="1580"/>
      <c r="X213" s="1570"/>
      <c r="Y213" s="1570"/>
      <c r="Z213" s="1570"/>
      <c r="AA213" s="1570"/>
      <c r="AB213" s="1570"/>
      <c r="AC213" s="1570"/>
      <c r="AD213" s="1570"/>
      <c r="AE213" s="1570"/>
      <c r="AF213" s="1570"/>
      <c r="AG213" s="1570"/>
      <c r="AH213" s="1570"/>
      <c r="AJ213" s="1578"/>
    </row>
    <row r="214" spans="1:36" hidden="1">
      <c r="A214" s="1569" t="s">
        <v>935</v>
      </c>
      <c r="B214" s="1599">
        <f t="shared" si="35"/>
        <v>120193838.26156484</v>
      </c>
      <c r="C214" s="1584"/>
      <c r="D214" s="1570"/>
      <c r="E214" s="1577"/>
      <c r="F214" s="1584"/>
      <c r="G214" s="1570"/>
      <c r="H214" s="1577"/>
      <c r="I214" s="1389">
        <f>I176</f>
        <v>0</v>
      </c>
      <c r="J214" s="1600" t="s">
        <v>377</v>
      </c>
      <c r="K214" s="1577">
        <f t="shared" si="34"/>
        <v>0</v>
      </c>
      <c r="M214" s="1578"/>
      <c r="O214" s="1579"/>
      <c r="P214" s="1569"/>
      <c r="Q214" s="1569"/>
      <c r="R214" s="1580"/>
      <c r="S214" s="1580"/>
      <c r="X214" s="1570"/>
      <c r="Y214" s="1570"/>
      <c r="Z214" s="1570"/>
      <c r="AA214" s="1570"/>
      <c r="AB214" s="1570"/>
      <c r="AC214" s="1570"/>
      <c r="AD214" s="1570"/>
      <c r="AE214" s="1570"/>
      <c r="AF214" s="1570"/>
      <c r="AG214" s="1570"/>
      <c r="AH214" s="1570"/>
      <c r="AJ214" s="1578"/>
    </row>
    <row r="215" spans="1:36" hidden="1">
      <c r="A215" s="1654" t="s">
        <v>404</v>
      </c>
      <c r="B215" s="1599"/>
      <c r="C215" s="1655">
        <v>-0.01</v>
      </c>
      <c r="D215" s="1574"/>
      <c r="E215" s="1577"/>
      <c r="F215" s="1655">
        <v>-0.01</v>
      </c>
      <c r="G215" s="1600"/>
      <c r="H215" s="1577"/>
      <c r="I215" s="1655">
        <v>-0.01</v>
      </c>
      <c r="J215" s="1600"/>
      <c r="K215" s="1577"/>
      <c r="M215" s="1570"/>
      <c r="N215" s="1570"/>
      <c r="O215" s="1571"/>
      <c r="P215" s="1571"/>
      <c r="Q215" s="1571"/>
      <c r="R215" s="1570"/>
      <c r="S215" s="1570"/>
      <c r="T215" s="1570"/>
      <c r="U215" s="1570"/>
      <c r="V215" s="1570"/>
      <c r="W215" s="1570"/>
      <c r="X215" s="1570"/>
      <c r="Y215" s="1570"/>
      <c r="Z215" s="1570"/>
      <c r="AA215" s="1570"/>
      <c r="AB215" s="1570"/>
      <c r="AC215" s="1570"/>
      <c r="AD215" s="1570"/>
      <c r="AE215" s="1570"/>
      <c r="AF215" s="1570"/>
      <c r="AG215" s="1570"/>
      <c r="AH215" s="1570"/>
      <c r="AJ215" s="1578"/>
    </row>
    <row r="216" spans="1:36" hidden="1">
      <c r="A216" s="1585" t="s">
        <v>393</v>
      </c>
      <c r="B216" s="1599">
        <f t="shared" ref="B216:B226" si="36">B285+B319+B250</f>
        <v>72.066666666666706</v>
      </c>
      <c r="C216" s="1657">
        <v>7.64</v>
      </c>
      <c r="D216" s="1574"/>
      <c r="E216" s="1577">
        <f t="shared" ref="E216:E225" si="37">E285+E319</f>
        <v>-6</v>
      </c>
      <c r="F216" s="1657">
        <v>8.7100000000000009</v>
      </c>
      <c r="G216" s="1574"/>
      <c r="H216" s="1577">
        <f t="shared" ref="H216:H225" si="38">H285+H319+H250</f>
        <v>-6</v>
      </c>
      <c r="I216" s="1657">
        <f>I203</f>
        <v>8.92</v>
      </c>
      <c r="J216" s="1574"/>
      <c r="K216" s="1577">
        <f t="shared" ref="K216:K225" si="39">K285+K319+K250</f>
        <v>-6</v>
      </c>
      <c r="M216" s="1570"/>
      <c r="N216" s="1570"/>
      <c r="O216" s="1571"/>
      <c r="P216" s="1571"/>
      <c r="Q216" s="1571"/>
      <c r="R216" s="1570"/>
      <c r="S216" s="1570"/>
      <c r="T216" s="1570"/>
      <c r="U216" s="1570"/>
      <c r="V216" s="1570"/>
      <c r="W216" s="1570"/>
      <c r="X216" s="1570"/>
      <c r="Y216" s="1570"/>
      <c r="Z216" s="1570"/>
      <c r="AA216" s="1570"/>
      <c r="AB216" s="1570"/>
      <c r="AC216" s="1570"/>
      <c r="AD216" s="1570"/>
      <c r="AE216" s="1570"/>
      <c r="AF216" s="1570"/>
      <c r="AG216" s="1570"/>
      <c r="AH216" s="1570"/>
      <c r="AJ216" s="1578"/>
    </row>
    <row r="217" spans="1:36" hidden="1">
      <c r="A217" s="1585" t="s">
        <v>394</v>
      </c>
      <c r="B217" s="1599">
        <f t="shared" si="36"/>
        <v>138.7000000000001</v>
      </c>
      <c r="C217" s="1657">
        <v>11.36</v>
      </c>
      <c r="D217" s="1574"/>
      <c r="E217" s="1577">
        <f t="shared" si="37"/>
        <v>-14</v>
      </c>
      <c r="F217" s="1657">
        <v>12.98</v>
      </c>
      <c r="G217" s="1574"/>
      <c r="H217" s="1577">
        <f t="shared" si="38"/>
        <v>-17</v>
      </c>
      <c r="I217" s="1657">
        <f>I204</f>
        <v>13.299999999999999</v>
      </c>
      <c r="J217" s="1574"/>
      <c r="K217" s="1577">
        <f t="shared" si="39"/>
        <v>-18</v>
      </c>
      <c r="M217" s="1570"/>
      <c r="N217" s="1570"/>
      <c r="O217" s="1571"/>
      <c r="P217" s="1571"/>
      <c r="Q217" s="1571"/>
      <c r="R217" s="1570"/>
      <c r="S217" s="1570"/>
      <c r="T217" s="1570"/>
      <c r="U217" s="1570"/>
      <c r="V217" s="1570"/>
      <c r="W217" s="1570"/>
      <c r="X217" s="1570"/>
      <c r="Y217" s="1570"/>
      <c r="Z217" s="1570"/>
      <c r="AA217" s="1570"/>
      <c r="AB217" s="1570"/>
      <c r="AC217" s="1570"/>
      <c r="AD217" s="1570"/>
      <c r="AE217" s="1570"/>
      <c r="AF217" s="1570"/>
      <c r="AG217" s="1570"/>
      <c r="AH217" s="1570"/>
      <c r="AJ217" s="1578"/>
    </row>
    <row r="218" spans="1:36" hidden="1">
      <c r="A218" s="1585" t="s">
        <v>405</v>
      </c>
      <c r="B218" s="1599">
        <f t="shared" si="36"/>
        <v>2126</v>
      </c>
      <c r="C218" s="1657">
        <v>0.81</v>
      </c>
      <c r="D218" s="1574"/>
      <c r="E218" s="1577">
        <f t="shared" si="37"/>
        <v>-17</v>
      </c>
      <c r="F218" s="1657">
        <v>0.92</v>
      </c>
      <c r="G218" s="1574"/>
      <c r="H218" s="1577">
        <f t="shared" si="38"/>
        <v>-19</v>
      </c>
      <c r="I218" s="1657">
        <f>I205</f>
        <v>0.95</v>
      </c>
      <c r="J218" s="1574"/>
      <c r="K218" s="1577">
        <f t="shared" si="39"/>
        <v>-21</v>
      </c>
      <c r="M218" s="1570"/>
      <c r="N218" s="1570"/>
      <c r="O218" s="1571"/>
      <c r="P218" s="1571"/>
      <c r="Q218" s="1571"/>
      <c r="R218" s="1570"/>
      <c r="S218" s="1570"/>
      <c r="T218" s="1570"/>
      <c r="U218" s="1570"/>
      <c r="V218" s="1570"/>
      <c r="W218" s="1570"/>
      <c r="X218" s="1570"/>
      <c r="Y218" s="1570"/>
      <c r="Z218" s="1570"/>
      <c r="AA218" s="1570"/>
      <c r="AB218" s="1570"/>
      <c r="AC218" s="1570"/>
      <c r="AD218" s="1570"/>
      <c r="AE218" s="1570"/>
      <c r="AF218" s="1570"/>
      <c r="AG218" s="1570"/>
      <c r="AH218" s="1570"/>
      <c r="AJ218" s="1578"/>
    </row>
    <row r="219" spans="1:36" hidden="1">
      <c r="A219" s="1585" t="s">
        <v>406</v>
      </c>
      <c r="B219" s="1599">
        <f t="shared" si="36"/>
        <v>844.5</v>
      </c>
      <c r="C219" s="1657">
        <v>2.98</v>
      </c>
      <c r="D219" s="1600"/>
      <c r="E219" s="1577">
        <f t="shared" si="37"/>
        <v>-25</v>
      </c>
      <c r="F219" s="1657">
        <v>3.4</v>
      </c>
      <c r="G219" s="1600"/>
      <c r="H219" s="1577">
        <f t="shared" si="38"/>
        <v>-28</v>
      </c>
      <c r="I219" s="1657">
        <f>I207</f>
        <v>3.4899999999999998</v>
      </c>
      <c r="J219" s="1600"/>
      <c r="K219" s="1577">
        <f t="shared" si="39"/>
        <v>-30</v>
      </c>
      <c r="M219" s="1570"/>
      <c r="N219" s="1570"/>
      <c r="O219" s="1571"/>
      <c r="P219" s="1571"/>
      <c r="Q219" s="1571"/>
      <c r="R219" s="1570"/>
      <c r="S219" s="1570"/>
      <c r="T219" s="1570"/>
      <c r="U219" s="1570"/>
      <c r="V219" s="1570"/>
      <c r="W219" s="1570"/>
      <c r="X219" s="1570"/>
      <c r="Y219" s="1570"/>
      <c r="Z219" s="1570"/>
      <c r="AA219" s="1570"/>
      <c r="AB219" s="1570"/>
      <c r="AC219" s="1570"/>
      <c r="AD219" s="1570"/>
      <c r="AE219" s="1570"/>
      <c r="AF219" s="1570"/>
      <c r="AG219" s="1570"/>
      <c r="AH219" s="1570"/>
      <c r="AJ219" s="1578"/>
    </row>
    <row r="220" spans="1:36" hidden="1">
      <c r="A220" s="1585" t="s">
        <v>408</v>
      </c>
      <c r="B220" s="1599">
        <f t="shared" si="36"/>
        <v>153019.66666666669</v>
      </c>
      <c r="C220" s="1658">
        <v>8.5489999999999995</v>
      </c>
      <c r="D220" s="1600" t="s">
        <v>377</v>
      </c>
      <c r="E220" s="1577">
        <f t="shared" si="37"/>
        <v>-130</v>
      </c>
      <c r="F220" s="1658">
        <v>9.766</v>
      </c>
      <c r="G220" s="1600" t="s">
        <v>377</v>
      </c>
      <c r="H220" s="1577">
        <f t="shared" si="38"/>
        <v>-150</v>
      </c>
      <c r="I220" s="1658">
        <f>I208</f>
        <v>9.9879999999999995</v>
      </c>
      <c r="J220" s="1600" t="s">
        <v>377</v>
      </c>
      <c r="K220" s="1577">
        <f t="shared" si="39"/>
        <v>-153</v>
      </c>
      <c r="M220" s="1570"/>
      <c r="N220" s="1570"/>
      <c r="O220" s="1571"/>
      <c r="P220" s="1571"/>
      <c r="Q220" s="1571"/>
      <c r="R220" s="1570"/>
      <c r="S220" s="1570"/>
      <c r="T220" s="1570"/>
      <c r="U220" s="1570"/>
      <c r="V220" s="1570"/>
      <c r="W220" s="1570"/>
      <c r="X220" s="1570"/>
      <c r="Y220" s="1570"/>
      <c r="Z220" s="1570"/>
      <c r="AA220" s="1570"/>
      <c r="AB220" s="1570"/>
      <c r="AC220" s="1570"/>
      <c r="AD220" s="1570"/>
      <c r="AE220" s="1570"/>
      <c r="AF220" s="1570"/>
      <c r="AG220" s="1570"/>
      <c r="AH220" s="1570"/>
      <c r="AJ220" s="1578"/>
    </row>
    <row r="221" spans="1:36" hidden="1">
      <c r="A221" s="1585" t="s">
        <v>401</v>
      </c>
      <c r="B221" s="1599">
        <f t="shared" si="36"/>
        <v>574098.33333333279</v>
      </c>
      <c r="C221" s="1658">
        <v>5.9020000000000001</v>
      </c>
      <c r="D221" s="1600" t="s">
        <v>377</v>
      </c>
      <c r="E221" s="1577">
        <f t="shared" si="37"/>
        <v>-339</v>
      </c>
      <c r="F221" s="1658">
        <v>6.7460000000000004</v>
      </c>
      <c r="G221" s="1600" t="s">
        <v>377</v>
      </c>
      <c r="H221" s="1577">
        <f t="shared" si="38"/>
        <v>-387</v>
      </c>
      <c r="I221" s="1658">
        <f>I209</f>
        <v>6.9080000000000004</v>
      </c>
      <c r="J221" s="1600" t="s">
        <v>377</v>
      </c>
      <c r="K221" s="1577">
        <f t="shared" si="39"/>
        <v>-397</v>
      </c>
      <c r="M221" s="1570"/>
      <c r="N221" s="1570"/>
      <c r="O221" s="1571"/>
      <c r="P221" s="1571"/>
      <c r="Q221" s="1571"/>
      <c r="R221" s="1570"/>
      <c r="S221" s="1570"/>
      <c r="T221" s="1570"/>
      <c r="U221" s="1570"/>
      <c r="V221" s="1570"/>
      <c r="W221" s="1570"/>
      <c r="X221" s="1570"/>
      <c r="Y221" s="1570"/>
      <c r="Z221" s="1570"/>
      <c r="AA221" s="1570"/>
      <c r="AB221" s="1570"/>
      <c r="AC221" s="1570"/>
      <c r="AD221" s="1570"/>
      <c r="AE221" s="1570"/>
      <c r="AF221" s="1570"/>
      <c r="AG221" s="1570"/>
      <c r="AH221" s="1570"/>
      <c r="AJ221" s="1578"/>
    </row>
    <row r="222" spans="1:36" hidden="1">
      <c r="A222" s="1585" t="s">
        <v>402</v>
      </c>
      <c r="B222" s="1599">
        <f t="shared" si="36"/>
        <v>124578.00000000047</v>
      </c>
      <c r="C222" s="1658">
        <v>5.0839999999999996</v>
      </c>
      <c r="D222" s="1600" t="s">
        <v>377</v>
      </c>
      <c r="E222" s="1577">
        <f t="shared" si="37"/>
        <v>-63</v>
      </c>
      <c r="F222" s="1658">
        <v>5.8120000000000003</v>
      </c>
      <c r="G222" s="1600" t="s">
        <v>377</v>
      </c>
      <c r="H222" s="1577">
        <f t="shared" si="38"/>
        <v>-72</v>
      </c>
      <c r="I222" s="1658">
        <f>I210</f>
        <v>5.952</v>
      </c>
      <c r="J222" s="1600" t="s">
        <v>377</v>
      </c>
      <c r="K222" s="1577">
        <f t="shared" si="39"/>
        <v>-74</v>
      </c>
      <c r="M222" s="1570"/>
      <c r="N222" s="1570"/>
      <c r="O222" s="1571"/>
      <c r="P222" s="1571"/>
      <c r="Q222" s="1571"/>
      <c r="R222" s="1570"/>
      <c r="S222" s="1570"/>
      <c r="T222" s="1570"/>
      <c r="U222" s="1570"/>
      <c r="V222" s="1570"/>
      <c r="W222" s="1570"/>
      <c r="X222" s="1570"/>
      <c r="Y222" s="1570"/>
      <c r="Z222" s="1570"/>
      <c r="AA222" s="1570"/>
      <c r="AB222" s="1570"/>
      <c r="AC222" s="1570"/>
      <c r="AD222" s="1570"/>
      <c r="AE222" s="1570"/>
      <c r="AF222" s="1570"/>
      <c r="AG222" s="1570"/>
      <c r="AH222" s="1570"/>
      <c r="AJ222" s="1578"/>
    </row>
    <row r="223" spans="1:36" hidden="1">
      <c r="A223" s="1585" t="s">
        <v>403</v>
      </c>
      <c r="B223" s="1599">
        <f t="shared" si="36"/>
        <v>2643.7</v>
      </c>
      <c r="C223" s="1659">
        <v>50</v>
      </c>
      <c r="D223" s="1600" t="s">
        <v>377</v>
      </c>
      <c r="E223" s="1577">
        <f t="shared" si="37"/>
        <v>-13</v>
      </c>
      <c r="F223" s="1659">
        <v>56</v>
      </c>
      <c r="G223" s="1600" t="s">
        <v>377</v>
      </c>
      <c r="H223" s="1577">
        <f t="shared" si="38"/>
        <v>-15</v>
      </c>
      <c r="I223" s="1659">
        <f>I211</f>
        <v>57</v>
      </c>
      <c r="J223" s="1600" t="s">
        <v>377</v>
      </c>
      <c r="K223" s="1577">
        <f t="shared" si="39"/>
        <v>-15</v>
      </c>
      <c r="M223" s="1570"/>
      <c r="N223" s="1570"/>
      <c r="O223" s="1571"/>
      <c r="P223" s="1571"/>
      <c r="Q223" s="1571"/>
      <c r="R223" s="1570"/>
      <c r="S223" s="1570"/>
      <c r="T223" s="1570"/>
      <c r="U223" s="1570"/>
      <c r="V223" s="1570"/>
      <c r="W223" s="1570"/>
      <c r="X223" s="1570"/>
      <c r="Y223" s="1570"/>
      <c r="Z223" s="1570"/>
      <c r="AA223" s="1570"/>
      <c r="AB223" s="1570"/>
      <c r="AC223" s="1570"/>
      <c r="AD223" s="1570"/>
      <c r="AE223" s="1570"/>
      <c r="AF223" s="1570"/>
      <c r="AG223" s="1570"/>
      <c r="AH223" s="1570"/>
      <c r="AJ223" s="1578"/>
    </row>
    <row r="224" spans="1:36" hidden="1">
      <c r="A224" s="1585" t="s">
        <v>410</v>
      </c>
      <c r="B224" s="1599">
        <f t="shared" si="36"/>
        <v>135.13333333333341</v>
      </c>
      <c r="C224" s="1660">
        <v>60</v>
      </c>
      <c r="D224" s="1574"/>
      <c r="E224" s="1577">
        <f t="shared" si="37"/>
        <v>8108</v>
      </c>
      <c r="F224" s="1660">
        <v>60</v>
      </c>
      <c r="G224" s="1600"/>
      <c r="H224" s="1577">
        <f t="shared" si="38"/>
        <v>8108</v>
      </c>
      <c r="I224" s="1660">
        <f>$I$189</f>
        <v>60</v>
      </c>
      <c r="J224" s="1600"/>
      <c r="K224" s="1577">
        <f t="shared" si="39"/>
        <v>8108</v>
      </c>
      <c r="M224" s="1570"/>
      <c r="N224" s="1570"/>
      <c r="O224" s="1571"/>
      <c r="P224" s="1571"/>
      <c r="Q224" s="1571"/>
      <c r="R224" s="1570"/>
      <c r="S224" s="1570"/>
      <c r="T224" s="1570"/>
      <c r="U224" s="1570"/>
      <c r="V224" s="1570"/>
      <c r="W224" s="1570"/>
      <c r="X224" s="1570"/>
      <c r="Y224" s="1570"/>
      <c r="Z224" s="1570"/>
      <c r="AA224" s="1570"/>
      <c r="AB224" s="1570"/>
      <c r="AC224" s="1570"/>
      <c r="AD224" s="1570"/>
      <c r="AE224" s="1570"/>
      <c r="AF224" s="1570"/>
      <c r="AG224" s="1570"/>
      <c r="AH224" s="1570"/>
      <c r="AJ224" s="1578"/>
    </row>
    <row r="225" spans="1:36" hidden="1">
      <c r="A225" s="1585" t="s">
        <v>411</v>
      </c>
      <c r="B225" s="1599">
        <f t="shared" si="36"/>
        <v>2126</v>
      </c>
      <c r="C225" s="1661">
        <v>-30</v>
      </c>
      <c r="D225" s="1574" t="s">
        <v>377</v>
      </c>
      <c r="E225" s="1577">
        <f t="shared" si="37"/>
        <v>-638</v>
      </c>
      <c r="F225" s="1661">
        <v>-30</v>
      </c>
      <c r="G225" s="1600" t="s">
        <v>377</v>
      </c>
      <c r="H225" s="1577">
        <f t="shared" si="38"/>
        <v>-638</v>
      </c>
      <c r="I225" s="1661">
        <f>$I$190</f>
        <v>-30</v>
      </c>
      <c r="J225" s="1600" t="s">
        <v>377</v>
      </c>
      <c r="K225" s="1577">
        <f t="shared" si="39"/>
        <v>-638</v>
      </c>
      <c r="M225" s="1570"/>
      <c r="N225" s="1570"/>
      <c r="O225" s="1571"/>
      <c r="P225" s="1571"/>
      <c r="Q225" s="1571"/>
      <c r="R225" s="1570"/>
      <c r="S225" s="1570"/>
      <c r="T225" s="1570"/>
      <c r="U225" s="1570"/>
      <c r="V225" s="1570"/>
      <c r="W225" s="1570"/>
      <c r="X225" s="1570"/>
      <c r="Y225" s="1570"/>
      <c r="Z225" s="1570"/>
      <c r="AA225" s="1570"/>
      <c r="AB225" s="1570"/>
      <c r="AC225" s="1570"/>
      <c r="AD225" s="1570"/>
      <c r="AE225" s="1570"/>
      <c r="AF225" s="1570"/>
      <c r="AG225" s="1570"/>
      <c r="AH225" s="1570"/>
      <c r="AJ225" s="1578"/>
    </row>
    <row r="226" spans="1:36" hidden="1">
      <c r="A226" s="1569" t="s">
        <v>933</v>
      </c>
      <c r="B226" s="1599">
        <f t="shared" si="36"/>
        <v>153019.66666666669</v>
      </c>
      <c r="C226" s="1584"/>
      <c r="D226" s="1570"/>
      <c r="E226" s="1577"/>
      <c r="F226" s="1584"/>
      <c r="G226" s="1570"/>
      <c r="H226" s="1577"/>
      <c r="I226" s="1389">
        <f>I174</f>
        <v>0</v>
      </c>
      <c r="J226" s="1600" t="s">
        <v>377</v>
      </c>
      <c r="K226" s="1577">
        <f t="shared" ref="K226:K228" si="40">K295+K329+K260</f>
        <v>0</v>
      </c>
      <c r="M226" s="1578"/>
      <c r="O226" s="1579"/>
      <c r="P226" s="1569"/>
      <c r="Q226" s="1569"/>
      <c r="R226" s="1580"/>
      <c r="S226" s="1580"/>
      <c r="X226" s="1570"/>
      <c r="Y226" s="1570"/>
      <c r="Z226" s="1570"/>
      <c r="AA226" s="1570"/>
      <c r="AB226" s="1570"/>
      <c r="AC226" s="1570"/>
      <c r="AD226" s="1570"/>
      <c r="AE226" s="1570"/>
      <c r="AF226" s="1570"/>
      <c r="AG226" s="1570"/>
      <c r="AH226" s="1570"/>
      <c r="AJ226" s="1578"/>
    </row>
    <row r="227" spans="1:36" hidden="1">
      <c r="A227" s="1569" t="s">
        <v>934</v>
      </c>
      <c r="B227" s="1599">
        <f>B298+B332+B263</f>
        <v>536845318.46411794</v>
      </c>
      <c r="C227" s="1584"/>
      <c r="D227" s="1570"/>
      <c r="E227" s="1577"/>
      <c r="F227" s="1584"/>
      <c r="G227" s="1570"/>
      <c r="H227" s="1577"/>
      <c r="I227" s="1389">
        <f>I175</f>
        <v>0</v>
      </c>
      <c r="J227" s="1600" t="s">
        <v>377</v>
      </c>
      <c r="K227" s="1577">
        <f t="shared" si="40"/>
        <v>0</v>
      </c>
      <c r="M227" s="1578"/>
      <c r="O227" s="1579"/>
      <c r="P227" s="1569"/>
      <c r="Q227" s="1569"/>
      <c r="R227" s="1580"/>
      <c r="S227" s="1580"/>
      <c r="X227" s="1570"/>
      <c r="Y227" s="1570"/>
      <c r="Z227" s="1570"/>
      <c r="AA227" s="1570"/>
      <c r="AB227" s="1570"/>
      <c r="AC227" s="1570"/>
      <c r="AD227" s="1570"/>
      <c r="AE227" s="1570"/>
      <c r="AF227" s="1570"/>
      <c r="AG227" s="1570"/>
      <c r="AH227" s="1570"/>
      <c r="AJ227" s="1578"/>
    </row>
    <row r="228" spans="1:36" hidden="1">
      <c r="A228" s="1569" t="s">
        <v>935</v>
      </c>
      <c r="B228" s="1599">
        <f ca="1">B299+B333+B264</f>
        <v>-1106026.6645171219</v>
      </c>
      <c r="C228" s="1584"/>
      <c r="D228" s="1570"/>
      <c r="E228" s="1577"/>
      <c r="F228" s="1584"/>
      <c r="G228" s="1570"/>
      <c r="H228" s="1577"/>
      <c r="I228" s="1389">
        <f>I176</f>
        <v>0</v>
      </c>
      <c r="J228" s="1600" t="s">
        <v>377</v>
      </c>
      <c r="K228" s="1577">
        <f t="shared" si="40"/>
        <v>0</v>
      </c>
      <c r="M228" s="1578"/>
      <c r="O228" s="1579"/>
      <c r="P228" s="1569"/>
      <c r="Q228" s="1569"/>
      <c r="R228" s="1580"/>
      <c r="S228" s="1580"/>
      <c r="X228" s="1570"/>
      <c r="Y228" s="1570"/>
      <c r="Z228" s="1570"/>
      <c r="AA228" s="1570"/>
      <c r="AB228" s="1570"/>
      <c r="AC228" s="1570"/>
      <c r="AD228" s="1570"/>
      <c r="AE228" s="1570"/>
      <c r="AF228" s="1570"/>
      <c r="AG228" s="1570"/>
      <c r="AH228" s="1570"/>
      <c r="AJ228" s="1578"/>
    </row>
    <row r="229" spans="1:36" hidden="1">
      <c r="A229" s="1585" t="s">
        <v>384</v>
      </c>
      <c r="B229" s="1599">
        <f t="shared" ref="B229" si="41">B298+B332+B263</f>
        <v>536845318.46411794</v>
      </c>
      <c r="C229" s="1647"/>
      <c r="D229" s="1577"/>
      <c r="E229" s="1577">
        <f>E298+E332</f>
        <v>39222216</v>
      </c>
      <c r="F229" s="1647"/>
      <c r="G229" s="1600"/>
      <c r="H229" s="1577">
        <f t="shared" ref="H229" si="42">H298+H332+H263</f>
        <v>45078861</v>
      </c>
      <c r="I229" s="1647"/>
      <c r="J229" s="1600"/>
      <c r="K229" s="1577">
        <f t="shared" ref="K229" si="43">K298+K332+K263</f>
        <v>46161827</v>
      </c>
      <c r="M229" s="1570"/>
      <c r="N229" s="1570"/>
      <c r="O229" s="1571"/>
      <c r="P229" s="1571"/>
      <c r="Q229" s="1571"/>
      <c r="R229" s="1570"/>
      <c r="S229" s="1570"/>
      <c r="T229" s="1570"/>
      <c r="U229" s="1570"/>
      <c r="V229" s="1570"/>
      <c r="W229" s="1570"/>
      <c r="X229" s="1570"/>
      <c r="Y229" s="1570"/>
      <c r="Z229" s="1570"/>
      <c r="AA229" s="1570"/>
      <c r="AB229" s="1570"/>
      <c r="AC229" s="1570"/>
      <c r="AD229" s="1570"/>
      <c r="AE229" s="1570"/>
      <c r="AF229" s="1570"/>
      <c r="AG229" s="1570"/>
      <c r="AH229" s="1570"/>
      <c r="AJ229" s="1578"/>
    </row>
    <row r="230" spans="1:36" hidden="1">
      <c r="A230" s="1585" t="s">
        <v>366</v>
      </c>
      <c r="B230" s="1663">
        <f ca="1">B264+B299+B333</f>
        <v>-1106026.6645171219</v>
      </c>
      <c r="C230" s="1600"/>
      <c r="D230" s="1600"/>
      <c r="E230" s="1664" t="e">
        <f>E299+E333</f>
        <v>#REF!</v>
      </c>
      <c r="F230" s="1600"/>
      <c r="G230" s="1600"/>
      <c r="H230" s="1664">
        <f ca="1">H264+H299+H333</f>
        <v>-103523.14773000471</v>
      </c>
      <c r="I230" s="1600"/>
      <c r="J230" s="1600"/>
      <c r="K230" s="1664">
        <f ca="1">H230</f>
        <v>-103523.14773000471</v>
      </c>
      <c r="M230" s="1422"/>
      <c r="N230" s="1422"/>
      <c r="O230" s="1423"/>
      <c r="P230" s="1571"/>
      <c r="Q230" s="1571"/>
      <c r="R230" s="1570"/>
      <c r="S230" s="1570"/>
      <c r="T230" s="1570"/>
      <c r="U230" s="1570"/>
      <c r="V230" s="1570"/>
      <c r="W230" s="1570"/>
      <c r="X230" s="1570"/>
      <c r="Y230" s="1570"/>
      <c r="Z230" s="1570"/>
      <c r="AA230" s="1570"/>
      <c r="AB230" s="1570"/>
      <c r="AC230" s="1570"/>
      <c r="AD230" s="1570"/>
      <c r="AE230" s="1570"/>
      <c r="AF230" s="1570"/>
      <c r="AG230" s="1570"/>
      <c r="AH230" s="1570"/>
      <c r="AJ230" s="1578"/>
    </row>
    <row r="231" spans="1:36" ht="15.75" hidden="1" thickBot="1">
      <c r="A231" s="1585" t="s">
        <v>385</v>
      </c>
      <c r="B231" s="1632">
        <f ca="1">SUM(B229:B230)</f>
        <v>535739291.79960084</v>
      </c>
      <c r="C231" s="1666"/>
      <c r="D231" s="1667"/>
      <c r="E231" s="1668" t="e">
        <f>E229+E230</f>
        <v>#REF!</v>
      </c>
      <c r="F231" s="1666"/>
      <c r="G231" s="1670"/>
      <c r="H231" s="1668">
        <f ca="1">H229+H230</f>
        <v>44975337.852269992</v>
      </c>
      <c r="I231" s="1666"/>
      <c r="J231" s="1670"/>
      <c r="K231" s="1668">
        <f ca="1">K229+K230</f>
        <v>46058303.852269992</v>
      </c>
      <c r="M231" s="1424"/>
      <c r="N231" s="1424"/>
      <c r="O231" s="1597"/>
      <c r="P231" s="1571"/>
      <c r="Q231" s="1571"/>
      <c r="R231" s="1570"/>
      <c r="S231" s="1570"/>
      <c r="T231" s="1570"/>
      <c r="U231" s="1570"/>
      <c r="V231" s="1570"/>
      <c r="W231" s="1570"/>
      <c r="X231" s="1570"/>
      <c r="Y231" s="1570"/>
      <c r="Z231" s="1570"/>
      <c r="AA231" s="1570"/>
      <c r="AB231" s="1570"/>
      <c r="AC231" s="1570"/>
      <c r="AD231" s="1570"/>
      <c r="AE231" s="1570"/>
      <c r="AF231" s="1570"/>
      <c r="AG231" s="1570"/>
      <c r="AH231" s="1570"/>
      <c r="AJ231" s="1578"/>
    </row>
    <row r="232" spans="1:36" hidden="1">
      <c r="A232" s="1585"/>
      <c r="B232" s="1610"/>
      <c r="C232" s="1660"/>
      <c r="D232" s="1577"/>
      <c r="E232" s="1577"/>
      <c r="F232" s="1660"/>
      <c r="G232" s="1585"/>
      <c r="H232" s="1577"/>
      <c r="I232" s="1660"/>
      <c r="J232" s="1585"/>
      <c r="K232" s="1577" t="s">
        <v>31</v>
      </c>
      <c r="M232" s="1570"/>
      <c r="N232" s="1570"/>
      <c r="O232" s="1571"/>
      <c r="P232" s="1571"/>
      <c r="Q232" s="1571"/>
      <c r="R232" s="1570"/>
      <c r="S232" s="1570"/>
      <c r="T232" s="1570"/>
      <c r="U232" s="1570"/>
      <c r="V232" s="1570"/>
      <c r="W232" s="1570"/>
      <c r="X232" s="1570"/>
      <c r="Y232" s="1570"/>
      <c r="Z232" s="1570"/>
      <c r="AA232" s="1570"/>
      <c r="AB232" s="1570"/>
      <c r="AC232" s="1570"/>
      <c r="AD232" s="1570"/>
      <c r="AE232" s="1570"/>
      <c r="AF232" s="1570"/>
      <c r="AG232" s="1570"/>
      <c r="AH232" s="1570"/>
      <c r="AJ232" s="1578"/>
    </row>
    <row r="233" spans="1:36" hidden="1">
      <c r="A233" s="1609" t="s">
        <v>390</v>
      </c>
      <c r="B233" s="1585"/>
      <c r="C233" s="1577"/>
      <c r="D233" s="1577"/>
      <c r="E233" s="1585" t="s">
        <v>31</v>
      </c>
      <c r="F233" s="1577"/>
      <c r="G233" s="1585"/>
      <c r="H233" s="1585"/>
      <c r="I233" s="1577"/>
      <c r="J233" s="1585"/>
      <c r="K233" s="1585"/>
      <c r="M233" s="1570"/>
      <c r="N233" s="1570"/>
      <c r="O233" s="1571"/>
      <c r="P233" s="1571"/>
      <c r="Q233" s="1571"/>
      <c r="R233" s="1570"/>
      <c r="S233" s="1570"/>
      <c r="T233" s="1570"/>
      <c r="U233" s="1570"/>
      <c r="V233" s="1570"/>
      <c r="W233" s="1570"/>
      <c r="X233" s="1570"/>
      <c r="Y233" s="1570"/>
      <c r="Z233" s="1570"/>
      <c r="AA233" s="1570"/>
      <c r="AB233" s="1570"/>
      <c r="AC233" s="1570"/>
      <c r="AD233" s="1570"/>
      <c r="AE233" s="1570"/>
      <c r="AF233" s="1570"/>
      <c r="AG233" s="1570"/>
      <c r="AH233" s="1570"/>
      <c r="AJ233" s="1578"/>
    </row>
    <row r="234" spans="1:36" hidden="1">
      <c r="A234" s="1585" t="s">
        <v>806</v>
      </c>
      <c r="B234" s="1585"/>
      <c r="C234" s="1577"/>
      <c r="D234" s="1577"/>
      <c r="E234" s="1585"/>
      <c r="F234" s="1577"/>
      <c r="G234" s="1585"/>
      <c r="H234" s="1585"/>
      <c r="I234" s="1577"/>
      <c r="J234" s="1585"/>
      <c r="K234" s="1585"/>
      <c r="M234" s="1570"/>
      <c r="N234" s="1570"/>
      <c r="O234" s="1571"/>
      <c r="P234" s="1571"/>
      <c r="Q234" s="1571"/>
      <c r="R234" s="1570"/>
      <c r="S234" s="1570"/>
      <c r="T234" s="1570"/>
      <c r="U234" s="1570"/>
      <c r="V234" s="1570"/>
      <c r="W234" s="1570"/>
      <c r="X234" s="1570"/>
      <c r="Y234" s="1570"/>
      <c r="Z234" s="1570"/>
      <c r="AA234" s="1570"/>
      <c r="AB234" s="1570"/>
      <c r="AC234" s="1570"/>
      <c r="AD234" s="1570"/>
      <c r="AE234" s="1570"/>
      <c r="AF234" s="1570"/>
      <c r="AG234" s="1570"/>
      <c r="AH234" s="1570"/>
      <c r="AJ234" s="1578"/>
    </row>
    <row r="235" spans="1:36" hidden="1">
      <c r="A235" s="1635" t="s">
        <v>31</v>
      </c>
      <c r="B235" s="1610"/>
      <c r="C235" s="1577"/>
      <c r="D235" s="1577"/>
      <c r="E235" s="1585"/>
      <c r="F235" s="1577"/>
      <c r="G235" s="1585"/>
      <c r="H235" s="1585"/>
      <c r="I235" s="1577"/>
      <c r="J235" s="1585"/>
      <c r="K235" s="1585"/>
      <c r="M235" s="1570"/>
      <c r="N235" s="1570"/>
      <c r="O235" s="1571"/>
      <c r="P235" s="1571"/>
      <c r="Q235" s="1571"/>
      <c r="R235" s="1570"/>
      <c r="S235" s="1570"/>
      <c r="T235" s="1570"/>
      <c r="U235" s="1570"/>
      <c r="V235" s="1570"/>
      <c r="W235" s="1570"/>
      <c r="X235" s="1570"/>
      <c r="Y235" s="1570"/>
      <c r="Z235" s="1570"/>
      <c r="AA235" s="1570"/>
      <c r="AB235" s="1570"/>
      <c r="AC235" s="1570"/>
      <c r="AD235" s="1570"/>
      <c r="AE235" s="1570"/>
      <c r="AF235" s="1570"/>
      <c r="AG235" s="1570"/>
      <c r="AH235" s="1570"/>
      <c r="AJ235" s="1578"/>
    </row>
    <row r="236" spans="1:36" hidden="1">
      <c r="A236" s="1585" t="s">
        <v>396</v>
      </c>
      <c r="B236" s="1599"/>
      <c r="C236" s="1577"/>
      <c r="D236" s="1577"/>
      <c r="E236" s="1585"/>
      <c r="F236" s="1577"/>
      <c r="G236" s="1585"/>
      <c r="H236" s="1585"/>
      <c r="I236" s="1577"/>
      <c r="J236" s="1585"/>
      <c r="K236" s="1585"/>
      <c r="M236" s="1570"/>
      <c r="N236" s="1570"/>
      <c r="O236" s="1571"/>
      <c r="P236" s="1571"/>
      <c r="Q236" s="1571"/>
      <c r="R236" s="1570"/>
      <c r="S236" s="1570"/>
      <c r="T236" s="1570"/>
      <c r="U236" s="1570"/>
      <c r="V236" s="1570"/>
      <c r="W236" s="1570"/>
      <c r="X236" s="1570"/>
      <c r="Y236" s="1570"/>
      <c r="Z236" s="1570"/>
      <c r="AA236" s="1570"/>
      <c r="AB236" s="1570"/>
      <c r="AC236" s="1570"/>
      <c r="AD236" s="1570"/>
      <c r="AE236" s="1570"/>
      <c r="AF236" s="1570"/>
      <c r="AG236" s="1570"/>
      <c r="AH236" s="1570"/>
      <c r="AJ236" s="1578"/>
    </row>
    <row r="237" spans="1:36" hidden="1">
      <c r="A237" s="1585" t="s">
        <v>393</v>
      </c>
      <c r="B237" s="1599">
        <f>'Schedule 24 BD'!$F$20+'Schedule 24 BD'!$F$22+'Schedule 24 BD'!$F$25</f>
        <v>5731.1333333333296</v>
      </c>
      <c r="C237" s="1614">
        <v>7.64</v>
      </c>
      <c r="D237" s="1574"/>
      <c r="E237" s="1577">
        <f>ROUND(C237*$B237,0)</f>
        <v>43786</v>
      </c>
      <c r="F237" s="1614">
        <v>8.7100000000000009</v>
      </c>
      <c r="G237" s="1600"/>
      <c r="H237" s="1577">
        <f>ROUND(F237*$B237,0)</f>
        <v>49918</v>
      </c>
      <c r="I237" s="1614">
        <f>$I$164</f>
        <v>8.92</v>
      </c>
      <c r="J237" s="1600"/>
      <c r="K237" s="1577">
        <f>ROUND(I237*$B237,0)</f>
        <v>51122</v>
      </c>
      <c r="M237" s="1570"/>
      <c r="N237" s="1570"/>
      <c r="O237" s="1571"/>
      <c r="P237" s="1571"/>
      <c r="Q237" s="1571"/>
      <c r="R237" s="1570"/>
      <c r="S237" s="1570"/>
      <c r="T237" s="1570"/>
      <c r="U237" s="1570"/>
      <c r="V237" s="1570"/>
      <c r="W237" s="1570"/>
      <c r="X237" s="1570"/>
      <c r="Y237" s="1570"/>
      <c r="Z237" s="1570"/>
      <c r="AA237" s="1570"/>
      <c r="AB237" s="1570"/>
      <c r="AC237" s="1570"/>
      <c r="AD237" s="1570"/>
      <c r="AE237" s="1570"/>
      <c r="AF237" s="1570"/>
      <c r="AG237" s="1570"/>
      <c r="AH237" s="1570"/>
      <c r="AJ237" s="1578"/>
    </row>
    <row r="238" spans="1:36" hidden="1">
      <c r="A238" s="1585" t="s">
        <v>394</v>
      </c>
      <c r="B238" s="1599">
        <f>'Schedule 24 BD'!$F$21+'Schedule 24 BD'!$F$23+'Schedule 24 BD'!$F$24+'Schedule 24 BD'!$F$26</f>
        <v>361.36666666666633</v>
      </c>
      <c r="C238" s="1614">
        <v>11.36</v>
      </c>
      <c r="D238" s="1641"/>
      <c r="E238" s="1577">
        <f>ROUND(C238*$B238,0)</f>
        <v>4105</v>
      </c>
      <c r="F238" s="1614">
        <v>12.98</v>
      </c>
      <c r="G238" s="1642"/>
      <c r="H238" s="1577">
        <f t="shared" ref="H238:H239" si="44">ROUND(F238*$B238,0)</f>
        <v>4691</v>
      </c>
      <c r="I238" s="1614">
        <f>$I$165</f>
        <v>13.299999999999999</v>
      </c>
      <c r="J238" s="1642"/>
      <c r="K238" s="1577">
        <f>ROUND(I238*$B238,0)</f>
        <v>4806</v>
      </c>
      <c r="M238" s="1570"/>
      <c r="N238" s="1570"/>
      <c r="O238" s="1571"/>
      <c r="P238" s="1571"/>
      <c r="Q238" s="1571"/>
      <c r="R238" s="1570"/>
      <c r="S238" s="1570"/>
      <c r="T238" s="1570"/>
      <c r="U238" s="1570"/>
      <c r="V238" s="1570"/>
      <c r="W238" s="1570"/>
      <c r="X238" s="1570"/>
      <c r="Y238" s="1570"/>
      <c r="Z238" s="1570"/>
      <c r="AA238" s="1570"/>
      <c r="AB238" s="1570"/>
      <c r="AC238" s="1570"/>
      <c r="AD238" s="1570"/>
      <c r="AE238" s="1570"/>
      <c r="AF238" s="1570"/>
      <c r="AG238" s="1570"/>
      <c r="AH238" s="1570"/>
      <c r="AJ238" s="1578"/>
    </row>
    <row r="239" spans="1:36" hidden="1">
      <c r="A239" s="1585" t="s">
        <v>395</v>
      </c>
      <c r="B239" s="1599">
        <f>'Schedule 24 BD'!$G$20+'Schedule 24 BD'!$G$22+'Schedule 24 BD'!$G$24+'Schedule 24 BD'!$G$25+'Schedule 24 BD'!$G$26</f>
        <v>991</v>
      </c>
      <c r="C239" s="1614">
        <v>0.81</v>
      </c>
      <c r="D239" s="1641"/>
      <c r="E239" s="1577">
        <f>ROUND(C239*$B239,0)</f>
        <v>803</v>
      </c>
      <c r="F239" s="1614">
        <v>0.92</v>
      </c>
      <c r="G239" s="1642"/>
      <c r="H239" s="1577">
        <f t="shared" si="44"/>
        <v>912</v>
      </c>
      <c r="I239" s="1614">
        <f>$I$166</f>
        <v>0.95</v>
      </c>
      <c r="J239" s="1642"/>
      <c r="K239" s="1577">
        <f>ROUND(I239*$B239,0)</f>
        <v>941</v>
      </c>
      <c r="M239" s="1570"/>
      <c r="N239" s="1570"/>
      <c r="O239" s="1571"/>
      <c r="P239" s="1571"/>
      <c r="Q239" s="1571"/>
      <c r="R239" s="1570"/>
      <c r="S239" s="1570"/>
      <c r="T239" s="1570"/>
      <c r="U239" s="1570"/>
      <c r="V239" s="1570"/>
      <c r="W239" s="1570"/>
      <c r="X239" s="1570"/>
      <c r="Y239" s="1570"/>
      <c r="Z239" s="1570"/>
      <c r="AA239" s="1570"/>
      <c r="AB239" s="1570"/>
      <c r="AC239" s="1570"/>
      <c r="AD239" s="1570"/>
      <c r="AE239" s="1570"/>
      <c r="AF239" s="1570"/>
      <c r="AG239" s="1570"/>
      <c r="AH239" s="1570"/>
      <c r="AJ239" s="1578"/>
    </row>
    <row r="240" spans="1:36" hidden="1">
      <c r="A240" s="1585" t="s">
        <v>397</v>
      </c>
      <c r="B240" s="1599">
        <f>SUM(B237:B238)</f>
        <v>6092.4999999999964</v>
      </c>
      <c r="C240" s="1614"/>
      <c r="D240" s="1574"/>
      <c r="E240" s="1577"/>
      <c r="F240" s="1614"/>
      <c r="G240" s="1600"/>
      <c r="H240" s="1577"/>
      <c r="I240" s="1614"/>
      <c r="J240" s="1600"/>
      <c r="K240" s="1577"/>
      <c r="M240" s="1570"/>
      <c r="N240" s="1570"/>
      <c r="O240" s="1571"/>
      <c r="P240" s="1571"/>
      <c r="Q240" s="1571"/>
      <c r="R240" s="1570"/>
      <c r="S240" s="1570"/>
      <c r="T240" s="1570"/>
      <c r="U240" s="1570"/>
      <c r="V240" s="1570"/>
      <c r="W240" s="1570"/>
      <c r="X240" s="1570"/>
      <c r="Y240" s="1570"/>
      <c r="Z240" s="1570"/>
      <c r="AA240" s="1570"/>
      <c r="AB240" s="1570"/>
      <c r="AC240" s="1570"/>
      <c r="AD240" s="1570"/>
      <c r="AE240" s="1570"/>
      <c r="AF240" s="1570"/>
      <c r="AG240" s="1570"/>
      <c r="AH240" s="1570"/>
      <c r="AJ240" s="1578"/>
    </row>
    <row r="241" spans="1:36" hidden="1">
      <c r="A241" s="1585" t="s">
        <v>398</v>
      </c>
      <c r="B241" s="1599">
        <f>'Schedule 24 BD'!$K$20+'Schedule 24 BD'!$K$22+'Schedule 24 BD'!$K$24+'Schedule 24 BD'!$K$25</f>
        <v>506</v>
      </c>
      <c r="C241" s="1660">
        <v>2.98</v>
      </c>
      <c r="D241" s="1600"/>
      <c r="E241" s="1577">
        <f>ROUND(C241*$B241,0)</f>
        <v>1508</v>
      </c>
      <c r="F241" s="1660">
        <v>3.4</v>
      </c>
      <c r="G241" s="1600"/>
      <c r="H241" s="1577">
        <f>ROUND(F241*B241,0)</f>
        <v>1720</v>
      </c>
      <c r="I241" s="1660">
        <f>$I$169</f>
        <v>3.4899999999999998</v>
      </c>
      <c r="J241" s="1600"/>
      <c r="K241" s="1577">
        <f>ROUND(I241*$B241,0)</f>
        <v>1766</v>
      </c>
      <c r="M241" s="1570"/>
      <c r="N241" s="1570"/>
      <c r="O241" s="1571"/>
      <c r="P241" s="1571"/>
      <c r="Q241" s="1571"/>
      <c r="R241" s="1570"/>
      <c r="S241" s="1570"/>
      <c r="T241" s="1570"/>
      <c r="U241" s="1570"/>
      <c r="V241" s="1570"/>
      <c r="W241" s="1570"/>
      <c r="X241" s="1570"/>
      <c r="Y241" s="1570"/>
      <c r="Z241" s="1570"/>
      <c r="AA241" s="1570"/>
      <c r="AB241" s="1570"/>
      <c r="AC241" s="1570"/>
      <c r="AD241" s="1570"/>
      <c r="AE241" s="1570"/>
      <c r="AF241" s="1570"/>
      <c r="AG241" s="1570"/>
      <c r="AH241" s="1570"/>
      <c r="AJ241" s="1578"/>
    </row>
    <row r="242" spans="1:36" hidden="1">
      <c r="A242" s="1585" t="s">
        <v>400</v>
      </c>
      <c r="B242" s="1599">
        <f>'Schedule 24 BD'!$I$20+'Schedule 24 BD'!$I$21+'Schedule 24 BD'!$I$22+'Schedule 24 BD'!$I$23+'Schedule 24 BD'!$I$24+'Schedule 24 BD'!$I$25+'Schedule 24 BD'!$I$26+Temperature!P75*1000</f>
        <v>1834258.206482322</v>
      </c>
      <c r="C242" s="1389">
        <v>8.5489999999999995</v>
      </c>
      <c r="D242" s="1600" t="s">
        <v>377</v>
      </c>
      <c r="E242" s="1577">
        <f>ROUND(C242*$B242/100,0)</f>
        <v>156811</v>
      </c>
      <c r="F242" s="1389">
        <v>9.766</v>
      </c>
      <c r="G242" s="1600" t="s">
        <v>377</v>
      </c>
      <c r="H242" s="1577">
        <f>ROUND(F242*B242/100,0)</f>
        <v>179134</v>
      </c>
      <c r="I242" s="1389">
        <f>$I$170</f>
        <v>9.9879999999999995</v>
      </c>
      <c r="J242" s="1600" t="s">
        <v>377</v>
      </c>
      <c r="K242" s="1577">
        <f>ROUND(I242*$B242/100,0)</f>
        <v>183206</v>
      </c>
      <c r="M242" s="1606"/>
      <c r="N242" s="1606"/>
      <c r="O242" s="1571"/>
      <c r="P242" s="1571"/>
      <c r="Q242" s="1571"/>
      <c r="R242" s="1570"/>
      <c r="S242" s="1570"/>
      <c r="T242" s="1570"/>
      <c r="U242" s="1570"/>
      <c r="V242" s="1570"/>
      <c r="W242" s="1570"/>
      <c r="X242" s="1570"/>
      <c r="Y242" s="1570"/>
      <c r="Z242" s="1570"/>
      <c r="AA242" s="1570"/>
      <c r="AB242" s="1570"/>
      <c r="AC242" s="1570"/>
      <c r="AD242" s="1570"/>
      <c r="AE242" s="1570"/>
      <c r="AF242" s="1570"/>
      <c r="AG242" s="1570"/>
      <c r="AH242" s="1570"/>
      <c r="AJ242" s="1578"/>
    </row>
    <row r="243" spans="1:36" hidden="1">
      <c r="A243" s="1585" t="s">
        <v>401</v>
      </c>
      <c r="B243" s="1599">
        <f>'Schedule 24 BD'!$J$20+'Schedule 24 BD'!$J$21+'Schedule 24 BD'!$J$22+'Schedule 24 BD'!$J$24+'Schedule 24 BD'!$J$25+'Schedule 24 BD'!$J$26+Temperature!Q75*1000</f>
        <v>523605.44908201875</v>
      </c>
      <c r="C243" s="1389">
        <v>5.9020000000000001</v>
      </c>
      <c r="D243" s="1600" t="s">
        <v>377</v>
      </c>
      <c r="E243" s="1577">
        <f>ROUND(C243*$B243/100,0)</f>
        <v>30903</v>
      </c>
      <c r="F243" s="1389">
        <v>6.7460000000000004</v>
      </c>
      <c r="G243" s="1600" t="s">
        <v>377</v>
      </c>
      <c r="H243" s="1577">
        <f t="shared" ref="H243:H245" si="45">ROUND(F243*B243/100,0)</f>
        <v>35322</v>
      </c>
      <c r="I243" s="1389">
        <f>$I$171</f>
        <v>6.9080000000000004</v>
      </c>
      <c r="J243" s="1600" t="s">
        <v>377</v>
      </c>
      <c r="K243" s="1577">
        <f>ROUND(I243*$B243/100,0)</f>
        <v>36171</v>
      </c>
      <c r="M243" s="1606"/>
      <c r="N243" s="1606"/>
      <c r="O243" s="1571"/>
      <c r="P243" s="1571"/>
      <c r="Q243" s="1571"/>
      <c r="R243" s="1570"/>
      <c r="S243" s="1570"/>
      <c r="T243" s="1570"/>
      <c r="U243" s="1570"/>
      <c r="V243" s="1570"/>
      <c r="W243" s="1570"/>
      <c r="X243" s="1570"/>
      <c r="Y243" s="1570"/>
      <c r="Z243" s="1570"/>
      <c r="AA243" s="1570"/>
      <c r="AB243" s="1570"/>
      <c r="AC243" s="1570"/>
      <c r="AD243" s="1570"/>
      <c r="AE243" s="1570"/>
      <c r="AF243" s="1570"/>
      <c r="AG243" s="1570"/>
      <c r="AH243" s="1570"/>
      <c r="AJ243" s="1578"/>
    </row>
    <row r="244" spans="1:36" hidden="1">
      <c r="A244" s="1585" t="s">
        <v>402</v>
      </c>
      <c r="B244" s="1599">
        <f>0+Temperature!R75*1000</f>
        <v>0</v>
      </c>
      <c r="C244" s="1389">
        <v>5.0839999999999996</v>
      </c>
      <c r="D244" s="1600" t="s">
        <v>377</v>
      </c>
      <c r="E244" s="1577">
        <f>ROUND(C244*$B244/100,0)</f>
        <v>0</v>
      </c>
      <c r="F244" s="1389">
        <v>5.8120000000000003</v>
      </c>
      <c r="G244" s="1600" t="s">
        <v>377</v>
      </c>
      <c r="H244" s="1577">
        <f t="shared" si="45"/>
        <v>0</v>
      </c>
      <c r="I244" s="1389">
        <f>$I$172</f>
        <v>5.952</v>
      </c>
      <c r="J244" s="1600" t="s">
        <v>377</v>
      </c>
      <c r="K244" s="1577">
        <f>ROUND(I244*$B244/100,0)</f>
        <v>0</v>
      </c>
      <c r="M244" s="1606"/>
      <c r="N244" s="1606"/>
      <c r="O244" s="1571"/>
      <c r="P244" s="1571"/>
      <c r="Q244" s="1571"/>
      <c r="R244" s="1570"/>
      <c r="S244" s="1570"/>
      <c r="T244" s="1570"/>
      <c r="U244" s="1570"/>
      <c r="V244" s="1570"/>
      <c r="W244" s="1570"/>
      <c r="X244" s="1570"/>
      <c r="Y244" s="1570"/>
      <c r="Z244" s="1570"/>
      <c r="AA244" s="1570"/>
      <c r="AB244" s="1570"/>
      <c r="AC244" s="1570"/>
      <c r="AD244" s="1570"/>
      <c r="AE244" s="1570"/>
      <c r="AF244" s="1570"/>
      <c r="AG244" s="1570"/>
      <c r="AH244" s="1570"/>
      <c r="AJ244" s="1578"/>
    </row>
    <row r="245" spans="1:36" hidden="1">
      <c r="A245" s="1585" t="s">
        <v>403</v>
      </c>
      <c r="B245" s="1599">
        <f>0</f>
        <v>0</v>
      </c>
      <c r="C245" s="1647">
        <v>50</v>
      </c>
      <c r="D245" s="1574" t="s">
        <v>377</v>
      </c>
      <c r="E245" s="1577">
        <f>ROUND(C245*$B245/100,0)</f>
        <v>0</v>
      </c>
      <c r="F245" s="1647">
        <v>56</v>
      </c>
      <c r="G245" s="1600" t="s">
        <v>377</v>
      </c>
      <c r="H245" s="1577">
        <f t="shared" si="45"/>
        <v>0</v>
      </c>
      <c r="I245" s="1647">
        <f>$I$173</f>
        <v>57</v>
      </c>
      <c r="J245" s="1600" t="s">
        <v>377</v>
      </c>
      <c r="K245" s="1577">
        <f>ROUND(I245*$B245/100,0)</f>
        <v>0</v>
      </c>
      <c r="M245" s="1570"/>
      <c r="N245" s="1570"/>
      <c r="O245" s="1571"/>
      <c r="P245" s="1571"/>
      <c r="Q245" s="1571"/>
      <c r="R245" s="1570"/>
      <c r="S245" s="1570"/>
      <c r="T245" s="1570"/>
      <c r="U245" s="1570"/>
      <c r="V245" s="1570"/>
      <c r="W245" s="1570"/>
      <c r="X245" s="1570"/>
      <c r="Y245" s="1570"/>
      <c r="Z245" s="1570"/>
      <c r="AA245" s="1570"/>
      <c r="AB245" s="1570"/>
      <c r="AC245" s="1570"/>
      <c r="AD245" s="1570"/>
      <c r="AE245" s="1570"/>
      <c r="AF245" s="1570"/>
      <c r="AG245" s="1570"/>
      <c r="AH245" s="1570"/>
      <c r="AJ245" s="1578"/>
    </row>
    <row r="246" spans="1:36" hidden="1">
      <c r="A246" s="1569" t="s">
        <v>933</v>
      </c>
      <c r="B246" s="1575">
        <f>B242</f>
        <v>1834258.206482322</v>
      </c>
      <c r="C246" s="1584"/>
      <c r="D246" s="1570"/>
      <c r="E246" s="1577"/>
      <c r="F246" s="1584"/>
      <c r="G246" s="1570"/>
      <c r="H246" s="1577"/>
      <c r="I246" s="1389">
        <f>I174</f>
        <v>0</v>
      </c>
      <c r="J246" s="1600" t="s">
        <v>377</v>
      </c>
      <c r="K246" s="1577">
        <f t="shared" ref="K246:K248" si="46">ROUND(I246*$B246/100,0)</f>
        <v>0</v>
      </c>
      <c r="M246" s="1578"/>
      <c r="O246" s="1579"/>
      <c r="P246" s="1569"/>
      <c r="Q246" s="1569"/>
      <c r="R246" s="1580"/>
      <c r="S246" s="1580"/>
      <c r="X246" s="1570"/>
      <c r="Y246" s="1570"/>
      <c r="Z246" s="1570"/>
      <c r="AA246" s="1570"/>
      <c r="AB246" s="1570"/>
      <c r="AC246" s="1570"/>
      <c r="AD246" s="1570"/>
      <c r="AE246" s="1570"/>
      <c r="AF246" s="1570"/>
      <c r="AG246" s="1570"/>
      <c r="AH246" s="1570"/>
      <c r="AJ246" s="1578"/>
    </row>
    <row r="247" spans="1:36" hidden="1">
      <c r="A247" s="1569" t="s">
        <v>934</v>
      </c>
      <c r="B247" s="1575">
        <f>B243</f>
        <v>523605.44908201875</v>
      </c>
      <c r="C247" s="1584"/>
      <c r="D247" s="1570"/>
      <c r="E247" s="1577"/>
      <c r="F247" s="1584"/>
      <c r="G247" s="1570"/>
      <c r="H247" s="1577"/>
      <c r="I247" s="1389">
        <f>I175</f>
        <v>0</v>
      </c>
      <c r="J247" s="1600" t="s">
        <v>377</v>
      </c>
      <c r="K247" s="1577">
        <f t="shared" si="46"/>
        <v>0</v>
      </c>
      <c r="M247" s="1578"/>
      <c r="O247" s="1579"/>
      <c r="P247" s="1569"/>
      <c r="Q247" s="1569"/>
      <c r="R247" s="1580"/>
      <c r="S247" s="1580"/>
      <c r="X247" s="1570"/>
      <c r="Y247" s="1570"/>
      <c r="Z247" s="1570"/>
      <c r="AA247" s="1570"/>
      <c r="AB247" s="1570"/>
      <c r="AC247" s="1570"/>
      <c r="AD247" s="1570"/>
      <c r="AE247" s="1570"/>
      <c r="AF247" s="1570"/>
      <c r="AG247" s="1570"/>
      <c r="AH247" s="1570"/>
      <c r="AJ247" s="1578"/>
    </row>
    <row r="248" spans="1:36" hidden="1">
      <c r="A248" s="1569" t="s">
        <v>935</v>
      </c>
      <c r="B248" s="1575">
        <f>B244</f>
        <v>0</v>
      </c>
      <c r="C248" s="1584"/>
      <c r="D248" s="1570"/>
      <c r="E248" s="1577"/>
      <c r="F248" s="1584"/>
      <c r="G248" s="1570"/>
      <c r="H248" s="1577"/>
      <c r="I248" s="1389">
        <f>I176</f>
        <v>0</v>
      </c>
      <c r="J248" s="1600" t="s">
        <v>377</v>
      </c>
      <c r="K248" s="1577">
        <f t="shared" si="46"/>
        <v>0</v>
      </c>
      <c r="M248" s="1578"/>
      <c r="O248" s="1579"/>
      <c r="P248" s="1569"/>
      <c r="Q248" s="1569"/>
      <c r="R248" s="1580"/>
      <c r="S248" s="1580"/>
      <c r="X248" s="1570"/>
      <c r="Y248" s="1570"/>
      <c r="Z248" s="1570"/>
      <c r="AA248" s="1570"/>
      <c r="AB248" s="1570"/>
      <c r="AC248" s="1570"/>
      <c r="AD248" s="1570"/>
      <c r="AE248" s="1570"/>
      <c r="AF248" s="1570"/>
      <c r="AG248" s="1570"/>
      <c r="AH248" s="1570"/>
      <c r="AJ248" s="1578"/>
    </row>
    <row r="249" spans="1:36" hidden="1">
      <c r="A249" s="1654" t="s">
        <v>404</v>
      </c>
      <c r="B249" s="1599">
        <f>B254+B255+B256</f>
        <v>1940</v>
      </c>
      <c r="C249" s="1655">
        <v>-0.01</v>
      </c>
      <c r="D249" s="1574"/>
      <c r="E249" s="1577"/>
      <c r="F249" s="1655">
        <v>-0.01</v>
      </c>
      <c r="G249" s="1600"/>
      <c r="H249" s="1577"/>
      <c r="I249" s="1655">
        <v>-0.01</v>
      </c>
      <c r="J249" s="1600"/>
      <c r="K249" s="1577"/>
      <c r="M249" s="1570"/>
      <c r="N249" s="1570"/>
      <c r="O249" s="1571"/>
      <c r="P249" s="1571"/>
      <c r="Q249" s="1571"/>
      <c r="R249" s="1570"/>
      <c r="S249" s="1570"/>
      <c r="T249" s="1570"/>
      <c r="U249" s="1570"/>
      <c r="V249" s="1570"/>
      <c r="W249" s="1570"/>
      <c r="X249" s="1570"/>
      <c r="Y249" s="1570"/>
      <c r="Z249" s="1570"/>
      <c r="AA249" s="1570"/>
      <c r="AB249" s="1570"/>
      <c r="AC249" s="1570"/>
      <c r="AD249" s="1570"/>
      <c r="AE249" s="1570"/>
      <c r="AF249" s="1570"/>
      <c r="AG249" s="1570"/>
      <c r="AH249" s="1570"/>
      <c r="AJ249" s="1578"/>
    </row>
    <row r="250" spans="1:36" hidden="1">
      <c r="A250" s="1585" t="s">
        <v>393</v>
      </c>
      <c r="B250" s="1599">
        <v>0</v>
      </c>
      <c r="C250" s="1657">
        <v>7.64</v>
      </c>
      <c r="D250" s="1574"/>
      <c r="E250" s="1577">
        <f>-ROUND(C250*$B250/100,0)</f>
        <v>0</v>
      </c>
      <c r="F250" s="1657">
        <v>8.7100000000000009</v>
      </c>
      <c r="G250" s="1574"/>
      <c r="H250" s="1577">
        <f>-ROUND(F250*$B250/100,0)</f>
        <v>0</v>
      </c>
      <c r="I250" s="1657">
        <f>I237</f>
        <v>8.92</v>
      </c>
      <c r="J250" s="1574"/>
      <c r="K250" s="1577">
        <f>-ROUND(I250*$B250/100,0)</f>
        <v>0</v>
      </c>
      <c r="M250" s="1570"/>
      <c r="N250" s="1570"/>
      <c r="O250" s="1571"/>
      <c r="P250" s="1571"/>
      <c r="Q250" s="1571"/>
      <c r="R250" s="1570"/>
      <c r="S250" s="1570"/>
      <c r="T250" s="1570"/>
      <c r="U250" s="1570"/>
      <c r="V250" s="1570"/>
      <c r="W250" s="1570"/>
      <c r="X250" s="1570"/>
      <c r="Y250" s="1570"/>
      <c r="Z250" s="1570"/>
      <c r="AA250" s="1570"/>
      <c r="AB250" s="1570"/>
      <c r="AC250" s="1570"/>
      <c r="AD250" s="1570"/>
      <c r="AE250" s="1570"/>
      <c r="AF250" s="1570"/>
      <c r="AG250" s="1570"/>
      <c r="AH250" s="1570"/>
      <c r="AJ250" s="1578"/>
    </row>
    <row r="251" spans="1:36" hidden="1">
      <c r="A251" s="1585" t="s">
        <v>394</v>
      </c>
      <c r="B251" s="1599">
        <f>'Schedule 24 BD'!$F$23</f>
        <v>9</v>
      </c>
      <c r="C251" s="1657">
        <v>11.36</v>
      </c>
      <c r="D251" s="1574"/>
      <c r="E251" s="1577">
        <f>-ROUND(C251*$B251/100,0)</f>
        <v>-1</v>
      </c>
      <c r="F251" s="1657">
        <v>12.98</v>
      </c>
      <c r="G251" s="1574"/>
      <c r="H251" s="1577">
        <f t="shared" ref="H251:H253" si="47">-ROUND(F251*$B251/100,0)</f>
        <v>-1</v>
      </c>
      <c r="I251" s="1657">
        <f>I238</f>
        <v>13.299999999999999</v>
      </c>
      <c r="J251" s="1574"/>
      <c r="K251" s="1577">
        <f>-ROUND(I251*$B251/100,0)</f>
        <v>-1</v>
      </c>
      <c r="M251" s="1570"/>
      <c r="N251" s="1570"/>
      <c r="O251" s="1571"/>
      <c r="P251" s="1571"/>
      <c r="Q251" s="1571"/>
      <c r="R251" s="1570"/>
      <c r="S251" s="1570"/>
      <c r="T251" s="1570"/>
      <c r="U251" s="1570"/>
      <c r="V251" s="1570"/>
      <c r="W251" s="1570"/>
      <c r="X251" s="1570"/>
      <c r="Y251" s="1570"/>
      <c r="Z251" s="1570"/>
      <c r="AA251" s="1570"/>
      <c r="AB251" s="1570"/>
      <c r="AC251" s="1570"/>
      <c r="AD251" s="1570"/>
      <c r="AE251" s="1570"/>
      <c r="AF251" s="1570"/>
      <c r="AG251" s="1570"/>
      <c r="AH251" s="1570"/>
      <c r="AJ251" s="1578"/>
    </row>
    <row r="252" spans="1:36" hidden="1">
      <c r="A252" s="1585" t="s">
        <v>405</v>
      </c>
      <c r="B252" s="1599">
        <v>0</v>
      </c>
      <c r="C252" s="1657">
        <v>0.81</v>
      </c>
      <c r="D252" s="1574"/>
      <c r="E252" s="1577">
        <f>-ROUND(C252*$B252/100,0)</f>
        <v>0</v>
      </c>
      <c r="F252" s="1657">
        <v>0.92</v>
      </c>
      <c r="G252" s="1574"/>
      <c r="H252" s="1577">
        <f t="shared" si="47"/>
        <v>0</v>
      </c>
      <c r="I252" s="1657">
        <f>I239</f>
        <v>0.95</v>
      </c>
      <c r="J252" s="1574"/>
      <c r="K252" s="1577">
        <f>-ROUND(I252*$B252/100,0)</f>
        <v>0</v>
      </c>
      <c r="M252" s="1570"/>
      <c r="N252" s="1570"/>
      <c r="O252" s="1571"/>
      <c r="P252" s="1571"/>
      <c r="Q252" s="1571"/>
      <c r="R252" s="1570"/>
      <c r="S252" s="1570"/>
      <c r="T252" s="1570"/>
      <c r="U252" s="1570"/>
      <c r="V252" s="1570"/>
      <c r="W252" s="1570"/>
      <c r="X252" s="1570"/>
      <c r="Y252" s="1570"/>
      <c r="Z252" s="1570"/>
      <c r="AA252" s="1570"/>
      <c r="AB252" s="1570"/>
      <c r="AC252" s="1570"/>
      <c r="AD252" s="1570"/>
      <c r="AE252" s="1570"/>
      <c r="AF252" s="1570"/>
      <c r="AG252" s="1570"/>
      <c r="AH252" s="1570"/>
      <c r="AJ252" s="1578"/>
    </row>
    <row r="253" spans="1:36" hidden="1">
      <c r="A253" s="1585" t="s">
        <v>416</v>
      </c>
      <c r="B253" s="1599">
        <f>0</f>
        <v>0</v>
      </c>
      <c r="C253" s="1657">
        <v>2.98</v>
      </c>
      <c r="D253" s="1600"/>
      <c r="E253" s="1577">
        <f>-ROUND(C253*$B253/100,0)</f>
        <v>0</v>
      </c>
      <c r="F253" s="1657">
        <v>3.4</v>
      </c>
      <c r="G253" s="1600"/>
      <c r="H253" s="1577">
        <f t="shared" si="47"/>
        <v>0</v>
      </c>
      <c r="I253" s="1657">
        <f>I241</f>
        <v>3.4899999999999998</v>
      </c>
      <c r="J253" s="1600"/>
      <c r="K253" s="1577">
        <f>-ROUND(I253*$B253/100,0)</f>
        <v>0</v>
      </c>
      <c r="M253" s="1570"/>
      <c r="N253" s="1570"/>
      <c r="O253" s="1571"/>
      <c r="P253" s="1571"/>
      <c r="Q253" s="1571"/>
      <c r="R253" s="1570"/>
      <c r="S253" s="1570"/>
      <c r="T253" s="1570"/>
      <c r="U253" s="1570"/>
      <c r="V253" s="1570"/>
      <c r="W253" s="1570"/>
      <c r="X253" s="1570"/>
      <c r="Y253" s="1570"/>
      <c r="Z253" s="1570"/>
      <c r="AA253" s="1570"/>
      <c r="AB253" s="1570"/>
      <c r="AC253" s="1570"/>
      <c r="AD253" s="1570"/>
      <c r="AE253" s="1570"/>
      <c r="AF253" s="1570"/>
      <c r="AG253" s="1570"/>
      <c r="AH253" s="1570"/>
      <c r="AJ253" s="1578"/>
    </row>
    <row r="254" spans="1:36" hidden="1">
      <c r="A254" s="1585" t="s">
        <v>408</v>
      </c>
      <c r="B254" s="1599">
        <f>'Schedule 24 BD'!$I$23</f>
        <v>1940</v>
      </c>
      <c r="C254" s="1658">
        <v>8.5489999999999995</v>
      </c>
      <c r="D254" s="1600" t="s">
        <v>377</v>
      </c>
      <c r="E254" s="1577">
        <f>ROUND(C254*$B254/100*C249,0)</f>
        <v>-2</v>
      </c>
      <c r="F254" s="1658">
        <v>9.766</v>
      </c>
      <c r="G254" s="1600" t="s">
        <v>377</v>
      </c>
      <c r="H254" s="1577">
        <f>ROUND(F254*$B254/100*F249,0)</f>
        <v>-2</v>
      </c>
      <c r="I254" s="1658">
        <f>I242</f>
        <v>9.9879999999999995</v>
      </c>
      <c r="J254" s="1600" t="s">
        <v>377</v>
      </c>
      <c r="K254" s="1577">
        <f>ROUND(I254*$B254/100*I249,0)</f>
        <v>-2</v>
      </c>
      <c r="M254" s="1570"/>
      <c r="N254" s="1570"/>
      <c r="O254" s="1571"/>
      <c r="P254" s="1571"/>
      <c r="Q254" s="1571"/>
      <c r="R254" s="1570"/>
      <c r="S254" s="1570"/>
      <c r="T254" s="1570"/>
      <c r="U254" s="1570"/>
      <c r="V254" s="1570"/>
      <c r="W254" s="1570"/>
      <c r="X254" s="1570"/>
      <c r="Y254" s="1570"/>
      <c r="Z254" s="1570"/>
      <c r="AA254" s="1570"/>
      <c r="AB254" s="1570"/>
      <c r="AC254" s="1570"/>
      <c r="AD254" s="1570"/>
      <c r="AE254" s="1570"/>
      <c r="AF254" s="1570"/>
      <c r="AG254" s="1570"/>
      <c r="AH254" s="1570"/>
      <c r="AJ254" s="1578"/>
    </row>
    <row r="255" spans="1:36" hidden="1">
      <c r="A255" s="1585" t="s">
        <v>401</v>
      </c>
      <c r="B255" s="1599">
        <v>0</v>
      </c>
      <c r="C255" s="1658">
        <v>5.9020000000000001</v>
      </c>
      <c r="D255" s="1600" t="s">
        <v>377</v>
      </c>
      <c r="E255" s="1577">
        <f>ROUND(C255*$B255/100*C249,0)</f>
        <v>0</v>
      </c>
      <c r="F255" s="1658">
        <v>6.7460000000000004</v>
      </c>
      <c r="G255" s="1600" t="s">
        <v>377</v>
      </c>
      <c r="H255" s="1577">
        <f>ROUND(F255*$B255/100*F249,0)</f>
        <v>0</v>
      </c>
      <c r="I255" s="1658">
        <f>I243</f>
        <v>6.9080000000000004</v>
      </c>
      <c r="J255" s="1600" t="s">
        <v>377</v>
      </c>
      <c r="K255" s="1577">
        <f>ROUND(I255*$B255/100*I249,0)</f>
        <v>0</v>
      </c>
      <c r="M255" s="1570"/>
      <c r="N255" s="1570"/>
      <c r="O255" s="1571"/>
      <c r="P255" s="1571"/>
      <c r="Q255" s="1571"/>
      <c r="R255" s="1570"/>
      <c r="S255" s="1570"/>
      <c r="T255" s="1570"/>
      <c r="U255" s="1570"/>
      <c r="V255" s="1570"/>
      <c r="W255" s="1570"/>
      <c r="X255" s="1570"/>
      <c r="Y255" s="1570"/>
      <c r="Z255" s="1570"/>
      <c r="AA255" s="1570"/>
      <c r="AB255" s="1570"/>
      <c r="AC255" s="1570"/>
      <c r="AD255" s="1570"/>
      <c r="AE255" s="1570"/>
      <c r="AF255" s="1570"/>
      <c r="AG255" s="1570"/>
      <c r="AH255" s="1570"/>
      <c r="AJ255" s="1578"/>
    </row>
    <row r="256" spans="1:36" hidden="1">
      <c r="A256" s="1585" t="s">
        <v>402</v>
      </c>
      <c r="B256" s="1599">
        <v>0</v>
      </c>
      <c r="C256" s="1658">
        <v>5.0839999999999996</v>
      </c>
      <c r="D256" s="1600" t="s">
        <v>377</v>
      </c>
      <c r="E256" s="1577">
        <f>ROUND(C256*$B256/100*C249,0)</f>
        <v>0</v>
      </c>
      <c r="F256" s="1658">
        <v>5.8120000000000003</v>
      </c>
      <c r="G256" s="1600" t="s">
        <v>377</v>
      </c>
      <c r="H256" s="1577">
        <f>ROUND(F256*$B256/100*F249,0)</f>
        <v>0</v>
      </c>
      <c r="I256" s="1658">
        <f>I244</f>
        <v>5.952</v>
      </c>
      <c r="J256" s="1600" t="s">
        <v>377</v>
      </c>
      <c r="K256" s="1577">
        <f>ROUND(I256*$B256/100*I249,0)</f>
        <v>0</v>
      </c>
      <c r="M256" s="1570"/>
      <c r="N256" s="1570"/>
      <c r="O256" s="1571"/>
      <c r="P256" s="1571"/>
      <c r="Q256" s="1571"/>
      <c r="R256" s="1570"/>
      <c r="S256" s="1570"/>
      <c r="T256" s="1570"/>
      <c r="U256" s="1570"/>
      <c r="V256" s="1570"/>
      <c r="W256" s="1570"/>
      <c r="X256" s="1570"/>
      <c r="Y256" s="1570"/>
      <c r="Z256" s="1570"/>
      <c r="AA256" s="1570"/>
      <c r="AB256" s="1570"/>
      <c r="AC256" s="1570"/>
      <c r="AD256" s="1570"/>
      <c r="AE256" s="1570"/>
      <c r="AF256" s="1570"/>
      <c r="AG256" s="1570"/>
      <c r="AH256" s="1570"/>
      <c r="AJ256" s="1578"/>
    </row>
    <row r="257" spans="1:36" hidden="1">
      <c r="A257" s="1585" t="s">
        <v>403</v>
      </c>
      <c r="B257" s="1599">
        <v>0</v>
      </c>
      <c r="C257" s="1659">
        <v>50</v>
      </c>
      <c r="D257" s="1600" t="s">
        <v>377</v>
      </c>
      <c r="E257" s="1577">
        <f>ROUND(C257*$B257/100*C249,0)</f>
        <v>0</v>
      </c>
      <c r="F257" s="1659">
        <v>56</v>
      </c>
      <c r="G257" s="1600" t="s">
        <v>377</v>
      </c>
      <c r="H257" s="1577">
        <f>ROUND(F257*$B257/100*F249,0)</f>
        <v>0</v>
      </c>
      <c r="I257" s="1659">
        <f>I245</f>
        <v>57</v>
      </c>
      <c r="J257" s="1600" t="s">
        <v>377</v>
      </c>
      <c r="K257" s="1577">
        <f>ROUND(I257*$B257/100*I249,0)</f>
        <v>0</v>
      </c>
      <c r="M257" s="1570"/>
      <c r="N257" s="1570"/>
      <c r="O257" s="1571"/>
      <c r="P257" s="1571"/>
      <c r="Q257" s="1571"/>
      <c r="R257" s="1570"/>
      <c r="S257" s="1570"/>
      <c r="T257" s="1570"/>
      <c r="U257" s="1570"/>
      <c r="V257" s="1570"/>
      <c r="W257" s="1570"/>
      <c r="X257" s="1570"/>
      <c r="Y257" s="1570"/>
      <c r="Z257" s="1570"/>
      <c r="AA257" s="1570"/>
      <c r="AB257" s="1570"/>
      <c r="AC257" s="1570"/>
      <c r="AD257" s="1570"/>
      <c r="AE257" s="1570"/>
      <c r="AF257" s="1570"/>
      <c r="AG257" s="1570"/>
      <c r="AH257" s="1570"/>
      <c r="AJ257" s="1578"/>
    </row>
    <row r="258" spans="1:36" hidden="1">
      <c r="A258" s="1585" t="s">
        <v>410</v>
      </c>
      <c r="B258" s="1599">
        <v>0</v>
      </c>
      <c r="C258" s="1660">
        <v>60</v>
      </c>
      <c r="D258" s="1574"/>
      <c r="E258" s="1577">
        <f>ROUND(C258*$B258,0)</f>
        <v>0</v>
      </c>
      <c r="F258" s="1660">
        <v>60</v>
      </c>
      <c r="G258" s="1600"/>
      <c r="H258" s="1577">
        <f>ROUND(F258*B258,0)</f>
        <v>0</v>
      </c>
      <c r="I258" s="1660">
        <f>$I$189</f>
        <v>60</v>
      </c>
      <c r="J258" s="1600"/>
      <c r="K258" s="1577">
        <f>ROUND(I258*$B258,0)</f>
        <v>0</v>
      </c>
      <c r="M258" s="1570"/>
      <c r="N258" s="1570"/>
      <c r="O258" s="1571"/>
      <c r="P258" s="1571"/>
      <c r="Q258" s="1571"/>
      <c r="R258" s="1570"/>
      <c r="S258" s="1570"/>
      <c r="T258" s="1570"/>
      <c r="U258" s="1570"/>
      <c r="V258" s="1570"/>
      <c r="W258" s="1570"/>
      <c r="X258" s="1570"/>
      <c r="Y258" s="1570"/>
      <c r="Z258" s="1570"/>
      <c r="AA258" s="1570"/>
      <c r="AB258" s="1570"/>
      <c r="AC258" s="1570"/>
      <c r="AD258" s="1570"/>
      <c r="AE258" s="1570"/>
      <c r="AF258" s="1570"/>
      <c r="AG258" s="1570"/>
      <c r="AH258" s="1570"/>
      <c r="AJ258" s="1578"/>
    </row>
    <row r="259" spans="1:36" hidden="1">
      <c r="A259" s="1585" t="s">
        <v>411</v>
      </c>
      <c r="B259" s="1599">
        <v>0</v>
      </c>
      <c r="C259" s="1661">
        <v>-30</v>
      </c>
      <c r="D259" s="1574" t="s">
        <v>377</v>
      </c>
      <c r="E259" s="1577">
        <f>ROUND(C259*$B259/100,0)</f>
        <v>0</v>
      </c>
      <c r="F259" s="1661">
        <v>-30</v>
      </c>
      <c r="G259" s="1600" t="s">
        <v>377</v>
      </c>
      <c r="H259" s="1577">
        <f>ROUND(F259*B259/100,0)</f>
        <v>0</v>
      </c>
      <c r="I259" s="1661">
        <f>$I$190</f>
        <v>-30</v>
      </c>
      <c r="J259" s="1600" t="s">
        <v>377</v>
      </c>
      <c r="K259" s="1577">
        <f>ROUND(I259*$B259/100,0)</f>
        <v>0</v>
      </c>
      <c r="M259" s="1570"/>
      <c r="N259" s="1570"/>
      <c r="O259" s="1571"/>
      <c r="P259" s="1571"/>
      <c r="Q259" s="1571"/>
      <c r="R259" s="1570"/>
      <c r="S259" s="1570"/>
      <c r="T259" s="1570"/>
      <c r="U259" s="1570"/>
      <c r="V259" s="1570"/>
      <c r="W259" s="1570"/>
      <c r="X259" s="1570"/>
      <c r="Y259" s="1570"/>
      <c r="Z259" s="1570"/>
      <c r="AA259" s="1570"/>
      <c r="AB259" s="1570"/>
      <c r="AC259" s="1570"/>
      <c r="AD259" s="1570"/>
      <c r="AE259" s="1570"/>
      <c r="AF259" s="1570"/>
      <c r="AG259" s="1570"/>
      <c r="AH259" s="1570"/>
      <c r="AJ259" s="1578"/>
    </row>
    <row r="260" spans="1:36" hidden="1">
      <c r="A260" s="1569" t="s">
        <v>933</v>
      </c>
      <c r="B260" s="1575">
        <f>B254</f>
        <v>1940</v>
      </c>
      <c r="C260" s="1584"/>
      <c r="D260" s="1570"/>
      <c r="E260" s="1577"/>
      <c r="F260" s="1584"/>
      <c r="G260" s="1570"/>
      <c r="H260" s="1577"/>
      <c r="I260" s="1389">
        <f>I174</f>
        <v>0</v>
      </c>
      <c r="J260" s="1600" t="s">
        <v>377</v>
      </c>
      <c r="K260" s="1577">
        <f t="shared" ref="K260:K262" si="48">ROUND(I260*$B260/100,0)</f>
        <v>0</v>
      </c>
      <c r="M260" s="1578"/>
      <c r="O260" s="1579"/>
      <c r="P260" s="1569"/>
      <c r="Q260" s="1569"/>
      <c r="R260" s="1580"/>
      <c r="S260" s="1580"/>
      <c r="X260" s="1570"/>
      <c r="Y260" s="1570"/>
      <c r="Z260" s="1570"/>
      <c r="AA260" s="1570"/>
      <c r="AB260" s="1570"/>
      <c r="AC260" s="1570"/>
      <c r="AD260" s="1570"/>
      <c r="AE260" s="1570"/>
      <c r="AF260" s="1570"/>
      <c r="AG260" s="1570"/>
      <c r="AH260" s="1570"/>
      <c r="AJ260" s="1578"/>
    </row>
    <row r="261" spans="1:36" hidden="1">
      <c r="A261" s="1569" t="s">
        <v>934</v>
      </c>
      <c r="B261" s="1575">
        <f t="shared" ref="B261:B262" si="49">B255</f>
        <v>0</v>
      </c>
      <c r="C261" s="1584"/>
      <c r="D261" s="1570"/>
      <c r="E261" s="1577"/>
      <c r="F261" s="1584"/>
      <c r="G261" s="1570"/>
      <c r="H261" s="1577"/>
      <c r="I261" s="1389">
        <f>I175</f>
        <v>0</v>
      </c>
      <c r="J261" s="1600" t="s">
        <v>377</v>
      </c>
      <c r="K261" s="1577">
        <f t="shared" si="48"/>
        <v>0</v>
      </c>
      <c r="M261" s="1578"/>
      <c r="O261" s="1579"/>
      <c r="P261" s="1569"/>
      <c r="Q261" s="1569"/>
      <c r="R261" s="1580"/>
      <c r="S261" s="1580"/>
      <c r="X261" s="1570"/>
      <c r="Y261" s="1570"/>
      <c r="Z261" s="1570"/>
      <c r="AA261" s="1570"/>
      <c r="AB261" s="1570"/>
      <c r="AC261" s="1570"/>
      <c r="AD261" s="1570"/>
      <c r="AE261" s="1570"/>
      <c r="AF261" s="1570"/>
      <c r="AG261" s="1570"/>
      <c r="AH261" s="1570"/>
      <c r="AJ261" s="1578"/>
    </row>
    <row r="262" spans="1:36" hidden="1">
      <c r="A262" s="1569" t="s">
        <v>935</v>
      </c>
      <c r="B262" s="1575">
        <f t="shared" si="49"/>
        <v>0</v>
      </c>
      <c r="C262" s="1584"/>
      <c r="D262" s="1570"/>
      <c r="E262" s="1577"/>
      <c r="F262" s="1584"/>
      <c r="G262" s="1570"/>
      <c r="H262" s="1577"/>
      <c r="I262" s="1389">
        <f>I176</f>
        <v>0</v>
      </c>
      <c r="J262" s="1600" t="s">
        <v>377</v>
      </c>
      <c r="K262" s="1577">
        <f t="shared" si="48"/>
        <v>0</v>
      </c>
      <c r="M262" s="1578"/>
      <c r="O262" s="1579"/>
      <c r="P262" s="1569"/>
      <c r="Q262" s="1569"/>
      <c r="R262" s="1580"/>
      <c r="S262" s="1580"/>
      <c r="X262" s="1570"/>
      <c r="Y262" s="1570"/>
      <c r="Z262" s="1570"/>
      <c r="AA262" s="1570"/>
      <c r="AB262" s="1570"/>
      <c r="AC262" s="1570"/>
      <c r="AD262" s="1570"/>
      <c r="AE262" s="1570"/>
      <c r="AF262" s="1570"/>
      <c r="AG262" s="1570"/>
      <c r="AH262" s="1570"/>
      <c r="AJ262" s="1578"/>
    </row>
    <row r="263" spans="1:36" hidden="1">
      <c r="A263" s="1585" t="s">
        <v>384</v>
      </c>
      <c r="B263" s="1599">
        <f>SUM(B242:B244)</f>
        <v>2357863.6555643408</v>
      </c>
      <c r="C263" s="1647"/>
      <c r="D263" s="1577"/>
      <c r="E263" s="1577">
        <f>SUM(E237:E259)</f>
        <v>237913</v>
      </c>
      <c r="F263" s="1647"/>
      <c r="G263" s="1600"/>
      <c r="H263" s="1577">
        <f>SUM(H237:H259)</f>
        <v>271694</v>
      </c>
      <c r="I263" s="1647"/>
      <c r="J263" s="1600"/>
      <c r="K263" s="1577">
        <f>SUM(K237:K262)</f>
        <v>278009</v>
      </c>
      <c r="M263" s="1678"/>
      <c r="N263" s="1678"/>
      <c r="O263" s="1571"/>
      <c r="P263" s="1571"/>
      <c r="Q263" s="1571"/>
      <c r="R263" s="1570"/>
      <c r="S263" s="1570"/>
      <c r="T263" s="1570"/>
      <c r="U263" s="1570"/>
      <c r="V263" s="1570"/>
      <c r="W263" s="1570"/>
      <c r="X263" s="1570"/>
      <c r="Y263" s="1570"/>
      <c r="Z263" s="1570"/>
      <c r="AA263" s="1570"/>
      <c r="AB263" s="1570"/>
      <c r="AC263" s="1570"/>
      <c r="AD263" s="1570"/>
      <c r="AE263" s="1570"/>
      <c r="AF263" s="1570"/>
      <c r="AG263" s="1570"/>
      <c r="AH263" s="1570"/>
      <c r="AJ263" s="1578"/>
    </row>
    <row r="264" spans="1:36" hidden="1">
      <c r="A264" s="1585" t="s">
        <v>366</v>
      </c>
      <c r="B264" s="1679">
        <f ca="1">'Table 2'!H18</f>
        <v>-151.59181207680737</v>
      </c>
      <c r="C264" s="1600"/>
      <c r="D264" s="1600"/>
      <c r="E264" s="1664" t="e">
        <f>#REF!</f>
        <v>#REF!</v>
      </c>
      <c r="F264" s="1600"/>
      <c r="G264" s="1600"/>
      <c r="H264" s="1664">
        <f ca="1">'Table 3'!E18</f>
        <v>11.556216535227565</v>
      </c>
      <c r="I264" s="1600"/>
      <c r="J264" s="1600"/>
      <c r="K264" s="1664">
        <f ca="1">H264</f>
        <v>11.556216535227565</v>
      </c>
      <c r="M264" s="1422"/>
      <c r="N264" s="1422"/>
      <c r="O264" s="1423"/>
      <c r="P264" s="1571"/>
      <c r="Q264" s="1571"/>
      <c r="R264" s="1570"/>
      <c r="S264" s="1570"/>
      <c r="T264" s="1570"/>
      <c r="U264" s="1570"/>
      <c r="V264" s="1570"/>
      <c r="W264" s="1570"/>
      <c r="X264" s="1570"/>
      <c r="Y264" s="1570"/>
      <c r="Z264" s="1570"/>
      <c r="AA264" s="1570"/>
      <c r="AB264" s="1570"/>
      <c r="AC264" s="1570"/>
      <c r="AD264" s="1570"/>
      <c r="AE264" s="1570"/>
      <c r="AF264" s="1570"/>
      <c r="AG264" s="1570"/>
      <c r="AH264" s="1570"/>
      <c r="AJ264" s="1578"/>
    </row>
    <row r="265" spans="1:36" ht="15.75" hidden="1" thickBot="1">
      <c r="A265" s="1585" t="s">
        <v>385</v>
      </c>
      <c r="B265" s="1632">
        <f ca="1">SUM(B263:B264)</f>
        <v>2357712.0637522638</v>
      </c>
      <c r="C265" s="1666"/>
      <c r="D265" s="1667"/>
      <c r="E265" s="1668" t="e">
        <f>E263+E264</f>
        <v>#REF!</v>
      </c>
      <c r="F265" s="1666"/>
      <c r="G265" s="1670"/>
      <c r="H265" s="1668">
        <f ca="1">H263+H264</f>
        <v>271705.55621653522</v>
      </c>
      <c r="I265" s="1666"/>
      <c r="J265" s="1670"/>
      <c r="K265" s="1668">
        <f ca="1">K263+K264</f>
        <v>278020.55621653522</v>
      </c>
      <c r="M265" s="1424"/>
      <c r="N265" s="1424"/>
      <c r="O265" s="1597"/>
      <c r="P265" s="1571"/>
      <c r="Q265" s="1571"/>
      <c r="R265" s="1570"/>
      <c r="S265" s="1570"/>
      <c r="T265" s="1570"/>
      <c r="U265" s="1570"/>
      <c r="V265" s="1570"/>
      <c r="W265" s="1570"/>
      <c r="X265" s="1570"/>
      <c r="Y265" s="1570"/>
      <c r="Z265" s="1570"/>
      <c r="AA265" s="1570"/>
      <c r="AB265" s="1570"/>
      <c r="AC265" s="1570"/>
      <c r="AD265" s="1570"/>
      <c r="AE265" s="1570"/>
      <c r="AF265" s="1570"/>
      <c r="AG265" s="1570"/>
      <c r="AH265" s="1570"/>
      <c r="AJ265" s="1578"/>
    </row>
    <row r="266" spans="1:36" hidden="1">
      <c r="A266" s="1585"/>
      <c r="B266" s="1610"/>
      <c r="C266" s="1660"/>
      <c r="D266" s="1577"/>
      <c r="E266" s="1577"/>
      <c r="F266" s="1660"/>
      <c r="G266" s="1585"/>
      <c r="H266" s="1577"/>
      <c r="I266" s="1660"/>
      <c r="J266" s="1585"/>
      <c r="K266" s="1577" t="s">
        <v>31</v>
      </c>
      <c r="M266" s="1570"/>
      <c r="N266" s="1570"/>
      <c r="O266" s="1571"/>
      <c r="P266" s="1571"/>
      <c r="Q266" s="1571"/>
      <c r="R266" s="1570"/>
      <c r="S266" s="1570"/>
      <c r="T266" s="1570"/>
      <c r="U266" s="1570"/>
      <c r="V266" s="1570"/>
      <c r="W266" s="1570"/>
      <c r="X266" s="1570"/>
      <c r="Y266" s="1570"/>
      <c r="Z266" s="1570"/>
      <c r="AA266" s="1570"/>
      <c r="AB266" s="1570"/>
      <c r="AC266" s="1570"/>
      <c r="AD266" s="1570"/>
      <c r="AE266" s="1570"/>
      <c r="AF266" s="1570"/>
      <c r="AG266" s="1570"/>
      <c r="AH266" s="1570"/>
      <c r="AJ266" s="1578"/>
    </row>
    <row r="267" spans="1:36" hidden="1">
      <c r="A267" s="1585"/>
      <c r="B267" s="1610"/>
      <c r="C267" s="1660"/>
      <c r="D267" s="1577"/>
      <c r="E267" s="1577"/>
      <c r="F267" s="1660"/>
      <c r="G267" s="1585"/>
      <c r="H267" s="1577"/>
      <c r="I267" s="1660"/>
      <c r="J267" s="1585"/>
      <c r="K267" s="1577" t="s">
        <v>31</v>
      </c>
      <c r="M267" s="1570"/>
      <c r="N267" s="1570"/>
      <c r="O267" s="1571"/>
      <c r="P267" s="1571"/>
      <c r="Q267" s="1571"/>
      <c r="R267" s="1570"/>
      <c r="S267" s="1570"/>
      <c r="T267" s="1570"/>
      <c r="U267" s="1570"/>
      <c r="V267" s="1570"/>
      <c r="W267" s="1570"/>
      <c r="X267" s="1570"/>
      <c r="Y267" s="1570"/>
      <c r="Z267" s="1570"/>
      <c r="AA267" s="1570"/>
      <c r="AB267" s="1570"/>
      <c r="AC267" s="1570"/>
      <c r="AD267" s="1570"/>
      <c r="AE267" s="1570"/>
      <c r="AF267" s="1570"/>
      <c r="AG267" s="1570"/>
      <c r="AH267" s="1570"/>
      <c r="AJ267" s="1578"/>
    </row>
    <row r="268" spans="1:36" hidden="1">
      <c r="A268" s="1609" t="s">
        <v>390</v>
      </c>
      <c r="B268" s="1585"/>
      <c r="C268" s="1577"/>
      <c r="D268" s="1577"/>
      <c r="E268" s="1585" t="s">
        <v>31</v>
      </c>
      <c r="F268" s="1577"/>
      <c r="G268" s="1585"/>
      <c r="H268" s="1585"/>
      <c r="I268" s="1577"/>
      <c r="J268" s="1585"/>
      <c r="K268" s="1585"/>
      <c r="M268" s="1570"/>
      <c r="N268" s="1570"/>
      <c r="O268" s="1571"/>
      <c r="P268" s="1571"/>
      <c r="Q268" s="1571"/>
      <c r="R268" s="1570"/>
      <c r="S268" s="1570"/>
      <c r="T268" s="1570"/>
      <c r="U268" s="1570"/>
      <c r="V268" s="1570"/>
      <c r="W268" s="1570"/>
      <c r="X268" s="1570"/>
      <c r="Y268" s="1570"/>
      <c r="Z268" s="1570"/>
      <c r="AA268" s="1570"/>
      <c r="AB268" s="1570"/>
      <c r="AC268" s="1570"/>
      <c r="AD268" s="1570"/>
      <c r="AE268" s="1570"/>
      <c r="AF268" s="1570"/>
      <c r="AG268" s="1570"/>
      <c r="AH268" s="1570"/>
      <c r="AJ268" s="1578"/>
    </row>
    <row r="269" spans="1:36" hidden="1">
      <c r="A269" s="1585" t="s">
        <v>414</v>
      </c>
      <c r="B269" s="1585"/>
      <c r="C269" s="1577"/>
      <c r="D269" s="1577"/>
      <c r="E269" s="1585"/>
      <c r="F269" s="1577"/>
      <c r="G269" s="1585"/>
      <c r="H269" s="1585"/>
      <c r="I269" s="1577"/>
      <c r="J269" s="1585"/>
      <c r="K269" s="1585"/>
      <c r="M269" s="1570"/>
      <c r="N269" s="1570"/>
      <c r="O269" s="1571"/>
      <c r="P269" s="1571"/>
      <c r="Q269" s="1571"/>
      <c r="R269" s="1570"/>
      <c r="S269" s="1570"/>
      <c r="T269" s="1570"/>
      <c r="U269" s="1570"/>
      <c r="V269" s="1570"/>
      <c r="W269" s="1570"/>
      <c r="X269" s="1570"/>
      <c r="Y269" s="1570"/>
      <c r="Z269" s="1570"/>
      <c r="AA269" s="1570"/>
      <c r="AB269" s="1570"/>
      <c r="AC269" s="1570"/>
      <c r="AD269" s="1570"/>
      <c r="AE269" s="1570"/>
      <c r="AF269" s="1570"/>
      <c r="AG269" s="1570"/>
      <c r="AH269" s="1570"/>
      <c r="AJ269" s="1578"/>
    </row>
    <row r="270" spans="1:36" hidden="1">
      <c r="A270" s="1635" t="s">
        <v>415</v>
      </c>
      <c r="B270" s="1610"/>
      <c r="C270" s="1577"/>
      <c r="D270" s="1577"/>
      <c r="E270" s="1585"/>
      <c r="F270" s="1577"/>
      <c r="G270" s="1585"/>
      <c r="H270" s="1585"/>
      <c r="I270" s="1577"/>
      <c r="J270" s="1585"/>
      <c r="K270" s="1585"/>
      <c r="M270" s="1570"/>
      <c r="N270" s="1570"/>
      <c r="O270" s="1571"/>
      <c r="P270" s="1571"/>
      <c r="Q270" s="1571"/>
      <c r="R270" s="1570"/>
      <c r="S270" s="1570"/>
      <c r="T270" s="1570"/>
      <c r="U270" s="1570"/>
      <c r="V270" s="1570"/>
      <c r="W270" s="1570"/>
      <c r="X270" s="1570"/>
      <c r="Y270" s="1570"/>
      <c r="Z270" s="1570"/>
      <c r="AA270" s="1570"/>
      <c r="AB270" s="1570"/>
      <c r="AC270" s="1570"/>
      <c r="AD270" s="1570"/>
      <c r="AE270" s="1570"/>
      <c r="AF270" s="1570"/>
      <c r="AG270" s="1570"/>
      <c r="AH270" s="1570"/>
      <c r="AJ270" s="1578"/>
    </row>
    <row r="271" spans="1:36" hidden="1">
      <c r="A271" s="1585" t="s">
        <v>396</v>
      </c>
      <c r="B271" s="1599"/>
      <c r="C271" s="1577"/>
      <c r="D271" s="1577"/>
      <c r="E271" s="1585"/>
      <c r="F271" s="1577"/>
      <c r="G271" s="1585"/>
      <c r="H271" s="1585"/>
      <c r="I271" s="1577"/>
      <c r="J271" s="1585"/>
      <c r="K271" s="1585"/>
      <c r="M271" s="1570"/>
      <c r="N271" s="1570"/>
      <c r="O271" s="1571"/>
      <c r="P271" s="1571"/>
      <c r="Q271" s="1571"/>
      <c r="R271" s="1570"/>
      <c r="S271" s="1570"/>
      <c r="T271" s="1570"/>
      <c r="U271" s="1570"/>
      <c r="V271" s="1570"/>
      <c r="W271" s="1570"/>
      <c r="X271" s="1570"/>
      <c r="Y271" s="1570"/>
      <c r="Z271" s="1570"/>
      <c r="AA271" s="1570"/>
      <c r="AB271" s="1570"/>
      <c r="AC271" s="1570"/>
      <c r="AD271" s="1570"/>
      <c r="AE271" s="1570"/>
      <c r="AF271" s="1570"/>
      <c r="AG271" s="1570"/>
      <c r="AH271" s="1570"/>
      <c r="AJ271" s="1578"/>
    </row>
    <row r="272" spans="1:36" hidden="1">
      <c r="A272" s="1585" t="s">
        <v>393</v>
      </c>
      <c r="B272" s="1599">
        <f>'Schedule 24 BD'!$F$2+'Schedule 24 BD'!$F$5+'Schedule 24 BD'!$F$6+'Schedule 24 BD'!$F$11+'Schedule 24 BD'!$F$13+'Schedule 24 BD'!$F$19</f>
        <v>150737.03333332695</v>
      </c>
      <c r="C272" s="1614">
        <v>7.64</v>
      </c>
      <c r="D272" s="1574"/>
      <c r="E272" s="1577">
        <f>ROUND(C272*$B272,0)</f>
        <v>1151631</v>
      </c>
      <c r="F272" s="1614">
        <v>8.7100000000000009</v>
      </c>
      <c r="G272" s="1600"/>
      <c r="H272" s="1577">
        <f>ROUND(F272*$B272,0)</f>
        <v>1312920</v>
      </c>
      <c r="I272" s="1614">
        <f>$I$164</f>
        <v>8.92</v>
      </c>
      <c r="J272" s="1600"/>
      <c r="K272" s="1577">
        <f>ROUND(I272*$B272,0)</f>
        <v>1344574</v>
      </c>
      <c r="M272" s="1570"/>
      <c r="N272" s="1570"/>
      <c r="O272" s="1571"/>
      <c r="P272" s="1571"/>
      <c r="Q272" s="1571"/>
      <c r="R272" s="1570"/>
      <c r="S272" s="1570"/>
      <c r="T272" s="1570"/>
      <c r="U272" s="1570"/>
      <c r="V272" s="1570"/>
      <c r="W272" s="1570"/>
      <c r="X272" s="1570"/>
      <c r="Y272" s="1570"/>
      <c r="Z272" s="1570"/>
      <c r="AA272" s="1570"/>
      <c r="AB272" s="1570"/>
      <c r="AC272" s="1570"/>
      <c r="AD272" s="1570"/>
      <c r="AE272" s="1570"/>
      <c r="AF272" s="1570"/>
      <c r="AG272" s="1570"/>
      <c r="AH272" s="1570"/>
      <c r="AJ272" s="1578"/>
    </row>
    <row r="273" spans="1:36" hidden="1">
      <c r="A273" s="1585" t="s">
        <v>394</v>
      </c>
      <c r="B273" s="1599">
        <f>'Schedule 24 BD'!$F$3+'Schedule 24 BD'!$F$4+'Schedule 24 BD'!$F$7+'Schedule 24 BD'!$F$8+'Schedule 24 BD'!$F$9+'Schedule 24 BD'!$F$10+'Schedule 24 BD'!$F$12</f>
        <v>58978.533333332438</v>
      </c>
      <c r="C273" s="1614">
        <v>11.36</v>
      </c>
      <c r="D273" s="1641"/>
      <c r="E273" s="1577">
        <f>ROUND(C273*$B273,0)</f>
        <v>669996</v>
      </c>
      <c r="F273" s="1614">
        <v>12.98</v>
      </c>
      <c r="G273" s="1642"/>
      <c r="H273" s="1577">
        <f t="shared" ref="H273:H274" si="50">ROUND(F273*$B273,0)</f>
        <v>765541</v>
      </c>
      <c r="I273" s="1614">
        <f>$I$165</f>
        <v>13.299999999999999</v>
      </c>
      <c r="J273" s="1642"/>
      <c r="K273" s="1577">
        <f>ROUND(I273*$B273,0)</f>
        <v>784414</v>
      </c>
      <c r="M273" s="1570"/>
      <c r="N273" s="1570"/>
      <c r="O273" s="1571"/>
      <c r="P273" s="1571"/>
      <c r="Q273" s="1571"/>
      <c r="R273" s="1570"/>
      <c r="S273" s="1570"/>
      <c r="T273" s="1570"/>
      <c r="U273" s="1570"/>
      <c r="V273" s="1570"/>
      <c r="W273" s="1570"/>
      <c r="X273" s="1570"/>
      <c r="Y273" s="1570"/>
      <c r="Z273" s="1570"/>
      <c r="AA273" s="1570"/>
      <c r="AB273" s="1570"/>
      <c r="AC273" s="1570"/>
      <c r="AD273" s="1570"/>
      <c r="AE273" s="1570"/>
      <c r="AF273" s="1570"/>
      <c r="AG273" s="1570"/>
      <c r="AH273" s="1570"/>
      <c r="AJ273" s="1578"/>
    </row>
    <row r="274" spans="1:36" hidden="1">
      <c r="A274" s="1585" t="s">
        <v>395</v>
      </c>
      <c r="B274" s="1599">
        <f>'Schedule 24 BD'!$G$2+'Schedule 24 BD'!$G$4+'Schedule 24 BD'!$G$5+'Schedule 24 BD'!$G$6+'Schedule 24 BD'!$G$7+'Schedule 24 BD'!$G$8+'Schedule 24 BD'!$G$9+'Schedule 24 BD'!$G$10+'Schedule 24 BD'!$G$11+'Schedule 24 BD'!$G$12</f>
        <v>1157061.5</v>
      </c>
      <c r="C274" s="1614">
        <v>0.81</v>
      </c>
      <c r="D274" s="1641"/>
      <c r="E274" s="1577">
        <f>ROUND(C274*$B274,0)</f>
        <v>937220</v>
      </c>
      <c r="F274" s="1614">
        <v>0.92</v>
      </c>
      <c r="G274" s="1642"/>
      <c r="H274" s="1577">
        <f t="shared" si="50"/>
        <v>1064497</v>
      </c>
      <c r="I274" s="1614">
        <f>$I$166</f>
        <v>0.95</v>
      </c>
      <c r="J274" s="1642"/>
      <c r="K274" s="1577">
        <f>ROUND(I274*$B274,0)</f>
        <v>1099208</v>
      </c>
      <c r="M274" s="1570"/>
      <c r="N274" s="1570"/>
      <c r="O274" s="1571"/>
      <c r="P274" s="1571"/>
      <c r="Q274" s="1571"/>
      <c r="R274" s="1570"/>
      <c r="S274" s="1570"/>
      <c r="T274" s="1570"/>
      <c r="U274" s="1570"/>
      <c r="V274" s="1570"/>
      <c r="W274" s="1570"/>
      <c r="X274" s="1570"/>
      <c r="Y274" s="1570"/>
      <c r="Z274" s="1570"/>
      <c r="AA274" s="1570"/>
      <c r="AB274" s="1570"/>
      <c r="AC274" s="1570"/>
      <c r="AD274" s="1570"/>
      <c r="AE274" s="1570"/>
      <c r="AF274" s="1570"/>
      <c r="AG274" s="1570"/>
      <c r="AH274" s="1570"/>
      <c r="AJ274" s="1578"/>
    </row>
    <row r="275" spans="1:36" hidden="1">
      <c r="A275" s="1585" t="s">
        <v>397</v>
      </c>
      <c r="B275" s="1599">
        <f>SUM(B272:B273)</f>
        <v>209715.56666665938</v>
      </c>
      <c r="C275" s="1614"/>
      <c r="D275" s="1574"/>
      <c r="E275" s="1577"/>
      <c r="F275" s="1614"/>
      <c r="G275" s="1600"/>
      <c r="H275" s="1577"/>
      <c r="I275" s="1614"/>
      <c r="J275" s="1600"/>
      <c r="K275" s="1577"/>
      <c r="M275" s="1570"/>
      <c r="N275" s="1570"/>
      <c r="O275" s="1571"/>
      <c r="P275" s="1571"/>
      <c r="Q275" s="1571"/>
      <c r="R275" s="1570"/>
      <c r="S275" s="1570"/>
      <c r="T275" s="1570"/>
      <c r="U275" s="1570"/>
      <c r="V275" s="1570"/>
      <c r="W275" s="1570"/>
      <c r="X275" s="1570"/>
      <c r="Y275" s="1570"/>
      <c r="Z275" s="1570"/>
      <c r="AA275" s="1570"/>
      <c r="AB275" s="1570"/>
      <c r="AC275" s="1570"/>
      <c r="AD275" s="1570"/>
      <c r="AE275" s="1570"/>
      <c r="AF275" s="1570"/>
      <c r="AG275" s="1570"/>
      <c r="AH275" s="1570"/>
      <c r="AJ275" s="1578"/>
    </row>
    <row r="276" spans="1:36" hidden="1">
      <c r="A276" s="1585" t="s">
        <v>398</v>
      </c>
      <c r="B276" s="1599">
        <f>'Schedule 24 BD'!$K$2+'Schedule 24 BD'!$K$4+'Schedule 24 BD'!$K$5+'Schedule 24 BD'!$K$6+'Schedule 24 BD'!$K$7+'Schedule 24 BD'!$K$8+'Schedule 24 BD'!$K$9+'Schedule 24 BD'!$K$10+'Schedule 24 BD'!$K$11+'Schedule 24 BD'!$K$12</f>
        <v>743582</v>
      </c>
      <c r="C276" s="1660">
        <v>2.98</v>
      </c>
      <c r="D276" s="1600"/>
      <c r="E276" s="1577">
        <f>ROUND(C276*$B276,0)</f>
        <v>2215874</v>
      </c>
      <c r="F276" s="1660">
        <v>3.4</v>
      </c>
      <c r="G276" s="1600"/>
      <c r="H276" s="1577">
        <f>ROUND(F276*B276,0)</f>
        <v>2528179</v>
      </c>
      <c r="I276" s="1660">
        <f>$I$169</f>
        <v>3.4899999999999998</v>
      </c>
      <c r="J276" s="1600"/>
      <c r="K276" s="1577">
        <f>ROUND(I276*$B276,0)</f>
        <v>2595101</v>
      </c>
      <c r="M276" s="1570"/>
      <c r="N276" s="1570"/>
      <c r="O276" s="1571"/>
      <c r="P276" s="1571"/>
      <c r="Q276" s="1571"/>
      <c r="R276" s="1570"/>
      <c r="S276" s="1570"/>
      <c r="T276" s="1570"/>
      <c r="U276" s="1570"/>
      <c r="V276" s="1570"/>
      <c r="W276" s="1570"/>
      <c r="X276" s="1570"/>
      <c r="Y276" s="1570"/>
      <c r="Z276" s="1570"/>
      <c r="AA276" s="1570"/>
      <c r="AB276" s="1570"/>
      <c r="AC276" s="1570"/>
      <c r="AD276" s="1570"/>
      <c r="AE276" s="1570"/>
      <c r="AF276" s="1570"/>
      <c r="AG276" s="1570"/>
      <c r="AH276" s="1570"/>
      <c r="AJ276" s="1578"/>
    </row>
    <row r="277" spans="1:36" hidden="1">
      <c r="A277" s="1585" t="s">
        <v>400</v>
      </c>
      <c r="B277" s="1599">
        <f>'Schedule 24 BD'!$I$2+'Schedule 24 BD'!$I$3+'Schedule 24 BD'!$I$4+'Schedule 24 BD'!$I$5+'Schedule 24 BD'!$I$6+'Schedule 24 BD'!$I$7+'Schedule 24 BD'!$I$8+'Schedule 24 BD'!$I$9+'Schedule 24 BD'!$I$10+'Schedule 24 BD'!$I$11+'Schedule 24 BD'!$I$12+'Schedule 24 BD'!$I$13+'Schedule 24 BD'!$I$19+Temperature!C75*1000</f>
        <v>125208946.110778</v>
      </c>
      <c r="C277" s="1389">
        <v>8.5489999999999995</v>
      </c>
      <c r="D277" s="1600" t="s">
        <v>377</v>
      </c>
      <c r="E277" s="1577">
        <f>ROUND(C277*$B277/100,0)</f>
        <v>10704113</v>
      </c>
      <c r="F277" s="1389">
        <v>9.766</v>
      </c>
      <c r="G277" s="1600" t="s">
        <v>377</v>
      </c>
      <c r="H277" s="1577">
        <f>ROUND(F277*B277/100,0)</f>
        <v>12227906</v>
      </c>
      <c r="I277" s="1389">
        <f>$I$170</f>
        <v>9.9879999999999995</v>
      </c>
      <c r="J277" s="1600" t="s">
        <v>377</v>
      </c>
      <c r="K277" s="1577">
        <f>ROUND(I277*$B277/100,0)</f>
        <v>12505870</v>
      </c>
      <c r="M277" s="1606"/>
      <c r="N277" s="1606"/>
      <c r="O277" s="1571"/>
      <c r="P277" s="1571"/>
      <c r="Q277" s="1571"/>
      <c r="R277" s="1570"/>
      <c r="S277" s="1570"/>
      <c r="T277" s="1570"/>
      <c r="U277" s="1570"/>
      <c r="V277" s="1570"/>
      <c r="W277" s="1570"/>
      <c r="X277" s="1570"/>
      <c r="Y277" s="1570"/>
      <c r="Z277" s="1570"/>
      <c r="AA277" s="1570"/>
      <c r="AB277" s="1570"/>
      <c r="AC277" s="1570"/>
      <c r="AD277" s="1570"/>
      <c r="AE277" s="1570"/>
      <c r="AF277" s="1570"/>
      <c r="AG277" s="1570"/>
      <c r="AH277" s="1570"/>
      <c r="AJ277" s="1578"/>
    </row>
    <row r="278" spans="1:36" hidden="1">
      <c r="A278" s="1585" t="s">
        <v>401</v>
      </c>
      <c r="B278" s="1599">
        <f>'Schedule 24 BD'!$J$2+'Schedule 24 BD'!$J$3+'Schedule 24 BD'!$J$4+'Schedule 24 BD'!$J$5+'Schedule 24 BD'!$J$6+'Schedule 24 BD'!$J$7+'Schedule 24 BD'!$J$8+'Schedule 24 BD'!$J$9+'Schedule 24 BD'!$J$10+'Schedule 24 BD'!$J$11+'Schedule 24 BD'!$J$12+'Schedule 24 BD'!$J$19+Temperature!D75*1000</f>
        <v>275854333.43621069</v>
      </c>
      <c r="C278" s="1389">
        <v>5.9020000000000001</v>
      </c>
      <c r="D278" s="1600" t="s">
        <v>377</v>
      </c>
      <c r="E278" s="1577">
        <f>ROUND(C278*$B278/100,0)</f>
        <v>16280923</v>
      </c>
      <c r="F278" s="1389">
        <v>6.7460000000000004</v>
      </c>
      <c r="G278" s="1600" t="s">
        <v>377</v>
      </c>
      <c r="H278" s="1577">
        <f t="shared" ref="H278:H280" si="51">ROUND(F278*B278/100,0)</f>
        <v>18609133</v>
      </c>
      <c r="I278" s="1389">
        <f>$I$171</f>
        <v>6.9080000000000004</v>
      </c>
      <c r="J278" s="1600" t="s">
        <v>377</v>
      </c>
      <c r="K278" s="1577">
        <f>ROUND(I278*$B278/100,0)</f>
        <v>19056017</v>
      </c>
      <c r="M278" s="1606"/>
      <c r="N278" s="1606"/>
      <c r="O278" s="1571"/>
      <c r="P278" s="1571"/>
      <c r="Q278" s="1571"/>
      <c r="R278" s="1570"/>
      <c r="S278" s="1570"/>
      <c r="T278" s="1570"/>
      <c r="U278" s="1570"/>
      <c r="V278" s="1570"/>
      <c r="W278" s="1570"/>
      <c r="X278" s="1570"/>
      <c r="Y278" s="1570"/>
      <c r="Z278" s="1570"/>
      <c r="AA278" s="1570"/>
      <c r="AB278" s="1570"/>
      <c r="AC278" s="1570"/>
      <c r="AD278" s="1570"/>
      <c r="AE278" s="1570"/>
      <c r="AF278" s="1570"/>
      <c r="AG278" s="1570"/>
      <c r="AH278" s="1570"/>
      <c r="AJ278" s="1578"/>
    </row>
    <row r="279" spans="1:36" hidden="1">
      <c r="A279" s="1585" t="s">
        <v>402</v>
      </c>
      <c r="B279" s="1599">
        <f>'Schedule 24 BD'!$H$2+'Schedule 24 BD'!$H$3+'Schedule 24 BD'!$H$4+'Schedule 24 BD'!$H$5+'Schedule 24 BD'!$H$6+'Schedule 24 BD'!$H$7+'Schedule 24 BD'!$H$8+'Schedule 24 BD'!$H$9+'Schedule 24 BD'!$H$10+'Schedule 24 BD'!$H$11+'Schedule 24 BD'!$H$12+'Schedule 24 BD'!$H$13-'Schedule 24 BD'!$I$2-'Schedule 24 BD'!$I$3-'Schedule 24 BD'!$I$4-'Schedule 24 BD'!$I$5-'Schedule 24 BD'!$I$6-'Schedule 24 BD'!$I$7-'Schedule 24 BD'!$I$8-'Schedule 24 BD'!$I$9-'Schedule 24 BD'!$I$10-'Schedule 24 BD'!$I$11-'Schedule 24 BD'!$I$12-'Schedule 24 BD'!$I$13-'Schedule 24 BD'!$J$2-'Schedule 24 BD'!$J$3-'Schedule 24 BD'!$J$4-'Schedule 24 BD'!$J$5-'Schedule 24 BD'!$J$6-'Schedule 24 BD'!$J$7-'Schedule 24 BD'!$J$8-'Schedule 24 BD'!$J$9-'Schedule 24 BD'!$J$10-'Schedule 24 BD'!$J$11-'Schedule 24 BD'!$J$12+Temperature!E75*1000</f>
        <v>116004075.26156482</v>
      </c>
      <c r="C279" s="1389">
        <v>5.0839999999999996</v>
      </c>
      <c r="D279" s="1600" t="s">
        <v>377</v>
      </c>
      <c r="E279" s="1577">
        <f>ROUND(C279*$B279/100,0)</f>
        <v>5897647</v>
      </c>
      <c r="F279" s="1389">
        <v>5.8120000000000003</v>
      </c>
      <c r="G279" s="1600" t="s">
        <v>377</v>
      </c>
      <c r="H279" s="1577">
        <f t="shared" si="51"/>
        <v>6742157</v>
      </c>
      <c r="I279" s="1389">
        <f>$I$172</f>
        <v>5.952</v>
      </c>
      <c r="J279" s="1600" t="s">
        <v>377</v>
      </c>
      <c r="K279" s="1577">
        <f>ROUND(I279*$B279/100,0)</f>
        <v>6904563</v>
      </c>
      <c r="M279" s="1606"/>
      <c r="N279" s="1606"/>
      <c r="O279" s="1571"/>
      <c r="P279" s="1571"/>
      <c r="Q279" s="1571"/>
      <c r="R279" s="1570"/>
      <c r="S279" s="1570"/>
      <c r="T279" s="1570"/>
      <c r="U279" s="1570"/>
      <c r="V279" s="1570"/>
      <c r="W279" s="1570"/>
      <c r="X279" s="1570"/>
      <c r="Y279" s="1570"/>
      <c r="Z279" s="1570"/>
      <c r="AA279" s="1570"/>
      <c r="AB279" s="1570"/>
      <c r="AC279" s="1570"/>
      <c r="AD279" s="1570"/>
      <c r="AE279" s="1570"/>
      <c r="AF279" s="1570"/>
      <c r="AG279" s="1570"/>
      <c r="AH279" s="1570"/>
      <c r="AJ279" s="1578"/>
    </row>
    <row r="280" spans="1:36" hidden="1">
      <c r="A280" s="1585" t="s">
        <v>403</v>
      </c>
      <c r="B280" s="1599">
        <f>'Schedule 24 BD'!$L$4+'Schedule 24 BD'!$L$6+'Schedule 24 BD'!$L$9+'Schedule 24 BD'!$L$10+'Schedule 24 BD'!$L$12</f>
        <v>95706.733333333119</v>
      </c>
      <c r="C280" s="1647">
        <v>50</v>
      </c>
      <c r="D280" s="1574" t="s">
        <v>377</v>
      </c>
      <c r="E280" s="1577">
        <f>ROUND(C280*$B280/100,0)</f>
        <v>47853</v>
      </c>
      <c r="F280" s="1647">
        <v>56</v>
      </c>
      <c r="G280" s="1600" t="s">
        <v>377</v>
      </c>
      <c r="H280" s="1577">
        <f t="shared" si="51"/>
        <v>53596</v>
      </c>
      <c r="I280" s="1647">
        <f>$I$173</f>
        <v>57</v>
      </c>
      <c r="J280" s="1600" t="s">
        <v>377</v>
      </c>
      <c r="K280" s="1577">
        <f>ROUND(I280*$B280/100,0)</f>
        <v>54553</v>
      </c>
      <c r="M280" s="1570"/>
      <c r="N280" s="1570"/>
      <c r="O280" s="1571"/>
      <c r="P280" s="1571"/>
      <c r="Q280" s="1571"/>
      <c r="R280" s="1570"/>
      <c r="S280" s="1570"/>
      <c r="T280" s="1570"/>
      <c r="U280" s="1570"/>
      <c r="V280" s="1570"/>
      <c r="W280" s="1570"/>
      <c r="X280" s="1570"/>
      <c r="Y280" s="1570"/>
      <c r="Z280" s="1570"/>
      <c r="AA280" s="1570"/>
      <c r="AB280" s="1570"/>
      <c r="AC280" s="1570"/>
      <c r="AD280" s="1570"/>
      <c r="AE280" s="1570"/>
      <c r="AF280" s="1570"/>
      <c r="AG280" s="1570"/>
      <c r="AH280" s="1570"/>
      <c r="AJ280" s="1578"/>
    </row>
    <row r="281" spans="1:36" hidden="1">
      <c r="A281" s="1569" t="s">
        <v>933</v>
      </c>
      <c r="B281" s="1575">
        <f>B277</f>
        <v>125208946.110778</v>
      </c>
      <c r="C281" s="1584"/>
      <c r="D281" s="1570"/>
      <c r="E281" s="1577"/>
      <c r="F281" s="1584"/>
      <c r="G281" s="1570"/>
      <c r="H281" s="1577"/>
      <c r="I281" s="1389">
        <f>I174</f>
        <v>0</v>
      </c>
      <c r="J281" s="1600" t="s">
        <v>377</v>
      </c>
      <c r="K281" s="1577">
        <f t="shared" ref="K281:K283" si="52">ROUND(I281*$B281/100,0)</f>
        <v>0</v>
      </c>
      <c r="M281" s="1578"/>
      <c r="O281" s="1579"/>
      <c r="P281" s="1569"/>
      <c r="Q281" s="1569"/>
      <c r="R281" s="1580"/>
      <c r="S281" s="1580"/>
      <c r="X281" s="1570"/>
      <c r="Y281" s="1570"/>
      <c r="Z281" s="1570"/>
      <c r="AA281" s="1570"/>
      <c r="AB281" s="1570"/>
      <c r="AC281" s="1570"/>
      <c r="AD281" s="1570"/>
      <c r="AE281" s="1570"/>
      <c r="AF281" s="1570"/>
      <c r="AG281" s="1570"/>
      <c r="AH281" s="1570"/>
      <c r="AJ281" s="1578"/>
    </row>
    <row r="282" spans="1:36" hidden="1">
      <c r="A282" s="1569" t="s">
        <v>934</v>
      </c>
      <c r="B282" s="1575">
        <f>B278</f>
        <v>275854333.43621069</v>
      </c>
      <c r="C282" s="1584"/>
      <c r="D282" s="1570"/>
      <c r="E282" s="1577"/>
      <c r="F282" s="1584"/>
      <c r="G282" s="1570"/>
      <c r="H282" s="1577"/>
      <c r="I282" s="1389">
        <f>I175</f>
        <v>0</v>
      </c>
      <c r="J282" s="1600" t="s">
        <v>377</v>
      </c>
      <c r="K282" s="1577">
        <f t="shared" si="52"/>
        <v>0</v>
      </c>
      <c r="M282" s="1578"/>
      <c r="O282" s="1579"/>
      <c r="P282" s="1569"/>
      <c r="Q282" s="1569"/>
      <c r="R282" s="1580"/>
      <c r="S282" s="1580"/>
      <c r="X282" s="1570"/>
      <c r="Y282" s="1570"/>
      <c r="Z282" s="1570"/>
      <c r="AA282" s="1570"/>
      <c r="AB282" s="1570"/>
      <c r="AC282" s="1570"/>
      <c r="AD282" s="1570"/>
      <c r="AE282" s="1570"/>
      <c r="AF282" s="1570"/>
      <c r="AG282" s="1570"/>
      <c r="AH282" s="1570"/>
      <c r="AJ282" s="1578"/>
    </row>
    <row r="283" spans="1:36" hidden="1">
      <c r="A283" s="1569" t="s">
        <v>935</v>
      </c>
      <c r="B283" s="1575">
        <f>B279</f>
        <v>116004075.26156482</v>
      </c>
      <c r="C283" s="1584"/>
      <c r="D283" s="1570"/>
      <c r="E283" s="1577"/>
      <c r="F283" s="1584"/>
      <c r="G283" s="1570"/>
      <c r="H283" s="1577"/>
      <c r="I283" s="1389">
        <f>I176</f>
        <v>0</v>
      </c>
      <c r="J283" s="1600" t="s">
        <v>377</v>
      </c>
      <c r="K283" s="1577">
        <f t="shared" si="52"/>
        <v>0</v>
      </c>
      <c r="M283" s="1578"/>
      <c r="O283" s="1579"/>
      <c r="P283" s="1569"/>
      <c r="Q283" s="1569"/>
      <c r="R283" s="1580"/>
      <c r="S283" s="1580"/>
      <c r="X283" s="1570"/>
      <c r="Y283" s="1570"/>
      <c r="Z283" s="1570"/>
      <c r="AA283" s="1570"/>
      <c r="AB283" s="1570"/>
      <c r="AC283" s="1570"/>
      <c r="AD283" s="1570"/>
      <c r="AE283" s="1570"/>
      <c r="AF283" s="1570"/>
      <c r="AG283" s="1570"/>
      <c r="AH283" s="1570"/>
      <c r="AJ283" s="1578"/>
    </row>
    <row r="284" spans="1:36" hidden="1">
      <c r="A284" s="1654" t="s">
        <v>404</v>
      </c>
      <c r="B284" s="1599"/>
      <c r="C284" s="1655">
        <v>-0.01</v>
      </c>
      <c r="D284" s="1574"/>
      <c r="E284" s="1577"/>
      <c r="F284" s="1655">
        <v>-0.01</v>
      </c>
      <c r="G284" s="1600"/>
      <c r="H284" s="1577"/>
      <c r="I284" s="1655">
        <v>-0.01</v>
      </c>
      <c r="J284" s="1600"/>
      <c r="K284" s="1577"/>
      <c r="M284" s="1570"/>
      <c r="N284" s="1570"/>
      <c r="O284" s="1571"/>
      <c r="P284" s="1571"/>
      <c r="Q284" s="1571"/>
      <c r="R284" s="1570"/>
      <c r="S284" s="1570"/>
      <c r="T284" s="1570"/>
      <c r="U284" s="1570"/>
      <c r="V284" s="1570"/>
      <c r="W284" s="1570"/>
      <c r="X284" s="1570"/>
      <c r="Y284" s="1570"/>
      <c r="Z284" s="1570"/>
      <c r="AA284" s="1570"/>
      <c r="AB284" s="1570"/>
      <c r="AC284" s="1570"/>
      <c r="AD284" s="1570"/>
      <c r="AE284" s="1570"/>
      <c r="AF284" s="1570"/>
      <c r="AG284" s="1570"/>
      <c r="AH284" s="1570"/>
      <c r="AJ284" s="1578"/>
    </row>
    <row r="285" spans="1:36" hidden="1">
      <c r="A285" s="1585" t="s">
        <v>393</v>
      </c>
      <c r="B285" s="1599">
        <f>'Schedule 24 BD'!$F$5</f>
        <v>72.066666666666706</v>
      </c>
      <c r="C285" s="1657">
        <v>7.64</v>
      </c>
      <c r="D285" s="1574"/>
      <c r="E285" s="1577">
        <f>-ROUND(C285*$B285/100,0)</f>
        <v>-6</v>
      </c>
      <c r="F285" s="1657">
        <v>8.7100000000000009</v>
      </c>
      <c r="G285" s="1574"/>
      <c r="H285" s="1577">
        <f>-ROUND(F285*$B285/100,0)</f>
        <v>-6</v>
      </c>
      <c r="I285" s="1657">
        <f>I272</f>
        <v>8.92</v>
      </c>
      <c r="J285" s="1574"/>
      <c r="K285" s="1577">
        <f>-ROUND(I285*$B285/100,0)</f>
        <v>-6</v>
      </c>
      <c r="M285" s="1570"/>
      <c r="N285" s="1570"/>
      <c r="O285" s="1571"/>
      <c r="P285" s="1571"/>
      <c r="Q285" s="1571"/>
      <c r="R285" s="1570"/>
      <c r="S285" s="1570"/>
      <c r="T285" s="1570"/>
      <c r="U285" s="1570"/>
      <c r="V285" s="1570"/>
      <c r="W285" s="1570"/>
      <c r="X285" s="1570"/>
      <c r="Y285" s="1570"/>
      <c r="Z285" s="1570"/>
      <c r="AA285" s="1570"/>
      <c r="AB285" s="1570"/>
      <c r="AC285" s="1570"/>
      <c r="AD285" s="1570"/>
      <c r="AE285" s="1570"/>
      <c r="AF285" s="1570"/>
      <c r="AG285" s="1570"/>
      <c r="AH285" s="1570"/>
      <c r="AJ285" s="1578"/>
    </row>
    <row r="286" spans="1:36" hidden="1">
      <c r="A286" s="1585" t="s">
        <v>394</v>
      </c>
      <c r="B286" s="1599">
        <f>'Schedule 24 BD'!$F$3+'Schedule 24 BD'!$F$7+'Schedule 24 BD'!$F$8+'Schedule 24 BD'!$F$9</f>
        <v>126.7000000000001</v>
      </c>
      <c r="C286" s="1657">
        <v>11.36</v>
      </c>
      <c r="D286" s="1574"/>
      <c r="E286" s="1577">
        <f>-ROUND(C286*$B286/100,0)</f>
        <v>-14</v>
      </c>
      <c r="F286" s="1657">
        <v>12.98</v>
      </c>
      <c r="G286" s="1574"/>
      <c r="H286" s="1577">
        <f t="shared" ref="H286:H288" si="53">-ROUND(F286*$B286/100,0)</f>
        <v>-16</v>
      </c>
      <c r="I286" s="1657">
        <f>I273</f>
        <v>13.299999999999999</v>
      </c>
      <c r="J286" s="1574"/>
      <c r="K286" s="1577">
        <f>-ROUND(I286*$B286/100,0)</f>
        <v>-17</v>
      </c>
      <c r="M286" s="1570"/>
      <c r="N286" s="1570"/>
      <c r="O286" s="1571"/>
      <c r="P286" s="1571"/>
      <c r="Q286" s="1571"/>
      <c r="R286" s="1570"/>
      <c r="S286" s="1570"/>
      <c r="T286" s="1570"/>
      <c r="U286" s="1570"/>
      <c r="V286" s="1570"/>
      <c r="W286" s="1570"/>
      <c r="X286" s="1570"/>
      <c r="Y286" s="1570"/>
      <c r="Z286" s="1570"/>
      <c r="AA286" s="1570"/>
      <c r="AB286" s="1570"/>
      <c r="AC286" s="1570"/>
      <c r="AD286" s="1570"/>
      <c r="AE286" s="1570"/>
      <c r="AF286" s="1570"/>
      <c r="AG286" s="1570"/>
      <c r="AH286" s="1570"/>
      <c r="AJ286" s="1578"/>
    </row>
    <row r="287" spans="1:36" hidden="1">
      <c r="A287" s="1585" t="s">
        <v>405</v>
      </c>
      <c r="B287" s="1599">
        <f>'Schedule 24 BD'!$G$5+'Schedule 24 BD'!$G$7+'Schedule 24 BD'!$G$8+'Schedule 24 BD'!$G$9</f>
        <v>1862</v>
      </c>
      <c r="C287" s="1657">
        <v>0.81</v>
      </c>
      <c r="D287" s="1574"/>
      <c r="E287" s="1577">
        <f>-ROUND(C287*$B287/100,0)</f>
        <v>-15</v>
      </c>
      <c r="F287" s="1657">
        <v>0.92</v>
      </c>
      <c r="G287" s="1574"/>
      <c r="H287" s="1577">
        <f t="shared" si="53"/>
        <v>-17</v>
      </c>
      <c r="I287" s="1657">
        <f>I274</f>
        <v>0.95</v>
      </c>
      <c r="J287" s="1574"/>
      <c r="K287" s="1577">
        <f>-ROUND(I287*$B287/100,0)</f>
        <v>-18</v>
      </c>
      <c r="M287" s="1570"/>
      <c r="N287" s="1570"/>
      <c r="O287" s="1571"/>
      <c r="P287" s="1571"/>
      <c r="Q287" s="1571"/>
      <c r="R287" s="1570"/>
      <c r="S287" s="1570"/>
      <c r="T287" s="1570"/>
      <c r="U287" s="1570"/>
      <c r="V287" s="1570"/>
      <c r="W287" s="1570"/>
      <c r="X287" s="1570"/>
      <c r="Y287" s="1570"/>
      <c r="Z287" s="1570"/>
      <c r="AA287" s="1570"/>
      <c r="AB287" s="1570"/>
      <c r="AC287" s="1570"/>
      <c r="AD287" s="1570"/>
      <c r="AE287" s="1570"/>
      <c r="AF287" s="1570"/>
      <c r="AG287" s="1570"/>
      <c r="AH287" s="1570"/>
      <c r="AJ287" s="1578"/>
    </row>
    <row r="288" spans="1:36" hidden="1">
      <c r="A288" s="1585" t="s">
        <v>416</v>
      </c>
      <c r="B288" s="1599">
        <f>'Schedule 24 BD'!$K$5+'Schedule 24 BD'!$K$7+'Schedule 24 BD'!$K$8+'Schedule 24 BD'!$K$9</f>
        <v>712.5</v>
      </c>
      <c r="C288" s="1657">
        <v>2.98</v>
      </c>
      <c r="D288" s="1600"/>
      <c r="E288" s="1577">
        <f>-ROUND(C288*$B288/100,0)</f>
        <v>-21</v>
      </c>
      <c r="F288" s="1657">
        <v>3.4</v>
      </c>
      <c r="G288" s="1600"/>
      <c r="H288" s="1577">
        <f t="shared" si="53"/>
        <v>-24</v>
      </c>
      <c r="I288" s="1657">
        <f>I276</f>
        <v>3.4899999999999998</v>
      </c>
      <c r="J288" s="1600"/>
      <c r="K288" s="1577">
        <f>-ROUND(I288*$B288/100,0)</f>
        <v>-25</v>
      </c>
      <c r="M288" s="1570"/>
      <c r="N288" s="1570"/>
      <c r="O288" s="1571"/>
      <c r="P288" s="1571"/>
      <c r="Q288" s="1571"/>
      <c r="R288" s="1570"/>
      <c r="S288" s="1570"/>
      <c r="T288" s="1570"/>
      <c r="U288" s="1570"/>
      <c r="V288" s="1570"/>
      <c r="W288" s="1570"/>
      <c r="X288" s="1570"/>
      <c r="Y288" s="1570"/>
      <c r="Z288" s="1570"/>
      <c r="AA288" s="1570"/>
      <c r="AB288" s="1570"/>
      <c r="AC288" s="1570"/>
      <c r="AD288" s="1570"/>
      <c r="AE288" s="1570"/>
      <c r="AF288" s="1570"/>
      <c r="AG288" s="1570"/>
      <c r="AH288" s="1570"/>
      <c r="AJ288" s="1578"/>
    </row>
    <row r="289" spans="1:36" hidden="1">
      <c r="A289" s="1585" t="s">
        <v>408</v>
      </c>
      <c r="B289" s="1599">
        <f>'Schedule 24 BD'!$I$3+'Schedule 24 BD'!$I$5+'Schedule 24 BD'!$I$7+'Schedule 24 BD'!$I$8+'Schedule 24 BD'!$I$9</f>
        <v>148079.66666666669</v>
      </c>
      <c r="C289" s="1658">
        <v>8.5489999999999995</v>
      </c>
      <c r="D289" s="1600" t="s">
        <v>377</v>
      </c>
      <c r="E289" s="1577">
        <f>ROUND(C289*$B289/100*C284,0)</f>
        <v>-127</v>
      </c>
      <c r="F289" s="1658">
        <v>9.766</v>
      </c>
      <c r="G289" s="1600" t="s">
        <v>377</v>
      </c>
      <c r="H289" s="1577">
        <f>ROUND(F289*$B289/100*F284,0)</f>
        <v>-145</v>
      </c>
      <c r="I289" s="1658">
        <f>I277</f>
        <v>9.9879999999999995</v>
      </c>
      <c r="J289" s="1600" t="s">
        <v>377</v>
      </c>
      <c r="K289" s="1577">
        <f>ROUND(I289*$B289/100*I284,0)</f>
        <v>-148</v>
      </c>
      <c r="M289" s="1570"/>
      <c r="N289" s="1570"/>
      <c r="O289" s="1571"/>
      <c r="P289" s="1571"/>
      <c r="Q289" s="1571"/>
      <c r="R289" s="1570"/>
      <c r="S289" s="1570"/>
      <c r="T289" s="1570"/>
      <c r="U289" s="1570"/>
      <c r="V289" s="1570"/>
      <c r="W289" s="1570"/>
      <c r="X289" s="1570"/>
      <c r="Y289" s="1570"/>
      <c r="Z289" s="1570"/>
      <c r="AA289" s="1570"/>
      <c r="AB289" s="1570"/>
      <c r="AC289" s="1570"/>
      <c r="AD289" s="1570"/>
      <c r="AE289" s="1570"/>
      <c r="AF289" s="1570"/>
      <c r="AG289" s="1570"/>
      <c r="AH289" s="1570"/>
      <c r="AJ289" s="1578"/>
    </row>
    <row r="290" spans="1:36" hidden="1">
      <c r="A290" s="1585" t="s">
        <v>401</v>
      </c>
      <c r="B290" s="1599">
        <f>'Schedule 24 BD'!$J$3+'Schedule 24 BD'!$J$5+'Schedule 24 BD'!$J$7+'Schedule 24 BD'!$J$8+'Schedule 24 BD'!$J$9</f>
        <v>550098.33333333279</v>
      </c>
      <c r="C290" s="1658">
        <v>5.9020000000000001</v>
      </c>
      <c r="D290" s="1600" t="s">
        <v>377</v>
      </c>
      <c r="E290" s="1577">
        <f>ROUND(C290*$B290/100*C284,0)</f>
        <v>-325</v>
      </c>
      <c r="F290" s="1658">
        <v>6.7460000000000004</v>
      </c>
      <c r="G290" s="1600" t="s">
        <v>377</v>
      </c>
      <c r="H290" s="1577">
        <f>ROUND(F290*$B290/100*F284,0)</f>
        <v>-371</v>
      </c>
      <c r="I290" s="1658">
        <f>I278</f>
        <v>6.9080000000000004</v>
      </c>
      <c r="J290" s="1600" t="s">
        <v>377</v>
      </c>
      <c r="K290" s="1577">
        <f>ROUND(I290*$B290/100*I284,0)</f>
        <v>-380</v>
      </c>
      <c r="M290" s="1570"/>
      <c r="N290" s="1570"/>
      <c r="O290" s="1571"/>
      <c r="P290" s="1571"/>
      <c r="Q290" s="1571"/>
      <c r="R290" s="1570"/>
      <c r="S290" s="1570"/>
      <c r="T290" s="1570"/>
      <c r="U290" s="1570"/>
      <c r="V290" s="1570"/>
      <c r="W290" s="1570"/>
      <c r="X290" s="1570"/>
      <c r="Y290" s="1570"/>
      <c r="Z290" s="1570"/>
      <c r="AA290" s="1570"/>
      <c r="AB290" s="1570"/>
      <c r="AC290" s="1570"/>
      <c r="AD290" s="1570"/>
      <c r="AE290" s="1570"/>
      <c r="AF290" s="1570"/>
      <c r="AG290" s="1570"/>
      <c r="AH290" s="1570"/>
      <c r="AJ290" s="1578"/>
    </row>
    <row r="291" spans="1:36" hidden="1">
      <c r="A291" s="1585" t="s">
        <v>402</v>
      </c>
      <c r="B291" s="1599">
        <f>'Schedule 24 BD'!$H$3+'Schedule 24 BD'!$H$5+'Schedule 24 BD'!$H$7+'Schedule 24 BD'!$H$8+'Schedule 24 BD'!$H$9-B289-B290</f>
        <v>84378.000000000466</v>
      </c>
      <c r="C291" s="1658">
        <v>5.0839999999999996</v>
      </c>
      <c r="D291" s="1600" t="s">
        <v>377</v>
      </c>
      <c r="E291" s="1577">
        <f>ROUND(C291*$B291/100*C284,0)</f>
        <v>-43</v>
      </c>
      <c r="F291" s="1658">
        <v>5.8120000000000003</v>
      </c>
      <c r="G291" s="1600" t="s">
        <v>377</v>
      </c>
      <c r="H291" s="1577">
        <f>ROUND(F291*$B291/100*F284,0)</f>
        <v>-49</v>
      </c>
      <c r="I291" s="1658">
        <f>I279</f>
        <v>5.952</v>
      </c>
      <c r="J291" s="1600" t="s">
        <v>377</v>
      </c>
      <c r="K291" s="1577">
        <f>ROUND(I291*$B291/100*I284,0)</f>
        <v>-50</v>
      </c>
      <c r="M291" s="1570"/>
      <c r="N291" s="1570"/>
      <c r="O291" s="1571"/>
      <c r="P291" s="1571"/>
      <c r="Q291" s="1571"/>
      <c r="R291" s="1570"/>
      <c r="S291" s="1570"/>
      <c r="T291" s="1570"/>
      <c r="U291" s="1570"/>
      <c r="V291" s="1570"/>
      <c r="W291" s="1570"/>
      <c r="X291" s="1570"/>
      <c r="Y291" s="1570"/>
      <c r="Z291" s="1570"/>
      <c r="AA291" s="1570"/>
      <c r="AB291" s="1570"/>
      <c r="AC291" s="1570"/>
      <c r="AD291" s="1570"/>
      <c r="AE291" s="1570"/>
      <c r="AF291" s="1570"/>
      <c r="AG291" s="1570"/>
      <c r="AH291" s="1570"/>
      <c r="AJ291" s="1578"/>
    </row>
    <row r="292" spans="1:36" hidden="1">
      <c r="A292" s="1585" t="s">
        <v>403</v>
      </c>
      <c r="B292" s="1599">
        <f>'Schedule 24 BD'!$L$9</f>
        <v>2643.7</v>
      </c>
      <c r="C292" s="1659">
        <v>50</v>
      </c>
      <c r="D292" s="1600" t="s">
        <v>377</v>
      </c>
      <c r="E292" s="1577">
        <f>ROUND(C292*$B292/100*C284,0)</f>
        <v>-13</v>
      </c>
      <c r="F292" s="1659">
        <v>56</v>
      </c>
      <c r="G292" s="1600" t="s">
        <v>377</v>
      </c>
      <c r="H292" s="1577">
        <f>ROUND(F292*$B292/100*F284,0)</f>
        <v>-15</v>
      </c>
      <c r="I292" s="1659">
        <f>I280</f>
        <v>57</v>
      </c>
      <c r="J292" s="1600" t="s">
        <v>377</v>
      </c>
      <c r="K292" s="1577">
        <f>ROUND(I292*$B292/100*I284,0)</f>
        <v>-15</v>
      </c>
      <c r="M292" s="1570"/>
      <c r="N292" s="1570"/>
      <c r="O292" s="1571"/>
      <c r="P292" s="1571"/>
      <c r="Q292" s="1571"/>
      <c r="R292" s="1570"/>
      <c r="S292" s="1570"/>
      <c r="T292" s="1570"/>
      <c r="U292" s="1570"/>
      <c r="V292" s="1570"/>
      <c r="W292" s="1570"/>
      <c r="X292" s="1570"/>
      <c r="Y292" s="1570"/>
      <c r="Z292" s="1570"/>
      <c r="AA292" s="1570"/>
      <c r="AB292" s="1570"/>
      <c r="AC292" s="1570"/>
      <c r="AD292" s="1570"/>
      <c r="AE292" s="1570"/>
      <c r="AF292" s="1570"/>
      <c r="AG292" s="1570"/>
      <c r="AH292" s="1570"/>
      <c r="AJ292" s="1578"/>
    </row>
    <row r="293" spans="1:36" hidden="1">
      <c r="A293" s="1585" t="s">
        <v>410</v>
      </c>
      <c r="B293" s="1599">
        <f>'Schedule 24 BD'!$F$5+'Schedule 24 BD'!$F$9</f>
        <v>132.13333333333341</v>
      </c>
      <c r="C293" s="1660">
        <v>60</v>
      </c>
      <c r="D293" s="1574"/>
      <c r="E293" s="1577">
        <f>ROUND(C293*$B293,0)</f>
        <v>7928</v>
      </c>
      <c r="F293" s="1660">
        <v>60</v>
      </c>
      <c r="G293" s="1600"/>
      <c r="H293" s="1577">
        <f>ROUND(F293*B293,0)</f>
        <v>7928</v>
      </c>
      <c r="I293" s="1660">
        <f>$I$189</f>
        <v>60</v>
      </c>
      <c r="J293" s="1600"/>
      <c r="K293" s="1577">
        <f>ROUND(I293*$B293,0)</f>
        <v>7928</v>
      </c>
      <c r="M293" s="1570"/>
      <c r="N293" s="1570"/>
      <c r="O293" s="1571"/>
      <c r="P293" s="1571"/>
      <c r="Q293" s="1571"/>
      <c r="R293" s="1570"/>
      <c r="S293" s="1570"/>
      <c r="T293" s="1570"/>
      <c r="U293" s="1570"/>
      <c r="V293" s="1570"/>
      <c r="W293" s="1570"/>
      <c r="X293" s="1570"/>
      <c r="Y293" s="1570"/>
      <c r="Z293" s="1570"/>
      <c r="AA293" s="1570"/>
      <c r="AB293" s="1570"/>
      <c r="AC293" s="1570"/>
      <c r="AD293" s="1570"/>
      <c r="AE293" s="1570"/>
      <c r="AF293" s="1570"/>
      <c r="AG293" s="1570"/>
      <c r="AH293" s="1570"/>
      <c r="AJ293" s="1578"/>
    </row>
    <row r="294" spans="1:36" hidden="1">
      <c r="A294" s="1585" t="s">
        <v>411</v>
      </c>
      <c r="B294" s="1599">
        <f>B287</f>
        <v>1862</v>
      </c>
      <c r="C294" s="1661">
        <v>-30</v>
      </c>
      <c r="D294" s="1574" t="s">
        <v>377</v>
      </c>
      <c r="E294" s="1577">
        <f>ROUND(C294*$B294/100,0)</f>
        <v>-559</v>
      </c>
      <c r="F294" s="1661">
        <v>-30</v>
      </c>
      <c r="G294" s="1600" t="s">
        <v>377</v>
      </c>
      <c r="H294" s="1577">
        <f>ROUND(F294*B294/100,0)</f>
        <v>-559</v>
      </c>
      <c r="I294" s="1661">
        <f>$I$190</f>
        <v>-30</v>
      </c>
      <c r="J294" s="1600" t="s">
        <v>377</v>
      </c>
      <c r="K294" s="1577">
        <f>ROUND(I294*$B294/100,0)</f>
        <v>-559</v>
      </c>
      <c r="M294" s="1570"/>
      <c r="N294" s="1570"/>
      <c r="O294" s="1571"/>
      <c r="P294" s="1571"/>
      <c r="Q294" s="1571"/>
      <c r="R294" s="1570"/>
      <c r="S294" s="1570"/>
      <c r="T294" s="1570"/>
      <c r="U294" s="1570"/>
      <c r="V294" s="1570"/>
      <c r="W294" s="1570"/>
      <c r="X294" s="1570"/>
      <c r="Y294" s="1570"/>
      <c r="Z294" s="1570"/>
      <c r="AA294" s="1570"/>
      <c r="AB294" s="1570"/>
      <c r="AC294" s="1570"/>
      <c r="AD294" s="1570"/>
      <c r="AE294" s="1570"/>
      <c r="AF294" s="1570"/>
      <c r="AG294" s="1570"/>
      <c r="AH294" s="1570"/>
      <c r="AJ294" s="1578"/>
    </row>
    <row r="295" spans="1:36" hidden="1">
      <c r="A295" s="1569" t="s">
        <v>933</v>
      </c>
      <c r="B295" s="1575">
        <f>B289</f>
        <v>148079.66666666669</v>
      </c>
      <c r="C295" s="1584"/>
      <c r="D295" s="1570"/>
      <c r="E295" s="1577"/>
      <c r="F295" s="1584"/>
      <c r="G295" s="1570"/>
      <c r="H295" s="1577"/>
      <c r="I295" s="1389">
        <f>I174</f>
        <v>0</v>
      </c>
      <c r="J295" s="1600" t="s">
        <v>377</v>
      </c>
      <c r="K295" s="1577">
        <f t="shared" ref="K295:K297" si="54">ROUND(I295*$B295/100,0)</f>
        <v>0</v>
      </c>
      <c r="M295" s="1578"/>
      <c r="O295" s="1579"/>
      <c r="P295" s="1569"/>
      <c r="Q295" s="1569"/>
      <c r="R295" s="1580"/>
      <c r="S295" s="1580"/>
      <c r="X295" s="1570"/>
      <c r="Y295" s="1570"/>
      <c r="Z295" s="1570"/>
      <c r="AA295" s="1570"/>
      <c r="AB295" s="1570"/>
      <c r="AC295" s="1570"/>
      <c r="AD295" s="1570"/>
      <c r="AE295" s="1570"/>
      <c r="AF295" s="1570"/>
      <c r="AG295" s="1570"/>
      <c r="AH295" s="1570"/>
      <c r="AJ295" s="1578"/>
    </row>
    <row r="296" spans="1:36" hidden="1">
      <c r="A296" s="1569" t="s">
        <v>934</v>
      </c>
      <c r="B296" s="1575">
        <f>B290</f>
        <v>550098.33333333279</v>
      </c>
      <c r="C296" s="1584"/>
      <c r="D296" s="1570"/>
      <c r="E296" s="1577"/>
      <c r="F296" s="1584"/>
      <c r="G296" s="1570"/>
      <c r="H296" s="1577"/>
      <c r="I296" s="1389">
        <f>I175</f>
        <v>0</v>
      </c>
      <c r="J296" s="1600" t="s">
        <v>377</v>
      </c>
      <c r="K296" s="1577">
        <f t="shared" si="54"/>
        <v>0</v>
      </c>
      <c r="M296" s="1578"/>
      <c r="O296" s="1579"/>
      <c r="P296" s="1569"/>
      <c r="Q296" s="1569"/>
      <c r="R296" s="1580"/>
      <c r="S296" s="1580"/>
      <c r="X296" s="1570"/>
      <c r="Y296" s="1570"/>
      <c r="Z296" s="1570"/>
      <c r="AA296" s="1570"/>
      <c r="AB296" s="1570"/>
      <c r="AC296" s="1570"/>
      <c r="AD296" s="1570"/>
      <c r="AE296" s="1570"/>
      <c r="AF296" s="1570"/>
      <c r="AG296" s="1570"/>
      <c r="AH296" s="1570"/>
      <c r="AJ296" s="1578"/>
    </row>
    <row r="297" spans="1:36" hidden="1">
      <c r="A297" s="1569" t="s">
        <v>935</v>
      </c>
      <c r="B297" s="1575">
        <f>B291</f>
        <v>84378.000000000466</v>
      </c>
      <c r="C297" s="1584"/>
      <c r="D297" s="1570"/>
      <c r="E297" s="1577"/>
      <c r="F297" s="1584"/>
      <c r="G297" s="1570"/>
      <c r="H297" s="1577"/>
      <c r="I297" s="1389">
        <f>I176</f>
        <v>0</v>
      </c>
      <c r="J297" s="1600" t="s">
        <v>377</v>
      </c>
      <c r="K297" s="1577">
        <f t="shared" si="54"/>
        <v>0</v>
      </c>
      <c r="M297" s="1578"/>
      <c r="O297" s="1579"/>
      <c r="P297" s="1569"/>
      <c r="Q297" s="1569"/>
      <c r="R297" s="1580"/>
      <c r="S297" s="1580"/>
      <c r="X297" s="1570"/>
      <c r="Y297" s="1570"/>
      <c r="Z297" s="1570"/>
      <c r="AA297" s="1570"/>
      <c r="AB297" s="1570"/>
      <c r="AC297" s="1570"/>
      <c r="AD297" s="1570"/>
      <c r="AE297" s="1570"/>
      <c r="AF297" s="1570"/>
      <c r="AG297" s="1570"/>
      <c r="AH297" s="1570"/>
      <c r="AJ297" s="1578"/>
    </row>
    <row r="298" spans="1:36" hidden="1">
      <c r="A298" s="1585" t="s">
        <v>384</v>
      </c>
      <c r="B298" s="1599">
        <f>SUM(B277:B279)</f>
        <v>517067354.80855358</v>
      </c>
      <c r="C298" s="1647"/>
      <c r="D298" s="1577"/>
      <c r="E298" s="1577">
        <f>SUM(E272:E294)</f>
        <v>37912062</v>
      </c>
      <c r="F298" s="1647"/>
      <c r="G298" s="1600"/>
      <c r="H298" s="1577">
        <f>SUM(H272:H294)</f>
        <v>43310655</v>
      </c>
      <c r="I298" s="1647"/>
      <c r="J298" s="1600"/>
      <c r="K298" s="1577">
        <f>SUM(K272:K297)</f>
        <v>44351010</v>
      </c>
      <c r="M298" s="1678"/>
      <c r="N298" s="1678"/>
      <c r="O298" s="1571"/>
      <c r="P298" s="1571"/>
      <c r="Q298" s="1571"/>
      <c r="R298" s="1570"/>
      <c r="S298" s="1570"/>
      <c r="T298" s="1570"/>
      <c r="U298" s="1570"/>
      <c r="V298" s="1570"/>
      <c r="W298" s="1570"/>
      <c r="X298" s="1570"/>
      <c r="Y298" s="1570"/>
      <c r="Z298" s="1570"/>
      <c r="AA298" s="1570"/>
      <c r="AB298" s="1570"/>
      <c r="AC298" s="1570"/>
      <c r="AD298" s="1570"/>
      <c r="AE298" s="1570"/>
      <c r="AF298" s="1570"/>
      <c r="AG298" s="1570"/>
      <c r="AH298" s="1570"/>
      <c r="AJ298" s="1578"/>
    </row>
    <row r="299" spans="1:36" hidden="1">
      <c r="A299" s="1585" t="s">
        <v>366</v>
      </c>
      <c r="B299" s="1679">
        <f>'Table 2'!H41</f>
        <v>-1344873.1991789686</v>
      </c>
      <c r="C299" s="1600"/>
      <c r="D299" s="1600"/>
      <c r="E299" s="1664" t="e">
        <f>#REF!</f>
        <v>#REF!</v>
      </c>
      <c r="F299" s="1600"/>
      <c r="G299" s="1600"/>
      <c r="H299" s="1664">
        <f ca="1">'Table 3'!E41</f>
        <v>-127697.18695907027</v>
      </c>
      <c r="I299" s="1600"/>
      <c r="J299" s="1600"/>
      <c r="K299" s="1664">
        <f ca="1">H299</f>
        <v>-127697.18695907027</v>
      </c>
      <c r="M299" s="1422"/>
      <c r="N299" s="1422"/>
      <c r="O299" s="1423"/>
      <c r="P299" s="1571"/>
      <c r="Q299" s="1571"/>
      <c r="R299" s="1570"/>
      <c r="S299" s="1570"/>
      <c r="T299" s="1570"/>
      <c r="U299" s="1570"/>
      <c r="V299" s="1570"/>
      <c r="W299" s="1570"/>
      <c r="X299" s="1570"/>
      <c r="Y299" s="1570"/>
      <c r="Z299" s="1570"/>
      <c r="AA299" s="1570"/>
      <c r="AB299" s="1570"/>
      <c r="AC299" s="1570"/>
      <c r="AD299" s="1570"/>
      <c r="AE299" s="1570"/>
      <c r="AF299" s="1570"/>
      <c r="AG299" s="1570"/>
      <c r="AH299" s="1570"/>
      <c r="AJ299" s="1578"/>
    </row>
    <row r="300" spans="1:36" ht="15.75" hidden="1" thickBot="1">
      <c r="A300" s="1585" t="s">
        <v>385</v>
      </c>
      <c r="B300" s="1632">
        <f>SUM(B298:B299)</f>
        <v>515722481.60937458</v>
      </c>
      <c r="C300" s="1666"/>
      <c r="D300" s="1667"/>
      <c r="E300" s="1668" t="e">
        <f>E298+E299</f>
        <v>#REF!</v>
      </c>
      <c r="F300" s="1666"/>
      <c r="G300" s="1670"/>
      <c r="H300" s="1668">
        <f ca="1">H298+H299</f>
        <v>43182957.813040927</v>
      </c>
      <c r="I300" s="1666"/>
      <c r="J300" s="1670"/>
      <c r="K300" s="1668">
        <f ca="1">K298+K299</f>
        <v>44223312.813040927</v>
      </c>
      <c r="M300" s="1424"/>
      <c r="N300" s="1424"/>
      <c r="O300" s="1597"/>
      <c r="P300" s="1571"/>
      <c r="Q300" s="1571"/>
      <c r="R300" s="1570"/>
      <c r="S300" s="1570"/>
      <c r="T300" s="1570"/>
      <c r="U300" s="1570"/>
      <c r="V300" s="1570"/>
      <c r="W300" s="1570"/>
      <c r="X300" s="1570"/>
      <c r="Y300" s="1570"/>
      <c r="Z300" s="1570"/>
      <c r="AA300" s="1570"/>
      <c r="AB300" s="1570"/>
      <c r="AC300" s="1570"/>
      <c r="AD300" s="1570"/>
      <c r="AE300" s="1570"/>
      <c r="AF300" s="1570"/>
      <c r="AG300" s="1570"/>
      <c r="AH300" s="1570"/>
      <c r="AJ300" s="1578"/>
    </row>
    <row r="301" spans="1:36" hidden="1">
      <c r="A301" s="1585"/>
      <c r="B301" s="1610"/>
      <c r="C301" s="1660"/>
      <c r="D301" s="1577"/>
      <c r="E301" s="1577"/>
      <c r="F301" s="1660"/>
      <c r="G301" s="1585"/>
      <c r="H301" s="1577"/>
      <c r="I301" s="1660"/>
      <c r="J301" s="1585"/>
      <c r="K301" s="1577" t="s">
        <v>31</v>
      </c>
      <c r="M301" s="1570"/>
      <c r="N301" s="1570"/>
      <c r="O301" s="1571"/>
      <c r="P301" s="1571"/>
      <c r="Q301" s="1571"/>
      <c r="R301" s="1570"/>
      <c r="S301" s="1570"/>
      <c r="T301" s="1570"/>
      <c r="U301" s="1570"/>
      <c r="V301" s="1570"/>
      <c r="W301" s="1570"/>
      <c r="X301" s="1570"/>
      <c r="Y301" s="1570"/>
      <c r="Z301" s="1570"/>
      <c r="AA301" s="1570"/>
      <c r="AB301" s="1570"/>
      <c r="AC301" s="1570"/>
      <c r="AD301" s="1570"/>
      <c r="AE301" s="1570"/>
      <c r="AF301" s="1570"/>
      <c r="AG301" s="1570"/>
      <c r="AH301" s="1570"/>
      <c r="AJ301" s="1578"/>
    </row>
    <row r="302" spans="1:36" hidden="1">
      <c r="A302" s="1609" t="s">
        <v>390</v>
      </c>
      <c r="B302" s="1585"/>
      <c r="C302" s="1577"/>
      <c r="D302" s="1577"/>
      <c r="E302" s="1585" t="s">
        <v>31</v>
      </c>
      <c r="F302" s="1577"/>
      <c r="G302" s="1585"/>
      <c r="H302" s="1585"/>
      <c r="I302" s="1577"/>
      <c r="J302" s="1585"/>
      <c r="K302" s="1585"/>
      <c r="M302" s="1570"/>
      <c r="N302" s="1570"/>
      <c r="O302" s="1571"/>
      <c r="P302" s="1571"/>
      <c r="Q302" s="1571"/>
      <c r="R302" s="1570"/>
      <c r="S302" s="1570"/>
      <c r="T302" s="1570"/>
      <c r="U302" s="1570"/>
      <c r="V302" s="1570"/>
      <c r="W302" s="1570"/>
      <c r="X302" s="1570"/>
      <c r="Y302" s="1570"/>
      <c r="Z302" s="1570"/>
      <c r="AA302" s="1570"/>
      <c r="AB302" s="1570"/>
      <c r="AC302" s="1570"/>
      <c r="AD302" s="1570"/>
      <c r="AE302" s="1570"/>
      <c r="AF302" s="1570"/>
      <c r="AG302" s="1570"/>
      <c r="AH302" s="1570"/>
      <c r="AJ302" s="1578"/>
    </row>
    <row r="303" spans="1:36" hidden="1">
      <c r="A303" s="1585" t="s">
        <v>417</v>
      </c>
      <c r="B303" s="1610"/>
      <c r="C303" s="1577"/>
      <c r="D303" s="1577"/>
      <c r="E303" s="1585"/>
      <c r="F303" s="1577"/>
      <c r="G303" s="1585"/>
      <c r="H303" s="1585"/>
      <c r="I303" s="1577"/>
      <c r="J303" s="1585"/>
      <c r="K303" s="1585"/>
      <c r="M303" s="1570"/>
      <c r="N303" s="1570"/>
      <c r="O303" s="1571"/>
      <c r="P303" s="1571"/>
      <c r="Q303" s="1571"/>
      <c r="R303" s="1570"/>
      <c r="S303" s="1570"/>
      <c r="T303" s="1570"/>
      <c r="U303" s="1570"/>
      <c r="V303" s="1570"/>
      <c r="W303" s="1570"/>
      <c r="X303" s="1570"/>
      <c r="Y303" s="1570"/>
      <c r="Z303" s="1570"/>
      <c r="AA303" s="1570"/>
      <c r="AB303" s="1570"/>
      <c r="AC303" s="1570"/>
      <c r="AD303" s="1570"/>
      <c r="AE303" s="1570"/>
      <c r="AF303" s="1570"/>
      <c r="AG303" s="1570"/>
      <c r="AH303" s="1570"/>
      <c r="AJ303" s="1578"/>
    </row>
    <row r="304" spans="1:36" hidden="1">
      <c r="A304" s="1585"/>
      <c r="B304" s="1585"/>
      <c r="C304" s="1577"/>
      <c r="D304" s="1577"/>
      <c r="E304" s="1585"/>
      <c r="F304" s="1577"/>
      <c r="G304" s="1585"/>
      <c r="H304" s="1585"/>
      <c r="I304" s="1577"/>
      <c r="J304" s="1585"/>
      <c r="K304" s="1585"/>
      <c r="M304" s="1570"/>
      <c r="N304" s="1570"/>
      <c r="O304" s="1571"/>
      <c r="P304" s="1571"/>
      <c r="Q304" s="1571"/>
      <c r="R304" s="1570"/>
      <c r="S304" s="1570"/>
      <c r="T304" s="1570"/>
      <c r="U304" s="1570"/>
      <c r="V304" s="1570"/>
      <c r="W304" s="1570"/>
      <c r="X304" s="1570"/>
      <c r="Y304" s="1570"/>
      <c r="Z304" s="1570"/>
      <c r="AA304" s="1570"/>
      <c r="AB304" s="1570"/>
      <c r="AC304" s="1570"/>
      <c r="AD304" s="1570"/>
      <c r="AE304" s="1570"/>
      <c r="AF304" s="1570"/>
      <c r="AG304" s="1570"/>
      <c r="AH304" s="1570"/>
      <c r="AJ304" s="1578"/>
    </row>
    <row r="305" spans="1:36" hidden="1">
      <c r="A305" s="1585" t="s">
        <v>396</v>
      </c>
      <c r="B305" s="1599"/>
      <c r="C305" s="1577"/>
      <c r="D305" s="1577"/>
      <c r="E305" s="1585"/>
      <c r="F305" s="1577"/>
      <c r="G305" s="1585"/>
      <c r="H305" s="1585"/>
      <c r="I305" s="1577"/>
      <c r="J305" s="1585"/>
      <c r="K305" s="1585"/>
      <c r="M305" s="1570"/>
      <c r="N305" s="1570"/>
      <c r="O305" s="1571"/>
      <c r="P305" s="1571"/>
      <c r="Q305" s="1571"/>
      <c r="R305" s="1570"/>
      <c r="S305" s="1570"/>
      <c r="T305" s="1570"/>
      <c r="U305" s="1570"/>
      <c r="V305" s="1570"/>
      <c r="W305" s="1570"/>
      <c r="X305" s="1570"/>
      <c r="Y305" s="1570"/>
      <c r="Z305" s="1570"/>
      <c r="AA305" s="1570"/>
      <c r="AB305" s="1570"/>
      <c r="AC305" s="1570"/>
      <c r="AD305" s="1570"/>
      <c r="AE305" s="1570"/>
      <c r="AF305" s="1570"/>
      <c r="AG305" s="1570"/>
      <c r="AH305" s="1570"/>
      <c r="AJ305" s="1578"/>
    </row>
    <row r="306" spans="1:36" hidden="1">
      <c r="A306" s="1585" t="s">
        <v>393</v>
      </c>
      <c r="B306" s="1599">
        <f>'Schedule 24 BD'!$F$14+'Schedule 24 BD'!$F$16</f>
        <v>2168.1333333333332</v>
      </c>
      <c r="C306" s="1614">
        <v>7.64</v>
      </c>
      <c r="D306" s="1574"/>
      <c r="E306" s="1577">
        <f>ROUND(C306*$B306,0)</f>
        <v>16565</v>
      </c>
      <c r="F306" s="1614">
        <v>8.7100000000000009</v>
      </c>
      <c r="G306" s="1600"/>
      <c r="H306" s="1577">
        <f>ROUND(F306*$B306,0)</f>
        <v>18884</v>
      </c>
      <c r="I306" s="1614">
        <f>$I$164</f>
        <v>8.92</v>
      </c>
      <c r="J306" s="1600"/>
      <c r="K306" s="1577">
        <f>ROUND(I306*$B306,0)</f>
        <v>19340</v>
      </c>
      <c r="M306" s="1570"/>
      <c r="N306" s="1570"/>
      <c r="O306" s="1571"/>
      <c r="P306" s="1571"/>
      <c r="Q306" s="1571"/>
      <c r="R306" s="1570"/>
      <c r="S306" s="1570"/>
      <c r="T306" s="1570"/>
      <c r="U306" s="1570"/>
      <c r="V306" s="1570"/>
      <c r="W306" s="1570"/>
      <c r="X306" s="1570"/>
      <c r="Y306" s="1570"/>
      <c r="Z306" s="1570"/>
      <c r="AA306" s="1570"/>
      <c r="AB306" s="1570"/>
      <c r="AC306" s="1570"/>
      <c r="AD306" s="1570"/>
      <c r="AE306" s="1570"/>
      <c r="AF306" s="1570"/>
      <c r="AG306" s="1570"/>
      <c r="AH306" s="1570"/>
      <c r="AJ306" s="1578"/>
    </row>
    <row r="307" spans="1:36" hidden="1">
      <c r="A307" s="1585" t="s">
        <v>394</v>
      </c>
      <c r="B307" s="1599">
        <f>'Schedule 24 BD'!$F$15+'Schedule 24 BD'!$F$17+'Schedule 24 BD'!$F$18</f>
        <v>3271.3</v>
      </c>
      <c r="C307" s="1614">
        <v>11.36</v>
      </c>
      <c r="D307" s="1641"/>
      <c r="E307" s="1577">
        <f>ROUND(C307*$B307,0)</f>
        <v>37162</v>
      </c>
      <c r="F307" s="1614">
        <v>12.98</v>
      </c>
      <c r="G307" s="1642"/>
      <c r="H307" s="1577">
        <f t="shared" ref="H307:H308" si="55">ROUND(F307*$B307,0)</f>
        <v>42461</v>
      </c>
      <c r="I307" s="1614">
        <f>$I$165</f>
        <v>13.299999999999999</v>
      </c>
      <c r="J307" s="1642"/>
      <c r="K307" s="1577">
        <f>ROUND(I307*$B307,0)</f>
        <v>43508</v>
      </c>
      <c r="M307" s="1570"/>
      <c r="N307" s="1570"/>
      <c r="O307" s="1571"/>
      <c r="P307" s="1571"/>
      <c r="Q307" s="1571"/>
      <c r="R307" s="1570"/>
      <c r="S307" s="1570"/>
      <c r="T307" s="1570"/>
      <c r="U307" s="1570"/>
      <c r="V307" s="1570"/>
      <c r="W307" s="1570"/>
      <c r="X307" s="1570"/>
      <c r="Y307" s="1570"/>
      <c r="Z307" s="1570"/>
      <c r="AA307" s="1570"/>
      <c r="AB307" s="1570"/>
      <c r="AC307" s="1570"/>
      <c r="AD307" s="1570"/>
      <c r="AE307" s="1570"/>
      <c r="AF307" s="1570"/>
      <c r="AG307" s="1570"/>
      <c r="AH307" s="1570"/>
      <c r="AJ307" s="1578"/>
    </row>
    <row r="308" spans="1:36" hidden="1">
      <c r="A308" s="1585" t="s">
        <v>395</v>
      </c>
      <c r="B308" s="1599">
        <f>'Schedule 24 BD'!$G$14+'Schedule 24 BD'!$G$15+'Schedule 24 BD'!$G$16+'Schedule 24 BD'!$G$17+'Schedule 24 BD'!$G$18</f>
        <v>62765</v>
      </c>
      <c r="C308" s="1614">
        <v>0.81</v>
      </c>
      <c r="D308" s="1641"/>
      <c r="E308" s="1577">
        <f>ROUND(C308*$B308,0)</f>
        <v>50840</v>
      </c>
      <c r="F308" s="1614">
        <v>0.92</v>
      </c>
      <c r="G308" s="1642"/>
      <c r="H308" s="1577">
        <f t="shared" si="55"/>
        <v>57744</v>
      </c>
      <c r="I308" s="1614">
        <f>$I$166</f>
        <v>0.95</v>
      </c>
      <c r="J308" s="1642"/>
      <c r="K308" s="1577">
        <f>ROUND(I308*$B308,0)</f>
        <v>59627</v>
      </c>
      <c r="M308" s="1570"/>
      <c r="N308" s="1570"/>
      <c r="O308" s="1571"/>
      <c r="P308" s="1571"/>
      <c r="Q308" s="1571"/>
      <c r="R308" s="1570"/>
      <c r="S308" s="1570"/>
      <c r="T308" s="1570"/>
      <c r="U308" s="1570"/>
      <c r="V308" s="1570"/>
      <c r="W308" s="1570"/>
      <c r="X308" s="1570"/>
      <c r="Y308" s="1570"/>
      <c r="Z308" s="1570"/>
      <c r="AA308" s="1570"/>
      <c r="AB308" s="1570"/>
      <c r="AC308" s="1570"/>
      <c r="AD308" s="1570"/>
      <c r="AE308" s="1570"/>
      <c r="AF308" s="1570"/>
      <c r="AG308" s="1570"/>
      <c r="AH308" s="1570"/>
      <c r="AJ308" s="1578"/>
    </row>
    <row r="309" spans="1:36" hidden="1">
      <c r="A309" s="1585" t="s">
        <v>397</v>
      </c>
      <c r="B309" s="1599">
        <f>SUM(B306:B307)</f>
        <v>5439.4333333333334</v>
      </c>
      <c r="C309" s="1614"/>
      <c r="D309" s="1574"/>
      <c r="E309" s="1577"/>
      <c r="F309" s="1614"/>
      <c r="G309" s="1600"/>
      <c r="H309" s="1577"/>
      <c r="I309" s="1614"/>
      <c r="J309" s="1600"/>
      <c r="K309" s="1577"/>
      <c r="M309" s="1570"/>
      <c r="N309" s="1570"/>
      <c r="O309" s="1571"/>
      <c r="P309" s="1571"/>
      <c r="Q309" s="1571"/>
      <c r="R309" s="1570"/>
      <c r="S309" s="1570"/>
      <c r="T309" s="1570"/>
      <c r="U309" s="1570"/>
      <c r="V309" s="1570"/>
      <c r="W309" s="1570"/>
      <c r="X309" s="1570"/>
      <c r="Y309" s="1570"/>
      <c r="Z309" s="1570"/>
      <c r="AA309" s="1570"/>
      <c r="AB309" s="1570"/>
      <c r="AC309" s="1570"/>
      <c r="AD309" s="1570"/>
      <c r="AE309" s="1570"/>
      <c r="AF309" s="1570"/>
      <c r="AG309" s="1570"/>
      <c r="AH309" s="1570"/>
      <c r="AJ309" s="1578"/>
    </row>
    <row r="310" spans="1:36" hidden="1">
      <c r="A310" s="1585" t="s">
        <v>398</v>
      </c>
      <c r="B310" s="1599">
        <f>'Schedule 24 BD'!$K$14+'Schedule 24 BD'!$K$15+'Schedule 24 BD'!$K$16+'Schedule 24 BD'!$K$17+'Schedule 24 BD'!$K$18</f>
        <v>37219.5</v>
      </c>
      <c r="C310" s="1660">
        <v>2.98</v>
      </c>
      <c r="D310" s="1600"/>
      <c r="E310" s="1577">
        <f>ROUND(C310*$B310,0)</f>
        <v>110914</v>
      </c>
      <c r="F310" s="1660">
        <v>3.4</v>
      </c>
      <c r="G310" s="1600"/>
      <c r="H310" s="1577">
        <f>ROUND(F310*B310,0)</f>
        <v>126546</v>
      </c>
      <c r="I310" s="1660">
        <f>$I$169</f>
        <v>3.4899999999999998</v>
      </c>
      <c r="J310" s="1600"/>
      <c r="K310" s="1577">
        <f>ROUND(I310*$B310,0)</f>
        <v>129896</v>
      </c>
      <c r="M310" s="1570"/>
      <c r="N310" s="1570"/>
      <c r="O310" s="1571"/>
      <c r="P310" s="1571"/>
      <c r="Q310" s="1571"/>
      <c r="R310" s="1570"/>
      <c r="S310" s="1570"/>
      <c r="T310" s="1570"/>
      <c r="U310" s="1570"/>
      <c r="V310" s="1570"/>
      <c r="W310" s="1570"/>
      <c r="X310" s="1570"/>
      <c r="Y310" s="1570"/>
      <c r="Z310" s="1570"/>
      <c r="AA310" s="1570"/>
      <c r="AB310" s="1570"/>
      <c r="AC310" s="1570"/>
      <c r="AD310" s="1570"/>
      <c r="AE310" s="1570"/>
      <c r="AF310" s="1570"/>
      <c r="AG310" s="1570"/>
      <c r="AH310" s="1570"/>
      <c r="AJ310" s="1578"/>
    </row>
    <row r="311" spans="1:36" hidden="1">
      <c r="A311" s="1585" t="s">
        <v>400</v>
      </c>
      <c r="B311" s="1599">
        <f>'Schedule 24 BD'!$I$14+'Schedule 24 BD'!$I$15+'Schedule 24 BD'!$I$16+'Schedule 24 BD'!$I$17+'Schedule 24 BD'!$I$18</f>
        <v>3527991.6666666633</v>
      </c>
      <c r="C311" s="1389">
        <v>8.5489999999999995</v>
      </c>
      <c r="D311" s="1600" t="s">
        <v>377</v>
      </c>
      <c r="E311" s="1577">
        <f>ROUND(C311*$B311/100,0)</f>
        <v>301608</v>
      </c>
      <c r="F311" s="1389">
        <v>9.766</v>
      </c>
      <c r="G311" s="1600" t="s">
        <v>377</v>
      </c>
      <c r="H311" s="1577">
        <f>ROUND(F311*B311/100,0)</f>
        <v>344544</v>
      </c>
      <c r="I311" s="1389">
        <f>$I$170</f>
        <v>9.9879999999999995</v>
      </c>
      <c r="J311" s="1600" t="s">
        <v>377</v>
      </c>
      <c r="K311" s="1577">
        <f>ROUND(I311*$B311/100,0)</f>
        <v>352376</v>
      </c>
      <c r="M311" s="1570"/>
      <c r="N311" s="1570"/>
      <c r="O311" s="1571"/>
      <c r="P311" s="1571"/>
      <c r="Q311" s="1571"/>
      <c r="R311" s="1570"/>
      <c r="S311" s="1570"/>
      <c r="T311" s="1570"/>
      <c r="U311" s="1570"/>
      <c r="V311" s="1570"/>
      <c r="W311" s="1570"/>
      <c r="X311" s="1570"/>
      <c r="Y311" s="1570"/>
      <c r="Z311" s="1570"/>
      <c r="AA311" s="1570"/>
      <c r="AB311" s="1570"/>
      <c r="AC311" s="1570"/>
      <c r="AD311" s="1570"/>
      <c r="AE311" s="1570"/>
      <c r="AF311" s="1570"/>
      <c r="AG311" s="1570"/>
      <c r="AH311" s="1570"/>
      <c r="AJ311" s="1578"/>
    </row>
    <row r="312" spans="1:36" hidden="1">
      <c r="A312" s="1585" t="s">
        <v>401</v>
      </c>
      <c r="B312" s="1599">
        <f>'Schedule 24 BD'!$J$14+'Schedule 24 BD'!$J$15+'Schedule 24 BD'!$J$16+'Schedule 24 BD'!$J$17+'Schedule 24 BD'!$J$18</f>
        <v>9702345.3333333246</v>
      </c>
      <c r="C312" s="1389">
        <v>5.9020000000000001</v>
      </c>
      <c r="D312" s="1600" t="s">
        <v>377</v>
      </c>
      <c r="E312" s="1577">
        <f>ROUND(C312*$B312/100,0)</f>
        <v>572632</v>
      </c>
      <c r="F312" s="1389">
        <v>6.7460000000000004</v>
      </c>
      <c r="G312" s="1600" t="s">
        <v>377</v>
      </c>
      <c r="H312" s="1577">
        <f t="shared" ref="H312:H314" si="56">ROUND(F312*B312/100,0)</f>
        <v>654520</v>
      </c>
      <c r="I312" s="1389">
        <f>$I$171</f>
        <v>6.9080000000000004</v>
      </c>
      <c r="J312" s="1600" t="s">
        <v>377</v>
      </c>
      <c r="K312" s="1577">
        <f>ROUND(I312*$B312/100,0)</f>
        <v>670238</v>
      </c>
      <c r="M312" s="1570"/>
      <c r="N312" s="1570"/>
      <c r="O312" s="1571"/>
      <c r="P312" s="1571"/>
      <c r="Q312" s="1571"/>
      <c r="R312" s="1570"/>
      <c r="S312" s="1570"/>
      <c r="T312" s="1570"/>
      <c r="U312" s="1570"/>
      <c r="V312" s="1570"/>
      <c r="W312" s="1570"/>
      <c r="X312" s="1570"/>
      <c r="Y312" s="1570"/>
      <c r="Z312" s="1570"/>
      <c r="AA312" s="1570"/>
      <c r="AB312" s="1570"/>
      <c r="AC312" s="1570"/>
      <c r="AD312" s="1570"/>
      <c r="AE312" s="1570"/>
      <c r="AF312" s="1570"/>
      <c r="AG312" s="1570"/>
      <c r="AH312" s="1570"/>
      <c r="AJ312" s="1578"/>
    </row>
    <row r="313" spans="1:36" hidden="1">
      <c r="A313" s="1585" t="s">
        <v>402</v>
      </c>
      <c r="B313" s="1599">
        <f>'Schedule 24 BD'!$H$14+'Schedule 24 BD'!$H$15+'Schedule 24 BD'!$H$16+'Schedule 24 BD'!$H$17+'Schedule 24 BD'!$H$18-B312-B311</f>
        <v>4189763.0000000121</v>
      </c>
      <c r="C313" s="1389">
        <v>5.0839999999999996</v>
      </c>
      <c r="D313" s="1600" t="s">
        <v>377</v>
      </c>
      <c r="E313" s="1577">
        <f>ROUND(C313*$B313/100,0)</f>
        <v>213008</v>
      </c>
      <c r="F313" s="1389">
        <v>5.8120000000000003</v>
      </c>
      <c r="G313" s="1600" t="s">
        <v>377</v>
      </c>
      <c r="H313" s="1577">
        <f t="shared" si="56"/>
        <v>243509</v>
      </c>
      <c r="I313" s="1389">
        <f>$I$172</f>
        <v>5.952</v>
      </c>
      <c r="J313" s="1600" t="s">
        <v>377</v>
      </c>
      <c r="K313" s="1577">
        <f>ROUND(I313*$B313/100,0)</f>
        <v>249375</v>
      </c>
      <c r="M313" s="1570"/>
      <c r="N313" s="1570"/>
      <c r="O313" s="1571"/>
      <c r="P313" s="1571"/>
      <c r="Q313" s="1571"/>
      <c r="R313" s="1570"/>
      <c r="S313" s="1570"/>
      <c r="T313" s="1570"/>
      <c r="U313" s="1570"/>
      <c r="V313" s="1570"/>
      <c r="W313" s="1570"/>
      <c r="X313" s="1570"/>
      <c r="Y313" s="1570"/>
      <c r="Z313" s="1570"/>
      <c r="AA313" s="1570"/>
      <c r="AB313" s="1570"/>
      <c r="AC313" s="1570"/>
      <c r="AD313" s="1570"/>
      <c r="AE313" s="1570"/>
      <c r="AF313" s="1570"/>
      <c r="AG313" s="1570"/>
      <c r="AH313" s="1570"/>
      <c r="AJ313" s="1578"/>
    </row>
    <row r="314" spans="1:36" hidden="1">
      <c r="A314" s="1585" t="s">
        <v>403</v>
      </c>
      <c r="B314" s="1599">
        <f>'Schedule 24 BD'!$L$15+'Schedule 24 BD'!$L$18</f>
        <v>14734.36666666667</v>
      </c>
      <c r="C314" s="1647">
        <v>50</v>
      </c>
      <c r="D314" s="1574" t="s">
        <v>377</v>
      </c>
      <c r="E314" s="1577">
        <f>ROUND(C314*$B314/100,0)</f>
        <v>7367</v>
      </c>
      <c r="F314" s="1647">
        <v>56</v>
      </c>
      <c r="G314" s="1600" t="s">
        <v>377</v>
      </c>
      <c r="H314" s="1577">
        <f t="shared" si="56"/>
        <v>8251</v>
      </c>
      <c r="I314" s="1647">
        <f>$I$173</f>
        <v>57</v>
      </c>
      <c r="J314" s="1600" t="s">
        <v>377</v>
      </c>
      <c r="K314" s="1577">
        <f>ROUND(I314*$B314/100,0)</f>
        <v>8399</v>
      </c>
      <c r="M314" s="1570"/>
      <c r="N314" s="1570"/>
      <c r="O314" s="1571"/>
      <c r="P314" s="1571"/>
      <c r="Q314" s="1571"/>
      <c r="R314" s="1570"/>
      <c r="S314" s="1570"/>
      <c r="T314" s="1570"/>
      <c r="U314" s="1570"/>
      <c r="V314" s="1570"/>
      <c r="W314" s="1570"/>
      <c r="X314" s="1570"/>
      <c r="Y314" s="1570"/>
      <c r="Z314" s="1570"/>
      <c r="AA314" s="1570"/>
      <c r="AB314" s="1570"/>
      <c r="AC314" s="1570"/>
      <c r="AD314" s="1570"/>
      <c r="AE314" s="1570"/>
      <c r="AF314" s="1570"/>
      <c r="AG314" s="1570"/>
      <c r="AH314" s="1570"/>
      <c r="AJ314" s="1578"/>
    </row>
    <row r="315" spans="1:36" hidden="1">
      <c r="A315" s="1569" t="s">
        <v>933</v>
      </c>
      <c r="B315" s="1575">
        <f>B311</f>
        <v>3527991.6666666633</v>
      </c>
      <c r="C315" s="1584"/>
      <c r="D315" s="1570"/>
      <c r="E315" s="1577"/>
      <c r="F315" s="1584"/>
      <c r="G315" s="1570"/>
      <c r="H315" s="1577"/>
      <c r="I315" s="1389">
        <f>I174</f>
        <v>0</v>
      </c>
      <c r="J315" s="1600" t="s">
        <v>377</v>
      </c>
      <c r="K315" s="1577">
        <f t="shared" ref="K315:K317" si="57">ROUND(I315*$B315/100,0)</f>
        <v>0</v>
      </c>
      <c r="M315" s="1578"/>
      <c r="O315" s="1579"/>
      <c r="P315" s="1569"/>
      <c r="Q315" s="1569"/>
      <c r="R315" s="1580"/>
      <c r="S315" s="1580"/>
      <c r="X315" s="1570"/>
      <c r="Y315" s="1570"/>
      <c r="Z315" s="1570"/>
      <c r="AA315" s="1570"/>
      <c r="AB315" s="1570"/>
      <c r="AC315" s="1570"/>
      <c r="AD315" s="1570"/>
      <c r="AE315" s="1570"/>
      <c r="AF315" s="1570"/>
      <c r="AG315" s="1570"/>
      <c r="AH315" s="1570"/>
      <c r="AJ315" s="1578"/>
    </row>
    <row r="316" spans="1:36" hidden="1">
      <c r="A316" s="1569" t="s">
        <v>934</v>
      </c>
      <c r="B316" s="1575">
        <f>B312</f>
        <v>9702345.3333333246</v>
      </c>
      <c r="C316" s="1584"/>
      <c r="D316" s="1570"/>
      <c r="E316" s="1577"/>
      <c r="F316" s="1584"/>
      <c r="G316" s="1570"/>
      <c r="H316" s="1577"/>
      <c r="I316" s="1389">
        <f>I175</f>
        <v>0</v>
      </c>
      <c r="J316" s="1600" t="s">
        <v>377</v>
      </c>
      <c r="K316" s="1577">
        <f t="shared" si="57"/>
        <v>0</v>
      </c>
      <c r="M316" s="1578"/>
      <c r="O316" s="1579"/>
      <c r="P316" s="1569"/>
      <c r="Q316" s="1569"/>
      <c r="R316" s="1580"/>
      <c r="S316" s="1580"/>
      <c r="X316" s="1570"/>
      <c r="Y316" s="1570"/>
      <c r="Z316" s="1570"/>
      <c r="AA316" s="1570"/>
      <c r="AB316" s="1570"/>
      <c r="AC316" s="1570"/>
      <c r="AD316" s="1570"/>
      <c r="AE316" s="1570"/>
      <c r="AF316" s="1570"/>
      <c r="AG316" s="1570"/>
      <c r="AH316" s="1570"/>
      <c r="AJ316" s="1578"/>
    </row>
    <row r="317" spans="1:36" hidden="1">
      <c r="A317" s="1569" t="s">
        <v>935</v>
      </c>
      <c r="B317" s="1575">
        <f>B313</f>
        <v>4189763.0000000121</v>
      </c>
      <c r="C317" s="1584"/>
      <c r="D317" s="1570"/>
      <c r="E317" s="1577"/>
      <c r="F317" s="1584"/>
      <c r="G317" s="1570"/>
      <c r="H317" s="1577"/>
      <c r="I317" s="1389">
        <f>I176</f>
        <v>0</v>
      </c>
      <c r="J317" s="1600" t="s">
        <v>377</v>
      </c>
      <c r="K317" s="1577">
        <f t="shared" si="57"/>
        <v>0</v>
      </c>
      <c r="M317" s="1578"/>
      <c r="O317" s="1579"/>
      <c r="P317" s="1569"/>
      <c r="Q317" s="1569"/>
      <c r="R317" s="1580"/>
      <c r="S317" s="1580"/>
      <c r="X317" s="1570"/>
      <c r="Y317" s="1570"/>
      <c r="Z317" s="1570"/>
      <c r="AA317" s="1570"/>
      <c r="AB317" s="1570"/>
      <c r="AC317" s="1570"/>
      <c r="AD317" s="1570"/>
      <c r="AE317" s="1570"/>
      <c r="AF317" s="1570"/>
      <c r="AG317" s="1570"/>
      <c r="AH317" s="1570"/>
      <c r="AJ317" s="1578"/>
    </row>
    <row r="318" spans="1:36" hidden="1">
      <c r="A318" s="1654" t="s">
        <v>404</v>
      </c>
      <c r="B318" s="1599"/>
      <c r="C318" s="1655">
        <v>-0.01</v>
      </c>
      <c r="D318" s="1574"/>
      <c r="E318" s="1577"/>
      <c r="F318" s="1655">
        <v>-0.01</v>
      </c>
      <c r="G318" s="1600"/>
      <c r="H318" s="1577"/>
      <c r="I318" s="1655">
        <v>-0.01</v>
      </c>
      <c r="J318" s="1600"/>
      <c r="K318" s="1577"/>
      <c r="M318" s="1570"/>
      <c r="N318" s="1570"/>
      <c r="O318" s="1571"/>
      <c r="P318" s="1571"/>
      <c r="Q318" s="1571"/>
      <c r="R318" s="1570"/>
      <c r="S318" s="1570"/>
      <c r="T318" s="1570"/>
      <c r="U318" s="1570"/>
      <c r="V318" s="1570"/>
      <c r="W318" s="1570"/>
      <c r="X318" s="1570"/>
      <c r="Y318" s="1570"/>
      <c r="Z318" s="1570"/>
      <c r="AA318" s="1570"/>
      <c r="AB318" s="1570"/>
      <c r="AC318" s="1570"/>
      <c r="AD318" s="1570"/>
      <c r="AE318" s="1570"/>
      <c r="AF318" s="1570"/>
      <c r="AG318" s="1570"/>
      <c r="AH318" s="1570"/>
      <c r="AJ318" s="1578"/>
    </row>
    <row r="319" spans="1:36" hidden="1">
      <c r="A319" s="1585" t="s">
        <v>393</v>
      </c>
      <c r="B319" s="1599">
        <v>0</v>
      </c>
      <c r="C319" s="1657">
        <v>7.64</v>
      </c>
      <c r="D319" s="1574"/>
      <c r="E319" s="1577">
        <f>-ROUND(C319*$B319/100,0)</f>
        <v>0</v>
      </c>
      <c r="F319" s="1657">
        <v>8.7100000000000009</v>
      </c>
      <c r="G319" s="1574"/>
      <c r="H319" s="1577">
        <f>-ROUND(F319*$B319/100,0)</f>
        <v>0</v>
      </c>
      <c r="I319" s="1657">
        <f>I306</f>
        <v>8.92</v>
      </c>
      <c r="J319" s="1574"/>
      <c r="K319" s="1577">
        <f>-ROUND(I319*$B319/100,0)</f>
        <v>0</v>
      </c>
      <c r="M319" s="1570"/>
      <c r="N319" s="1570"/>
      <c r="O319" s="1571"/>
      <c r="P319" s="1571"/>
      <c r="Q319" s="1571"/>
      <c r="R319" s="1570"/>
      <c r="S319" s="1570"/>
      <c r="T319" s="1570"/>
      <c r="U319" s="1570"/>
      <c r="V319" s="1570"/>
      <c r="W319" s="1570"/>
      <c r="X319" s="1570"/>
      <c r="Y319" s="1570"/>
      <c r="Z319" s="1570"/>
      <c r="AA319" s="1570"/>
      <c r="AB319" s="1570"/>
      <c r="AC319" s="1570"/>
      <c r="AD319" s="1570"/>
      <c r="AE319" s="1570"/>
      <c r="AF319" s="1570"/>
      <c r="AG319" s="1570"/>
      <c r="AH319" s="1570"/>
      <c r="AJ319" s="1578"/>
    </row>
    <row r="320" spans="1:36" hidden="1">
      <c r="A320" s="1585" t="s">
        <v>394</v>
      </c>
      <c r="B320" s="1599">
        <f>'Schedule 24 BD'!$F$17</f>
        <v>3</v>
      </c>
      <c r="C320" s="1657">
        <v>11.36</v>
      </c>
      <c r="D320" s="1574"/>
      <c r="E320" s="1577">
        <f>-ROUND(C320*$B320/100,0)</f>
        <v>0</v>
      </c>
      <c r="F320" s="1657">
        <v>12.98</v>
      </c>
      <c r="G320" s="1574"/>
      <c r="H320" s="1577">
        <f t="shared" ref="H320:H322" si="58">-ROUND(F320*$B320/100,0)</f>
        <v>0</v>
      </c>
      <c r="I320" s="1657">
        <f>I307</f>
        <v>13.299999999999999</v>
      </c>
      <c r="J320" s="1574"/>
      <c r="K320" s="1577">
        <f>-ROUND(I320*$B320/100,0)</f>
        <v>0</v>
      </c>
      <c r="M320" s="1570"/>
      <c r="N320" s="1570"/>
      <c r="O320" s="1571"/>
      <c r="P320" s="1571"/>
      <c r="Q320" s="1571"/>
      <c r="R320" s="1570"/>
      <c r="S320" s="1570"/>
      <c r="T320" s="1570"/>
      <c r="U320" s="1570"/>
      <c r="V320" s="1570"/>
      <c r="W320" s="1570"/>
      <c r="X320" s="1570"/>
      <c r="Y320" s="1570"/>
      <c r="Z320" s="1570"/>
      <c r="AA320" s="1570"/>
      <c r="AB320" s="1570"/>
      <c r="AC320" s="1570"/>
      <c r="AD320" s="1570"/>
      <c r="AE320" s="1570"/>
      <c r="AF320" s="1570"/>
      <c r="AG320" s="1570"/>
      <c r="AH320" s="1570"/>
      <c r="AJ320" s="1578"/>
    </row>
    <row r="321" spans="1:36" hidden="1">
      <c r="A321" s="1585" t="s">
        <v>405</v>
      </c>
      <c r="B321" s="1599">
        <f>'Schedule 24 BD'!$G$17</f>
        <v>264</v>
      </c>
      <c r="C321" s="1657">
        <v>0.81</v>
      </c>
      <c r="D321" s="1574"/>
      <c r="E321" s="1577">
        <f>-ROUND(C321*$B321/100,0)</f>
        <v>-2</v>
      </c>
      <c r="F321" s="1657">
        <v>0.92</v>
      </c>
      <c r="G321" s="1574"/>
      <c r="H321" s="1577">
        <f t="shared" si="58"/>
        <v>-2</v>
      </c>
      <c r="I321" s="1657">
        <f>I308</f>
        <v>0.95</v>
      </c>
      <c r="J321" s="1574"/>
      <c r="K321" s="1577">
        <f>-ROUND(I321*$B321/100,0)</f>
        <v>-3</v>
      </c>
      <c r="M321" s="1570"/>
      <c r="N321" s="1570"/>
      <c r="O321" s="1571"/>
      <c r="P321" s="1571"/>
      <c r="Q321" s="1571"/>
      <c r="R321" s="1570"/>
      <c r="S321" s="1570"/>
      <c r="T321" s="1570"/>
      <c r="U321" s="1570"/>
      <c r="V321" s="1570"/>
      <c r="W321" s="1570"/>
      <c r="X321" s="1570"/>
      <c r="Y321" s="1570"/>
      <c r="Z321" s="1570"/>
      <c r="AA321" s="1570"/>
      <c r="AB321" s="1570"/>
      <c r="AC321" s="1570"/>
      <c r="AD321" s="1570"/>
      <c r="AE321" s="1570"/>
      <c r="AF321" s="1570"/>
      <c r="AG321" s="1570"/>
      <c r="AH321" s="1570"/>
      <c r="AJ321" s="1578"/>
    </row>
    <row r="322" spans="1:36" hidden="1">
      <c r="A322" s="1585" t="s">
        <v>406</v>
      </c>
      <c r="B322" s="1599">
        <f>'Schedule 24 BD'!$K$17</f>
        <v>132</v>
      </c>
      <c r="C322" s="1657">
        <v>2.98</v>
      </c>
      <c r="D322" s="1600"/>
      <c r="E322" s="1577">
        <f>-ROUND(C322*$B322/100,0)</f>
        <v>-4</v>
      </c>
      <c r="F322" s="1657">
        <v>3.4</v>
      </c>
      <c r="G322" s="1600"/>
      <c r="H322" s="1577">
        <f t="shared" si="58"/>
        <v>-4</v>
      </c>
      <c r="I322" s="1657">
        <f>I310</f>
        <v>3.4899999999999998</v>
      </c>
      <c r="J322" s="1600"/>
      <c r="K322" s="1577">
        <f>-ROUND(I322*$B322/100,0)</f>
        <v>-5</v>
      </c>
      <c r="M322" s="1570"/>
      <c r="N322" s="1570"/>
      <c r="O322" s="1571"/>
      <c r="P322" s="1571"/>
      <c r="Q322" s="1571"/>
      <c r="R322" s="1570"/>
      <c r="S322" s="1570"/>
      <c r="T322" s="1570"/>
      <c r="U322" s="1570"/>
      <c r="V322" s="1570"/>
      <c r="W322" s="1570"/>
      <c r="X322" s="1570"/>
      <c r="Y322" s="1570"/>
      <c r="Z322" s="1570"/>
      <c r="AA322" s="1570"/>
      <c r="AB322" s="1570"/>
      <c r="AC322" s="1570"/>
      <c r="AD322" s="1570"/>
      <c r="AE322" s="1570"/>
      <c r="AF322" s="1570"/>
      <c r="AG322" s="1570"/>
      <c r="AH322" s="1570"/>
      <c r="AJ322" s="1578"/>
    </row>
    <row r="323" spans="1:36" hidden="1">
      <c r="A323" s="1585" t="s">
        <v>408</v>
      </c>
      <c r="B323" s="1599">
        <f>'Schedule 24 BD'!$I$17</f>
        <v>3000</v>
      </c>
      <c r="C323" s="1658">
        <v>8.5489999999999995</v>
      </c>
      <c r="D323" s="1600" t="s">
        <v>377</v>
      </c>
      <c r="E323" s="1577">
        <f>ROUND(C323*$B323/100*C318,0)</f>
        <v>-3</v>
      </c>
      <c r="F323" s="1658">
        <v>9.766</v>
      </c>
      <c r="G323" s="1600" t="s">
        <v>377</v>
      </c>
      <c r="H323" s="1577">
        <f>ROUND(F323*$B323/100*F318,0)</f>
        <v>-3</v>
      </c>
      <c r="I323" s="1658">
        <f>I311</f>
        <v>9.9879999999999995</v>
      </c>
      <c r="J323" s="1600" t="s">
        <v>377</v>
      </c>
      <c r="K323" s="1577">
        <f>ROUND(I323*$B323/100*I318,0)</f>
        <v>-3</v>
      </c>
      <c r="M323" s="1570"/>
      <c r="N323" s="1570"/>
      <c r="O323" s="1571"/>
      <c r="P323" s="1571"/>
      <c r="Q323" s="1571"/>
      <c r="R323" s="1570"/>
      <c r="S323" s="1570"/>
      <c r="T323" s="1570"/>
      <c r="U323" s="1570"/>
      <c r="V323" s="1570"/>
      <c r="W323" s="1570"/>
      <c r="X323" s="1570"/>
      <c r="Y323" s="1570"/>
      <c r="Z323" s="1570"/>
      <c r="AA323" s="1570"/>
      <c r="AB323" s="1570"/>
      <c r="AC323" s="1570"/>
      <c r="AD323" s="1570"/>
      <c r="AE323" s="1570"/>
      <c r="AF323" s="1570"/>
      <c r="AG323" s="1570"/>
      <c r="AH323" s="1570"/>
      <c r="AJ323" s="1578"/>
    </row>
    <row r="324" spans="1:36" hidden="1">
      <c r="A324" s="1585" t="s">
        <v>401</v>
      </c>
      <c r="B324" s="1599">
        <f>'Schedule 24 BD'!$J$17</f>
        <v>24000</v>
      </c>
      <c r="C324" s="1658">
        <v>5.9020000000000001</v>
      </c>
      <c r="D324" s="1600" t="s">
        <v>377</v>
      </c>
      <c r="E324" s="1577">
        <f>ROUND(C324*$B324/100*C318,0)</f>
        <v>-14</v>
      </c>
      <c r="F324" s="1658">
        <v>6.7460000000000004</v>
      </c>
      <c r="G324" s="1600" t="s">
        <v>377</v>
      </c>
      <c r="H324" s="1577">
        <f>ROUND(F324*$B324/100*F318,0)</f>
        <v>-16</v>
      </c>
      <c r="I324" s="1658">
        <f>I312</f>
        <v>6.9080000000000004</v>
      </c>
      <c r="J324" s="1600" t="s">
        <v>377</v>
      </c>
      <c r="K324" s="1577">
        <f>ROUND(I324*$B324/100*I318,0)</f>
        <v>-17</v>
      </c>
      <c r="M324" s="1570"/>
      <c r="N324" s="1570"/>
      <c r="O324" s="1571"/>
      <c r="P324" s="1571"/>
      <c r="Q324" s="1571"/>
      <c r="R324" s="1570"/>
      <c r="S324" s="1570"/>
      <c r="T324" s="1570"/>
      <c r="U324" s="1570"/>
      <c r="V324" s="1570"/>
      <c r="W324" s="1570"/>
      <c r="X324" s="1570"/>
      <c r="Y324" s="1570"/>
      <c r="Z324" s="1570"/>
      <c r="AA324" s="1570"/>
      <c r="AB324" s="1570"/>
      <c r="AC324" s="1570"/>
      <c r="AD324" s="1570"/>
      <c r="AE324" s="1570"/>
      <c r="AF324" s="1570"/>
      <c r="AG324" s="1570"/>
      <c r="AH324" s="1570"/>
      <c r="AJ324" s="1578"/>
    </row>
    <row r="325" spans="1:36" hidden="1">
      <c r="A325" s="1585" t="s">
        <v>402</v>
      </c>
      <c r="B325" s="1599">
        <f>'Schedule 24 BD'!$H$17-B324-B323</f>
        <v>40200</v>
      </c>
      <c r="C325" s="1658">
        <v>5.0839999999999996</v>
      </c>
      <c r="D325" s="1600" t="s">
        <v>377</v>
      </c>
      <c r="E325" s="1577">
        <f>ROUND(C325*$B325/100*C318,0)</f>
        <v>-20</v>
      </c>
      <c r="F325" s="1658">
        <v>5.8120000000000003</v>
      </c>
      <c r="G325" s="1600" t="s">
        <v>377</v>
      </c>
      <c r="H325" s="1577">
        <f>ROUND(F325*$B325/100*F318,0)</f>
        <v>-23</v>
      </c>
      <c r="I325" s="1658">
        <f>I313</f>
        <v>5.952</v>
      </c>
      <c r="J325" s="1600" t="s">
        <v>377</v>
      </c>
      <c r="K325" s="1577">
        <f>ROUND(I325*$B325/100*I318,0)</f>
        <v>-24</v>
      </c>
      <c r="M325" s="1570"/>
      <c r="N325" s="1570"/>
      <c r="O325" s="1571"/>
      <c r="P325" s="1571"/>
      <c r="Q325" s="1571"/>
      <c r="R325" s="1570"/>
      <c r="S325" s="1570"/>
      <c r="T325" s="1570"/>
      <c r="U325" s="1570"/>
      <c r="V325" s="1570"/>
      <c r="W325" s="1570"/>
      <c r="X325" s="1570"/>
      <c r="Y325" s="1570"/>
      <c r="Z325" s="1570"/>
      <c r="AA325" s="1570"/>
      <c r="AB325" s="1570"/>
      <c r="AC325" s="1570"/>
      <c r="AD325" s="1570"/>
      <c r="AE325" s="1570"/>
      <c r="AF325" s="1570"/>
      <c r="AG325" s="1570"/>
      <c r="AH325" s="1570"/>
      <c r="AJ325" s="1578"/>
    </row>
    <row r="326" spans="1:36" hidden="1">
      <c r="A326" s="1585" t="s">
        <v>403</v>
      </c>
      <c r="B326" s="1599">
        <v>0</v>
      </c>
      <c r="C326" s="1659">
        <v>50</v>
      </c>
      <c r="D326" s="1600" t="s">
        <v>377</v>
      </c>
      <c r="E326" s="1577">
        <f>ROUND(C326*$B326/100*C318,0)</f>
        <v>0</v>
      </c>
      <c r="F326" s="1659">
        <v>56</v>
      </c>
      <c r="G326" s="1600" t="s">
        <v>377</v>
      </c>
      <c r="H326" s="1577">
        <f>ROUND(F326*$B326/100*F318,0)</f>
        <v>0</v>
      </c>
      <c r="I326" s="1659">
        <f>I314</f>
        <v>57</v>
      </c>
      <c r="J326" s="1600" t="s">
        <v>377</v>
      </c>
      <c r="K326" s="1577">
        <f>ROUND(I326*$B326/100*I318,0)</f>
        <v>0</v>
      </c>
      <c r="M326" s="1570"/>
      <c r="N326" s="1570"/>
      <c r="O326" s="1571"/>
      <c r="P326" s="1571"/>
      <c r="Q326" s="1571"/>
      <c r="R326" s="1570"/>
      <c r="S326" s="1570"/>
      <c r="T326" s="1570"/>
      <c r="U326" s="1570"/>
      <c r="V326" s="1570"/>
      <c r="W326" s="1570"/>
      <c r="X326" s="1570"/>
      <c r="Y326" s="1570"/>
      <c r="Z326" s="1570"/>
      <c r="AA326" s="1570"/>
      <c r="AB326" s="1570"/>
      <c r="AC326" s="1570"/>
      <c r="AD326" s="1570"/>
      <c r="AE326" s="1570"/>
      <c r="AF326" s="1570"/>
      <c r="AG326" s="1570"/>
      <c r="AH326" s="1570"/>
      <c r="AJ326" s="1578"/>
    </row>
    <row r="327" spans="1:36" hidden="1">
      <c r="A327" s="1585" t="s">
        <v>410</v>
      </c>
      <c r="B327" s="1599">
        <f>3</f>
        <v>3</v>
      </c>
      <c r="C327" s="1660">
        <v>60</v>
      </c>
      <c r="D327" s="1574"/>
      <c r="E327" s="1577">
        <f>ROUND(C327*$B327,0)</f>
        <v>180</v>
      </c>
      <c r="F327" s="1660">
        <v>60</v>
      </c>
      <c r="G327" s="1600"/>
      <c r="H327" s="1577">
        <f>ROUND(F327*B327,0)</f>
        <v>180</v>
      </c>
      <c r="I327" s="1660">
        <f>$I$189</f>
        <v>60</v>
      </c>
      <c r="J327" s="1600"/>
      <c r="K327" s="1577">
        <f>ROUND(I327*$B327,0)</f>
        <v>180</v>
      </c>
      <c r="M327" s="1570"/>
      <c r="N327" s="1570"/>
      <c r="O327" s="1571"/>
      <c r="P327" s="1571"/>
      <c r="Q327" s="1571"/>
      <c r="R327" s="1570"/>
      <c r="S327" s="1570"/>
      <c r="T327" s="1570"/>
      <c r="U327" s="1570"/>
      <c r="V327" s="1570"/>
      <c r="W327" s="1570"/>
      <c r="X327" s="1570"/>
      <c r="Y327" s="1570"/>
      <c r="Z327" s="1570"/>
      <c r="AA327" s="1570"/>
      <c r="AB327" s="1570"/>
      <c r="AC327" s="1570"/>
      <c r="AD327" s="1570"/>
      <c r="AE327" s="1570"/>
      <c r="AF327" s="1570"/>
      <c r="AG327" s="1570"/>
      <c r="AH327" s="1570"/>
      <c r="AJ327" s="1578"/>
    </row>
    <row r="328" spans="1:36" hidden="1">
      <c r="A328" s="1585" t="s">
        <v>411</v>
      </c>
      <c r="B328" s="1599">
        <f>B321</f>
        <v>264</v>
      </c>
      <c r="C328" s="1661">
        <v>-30</v>
      </c>
      <c r="D328" s="1574" t="s">
        <v>377</v>
      </c>
      <c r="E328" s="1577">
        <f>ROUND(C328*$B328/100,0)</f>
        <v>-79</v>
      </c>
      <c r="F328" s="1661">
        <v>-30</v>
      </c>
      <c r="G328" s="1600" t="s">
        <v>377</v>
      </c>
      <c r="H328" s="1577">
        <f>ROUND(F328*B328/100,0)</f>
        <v>-79</v>
      </c>
      <c r="I328" s="1661">
        <f>$I$190</f>
        <v>-30</v>
      </c>
      <c r="J328" s="1600" t="s">
        <v>377</v>
      </c>
      <c r="K328" s="1577">
        <f>ROUND(I328*$B328/100,0)</f>
        <v>-79</v>
      </c>
      <c r="M328" s="1570"/>
      <c r="N328" s="1570"/>
      <c r="O328" s="1571"/>
      <c r="P328" s="1571"/>
      <c r="Q328" s="1571"/>
      <c r="R328" s="1570"/>
      <c r="S328" s="1570"/>
      <c r="T328" s="1570"/>
      <c r="U328" s="1570"/>
      <c r="V328" s="1570"/>
      <c r="W328" s="1570"/>
      <c r="X328" s="1570"/>
      <c r="Y328" s="1570"/>
      <c r="Z328" s="1570"/>
      <c r="AA328" s="1570"/>
      <c r="AB328" s="1570"/>
      <c r="AC328" s="1570"/>
      <c r="AD328" s="1570"/>
      <c r="AE328" s="1570"/>
      <c r="AF328" s="1570"/>
      <c r="AG328" s="1570"/>
      <c r="AH328" s="1570"/>
      <c r="AJ328" s="1578"/>
    </row>
    <row r="329" spans="1:36" hidden="1">
      <c r="A329" s="1569" t="s">
        <v>933</v>
      </c>
      <c r="B329" s="1575">
        <f>B323</f>
        <v>3000</v>
      </c>
      <c r="C329" s="1584"/>
      <c r="D329" s="1570"/>
      <c r="E329" s="1577"/>
      <c r="F329" s="1584"/>
      <c r="G329" s="1570"/>
      <c r="H329" s="1577"/>
      <c r="I329" s="1389">
        <f>I174</f>
        <v>0</v>
      </c>
      <c r="J329" s="1600" t="s">
        <v>377</v>
      </c>
      <c r="K329" s="1577">
        <f t="shared" ref="K329:K331" si="59">ROUND(I329*$B329/100,0)</f>
        <v>0</v>
      </c>
      <c r="M329" s="1578"/>
      <c r="O329" s="1579"/>
      <c r="P329" s="1569"/>
      <c r="Q329" s="1569"/>
      <c r="R329" s="1580"/>
      <c r="S329" s="1580"/>
      <c r="X329" s="1570"/>
      <c r="Y329" s="1570"/>
      <c r="Z329" s="1570"/>
      <c r="AA329" s="1570"/>
      <c r="AB329" s="1570"/>
      <c r="AC329" s="1570"/>
      <c r="AD329" s="1570"/>
      <c r="AE329" s="1570"/>
      <c r="AF329" s="1570"/>
      <c r="AG329" s="1570"/>
      <c r="AH329" s="1570"/>
      <c r="AJ329" s="1578"/>
    </row>
    <row r="330" spans="1:36" hidden="1">
      <c r="A330" s="1569" t="s">
        <v>934</v>
      </c>
      <c r="B330" s="1575">
        <f>B324</f>
        <v>24000</v>
      </c>
      <c r="C330" s="1584"/>
      <c r="D330" s="1570"/>
      <c r="E330" s="1577"/>
      <c r="F330" s="1584"/>
      <c r="G330" s="1570"/>
      <c r="H330" s="1577"/>
      <c r="I330" s="1389">
        <f>I175</f>
        <v>0</v>
      </c>
      <c r="J330" s="1600" t="s">
        <v>377</v>
      </c>
      <c r="K330" s="1577">
        <f t="shared" si="59"/>
        <v>0</v>
      </c>
      <c r="M330" s="1578"/>
      <c r="O330" s="1579"/>
      <c r="P330" s="1569"/>
      <c r="Q330" s="1569"/>
      <c r="R330" s="1580"/>
      <c r="S330" s="1580"/>
      <c r="X330" s="1570"/>
      <c r="Y330" s="1570"/>
      <c r="Z330" s="1570"/>
      <c r="AA330" s="1570"/>
      <c r="AB330" s="1570"/>
      <c r="AC330" s="1570"/>
      <c r="AD330" s="1570"/>
      <c r="AE330" s="1570"/>
      <c r="AF330" s="1570"/>
      <c r="AG330" s="1570"/>
      <c r="AH330" s="1570"/>
      <c r="AJ330" s="1578"/>
    </row>
    <row r="331" spans="1:36" hidden="1">
      <c r="A331" s="1569" t="s">
        <v>935</v>
      </c>
      <c r="B331" s="1575">
        <f>B325</f>
        <v>40200</v>
      </c>
      <c r="C331" s="1584"/>
      <c r="D331" s="1570"/>
      <c r="E331" s="1577"/>
      <c r="F331" s="1584"/>
      <c r="G331" s="1570"/>
      <c r="H331" s="1577"/>
      <c r="I331" s="1389">
        <f>I176</f>
        <v>0</v>
      </c>
      <c r="J331" s="1600" t="s">
        <v>377</v>
      </c>
      <c r="K331" s="1577">
        <f t="shared" si="59"/>
        <v>0</v>
      </c>
      <c r="M331" s="1578"/>
      <c r="O331" s="1579"/>
      <c r="P331" s="1569"/>
      <c r="Q331" s="1569"/>
      <c r="R331" s="1580"/>
      <c r="S331" s="1580"/>
      <c r="X331" s="1570"/>
      <c r="Y331" s="1570"/>
      <c r="Z331" s="1570"/>
      <c r="AA331" s="1570"/>
      <c r="AB331" s="1570"/>
      <c r="AC331" s="1570"/>
      <c r="AD331" s="1570"/>
      <c r="AE331" s="1570"/>
      <c r="AF331" s="1570"/>
      <c r="AG331" s="1570"/>
      <c r="AH331" s="1570"/>
      <c r="AJ331" s="1578"/>
    </row>
    <row r="332" spans="1:36" hidden="1">
      <c r="A332" s="1585" t="s">
        <v>384</v>
      </c>
      <c r="B332" s="1599">
        <f>SUM(B311:B313)</f>
        <v>17420100</v>
      </c>
      <c r="C332" s="1647"/>
      <c r="D332" s="1577"/>
      <c r="E332" s="1577">
        <f>SUM(E306:E328)</f>
        <v>1310154</v>
      </c>
      <c r="F332" s="1647"/>
      <c r="G332" s="1600"/>
      <c r="H332" s="1577">
        <f>SUM(H306:H328)</f>
        <v>1496512</v>
      </c>
      <c r="I332" s="1647"/>
      <c r="J332" s="1600"/>
      <c r="K332" s="1577">
        <f>SUM(K306:K331)</f>
        <v>1532808</v>
      </c>
      <c r="M332" s="1570"/>
      <c r="N332" s="1570"/>
      <c r="O332" s="1571"/>
      <c r="P332" s="1571"/>
      <c r="Q332" s="1571"/>
      <c r="R332" s="1570"/>
      <c r="S332" s="1570"/>
      <c r="T332" s="1570"/>
      <c r="U332" s="1570"/>
      <c r="V332" s="1570"/>
      <c r="W332" s="1570"/>
      <c r="X332" s="1570"/>
      <c r="Y332" s="1570"/>
      <c r="Z332" s="1570"/>
      <c r="AA332" s="1570"/>
      <c r="AB332" s="1570"/>
      <c r="AC332" s="1570"/>
      <c r="AD332" s="1570"/>
      <c r="AE332" s="1570"/>
      <c r="AF332" s="1570"/>
      <c r="AG332" s="1570"/>
      <c r="AH332" s="1570"/>
      <c r="AJ332" s="1578"/>
    </row>
    <row r="333" spans="1:36" hidden="1">
      <c r="A333" s="1585" t="s">
        <v>366</v>
      </c>
      <c r="B333" s="1679">
        <f ca="1">'Table 2'!H71</f>
        <v>238998.12647392348</v>
      </c>
      <c r="C333" s="1600"/>
      <c r="D333" s="1600"/>
      <c r="E333" s="1664" t="e">
        <f>#REF!</f>
        <v>#REF!</v>
      </c>
      <c r="F333" s="1600"/>
      <c r="G333" s="1600"/>
      <c r="H333" s="1664">
        <f ca="1">'Table 3'!E71</f>
        <v>24162.483012530323</v>
      </c>
      <c r="I333" s="1600"/>
      <c r="J333" s="1600"/>
      <c r="K333" s="1664">
        <f ca="1">H333</f>
        <v>24162.483012530323</v>
      </c>
      <c r="M333" s="1422"/>
      <c r="N333" s="1422"/>
      <c r="O333" s="1423"/>
      <c r="P333" s="1571"/>
      <c r="Q333" s="1571"/>
      <c r="R333" s="1570"/>
      <c r="S333" s="1570"/>
      <c r="T333" s="1570"/>
      <c r="U333" s="1570"/>
      <c r="V333" s="1570"/>
      <c r="W333" s="1570"/>
      <c r="X333" s="1570"/>
      <c r="Y333" s="1570"/>
      <c r="Z333" s="1570"/>
      <c r="AA333" s="1570"/>
      <c r="AB333" s="1570"/>
      <c r="AC333" s="1570"/>
      <c r="AD333" s="1570"/>
      <c r="AE333" s="1570"/>
      <c r="AF333" s="1570"/>
      <c r="AG333" s="1570"/>
      <c r="AH333" s="1570"/>
      <c r="AJ333" s="1578"/>
    </row>
    <row r="334" spans="1:36" ht="15.75" hidden="1" thickBot="1">
      <c r="A334" s="1585" t="s">
        <v>385</v>
      </c>
      <c r="B334" s="1632">
        <f ca="1">SUM(B332:B333)</f>
        <v>17659098.126473922</v>
      </c>
      <c r="C334" s="1666"/>
      <c r="D334" s="1667"/>
      <c r="E334" s="1668" t="e">
        <f>E332+E333</f>
        <v>#REF!</v>
      </c>
      <c r="F334" s="1666"/>
      <c r="G334" s="1670"/>
      <c r="H334" s="1668">
        <f ca="1">H332+H333</f>
        <v>1520674.4830125303</v>
      </c>
      <c r="I334" s="1666"/>
      <c r="J334" s="1670"/>
      <c r="K334" s="1668">
        <f ca="1">K332+K333</f>
        <v>1556970.4830125303</v>
      </c>
      <c r="M334" s="1424"/>
      <c r="N334" s="1424"/>
      <c r="O334" s="1597"/>
      <c r="P334" s="1571"/>
      <c r="Q334" s="1571"/>
      <c r="R334" s="1570"/>
      <c r="S334" s="1570"/>
      <c r="T334" s="1570"/>
      <c r="U334" s="1570"/>
      <c r="V334" s="1570"/>
      <c r="W334" s="1570"/>
      <c r="X334" s="1570"/>
      <c r="Y334" s="1570"/>
      <c r="Z334" s="1570"/>
      <c r="AA334" s="1570"/>
      <c r="AB334" s="1570"/>
      <c r="AC334" s="1570"/>
      <c r="AD334" s="1570"/>
      <c r="AE334" s="1570"/>
      <c r="AF334" s="1570"/>
      <c r="AG334" s="1570"/>
      <c r="AH334" s="1570"/>
      <c r="AJ334" s="1578"/>
    </row>
    <row r="335" spans="1:36" hidden="1">
      <c r="A335" s="1585"/>
      <c r="B335" s="1680"/>
      <c r="C335" s="1681"/>
      <c r="D335" s="1682"/>
      <c r="E335" s="1588"/>
      <c r="F335" s="1681"/>
      <c r="G335" s="1683"/>
      <c r="H335" s="1588"/>
      <c r="I335" s="1681"/>
      <c r="J335" s="1683"/>
      <c r="K335" s="1588"/>
      <c r="M335" s="1570"/>
      <c r="N335" s="1570"/>
      <c r="O335" s="1571"/>
      <c r="P335" s="1571"/>
      <c r="Q335" s="1571"/>
      <c r="R335" s="1570"/>
      <c r="S335" s="1570"/>
      <c r="T335" s="1570"/>
      <c r="U335" s="1570"/>
      <c r="V335" s="1570"/>
      <c r="W335" s="1570"/>
      <c r="X335" s="1570"/>
      <c r="Y335" s="1570"/>
      <c r="Z335" s="1570"/>
      <c r="AA335" s="1570"/>
      <c r="AB335" s="1570"/>
      <c r="AC335" s="1570"/>
      <c r="AD335" s="1570"/>
      <c r="AE335" s="1570"/>
      <c r="AF335" s="1570"/>
      <c r="AG335" s="1570"/>
      <c r="AH335" s="1570"/>
      <c r="AJ335" s="1578"/>
    </row>
    <row r="336" spans="1:36" hidden="1">
      <c r="A336" s="1609" t="s">
        <v>418</v>
      </c>
      <c r="B336" s="1585"/>
      <c r="C336" s="1577"/>
      <c r="D336" s="1577"/>
      <c r="E336" s="1585" t="s">
        <v>31</v>
      </c>
      <c r="F336" s="1577"/>
      <c r="G336" s="1585"/>
      <c r="H336" s="1585"/>
      <c r="I336" s="1577"/>
      <c r="J336" s="1585"/>
      <c r="K336" s="1585"/>
      <c r="M336" s="1570"/>
      <c r="N336" s="1570"/>
      <c r="O336" s="1571"/>
      <c r="P336" s="1571"/>
      <c r="Q336" s="1571"/>
      <c r="R336" s="1570"/>
      <c r="S336" s="1570"/>
      <c r="T336" s="1570"/>
      <c r="U336" s="1570"/>
      <c r="V336" s="1570"/>
      <c r="W336" s="1570"/>
      <c r="X336" s="1570"/>
      <c r="Y336" s="1570"/>
      <c r="Z336" s="1570"/>
      <c r="AA336" s="1570"/>
      <c r="AB336" s="1570"/>
      <c r="AC336" s="1570"/>
      <c r="AD336" s="1570"/>
      <c r="AE336" s="1570"/>
      <c r="AF336" s="1570"/>
      <c r="AG336" s="1570"/>
      <c r="AH336" s="1570"/>
      <c r="AJ336" s="1578"/>
    </row>
    <row r="337" spans="1:36" hidden="1">
      <c r="A337" s="1585" t="s">
        <v>413</v>
      </c>
      <c r="B337" s="1585"/>
      <c r="C337" s="1577"/>
      <c r="D337" s="1577"/>
      <c r="E337" s="1585"/>
      <c r="F337" s="1577"/>
      <c r="G337" s="1585"/>
      <c r="H337" s="1585"/>
      <c r="I337" s="1577"/>
      <c r="J337" s="1585"/>
      <c r="K337" s="1585"/>
      <c r="M337" s="1570"/>
      <c r="N337" s="1570"/>
      <c r="O337" s="1571"/>
      <c r="P337" s="1571"/>
      <c r="Q337" s="1571"/>
      <c r="R337" s="1570"/>
      <c r="S337" s="1570"/>
      <c r="T337" s="1570"/>
      <c r="U337" s="1570"/>
      <c r="V337" s="1570"/>
      <c r="W337" s="1570"/>
      <c r="X337" s="1570"/>
      <c r="Y337" s="1570"/>
      <c r="Z337" s="1570"/>
      <c r="AA337" s="1570"/>
      <c r="AB337" s="1570"/>
      <c r="AC337" s="1570"/>
      <c r="AD337" s="1570"/>
      <c r="AE337" s="1570"/>
      <c r="AF337" s="1570"/>
      <c r="AG337" s="1570"/>
      <c r="AH337" s="1570"/>
      <c r="AJ337" s="1578"/>
    </row>
    <row r="338" spans="1:36" hidden="1">
      <c r="A338" s="1585"/>
      <c r="B338" s="1585"/>
      <c r="C338" s="1577"/>
      <c r="D338" s="1577"/>
      <c r="E338" s="1585"/>
      <c r="F338" s="1577"/>
      <c r="G338" s="1585"/>
      <c r="H338" s="1585"/>
      <c r="I338" s="1577"/>
      <c r="J338" s="1585"/>
      <c r="K338" s="1585"/>
      <c r="M338" s="1570"/>
      <c r="N338" s="1570"/>
      <c r="O338" s="1571"/>
      <c r="P338" s="1571"/>
      <c r="Q338" s="1571"/>
      <c r="R338" s="1570"/>
      <c r="S338" s="1570"/>
      <c r="T338" s="1570"/>
      <c r="U338" s="1570"/>
      <c r="V338" s="1570"/>
      <c r="W338" s="1570"/>
      <c r="X338" s="1570"/>
      <c r="Y338" s="1570"/>
      <c r="Z338" s="1570"/>
      <c r="AA338" s="1570"/>
      <c r="AB338" s="1570"/>
      <c r="AC338" s="1570"/>
      <c r="AD338" s="1570"/>
      <c r="AE338" s="1570"/>
      <c r="AF338" s="1570"/>
      <c r="AG338" s="1570"/>
      <c r="AH338" s="1570"/>
      <c r="AJ338" s="1578"/>
    </row>
    <row r="339" spans="1:36" hidden="1">
      <c r="A339" s="1585" t="s">
        <v>396</v>
      </c>
      <c r="B339" s="1599"/>
      <c r="C339" s="1577"/>
      <c r="D339" s="1577"/>
      <c r="E339" s="1585"/>
      <c r="F339" s="1577"/>
      <c r="G339" s="1585"/>
      <c r="H339" s="1585"/>
      <c r="I339" s="1577"/>
      <c r="J339" s="1585"/>
      <c r="K339" s="1585"/>
      <c r="M339" s="1570"/>
      <c r="N339" s="1570"/>
      <c r="O339" s="1571"/>
      <c r="P339" s="1571"/>
      <c r="Q339" s="1571"/>
      <c r="R339" s="1570"/>
      <c r="S339" s="1570"/>
      <c r="T339" s="1570"/>
      <c r="U339" s="1570"/>
      <c r="V339" s="1570"/>
      <c r="W339" s="1570"/>
      <c r="X339" s="1570"/>
      <c r="Y339" s="1570"/>
      <c r="Z339" s="1570"/>
      <c r="AA339" s="1570"/>
      <c r="AB339" s="1570"/>
      <c r="AC339" s="1570"/>
      <c r="AD339" s="1570"/>
      <c r="AE339" s="1570"/>
      <c r="AF339" s="1570"/>
      <c r="AG339" s="1570"/>
      <c r="AH339" s="1570"/>
      <c r="AJ339" s="1578"/>
    </row>
    <row r="340" spans="1:36" hidden="1">
      <c r="A340" s="1585" t="s">
        <v>419</v>
      </c>
      <c r="B340" s="1599">
        <f>B375+B410</f>
        <v>4518</v>
      </c>
      <c r="C340" s="1614">
        <v>7.64</v>
      </c>
      <c r="D340" s="1574"/>
      <c r="E340" s="1577">
        <f>E375+E410</f>
        <v>34517</v>
      </c>
      <c r="F340" s="1614">
        <v>8.7100000000000009</v>
      </c>
      <c r="G340" s="1600"/>
      <c r="H340" s="1577">
        <f>ROUND(F340*$B340,0)</f>
        <v>39352</v>
      </c>
      <c r="I340" s="1614">
        <f>$I$164</f>
        <v>8.92</v>
      </c>
      <c r="J340" s="1600"/>
      <c r="K340" s="1577">
        <f>K375+K410</f>
        <v>40301</v>
      </c>
      <c r="M340" s="1570"/>
      <c r="N340" s="1570"/>
      <c r="O340" s="1571"/>
      <c r="P340" s="1571"/>
      <c r="Q340" s="1571"/>
      <c r="R340" s="1570"/>
      <c r="S340" s="1570"/>
      <c r="T340" s="1570"/>
      <c r="U340" s="1570"/>
      <c r="V340" s="1570"/>
      <c r="W340" s="1570"/>
      <c r="X340" s="1570"/>
      <c r="Y340" s="1570"/>
      <c r="Z340" s="1570"/>
      <c r="AA340" s="1570"/>
      <c r="AB340" s="1570"/>
      <c r="AC340" s="1570"/>
      <c r="AD340" s="1570"/>
      <c r="AE340" s="1570"/>
      <c r="AF340" s="1570"/>
      <c r="AG340" s="1570"/>
      <c r="AH340" s="1570"/>
      <c r="AJ340" s="1578"/>
    </row>
    <row r="341" spans="1:36" hidden="1">
      <c r="A341" s="1585" t="s">
        <v>394</v>
      </c>
      <c r="B341" s="1599">
        <f>B376+B411</f>
        <v>0</v>
      </c>
      <c r="C341" s="1614">
        <v>11.36</v>
      </c>
      <c r="D341" s="1641"/>
      <c r="E341" s="1577">
        <f>E376+E411</f>
        <v>0</v>
      </c>
      <c r="F341" s="1614">
        <v>12.98</v>
      </c>
      <c r="G341" s="1642"/>
      <c r="H341" s="1577">
        <f t="shared" ref="H341:H342" si="60">ROUND(F341*$B341,0)</f>
        <v>0</v>
      </c>
      <c r="I341" s="1614">
        <f>$I$165</f>
        <v>13.299999999999999</v>
      </c>
      <c r="J341" s="1642"/>
      <c r="K341" s="1577">
        <f>K376+K411</f>
        <v>0</v>
      </c>
      <c r="M341" s="1570"/>
      <c r="N341" s="1570"/>
      <c r="O341" s="1571"/>
      <c r="P341" s="1571"/>
      <c r="Q341" s="1571"/>
      <c r="R341" s="1570"/>
      <c r="S341" s="1570"/>
      <c r="T341" s="1570"/>
      <c r="U341" s="1570"/>
      <c r="V341" s="1570"/>
      <c r="W341" s="1570"/>
      <c r="X341" s="1570"/>
      <c r="Y341" s="1570"/>
      <c r="Z341" s="1570"/>
      <c r="AA341" s="1570"/>
      <c r="AB341" s="1570"/>
      <c r="AC341" s="1570"/>
      <c r="AD341" s="1570"/>
      <c r="AE341" s="1570"/>
      <c r="AF341" s="1570"/>
      <c r="AG341" s="1570"/>
      <c r="AH341" s="1570"/>
      <c r="AJ341" s="1578"/>
    </row>
    <row r="342" spans="1:36" hidden="1">
      <c r="A342" s="1585" t="s">
        <v>395</v>
      </c>
      <c r="B342" s="1599">
        <f>B377+B412</f>
        <v>0</v>
      </c>
      <c r="C342" s="1614">
        <v>0.81</v>
      </c>
      <c r="D342" s="1641"/>
      <c r="E342" s="1577">
        <f>E377+E412</f>
        <v>0</v>
      </c>
      <c r="F342" s="1614">
        <v>0.92</v>
      </c>
      <c r="G342" s="1642"/>
      <c r="H342" s="1577">
        <f t="shared" si="60"/>
        <v>0</v>
      </c>
      <c r="I342" s="1614">
        <f>$I$166</f>
        <v>0.95</v>
      </c>
      <c r="J342" s="1642"/>
      <c r="K342" s="1577">
        <f>K377+K412</f>
        <v>0</v>
      </c>
      <c r="M342" s="1570"/>
      <c r="N342" s="1570"/>
      <c r="O342" s="1571"/>
      <c r="P342" s="1571"/>
      <c r="Q342" s="1571"/>
      <c r="R342" s="1570"/>
      <c r="S342" s="1570"/>
      <c r="T342" s="1570"/>
      <c r="U342" s="1570"/>
      <c r="V342" s="1570"/>
      <c r="W342" s="1570"/>
      <c r="X342" s="1570"/>
      <c r="Y342" s="1570"/>
      <c r="Z342" s="1570"/>
      <c r="AA342" s="1570"/>
      <c r="AB342" s="1570"/>
      <c r="AC342" s="1570"/>
      <c r="AD342" s="1570"/>
      <c r="AE342" s="1570"/>
      <c r="AF342" s="1570"/>
      <c r="AG342" s="1570"/>
      <c r="AH342" s="1570"/>
      <c r="AJ342" s="1578"/>
    </row>
    <row r="343" spans="1:36" hidden="1">
      <c r="A343" s="1585" t="s">
        <v>397</v>
      </c>
      <c r="B343" s="1599">
        <f>SUM(B340:B341)</f>
        <v>4518</v>
      </c>
      <c r="C343" s="1614"/>
      <c r="D343" s="1574"/>
      <c r="E343" s="1577"/>
      <c r="F343" s="1614"/>
      <c r="G343" s="1600"/>
      <c r="H343" s="1577"/>
      <c r="I343" s="1614"/>
      <c r="J343" s="1600"/>
      <c r="K343" s="1577"/>
      <c r="M343" s="1570"/>
      <c r="N343" s="1570"/>
      <c r="O343" s="1571"/>
      <c r="P343" s="1571"/>
      <c r="Q343" s="1571"/>
      <c r="R343" s="1570"/>
      <c r="S343" s="1570"/>
      <c r="T343" s="1570"/>
      <c r="U343" s="1570"/>
      <c r="V343" s="1570"/>
      <c r="W343" s="1570"/>
      <c r="X343" s="1570"/>
      <c r="Y343" s="1570"/>
      <c r="Z343" s="1570"/>
      <c r="AA343" s="1570"/>
      <c r="AB343" s="1570"/>
      <c r="AC343" s="1570"/>
      <c r="AD343" s="1570"/>
      <c r="AE343" s="1570"/>
      <c r="AF343" s="1570"/>
      <c r="AG343" s="1570"/>
      <c r="AH343" s="1570"/>
      <c r="AJ343" s="1578"/>
    </row>
    <row r="344" spans="1:36" hidden="1">
      <c r="A344" s="1585" t="s">
        <v>365</v>
      </c>
      <c r="B344" s="1599">
        <f t="shared" ref="B344:B350" si="61">B379+B414</f>
        <v>1459</v>
      </c>
      <c r="C344" s="1614"/>
      <c r="D344" s="1574"/>
      <c r="E344" s="1577"/>
      <c r="F344" s="1614"/>
      <c r="G344" s="1600"/>
      <c r="H344" s="1577"/>
      <c r="I344" s="1614"/>
      <c r="J344" s="1600"/>
      <c r="K344" s="1577"/>
      <c r="M344" s="1570"/>
      <c r="N344" s="1570"/>
      <c r="O344" s="1571"/>
      <c r="P344" s="1571"/>
      <c r="Q344" s="1571"/>
      <c r="R344" s="1570"/>
      <c r="S344" s="1570"/>
      <c r="T344" s="1570"/>
      <c r="U344" s="1570"/>
      <c r="V344" s="1570"/>
      <c r="W344" s="1570"/>
      <c r="X344" s="1570"/>
      <c r="Y344" s="1570"/>
      <c r="Z344" s="1570"/>
      <c r="AA344" s="1570"/>
      <c r="AB344" s="1570"/>
      <c r="AC344" s="1570"/>
      <c r="AD344" s="1570"/>
      <c r="AE344" s="1570"/>
      <c r="AF344" s="1570"/>
      <c r="AG344" s="1570"/>
      <c r="AH344" s="1570"/>
      <c r="AJ344" s="1578"/>
    </row>
    <row r="345" spans="1:36" hidden="1">
      <c r="A345" s="1585" t="s">
        <v>398</v>
      </c>
      <c r="B345" s="1599">
        <f t="shared" si="61"/>
        <v>0</v>
      </c>
      <c r="C345" s="1660">
        <v>2.98</v>
      </c>
      <c r="D345" s="1600"/>
      <c r="E345" s="1577">
        <f>E380+E415</f>
        <v>0</v>
      </c>
      <c r="F345" s="1660">
        <v>3.4</v>
      </c>
      <c r="G345" s="1600"/>
      <c r="H345" s="1577">
        <f>ROUND(F345*B345,0)</f>
        <v>0</v>
      </c>
      <c r="I345" s="1660">
        <f>$I$169</f>
        <v>3.4899999999999998</v>
      </c>
      <c r="J345" s="1600"/>
      <c r="K345" s="1577">
        <f>K380+K415</f>
        <v>0</v>
      </c>
      <c r="M345" s="1570"/>
      <c r="N345" s="1570"/>
      <c r="O345" s="1571"/>
      <c r="P345" s="1571"/>
      <c r="Q345" s="1571"/>
      <c r="R345" s="1570"/>
      <c r="S345" s="1570"/>
      <c r="T345" s="1570"/>
      <c r="U345" s="1570"/>
      <c r="V345" s="1570"/>
      <c r="W345" s="1570"/>
      <c r="X345" s="1570"/>
      <c r="Y345" s="1570"/>
      <c r="Z345" s="1570"/>
      <c r="AA345" s="1570"/>
      <c r="AB345" s="1570"/>
      <c r="AC345" s="1570"/>
      <c r="AD345" s="1570"/>
      <c r="AE345" s="1570"/>
      <c r="AF345" s="1570"/>
      <c r="AG345" s="1570"/>
      <c r="AH345" s="1570"/>
      <c r="AJ345" s="1578"/>
    </row>
    <row r="346" spans="1:36" hidden="1">
      <c r="A346" s="1585" t="s">
        <v>400</v>
      </c>
      <c r="B346" s="1599">
        <f t="shared" si="61"/>
        <v>1237847</v>
      </c>
      <c r="C346" s="1389">
        <v>8.5489999999999995</v>
      </c>
      <c r="D346" s="1600" t="s">
        <v>377</v>
      </c>
      <c r="E346" s="1577">
        <f>E381+E416</f>
        <v>105824</v>
      </c>
      <c r="F346" s="1389">
        <v>9.766</v>
      </c>
      <c r="G346" s="1600" t="s">
        <v>377</v>
      </c>
      <c r="H346" s="1577">
        <f>ROUND(F346*B346/100,0)</f>
        <v>120888</v>
      </c>
      <c r="I346" s="1389">
        <f>$I$170</f>
        <v>9.9879999999999995</v>
      </c>
      <c r="J346" s="1600" t="s">
        <v>377</v>
      </c>
      <c r="K346" s="1577">
        <f>K381+K416</f>
        <v>123636</v>
      </c>
      <c r="M346" s="1570"/>
      <c r="N346" s="1570"/>
      <c r="O346" s="1571"/>
      <c r="P346" s="1571"/>
      <c r="Q346" s="1571"/>
      <c r="R346" s="1570"/>
      <c r="S346" s="1570"/>
      <c r="T346" s="1570"/>
      <c r="U346" s="1570"/>
      <c r="V346" s="1570"/>
      <c r="W346" s="1570"/>
      <c r="X346" s="1570"/>
      <c r="Y346" s="1570"/>
      <c r="Z346" s="1570"/>
      <c r="AA346" s="1570"/>
      <c r="AB346" s="1570"/>
      <c r="AC346" s="1570"/>
      <c r="AD346" s="1570"/>
      <c r="AE346" s="1570"/>
      <c r="AF346" s="1570"/>
      <c r="AG346" s="1570"/>
      <c r="AH346" s="1570"/>
      <c r="AJ346" s="1578"/>
    </row>
    <row r="347" spans="1:36" hidden="1">
      <c r="A347" s="1585" t="s">
        <v>401</v>
      </c>
      <c r="B347" s="1599">
        <f t="shared" si="61"/>
        <v>64813</v>
      </c>
      <c r="C347" s="1389">
        <v>5.9020000000000001</v>
      </c>
      <c r="D347" s="1600" t="s">
        <v>377</v>
      </c>
      <c r="E347" s="1577">
        <f>E382+E417</f>
        <v>3825</v>
      </c>
      <c r="F347" s="1389">
        <v>6.7460000000000004</v>
      </c>
      <c r="G347" s="1600" t="s">
        <v>377</v>
      </c>
      <c r="H347" s="1577">
        <f t="shared" ref="H347:H349" si="62">ROUND(F347*B347/100,0)</f>
        <v>4372</v>
      </c>
      <c r="I347" s="1389">
        <f>$I$171</f>
        <v>6.9080000000000004</v>
      </c>
      <c r="J347" s="1600" t="s">
        <v>377</v>
      </c>
      <c r="K347" s="1577">
        <f>K382+K417</f>
        <v>4477</v>
      </c>
      <c r="M347" s="1570"/>
      <c r="N347" s="1570"/>
      <c r="O347" s="1571"/>
      <c r="P347" s="1571"/>
      <c r="Q347" s="1571"/>
      <c r="R347" s="1570"/>
      <c r="S347" s="1570"/>
      <c r="T347" s="1570"/>
      <c r="U347" s="1570"/>
      <c r="V347" s="1570"/>
      <c r="W347" s="1570"/>
      <c r="X347" s="1570"/>
      <c r="Y347" s="1570"/>
      <c r="Z347" s="1570"/>
      <c r="AA347" s="1570"/>
      <c r="AB347" s="1570"/>
      <c r="AC347" s="1570"/>
      <c r="AD347" s="1570"/>
      <c r="AE347" s="1570"/>
      <c r="AF347" s="1570"/>
      <c r="AG347" s="1570"/>
      <c r="AH347" s="1570"/>
      <c r="AJ347" s="1578"/>
    </row>
    <row r="348" spans="1:36" hidden="1">
      <c r="A348" s="1585" t="s">
        <v>402</v>
      </c>
      <c r="B348" s="1599">
        <f t="shared" si="61"/>
        <v>0</v>
      </c>
      <c r="C348" s="1389">
        <v>5.0839999999999996</v>
      </c>
      <c r="D348" s="1600" t="s">
        <v>377</v>
      </c>
      <c r="E348" s="1577">
        <f>E383+E418</f>
        <v>0</v>
      </c>
      <c r="F348" s="1389">
        <v>5.8120000000000003</v>
      </c>
      <c r="G348" s="1600" t="s">
        <v>377</v>
      </c>
      <c r="H348" s="1577">
        <f t="shared" si="62"/>
        <v>0</v>
      </c>
      <c r="I348" s="1389">
        <f>$I$172</f>
        <v>5.952</v>
      </c>
      <c r="J348" s="1600" t="s">
        <v>377</v>
      </c>
      <c r="K348" s="1577">
        <f>K383+K418</f>
        <v>0</v>
      </c>
      <c r="M348" s="1570"/>
      <c r="N348" s="1570"/>
      <c r="O348" s="1571"/>
      <c r="P348" s="1571"/>
      <c r="Q348" s="1571"/>
      <c r="R348" s="1570"/>
      <c r="S348" s="1570"/>
      <c r="T348" s="1570"/>
      <c r="U348" s="1570"/>
      <c r="V348" s="1570"/>
      <c r="W348" s="1570"/>
      <c r="X348" s="1570"/>
      <c r="Y348" s="1570"/>
      <c r="Z348" s="1570"/>
      <c r="AA348" s="1570"/>
      <c r="AB348" s="1570"/>
      <c r="AC348" s="1570"/>
      <c r="AD348" s="1570"/>
      <c r="AE348" s="1570"/>
      <c r="AF348" s="1570"/>
      <c r="AG348" s="1570"/>
      <c r="AH348" s="1570"/>
      <c r="AJ348" s="1578"/>
    </row>
    <row r="349" spans="1:36" hidden="1">
      <c r="A349" s="1585" t="s">
        <v>403</v>
      </c>
      <c r="B349" s="1599">
        <f t="shared" si="61"/>
        <v>0</v>
      </c>
      <c r="C349" s="1647">
        <v>50</v>
      </c>
      <c r="D349" s="1574" t="s">
        <v>377</v>
      </c>
      <c r="E349" s="1577">
        <f>E384+E419</f>
        <v>0</v>
      </c>
      <c r="F349" s="1647">
        <v>56</v>
      </c>
      <c r="G349" s="1600" t="s">
        <v>377</v>
      </c>
      <c r="H349" s="1577">
        <f t="shared" si="62"/>
        <v>0</v>
      </c>
      <c r="I349" s="1647">
        <f>$I$173</f>
        <v>57</v>
      </c>
      <c r="J349" s="1600" t="s">
        <v>377</v>
      </c>
      <c r="K349" s="1577">
        <f>K384+K419</f>
        <v>0</v>
      </c>
      <c r="M349" s="1570"/>
      <c r="N349" s="1570"/>
      <c r="O349" s="1571"/>
      <c r="P349" s="1571"/>
      <c r="Q349" s="1571"/>
      <c r="R349" s="1570"/>
      <c r="S349" s="1570"/>
      <c r="T349" s="1570"/>
      <c r="U349" s="1570"/>
      <c r="V349" s="1570"/>
      <c r="W349" s="1570"/>
      <c r="X349" s="1570"/>
      <c r="Y349" s="1570"/>
      <c r="Z349" s="1570"/>
      <c r="AA349" s="1570"/>
      <c r="AB349" s="1570"/>
      <c r="AC349" s="1570"/>
      <c r="AD349" s="1570"/>
      <c r="AE349" s="1570"/>
      <c r="AF349" s="1570"/>
      <c r="AG349" s="1570"/>
      <c r="AH349" s="1570"/>
      <c r="AJ349" s="1578"/>
    </row>
    <row r="350" spans="1:36" hidden="1">
      <c r="A350" s="1569" t="s">
        <v>933</v>
      </c>
      <c r="B350" s="1599">
        <f t="shared" si="61"/>
        <v>1237847</v>
      </c>
      <c r="C350" s="1584"/>
      <c r="D350" s="1570"/>
      <c r="E350" s="1577"/>
      <c r="F350" s="1584"/>
      <c r="G350" s="1570"/>
      <c r="H350" s="1577"/>
      <c r="I350" s="1389">
        <f>I174</f>
        <v>0</v>
      </c>
      <c r="J350" s="1600" t="s">
        <v>377</v>
      </c>
      <c r="K350" s="1577">
        <f t="shared" ref="K350:K352" si="63">K385+K420</f>
        <v>0</v>
      </c>
      <c r="M350" s="1578"/>
      <c r="O350" s="1579"/>
      <c r="P350" s="1569"/>
      <c r="Q350" s="1569"/>
      <c r="R350" s="1580"/>
      <c r="S350" s="1580"/>
      <c r="X350" s="1570"/>
      <c r="Y350" s="1570"/>
      <c r="Z350" s="1570"/>
      <c r="AA350" s="1570"/>
      <c r="AB350" s="1570"/>
      <c r="AC350" s="1570"/>
      <c r="AD350" s="1570"/>
      <c r="AE350" s="1570"/>
      <c r="AF350" s="1570"/>
      <c r="AG350" s="1570"/>
      <c r="AH350" s="1570"/>
      <c r="AJ350" s="1578"/>
    </row>
    <row r="351" spans="1:36" hidden="1">
      <c r="A351" s="1569" t="s">
        <v>934</v>
      </c>
      <c r="B351" s="1599">
        <f t="shared" ref="B351:B352" si="64">B386+B421</f>
        <v>64813</v>
      </c>
      <c r="C351" s="1584"/>
      <c r="D351" s="1570"/>
      <c r="E351" s="1577"/>
      <c r="F351" s="1584"/>
      <c r="G351" s="1570"/>
      <c r="H351" s="1577"/>
      <c r="I351" s="1389">
        <f>I175</f>
        <v>0</v>
      </c>
      <c r="J351" s="1600" t="s">
        <v>377</v>
      </c>
      <c r="K351" s="1577">
        <f t="shared" si="63"/>
        <v>0</v>
      </c>
      <c r="M351" s="1578"/>
      <c r="O351" s="1579"/>
      <c r="P351" s="1569"/>
      <c r="Q351" s="1569"/>
      <c r="R351" s="1580"/>
      <c r="S351" s="1580"/>
      <c r="X351" s="1570"/>
      <c r="Y351" s="1570"/>
      <c r="Z351" s="1570"/>
      <c r="AA351" s="1570"/>
      <c r="AB351" s="1570"/>
      <c r="AC351" s="1570"/>
      <c r="AD351" s="1570"/>
      <c r="AE351" s="1570"/>
      <c r="AF351" s="1570"/>
      <c r="AG351" s="1570"/>
      <c r="AH351" s="1570"/>
      <c r="AJ351" s="1578"/>
    </row>
    <row r="352" spans="1:36" hidden="1">
      <c r="A352" s="1569" t="s">
        <v>935</v>
      </c>
      <c r="B352" s="1599">
        <f t="shared" si="64"/>
        <v>0</v>
      </c>
      <c r="C352" s="1584"/>
      <c r="D352" s="1570"/>
      <c r="E352" s="1577"/>
      <c r="F352" s="1584"/>
      <c r="G352" s="1570"/>
      <c r="H352" s="1577"/>
      <c r="I352" s="1389">
        <f>I176</f>
        <v>0</v>
      </c>
      <c r="J352" s="1600" t="s">
        <v>377</v>
      </c>
      <c r="K352" s="1577">
        <f t="shared" si="63"/>
        <v>0</v>
      </c>
      <c r="M352" s="1578"/>
      <c r="O352" s="1579"/>
      <c r="P352" s="1569"/>
      <c r="Q352" s="1569"/>
      <c r="R352" s="1580"/>
      <c r="S352" s="1580"/>
      <c r="X352" s="1570"/>
      <c r="Y352" s="1570"/>
      <c r="Z352" s="1570"/>
      <c r="AA352" s="1570"/>
      <c r="AB352" s="1570"/>
      <c r="AC352" s="1570"/>
      <c r="AD352" s="1570"/>
      <c r="AE352" s="1570"/>
      <c r="AF352" s="1570"/>
      <c r="AG352" s="1570"/>
      <c r="AH352" s="1570"/>
      <c r="AJ352" s="1578"/>
    </row>
    <row r="353" spans="1:36" hidden="1">
      <c r="A353" s="1654" t="s">
        <v>404</v>
      </c>
      <c r="B353" s="1599"/>
      <c r="C353" s="1655">
        <v>-0.01</v>
      </c>
      <c r="D353" s="1574"/>
      <c r="E353" s="1577"/>
      <c r="F353" s="1655">
        <v>-0.01</v>
      </c>
      <c r="G353" s="1600"/>
      <c r="H353" s="1577"/>
      <c r="I353" s="1655">
        <v>-0.01</v>
      </c>
      <c r="J353" s="1600"/>
      <c r="K353" s="1577"/>
      <c r="M353" s="1570"/>
      <c r="N353" s="1570"/>
      <c r="O353" s="1571"/>
      <c r="P353" s="1571"/>
      <c r="Q353" s="1571"/>
      <c r="R353" s="1570"/>
      <c r="S353" s="1570"/>
      <c r="T353" s="1570"/>
      <c r="U353" s="1570"/>
      <c r="V353" s="1570"/>
      <c r="W353" s="1570"/>
      <c r="X353" s="1570"/>
      <c r="Y353" s="1570"/>
      <c r="Z353" s="1570"/>
      <c r="AA353" s="1570"/>
      <c r="AB353" s="1570"/>
      <c r="AC353" s="1570"/>
      <c r="AD353" s="1570"/>
      <c r="AE353" s="1570"/>
      <c r="AF353" s="1570"/>
      <c r="AG353" s="1570"/>
      <c r="AH353" s="1570"/>
      <c r="AJ353" s="1578"/>
    </row>
    <row r="354" spans="1:36" hidden="1">
      <c r="A354" s="1585" t="s">
        <v>393</v>
      </c>
      <c r="B354" s="1599">
        <v>0</v>
      </c>
      <c r="C354" s="1657">
        <v>7.64</v>
      </c>
      <c r="D354" s="1574"/>
      <c r="E354" s="1577">
        <f t="shared" ref="E354:E363" si="65">E389+E424</f>
        <v>0</v>
      </c>
      <c r="F354" s="1657">
        <v>8.7100000000000009</v>
      </c>
      <c r="G354" s="1574"/>
      <c r="H354" s="1577">
        <f>-ROUND(F354*$B354/100,0)</f>
        <v>0</v>
      </c>
      <c r="I354" s="1657">
        <f>I340</f>
        <v>8.92</v>
      </c>
      <c r="J354" s="1574"/>
      <c r="K354" s="1577">
        <f t="shared" ref="K354:K363" si="66">K389+K424</f>
        <v>0</v>
      </c>
      <c r="M354" s="1570"/>
      <c r="N354" s="1570"/>
      <c r="O354" s="1571"/>
      <c r="P354" s="1571"/>
      <c r="Q354" s="1571"/>
      <c r="R354" s="1570"/>
      <c r="S354" s="1570"/>
      <c r="T354" s="1570"/>
      <c r="U354" s="1570"/>
      <c r="V354" s="1570"/>
      <c r="W354" s="1570"/>
      <c r="X354" s="1570"/>
      <c r="Y354" s="1570"/>
      <c r="Z354" s="1570"/>
      <c r="AA354" s="1570"/>
      <c r="AB354" s="1570"/>
      <c r="AC354" s="1570"/>
      <c r="AD354" s="1570"/>
      <c r="AE354" s="1570"/>
      <c r="AF354" s="1570"/>
      <c r="AG354" s="1570"/>
      <c r="AH354" s="1570"/>
      <c r="AJ354" s="1578"/>
    </row>
    <row r="355" spans="1:36" hidden="1">
      <c r="A355" s="1585" t="s">
        <v>394</v>
      </c>
      <c r="B355" s="1599">
        <v>0</v>
      </c>
      <c r="C355" s="1657">
        <v>11.36</v>
      </c>
      <c r="D355" s="1574"/>
      <c r="E355" s="1577">
        <f t="shared" si="65"/>
        <v>0</v>
      </c>
      <c r="F355" s="1657">
        <v>12.98</v>
      </c>
      <c r="G355" s="1574"/>
      <c r="H355" s="1577">
        <f t="shared" ref="H355:H357" si="67">-ROUND(F355*$B355/100,0)</f>
        <v>0</v>
      </c>
      <c r="I355" s="1657">
        <f>I341</f>
        <v>13.299999999999999</v>
      </c>
      <c r="J355" s="1574"/>
      <c r="K355" s="1577">
        <f t="shared" si="66"/>
        <v>0</v>
      </c>
      <c r="M355" s="1570"/>
      <c r="N355" s="1570"/>
      <c r="O355" s="1571"/>
      <c r="P355" s="1571"/>
      <c r="Q355" s="1571"/>
      <c r="R355" s="1570"/>
      <c r="S355" s="1570"/>
      <c r="T355" s="1570"/>
      <c r="U355" s="1570"/>
      <c r="V355" s="1570"/>
      <c r="W355" s="1570"/>
      <c r="X355" s="1570"/>
      <c r="Y355" s="1570"/>
      <c r="Z355" s="1570"/>
      <c r="AA355" s="1570"/>
      <c r="AB355" s="1570"/>
      <c r="AC355" s="1570"/>
      <c r="AD355" s="1570"/>
      <c r="AE355" s="1570"/>
      <c r="AF355" s="1570"/>
      <c r="AG355" s="1570"/>
      <c r="AH355" s="1570"/>
      <c r="AJ355" s="1578"/>
    </row>
    <row r="356" spans="1:36" hidden="1">
      <c r="A356" s="1585" t="s">
        <v>405</v>
      </c>
      <c r="B356" s="1599">
        <v>0</v>
      </c>
      <c r="C356" s="1657">
        <v>0.81</v>
      </c>
      <c r="D356" s="1574"/>
      <c r="E356" s="1577">
        <f t="shared" si="65"/>
        <v>0</v>
      </c>
      <c r="F356" s="1657">
        <v>0.92</v>
      </c>
      <c r="G356" s="1574"/>
      <c r="H356" s="1577">
        <f t="shared" si="67"/>
        <v>0</v>
      </c>
      <c r="I356" s="1657">
        <f>I342</f>
        <v>0.95</v>
      </c>
      <c r="J356" s="1574"/>
      <c r="K356" s="1577">
        <f t="shared" si="66"/>
        <v>0</v>
      </c>
      <c r="M356" s="1570"/>
      <c r="N356" s="1570"/>
      <c r="O356" s="1571"/>
      <c r="P356" s="1571"/>
      <c r="Q356" s="1571"/>
      <c r="R356" s="1570"/>
      <c r="S356" s="1570"/>
      <c r="T356" s="1570"/>
      <c r="U356" s="1570"/>
      <c r="V356" s="1570"/>
      <c r="W356" s="1570"/>
      <c r="X356" s="1570"/>
      <c r="Y356" s="1570"/>
      <c r="Z356" s="1570"/>
      <c r="AA356" s="1570"/>
      <c r="AB356" s="1570"/>
      <c r="AC356" s="1570"/>
      <c r="AD356" s="1570"/>
      <c r="AE356" s="1570"/>
      <c r="AF356" s="1570"/>
      <c r="AG356" s="1570"/>
      <c r="AH356" s="1570"/>
      <c r="AJ356" s="1578"/>
    </row>
    <row r="357" spans="1:36" hidden="1">
      <c r="A357" s="1585" t="s">
        <v>406</v>
      </c>
      <c r="B357" s="1599">
        <v>0</v>
      </c>
      <c r="C357" s="1657">
        <v>2.98</v>
      </c>
      <c r="D357" s="1600"/>
      <c r="E357" s="1577">
        <f t="shared" si="65"/>
        <v>0</v>
      </c>
      <c r="F357" s="1657">
        <v>3.4</v>
      </c>
      <c r="G357" s="1600"/>
      <c r="H357" s="1577">
        <f t="shared" si="67"/>
        <v>0</v>
      </c>
      <c r="I357" s="1657">
        <f>I345</f>
        <v>3.4899999999999998</v>
      </c>
      <c r="J357" s="1600"/>
      <c r="K357" s="1577">
        <f t="shared" si="66"/>
        <v>0</v>
      </c>
      <c r="M357" s="1570"/>
      <c r="N357" s="1570"/>
      <c r="O357" s="1571"/>
      <c r="P357" s="1571"/>
      <c r="Q357" s="1571"/>
      <c r="R357" s="1570"/>
      <c r="S357" s="1570"/>
      <c r="T357" s="1570"/>
      <c r="U357" s="1570"/>
      <c r="V357" s="1570"/>
      <c r="W357" s="1570"/>
      <c r="X357" s="1570"/>
      <c r="Y357" s="1570"/>
      <c r="Z357" s="1570"/>
      <c r="AA357" s="1570"/>
      <c r="AB357" s="1570"/>
      <c r="AC357" s="1570"/>
      <c r="AD357" s="1570"/>
      <c r="AE357" s="1570"/>
      <c r="AF357" s="1570"/>
      <c r="AG357" s="1570"/>
      <c r="AH357" s="1570"/>
      <c r="AJ357" s="1578"/>
    </row>
    <row r="358" spans="1:36" hidden="1">
      <c r="A358" s="1585" t="s">
        <v>408</v>
      </c>
      <c r="B358" s="1599">
        <v>0</v>
      </c>
      <c r="C358" s="1658">
        <v>8.5489999999999995</v>
      </c>
      <c r="D358" s="1600" t="s">
        <v>377</v>
      </c>
      <c r="E358" s="1577">
        <f t="shared" si="65"/>
        <v>0</v>
      </c>
      <c r="F358" s="1658">
        <v>9.766</v>
      </c>
      <c r="G358" s="1600" t="s">
        <v>377</v>
      </c>
      <c r="H358" s="1577">
        <f>ROUND(F358*$B358/100*F353,0)</f>
        <v>0</v>
      </c>
      <c r="I358" s="1658">
        <f>I346</f>
        <v>9.9879999999999995</v>
      </c>
      <c r="J358" s="1600" t="s">
        <v>377</v>
      </c>
      <c r="K358" s="1577">
        <f t="shared" si="66"/>
        <v>0</v>
      </c>
      <c r="M358" s="1570"/>
      <c r="N358" s="1570"/>
      <c r="O358" s="1571"/>
      <c r="P358" s="1571"/>
      <c r="Q358" s="1571"/>
      <c r="R358" s="1570"/>
      <c r="S358" s="1570"/>
      <c r="T358" s="1570"/>
      <c r="U358" s="1570"/>
      <c r="V358" s="1570"/>
      <c r="W358" s="1570"/>
      <c r="X358" s="1570"/>
      <c r="Y358" s="1570"/>
      <c r="Z358" s="1570"/>
      <c r="AA358" s="1570"/>
      <c r="AB358" s="1570"/>
      <c r="AC358" s="1570"/>
      <c r="AD358" s="1570"/>
      <c r="AE358" s="1570"/>
      <c r="AF358" s="1570"/>
      <c r="AG358" s="1570"/>
      <c r="AH358" s="1570"/>
      <c r="AJ358" s="1578"/>
    </row>
    <row r="359" spans="1:36" hidden="1">
      <c r="A359" s="1585" t="s">
        <v>401</v>
      </c>
      <c r="B359" s="1599">
        <v>0</v>
      </c>
      <c r="C359" s="1658">
        <v>5.9020000000000001</v>
      </c>
      <c r="D359" s="1600" t="s">
        <v>377</v>
      </c>
      <c r="E359" s="1577">
        <f t="shared" si="65"/>
        <v>0</v>
      </c>
      <c r="F359" s="1658">
        <v>6.7460000000000004</v>
      </c>
      <c r="G359" s="1600" t="s">
        <v>377</v>
      </c>
      <c r="H359" s="1577">
        <f>ROUND(F359*$B359/100*F353,0)</f>
        <v>0</v>
      </c>
      <c r="I359" s="1658">
        <f>I347</f>
        <v>6.9080000000000004</v>
      </c>
      <c r="J359" s="1600" t="s">
        <v>377</v>
      </c>
      <c r="K359" s="1577">
        <f t="shared" si="66"/>
        <v>0</v>
      </c>
      <c r="M359" s="1570"/>
      <c r="N359" s="1570"/>
      <c r="O359" s="1571"/>
      <c r="P359" s="1571"/>
      <c r="Q359" s="1571"/>
      <c r="R359" s="1570"/>
      <c r="S359" s="1570"/>
      <c r="T359" s="1570"/>
      <c r="U359" s="1570"/>
      <c r="V359" s="1570"/>
      <c r="W359" s="1570"/>
      <c r="X359" s="1570"/>
      <c r="Y359" s="1570"/>
      <c r="Z359" s="1570"/>
      <c r="AA359" s="1570"/>
      <c r="AB359" s="1570"/>
      <c r="AC359" s="1570"/>
      <c r="AD359" s="1570"/>
      <c r="AE359" s="1570"/>
      <c r="AF359" s="1570"/>
      <c r="AG359" s="1570"/>
      <c r="AH359" s="1570"/>
      <c r="AJ359" s="1578"/>
    </row>
    <row r="360" spans="1:36" hidden="1">
      <c r="A360" s="1585" t="s">
        <v>402</v>
      </c>
      <c r="B360" s="1599">
        <v>0</v>
      </c>
      <c r="C360" s="1658">
        <v>5.0839999999999996</v>
      </c>
      <c r="D360" s="1600" t="s">
        <v>377</v>
      </c>
      <c r="E360" s="1577">
        <f t="shared" si="65"/>
        <v>0</v>
      </c>
      <c r="F360" s="1658">
        <v>5.8120000000000003</v>
      </c>
      <c r="G360" s="1600" t="s">
        <v>377</v>
      </c>
      <c r="H360" s="1577">
        <f>ROUND(F360*$B360/100*F353,0)</f>
        <v>0</v>
      </c>
      <c r="I360" s="1658">
        <f>I348</f>
        <v>5.952</v>
      </c>
      <c r="J360" s="1600" t="s">
        <v>377</v>
      </c>
      <c r="K360" s="1577">
        <f t="shared" si="66"/>
        <v>0</v>
      </c>
      <c r="M360" s="1570"/>
      <c r="N360" s="1570"/>
      <c r="O360" s="1571"/>
      <c r="P360" s="1571"/>
      <c r="Q360" s="1571"/>
      <c r="R360" s="1570"/>
      <c r="S360" s="1570"/>
      <c r="T360" s="1570"/>
      <c r="U360" s="1570"/>
      <c r="V360" s="1570"/>
      <c r="W360" s="1570"/>
      <c r="X360" s="1570"/>
      <c r="Y360" s="1570"/>
      <c r="Z360" s="1570"/>
      <c r="AA360" s="1570"/>
      <c r="AB360" s="1570"/>
      <c r="AC360" s="1570"/>
      <c r="AD360" s="1570"/>
      <c r="AE360" s="1570"/>
      <c r="AF360" s="1570"/>
      <c r="AG360" s="1570"/>
      <c r="AH360" s="1570"/>
      <c r="AJ360" s="1578"/>
    </row>
    <row r="361" spans="1:36" hidden="1">
      <c r="A361" s="1585" t="s">
        <v>403</v>
      </c>
      <c r="B361" s="1599">
        <v>0</v>
      </c>
      <c r="C361" s="1659">
        <v>50</v>
      </c>
      <c r="D361" s="1600" t="s">
        <v>377</v>
      </c>
      <c r="E361" s="1577">
        <f t="shared" si="65"/>
        <v>0</v>
      </c>
      <c r="F361" s="1659">
        <v>56</v>
      </c>
      <c r="G361" s="1600" t="s">
        <v>377</v>
      </c>
      <c r="H361" s="1577">
        <f>ROUND(F361*$B361/100*F353,0)</f>
        <v>0</v>
      </c>
      <c r="I361" s="1659">
        <f>I349</f>
        <v>57</v>
      </c>
      <c r="J361" s="1600" t="s">
        <v>377</v>
      </c>
      <c r="K361" s="1577">
        <f t="shared" si="66"/>
        <v>0</v>
      </c>
      <c r="M361" s="1570"/>
      <c r="N361" s="1570"/>
      <c r="O361" s="1571"/>
      <c r="P361" s="1571"/>
      <c r="Q361" s="1571"/>
      <c r="R361" s="1570"/>
      <c r="S361" s="1570"/>
      <c r="T361" s="1570"/>
      <c r="U361" s="1570"/>
      <c r="V361" s="1570"/>
      <c r="W361" s="1570"/>
      <c r="X361" s="1570"/>
      <c r="Y361" s="1570"/>
      <c r="Z361" s="1570"/>
      <c r="AA361" s="1570"/>
      <c r="AB361" s="1570"/>
      <c r="AC361" s="1570"/>
      <c r="AD361" s="1570"/>
      <c r="AE361" s="1570"/>
      <c r="AF361" s="1570"/>
      <c r="AG361" s="1570"/>
      <c r="AH361" s="1570"/>
      <c r="AJ361" s="1578"/>
    </row>
    <row r="362" spans="1:36" hidden="1">
      <c r="A362" s="1585" t="s">
        <v>410</v>
      </c>
      <c r="B362" s="1599">
        <v>0</v>
      </c>
      <c r="C362" s="1660">
        <v>60</v>
      </c>
      <c r="D362" s="1574"/>
      <c r="E362" s="1577">
        <f t="shared" si="65"/>
        <v>0</v>
      </c>
      <c r="F362" s="1660">
        <v>60</v>
      </c>
      <c r="G362" s="1600"/>
      <c r="H362" s="1577">
        <f>ROUND(F362*B362,0)</f>
        <v>0</v>
      </c>
      <c r="I362" s="1660">
        <f>$I$189</f>
        <v>60</v>
      </c>
      <c r="J362" s="1600"/>
      <c r="K362" s="1577">
        <f t="shared" si="66"/>
        <v>0</v>
      </c>
      <c r="M362" s="1570"/>
      <c r="N362" s="1570"/>
      <c r="O362" s="1571"/>
      <c r="P362" s="1571"/>
      <c r="Q362" s="1571"/>
      <c r="R362" s="1570"/>
      <c r="S362" s="1570"/>
      <c r="T362" s="1570"/>
      <c r="U362" s="1570"/>
      <c r="V362" s="1570"/>
      <c r="W362" s="1570"/>
      <c r="X362" s="1570"/>
      <c r="Y362" s="1570"/>
      <c r="Z362" s="1570"/>
      <c r="AA362" s="1570"/>
      <c r="AB362" s="1570"/>
      <c r="AC362" s="1570"/>
      <c r="AD362" s="1570"/>
      <c r="AE362" s="1570"/>
      <c r="AF362" s="1570"/>
      <c r="AG362" s="1570"/>
      <c r="AH362" s="1570"/>
      <c r="AJ362" s="1578"/>
    </row>
    <row r="363" spans="1:36" hidden="1">
      <c r="A363" s="1585" t="s">
        <v>411</v>
      </c>
      <c r="B363" s="1599">
        <v>0</v>
      </c>
      <c r="C363" s="1661">
        <v>-30</v>
      </c>
      <c r="D363" s="1574" t="s">
        <v>377</v>
      </c>
      <c r="E363" s="1577">
        <f t="shared" si="65"/>
        <v>0</v>
      </c>
      <c r="F363" s="1661">
        <v>-30</v>
      </c>
      <c r="G363" s="1600" t="s">
        <v>377</v>
      </c>
      <c r="H363" s="1577">
        <f>ROUND(F363*B363/100,0)</f>
        <v>0</v>
      </c>
      <c r="I363" s="1661">
        <f>$I$190</f>
        <v>-30</v>
      </c>
      <c r="J363" s="1600" t="s">
        <v>377</v>
      </c>
      <c r="K363" s="1577">
        <f t="shared" si="66"/>
        <v>0</v>
      </c>
      <c r="M363" s="1570"/>
      <c r="N363" s="1570"/>
      <c r="O363" s="1571"/>
      <c r="P363" s="1571"/>
      <c r="Q363" s="1571"/>
      <c r="R363" s="1570"/>
      <c r="S363" s="1570"/>
      <c r="T363" s="1570"/>
      <c r="U363" s="1570"/>
      <c r="V363" s="1570"/>
      <c r="W363" s="1570"/>
      <c r="X363" s="1570"/>
      <c r="Y363" s="1570"/>
      <c r="Z363" s="1570"/>
      <c r="AA363" s="1570"/>
      <c r="AB363" s="1570"/>
      <c r="AC363" s="1570"/>
      <c r="AD363" s="1570"/>
      <c r="AE363" s="1570"/>
      <c r="AF363" s="1570"/>
      <c r="AG363" s="1570"/>
      <c r="AH363" s="1570"/>
      <c r="AJ363" s="1578"/>
    </row>
    <row r="364" spans="1:36" hidden="1">
      <c r="A364" s="1569" t="s">
        <v>933</v>
      </c>
      <c r="B364" s="1599">
        <v>0</v>
      </c>
      <c r="C364" s="1584"/>
      <c r="D364" s="1570"/>
      <c r="E364" s="1577"/>
      <c r="F364" s="1584"/>
      <c r="G364" s="1570"/>
      <c r="H364" s="1577"/>
      <c r="I364" s="1389">
        <f>I174</f>
        <v>0</v>
      </c>
      <c r="J364" s="1600" t="s">
        <v>377</v>
      </c>
      <c r="K364" s="1577">
        <f t="shared" ref="K364:K366" si="68">K399+K434</f>
        <v>0</v>
      </c>
      <c r="M364" s="1578"/>
      <c r="O364" s="1579"/>
      <c r="P364" s="1569"/>
      <c r="Q364" s="1569"/>
      <c r="R364" s="1580"/>
      <c r="S364" s="1580"/>
      <c r="X364" s="1570"/>
      <c r="Y364" s="1570"/>
      <c r="Z364" s="1570"/>
      <c r="AA364" s="1570"/>
      <c r="AB364" s="1570"/>
      <c r="AC364" s="1570"/>
      <c r="AD364" s="1570"/>
      <c r="AE364" s="1570"/>
      <c r="AF364" s="1570"/>
      <c r="AG364" s="1570"/>
      <c r="AH364" s="1570"/>
      <c r="AJ364" s="1578"/>
    </row>
    <row r="365" spans="1:36" hidden="1">
      <c r="A365" s="1569" t="s">
        <v>934</v>
      </c>
      <c r="B365" s="1599">
        <v>0</v>
      </c>
      <c r="C365" s="1584"/>
      <c r="D365" s="1570"/>
      <c r="E365" s="1577"/>
      <c r="F365" s="1584"/>
      <c r="G365" s="1570"/>
      <c r="H365" s="1577"/>
      <c r="I365" s="1389">
        <f>I175</f>
        <v>0</v>
      </c>
      <c r="J365" s="1600" t="s">
        <v>377</v>
      </c>
      <c r="K365" s="1577">
        <f t="shared" si="68"/>
        <v>0</v>
      </c>
      <c r="M365" s="1578"/>
      <c r="O365" s="1579"/>
      <c r="P365" s="1569"/>
      <c r="Q365" s="1569"/>
      <c r="R365" s="1580"/>
      <c r="S365" s="1580"/>
      <c r="X365" s="1570"/>
      <c r="Y365" s="1570"/>
      <c r="Z365" s="1570"/>
      <c r="AA365" s="1570"/>
      <c r="AB365" s="1570"/>
      <c r="AC365" s="1570"/>
      <c r="AD365" s="1570"/>
      <c r="AE365" s="1570"/>
      <c r="AF365" s="1570"/>
      <c r="AG365" s="1570"/>
      <c r="AH365" s="1570"/>
      <c r="AJ365" s="1578"/>
    </row>
    <row r="366" spans="1:36" hidden="1">
      <c r="A366" s="1569" t="s">
        <v>935</v>
      </c>
      <c r="B366" s="1599">
        <v>0</v>
      </c>
      <c r="C366" s="1584"/>
      <c r="D366" s="1570"/>
      <c r="E366" s="1577"/>
      <c r="F366" s="1584"/>
      <c r="G366" s="1570"/>
      <c r="H366" s="1577"/>
      <c r="I366" s="1389">
        <f>I176</f>
        <v>0</v>
      </c>
      <c r="J366" s="1600" t="s">
        <v>377</v>
      </c>
      <c r="K366" s="1577">
        <f t="shared" si="68"/>
        <v>0</v>
      </c>
      <c r="M366" s="1578"/>
      <c r="O366" s="1579"/>
      <c r="P366" s="1569"/>
      <c r="Q366" s="1569"/>
      <c r="R366" s="1580"/>
      <c r="S366" s="1580"/>
      <c r="X366" s="1570"/>
      <c r="Y366" s="1570"/>
      <c r="Z366" s="1570"/>
      <c r="AA366" s="1570"/>
      <c r="AB366" s="1570"/>
      <c r="AC366" s="1570"/>
      <c r="AD366" s="1570"/>
      <c r="AE366" s="1570"/>
      <c r="AF366" s="1570"/>
      <c r="AG366" s="1570"/>
      <c r="AH366" s="1570"/>
      <c r="AJ366" s="1578"/>
    </row>
    <row r="367" spans="1:36" hidden="1">
      <c r="A367" s="1585" t="s">
        <v>384</v>
      </c>
      <c r="B367" s="1599">
        <f>B402+B437</f>
        <v>1302660</v>
      </c>
      <c r="C367" s="1647"/>
      <c r="D367" s="1577"/>
      <c r="E367" s="1577">
        <f>E402+E437</f>
        <v>144166</v>
      </c>
      <c r="F367" s="1647"/>
      <c r="G367" s="1600"/>
      <c r="H367" s="1577">
        <f>H402+H437</f>
        <v>164611</v>
      </c>
      <c r="I367" s="1647"/>
      <c r="J367" s="1600"/>
      <c r="K367" s="1577">
        <f t="shared" ref="K367" si="69">K402+K437</f>
        <v>168414</v>
      </c>
      <c r="M367" s="1570"/>
      <c r="N367" s="1570"/>
      <c r="O367" s="1571"/>
      <c r="P367" s="1571"/>
      <c r="Q367" s="1571"/>
      <c r="R367" s="1570"/>
      <c r="S367" s="1570"/>
      <c r="T367" s="1570"/>
      <c r="U367" s="1570"/>
      <c r="V367" s="1570"/>
      <c r="W367" s="1570"/>
      <c r="X367" s="1570"/>
      <c r="Y367" s="1570"/>
      <c r="Z367" s="1570"/>
      <c r="AA367" s="1570"/>
      <c r="AB367" s="1570"/>
      <c r="AC367" s="1570"/>
      <c r="AD367" s="1570"/>
      <c r="AE367" s="1570"/>
      <c r="AF367" s="1570"/>
      <c r="AG367" s="1570"/>
      <c r="AH367" s="1570"/>
      <c r="AJ367" s="1578"/>
    </row>
    <row r="368" spans="1:36" hidden="1">
      <c r="A368" s="1585" t="s">
        <v>366</v>
      </c>
      <c r="B368" s="1663">
        <f ca="1">B403+B438</f>
        <v>-2815.5547367919953</v>
      </c>
      <c r="C368" s="1600"/>
      <c r="D368" s="1600"/>
      <c r="E368" s="1664" t="e">
        <f>E403+E438</f>
        <v>#REF!</v>
      </c>
      <c r="F368" s="1600"/>
      <c r="G368" s="1600"/>
      <c r="H368" s="1664">
        <f ca="1">H403+H438</f>
        <v>-332.36765943366282</v>
      </c>
      <c r="I368" s="1600"/>
      <c r="J368" s="1600"/>
      <c r="K368" s="1664">
        <f ca="1">H368</f>
        <v>-332.36765943366282</v>
      </c>
      <c r="M368" s="1422"/>
      <c r="N368" s="1422"/>
      <c r="O368" s="1423"/>
      <c r="P368" s="1571"/>
      <c r="Q368" s="1571"/>
      <c r="R368" s="1570"/>
      <c r="S368" s="1570"/>
      <c r="T368" s="1570"/>
      <c r="U368" s="1570"/>
      <c r="V368" s="1570"/>
      <c r="W368" s="1570"/>
      <c r="X368" s="1570"/>
      <c r="Y368" s="1570"/>
      <c r="Z368" s="1570"/>
      <c r="AA368" s="1570"/>
      <c r="AB368" s="1570"/>
      <c r="AC368" s="1570"/>
      <c r="AD368" s="1570"/>
      <c r="AE368" s="1570"/>
      <c r="AF368" s="1570"/>
      <c r="AG368" s="1570"/>
      <c r="AH368" s="1570"/>
      <c r="AJ368" s="1578"/>
    </row>
    <row r="369" spans="1:36" ht="15.75" hidden="1" thickBot="1">
      <c r="A369" s="1585" t="s">
        <v>385</v>
      </c>
      <c r="B369" s="1632">
        <f ca="1">SUM(B367:B368)</f>
        <v>1299844.4452632079</v>
      </c>
      <c r="C369" s="1666"/>
      <c r="D369" s="1667"/>
      <c r="E369" s="1668" t="e">
        <f>E367+E368</f>
        <v>#REF!</v>
      </c>
      <c r="F369" s="1666"/>
      <c r="G369" s="1670"/>
      <c r="H369" s="1668">
        <f ca="1">H367+H368</f>
        <v>164278.63234056634</v>
      </c>
      <c r="I369" s="1666"/>
      <c r="J369" s="1670"/>
      <c r="K369" s="1668">
        <f ca="1">K367+K368</f>
        <v>168081.63234056634</v>
      </c>
      <c r="M369" s="1424"/>
      <c r="N369" s="1424"/>
      <c r="O369" s="1597"/>
      <c r="P369" s="1571"/>
      <c r="Q369" s="1571"/>
      <c r="R369" s="1570"/>
      <c r="S369" s="1570"/>
      <c r="T369" s="1570"/>
      <c r="U369" s="1570"/>
      <c r="V369" s="1570"/>
      <c r="W369" s="1570"/>
      <c r="X369" s="1570"/>
      <c r="Y369" s="1570"/>
      <c r="Z369" s="1570"/>
      <c r="AA369" s="1570"/>
      <c r="AB369" s="1570"/>
      <c r="AC369" s="1570"/>
      <c r="AD369" s="1570"/>
      <c r="AE369" s="1570"/>
      <c r="AF369" s="1570"/>
      <c r="AG369" s="1570"/>
      <c r="AH369" s="1570"/>
      <c r="AJ369" s="1578"/>
    </row>
    <row r="370" spans="1:36" hidden="1">
      <c r="A370" s="1585"/>
      <c r="B370" s="1610"/>
      <c r="C370" s="1660"/>
      <c r="D370" s="1577"/>
      <c r="E370" s="1577"/>
      <c r="F370" s="1660"/>
      <c r="G370" s="1585"/>
      <c r="H370" s="1577"/>
      <c r="I370" s="1660"/>
      <c r="J370" s="1585"/>
      <c r="K370" s="1577" t="s">
        <v>31</v>
      </c>
      <c r="M370" s="1570"/>
      <c r="N370" s="1570"/>
      <c r="O370" s="1571"/>
      <c r="P370" s="1571"/>
      <c r="Q370" s="1571"/>
      <c r="R370" s="1570"/>
      <c r="S370" s="1570"/>
      <c r="T370" s="1570"/>
      <c r="U370" s="1570"/>
      <c r="V370" s="1570"/>
      <c r="W370" s="1570"/>
      <c r="X370" s="1570"/>
      <c r="Y370" s="1570"/>
      <c r="Z370" s="1570"/>
      <c r="AA370" s="1570"/>
      <c r="AB370" s="1570"/>
      <c r="AC370" s="1570"/>
      <c r="AD370" s="1570"/>
      <c r="AE370" s="1570"/>
      <c r="AF370" s="1570"/>
      <c r="AG370" s="1570"/>
      <c r="AH370" s="1570"/>
      <c r="AJ370" s="1578"/>
    </row>
    <row r="371" spans="1:36" hidden="1">
      <c r="A371" s="1609" t="s">
        <v>418</v>
      </c>
      <c r="B371" s="1585"/>
      <c r="C371" s="1577"/>
      <c r="D371" s="1577"/>
      <c r="E371" s="1585" t="s">
        <v>31</v>
      </c>
      <c r="F371" s="1577"/>
      <c r="G371" s="1585"/>
      <c r="H371" s="1585"/>
      <c r="I371" s="1577"/>
      <c r="J371" s="1585"/>
      <c r="K371" s="1585"/>
      <c r="M371" s="1570"/>
      <c r="N371" s="1570"/>
      <c r="O371" s="1571"/>
      <c r="P371" s="1571"/>
      <c r="Q371" s="1571"/>
      <c r="R371" s="1570"/>
      <c r="S371" s="1570"/>
      <c r="T371" s="1570"/>
      <c r="U371" s="1570"/>
      <c r="V371" s="1570"/>
      <c r="W371" s="1570"/>
      <c r="X371" s="1570"/>
      <c r="Y371" s="1570"/>
      <c r="Z371" s="1570"/>
      <c r="AA371" s="1570"/>
      <c r="AB371" s="1570"/>
      <c r="AC371" s="1570"/>
      <c r="AD371" s="1570"/>
      <c r="AE371" s="1570"/>
      <c r="AF371" s="1570"/>
      <c r="AG371" s="1570"/>
      <c r="AH371" s="1570"/>
      <c r="AJ371" s="1578"/>
    </row>
    <row r="372" spans="1:36" hidden="1">
      <c r="A372" s="1585" t="s">
        <v>414</v>
      </c>
      <c r="B372" s="1585"/>
      <c r="C372" s="1577"/>
      <c r="D372" s="1577"/>
      <c r="E372" s="1585"/>
      <c r="F372" s="1577"/>
      <c r="G372" s="1585"/>
      <c r="H372" s="1585"/>
      <c r="I372" s="1577"/>
      <c r="J372" s="1585"/>
      <c r="K372" s="1585"/>
      <c r="M372" s="1570"/>
      <c r="N372" s="1570"/>
      <c r="O372" s="1571"/>
      <c r="P372" s="1571"/>
      <c r="Q372" s="1571"/>
      <c r="R372" s="1570"/>
      <c r="S372" s="1570"/>
      <c r="T372" s="1570"/>
      <c r="U372" s="1570"/>
      <c r="V372" s="1570"/>
      <c r="W372" s="1570"/>
      <c r="X372" s="1570"/>
      <c r="Y372" s="1570"/>
      <c r="Z372" s="1570"/>
      <c r="AA372" s="1570"/>
      <c r="AB372" s="1570"/>
      <c r="AC372" s="1570"/>
      <c r="AD372" s="1570"/>
      <c r="AE372" s="1570"/>
      <c r="AF372" s="1570"/>
      <c r="AG372" s="1570"/>
      <c r="AH372" s="1570"/>
      <c r="AJ372" s="1578"/>
    </row>
    <row r="373" spans="1:36" hidden="1">
      <c r="A373" s="1585"/>
      <c r="B373" s="1585"/>
      <c r="C373" s="1577"/>
      <c r="D373" s="1577"/>
      <c r="E373" s="1585"/>
      <c r="F373" s="1577"/>
      <c r="G373" s="1585"/>
      <c r="H373" s="1585"/>
      <c r="I373" s="1577"/>
      <c r="J373" s="1585"/>
      <c r="K373" s="1585"/>
      <c r="M373" s="1570"/>
      <c r="N373" s="1570"/>
      <c r="O373" s="1571"/>
      <c r="P373" s="1571"/>
      <c r="Q373" s="1571"/>
      <c r="R373" s="1570"/>
      <c r="S373" s="1570"/>
      <c r="T373" s="1570"/>
      <c r="U373" s="1570"/>
      <c r="V373" s="1570"/>
      <c r="W373" s="1570"/>
      <c r="X373" s="1570"/>
      <c r="Y373" s="1570"/>
      <c r="Z373" s="1570"/>
      <c r="AA373" s="1570"/>
      <c r="AB373" s="1570"/>
      <c r="AC373" s="1570"/>
      <c r="AD373" s="1570"/>
      <c r="AE373" s="1570"/>
      <c r="AF373" s="1570"/>
      <c r="AG373" s="1570"/>
      <c r="AH373" s="1570"/>
      <c r="AJ373" s="1578"/>
    </row>
    <row r="374" spans="1:36" hidden="1">
      <c r="A374" s="1585" t="s">
        <v>396</v>
      </c>
      <c r="B374" s="1599"/>
      <c r="C374" s="1577"/>
      <c r="D374" s="1577"/>
      <c r="E374" s="1585"/>
      <c r="F374" s="1577"/>
      <c r="G374" s="1585"/>
      <c r="H374" s="1585"/>
      <c r="I374" s="1577"/>
      <c r="J374" s="1585"/>
      <c r="K374" s="1585"/>
      <c r="M374" s="1570"/>
      <c r="N374" s="1570"/>
      <c r="O374" s="1571"/>
      <c r="P374" s="1571"/>
      <c r="Q374" s="1571"/>
      <c r="R374" s="1570"/>
      <c r="S374" s="1570"/>
      <c r="T374" s="1570"/>
      <c r="U374" s="1570"/>
      <c r="V374" s="1570"/>
      <c r="W374" s="1570"/>
      <c r="X374" s="1570"/>
      <c r="Y374" s="1570"/>
      <c r="Z374" s="1570"/>
      <c r="AA374" s="1570"/>
      <c r="AB374" s="1570"/>
      <c r="AC374" s="1570"/>
      <c r="AD374" s="1570"/>
      <c r="AE374" s="1570"/>
      <c r="AF374" s="1570"/>
      <c r="AG374" s="1570"/>
      <c r="AH374" s="1570"/>
      <c r="AJ374" s="1578"/>
    </row>
    <row r="375" spans="1:36" hidden="1">
      <c r="A375" s="1585" t="s">
        <v>419</v>
      </c>
      <c r="B375" s="1599">
        <f>324+3678</f>
        <v>4002</v>
      </c>
      <c r="C375" s="1614">
        <v>7.64</v>
      </c>
      <c r="D375" s="1574"/>
      <c r="E375" s="1577">
        <f>ROUND(C375*$B375,0)</f>
        <v>30575</v>
      </c>
      <c r="F375" s="1614">
        <v>8.7100000000000009</v>
      </c>
      <c r="G375" s="1600"/>
      <c r="H375" s="1577">
        <f>ROUND(F375*$B375,0)</f>
        <v>34857</v>
      </c>
      <c r="I375" s="1614">
        <f>$I$164</f>
        <v>8.92</v>
      </c>
      <c r="J375" s="1600"/>
      <c r="K375" s="1577">
        <f>ROUND(I375*$B375,0)</f>
        <v>35698</v>
      </c>
      <c r="M375" s="1570"/>
      <c r="N375" s="1570"/>
      <c r="O375" s="1571"/>
      <c r="P375" s="1571"/>
      <c r="Q375" s="1571"/>
      <c r="R375" s="1570"/>
      <c r="S375" s="1570"/>
      <c r="T375" s="1570"/>
      <c r="U375" s="1570"/>
      <c r="V375" s="1570"/>
      <c r="W375" s="1570"/>
      <c r="X375" s="1570"/>
      <c r="Y375" s="1570"/>
      <c r="Z375" s="1570"/>
      <c r="AA375" s="1570"/>
      <c r="AB375" s="1570"/>
      <c r="AC375" s="1570"/>
      <c r="AD375" s="1570"/>
      <c r="AE375" s="1570"/>
      <c r="AF375" s="1570"/>
      <c r="AG375" s="1570"/>
      <c r="AH375" s="1570"/>
      <c r="AJ375" s="1578"/>
    </row>
    <row r="376" spans="1:36" hidden="1">
      <c r="A376" s="1585" t="s">
        <v>394</v>
      </c>
      <c r="B376" s="1599">
        <v>0</v>
      </c>
      <c r="C376" s="1614">
        <v>11.36</v>
      </c>
      <c r="D376" s="1641"/>
      <c r="E376" s="1577">
        <f>ROUND(C376*$B376,0)</f>
        <v>0</v>
      </c>
      <c r="F376" s="1614">
        <v>12.98</v>
      </c>
      <c r="G376" s="1642"/>
      <c r="H376" s="1577">
        <f t="shared" ref="H376:H377" si="70">ROUND(F376*$B376,0)</f>
        <v>0</v>
      </c>
      <c r="I376" s="1614">
        <f>$I$165</f>
        <v>13.299999999999999</v>
      </c>
      <c r="J376" s="1642"/>
      <c r="K376" s="1577">
        <f>ROUND(I376*$B376,0)</f>
        <v>0</v>
      </c>
      <c r="M376" s="1570"/>
      <c r="N376" s="1570"/>
      <c r="O376" s="1571"/>
      <c r="P376" s="1571"/>
      <c r="Q376" s="1571"/>
      <c r="R376" s="1570"/>
      <c r="S376" s="1570"/>
      <c r="T376" s="1570"/>
      <c r="U376" s="1570"/>
      <c r="V376" s="1570"/>
      <c r="W376" s="1570"/>
      <c r="X376" s="1570"/>
      <c r="Y376" s="1570"/>
      <c r="Z376" s="1570"/>
      <c r="AA376" s="1570"/>
      <c r="AB376" s="1570"/>
      <c r="AC376" s="1570"/>
      <c r="AD376" s="1570"/>
      <c r="AE376" s="1570"/>
      <c r="AF376" s="1570"/>
      <c r="AG376" s="1570"/>
      <c r="AH376" s="1570"/>
      <c r="AJ376" s="1578"/>
    </row>
    <row r="377" spans="1:36" hidden="1">
      <c r="A377" s="1585" t="s">
        <v>395</v>
      </c>
      <c r="B377" s="1599">
        <v>0</v>
      </c>
      <c r="C377" s="1614">
        <v>0.81</v>
      </c>
      <c r="D377" s="1641"/>
      <c r="E377" s="1577">
        <f>ROUND(C377*$B377,0)</f>
        <v>0</v>
      </c>
      <c r="F377" s="1614">
        <v>0.92</v>
      </c>
      <c r="G377" s="1642"/>
      <c r="H377" s="1577">
        <f t="shared" si="70"/>
        <v>0</v>
      </c>
      <c r="I377" s="1614">
        <f>$I$166</f>
        <v>0.95</v>
      </c>
      <c r="J377" s="1642"/>
      <c r="K377" s="1577">
        <f>ROUND(I377*$B377,0)</f>
        <v>0</v>
      </c>
      <c r="M377" s="1570"/>
      <c r="N377" s="1570"/>
      <c r="O377" s="1571"/>
      <c r="P377" s="1571"/>
      <c r="Q377" s="1571"/>
      <c r="R377" s="1570"/>
      <c r="S377" s="1570"/>
      <c r="T377" s="1570"/>
      <c r="U377" s="1570"/>
      <c r="V377" s="1570"/>
      <c r="W377" s="1570"/>
      <c r="X377" s="1570"/>
      <c r="Y377" s="1570"/>
      <c r="Z377" s="1570"/>
      <c r="AA377" s="1570"/>
      <c r="AB377" s="1570"/>
      <c r="AC377" s="1570"/>
      <c r="AD377" s="1570"/>
      <c r="AE377" s="1570"/>
      <c r="AF377" s="1570"/>
      <c r="AG377" s="1570"/>
      <c r="AH377" s="1570"/>
      <c r="AJ377" s="1578"/>
    </row>
    <row r="378" spans="1:36" hidden="1">
      <c r="A378" s="1585" t="s">
        <v>397</v>
      </c>
      <c r="B378" s="1599">
        <f>SUM(B375:B376)</f>
        <v>4002</v>
      </c>
      <c r="C378" s="1614"/>
      <c r="D378" s="1574"/>
      <c r="E378" s="1577"/>
      <c r="F378" s="1614"/>
      <c r="G378" s="1600"/>
      <c r="H378" s="1577"/>
      <c r="I378" s="1614"/>
      <c r="J378" s="1600"/>
      <c r="K378" s="1577"/>
      <c r="M378" s="1570"/>
      <c r="N378" s="1570"/>
      <c r="O378" s="1571"/>
      <c r="P378" s="1571"/>
      <c r="Q378" s="1571"/>
      <c r="R378" s="1570"/>
      <c r="S378" s="1570"/>
      <c r="T378" s="1570"/>
      <c r="U378" s="1570"/>
      <c r="V378" s="1570"/>
      <c r="W378" s="1570"/>
      <c r="X378" s="1570"/>
      <c r="Y378" s="1570"/>
      <c r="Z378" s="1570"/>
      <c r="AA378" s="1570"/>
      <c r="AB378" s="1570"/>
      <c r="AC378" s="1570"/>
      <c r="AD378" s="1570"/>
      <c r="AE378" s="1570"/>
      <c r="AF378" s="1570"/>
      <c r="AG378" s="1570"/>
      <c r="AH378" s="1570"/>
      <c r="AJ378" s="1578"/>
    </row>
    <row r="379" spans="1:36" hidden="1">
      <c r="A379" s="1585" t="s">
        <v>365</v>
      </c>
      <c r="B379" s="1599">
        <f>72+1339</f>
        <v>1411</v>
      </c>
      <c r="C379" s="1614"/>
      <c r="D379" s="1574"/>
      <c r="E379" s="1577"/>
      <c r="F379" s="1614"/>
      <c r="G379" s="1600"/>
      <c r="H379" s="1577"/>
      <c r="I379" s="1614"/>
      <c r="J379" s="1600"/>
      <c r="K379" s="1577"/>
      <c r="M379" s="1570"/>
      <c r="N379" s="1570"/>
      <c r="O379" s="1571"/>
      <c r="P379" s="1571"/>
      <c r="Q379" s="1571"/>
      <c r="R379" s="1570"/>
      <c r="S379" s="1570"/>
      <c r="T379" s="1570"/>
      <c r="U379" s="1570"/>
      <c r="V379" s="1570"/>
      <c r="W379" s="1570"/>
      <c r="X379" s="1570"/>
      <c r="Y379" s="1570"/>
      <c r="Z379" s="1570"/>
      <c r="AA379" s="1570"/>
      <c r="AB379" s="1570"/>
      <c r="AC379" s="1570"/>
      <c r="AD379" s="1570"/>
      <c r="AE379" s="1570"/>
      <c r="AF379" s="1570"/>
      <c r="AG379" s="1570"/>
      <c r="AH379" s="1570"/>
      <c r="AJ379" s="1578"/>
    </row>
    <row r="380" spans="1:36" hidden="1">
      <c r="A380" s="1585" t="s">
        <v>398</v>
      </c>
      <c r="B380" s="1599">
        <v>0</v>
      </c>
      <c r="C380" s="1660">
        <v>2.98</v>
      </c>
      <c r="D380" s="1600"/>
      <c r="E380" s="1577">
        <f>ROUND(C380*$B380,0)</f>
        <v>0</v>
      </c>
      <c r="F380" s="1660">
        <v>3.4</v>
      </c>
      <c r="G380" s="1600"/>
      <c r="H380" s="1577">
        <f>ROUND(F380*B380,0)</f>
        <v>0</v>
      </c>
      <c r="I380" s="1660">
        <f>$I$169</f>
        <v>3.4899999999999998</v>
      </c>
      <c r="J380" s="1600"/>
      <c r="K380" s="1577">
        <f>ROUND(I380*$B380,0)</f>
        <v>0</v>
      </c>
      <c r="M380" s="1570"/>
      <c r="N380" s="1570"/>
      <c r="O380" s="1571"/>
      <c r="P380" s="1571"/>
      <c r="Q380" s="1571"/>
      <c r="R380" s="1570"/>
      <c r="S380" s="1570"/>
      <c r="T380" s="1570"/>
      <c r="U380" s="1570"/>
      <c r="V380" s="1570"/>
      <c r="W380" s="1570"/>
      <c r="X380" s="1570"/>
      <c r="Y380" s="1570"/>
      <c r="Z380" s="1570"/>
      <c r="AA380" s="1570"/>
      <c r="AB380" s="1570"/>
      <c r="AC380" s="1570"/>
      <c r="AD380" s="1570"/>
      <c r="AE380" s="1570"/>
      <c r="AF380" s="1570"/>
      <c r="AG380" s="1570"/>
      <c r="AH380" s="1570"/>
      <c r="AJ380" s="1578"/>
    </row>
    <row r="381" spans="1:36" hidden="1">
      <c r="A381" s="1585" t="s">
        <v>400</v>
      </c>
      <c r="B381" s="1599">
        <f>864+153420+1050250</f>
        <v>1204534</v>
      </c>
      <c r="C381" s="1389">
        <v>8.5489999999999995</v>
      </c>
      <c r="D381" s="1600" t="s">
        <v>377</v>
      </c>
      <c r="E381" s="1577">
        <f>ROUND(C381*$B381/100,0)</f>
        <v>102976</v>
      </c>
      <c r="F381" s="1389">
        <v>9.766</v>
      </c>
      <c r="G381" s="1600" t="s">
        <v>377</v>
      </c>
      <c r="H381" s="1577">
        <f>ROUND(F381*B381/100,0)</f>
        <v>117635</v>
      </c>
      <c r="I381" s="1389">
        <f>$I$170</f>
        <v>9.9879999999999995</v>
      </c>
      <c r="J381" s="1600" t="s">
        <v>377</v>
      </c>
      <c r="K381" s="1577">
        <f>ROUND(I381*$B381/100,0)</f>
        <v>120309</v>
      </c>
      <c r="M381" s="1570"/>
      <c r="N381" s="1570"/>
      <c r="O381" s="1571"/>
      <c r="P381" s="1571"/>
      <c r="Q381" s="1571"/>
      <c r="R381" s="1570"/>
      <c r="S381" s="1570"/>
      <c r="T381" s="1570"/>
      <c r="U381" s="1570"/>
      <c r="V381" s="1570"/>
      <c r="W381" s="1570"/>
      <c r="X381" s="1570"/>
      <c r="Y381" s="1570"/>
      <c r="Z381" s="1570"/>
      <c r="AA381" s="1570"/>
      <c r="AB381" s="1570"/>
      <c r="AC381" s="1570"/>
      <c r="AD381" s="1570"/>
      <c r="AE381" s="1570"/>
      <c r="AF381" s="1570"/>
      <c r="AG381" s="1570"/>
      <c r="AH381" s="1570"/>
      <c r="AJ381" s="1578"/>
    </row>
    <row r="382" spans="1:36" hidden="1">
      <c r="A382" s="1585" t="s">
        <v>401</v>
      </c>
      <c r="B382" s="1599">
        <f>64813</f>
        <v>64813</v>
      </c>
      <c r="C382" s="1389">
        <v>5.9020000000000001</v>
      </c>
      <c r="D382" s="1600" t="s">
        <v>377</v>
      </c>
      <c r="E382" s="1577">
        <f>ROUND(C382*$B382/100,0)</f>
        <v>3825</v>
      </c>
      <c r="F382" s="1389">
        <v>6.7460000000000004</v>
      </c>
      <c r="G382" s="1600" t="s">
        <v>377</v>
      </c>
      <c r="H382" s="1577">
        <f t="shared" ref="H382:H384" si="71">ROUND(F382*B382/100,0)</f>
        <v>4372</v>
      </c>
      <c r="I382" s="1389">
        <f>$I$171</f>
        <v>6.9080000000000004</v>
      </c>
      <c r="J382" s="1600" t="s">
        <v>377</v>
      </c>
      <c r="K382" s="1577">
        <f>ROUND(I382*$B382/100,0)</f>
        <v>4477</v>
      </c>
      <c r="M382" s="1570"/>
      <c r="N382" s="1570"/>
      <c r="O382" s="1571"/>
      <c r="P382" s="1571"/>
      <c r="Q382" s="1571"/>
      <c r="R382" s="1570"/>
      <c r="S382" s="1570"/>
      <c r="T382" s="1570"/>
      <c r="U382" s="1570"/>
      <c r="V382" s="1570"/>
      <c r="W382" s="1570"/>
      <c r="X382" s="1570"/>
      <c r="Y382" s="1570"/>
      <c r="Z382" s="1570"/>
      <c r="AA382" s="1570"/>
      <c r="AB382" s="1570"/>
      <c r="AC382" s="1570"/>
      <c r="AD382" s="1570"/>
      <c r="AE382" s="1570"/>
      <c r="AF382" s="1570"/>
      <c r="AG382" s="1570"/>
      <c r="AH382" s="1570"/>
      <c r="AJ382" s="1578"/>
    </row>
    <row r="383" spans="1:36" hidden="1">
      <c r="A383" s="1585" t="s">
        <v>402</v>
      </c>
      <c r="B383" s="1599">
        <f>0</f>
        <v>0</v>
      </c>
      <c r="C383" s="1389">
        <v>5.0839999999999996</v>
      </c>
      <c r="D383" s="1600" t="s">
        <v>377</v>
      </c>
      <c r="E383" s="1577">
        <f>ROUND(C383*$B383/100,0)</f>
        <v>0</v>
      </c>
      <c r="F383" s="1389">
        <v>5.8120000000000003</v>
      </c>
      <c r="G383" s="1600" t="s">
        <v>377</v>
      </c>
      <c r="H383" s="1577">
        <f t="shared" si="71"/>
        <v>0</v>
      </c>
      <c r="I383" s="1389">
        <f>$I$172</f>
        <v>5.952</v>
      </c>
      <c r="J383" s="1600" t="s">
        <v>377</v>
      </c>
      <c r="K383" s="1577">
        <f>ROUND(I383*$B383/100,0)</f>
        <v>0</v>
      </c>
      <c r="M383" s="1570"/>
      <c r="N383" s="1570"/>
      <c r="O383" s="1571"/>
      <c r="P383" s="1571"/>
      <c r="Q383" s="1571"/>
      <c r="R383" s="1570"/>
      <c r="S383" s="1570"/>
      <c r="T383" s="1570"/>
      <c r="U383" s="1570"/>
      <c r="V383" s="1570"/>
      <c r="W383" s="1570"/>
      <c r="X383" s="1570"/>
      <c r="Y383" s="1570"/>
      <c r="Z383" s="1570"/>
      <c r="AA383" s="1570"/>
      <c r="AB383" s="1570"/>
      <c r="AC383" s="1570"/>
      <c r="AD383" s="1570"/>
      <c r="AE383" s="1570"/>
      <c r="AF383" s="1570"/>
      <c r="AG383" s="1570"/>
      <c r="AH383" s="1570"/>
      <c r="AJ383" s="1578"/>
    </row>
    <row r="384" spans="1:36" hidden="1">
      <c r="A384" s="1585" t="s">
        <v>403</v>
      </c>
      <c r="B384" s="1599">
        <v>0</v>
      </c>
      <c r="C384" s="1647">
        <v>50</v>
      </c>
      <c r="D384" s="1574" t="s">
        <v>377</v>
      </c>
      <c r="E384" s="1577">
        <f>ROUND(C384*$B384/100,0)</f>
        <v>0</v>
      </c>
      <c r="F384" s="1647">
        <v>56</v>
      </c>
      <c r="G384" s="1600" t="s">
        <v>377</v>
      </c>
      <c r="H384" s="1577">
        <f t="shared" si="71"/>
        <v>0</v>
      </c>
      <c r="I384" s="1647">
        <f>$I$173</f>
        <v>57</v>
      </c>
      <c r="J384" s="1600" t="s">
        <v>377</v>
      </c>
      <c r="K384" s="1577">
        <f>ROUND(I384*$B384/100,0)</f>
        <v>0</v>
      </c>
      <c r="M384" s="1570"/>
      <c r="N384" s="1570"/>
      <c r="O384" s="1571"/>
      <c r="P384" s="1571"/>
      <c r="Q384" s="1571"/>
      <c r="R384" s="1570"/>
      <c r="S384" s="1570"/>
      <c r="T384" s="1570"/>
      <c r="U384" s="1570"/>
      <c r="V384" s="1570"/>
      <c r="W384" s="1570"/>
      <c r="X384" s="1570"/>
      <c r="Y384" s="1570"/>
      <c r="Z384" s="1570"/>
      <c r="AA384" s="1570"/>
      <c r="AB384" s="1570"/>
      <c r="AC384" s="1570"/>
      <c r="AD384" s="1570"/>
      <c r="AE384" s="1570"/>
      <c r="AF384" s="1570"/>
      <c r="AG384" s="1570"/>
      <c r="AH384" s="1570"/>
      <c r="AJ384" s="1578"/>
    </row>
    <row r="385" spans="1:36" hidden="1">
      <c r="A385" s="1569" t="s">
        <v>933</v>
      </c>
      <c r="B385" s="1575">
        <f>B381</f>
        <v>1204534</v>
      </c>
      <c r="C385" s="1584"/>
      <c r="D385" s="1570"/>
      <c r="E385" s="1577"/>
      <c r="F385" s="1584"/>
      <c r="G385" s="1570"/>
      <c r="H385" s="1577"/>
      <c r="I385" s="1389">
        <f>I174</f>
        <v>0</v>
      </c>
      <c r="J385" s="1600" t="s">
        <v>377</v>
      </c>
      <c r="K385" s="1577">
        <f t="shared" ref="K385:K387" si="72">ROUND(I385*$B385/100,0)</f>
        <v>0</v>
      </c>
      <c r="M385" s="1578"/>
      <c r="O385" s="1579"/>
      <c r="P385" s="1569"/>
      <c r="Q385" s="1569"/>
      <c r="R385" s="1580"/>
      <c r="S385" s="1580"/>
      <c r="X385" s="1570"/>
      <c r="Y385" s="1570"/>
      <c r="Z385" s="1570"/>
      <c r="AA385" s="1570"/>
      <c r="AB385" s="1570"/>
      <c r="AC385" s="1570"/>
      <c r="AD385" s="1570"/>
      <c r="AE385" s="1570"/>
      <c r="AF385" s="1570"/>
      <c r="AG385" s="1570"/>
      <c r="AH385" s="1570"/>
      <c r="AJ385" s="1578"/>
    </row>
    <row r="386" spans="1:36" hidden="1">
      <c r="A386" s="1569" t="s">
        <v>934</v>
      </c>
      <c r="B386" s="1575">
        <f>B382</f>
        <v>64813</v>
      </c>
      <c r="C386" s="1584"/>
      <c r="D386" s="1570"/>
      <c r="E386" s="1577"/>
      <c r="F386" s="1584"/>
      <c r="G386" s="1570"/>
      <c r="H386" s="1577"/>
      <c r="I386" s="1389">
        <f>I175</f>
        <v>0</v>
      </c>
      <c r="J386" s="1600" t="s">
        <v>377</v>
      </c>
      <c r="K386" s="1577">
        <f t="shared" si="72"/>
        <v>0</v>
      </c>
      <c r="M386" s="1578"/>
      <c r="O386" s="1579"/>
      <c r="P386" s="1569"/>
      <c r="Q386" s="1569"/>
      <c r="R386" s="1580"/>
      <c r="S386" s="1580"/>
      <c r="X386" s="1570"/>
      <c r="Y386" s="1570"/>
      <c r="Z386" s="1570"/>
      <c r="AA386" s="1570"/>
      <c r="AB386" s="1570"/>
      <c r="AC386" s="1570"/>
      <c r="AD386" s="1570"/>
      <c r="AE386" s="1570"/>
      <c r="AF386" s="1570"/>
      <c r="AG386" s="1570"/>
      <c r="AH386" s="1570"/>
      <c r="AJ386" s="1578"/>
    </row>
    <row r="387" spans="1:36" hidden="1">
      <c r="A387" s="1569" t="s">
        <v>935</v>
      </c>
      <c r="B387" s="1575">
        <f>B383</f>
        <v>0</v>
      </c>
      <c r="C387" s="1584"/>
      <c r="D387" s="1570"/>
      <c r="E387" s="1577"/>
      <c r="F387" s="1584"/>
      <c r="G387" s="1570"/>
      <c r="H387" s="1577"/>
      <c r="I387" s="1389">
        <f>I176</f>
        <v>0</v>
      </c>
      <c r="J387" s="1600" t="s">
        <v>377</v>
      </c>
      <c r="K387" s="1577">
        <f t="shared" si="72"/>
        <v>0</v>
      </c>
      <c r="M387" s="1578"/>
      <c r="O387" s="1579"/>
      <c r="P387" s="1569"/>
      <c r="Q387" s="1569"/>
      <c r="R387" s="1580"/>
      <c r="S387" s="1580"/>
      <c r="X387" s="1570"/>
      <c r="Y387" s="1570"/>
      <c r="Z387" s="1570"/>
      <c r="AA387" s="1570"/>
      <c r="AB387" s="1570"/>
      <c r="AC387" s="1570"/>
      <c r="AD387" s="1570"/>
      <c r="AE387" s="1570"/>
      <c r="AF387" s="1570"/>
      <c r="AG387" s="1570"/>
      <c r="AH387" s="1570"/>
      <c r="AJ387" s="1578"/>
    </row>
    <row r="388" spans="1:36" hidden="1">
      <c r="A388" s="1654" t="s">
        <v>404</v>
      </c>
      <c r="B388" s="1599"/>
      <c r="C388" s="1655">
        <v>-0.01</v>
      </c>
      <c r="D388" s="1574"/>
      <c r="E388" s="1577"/>
      <c r="F388" s="1655">
        <v>-0.01</v>
      </c>
      <c r="G388" s="1600"/>
      <c r="H388" s="1577"/>
      <c r="I388" s="1655">
        <v>-0.01</v>
      </c>
      <c r="J388" s="1600"/>
      <c r="K388" s="1577"/>
      <c r="M388" s="1570"/>
      <c r="N388" s="1570"/>
      <c r="O388" s="1571"/>
      <c r="P388" s="1571"/>
      <c r="Q388" s="1571"/>
      <c r="R388" s="1570"/>
      <c r="S388" s="1570"/>
      <c r="T388" s="1570"/>
      <c r="U388" s="1570"/>
      <c r="V388" s="1570"/>
      <c r="W388" s="1570"/>
      <c r="X388" s="1570"/>
      <c r="Y388" s="1570"/>
      <c r="Z388" s="1570"/>
      <c r="AA388" s="1570"/>
      <c r="AB388" s="1570"/>
      <c r="AC388" s="1570"/>
      <c r="AD388" s="1570"/>
      <c r="AE388" s="1570"/>
      <c r="AF388" s="1570"/>
      <c r="AG388" s="1570"/>
      <c r="AH388" s="1570"/>
      <c r="AJ388" s="1578"/>
    </row>
    <row r="389" spans="1:36" hidden="1">
      <c r="A389" s="1585" t="s">
        <v>393</v>
      </c>
      <c r="B389" s="1599">
        <v>0</v>
      </c>
      <c r="C389" s="1657">
        <v>7.64</v>
      </c>
      <c r="D389" s="1574"/>
      <c r="E389" s="1577">
        <f>-ROUND(C389*$B389/100,0)</f>
        <v>0</v>
      </c>
      <c r="F389" s="1657">
        <v>8.7100000000000009</v>
      </c>
      <c r="G389" s="1574"/>
      <c r="H389" s="1577">
        <f>-ROUND(F389*$B389/100,0)</f>
        <v>0</v>
      </c>
      <c r="I389" s="1657">
        <f>I375</f>
        <v>8.92</v>
      </c>
      <c r="J389" s="1574"/>
      <c r="K389" s="1577">
        <f>-ROUND(I389*$B389/100,0)</f>
        <v>0</v>
      </c>
      <c r="M389" s="1570"/>
      <c r="N389" s="1570"/>
      <c r="O389" s="1571"/>
      <c r="P389" s="1571"/>
      <c r="Q389" s="1571"/>
      <c r="R389" s="1570"/>
      <c r="S389" s="1570"/>
      <c r="T389" s="1570"/>
      <c r="U389" s="1570"/>
      <c r="V389" s="1570"/>
      <c r="W389" s="1570"/>
      <c r="X389" s="1570"/>
      <c r="Y389" s="1570"/>
      <c r="Z389" s="1570"/>
      <c r="AA389" s="1570"/>
      <c r="AB389" s="1570"/>
      <c r="AC389" s="1570"/>
      <c r="AD389" s="1570"/>
      <c r="AE389" s="1570"/>
      <c r="AF389" s="1570"/>
      <c r="AG389" s="1570"/>
      <c r="AH389" s="1570"/>
      <c r="AJ389" s="1578"/>
    </row>
    <row r="390" spans="1:36" hidden="1">
      <c r="A390" s="1585" t="s">
        <v>394</v>
      </c>
      <c r="B390" s="1599">
        <v>0</v>
      </c>
      <c r="C390" s="1657">
        <v>11.36</v>
      </c>
      <c r="D390" s="1574"/>
      <c r="E390" s="1577">
        <f>-ROUND(C390*$B390/100,0)</f>
        <v>0</v>
      </c>
      <c r="F390" s="1657">
        <v>12.98</v>
      </c>
      <c r="G390" s="1574"/>
      <c r="H390" s="1577">
        <f t="shared" ref="H390:H392" si="73">-ROUND(F390*$B390/100,0)</f>
        <v>0</v>
      </c>
      <c r="I390" s="1657">
        <f>I376</f>
        <v>13.299999999999999</v>
      </c>
      <c r="J390" s="1574"/>
      <c r="K390" s="1577">
        <f>-ROUND(I390*$B390/100,0)</f>
        <v>0</v>
      </c>
      <c r="M390" s="1570"/>
      <c r="N390" s="1570"/>
      <c r="O390" s="1571"/>
      <c r="P390" s="1571"/>
      <c r="Q390" s="1571"/>
      <c r="R390" s="1570"/>
      <c r="S390" s="1570"/>
      <c r="T390" s="1570"/>
      <c r="U390" s="1570"/>
      <c r="V390" s="1570"/>
      <c r="W390" s="1570"/>
      <c r="X390" s="1570"/>
      <c r="Y390" s="1570"/>
      <c r="Z390" s="1570"/>
      <c r="AA390" s="1570"/>
      <c r="AB390" s="1570"/>
      <c r="AC390" s="1570"/>
      <c r="AD390" s="1570"/>
      <c r="AE390" s="1570"/>
      <c r="AF390" s="1570"/>
      <c r="AG390" s="1570"/>
      <c r="AH390" s="1570"/>
      <c r="AJ390" s="1578"/>
    </row>
    <row r="391" spans="1:36" hidden="1">
      <c r="A391" s="1585" t="s">
        <v>405</v>
      </c>
      <c r="B391" s="1599">
        <v>0</v>
      </c>
      <c r="C391" s="1657">
        <v>0.81</v>
      </c>
      <c r="D391" s="1574"/>
      <c r="E391" s="1577">
        <f>-ROUND(C391*$B391/100,0)</f>
        <v>0</v>
      </c>
      <c r="F391" s="1657">
        <v>0.92</v>
      </c>
      <c r="G391" s="1574"/>
      <c r="H391" s="1577">
        <f t="shared" si="73"/>
        <v>0</v>
      </c>
      <c r="I391" s="1657">
        <f>I377</f>
        <v>0.95</v>
      </c>
      <c r="J391" s="1574"/>
      <c r="K391" s="1577">
        <f>-ROUND(I391*$B391/100,0)</f>
        <v>0</v>
      </c>
      <c r="M391" s="1570"/>
      <c r="N391" s="1570"/>
      <c r="O391" s="1571"/>
      <c r="P391" s="1571"/>
      <c r="Q391" s="1571"/>
      <c r="R391" s="1570"/>
      <c r="S391" s="1570"/>
      <c r="T391" s="1570"/>
      <c r="U391" s="1570"/>
      <c r="V391" s="1570"/>
      <c r="W391" s="1570"/>
      <c r="X391" s="1570"/>
      <c r="Y391" s="1570"/>
      <c r="Z391" s="1570"/>
      <c r="AA391" s="1570"/>
      <c r="AB391" s="1570"/>
      <c r="AC391" s="1570"/>
      <c r="AD391" s="1570"/>
      <c r="AE391" s="1570"/>
      <c r="AF391" s="1570"/>
      <c r="AG391" s="1570"/>
      <c r="AH391" s="1570"/>
      <c r="AJ391" s="1578"/>
    </row>
    <row r="392" spans="1:36" hidden="1">
      <c r="A392" s="1585" t="s">
        <v>406</v>
      </c>
      <c r="B392" s="1599">
        <v>0</v>
      </c>
      <c r="C392" s="1657">
        <v>2.98</v>
      </c>
      <c r="D392" s="1600"/>
      <c r="E392" s="1577">
        <f>-ROUND(C392*$B392/100,0)</f>
        <v>0</v>
      </c>
      <c r="F392" s="1657">
        <v>3.4</v>
      </c>
      <c r="G392" s="1600"/>
      <c r="H392" s="1577">
        <f t="shared" si="73"/>
        <v>0</v>
      </c>
      <c r="I392" s="1657">
        <f>I380</f>
        <v>3.4899999999999998</v>
      </c>
      <c r="J392" s="1600"/>
      <c r="K392" s="1577">
        <f>-ROUND(I392*$B392/100,0)</f>
        <v>0</v>
      </c>
      <c r="M392" s="1570"/>
      <c r="N392" s="1570"/>
      <c r="O392" s="1571"/>
      <c r="P392" s="1571"/>
      <c r="Q392" s="1571"/>
      <c r="R392" s="1570"/>
      <c r="S392" s="1570"/>
      <c r="T392" s="1570"/>
      <c r="U392" s="1570"/>
      <c r="V392" s="1570"/>
      <c r="W392" s="1570"/>
      <c r="X392" s="1570"/>
      <c r="Y392" s="1570"/>
      <c r="Z392" s="1570"/>
      <c r="AA392" s="1570"/>
      <c r="AB392" s="1570"/>
      <c r="AC392" s="1570"/>
      <c r="AD392" s="1570"/>
      <c r="AE392" s="1570"/>
      <c r="AF392" s="1570"/>
      <c r="AG392" s="1570"/>
      <c r="AH392" s="1570"/>
      <c r="AJ392" s="1578"/>
    </row>
    <row r="393" spans="1:36" hidden="1">
      <c r="A393" s="1585" t="s">
        <v>408</v>
      </c>
      <c r="B393" s="1599">
        <v>0</v>
      </c>
      <c r="C393" s="1658">
        <v>8.5489999999999995</v>
      </c>
      <c r="D393" s="1600" t="s">
        <v>377</v>
      </c>
      <c r="E393" s="1577">
        <f>ROUND(C393*$B393/100*C388,0)</f>
        <v>0</v>
      </c>
      <c r="F393" s="1658">
        <v>9.766</v>
      </c>
      <c r="G393" s="1600" t="s">
        <v>377</v>
      </c>
      <c r="H393" s="1577">
        <f>ROUND(F393*$B393/100*F388,0)</f>
        <v>0</v>
      </c>
      <c r="I393" s="1658">
        <f>I381</f>
        <v>9.9879999999999995</v>
      </c>
      <c r="J393" s="1600" t="s">
        <v>377</v>
      </c>
      <c r="K393" s="1577">
        <f>ROUND(I393*$B393/100*I388,0)</f>
        <v>0</v>
      </c>
      <c r="M393" s="1570"/>
      <c r="N393" s="1570"/>
      <c r="O393" s="1571"/>
      <c r="P393" s="1571"/>
      <c r="Q393" s="1571"/>
      <c r="R393" s="1570"/>
      <c r="S393" s="1570"/>
      <c r="T393" s="1570"/>
      <c r="U393" s="1570"/>
      <c r="V393" s="1570"/>
      <c r="W393" s="1570"/>
      <c r="X393" s="1570"/>
      <c r="Y393" s="1570"/>
      <c r="Z393" s="1570"/>
      <c r="AA393" s="1570"/>
      <c r="AB393" s="1570"/>
      <c r="AC393" s="1570"/>
      <c r="AD393" s="1570"/>
      <c r="AE393" s="1570"/>
      <c r="AF393" s="1570"/>
      <c r="AG393" s="1570"/>
      <c r="AH393" s="1570"/>
      <c r="AJ393" s="1578"/>
    </row>
    <row r="394" spans="1:36" hidden="1">
      <c r="A394" s="1585" t="s">
        <v>401</v>
      </c>
      <c r="B394" s="1599">
        <v>0</v>
      </c>
      <c r="C394" s="1658">
        <v>5.9020000000000001</v>
      </c>
      <c r="D394" s="1600" t="s">
        <v>377</v>
      </c>
      <c r="E394" s="1577">
        <f>ROUND(C394*$B394/100*C388,0)</f>
        <v>0</v>
      </c>
      <c r="F394" s="1658">
        <v>6.7460000000000004</v>
      </c>
      <c r="G394" s="1600" t="s">
        <v>377</v>
      </c>
      <c r="H394" s="1577">
        <f>ROUND(F394*$B394/100*F388,0)</f>
        <v>0</v>
      </c>
      <c r="I394" s="1658">
        <f>I382</f>
        <v>6.9080000000000004</v>
      </c>
      <c r="J394" s="1600" t="s">
        <v>377</v>
      </c>
      <c r="K394" s="1577">
        <f>ROUND(I394*$B394/100*I388,0)</f>
        <v>0</v>
      </c>
      <c r="M394" s="1570"/>
      <c r="N394" s="1570"/>
      <c r="O394" s="1571"/>
      <c r="P394" s="1571"/>
      <c r="Q394" s="1571"/>
      <c r="R394" s="1570"/>
      <c r="S394" s="1570"/>
      <c r="T394" s="1570"/>
      <c r="U394" s="1570"/>
      <c r="V394" s="1570"/>
      <c r="W394" s="1570"/>
      <c r="X394" s="1570"/>
      <c r="Y394" s="1570"/>
      <c r="Z394" s="1570"/>
      <c r="AA394" s="1570"/>
      <c r="AB394" s="1570"/>
      <c r="AC394" s="1570"/>
      <c r="AD394" s="1570"/>
      <c r="AE394" s="1570"/>
      <c r="AF394" s="1570"/>
      <c r="AG394" s="1570"/>
      <c r="AH394" s="1570"/>
      <c r="AJ394" s="1578"/>
    </row>
    <row r="395" spans="1:36" hidden="1">
      <c r="A395" s="1585" t="s">
        <v>402</v>
      </c>
      <c r="B395" s="1599">
        <v>0</v>
      </c>
      <c r="C395" s="1658">
        <v>5.0839999999999996</v>
      </c>
      <c r="D395" s="1600" t="s">
        <v>377</v>
      </c>
      <c r="E395" s="1577">
        <f>ROUND(C395*$B395/100*C388,0)</f>
        <v>0</v>
      </c>
      <c r="F395" s="1658">
        <v>5.8120000000000003</v>
      </c>
      <c r="G395" s="1600" t="s">
        <v>377</v>
      </c>
      <c r="H395" s="1577">
        <f>ROUND(F395*$B395/100*F388,0)</f>
        <v>0</v>
      </c>
      <c r="I395" s="1658">
        <f>I383</f>
        <v>5.952</v>
      </c>
      <c r="J395" s="1600" t="s">
        <v>377</v>
      </c>
      <c r="K395" s="1577">
        <f>ROUND(I395*$B395/100*I388,0)</f>
        <v>0</v>
      </c>
      <c r="M395" s="1570"/>
      <c r="N395" s="1570"/>
      <c r="O395" s="1571"/>
      <c r="P395" s="1571"/>
      <c r="Q395" s="1571"/>
      <c r="R395" s="1570"/>
      <c r="S395" s="1570"/>
      <c r="T395" s="1570"/>
      <c r="U395" s="1570"/>
      <c r="V395" s="1570"/>
      <c r="W395" s="1570"/>
      <c r="X395" s="1570"/>
      <c r="Y395" s="1570"/>
      <c r="Z395" s="1570"/>
      <c r="AA395" s="1570"/>
      <c r="AB395" s="1570"/>
      <c r="AC395" s="1570"/>
      <c r="AD395" s="1570"/>
      <c r="AE395" s="1570"/>
      <c r="AF395" s="1570"/>
      <c r="AG395" s="1570"/>
      <c r="AH395" s="1570"/>
      <c r="AJ395" s="1578"/>
    </row>
    <row r="396" spans="1:36" hidden="1">
      <c r="A396" s="1585" t="s">
        <v>403</v>
      </c>
      <c r="B396" s="1599">
        <v>0</v>
      </c>
      <c r="C396" s="1659">
        <v>50</v>
      </c>
      <c r="D396" s="1600" t="s">
        <v>377</v>
      </c>
      <c r="E396" s="1577">
        <f>ROUND(C396*$B396/100*C388,0)</f>
        <v>0</v>
      </c>
      <c r="F396" s="1659">
        <v>56</v>
      </c>
      <c r="G396" s="1600" t="s">
        <v>377</v>
      </c>
      <c r="H396" s="1577">
        <f>ROUND(F396*$B396/100*F388,0)</f>
        <v>0</v>
      </c>
      <c r="I396" s="1659">
        <f>I384</f>
        <v>57</v>
      </c>
      <c r="J396" s="1600" t="s">
        <v>377</v>
      </c>
      <c r="K396" s="1577">
        <f>ROUND(I396*$B396/100*I388,0)</f>
        <v>0</v>
      </c>
      <c r="M396" s="1570"/>
      <c r="N396" s="1570"/>
      <c r="O396" s="1571"/>
      <c r="P396" s="1571"/>
      <c r="Q396" s="1571"/>
      <c r="R396" s="1570"/>
      <c r="S396" s="1570"/>
      <c r="T396" s="1570"/>
      <c r="U396" s="1570"/>
      <c r="V396" s="1570"/>
      <c r="W396" s="1570"/>
      <c r="X396" s="1570"/>
      <c r="Y396" s="1570"/>
      <c r="Z396" s="1570"/>
      <c r="AA396" s="1570"/>
      <c r="AB396" s="1570"/>
      <c r="AC396" s="1570"/>
      <c r="AD396" s="1570"/>
      <c r="AE396" s="1570"/>
      <c r="AF396" s="1570"/>
      <c r="AG396" s="1570"/>
      <c r="AH396" s="1570"/>
      <c r="AJ396" s="1578"/>
    </row>
    <row r="397" spans="1:36" hidden="1">
      <c r="A397" s="1585" t="s">
        <v>410</v>
      </c>
      <c r="B397" s="1599">
        <v>0</v>
      </c>
      <c r="C397" s="1660">
        <v>60</v>
      </c>
      <c r="D397" s="1574"/>
      <c r="E397" s="1577">
        <f>ROUND(C397*$B397,0)</f>
        <v>0</v>
      </c>
      <c r="F397" s="1660">
        <v>60</v>
      </c>
      <c r="G397" s="1600"/>
      <c r="H397" s="1577">
        <f>ROUND(F397*B397,0)</f>
        <v>0</v>
      </c>
      <c r="I397" s="1660">
        <f>$I$189</f>
        <v>60</v>
      </c>
      <c r="J397" s="1600"/>
      <c r="K397" s="1577">
        <f>ROUND(I397*$B397,0)</f>
        <v>0</v>
      </c>
      <c r="M397" s="1570"/>
      <c r="N397" s="1570"/>
      <c r="O397" s="1571"/>
      <c r="P397" s="1571"/>
      <c r="Q397" s="1571"/>
      <c r="R397" s="1570"/>
      <c r="S397" s="1570"/>
      <c r="T397" s="1570"/>
      <c r="U397" s="1570"/>
      <c r="V397" s="1570"/>
      <c r="W397" s="1570"/>
      <c r="X397" s="1570"/>
      <c r="Y397" s="1570"/>
      <c r="Z397" s="1570"/>
      <c r="AA397" s="1570"/>
      <c r="AB397" s="1570"/>
      <c r="AC397" s="1570"/>
      <c r="AD397" s="1570"/>
      <c r="AE397" s="1570"/>
      <c r="AF397" s="1570"/>
      <c r="AG397" s="1570"/>
      <c r="AH397" s="1570"/>
      <c r="AJ397" s="1578"/>
    </row>
    <row r="398" spans="1:36" hidden="1">
      <c r="A398" s="1585" t="s">
        <v>411</v>
      </c>
      <c r="B398" s="1599">
        <v>0</v>
      </c>
      <c r="C398" s="1661">
        <v>-30</v>
      </c>
      <c r="D398" s="1574" t="s">
        <v>377</v>
      </c>
      <c r="E398" s="1577">
        <f>ROUND(C398*$B398/100,0)</f>
        <v>0</v>
      </c>
      <c r="F398" s="1661">
        <v>-30</v>
      </c>
      <c r="G398" s="1600" t="s">
        <v>377</v>
      </c>
      <c r="H398" s="1577">
        <f>ROUND(F398*B398/100,0)</f>
        <v>0</v>
      </c>
      <c r="I398" s="1661">
        <f>$I$190</f>
        <v>-30</v>
      </c>
      <c r="J398" s="1600" t="s">
        <v>377</v>
      </c>
      <c r="K398" s="1577">
        <f>ROUND(I398*$B398/100,0)</f>
        <v>0</v>
      </c>
      <c r="M398" s="1570"/>
      <c r="N398" s="1570"/>
      <c r="O398" s="1571"/>
      <c r="P398" s="1571"/>
      <c r="Q398" s="1571"/>
      <c r="R398" s="1570"/>
      <c r="S398" s="1570"/>
      <c r="T398" s="1570"/>
      <c r="U398" s="1570"/>
      <c r="V398" s="1570"/>
      <c r="W398" s="1570"/>
      <c r="X398" s="1570"/>
      <c r="Y398" s="1570"/>
      <c r="Z398" s="1570"/>
      <c r="AA398" s="1570"/>
      <c r="AB398" s="1570"/>
      <c r="AC398" s="1570"/>
      <c r="AD398" s="1570"/>
      <c r="AE398" s="1570"/>
      <c r="AF398" s="1570"/>
      <c r="AG398" s="1570"/>
      <c r="AH398" s="1570"/>
      <c r="AJ398" s="1578"/>
    </row>
    <row r="399" spans="1:36" hidden="1">
      <c r="A399" s="1569" t="s">
        <v>933</v>
      </c>
      <c r="B399" s="1575">
        <f>B393</f>
        <v>0</v>
      </c>
      <c r="C399" s="1584"/>
      <c r="D399" s="1570"/>
      <c r="E399" s="1577"/>
      <c r="F399" s="1584"/>
      <c r="G399" s="1570"/>
      <c r="H399" s="1577"/>
      <c r="I399" s="1389">
        <f>I174</f>
        <v>0</v>
      </c>
      <c r="J399" s="1600" t="s">
        <v>377</v>
      </c>
      <c r="K399" s="1577">
        <f t="shared" ref="K399:K401" si="74">ROUND(I399*$B399/100,0)</f>
        <v>0</v>
      </c>
      <c r="M399" s="1578"/>
      <c r="O399" s="1579"/>
      <c r="P399" s="1569"/>
      <c r="Q399" s="1569"/>
      <c r="R399" s="1580"/>
      <c r="S399" s="1580"/>
      <c r="X399" s="1570"/>
      <c r="Y399" s="1570"/>
      <c r="Z399" s="1570"/>
      <c r="AA399" s="1570"/>
      <c r="AB399" s="1570"/>
      <c r="AC399" s="1570"/>
      <c r="AD399" s="1570"/>
      <c r="AE399" s="1570"/>
      <c r="AF399" s="1570"/>
      <c r="AG399" s="1570"/>
      <c r="AH399" s="1570"/>
      <c r="AJ399" s="1578"/>
    </row>
    <row r="400" spans="1:36" hidden="1">
      <c r="A400" s="1569" t="s">
        <v>934</v>
      </c>
      <c r="B400" s="1575">
        <f>B394</f>
        <v>0</v>
      </c>
      <c r="C400" s="1584"/>
      <c r="D400" s="1570"/>
      <c r="E400" s="1577"/>
      <c r="F400" s="1584"/>
      <c r="G400" s="1570"/>
      <c r="H400" s="1577"/>
      <c r="I400" s="1389">
        <f>I175</f>
        <v>0</v>
      </c>
      <c r="J400" s="1600" t="s">
        <v>377</v>
      </c>
      <c r="K400" s="1577">
        <f t="shared" si="74"/>
        <v>0</v>
      </c>
      <c r="M400" s="1578"/>
      <c r="O400" s="1579"/>
      <c r="P400" s="1569"/>
      <c r="Q400" s="1569"/>
      <c r="R400" s="1580"/>
      <c r="S400" s="1580"/>
      <c r="X400" s="1570"/>
      <c r="Y400" s="1570"/>
      <c r="Z400" s="1570"/>
      <c r="AA400" s="1570"/>
      <c r="AB400" s="1570"/>
      <c r="AC400" s="1570"/>
      <c r="AD400" s="1570"/>
      <c r="AE400" s="1570"/>
      <c r="AF400" s="1570"/>
      <c r="AG400" s="1570"/>
      <c r="AH400" s="1570"/>
      <c r="AJ400" s="1578"/>
    </row>
    <row r="401" spans="1:36" hidden="1">
      <c r="A401" s="1569" t="s">
        <v>935</v>
      </c>
      <c r="B401" s="1575">
        <f>B395</f>
        <v>0</v>
      </c>
      <c r="C401" s="1584"/>
      <c r="D401" s="1570"/>
      <c r="E401" s="1577"/>
      <c r="F401" s="1584"/>
      <c r="G401" s="1570"/>
      <c r="H401" s="1577"/>
      <c r="I401" s="1389">
        <f>I176</f>
        <v>0</v>
      </c>
      <c r="J401" s="1600" t="s">
        <v>377</v>
      </c>
      <c r="K401" s="1577">
        <f t="shared" si="74"/>
        <v>0</v>
      </c>
      <c r="M401" s="1578"/>
      <c r="O401" s="1579"/>
      <c r="P401" s="1569"/>
      <c r="Q401" s="1569"/>
      <c r="R401" s="1580"/>
      <c r="S401" s="1580"/>
      <c r="X401" s="1570"/>
      <c r="Y401" s="1570"/>
      <c r="Z401" s="1570"/>
      <c r="AA401" s="1570"/>
      <c r="AB401" s="1570"/>
      <c r="AC401" s="1570"/>
      <c r="AD401" s="1570"/>
      <c r="AE401" s="1570"/>
      <c r="AF401" s="1570"/>
      <c r="AG401" s="1570"/>
      <c r="AH401" s="1570"/>
      <c r="AJ401" s="1578"/>
    </row>
    <row r="402" spans="1:36" hidden="1">
      <c r="A402" s="1585" t="s">
        <v>384</v>
      </c>
      <c r="B402" s="1599">
        <f>SUM(B381:B383)</f>
        <v>1269347</v>
      </c>
      <c r="C402" s="1647"/>
      <c r="D402" s="1577"/>
      <c r="E402" s="1577">
        <f>SUM(E375:E398)</f>
        <v>137376</v>
      </c>
      <c r="F402" s="1647"/>
      <c r="G402" s="1600"/>
      <c r="H402" s="1577">
        <f>SUM(H375:H398)</f>
        <v>156864</v>
      </c>
      <c r="I402" s="1647"/>
      <c r="J402" s="1600"/>
      <c r="K402" s="1577">
        <f>SUM(K375:K401)</f>
        <v>160484</v>
      </c>
      <c r="M402" s="1570"/>
      <c r="N402" s="1570"/>
      <c r="O402" s="1571"/>
      <c r="P402" s="1571"/>
      <c r="Q402" s="1571"/>
      <c r="R402" s="1570"/>
      <c r="S402" s="1570"/>
      <c r="T402" s="1570"/>
      <c r="U402" s="1570"/>
      <c r="V402" s="1570"/>
      <c r="W402" s="1570"/>
      <c r="X402" s="1570"/>
      <c r="Y402" s="1570"/>
      <c r="Z402" s="1570"/>
      <c r="AA402" s="1570"/>
      <c r="AB402" s="1570"/>
      <c r="AC402" s="1570"/>
      <c r="AD402" s="1570"/>
      <c r="AE402" s="1570"/>
      <c r="AF402" s="1570"/>
      <c r="AG402" s="1570"/>
      <c r="AH402" s="1570"/>
      <c r="AJ402" s="1578"/>
    </row>
    <row r="403" spans="1:36" hidden="1">
      <c r="A403" s="1585" t="s">
        <v>366</v>
      </c>
      <c r="B403" s="1679">
        <f>'Table 2'!H42</f>
        <v>-3272.5983006765778</v>
      </c>
      <c r="C403" s="1600"/>
      <c r="D403" s="1600"/>
      <c r="E403" s="1664" t="e">
        <f>#REF!</f>
        <v>#REF!</v>
      </c>
      <c r="F403" s="1600"/>
      <c r="G403" s="1600"/>
      <c r="H403" s="1664">
        <f ca="1">'Table 3'!E42</f>
        <v>-457.64161025595331</v>
      </c>
      <c r="I403" s="1600"/>
      <c r="J403" s="1600"/>
      <c r="K403" s="1664">
        <f ca="1">H403</f>
        <v>-457.64161025595331</v>
      </c>
      <c r="M403" s="1422"/>
      <c r="N403" s="1422"/>
      <c r="O403" s="1423"/>
      <c r="P403" s="1571"/>
      <c r="Q403" s="1571"/>
      <c r="R403" s="1570"/>
      <c r="S403" s="1570"/>
      <c r="T403" s="1570"/>
      <c r="U403" s="1570"/>
      <c r="V403" s="1570"/>
      <c r="W403" s="1570"/>
      <c r="X403" s="1570"/>
      <c r="Y403" s="1570"/>
      <c r="Z403" s="1570"/>
      <c r="AA403" s="1570"/>
      <c r="AB403" s="1570"/>
      <c r="AC403" s="1570"/>
      <c r="AD403" s="1570"/>
      <c r="AE403" s="1570"/>
      <c r="AF403" s="1570"/>
      <c r="AG403" s="1570"/>
      <c r="AH403" s="1570"/>
      <c r="AJ403" s="1578"/>
    </row>
    <row r="404" spans="1:36" ht="15.75" hidden="1" thickBot="1">
      <c r="A404" s="1585" t="s">
        <v>385</v>
      </c>
      <c r="B404" s="1632">
        <f>SUM(B402:B403)</f>
        <v>1266074.4016993234</v>
      </c>
      <c r="C404" s="1666"/>
      <c r="D404" s="1667"/>
      <c r="E404" s="1668" t="e">
        <f>E402+E403</f>
        <v>#REF!</v>
      </c>
      <c r="F404" s="1666"/>
      <c r="G404" s="1670"/>
      <c r="H404" s="1668">
        <f ca="1">H402+H403</f>
        <v>156406.35838974404</v>
      </c>
      <c r="I404" s="1666"/>
      <c r="J404" s="1670"/>
      <c r="K404" s="1668">
        <f ca="1">K402+K403</f>
        <v>160026.35838974404</v>
      </c>
      <c r="M404" s="1424"/>
      <c r="N404" s="1424"/>
      <c r="O404" s="1597"/>
      <c r="P404" s="1571"/>
      <c r="Q404" s="1571"/>
      <c r="R404" s="1570"/>
      <c r="S404" s="1570"/>
      <c r="T404" s="1570"/>
      <c r="U404" s="1570"/>
      <c r="V404" s="1570"/>
      <c r="W404" s="1570"/>
      <c r="X404" s="1570"/>
      <c r="Y404" s="1570"/>
      <c r="Z404" s="1570"/>
      <c r="AA404" s="1570"/>
      <c r="AB404" s="1570"/>
      <c r="AC404" s="1570"/>
      <c r="AD404" s="1570"/>
      <c r="AE404" s="1570"/>
      <c r="AF404" s="1570"/>
      <c r="AG404" s="1570"/>
      <c r="AH404" s="1570"/>
      <c r="AJ404" s="1578"/>
    </row>
    <row r="405" spans="1:36" hidden="1">
      <c r="A405" s="1585"/>
      <c r="B405" s="1610"/>
      <c r="C405" s="1660"/>
      <c r="D405" s="1577"/>
      <c r="E405" s="1577"/>
      <c r="F405" s="1660"/>
      <c r="G405" s="1585"/>
      <c r="H405" s="1577"/>
      <c r="I405" s="1660"/>
      <c r="J405" s="1585"/>
      <c r="K405" s="1577" t="s">
        <v>31</v>
      </c>
      <c r="M405" s="1570"/>
      <c r="N405" s="1570"/>
      <c r="O405" s="1571"/>
      <c r="P405" s="1571"/>
      <c r="Q405" s="1571"/>
      <c r="R405" s="1570"/>
      <c r="S405" s="1570"/>
      <c r="T405" s="1570"/>
      <c r="U405" s="1570"/>
      <c r="V405" s="1570"/>
      <c r="W405" s="1570"/>
      <c r="X405" s="1570"/>
      <c r="Y405" s="1570"/>
      <c r="Z405" s="1570"/>
      <c r="AA405" s="1570"/>
      <c r="AB405" s="1570"/>
      <c r="AC405" s="1570"/>
      <c r="AD405" s="1570"/>
      <c r="AE405" s="1570"/>
      <c r="AF405" s="1570"/>
      <c r="AG405" s="1570"/>
      <c r="AH405" s="1570"/>
      <c r="AJ405" s="1578"/>
    </row>
    <row r="406" spans="1:36" hidden="1">
      <c r="A406" s="1609" t="s">
        <v>418</v>
      </c>
      <c r="B406" s="1585"/>
      <c r="C406" s="1577"/>
      <c r="D406" s="1577"/>
      <c r="E406" s="1585" t="s">
        <v>31</v>
      </c>
      <c r="F406" s="1577"/>
      <c r="G406" s="1585"/>
      <c r="H406" s="1585"/>
      <c r="I406" s="1577"/>
      <c r="J406" s="1585"/>
      <c r="K406" s="1585"/>
      <c r="M406" s="1570"/>
      <c r="N406" s="1570"/>
      <c r="O406" s="1571"/>
      <c r="P406" s="1571"/>
      <c r="Q406" s="1571"/>
      <c r="R406" s="1570"/>
      <c r="S406" s="1570"/>
      <c r="T406" s="1570"/>
      <c r="U406" s="1570"/>
      <c r="V406" s="1570"/>
      <c r="W406" s="1570"/>
      <c r="X406" s="1570"/>
      <c r="Y406" s="1570"/>
      <c r="Z406" s="1570"/>
      <c r="AA406" s="1570"/>
      <c r="AB406" s="1570"/>
      <c r="AC406" s="1570"/>
      <c r="AD406" s="1570"/>
      <c r="AE406" s="1570"/>
      <c r="AF406" s="1570"/>
      <c r="AG406" s="1570"/>
      <c r="AH406" s="1570"/>
      <c r="AJ406" s="1578"/>
    </row>
    <row r="407" spans="1:36" hidden="1">
      <c r="A407" s="1585" t="s">
        <v>417</v>
      </c>
      <c r="B407" s="1585"/>
      <c r="C407" s="1577"/>
      <c r="D407" s="1577"/>
      <c r="E407" s="1585"/>
      <c r="F407" s="1577"/>
      <c r="G407" s="1585"/>
      <c r="H407" s="1585"/>
      <c r="I407" s="1577"/>
      <c r="J407" s="1585"/>
      <c r="K407" s="1585"/>
      <c r="M407" s="1570"/>
      <c r="N407" s="1570"/>
      <c r="O407" s="1571"/>
      <c r="P407" s="1571"/>
      <c r="Q407" s="1571"/>
      <c r="R407" s="1570"/>
      <c r="S407" s="1570"/>
      <c r="T407" s="1570"/>
      <c r="U407" s="1570"/>
      <c r="V407" s="1570"/>
      <c r="W407" s="1570"/>
      <c r="X407" s="1570"/>
      <c r="Y407" s="1570"/>
      <c r="Z407" s="1570"/>
      <c r="AA407" s="1570"/>
      <c r="AB407" s="1570"/>
      <c r="AC407" s="1570"/>
      <c r="AD407" s="1570"/>
      <c r="AE407" s="1570"/>
      <c r="AF407" s="1570"/>
      <c r="AG407" s="1570"/>
      <c r="AH407" s="1570"/>
      <c r="AJ407" s="1578"/>
    </row>
    <row r="408" spans="1:36" hidden="1">
      <c r="A408" s="1585"/>
      <c r="B408" s="1585"/>
      <c r="C408" s="1577"/>
      <c r="D408" s="1577"/>
      <c r="E408" s="1585"/>
      <c r="F408" s="1577"/>
      <c r="G408" s="1585"/>
      <c r="H408" s="1585"/>
      <c r="I408" s="1577"/>
      <c r="J408" s="1585"/>
      <c r="K408" s="1585"/>
      <c r="M408" s="1570"/>
      <c r="N408" s="1570"/>
      <c r="O408" s="1571"/>
      <c r="P408" s="1571"/>
      <c r="Q408" s="1571"/>
      <c r="R408" s="1570"/>
      <c r="S408" s="1570"/>
      <c r="T408" s="1570"/>
      <c r="U408" s="1570"/>
      <c r="V408" s="1570"/>
      <c r="W408" s="1570"/>
      <c r="X408" s="1570"/>
      <c r="Y408" s="1570"/>
      <c r="Z408" s="1570"/>
      <c r="AA408" s="1570"/>
      <c r="AB408" s="1570"/>
      <c r="AC408" s="1570"/>
      <c r="AD408" s="1570"/>
      <c r="AE408" s="1570"/>
      <c r="AF408" s="1570"/>
      <c r="AG408" s="1570"/>
      <c r="AH408" s="1570"/>
      <c r="AJ408" s="1578"/>
    </row>
    <row r="409" spans="1:36" hidden="1">
      <c r="A409" s="1585" t="s">
        <v>396</v>
      </c>
      <c r="B409" s="1599"/>
      <c r="C409" s="1577"/>
      <c r="D409" s="1577"/>
      <c r="E409" s="1585"/>
      <c r="F409" s="1577"/>
      <c r="G409" s="1585"/>
      <c r="H409" s="1585"/>
      <c r="I409" s="1577"/>
      <c r="J409" s="1585"/>
      <c r="K409" s="1585"/>
      <c r="M409" s="1570"/>
      <c r="N409" s="1570"/>
      <c r="O409" s="1571"/>
      <c r="P409" s="1571"/>
      <c r="Q409" s="1571"/>
      <c r="R409" s="1570"/>
      <c r="S409" s="1570"/>
      <c r="T409" s="1570"/>
      <c r="U409" s="1570"/>
      <c r="V409" s="1570"/>
      <c r="W409" s="1570"/>
      <c r="X409" s="1570"/>
      <c r="Y409" s="1570"/>
      <c r="Z409" s="1570"/>
      <c r="AA409" s="1570"/>
      <c r="AB409" s="1570"/>
      <c r="AC409" s="1570"/>
      <c r="AD409" s="1570"/>
      <c r="AE409" s="1570"/>
      <c r="AF409" s="1570"/>
      <c r="AG409" s="1570"/>
      <c r="AH409" s="1570"/>
      <c r="AJ409" s="1578"/>
    </row>
    <row r="410" spans="1:36" hidden="1">
      <c r="A410" s="1585" t="s">
        <v>419</v>
      </c>
      <c r="B410" s="1599">
        <v>516</v>
      </c>
      <c r="C410" s="1614">
        <v>7.64</v>
      </c>
      <c r="D410" s="1574"/>
      <c r="E410" s="1577">
        <f>ROUND(C410*$B410,0)</f>
        <v>3942</v>
      </c>
      <c r="F410" s="1614">
        <v>8.7100000000000009</v>
      </c>
      <c r="G410" s="1600"/>
      <c r="H410" s="1577">
        <f>ROUND(F410*$B410,0)</f>
        <v>4494</v>
      </c>
      <c r="I410" s="1614">
        <f>$I$164</f>
        <v>8.92</v>
      </c>
      <c r="J410" s="1600"/>
      <c r="K410" s="1577">
        <f>ROUND(I410*$B410,0)</f>
        <v>4603</v>
      </c>
      <c r="M410" s="1570"/>
      <c r="N410" s="1570"/>
      <c r="O410" s="1571"/>
      <c r="P410" s="1571"/>
      <c r="Q410" s="1571"/>
      <c r="R410" s="1570"/>
      <c r="S410" s="1570"/>
      <c r="T410" s="1570"/>
      <c r="U410" s="1570"/>
      <c r="V410" s="1570"/>
      <c r="W410" s="1570"/>
      <c r="X410" s="1570"/>
      <c r="Y410" s="1570"/>
      <c r="Z410" s="1570"/>
      <c r="AA410" s="1570"/>
      <c r="AB410" s="1570"/>
      <c r="AC410" s="1570"/>
      <c r="AD410" s="1570"/>
      <c r="AE410" s="1570"/>
      <c r="AF410" s="1570"/>
      <c r="AG410" s="1570"/>
      <c r="AH410" s="1570"/>
      <c r="AJ410" s="1578"/>
    </row>
    <row r="411" spans="1:36" hidden="1">
      <c r="A411" s="1585" t="s">
        <v>394</v>
      </c>
      <c r="B411" s="1599">
        <v>0</v>
      </c>
      <c r="C411" s="1614">
        <v>11.36</v>
      </c>
      <c r="D411" s="1641"/>
      <c r="E411" s="1577">
        <f>ROUND(C411*$B411,0)</f>
        <v>0</v>
      </c>
      <c r="F411" s="1614">
        <v>12.98</v>
      </c>
      <c r="G411" s="1642"/>
      <c r="H411" s="1577">
        <f t="shared" ref="H411:H412" si="75">ROUND(F411*$B411,0)</f>
        <v>0</v>
      </c>
      <c r="I411" s="1614">
        <f>$I$165</f>
        <v>13.299999999999999</v>
      </c>
      <c r="J411" s="1642"/>
      <c r="K411" s="1577">
        <f>ROUND(I411*$B411,0)</f>
        <v>0</v>
      </c>
      <c r="M411" s="1570"/>
      <c r="N411" s="1570"/>
      <c r="O411" s="1571"/>
      <c r="P411" s="1571"/>
      <c r="Q411" s="1571"/>
      <c r="R411" s="1570"/>
      <c r="S411" s="1570"/>
      <c r="T411" s="1570"/>
      <c r="U411" s="1570"/>
      <c r="V411" s="1570"/>
      <c r="W411" s="1570"/>
      <c r="X411" s="1570"/>
      <c r="Y411" s="1570"/>
      <c r="Z411" s="1570"/>
      <c r="AA411" s="1570"/>
      <c r="AB411" s="1570"/>
      <c r="AC411" s="1570"/>
      <c r="AD411" s="1570"/>
      <c r="AE411" s="1570"/>
      <c r="AF411" s="1570"/>
      <c r="AG411" s="1570"/>
      <c r="AH411" s="1570"/>
      <c r="AJ411" s="1578"/>
    </row>
    <row r="412" spans="1:36" hidden="1">
      <c r="A412" s="1585" t="s">
        <v>395</v>
      </c>
      <c r="B412" s="1599">
        <v>0</v>
      </c>
      <c r="C412" s="1614">
        <v>0.81</v>
      </c>
      <c r="D412" s="1641"/>
      <c r="E412" s="1577">
        <f>ROUND(C412*$B412,0)</f>
        <v>0</v>
      </c>
      <c r="F412" s="1614">
        <v>0.92</v>
      </c>
      <c r="G412" s="1642"/>
      <c r="H412" s="1577">
        <f t="shared" si="75"/>
        <v>0</v>
      </c>
      <c r="I412" s="1614">
        <f>$I$166</f>
        <v>0.95</v>
      </c>
      <c r="J412" s="1642"/>
      <c r="K412" s="1577">
        <f>ROUND(I412*$B412,0)</f>
        <v>0</v>
      </c>
      <c r="M412" s="1570"/>
      <c r="N412" s="1570"/>
      <c r="O412" s="1571"/>
      <c r="P412" s="1571"/>
      <c r="Q412" s="1571"/>
      <c r="R412" s="1570"/>
      <c r="S412" s="1570"/>
      <c r="T412" s="1570"/>
      <c r="U412" s="1570"/>
      <c r="V412" s="1570"/>
      <c r="W412" s="1570"/>
      <c r="X412" s="1570"/>
      <c r="Y412" s="1570"/>
      <c r="Z412" s="1570"/>
      <c r="AA412" s="1570"/>
      <c r="AB412" s="1570"/>
      <c r="AC412" s="1570"/>
      <c r="AD412" s="1570"/>
      <c r="AE412" s="1570"/>
      <c r="AF412" s="1570"/>
      <c r="AG412" s="1570"/>
      <c r="AH412" s="1570"/>
      <c r="AJ412" s="1578"/>
    </row>
    <row r="413" spans="1:36" hidden="1">
      <c r="A413" s="1585" t="s">
        <v>397</v>
      </c>
      <c r="B413" s="1599">
        <f>SUM(B410:B411)</f>
        <v>516</v>
      </c>
      <c r="C413" s="1614"/>
      <c r="D413" s="1574"/>
      <c r="E413" s="1577"/>
      <c r="F413" s="1614"/>
      <c r="G413" s="1600"/>
      <c r="H413" s="1577"/>
      <c r="I413" s="1614"/>
      <c r="J413" s="1600"/>
      <c r="K413" s="1577"/>
      <c r="M413" s="1570"/>
      <c r="N413" s="1570"/>
      <c r="O413" s="1571"/>
      <c r="P413" s="1571"/>
      <c r="Q413" s="1571"/>
      <c r="R413" s="1570"/>
      <c r="S413" s="1570"/>
      <c r="T413" s="1570"/>
      <c r="U413" s="1570"/>
      <c r="V413" s="1570"/>
      <c r="W413" s="1570"/>
      <c r="X413" s="1570"/>
      <c r="Y413" s="1570"/>
      <c r="Z413" s="1570"/>
      <c r="AA413" s="1570"/>
      <c r="AB413" s="1570"/>
      <c r="AC413" s="1570"/>
      <c r="AD413" s="1570"/>
      <c r="AE413" s="1570"/>
      <c r="AF413" s="1570"/>
      <c r="AG413" s="1570"/>
      <c r="AH413" s="1570"/>
      <c r="AJ413" s="1578"/>
    </row>
    <row r="414" spans="1:36" hidden="1">
      <c r="A414" s="1585" t="s">
        <v>365</v>
      </c>
      <c r="B414" s="1599">
        <v>48</v>
      </c>
      <c r="C414" s="1614"/>
      <c r="D414" s="1574"/>
      <c r="E414" s="1577"/>
      <c r="F414" s="1614"/>
      <c r="G414" s="1600"/>
      <c r="H414" s="1577"/>
      <c r="I414" s="1614"/>
      <c r="J414" s="1600"/>
      <c r="K414" s="1577"/>
      <c r="M414" s="1570"/>
      <c r="N414" s="1570"/>
      <c r="O414" s="1571"/>
      <c r="P414" s="1571"/>
      <c r="Q414" s="1571"/>
      <c r="R414" s="1570"/>
      <c r="S414" s="1570"/>
      <c r="T414" s="1570"/>
      <c r="U414" s="1570"/>
      <c r="V414" s="1570"/>
      <c r="W414" s="1570"/>
      <c r="X414" s="1570"/>
      <c r="Y414" s="1570"/>
      <c r="Z414" s="1570"/>
      <c r="AA414" s="1570"/>
      <c r="AB414" s="1570"/>
      <c r="AC414" s="1570"/>
      <c r="AD414" s="1570"/>
      <c r="AE414" s="1570"/>
      <c r="AF414" s="1570"/>
      <c r="AG414" s="1570"/>
      <c r="AH414" s="1570"/>
      <c r="AJ414" s="1578"/>
    </row>
    <row r="415" spans="1:36" hidden="1">
      <c r="A415" s="1585" t="s">
        <v>398</v>
      </c>
      <c r="B415" s="1599">
        <v>0</v>
      </c>
      <c r="C415" s="1660">
        <v>2.98</v>
      </c>
      <c r="D415" s="1600"/>
      <c r="E415" s="1577">
        <f>ROUND(C415*$B415,0)</f>
        <v>0</v>
      </c>
      <c r="F415" s="1660">
        <v>3.4</v>
      </c>
      <c r="G415" s="1600"/>
      <c r="H415" s="1577">
        <f>ROUND(F415*B415,0)</f>
        <v>0</v>
      </c>
      <c r="I415" s="1660">
        <f>$I$169</f>
        <v>3.4899999999999998</v>
      </c>
      <c r="J415" s="1600"/>
      <c r="K415" s="1577">
        <f>ROUND(I415*$B415,0)</f>
        <v>0</v>
      </c>
      <c r="M415" s="1570"/>
      <c r="N415" s="1570"/>
      <c r="O415" s="1571"/>
      <c r="P415" s="1571"/>
      <c r="Q415" s="1571"/>
      <c r="R415" s="1570"/>
      <c r="S415" s="1570"/>
      <c r="T415" s="1570"/>
      <c r="U415" s="1570"/>
      <c r="V415" s="1570"/>
      <c r="W415" s="1570"/>
      <c r="X415" s="1570"/>
      <c r="Y415" s="1570"/>
      <c r="Z415" s="1570"/>
      <c r="AA415" s="1570"/>
      <c r="AB415" s="1570"/>
      <c r="AC415" s="1570"/>
      <c r="AD415" s="1570"/>
      <c r="AE415" s="1570"/>
      <c r="AF415" s="1570"/>
      <c r="AG415" s="1570"/>
      <c r="AH415" s="1570"/>
      <c r="AJ415" s="1578"/>
    </row>
    <row r="416" spans="1:36" hidden="1">
      <c r="A416" s="1585" t="s">
        <v>400</v>
      </c>
      <c r="B416" s="1599">
        <f>33313</f>
        <v>33313</v>
      </c>
      <c r="C416" s="1389">
        <v>8.5489999999999995</v>
      </c>
      <c r="D416" s="1600" t="s">
        <v>377</v>
      </c>
      <c r="E416" s="1577">
        <f>ROUND(C416*$B416/100,0)</f>
        <v>2848</v>
      </c>
      <c r="F416" s="1389">
        <v>9.766</v>
      </c>
      <c r="G416" s="1600" t="s">
        <v>377</v>
      </c>
      <c r="H416" s="1577">
        <f>ROUND(F416*B416/100,0)</f>
        <v>3253</v>
      </c>
      <c r="I416" s="1389">
        <f>$I$170</f>
        <v>9.9879999999999995</v>
      </c>
      <c r="J416" s="1600" t="s">
        <v>377</v>
      </c>
      <c r="K416" s="1577">
        <f>ROUND(I416*$B416/100,0)</f>
        <v>3327</v>
      </c>
      <c r="M416" s="1570"/>
      <c r="N416" s="1570"/>
      <c r="O416" s="1571"/>
      <c r="P416" s="1571"/>
      <c r="Q416" s="1571"/>
      <c r="R416" s="1570"/>
      <c r="S416" s="1570"/>
      <c r="T416" s="1570"/>
      <c r="U416" s="1570"/>
      <c r="V416" s="1570"/>
      <c r="W416" s="1570"/>
      <c r="X416" s="1570"/>
      <c r="Y416" s="1570"/>
      <c r="Z416" s="1570"/>
      <c r="AA416" s="1570"/>
      <c r="AB416" s="1570"/>
      <c r="AC416" s="1570"/>
      <c r="AD416" s="1570"/>
      <c r="AE416" s="1570"/>
      <c r="AF416" s="1570"/>
      <c r="AG416" s="1570"/>
      <c r="AH416" s="1570"/>
      <c r="AJ416" s="1578"/>
    </row>
    <row r="417" spans="1:36" hidden="1">
      <c r="A417" s="1585" t="s">
        <v>401</v>
      </c>
      <c r="B417" s="1599">
        <v>0</v>
      </c>
      <c r="C417" s="1389">
        <v>5.9020000000000001</v>
      </c>
      <c r="D417" s="1600" t="s">
        <v>377</v>
      </c>
      <c r="E417" s="1577">
        <f>ROUND(C417*$B417/100,0)</f>
        <v>0</v>
      </c>
      <c r="F417" s="1389">
        <v>6.7460000000000004</v>
      </c>
      <c r="G417" s="1600" t="s">
        <v>377</v>
      </c>
      <c r="H417" s="1577">
        <f t="shared" ref="H417:H419" si="76">ROUND(F417*B417/100,0)</f>
        <v>0</v>
      </c>
      <c r="I417" s="1389">
        <f>$I$171</f>
        <v>6.9080000000000004</v>
      </c>
      <c r="J417" s="1600" t="s">
        <v>377</v>
      </c>
      <c r="K417" s="1577">
        <f>ROUND(I417*$B417/100,0)</f>
        <v>0</v>
      </c>
      <c r="M417" s="1570"/>
      <c r="N417" s="1570"/>
      <c r="O417" s="1571"/>
      <c r="P417" s="1571"/>
      <c r="Q417" s="1571"/>
      <c r="R417" s="1570"/>
      <c r="S417" s="1570"/>
      <c r="T417" s="1570"/>
      <c r="U417" s="1570"/>
      <c r="V417" s="1570"/>
      <c r="W417" s="1570"/>
      <c r="X417" s="1570"/>
      <c r="Y417" s="1570"/>
      <c r="Z417" s="1570"/>
      <c r="AA417" s="1570"/>
      <c r="AB417" s="1570"/>
      <c r="AC417" s="1570"/>
      <c r="AD417" s="1570"/>
      <c r="AE417" s="1570"/>
      <c r="AF417" s="1570"/>
      <c r="AG417" s="1570"/>
      <c r="AH417" s="1570"/>
      <c r="AJ417" s="1578"/>
    </row>
    <row r="418" spans="1:36" hidden="1">
      <c r="A418" s="1585" t="s">
        <v>402</v>
      </c>
      <c r="B418" s="1599">
        <v>0</v>
      </c>
      <c r="C418" s="1389">
        <v>5.0839999999999996</v>
      </c>
      <c r="D418" s="1600" t="s">
        <v>377</v>
      </c>
      <c r="E418" s="1577">
        <f>ROUND(C418*$B418/100,0)</f>
        <v>0</v>
      </c>
      <c r="F418" s="1389">
        <v>5.8120000000000003</v>
      </c>
      <c r="G418" s="1600" t="s">
        <v>377</v>
      </c>
      <c r="H418" s="1577">
        <f t="shared" si="76"/>
        <v>0</v>
      </c>
      <c r="I418" s="1389">
        <f>$I$172</f>
        <v>5.952</v>
      </c>
      <c r="J418" s="1600" t="s">
        <v>377</v>
      </c>
      <c r="K418" s="1577">
        <f>ROUND(I418*$B418/100,0)</f>
        <v>0</v>
      </c>
      <c r="M418" s="1570"/>
      <c r="N418" s="1570"/>
      <c r="O418" s="1571"/>
      <c r="P418" s="1571"/>
      <c r="Q418" s="1571"/>
      <c r="R418" s="1570"/>
      <c r="S418" s="1570"/>
      <c r="T418" s="1570"/>
      <c r="U418" s="1570"/>
      <c r="V418" s="1570"/>
      <c r="W418" s="1570"/>
      <c r="X418" s="1570"/>
      <c r="Y418" s="1570"/>
      <c r="Z418" s="1570"/>
      <c r="AA418" s="1570"/>
      <c r="AB418" s="1570"/>
      <c r="AC418" s="1570"/>
      <c r="AD418" s="1570"/>
      <c r="AE418" s="1570"/>
      <c r="AF418" s="1570"/>
      <c r="AG418" s="1570"/>
      <c r="AH418" s="1570"/>
      <c r="AJ418" s="1578"/>
    </row>
    <row r="419" spans="1:36" hidden="1">
      <c r="A419" s="1585" t="s">
        <v>403</v>
      </c>
      <c r="B419" s="1599">
        <v>0</v>
      </c>
      <c r="C419" s="1647">
        <v>50</v>
      </c>
      <c r="D419" s="1574" t="s">
        <v>377</v>
      </c>
      <c r="E419" s="1577">
        <f>ROUND(C419*$B419/100,0)</f>
        <v>0</v>
      </c>
      <c r="F419" s="1647">
        <v>56</v>
      </c>
      <c r="G419" s="1600" t="s">
        <v>377</v>
      </c>
      <c r="H419" s="1577">
        <f t="shared" si="76"/>
        <v>0</v>
      </c>
      <c r="I419" s="1647">
        <f>$I$173</f>
        <v>57</v>
      </c>
      <c r="J419" s="1600" t="s">
        <v>377</v>
      </c>
      <c r="K419" s="1577">
        <f>ROUND(I419*$B419/100,0)</f>
        <v>0</v>
      </c>
      <c r="M419" s="1570"/>
      <c r="N419" s="1570"/>
      <c r="O419" s="1571"/>
      <c r="P419" s="1571"/>
      <c r="Q419" s="1571"/>
      <c r="R419" s="1570"/>
      <c r="S419" s="1570"/>
      <c r="T419" s="1570"/>
      <c r="U419" s="1570"/>
      <c r="V419" s="1570"/>
      <c r="W419" s="1570"/>
      <c r="X419" s="1570"/>
      <c r="Y419" s="1570"/>
      <c r="Z419" s="1570"/>
      <c r="AA419" s="1570"/>
      <c r="AB419" s="1570"/>
      <c r="AC419" s="1570"/>
      <c r="AD419" s="1570"/>
      <c r="AE419" s="1570"/>
      <c r="AF419" s="1570"/>
      <c r="AG419" s="1570"/>
      <c r="AH419" s="1570"/>
      <c r="AJ419" s="1578"/>
    </row>
    <row r="420" spans="1:36" hidden="1">
      <c r="A420" s="1569" t="s">
        <v>933</v>
      </c>
      <c r="B420" s="1575">
        <f>B416</f>
        <v>33313</v>
      </c>
      <c r="C420" s="1584"/>
      <c r="D420" s="1570"/>
      <c r="E420" s="1577"/>
      <c r="F420" s="1584"/>
      <c r="G420" s="1570"/>
      <c r="H420" s="1577"/>
      <c r="I420" s="1389">
        <f>I174</f>
        <v>0</v>
      </c>
      <c r="J420" s="1600" t="s">
        <v>377</v>
      </c>
      <c r="K420" s="1577">
        <f t="shared" ref="K420:K422" si="77">ROUND(I420*$B420/100,0)</f>
        <v>0</v>
      </c>
      <c r="M420" s="1578"/>
      <c r="O420" s="1579"/>
      <c r="P420" s="1569"/>
      <c r="Q420" s="1569"/>
      <c r="R420" s="1580"/>
      <c r="S420" s="1580"/>
      <c r="X420" s="1570"/>
      <c r="Y420" s="1570"/>
      <c r="Z420" s="1570"/>
      <c r="AA420" s="1570"/>
      <c r="AB420" s="1570"/>
      <c r="AC420" s="1570"/>
      <c r="AD420" s="1570"/>
      <c r="AE420" s="1570"/>
      <c r="AF420" s="1570"/>
      <c r="AG420" s="1570"/>
      <c r="AH420" s="1570"/>
      <c r="AJ420" s="1578"/>
    </row>
    <row r="421" spans="1:36" hidden="1">
      <c r="A421" s="1569" t="s">
        <v>934</v>
      </c>
      <c r="B421" s="1575">
        <f>B417</f>
        <v>0</v>
      </c>
      <c r="C421" s="1584"/>
      <c r="D421" s="1570"/>
      <c r="E421" s="1577"/>
      <c r="F421" s="1584"/>
      <c r="G421" s="1570"/>
      <c r="H421" s="1577"/>
      <c r="I421" s="1389">
        <f>I175</f>
        <v>0</v>
      </c>
      <c r="J421" s="1600" t="s">
        <v>377</v>
      </c>
      <c r="K421" s="1577">
        <f t="shared" si="77"/>
        <v>0</v>
      </c>
      <c r="M421" s="1578"/>
      <c r="O421" s="1579"/>
      <c r="P421" s="1569"/>
      <c r="Q421" s="1569"/>
      <c r="R421" s="1580"/>
      <c r="S421" s="1580"/>
      <c r="X421" s="1570"/>
      <c r="Y421" s="1570"/>
      <c r="Z421" s="1570"/>
      <c r="AA421" s="1570"/>
      <c r="AB421" s="1570"/>
      <c r="AC421" s="1570"/>
      <c r="AD421" s="1570"/>
      <c r="AE421" s="1570"/>
      <c r="AF421" s="1570"/>
      <c r="AG421" s="1570"/>
      <c r="AH421" s="1570"/>
      <c r="AJ421" s="1578"/>
    </row>
    <row r="422" spans="1:36" hidden="1">
      <c r="A422" s="1569" t="s">
        <v>935</v>
      </c>
      <c r="B422" s="1575">
        <f>B418</f>
        <v>0</v>
      </c>
      <c r="C422" s="1584"/>
      <c r="D422" s="1570"/>
      <c r="E422" s="1577"/>
      <c r="F422" s="1584"/>
      <c r="G422" s="1570"/>
      <c r="H422" s="1577"/>
      <c r="I422" s="1389">
        <f>I176</f>
        <v>0</v>
      </c>
      <c r="J422" s="1600" t="s">
        <v>377</v>
      </c>
      <c r="K422" s="1577">
        <f t="shared" si="77"/>
        <v>0</v>
      </c>
      <c r="M422" s="1578"/>
      <c r="O422" s="1579"/>
      <c r="P422" s="1569"/>
      <c r="Q422" s="1569"/>
      <c r="R422" s="1580"/>
      <c r="S422" s="1580"/>
      <c r="X422" s="1570"/>
      <c r="Y422" s="1570"/>
      <c r="Z422" s="1570"/>
      <c r="AA422" s="1570"/>
      <c r="AB422" s="1570"/>
      <c r="AC422" s="1570"/>
      <c r="AD422" s="1570"/>
      <c r="AE422" s="1570"/>
      <c r="AF422" s="1570"/>
      <c r="AG422" s="1570"/>
      <c r="AH422" s="1570"/>
      <c r="AJ422" s="1578"/>
    </row>
    <row r="423" spans="1:36" hidden="1">
      <c r="A423" s="1654" t="s">
        <v>404</v>
      </c>
      <c r="B423" s="1599"/>
      <c r="C423" s="1655">
        <v>-0.01</v>
      </c>
      <c r="D423" s="1574"/>
      <c r="E423" s="1577"/>
      <c r="F423" s="1655">
        <v>-0.01</v>
      </c>
      <c r="G423" s="1600"/>
      <c r="H423" s="1577"/>
      <c r="I423" s="1655">
        <v>-0.01</v>
      </c>
      <c r="J423" s="1600"/>
      <c r="K423" s="1577"/>
      <c r="M423" s="1570"/>
      <c r="N423" s="1570"/>
      <c r="O423" s="1571"/>
      <c r="P423" s="1571"/>
      <c r="Q423" s="1571"/>
      <c r="R423" s="1570"/>
      <c r="S423" s="1570"/>
      <c r="T423" s="1570"/>
      <c r="U423" s="1570"/>
      <c r="V423" s="1570"/>
      <c r="W423" s="1570"/>
      <c r="X423" s="1570"/>
      <c r="Y423" s="1570"/>
      <c r="Z423" s="1570"/>
      <c r="AA423" s="1570"/>
      <c r="AB423" s="1570"/>
      <c r="AC423" s="1570"/>
      <c r="AD423" s="1570"/>
      <c r="AE423" s="1570"/>
      <c r="AF423" s="1570"/>
      <c r="AG423" s="1570"/>
      <c r="AH423" s="1570"/>
      <c r="AJ423" s="1578"/>
    </row>
    <row r="424" spans="1:36" hidden="1">
      <c r="A424" s="1585" t="s">
        <v>393</v>
      </c>
      <c r="B424" s="1599">
        <v>0</v>
      </c>
      <c r="C424" s="1657">
        <v>7.64</v>
      </c>
      <c r="D424" s="1574"/>
      <c r="E424" s="1577">
        <f>-ROUND(C424*$B424/100,0)</f>
        <v>0</v>
      </c>
      <c r="F424" s="1657">
        <v>8.7100000000000009</v>
      </c>
      <c r="G424" s="1574"/>
      <c r="H424" s="1577">
        <f>-ROUND(F424*$B424/100,0)</f>
        <v>0</v>
      </c>
      <c r="I424" s="1657">
        <f>I410</f>
        <v>8.92</v>
      </c>
      <c r="J424" s="1574"/>
      <c r="K424" s="1577">
        <f>-ROUND(I424*$B424/100,0)</f>
        <v>0</v>
      </c>
      <c r="M424" s="1570"/>
      <c r="N424" s="1570"/>
      <c r="O424" s="1571"/>
      <c r="P424" s="1571"/>
      <c r="Q424" s="1571"/>
      <c r="R424" s="1570"/>
      <c r="S424" s="1570"/>
      <c r="T424" s="1570"/>
      <c r="U424" s="1570"/>
      <c r="V424" s="1570"/>
      <c r="W424" s="1570"/>
      <c r="X424" s="1570"/>
      <c r="Y424" s="1570"/>
      <c r="Z424" s="1570"/>
      <c r="AA424" s="1570"/>
      <c r="AB424" s="1570"/>
      <c r="AC424" s="1570"/>
      <c r="AD424" s="1570"/>
      <c r="AE424" s="1570"/>
      <c r="AF424" s="1570"/>
      <c r="AG424" s="1570"/>
      <c r="AH424" s="1570"/>
      <c r="AJ424" s="1578"/>
    </row>
    <row r="425" spans="1:36" hidden="1">
      <c r="A425" s="1585" t="s">
        <v>394</v>
      </c>
      <c r="B425" s="1599">
        <v>0</v>
      </c>
      <c r="C425" s="1657">
        <v>11.36</v>
      </c>
      <c r="D425" s="1574"/>
      <c r="E425" s="1577">
        <f>-ROUND(C425*$B425/100,0)</f>
        <v>0</v>
      </c>
      <c r="F425" s="1657">
        <v>12.98</v>
      </c>
      <c r="G425" s="1574"/>
      <c r="H425" s="1577">
        <f t="shared" ref="H425:H427" si="78">-ROUND(F425*$B425/100,0)</f>
        <v>0</v>
      </c>
      <c r="I425" s="1657">
        <f>I411</f>
        <v>13.299999999999999</v>
      </c>
      <c r="J425" s="1574"/>
      <c r="K425" s="1577">
        <f>-ROUND(I425*$B425/100,0)</f>
        <v>0</v>
      </c>
      <c r="M425" s="1570"/>
      <c r="N425" s="1570"/>
      <c r="O425" s="1571"/>
      <c r="P425" s="1571"/>
      <c r="Q425" s="1571"/>
      <c r="R425" s="1570"/>
      <c r="S425" s="1570"/>
      <c r="T425" s="1570"/>
      <c r="U425" s="1570"/>
      <c r="V425" s="1570"/>
      <c r="W425" s="1570"/>
      <c r="X425" s="1570"/>
      <c r="Y425" s="1570"/>
      <c r="Z425" s="1570"/>
      <c r="AA425" s="1570"/>
      <c r="AB425" s="1570"/>
      <c r="AC425" s="1570"/>
      <c r="AD425" s="1570"/>
      <c r="AE425" s="1570"/>
      <c r="AF425" s="1570"/>
      <c r="AG425" s="1570"/>
      <c r="AH425" s="1570"/>
      <c r="AJ425" s="1578"/>
    </row>
    <row r="426" spans="1:36" hidden="1">
      <c r="A426" s="1585" t="s">
        <v>405</v>
      </c>
      <c r="B426" s="1599">
        <v>0</v>
      </c>
      <c r="C426" s="1657">
        <v>0.81</v>
      </c>
      <c r="D426" s="1574"/>
      <c r="E426" s="1577">
        <f>-ROUND(C426*$B426/100,0)</f>
        <v>0</v>
      </c>
      <c r="F426" s="1657">
        <v>0.92</v>
      </c>
      <c r="G426" s="1574"/>
      <c r="H426" s="1577">
        <f t="shared" si="78"/>
        <v>0</v>
      </c>
      <c r="I426" s="1657">
        <f>I412</f>
        <v>0.95</v>
      </c>
      <c r="J426" s="1574"/>
      <c r="K426" s="1577">
        <f>-ROUND(I426*$B426/100,0)</f>
        <v>0</v>
      </c>
      <c r="M426" s="1570"/>
      <c r="N426" s="1570"/>
      <c r="O426" s="1571"/>
      <c r="P426" s="1571"/>
      <c r="Q426" s="1571"/>
      <c r="R426" s="1570"/>
      <c r="S426" s="1570"/>
      <c r="T426" s="1570"/>
      <c r="U426" s="1570"/>
      <c r="V426" s="1570"/>
      <c r="W426" s="1570"/>
      <c r="X426" s="1570"/>
      <c r="Y426" s="1570"/>
      <c r="Z426" s="1570"/>
      <c r="AA426" s="1570"/>
      <c r="AB426" s="1570"/>
      <c r="AC426" s="1570"/>
      <c r="AD426" s="1570"/>
      <c r="AE426" s="1570"/>
      <c r="AF426" s="1570"/>
      <c r="AG426" s="1570"/>
      <c r="AH426" s="1570"/>
      <c r="AJ426" s="1578"/>
    </row>
    <row r="427" spans="1:36" hidden="1">
      <c r="A427" s="1585" t="s">
        <v>406</v>
      </c>
      <c r="B427" s="1599">
        <v>0</v>
      </c>
      <c r="C427" s="1657">
        <v>2.98</v>
      </c>
      <c r="D427" s="1600"/>
      <c r="E427" s="1577">
        <f>-ROUND(C427*$B427/100,0)</f>
        <v>0</v>
      </c>
      <c r="F427" s="1657">
        <v>3.4</v>
      </c>
      <c r="G427" s="1600"/>
      <c r="H427" s="1577">
        <f t="shared" si="78"/>
        <v>0</v>
      </c>
      <c r="I427" s="1657">
        <f>I415</f>
        <v>3.4899999999999998</v>
      </c>
      <c r="J427" s="1600"/>
      <c r="K427" s="1577">
        <f>-ROUND(I427*$B427/100,0)</f>
        <v>0</v>
      </c>
      <c r="M427" s="1570"/>
      <c r="N427" s="1570"/>
      <c r="O427" s="1571"/>
      <c r="P427" s="1571"/>
      <c r="Q427" s="1571"/>
      <c r="R427" s="1570"/>
      <c r="S427" s="1570"/>
      <c r="T427" s="1570"/>
      <c r="U427" s="1570"/>
      <c r="V427" s="1570"/>
      <c r="W427" s="1570"/>
      <c r="X427" s="1570"/>
      <c r="Y427" s="1570"/>
      <c r="Z427" s="1570"/>
      <c r="AA427" s="1570"/>
      <c r="AB427" s="1570"/>
      <c r="AC427" s="1570"/>
      <c r="AD427" s="1570"/>
      <c r="AE427" s="1570"/>
      <c r="AF427" s="1570"/>
      <c r="AG427" s="1570"/>
      <c r="AH427" s="1570"/>
      <c r="AJ427" s="1578"/>
    </row>
    <row r="428" spans="1:36" hidden="1">
      <c r="A428" s="1585" t="s">
        <v>408</v>
      </c>
      <c r="B428" s="1599">
        <v>0</v>
      </c>
      <c r="C428" s="1658">
        <v>8.5489999999999995</v>
      </c>
      <c r="D428" s="1600" t="s">
        <v>377</v>
      </c>
      <c r="E428" s="1577">
        <f>ROUND(C428*$B428/100*C423,0)</f>
        <v>0</v>
      </c>
      <c r="F428" s="1658">
        <v>9.766</v>
      </c>
      <c r="G428" s="1600" t="s">
        <v>377</v>
      </c>
      <c r="H428" s="1577">
        <f>ROUND(F428*$B428/100*F423,0)</f>
        <v>0</v>
      </c>
      <c r="I428" s="1658">
        <f>I416</f>
        <v>9.9879999999999995</v>
      </c>
      <c r="J428" s="1600" t="s">
        <v>377</v>
      </c>
      <c r="K428" s="1577">
        <f>ROUND(I428*$B428/100*I423,0)</f>
        <v>0</v>
      </c>
      <c r="M428" s="1570"/>
      <c r="N428" s="1570"/>
      <c r="O428" s="1571"/>
      <c r="P428" s="1571"/>
      <c r="Q428" s="1571"/>
      <c r="R428" s="1570"/>
      <c r="S428" s="1570"/>
      <c r="T428" s="1570"/>
      <c r="U428" s="1570"/>
      <c r="V428" s="1570"/>
      <c r="W428" s="1570"/>
      <c r="X428" s="1570"/>
      <c r="Y428" s="1570"/>
      <c r="Z428" s="1570"/>
      <c r="AA428" s="1570"/>
      <c r="AB428" s="1570"/>
      <c r="AC428" s="1570"/>
      <c r="AD428" s="1570"/>
      <c r="AE428" s="1570"/>
      <c r="AF428" s="1570"/>
      <c r="AG428" s="1570"/>
      <c r="AH428" s="1570"/>
      <c r="AJ428" s="1578"/>
    </row>
    <row r="429" spans="1:36" hidden="1">
      <c r="A429" s="1585" t="s">
        <v>401</v>
      </c>
      <c r="B429" s="1599">
        <v>0</v>
      </c>
      <c r="C429" s="1658">
        <v>5.9020000000000001</v>
      </c>
      <c r="D429" s="1600" t="s">
        <v>377</v>
      </c>
      <c r="E429" s="1577">
        <f>ROUND(C429*$B429/100*C423,0)</f>
        <v>0</v>
      </c>
      <c r="F429" s="1658">
        <v>6.7460000000000004</v>
      </c>
      <c r="G429" s="1600" t="s">
        <v>377</v>
      </c>
      <c r="H429" s="1577">
        <f>ROUND(F429*$B429/100*F423,0)</f>
        <v>0</v>
      </c>
      <c r="I429" s="1658">
        <f>I417</f>
        <v>6.9080000000000004</v>
      </c>
      <c r="J429" s="1600" t="s">
        <v>377</v>
      </c>
      <c r="K429" s="1577">
        <f>ROUND(I429*$B429/100*I423,0)</f>
        <v>0</v>
      </c>
      <c r="M429" s="1570"/>
      <c r="N429" s="1570"/>
      <c r="O429" s="1571"/>
      <c r="P429" s="1571"/>
      <c r="Q429" s="1571"/>
      <c r="R429" s="1570"/>
      <c r="S429" s="1570"/>
      <c r="T429" s="1570"/>
      <c r="U429" s="1570"/>
      <c r="V429" s="1570"/>
      <c r="W429" s="1570"/>
      <c r="X429" s="1570"/>
      <c r="Y429" s="1570"/>
      <c r="Z429" s="1570"/>
      <c r="AA429" s="1570"/>
      <c r="AB429" s="1570"/>
      <c r="AC429" s="1570"/>
      <c r="AD429" s="1570"/>
      <c r="AE429" s="1570"/>
      <c r="AF429" s="1570"/>
      <c r="AG429" s="1570"/>
      <c r="AH429" s="1570"/>
      <c r="AJ429" s="1578"/>
    </row>
    <row r="430" spans="1:36" hidden="1">
      <c r="A430" s="1585" t="s">
        <v>402</v>
      </c>
      <c r="B430" s="1599">
        <v>0</v>
      </c>
      <c r="C430" s="1658">
        <v>5.0839999999999996</v>
      </c>
      <c r="D430" s="1600" t="s">
        <v>377</v>
      </c>
      <c r="E430" s="1577">
        <f>ROUND(C430*$B430/100*C423,0)</f>
        <v>0</v>
      </c>
      <c r="F430" s="1658">
        <v>5.8120000000000003</v>
      </c>
      <c r="G430" s="1600" t="s">
        <v>377</v>
      </c>
      <c r="H430" s="1577">
        <f>ROUND(F430*$B430/100*F423,0)</f>
        <v>0</v>
      </c>
      <c r="I430" s="1658">
        <f>I418</f>
        <v>5.952</v>
      </c>
      <c r="J430" s="1600" t="s">
        <v>377</v>
      </c>
      <c r="K430" s="1577">
        <f>ROUND(I430*$B430/100*I423,0)</f>
        <v>0</v>
      </c>
      <c r="M430" s="1570"/>
      <c r="N430" s="1570"/>
      <c r="O430" s="1571"/>
      <c r="P430" s="1571"/>
      <c r="Q430" s="1571"/>
      <c r="R430" s="1570"/>
      <c r="S430" s="1570"/>
      <c r="T430" s="1570"/>
      <c r="U430" s="1570"/>
      <c r="V430" s="1570"/>
      <c r="W430" s="1570"/>
      <c r="X430" s="1570"/>
      <c r="Y430" s="1570"/>
      <c r="Z430" s="1570"/>
      <c r="AA430" s="1570"/>
      <c r="AB430" s="1570"/>
      <c r="AC430" s="1570"/>
      <c r="AD430" s="1570"/>
      <c r="AE430" s="1570"/>
      <c r="AF430" s="1570"/>
      <c r="AG430" s="1570"/>
      <c r="AH430" s="1570"/>
      <c r="AJ430" s="1578"/>
    </row>
    <row r="431" spans="1:36" hidden="1">
      <c r="A431" s="1585" t="s">
        <v>403</v>
      </c>
      <c r="B431" s="1599">
        <v>0</v>
      </c>
      <c r="C431" s="1659">
        <v>50</v>
      </c>
      <c r="D431" s="1600" t="s">
        <v>377</v>
      </c>
      <c r="E431" s="1577">
        <f>ROUND(C431*$B431/100*C423,0)</f>
        <v>0</v>
      </c>
      <c r="F431" s="1659">
        <v>56</v>
      </c>
      <c r="G431" s="1600" t="s">
        <v>377</v>
      </c>
      <c r="H431" s="1577">
        <f>ROUND(F431*$B431/100*F423,0)</f>
        <v>0</v>
      </c>
      <c r="I431" s="1659">
        <f>I419</f>
        <v>57</v>
      </c>
      <c r="J431" s="1600" t="s">
        <v>377</v>
      </c>
      <c r="K431" s="1577">
        <f>ROUND(I431*$B431/100*I423,0)</f>
        <v>0</v>
      </c>
      <c r="M431" s="1570"/>
      <c r="N431" s="1570"/>
      <c r="O431" s="1571"/>
      <c r="P431" s="1571"/>
      <c r="Q431" s="1571"/>
      <c r="R431" s="1570"/>
      <c r="S431" s="1570"/>
      <c r="T431" s="1570"/>
      <c r="U431" s="1570"/>
      <c r="V431" s="1570"/>
      <c r="W431" s="1570"/>
      <c r="X431" s="1570"/>
      <c r="Y431" s="1570"/>
      <c r="Z431" s="1570"/>
      <c r="AA431" s="1570"/>
      <c r="AB431" s="1570"/>
      <c r="AC431" s="1570"/>
      <c r="AD431" s="1570"/>
      <c r="AE431" s="1570"/>
      <c r="AF431" s="1570"/>
      <c r="AG431" s="1570"/>
      <c r="AH431" s="1570"/>
      <c r="AJ431" s="1578"/>
    </row>
    <row r="432" spans="1:36" hidden="1">
      <c r="A432" s="1585" t="s">
        <v>410</v>
      </c>
      <c r="B432" s="1599">
        <v>0</v>
      </c>
      <c r="C432" s="1660">
        <v>60</v>
      </c>
      <c r="D432" s="1574"/>
      <c r="E432" s="1577">
        <f>ROUND(C432*$B432,0)</f>
        <v>0</v>
      </c>
      <c r="F432" s="1660">
        <v>60</v>
      </c>
      <c r="G432" s="1600"/>
      <c r="H432" s="1577">
        <f>ROUND(F432*B432,0)</f>
        <v>0</v>
      </c>
      <c r="I432" s="1660">
        <f>$I$189</f>
        <v>60</v>
      </c>
      <c r="J432" s="1600"/>
      <c r="K432" s="1577">
        <f>ROUND(I432*$B432,0)</f>
        <v>0</v>
      </c>
      <c r="M432" s="1570"/>
      <c r="N432" s="1570"/>
      <c r="O432" s="1571"/>
      <c r="P432" s="1571"/>
      <c r="Q432" s="1571"/>
      <c r="R432" s="1570"/>
      <c r="S432" s="1570"/>
      <c r="T432" s="1570"/>
      <c r="U432" s="1570"/>
      <c r="V432" s="1570"/>
      <c r="W432" s="1570"/>
      <c r="X432" s="1570"/>
      <c r="Y432" s="1570"/>
      <c r="Z432" s="1570"/>
      <c r="AA432" s="1570"/>
      <c r="AB432" s="1570"/>
      <c r="AC432" s="1570"/>
      <c r="AD432" s="1570"/>
      <c r="AE432" s="1570"/>
      <c r="AF432" s="1570"/>
      <c r="AG432" s="1570"/>
      <c r="AH432" s="1570"/>
      <c r="AJ432" s="1578"/>
    </row>
    <row r="433" spans="1:36" hidden="1">
      <c r="A433" s="1585" t="s">
        <v>411</v>
      </c>
      <c r="B433" s="1599">
        <v>0</v>
      </c>
      <c r="C433" s="1661">
        <v>-30</v>
      </c>
      <c r="D433" s="1574" t="s">
        <v>377</v>
      </c>
      <c r="E433" s="1577">
        <f>ROUND(C433*$B433/100,0)</f>
        <v>0</v>
      </c>
      <c r="F433" s="1661">
        <v>-30</v>
      </c>
      <c r="G433" s="1600" t="s">
        <v>377</v>
      </c>
      <c r="H433" s="1577">
        <f>ROUND(F433*B433/100,0)</f>
        <v>0</v>
      </c>
      <c r="I433" s="1661">
        <f>$I$190</f>
        <v>-30</v>
      </c>
      <c r="J433" s="1600" t="s">
        <v>377</v>
      </c>
      <c r="K433" s="1577">
        <f>ROUND(I433*$B433/100,0)</f>
        <v>0</v>
      </c>
      <c r="M433" s="1570"/>
      <c r="N433" s="1570"/>
      <c r="O433" s="1571"/>
      <c r="P433" s="1571"/>
      <c r="Q433" s="1571"/>
      <c r="R433" s="1570"/>
      <c r="S433" s="1570"/>
      <c r="T433" s="1570"/>
      <c r="U433" s="1570"/>
      <c r="V433" s="1570"/>
      <c r="W433" s="1570"/>
      <c r="X433" s="1570"/>
      <c r="Y433" s="1570"/>
      <c r="Z433" s="1570"/>
      <c r="AA433" s="1570"/>
      <c r="AB433" s="1570"/>
      <c r="AC433" s="1570"/>
      <c r="AD433" s="1570"/>
      <c r="AE433" s="1570"/>
      <c r="AF433" s="1570"/>
      <c r="AG433" s="1570"/>
      <c r="AH433" s="1570"/>
      <c r="AJ433" s="1578"/>
    </row>
    <row r="434" spans="1:36" hidden="1">
      <c r="A434" s="1569" t="s">
        <v>933</v>
      </c>
      <c r="B434" s="1575">
        <f>B428</f>
        <v>0</v>
      </c>
      <c r="C434" s="1584"/>
      <c r="D434" s="1570"/>
      <c r="E434" s="1577"/>
      <c r="F434" s="1584"/>
      <c r="G434" s="1570"/>
      <c r="H434" s="1577"/>
      <c r="I434" s="1389">
        <f>I174</f>
        <v>0</v>
      </c>
      <c r="J434" s="1600" t="s">
        <v>377</v>
      </c>
      <c r="K434" s="1577">
        <f t="shared" ref="K434:K436" si="79">ROUND(I434*$B434/100,0)</f>
        <v>0</v>
      </c>
      <c r="M434" s="1578"/>
      <c r="O434" s="1579"/>
      <c r="P434" s="1569"/>
      <c r="Q434" s="1569"/>
      <c r="R434" s="1580"/>
      <c r="S434" s="1580"/>
      <c r="X434" s="1570"/>
      <c r="Y434" s="1570"/>
      <c r="Z434" s="1570"/>
      <c r="AA434" s="1570"/>
      <c r="AB434" s="1570"/>
      <c r="AC434" s="1570"/>
      <c r="AD434" s="1570"/>
      <c r="AE434" s="1570"/>
      <c r="AF434" s="1570"/>
      <c r="AG434" s="1570"/>
      <c r="AH434" s="1570"/>
      <c r="AJ434" s="1578"/>
    </row>
    <row r="435" spans="1:36" hidden="1">
      <c r="A435" s="1569" t="s">
        <v>934</v>
      </c>
      <c r="B435" s="1575">
        <f>B429</f>
        <v>0</v>
      </c>
      <c r="C435" s="1584"/>
      <c r="D435" s="1570"/>
      <c r="E435" s="1577"/>
      <c r="F435" s="1584"/>
      <c r="G435" s="1570"/>
      <c r="H435" s="1577"/>
      <c r="I435" s="1389">
        <f>I175</f>
        <v>0</v>
      </c>
      <c r="J435" s="1600" t="s">
        <v>377</v>
      </c>
      <c r="K435" s="1577">
        <f t="shared" si="79"/>
        <v>0</v>
      </c>
      <c r="M435" s="1578"/>
      <c r="O435" s="1579"/>
      <c r="P435" s="1569"/>
      <c r="Q435" s="1569"/>
      <c r="R435" s="1580"/>
      <c r="S435" s="1580"/>
      <c r="X435" s="1570"/>
      <c r="Y435" s="1570"/>
      <c r="Z435" s="1570"/>
      <c r="AA435" s="1570"/>
      <c r="AB435" s="1570"/>
      <c r="AC435" s="1570"/>
      <c r="AD435" s="1570"/>
      <c r="AE435" s="1570"/>
      <c r="AF435" s="1570"/>
      <c r="AG435" s="1570"/>
      <c r="AH435" s="1570"/>
      <c r="AJ435" s="1578"/>
    </row>
    <row r="436" spans="1:36" hidden="1">
      <c r="A436" s="1569" t="s">
        <v>935</v>
      </c>
      <c r="B436" s="1575">
        <f>B430</f>
        <v>0</v>
      </c>
      <c r="C436" s="1584"/>
      <c r="D436" s="1570"/>
      <c r="E436" s="1577"/>
      <c r="F436" s="1584"/>
      <c r="G436" s="1570"/>
      <c r="H436" s="1577"/>
      <c r="I436" s="1389">
        <f>I176</f>
        <v>0</v>
      </c>
      <c r="J436" s="1600" t="s">
        <v>377</v>
      </c>
      <c r="K436" s="1577">
        <f t="shared" si="79"/>
        <v>0</v>
      </c>
      <c r="M436" s="1578"/>
      <c r="O436" s="1579"/>
      <c r="P436" s="1569"/>
      <c r="Q436" s="1569"/>
      <c r="R436" s="1580"/>
      <c r="S436" s="1580"/>
      <c r="X436" s="1570"/>
      <c r="Y436" s="1570"/>
      <c r="Z436" s="1570"/>
      <c r="AA436" s="1570"/>
      <c r="AB436" s="1570"/>
      <c r="AC436" s="1570"/>
      <c r="AD436" s="1570"/>
      <c r="AE436" s="1570"/>
      <c r="AF436" s="1570"/>
      <c r="AG436" s="1570"/>
      <c r="AH436" s="1570"/>
      <c r="AJ436" s="1578"/>
    </row>
    <row r="437" spans="1:36" hidden="1">
      <c r="A437" s="1585" t="s">
        <v>384</v>
      </c>
      <c r="B437" s="1599">
        <f>SUM(B416:B418)</f>
        <v>33313</v>
      </c>
      <c r="C437" s="1647"/>
      <c r="D437" s="1577"/>
      <c r="E437" s="1577">
        <f>SUM(E410:E433)</f>
        <v>6790</v>
      </c>
      <c r="F437" s="1647"/>
      <c r="G437" s="1600"/>
      <c r="H437" s="1577">
        <f>SUM(H410:H433)</f>
        <v>7747</v>
      </c>
      <c r="I437" s="1647"/>
      <c r="J437" s="1600"/>
      <c r="K437" s="1577">
        <f>SUM(K410:K436)</f>
        <v>7930</v>
      </c>
      <c r="M437" s="1570"/>
      <c r="N437" s="1570"/>
      <c r="O437" s="1571"/>
      <c r="P437" s="1571"/>
      <c r="Q437" s="1571"/>
      <c r="R437" s="1570"/>
      <c r="S437" s="1570"/>
      <c r="T437" s="1570"/>
      <c r="U437" s="1570"/>
      <c r="V437" s="1570"/>
      <c r="W437" s="1570"/>
      <c r="X437" s="1570"/>
      <c r="Y437" s="1570"/>
      <c r="Z437" s="1570"/>
      <c r="AA437" s="1570"/>
      <c r="AB437" s="1570"/>
      <c r="AC437" s="1570"/>
      <c r="AD437" s="1570"/>
      <c r="AE437" s="1570"/>
      <c r="AF437" s="1570"/>
      <c r="AG437" s="1570"/>
      <c r="AH437" s="1570"/>
      <c r="AJ437" s="1578"/>
    </row>
    <row r="438" spans="1:36" hidden="1">
      <c r="A438" s="1585" t="s">
        <v>366</v>
      </c>
      <c r="B438" s="1679">
        <f ca="1">'Table 2'!H72</f>
        <v>457.04356388458245</v>
      </c>
      <c r="C438" s="1600"/>
      <c r="D438" s="1600"/>
      <c r="E438" s="1664" t="e">
        <f>#REF!</f>
        <v>#REF!</v>
      </c>
      <c r="F438" s="1600"/>
      <c r="G438" s="1600"/>
      <c r="H438" s="1664">
        <f ca="1">'Table 3'!E72</f>
        <v>125.2739508222905</v>
      </c>
      <c r="I438" s="1600"/>
      <c r="J438" s="1600"/>
      <c r="K438" s="1664">
        <f ca="1">H438</f>
        <v>125.2739508222905</v>
      </c>
      <c r="M438" s="1422"/>
      <c r="N438" s="1422"/>
      <c r="O438" s="1423"/>
      <c r="P438" s="1571"/>
      <c r="Q438" s="1571"/>
      <c r="R438" s="1570"/>
      <c r="S438" s="1570"/>
      <c r="T438" s="1570"/>
      <c r="U438" s="1570"/>
      <c r="V438" s="1570"/>
      <c r="W438" s="1570"/>
      <c r="X438" s="1570"/>
      <c r="Y438" s="1570"/>
      <c r="Z438" s="1570"/>
      <c r="AA438" s="1570"/>
      <c r="AB438" s="1570"/>
      <c r="AC438" s="1570"/>
      <c r="AD438" s="1570"/>
      <c r="AE438" s="1570"/>
      <c r="AF438" s="1570"/>
      <c r="AG438" s="1570"/>
      <c r="AH438" s="1570"/>
      <c r="AJ438" s="1578"/>
    </row>
    <row r="439" spans="1:36" ht="15.75" hidden="1" thickBot="1">
      <c r="A439" s="1585" t="s">
        <v>385</v>
      </c>
      <c r="B439" s="1632">
        <f ca="1">SUM(B437:B438)</f>
        <v>33770.043563884581</v>
      </c>
      <c r="C439" s="1666"/>
      <c r="D439" s="1667"/>
      <c r="E439" s="1668" t="e">
        <f>E437+E438</f>
        <v>#REF!</v>
      </c>
      <c r="F439" s="1666"/>
      <c r="G439" s="1670"/>
      <c r="H439" s="1668">
        <f ca="1">H437+H438</f>
        <v>7872.2739508222903</v>
      </c>
      <c r="I439" s="1666"/>
      <c r="J439" s="1670"/>
      <c r="K439" s="1668">
        <f ca="1">K437+K438</f>
        <v>8055.2739508222903</v>
      </c>
      <c r="M439" s="1424"/>
      <c r="N439" s="1424"/>
      <c r="O439" s="1597"/>
      <c r="P439" s="1571"/>
      <c r="Q439" s="1571"/>
      <c r="R439" s="1570"/>
      <c r="S439" s="1570"/>
      <c r="T439" s="1570"/>
      <c r="U439" s="1570"/>
      <c r="V439" s="1570"/>
      <c r="W439" s="1570"/>
      <c r="X439" s="1570"/>
      <c r="Y439" s="1570"/>
      <c r="Z439" s="1570"/>
      <c r="AA439" s="1570"/>
      <c r="AB439" s="1570"/>
      <c r="AC439" s="1570"/>
      <c r="AD439" s="1570"/>
      <c r="AE439" s="1570"/>
      <c r="AF439" s="1570"/>
      <c r="AG439" s="1570"/>
      <c r="AH439" s="1570"/>
      <c r="AJ439" s="1578"/>
    </row>
    <row r="440" spans="1:36" hidden="1">
      <c r="A440" s="1585"/>
      <c r="B440" s="1610"/>
      <c r="C440" s="1660"/>
      <c r="D440" s="1577"/>
      <c r="E440" s="1577"/>
      <c r="F440" s="1660" t="s">
        <v>31</v>
      </c>
      <c r="G440" s="1585"/>
      <c r="H440" s="1577"/>
      <c r="I440" s="1657" t="s">
        <v>31</v>
      </c>
      <c r="J440" s="1585"/>
      <c r="K440" s="1577" t="s">
        <v>31</v>
      </c>
      <c r="M440" s="1570"/>
      <c r="N440" s="1570"/>
      <c r="O440" s="1571"/>
      <c r="P440" s="1571"/>
      <c r="Q440" s="1571"/>
      <c r="R440" s="1570"/>
      <c r="S440" s="1570"/>
      <c r="T440" s="1570"/>
      <c r="U440" s="1570"/>
      <c r="V440" s="1570"/>
      <c r="W440" s="1570"/>
      <c r="X440" s="1570"/>
      <c r="Y440" s="1570"/>
      <c r="Z440" s="1570"/>
      <c r="AA440" s="1570"/>
      <c r="AB440" s="1570"/>
      <c r="AC440" s="1570"/>
      <c r="AD440" s="1570"/>
      <c r="AE440" s="1570"/>
      <c r="AF440" s="1570"/>
      <c r="AG440" s="1570"/>
      <c r="AH440" s="1570"/>
      <c r="AJ440" s="1578"/>
    </row>
    <row r="441" spans="1:36" hidden="1">
      <c r="A441" s="1585"/>
      <c r="B441" s="1610"/>
      <c r="C441" s="1660"/>
      <c r="D441" s="1577"/>
      <c r="E441" s="1577"/>
      <c r="F441" s="1660" t="s">
        <v>31</v>
      </c>
      <c r="G441" s="1585"/>
      <c r="H441" s="1577"/>
      <c r="I441" s="1657" t="s">
        <v>31</v>
      </c>
      <c r="J441" s="1585"/>
      <c r="K441" s="1577" t="s">
        <v>31</v>
      </c>
      <c r="M441" s="1570"/>
      <c r="N441" s="1570"/>
      <c r="O441" s="1571"/>
      <c r="P441" s="1571"/>
      <c r="Q441" s="1571"/>
      <c r="R441" s="1570"/>
      <c r="S441" s="1570"/>
      <c r="T441" s="1570"/>
      <c r="U441" s="1570"/>
      <c r="V441" s="1570"/>
      <c r="W441" s="1570"/>
      <c r="X441" s="1570"/>
      <c r="Y441" s="1570"/>
      <c r="Z441" s="1570"/>
      <c r="AA441" s="1570"/>
      <c r="AB441" s="1570"/>
      <c r="AC441" s="1570"/>
      <c r="AD441" s="1570"/>
      <c r="AE441" s="1570"/>
      <c r="AF441" s="1570"/>
      <c r="AG441" s="1570"/>
      <c r="AH441" s="1570"/>
      <c r="AJ441" s="1578"/>
    </row>
    <row r="442" spans="1:36" hidden="1">
      <c r="A442" s="1609" t="s">
        <v>420</v>
      </c>
      <c r="B442" s="1585"/>
      <c r="C442" s="1577"/>
      <c r="D442" s="1577"/>
      <c r="E442" s="1585" t="s">
        <v>31</v>
      </c>
      <c r="F442" s="1577"/>
      <c r="G442" s="1585"/>
      <c r="H442" s="1585"/>
      <c r="I442" s="1577"/>
      <c r="J442" s="1585"/>
      <c r="K442" s="1585"/>
      <c r="M442" s="1570"/>
      <c r="N442" s="1570"/>
      <c r="O442" s="1571"/>
      <c r="P442" s="1571"/>
      <c r="Q442" s="1571"/>
      <c r="R442" s="1570"/>
      <c r="S442" s="1570"/>
      <c r="T442" s="1570"/>
      <c r="U442" s="1570"/>
      <c r="V442" s="1570"/>
      <c r="W442" s="1570"/>
      <c r="X442" s="1570"/>
      <c r="Y442" s="1570"/>
      <c r="Z442" s="1570"/>
      <c r="AA442" s="1570"/>
      <c r="AB442" s="1570"/>
      <c r="AC442" s="1570"/>
      <c r="AD442" s="1570"/>
      <c r="AE442" s="1570"/>
      <c r="AF442" s="1570"/>
      <c r="AG442" s="1570"/>
      <c r="AH442" s="1570"/>
      <c r="AJ442" s="1578"/>
    </row>
    <row r="443" spans="1:36" hidden="1">
      <c r="A443" s="1585" t="s">
        <v>413</v>
      </c>
      <c r="B443" s="1585"/>
      <c r="C443" s="1577"/>
      <c r="D443" s="1577"/>
      <c r="E443" s="1585"/>
      <c r="F443" s="1577"/>
      <c r="G443" s="1585"/>
      <c r="H443" s="1585"/>
      <c r="I443" s="1577"/>
      <c r="J443" s="1585"/>
      <c r="K443" s="1585"/>
      <c r="M443" s="1570"/>
      <c r="N443" s="1570"/>
      <c r="O443" s="1571"/>
      <c r="P443" s="1571"/>
      <c r="Q443" s="1571"/>
      <c r="R443" s="1570"/>
      <c r="S443" s="1570"/>
      <c r="T443" s="1570"/>
      <c r="U443" s="1570"/>
      <c r="V443" s="1570"/>
      <c r="W443" s="1570"/>
      <c r="X443" s="1570"/>
      <c r="Y443" s="1570"/>
      <c r="Z443" s="1570"/>
      <c r="AA443" s="1570"/>
      <c r="AB443" s="1570"/>
      <c r="AC443" s="1570"/>
      <c r="AD443" s="1570"/>
      <c r="AE443" s="1570"/>
      <c r="AF443" s="1570"/>
      <c r="AG443" s="1570"/>
      <c r="AH443" s="1570"/>
    </row>
    <row r="444" spans="1:36" hidden="1">
      <c r="A444" s="1585" t="s">
        <v>421</v>
      </c>
      <c r="B444" s="1585"/>
      <c r="C444" s="1577"/>
      <c r="D444" s="1577"/>
      <c r="E444" s="1585"/>
      <c r="F444" s="1577"/>
      <c r="G444" s="1585"/>
      <c r="H444" s="1585"/>
      <c r="I444" s="1577"/>
      <c r="J444" s="1585"/>
      <c r="K444" s="1585"/>
      <c r="M444" s="1570"/>
      <c r="N444" s="1570"/>
      <c r="O444" s="1571"/>
      <c r="P444" s="1571"/>
      <c r="Q444" s="1571"/>
      <c r="R444" s="1570"/>
      <c r="S444" s="1570"/>
      <c r="T444" s="1570"/>
      <c r="U444" s="1570"/>
      <c r="V444" s="1570"/>
      <c r="W444" s="1570"/>
      <c r="X444" s="1570"/>
      <c r="Y444" s="1570"/>
      <c r="Z444" s="1570"/>
      <c r="AA444" s="1570"/>
      <c r="AB444" s="1570"/>
      <c r="AC444" s="1570"/>
      <c r="AD444" s="1570"/>
      <c r="AE444" s="1570"/>
      <c r="AF444" s="1570"/>
      <c r="AG444" s="1570"/>
      <c r="AH444" s="1570"/>
    </row>
    <row r="445" spans="1:36" hidden="1">
      <c r="A445" s="1585" t="s">
        <v>396</v>
      </c>
      <c r="B445" s="1599"/>
      <c r="C445" s="1577"/>
      <c r="D445" s="1577"/>
      <c r="E445" s="1585"/>
      <c r="F445" s="1577"/>
      <c r="G445" s="1585"/>
      <c r="H445" s="1585"/>
      <c r="I445" s="1577"/>
      <c r="J445" s="1585"/>
      <c r="K445" s="1585"/>
      <c r="M445" s="1570"/>
      <c r="N445" s="1570"/>
      <c r="O445" s="1571"/>
      <c r="P445" s="1571"/>
      <c r="Q445" s="1571"/>
      <c r="R445" s="1570"/>
      <c r="S445" s="1570"/>
      <c r="T445" s="1570"/>
      <c r="U445" s="1570"/>
      <c r="V445" s="1570"/>
      <c r="W445" s="1570"/>
      <c r="X445" s="1570"/>
      <c r="Y445" s="1570"/>
      <c r="Z445" s="1570"/>
      <c r="AA445" s="1570"/>
      <c r="AB445" s="1570"/>
      <c r="AC445" s="1570"/>
      <c r="AD445" s="1570"/>
      <c r="AE445" s="1570"/>
      <c r="AF445" s="1570"/>
      <c r="AG445" s="1570"/>
      <c r="AH445" s="1570"/>
    </row>
    <row r="446" spans="1:36" hidden="1">
      <c r="A446" s="1585" t="s">
        <v>393</v>
      </c>
      <c r="B446" s="1599">
        <f t="shared" ref="B446:B456" si="80">B481+B516</f>
        <v>1</v>
      </c>
      <c r="C446" s="1614">
        <v>91.679999999999993</v>
      </c>
      <c r="D446" s="1574"/>
      <c r="E446" s="1577">
        <f>E481+E516</f>
        <v>92</v>
      </c>
      <c r="F446" s="1614">
        <v>104.52000000000001</v>
      </c>
      <c r="G446" s="1600"/>
      <c r="H446" s="1577">
        <f>H481+H516</f>
        <v>105</v>
      </c>
      <c r="I446" s="1614">
        <f>$I$160</f>
        <v>107.03999999999999</v>
      </c>
      <c r="J446" s="1600"/>
      <c r="K446" s="1577">
        <f>K481+K516</f>
        <v>107</v>
      </c>
      <c r="M446" s="1570"/>
      <c r="N446" s="1570"/>
      <c r="O446" s="1571"/>
      <c r="P446" s="1571"/>
      <c r="Q446" s="1571"/>
      <c r="R446" s="1570"/>
      <c r="S446" s="1570"/>
      <c r="T446" s="1570"/>
      <c r="U446" s="1570"/>
      <c r="V446" s="1570"/>
      <c r="W446" s="1570"/>
      <c r="X446" s="1570"/>
      <c r="Y446" s="1570"/>
      <c r="Z446" s="1570"/>
      <c r="AA446" s="1570"/>
      <c r="AB446" s="1570"/>
      <c r="AC446" s="1570"/>
      <c r="AD446" s="1570"/>
      <c r="AE446" s="1570"/>
      <c r="AF446" s="1570"/>
      <c r="AG446" s="1570"/>
      <c r="AH446" s="1570"/>
    </row>
    <row r="447" spans="1:36" hidden="1">
      <c r="A447" s="1585" t="s">
        <v>394</v>
      </c>
      <c r="B447" s="1599">
        <f t="shared" si="80"/>
        <v>88.747945205479496</v>
      </c>
      <c r="C447" s="1614">
        <v>136.32</v>
      </c>
      <c r="D447" s="1641"/>
      <c r="E447" s="1577">
        <f>E482+E517</f>
        <v>12098</v>
      </c>
      <c r="F447" s="1614">
        <v>155.76</v>
      </c>
      <c r="G447" s="1642"/>
      <c r="H447" s="1577">
        <f>H482+H517</f>
        <v>13824</v>
      </c>
      <c r="I447" s="1614">
        <f>$I$161</f>
        <v>159.6</v>
      </c>
      <c r="J447" s="1642"/>
      <c r="K447" s="1577">
        <f>K482+K517</f>
        <v>14165</v>
      </c>
      <c r="M447" s="1570"/>
      <c r="N447" s="1570"/>
      <c r="O447" s="1571"/>
      <c r="P447" s="1571"/>
      <c r="Q447" s="1571"/>
      <c r="R447" s="1570"/>
      <c r="S447" s="1570"/>
      <c r="T447" s="1570"/>
      <c r="U447" s="1570"/>
      <c r="V447" s="1570"/>
      <c r="W447" s="1570"/>
      <c r="X447" s="1570"/>
      <c r="Y447" s="1570"/>
      <c r="Z447" s="1570"/>
      <c r="AA447" s="1570"/>
      <c r="AB447" s="1570"/>
      <c r="AC447" s="1570"/>
      <c r="AD447" s="1570"/>
      <c r="AE447" s="1570"/>
      <c r="AF447" s="1570"/>
      <c r="AG447" s="1570"/>
      <c r="AH447" s="1570"/>
    </row>
    <row r="448" spans="1:36" hidden="1">
      <c r="A448" s="1585" t="s">
        <v>395</v>
      </c>
      <c r="B448" s="1599">
        <f t="shared" si="80"/>
        <v>3368.9150684931501</v>
      </c>
      <c r="C448" s="1614">
        <v>9.66</v>
      </c>
      <c r="D448" s="1641"/>
      <c r="E448" s="1577">
        <f>E483+E518</f>
        <v>32544</v>
      </c>
      <c r="F448" s="1614">
        <v>11.040000000000001</v>
      </c>
      <c r="G448" s="1642"/>
      <c r="H448" s="1577">
        <f>H483+H518</f>
        <v>37193</v>
      </c>
      <c r="I448" s="1614">
        <f>$I$162</f>
        <v>11.399999999999999</v>
      </c>
      <c r="J448" s="1642"/>
      <c r="K448" s="1577">
        <f>K483+K518</f>
        <v>38406</v>
      </c>
      <c r="M448" s="1570"/>
      <c r="N448" s="1570"/>
      <c r="O448" s="1571"/>
      <c r="P448" s="1571"/>
      <c r="Q448" s="1571"/>
      <c r="R448" s="1570"/>
      <c r="S448" s="1570"/>
      <c r="T448" s="1570"/>
      <c r="U448" s="1570"/>
      <c r="V448" s="1570"/>
      <c r="W448" s="1570"/>
      <c r="X448" s="1570"/>
      <c r="Y448" s="1570"/>
      <c r="Z448" s="1570"/>
      <c r="AA448" s="1570"/>
      <c r="AB448" s="1570"/>
      <c r="AC448" s="1570"/>
      <c r="AD448" s="1570"/>
      <c r="AE448" s="1570"/>
      <c r="AF448" s="1570"/>
      <c r="AG448" s="1570"/>
      <c r="AH448" s="1570"/>
    </row>
    <row r="449" spans="1:36" hidden="1">
      <c r="A449" s="1585" t="s">
        <v>397</v>
      </c>
      <c r="B449" s="1599">
        <f t="shared" si="80"/>
        <v>89.747945205479496</v>
      </c>
      <c r="C449" s="1614"/>
      <c r="D449" s="1574"/>
      <c r="E449" s="1577"/>
      <c r="F449" s="1614"/>
      <c r="G449" s="1600"/>
      <c r="H449" s="1577"/>
      <c r="I449" s="1614"/>
      <c r="J449" s="1600"/>
      <c r="K449" s="1577"/>
      <c r="M449" s="1570"/>
      <c r="N449" s="1570"/>
      <c r="O449" s="1571"/>
      <c r="P449" s="1571"/>
      <c r="Q449" s="1571"/>
      <c r="R449" s="1570"/>
      <c r="S449" s="1570"/>
      <c r="T449" s="1570"/>
      <c r="U449" s="1570"/>
      <c r="V449" s="1570"/>
      <c r="W449" s="1570"/>
      <c r="X449" s="1570"/>
      <c r="Y449" s="1570"/>
      <c r="Z449" s="1570"/>
      <c r="AA449" s="1570"/>
      <c r="AB449" s="1570"/>
      <c r="AC449" s="1570"/>
      <c r="AD449" s="1570"/>
      <c r="AE449" s="1570"/>
      <c r="AF449" s="1570"/>
      <c r="AG449" s="1570"/>
      <c r="AH449" s="1570"/>
    </row>
    <row r="450" spans="1:36" hidden="1">
      <c r="A450" s="1585" t="s">
        <v>422</v>
      </c>
      <c r="B450" s="1599">
        <f t="shared" si="80"/>
        <v>1055</v>
      </c>
      <c r="C450" s="1614"/>
      <c r="D450" s="1574"/>
      <c r="E450" s="1577"/>
      <c r="F450" s="1614"/>
      <c r="G450" s="1600"/>
      <c r="H450" s="1577"/>
      <c r="I450" s="1614"/>
      <c r="J450" s="1600"/>
      <c r="K450" s="1577"/>
      <c r="M450" s="1570"/>
      <c r="N450" s="1570"/>
      <c r="O450" s="1571"/>
      <c r="P450" s="1571"/>
      <c r="Q450" s="1571"/>
      <c r="R450" s="1570"/>
      <c r="S450" s="1570"/>
      <c r="T450" s="1570"/>
      <c r="U450" s="1570"/>
      <c r="V450" s="1570"/>
      <c r="W450" s="1570"/>
      <c r="X450" s="1570"/>
      <c r="Y450" s="1570"/>
      <c r="Z450" s="1570"/>
      <c r="AA450" s="1570"/>
      <c r="AB450" s="1570"/>
      <c r="AC450" s="1570"/>
      <c r="AD450" s="1570"/>
      <c r="AE450" s="1570"/>
      <c r="AF450" s="1570"/>
      <c r="AG450" s="1570"/>
      <c r="AH450" s="1570"/>
    </row>
    <row r="451" spans="1:36" hidden="1">
      <c r="A451" s="1585" t="s">
        <v>398</v>
      </c>
      <c r="B451" s="1599">
        <f t="shared" si="80"/>
        <v>12896</v>
      </c>
      <c r="C451" s="1660">
        <v>2.98</v>
      </c>
      <c r="D451" s="1600"/>
      <c r="E451" s="1577">
        <f>E486+E521</f>
        <v>38430</v>
      </c>
      <c r="F451" s="1660">
        <v>3.4</v>
      </c>
      <c r="G451" s="1600"/>
      <c r="H451" s="1577">
        <f>H486+H521</f>
        <v>43846</v>
      </c>
      <c r="I451" s="1660">
        <f>$I$169</f>
        <v>3.4899999999999998</v>
      </c>
      <c r="J451" s="1600"/>
      <c r="K451" s="1577">
        <f>K486+K521</f>
        <v>45007</v>
      </c>
      <c r="M451" s="1570"/>
      <c r="N451" s="1570"/>
      <c r="O451" s="1571"/>
      <c r="P451" s="1571"/>
      <c r="Q451" s="1571"/>
      <c r="R451" s="1570"/>
      <c r="S451" s="1570"/>
      <c r="T451" s="1570"/>
      <c r="U451" s="1570"/>
      <c r="V451" s="1570"/>
      <c r="W451" s="1570"/>
      <c r="X451" s="1570"/>
      <c r="Y451" s="1570"/>
      <c r="Z451" s="1570"/>
      <c r="AA451" s="1570"/>
      <c r="AB451" s="1570"/>
      <c r="AC451" s="1570"/>
      <c r="AD451" s="1570"/>
      <c r="AE451" s="1570"/>
      <c r="AF451" s="1570"/>
      <c r="AG451" s="1570"/>
      <c r="AH451" s="1570"/>
    </row>
    <row r="452" spans="1:36" hidden="1">
      <c r="A452" s="1585" t="s">
        <v>400</v>
      </c>
      <c r="B452" s="1599">
        <f t="shared" si="80"/>
        <v>111429</v>
      </c>
      <c r="C452" s="1389">
        <v>8.5489999999999995</v>
      </c>
      <c r="D452" s="1600" t="s">
        <v>377</v>
      </c>
      <c r="E452" s="1577">
        <f>E487+E522</f>
        <v>9526</v>
      </c>
      <c r="F452" s="1389">
        <v>9.766</v>
      </c>
      <c r="G452" s="1600" t="s">
        <v>377</v>
      </c>
      <c r="H452" s="1577">
        <f>H487+H522</f>
        <v>10883</v>
      </c>
      <c r="I452" s="1389">
        <f>$I$170</f>
        <v>9.9879999999999995</v>
      </c>
      <c r="J452" s="1600" t="s">
        <v>377</v>
      </c>
      <c r="K452" s="1577">
        <f>K487+K522</f>
        <v>11130</v>
      </c>
      <c r="M452" s="1570"/>
      <c r="N452" s="1570"/>
      <c r="O452" s="1571"/>
      <c r="P452" s="1571"/>
      <c r="Q452" s="1571"/>
      <c r="R452" s="1570"/>
      <c r="S452" s="1570"/>
      <c r="T452" s="1570"/>
      <c r="U452" s="1570"/>
      <c r="V452" s="1570"/>
      <c r="W452" s="1570"/>
      <c r="X452" s="1570"/>
      <c r="Y452" s="1570"/>
      <c r="Z452" s="1570"/>
      <c r="AA452" s="1570"/>
      <c r="AB452" s="1570"/>
      <c r="AC452" s="1570"/>
      <c r="AD452" s="1570"/>
      <c r="AE452" s="1570"/>
      <c r="AF452" s="1570"/>
      <c r="AG452" s="1570"/>
      <c r="AH452" s="1570"/>
    </row>
    <row r="453" spans="1:36" hidden="1">
      <c r="A453" s="1585" t="s">
        <v>401</v>
      </c>
      <c r="B453" s="1599">
        <f t="shared" si="80"/>
        <v>111236</v>
      </c>
      <c r="C453" s="1389">
        <v>5.9020000000000001</v>
      </c>
      <c r="D453" s="1600" t="s">
        <v>377</v>
      </c>
      <c r="E453" s="1577">
        <f>E488+E523</f>
        <v>6565</v>
      </c>
      <c r="F453" s="1389">
        <v>6.7460000000000004</v>
      </c>
      <c r="G453" s="1600" t="s">
        <v>377</v>
      </c>
      <c r="H453" s="1577">
        <f>H488+H523</f>
        <v>7504</v>
      </c>
      <c r="I453" s="1389">
        <f>$I$171</f>
        <v>6.9080000000000004</v>
      </c>
      <c r="J453" s="1600" t="s">
        <v>377</v>
      </c>
      <c r="K453" s="1577">
        <f>K488+K523</f>
        <v>7684</v>
      </c>
      <c r="M453" s="1570"/>
      <c r="N453" s="1570"/>
      <c r="O453" s="1571"/>
      <c r="P453" s="1571"/>
      <c r="Q453" s="1571"/>
      <c r="R453" s="1570"/>
      <c r="S453" s="1570"/>
      <c r="T453" s="1570"/>
      <c r="U453" s="1570"/>
      <c r="V453" s="1570"/>
      <c r="W453" s="1570"/>
      <c r="X453" s="1570"/>
      <c r="Y453" s="1570"/>
      <c r="Z453" s="1570"/>
      <c r="AA453" s="1570"/>
      <c r="AB453" s="1570"/>
      <c r="AC453" s="1570"/>
      <c r="AD453" s="1570"/>
      <c r="AE453" s="1570"/>
      <c r="AF453" s="1570"/>
      <c r="AG453" s="1570"/>
      <c r="AH453" s="1570"/>
    </row>
    <row r="454" spans="1:36" hidden="1">
      <c r="A454" s="1585" t="s">
        <v>402</v>
      </c>
      <c r="B454" s="1599">
        <f t="shared" si="80"/>
        <v>134813</v>
      </c>
      <c r="C454" s="1389">
        <v>5.0839999999999996</v>
      </c>
      <c r="D454" s="1600" t="s">
        <v>377</v>
      </c>
      <c r="E454" s="1577">
        <f>E489+E524</f>
        <v>6854</v>
      </c>
      <c r="F454" s="1389">
        <v>5.8120000000000003</v>
      </c>
      <c r="G454" s="1600" t="s">
        <v>377</v>
      </c>
      <c r="H454" s="1577">
        <f>H489+H524</f>
        <v>7835</v>
      </c>
      <c r="I454" s="1389">
        <f>$I$172</f>
        <v>5.952</v>
      </c>
      <c r="J454" s="1600" t="s">
        <v>377</v>
      </c>
      <c r="K454" s="1577">
        <f>K489+K524</f>
        <v>8024</v>
      </c>
      <c r="M454" s="1570"/>
      <c r="N454" s="1570"/>
      <c r="O454" s="1571"/>
      <c r="P454" s="1571"/>
      <c r="Q454" s="1571"/>
      <c r="R454" s="1570"/>
      <c r="S454" s="1570"/>
      <c r="T454" s="1570"/>
      <c r="U454" s="1570"/>
      <c r="V454" s="1570"/>
      <c r="W454" s="1570"/>
      <c r="X454" s="1570"/>
      <c r="Y454" s="1570"/>
      <c r="Z454" s="1570"/>
      <c r="AA454" s="1570"/>
      <c r="AB454" s="1570"/>
      <c r="AC454" s="1570"/>
      <c r="AD454" s="1570"/>
      <c r="AE454" s="1570"/>
      <c r="AF454" s="1570"/>
      <c r="AG454" s="1570"/>
      <c r="AH454" s="1570"/>
    </row>
    <row r="455" spans="1:36" hidden="1">
      <c r="A455" s="1585" t="s">
        <v>403</v>
      </c>
      <c r="B455" s="1599">
        <f t="shared" si="80"/>
        <v>1416.98888888889</v>
      </c>
      <c r="C455" s="1647">
        <v>50</v>
      </c>
      <c r="D455" s="1574" t="s">
        <v>377</v>
      </c>
      <c r="E455" s="1577">
        <f>E490+E525</f>
        <v>708</v>
      </c>
      <c r="F455" s="1647">
        <v>56</v>
      </c>
      <c r="G455" s="1600" t="s">
        <v>377</v>
      </c>
      <c r="H455" s="1577">
        <f>H490+H525</f>
        <v>794</v>
      </c>
      <c r="I455" s="1647">
        <f>$I$173</f>
        <v>57</v>
      </c>
      <c r="J455" s="1600" t="s">
        <v>377</v>
      </c>
      <c r="K455" s="1577">
        <f>K490+K525</f>
        <v>808</v>
      </c>
      <c r="M455" s="1570"/>
      <c r="N455" s="1570"/>
      <c r="O455" s="1571"/>
      <c r="P455" s="1571"/>
      <c r="Q455" s="1571"/>
      <c r="R455" s="1570"/>
      <c r="S455" s="1570"/>
      <c r="T455" s="1570"/>
      <c r="U455" s="1570"/>
      <c r="V455" s="1570"/>
      <c r="W455" s="1570"/>
      <c r="X455" s="1570"/>
      <c r="Y455" s="1570"/>
      <c r="Z455" s="1570"/>
      <c r="AA455" s="1570"/>
      <c r="AB455" s="1570"/>
      <c r="AC455" s="1570"/>
      <c r="AD455" s="1570"/>
      <c r="AE455" s="1570"/>
      <c r="AF455" s="1570"/>
      <c r="AG455" s="1570"/>
      <c r="AH455" s="1570"/>
    </row>
    <row r="456" spans="1:36" hidden="1">
      <c r="A456" s="1569" t="s">
        <v>933</v>
      </c>
      <c r="B456" s="1599">
        <f t="shared" si="80"/>
        <v>111429</v>
      </c>
      <c r="C456" s="1584"/>
      <c r="D456" s="1570"/>
      <c r="E456" s="1577"/>
      <c r="F456" s="1584"/>
      <c r="G456" s="1570"/>
      <c r="H456" s="1577"/>
      <c r="I456" s="1389">
        <f>I174</f>
        <v>0</v>
      </c>
      <c r="J456" s="1600" t="s">
        <v>377</v>
      </c>
      <c r="K456" s="1577">
        <f t="shared" ref="K456:K458" si="81">K491+K526</f>
        <v>0</v>
      </c>
      <c r="M456" s="1578"/>
      <c r="O456" s="1579"/>
      <c r="P456" s="1569"/>
      <c r="Q456" s="1569"/>
      <c r="R456" s="1580"/>
      <c r="S456" s="1580"/>
      <c r="X456" s="1570"/>
      <c r="Y456" s="1570"/>
      <c r="Z456" s="1570"/>
      <c r="AA456" s="1570"/>
      <c r="AB456" s="1570"/>
      <c r="AC456" s="1570"/>
      <c r="AD456" s="1570"/>
      <c r="AE456" s="1570"/>
      <c r="AF456" s="1570"/>
      <c r="AG456" s="1570"/>
      <c r="AH456" s="1570"/>
      <c r="AJ456" s="1578"/>
    </row>
    <row r="457" spans="1:36" hidden="1">
      <c r="A457" s="1569" t="s">
        <v>934</v>
      </c>
      <c r="B457" s="1599">
        <f t="shared" ref="B457:B458" si="82">B492+B527</f>
        <v>111236</v>
      </c>
      <c r="C457" s="1584"/>
      <c r="D457" s="1570"/>
      <c r="E457" s="1577"/>
      <c r="F457" s="1584"/>
      <c r="G457" s="1570"/>
      <c r="H457" s="1577"/>
      <c r="I457" s="1389">
        <f>I175</f>
        <v>0</v>
      </c>
      <c r="J457" s="1600" t="s">
        <v>377</v>
      </c>
      <c r="K457" s="1577">
        <f t="shared" si="81"/>
        <v>0</v>
      </c>
      <c r="M457" s="1578"/>
      <c r="O457" s="1579"/>
      <c r="P457" s="1569"/>
      <c r="Q457" s="1569"/>
      <c r="R457" s="1580"/>
      <c r="S457" s="1580"/>
      <c r="X457" s="1570"/>
      <c r="Y457" s="1570"/>
      <c r="Z457" s="1570"/>
      <c r="AA457" s="1570"/>
      <c r="AB457" s="1570"/>
      <c r="AC457" s="1570"/>
      <c r="AD457" s="1570"/>
      <c r="AE457" s="1570"/>
      <c r="AF457" s="1570"/>
      <c r="AG457" s="1570"/>
      <c r="AH457" s="1570"/>
      <c r="AJ457" s="1578"/>
    </row>
    <row r="458" spans="1:36" hidden="1">
      <c r="A458" s="1569" t="s">
        <v>935</v>
      </c>
      <c r="B458" s="1599">
        <f t="shared" si="82"/>
        <v>134813</v>
      </c>
      <c r="C458" s="1584"/>
      <c r="D458" s="1570"/>
      <c r="E458" s="1577"/>
      <c r="F458" s="1584"/>
      <c r="G458" s="1570"/>
      <c r="H458" s="1577"/>
      <c r="I458" s="1389">
        <f>I176</f>
        <v>0</v>
      </c>
      <c r="J458" s="1600" t="s">
        <v>377</v>
      </c>
      <c r="K458" s="1577">
        <f t="shared" si="81"/>
        <v>0</v>
      </c>
      <c r="M458" s="1578"/>
      <c r="N458" s="1569" t="s">
        <v>31</v>
      </c>
      <c r="O458" s="1579"/>
      <c r="P458" s="1569"/>
      <c r="Q458" s="1569"/>
      <c r="R458" s="1580"/>
      <c r="S458" s="1580"/>
      <c r="X458" s="1570"/>
      <c r="Y458" s="1570"/>
      <c r="Z458" s="1570"/>
      <c r="AA458" s="1570"/>
      <c r="AB458" s="1570"/>
      <c r="AC458" s="1570"/>
      <c r="AD458" s="1570"/>
      <c r="AE458" s="1570"/>
      <c r="AF458" s="1570"/>
      <c r="AG458" s="1570"/>
      <c r="AH458" s="1570"/>
      <c r="AJ458" s="1578"/>
    </row>
    <row r="459" spans="1:36" hidden="1">
      <c r="A459" s="1654" t="s">
        <v>404</v>
      </c>
      <c r="B459" s="1599"/>
      <c r="C459" s="1655">
        <v>-0.01</v>
      </c>
      <c r="D459" s="1574"/>
      <c r="E459" s="1577"/>
      <c r="F459" s="1655">
        <v>-0.01</v>
      </c>
      <c r="G459" s="1600"/>
      <c r="H459" s="1577"/>
      <c r="I459" s="1655">
        <v>-0.01</v>
      </c>
      <c r="J459" s="1600"/>
      <c r="K459" s="1577"/>
      <c r="M459" s="1570"/>
      <c r="N459" s="1570"/>
      <c r="O459" s="1571"/>
      <c r="P459" s="1571"/>
      <c r="Q459" s="1571"/>
      <c r="R459" s="1570"/>
      <c r="S459" s="1570"/>
      <c r="T459" s="1570"/>
      <c r="U459" s="1570"/>
      <c r="V459" s="1570"/>
      <c r="W459" s="1570"/>
      <c r="X459" s="1570"/>
      <c r="Y459" s="1570"/>
      <c r="Z459" s="1570"/>
      <c r="AA459" s="1570"/>
      <c r="AB459" s="1570"/>
      <c r="AC459" s="1570"/>
      <c r="AD459" s="1570"/>
      <c r="AE459" s="1570"/>
      <c r="AF459" s="1570"/>
      <c r="AG459" s="1570"/>
      <c r="AH459" s="1570"/>
    </row>
    <row r="460" spans="1:36" hidden="1">
      <c r="A460" s="1585" t="s">
        <v>393</v>
      </c>
      <c r="B460" s="1599">
        <v>0</v>
      </c>
      <c r="C460" s="1657">
        <v>91.679999999999993</v>
      </c>
      <c r="D460" s="1574"/>
      <c r="E460" s="1577">
        <f t="shared" ref="E460:E469" si="83">E495+E530</f>
        <v>0</v>
      </c>
      <c r="F460" s="1657">
        <v>104.52000000000001</v>
      </c>
      <c r="G460" s="1574"/>
      <c r="H460" s="1577">
        <f t="shared" ref="H460:H469" si="84">H495+H530</f>
        <v>0</v>
      </c>
      <c r="I460" s="1657">
        <f>I446</f>
        <v>107.03999999999999</v>
      </c>
      <c r="J460" s="1574"/>
      <c r="K460" s="1577">
        <f t="shared" ref="K460:K469" si="85">K495+K530</f>
        <v>0</v>
      </c>
      <c r="M460" s="1570"/>
      <c r="N460" s="1570"/>
      <c r="O460" s="1571"/>
      <c r="P460" s="1571"/>
      <c r="Q460" s="1571"/>
      <c r="R460" s="1570"/>
      <c r="S460" s="1570"/>
      <c r="T460" s="1570"/>
      <c r="U460" s="1570"/>
      <c r="V460" s="1570"/>
      <c r="W460" s="1570"/>
      <c r="X460" s="1570"/>
      <c r="Y460" s="1570"/>
      <c r="Z460" s="1570"/>
      <c r="AA460" s="1570"/>
      <c r="AB460" s="1570"/>
      <c r="AC460" s="1570"/>
      <c r="AD460" s="1570"/>
      <c r="AE460" s="1570"/>
      <c r="AF460" s="1570"/>
      <c r="AG460" s="1570"/>
      <c r="AH460" s="1570"/>
    </row>
    <row r="461" spans="1:36" hidden="1">
      <c r="A461" s="1585" t="s">
        <v>394</v>
      </c>
      <c r="B461" s="1599">
        <v>0</v>
      </c>
      <c r="C461" s="1657">
        <v>136.32</v>
      </c>
      <c r="D461" s="1574"/>
      <c r="E461" s="1577">
        <f t="shared" si="83"/>
        <v>0</v>
      </c>
      <c r="F461" s="1657">
        <v>155.76</v>
      </c>
      <c r="G461" s="1574"/>
      <c r="H461" s="1577">
        <f t="shared" si="84"/>
        <v>0</v>
      </c>
      <c r="I461" s="1657">
        <f>I447</f>
        <v>159.6</v>
      </c>
      <c r="J461" s="1574"/>
      <c r="K461" s="1577">
        <f t="shared" si="85"/>
        <v>0</v>
      </c>
      <c r="M461" s="1570"/>
      <c r="N461" s="1570"/>
      <c r="O461" s="1571"/>
      <c r="P461" s="1571"/>
      <c r="Q461" s="1571"/>
      <c r="R461" s="1570"/>
      <c r="S461" s="1570"/>
      <c r="T461" s="1570"/>
      <c r="U461" s="1570"/>
      <c r="V461" s="1570"/>
      <c r="W461" s="1570"/>
      <c r="X461" s="1570"/>
      <c r="Y461" s="1570"/>
      <c r="Z461" s="1570"/>
      <c r="AA461" s="1570"/>
      <c r="AB461" s="1570"/>
      <c r="AC461" s="1570"/>
      <c r="AD461" s="1570"/>
      <c r="AE461" s="1570"/>
      <c r="AF461" s="1570"/>
      <c r="AG461" s="1570"/>
      <c r="AH461" s="1570"/>
    </row>
    <row r="462" spans="1:36" hidden="1">
      <c r="A462" s="1585" t="s">
        <v>405</v>
      </c>
      <c r="B462" s="1599">
        <v>0</v>
      </c>
      <c r="C462" s="1657">
        <v>9.66</v>
      </c>
      <c r="D462" s="1574"/>
      <c r="E462" s="1577">
        <f t="shared" si="83"/>
        <v>0</v>
      </c>
      <c r="F462" s="1657">
        <v>11.040000000000001</v>
      </c>
      <c r="G462" s="1574"/>
      <c r="H462" s="1577">
        <f t="shared" si="84"/>
        <v>0</v>
      </c>
      <c r="I462" s="1657">
        <f>I448</f>
        <v>11.399999999999999</v>
      </c>
      <c r="J462" s="1574"/>
      <c r="K462" s="1577">
        <f t="shared" si="85"/>
        <v>0</v>
      </c>
      <c r="M462" s="1570"/>
      <c r="N462" s="1570"/>
      <c r="O462" s="1571"/>
      <c r="P462" s="1571"/>
      <c r="Q462" s="1571"/>
      <c r="R462" s="1570"/>
      <c r="S462" s="1570"/>
      <c r="T462" s="1570"/>
      <c r="U462" s="1570"/>
      <c r="V462" s="1570"/>
      <c r="W462" s="1570"/>
      <c r="X462" s="1570"/>
      <c r="Y462" s="1570"/>
      <c r="Z462" s="1570"/>
      <c r="AA462" s="1570"/>
      <c r="AB462" s="1570"/>
      <c r="AC462" s="1570"/>
      <c r="AD462" s="1570"/>
      <c r="AE462" s="1570"/>
      <c r="AF462" s="1570"/>
      <c r="AG462" s="1570"/>
      <c r="AH462" s="1570"/>
    </row>
    <row r="463" spans="1:36" hidden="1">
      <c r="A463" s="1585" t="s">
        <v>406</v>
      </c>
      <c r="B463" s="1599">
        <v>0</v>
      </c>
      <c r="C463" s="1657">
        <v>2.98</v>
      </c>
      <c r="D463" s="1600"/>
      <c r="E463" s="1577">
        <f t="shared" si="83"/>
        <v>0</v>
      </c>
      <c r="F463" s="1657">
        <v>3.4</v>
      </c>
      <c r="G463" s="1600"/>
      <c r="H463" s="1577">
        <f t="shared" si="84"/>
        <v>0</v>
      </c>
      <c r="I463" s="1657">
        <f>I451</f>
        <v>3.4899999999999998</v>
      </c>
      <c r="J463" s="1600"/>
      <c r="K463" s="1577">
        <f t="shared" si="85"/>
        <v>0</v>
      </c>
      <c r="M463" s="1570"/>
      <c r="N463" s="1570"/>
      <c r="O463" s="1571"/>
      <c r="P463" s="1571"/>
      <c r="Q463" s="1571"/>
      <c r="R463" s="1570"/>
      <c r="S463" s="1570"/>
      <c r="T463" s="1570"/>
      <c r="U463" s="1570"/>
      <c r="V463" s="1570"/>
      <c r="W463" s="1570"/>
      <c r="X463" s="1570"/>
      <c r="Y463" s="1570"/>
      <c r="Z463" s="1570"/>
      <c r="AA463" s="1570"/>
      <c r="AB463" s="1570"/>
      <c r="AC463" s="1570"/>
      <c r="AD463" s="1570"/>
      <c r="AE463" s="1570"/>
      <c r="AF463" s="1570"/>
      <c r="AG463" s="1570"/>
      <c r="AH463" s="1570"/>
    </row>
    <row r="464" spans="1:36" hidden="1">
      <c r="A464" s="1585" t="s">
        <v>408</v>
      </c>
      <c r="B464" s="1599">
        <v>0</v>
      </c>
      <c r="C464" s="1658">
        <v>8.5489999999999995</v>
      </c>
      <c r="D464" s="1600" t="s">
        <v>377</v>
      </c>
      <c r="E464" s="1577">
        <f t="shared" si="83"/>
        <v>0</v>
      </c>
      <c r="F464" s="1658">
        <v>9.766</v>
      </c>
      <c r="G464" s="1600" t="s">
        <v>377</v>
      </c>
      <c r="H464" s="1577">
        <f t="shared" si="84"/>
        <v>0</v>
      </c>
      <c r="I464" s="1658">
        <f>I452</f>
        <v>9.9879999999999995</v>
      </c>
      <c r="J464" s="1600" t="s">
        <v>377</v>
      </c>
      <c r="K464" s="1577">
        <f t="shared" si="85"/>
        <v>0</v>
      </c>
      <c r="M464" s="1570"/>
      <c r="N464" s="1570"/>
      <c r="O464" s="1571"/>
      <c r="P464" s="1571"/>
      <c r="Q464" s="1571"/>
      <c r="R464" s="1570"/>
      <c r="S464" s="1570"/>
      <c r="T464" s="1570"/>
      <c r="U464" s="1570"/>
      <c r="V464" s="1570"/>
      <c r="W464" s="1570"/>
      <c r="X464" s="1570"/>
      <c r="Y464" s="1570"/>
      <c r="Z464" s="1570"/>
      <c r="AA464" s="1570"/>
      <c r="AB464" s="1570"/>
      <c r="AC464" s="1570"/>
      <c r="AD464" s="1570"/>
      <c r="AE464" s="1570"/>
      <c r="AF464" s="1570"/>
      <c r="AG464" s="1570"/>
      <c r="AH464" s="1570"/>
    </row>
    <row r="465" spans="1:36" hidden="1">
      <c r="A465" s="1585" t="s">
        <v>401</v>
      </c>
      <c r="B465" s="1599">
        <v>0</v>
      </c>
      <c r="C465" s="1658">
        <v>5.9020000000000001</v>
      </c>
      <c r="D465" s="1600" t="s">
        <v>377</v>
      </c>
      <c r="E465" s="1577">
        <f t="shared" si="83"/>
        <v>0</v>
      </c>
      <c r="F465" s="1658">
        <v>6.7460000000000004</v>
      </c>
      <c r="G465" s="1600" t="s">
        <v>377</v>
      </c>
      <c r="H465" s="1577">
        <f t="shared" si="84"/>
        <v>0</v>
      </c>
      <c r="I465" s="1658">
        <f>I453</f>
        <v>6.9080000000000004</v>
      </c>
      <c r="J465" s="1600" t="s">
        <v>377</v>
      </c>
      <c r="K465" s="1577">
        <f t="shared" si="85"/>
        <v>0</v>
      </c>
      <c r="M465" s="1570"/>
      <c r="N465" s="1570"/>
      <c r="O465" s="1571"/>
      <c r="P465" s="1571"/>
      <c r="Q465" s="1571"/>
      <c r="R465" s="1570"/>
      <c r="S465" s="1570"/>
      <c r="T465" s="1570"/>
      <c r="U465" s="1570"/>
      <c r="V465" s="1570"/>
      <c r="W465" s="1570"/>
      <c r="X465" s="1570"/>
      <c r="Y465" s="1570"/>
      <c r="Z465" s="1570"/>
      <c r="AA465" s="1570"/>
      <c r="AB465" s="1570"/>
      <c r="AC465" s="1570"/>
      <c r="AD465" s="1570"/>
      <c r="AE465" s="1570"/>
      <c r="AF465" s="1570"/>
      <c r="AG465" s="1570"/>
      <c r="AH465" s="1570"/>
    </row>
    <row r="466" spans="1:36" hidden="1">
      <c r="A466" s="1585" t="s">
        <v>402</v>
      </c>
      <c r="B466" s="1599">
        <v>0</v>
      </c>
      <c r="C466" s="1658">
        <v>5.0839999999999996</v>
      </c>
      <c r="D466" s="1600" t="s">
        <v>377</v>
      </c>
      <c r="E466" s="1577">
        <f t="shared" si="83"/>
        <v>0</v>
      </c>
      <c r="F466" s="1658">
        <v>5.8120000000000003</v>
      </c>
      <c r="G466" s="1600" t="s">
        <v>377</v>
      </c>
      <c r="H466" s="1577">
        <f t="shared" si="84"/>
        <v>0</v>
      </c>
      <c r="I466" s="1658">
        <f>I454</f>
        <v>5.952</v>
      </c>
      <c r="J466" s="1600" t="s">
        <v>377</v>
      </c>
      <c r="K466" s="1577">
        <f t="shared" si="85"/>
        <v>0</v>
      </c>
      <c r="M466" s="1570"/>
      <c r="N466" s="1570"/>
      <c r="O466" s="1571"/>
      <c r="P466" s="1571"/>
      <c r="Q466" s="1571"/>
      <c r="R466" s="1570"/>
      <c r="S466" s="1570"/>
      <c r="T466" s="1570"/>
      <c r="U466" s="1570"/>
      <c r="V466" s="1570"/>
      <c r="W466" s="1570"/>
      <c r="X466" s="1570"/>
      <c r="Y466" s="1570"/>
      <c r="Z466" s="1570"/>
      <c r="AA466" s="1570"/>
      <c r="AB466" s="1570"/>
      <c r="AC466" s="1570"/>
      <c r="AD466" s="1570"/>
      <c r="AE466" s="1570"/>
      <c r="AF466" s="1570"/>
      <c r="AG466" s="1570"/>
      <c r="AH466" s="1570"/>
    </row>
    <row r="467" spans="1:36" hidden="1">
      <c r="A467" s="1585" t="s">
        <v>403</v>
      </c>
      <c r="B467" s="1599">
        <v>0</v>
      </c>
      <c r="C467" s="1659">
        <v>50</v>
      </c>
      <c r="D467" s="1600" t="s">
        <v>377</v>
      </c>
      <c r="E467" s="1577">
        <f t="shared" si="83"/>
        <v>0</v>
      </c>
      <c r="F467" s="1659">
        <v>56</v>
      </c>
      <c r="G467" s="1600" t="s">
        <v>377</v>
      </c>
      <c r="H467" s="1577">
        <f t="shared" si="84"/>
        <v>0</v>
      </c>
      <c r="I467" s="1659">
        <f>I455</f>
        <v>57</v>
      </c>
      <c r="J467" s="1600" t="s">
        <v>377</v>
      </c>
      <c r="K467" s="1577">
        <f t="shared" si="85"/>
        <v>0</v>
      </c>
      <c r="M467" s="1570"/>
      <c r="N467" s="1570"/>
      <c r="O467" s="1571"/>
      <c r="P467" s="1571"/>
      <c r="Q467" s="1571"/>
      <c r="R467" s="1570"/>
      <c r="S467" s="1570"/>
      <c r="T467" s="1570"/>
      <c r="U467" s="1570"/>
      <c r="V467" s="1570"/>
      <c r="W467" s="1570"/>
      <c r="X467" s="1570"/>
      <c r="Y467" s="1570"/>
      <c r="Z467" s="1570"/>
      <c r="AA467" s="1570"/>
      <c r="AB467" s="1570"/>
      <c r="AC467" s="1570"/>
      <c r="AD467" s="1570"/>
      <c r="AE467" s="1570"/>
      <c r="AF467" s="1570"/>
      <c r="AG467" s="1570"/>
      <c r="AH467" s="1570"/>
    </row>
    <row r="468" spans="1:36" hidden="1">
      <c r="A468" s="1585" t="s">
        <v>410</v>
      </c>
      <c r="B468" s="1599">
        <v>0</v>
      </c>
      <c r="C468" s="1660">
        <v>60</v>
      </c>
      <c r="D468" s="1574"/>
      <c r="E468" s="1577">
        <f t="shared" si="83"/>
        <v>0</v>
      </c>
      <c r="F468" s="1660">
        <v>60</v>
      </c>
      <c r="G468" s="1600"/>
      <c r="H468" s="1577">
        <f t="shared" si="84"/>
        <v>0</v>
      </c>
      <c r="I468" s="1660">
        <f>$I$189</f>
        <v>60</v>
      </c>
      <c r="J468" s="1600"/>
      <c r="K468" s="1577">
        <f t="shared" si="85"/>
        <v>0</v>
      </c>
      <c r="M468" s="1570"/>
      <c r="N468" s="1570"/>
      <c r="O468" s="1571"/>
      <c r="P468" s="1571"/>
      <c r="Q468" s="1571"/>
      <c r="R468" s="1570"/>
      <c r="S468" s="1570"/>
      <c r="T468" s="1570"/>
      <c r="U468" s="1570"/>
      <c r="V468" s="1570"/>
      <c r="W468" s="1570"/>
      <c r="X468" s="1570"/>
      <c r="Y468" s="1570"/>
      <c r="Z468" s="1570"/>
      <c r="AA468" s="1570"/>
      <c r="AB468" s="1570"/>
      <c r="AC468" s="1570"/>
      <c r="AD468" s="1570"/>
      <c r="AE468" s="1570"/>
      <c r="AF468" s="1570"/>
      <c r="AG468" s="1570"/>
      <c r="AH468" s="1570"/>
    </row>
    <row r="469" spans="1:36" hidden="1">
      <c r="A469" s="1585" t="s">
        <v>411</v>
      </c>
      <c r="B469" s="1599">
        <v>0</v>
      </c>
      <c r="C469" s="1661">
        <v>-30</v>
      </c>
      <c r="D469" s="1574" t="s">
        <v>377</v>
      </c>
      <c r="E469" s="1577">
        <f t="shared" si="83"/>
        <v>0</v>
      </c>
      <c r="F469" s="1661">
        <v>-30</v>
      </c>
      <c r="G469" s="1600" t="s">
        <v>377</v>
      </c>
      <c r="H469" s="1577">
        <f t="shared" si="84"/>
        <v>0</v>
      </c>
      <c r="I469" s="1661">
        <f>$I$190</f>
        <v>-30</v>
      </c>
      <c r="J469" s="1600" t="s">
        <v>377</v>
      </c>
      <c r="K469" s="1577">
        <f t="shared" si="85"/>
        <v>0</v>
      </c>
      <c r="M469" s="1570"/>
      <c r="N469" s="1570"/>
      <c r="O469" s="1571"/>
      <c r="P469" s="1571"/>
      <c r="Q469" s="1571"/>
      <c r="R469" s="1570"/>
      <c r="S469" s="1570"/>
      <c r="T469" s="1570"/>
      <c r="U469" s="1570"/>
      <c r="V469" s="1570"/>
      <c r="W469" s="1570"/>
      <c r="X469" s="1570"/>
      <c r="Y469" s="1570"/>
      <c r="Z469" s="1570"/>
      <c r="AA469" s="1570"/>
      <c r="AB469" s="1570"/>
      <c r="AC469" s="1570"/>
      <c r="AD469" s="1570"/>
      <c r="AE469" s="1570"/>
      <c r="AF469" s="1570"/>
      <c r="AG469" s="1570"/>
      <c r="AH469" s="1570"/>
    </row>
    <row r="470" spans="1:36" hidden="1">
      <c r="A470" s="1569" t="s">
        <v>933</v>
      </c>
      <c r="B470" s="1575">
        <f>B464</f>
        <v>0</v>
      </c>
      <c r="C470" s="1584"/>
      <c r="D470" s="1570"/>
      <c r="E470" s="1577"/>
      <c r="F470" s="1584"/>
      <c r="G470" s="1570"/>
      <c r="H470" s="1577"/>
      <c r="I470" s="1389">
        <f>I174</f>
        <v>0</v>
      </c>
      <c r="J470" s="1600" t="s">
        <v>377</v>
      </c>
      <c r="K470" s="1577">
        <f t="shared" ref="K470:K472" si="86">K505+K540</f>
        <v>0</v>
      </c>
      <c r="M470" s="1578"/>
      <c r="O470" s="1579"/>
      <c r="P470" s="1569"/>
      <c r="Q470" s="1569"/>
      <c r="R470" s="1580"/>
      <c r="S470" s="1580"/>
      <c r="X470" s="1570"/>
      <c r="Y470" s="1570"/>
      <c r="Z470" s="1570"/>
      <c r="AA470" s="1570"/>
      <c r="AB470" s="1570"/>
      <c r="AC470" s="1570"/>
      <c r="AD470" s="1570"/>
      <c r="AE470" s="1570"/>
      <c r="AF470" s="1570"/>
      <c r="AG470" s="1570"/>
      <c r="AH470" s="1570"/>
      <c r="AJ470" s="1578"/>
    </row>
    <row r="471" spans="1:36" hidden="1">
      <c r="A471" s="1569" t="s">
        <v>934</v>
      </c>
      <c r="B471" s="1575">
        <f>B465</f>
        <v>0</v>
      </c>
      <c r="C471" s="1584"/>
      <c r="D471" s="1570"/>
      <c r="E471" s="1577"/>
      <c r="F471" s="1584"/>
      <c r="G471" s="1570"/>
      <c r="H471" s="1577"/>
      <c r="I471" s="1389">
        <f>I175</f>
        <v>0</v>
      </c>
      <c r="J471" s="1600" t="s">
        <v>377</v>
      </c>
      <c r="K471" s="1577">
        <f t="shared" si="86"/>
        <v>0</v>
      </c>
      <c r="M471" s="1578"/>
      <c r="O471" s="1579"/>
      <c r="P471" s="1569"/>
      <c r="Q471" s="1569"/>
      <c r="R471" s="1580"/>
      <c r="S471" s="1580"/>
      <c r="X471" s="1570"/>
      <c r="Y471" s="1570"/>
      <c r="Z471" s="1570"/>
      <c r="AA471" s="1570"/>
      <c r="AB471" s="1570"/>
      <c r="AC471" s="1570"/>
      <c r="AD471" s="1570"/>
      <c r="AE471" s="1570"/>
      <c r="AF471" s="1570"/>
      <c r="AG471" s="1570"/>
      <c r="AH471" s="1570"/>
      <c r="AJ471" s="1578"/>
    </row>
    <row r="472" spans="1:36" hidden="1">
      <c r="A472" s="1569" t="s">
        <v>935</v>
      </c>
      <c r="B472" s="1575">
        <f>B466</f>
        <v>0</v>
      </c>
      <c r="C472" s="1584"/>
      <c r="D472" s="1570"/>
      <c r="E472" s="1577"/>
      <c r="F472" s="1584"/>
      <c r="G472" s="1570"/>
      <c r="H472" s="1577"/>
      <c r="I472" s="1389">
        <f>I176</f>
        <v>0</v>
      </c>
      <c r="J472" s="1600" t="s">
        <v>377</v>
      </c>
      <c r="K472" s="1577">
        <f t="shared" si="86"/>
        <v>0</v>
      </c>
      <c r="M472" s="1578"/>
      <c r="O472" s="1579"/>
      <c r="P472" s="1569"/>
      <c r="Q472" s="1569"/>
      <c r="R472" s="1580"/>
      <c r="S472" s="1580"/>
      <c r="X472" s="1570"/>
      <c r="Y472" s="1570"/>
      <c r="Z472" s="1570"/>
      <c r="AA472" s="1570"/>
      <c r="AB472" s="1570"/>
      <c r="AC472" s="1570"/>
      <c r="AD472" s="1570"/>
      <c r="AE472" s="1570"/>
      <c r="AF472" s="1570"/>
      <c r="AG472" s="1570"/>
      <c r="AH472" s="1570"/>
      <c r="AJ472" s="1578"/>
    </row>
    <row r="473" spans="1:36" hidden="1">
      <c r="A473" s="1585" t="s">
        <v>384</v>
      </c>
      <c r="B473" s="1599">
        <f>B508+B543</f>
        <v>357478</v>
      </c>
      <c r="C473" s="1647"/>
      <c r="D473" s="1577"/>
      <c r="E473" s="1577">
        <f>E508+E543</f>
        <v>106817</v>
      </c>
      <c r="F473" s="1641"/>
      <c r="G473" s="1600"/>
      <c r="H473" s="1577">
        <f>H508+H543</f>
        <v>121984</v>
      </c>
      <c r="I473" s="1577"/>
      <c r="J473" s="1600"/>
      <c r="K473" s="1577">
        <f t="shared" ref="K473" si="87">K508+K543</f>
        <v>125331</v>
      </c>
      <c r="M473" s="1570"/>
      <c r="N473" s="1570"/>
      <c r="O473" s="1571"/>
      <c r="P473" s="1571"/>
      <c r="Q473" s="1571"/>
      <c r="R473" s="1570"/>
      <c r="S473" s="1570"/>
      <c r="T473" s="1570"/>
      <c r="U473" s="1570"/>
      <c r="V473" s="1570"/>
      <c r="W473" s="1570"/>
      <c r="X473" s="1570"/>
      <c r="Y473" s="1570"/>
      <c r="Z473" s="1570"/>
      <c r="AA473" s="1570"/>
      <c r="AB473" s="1570"/>
      <c r="AC473" s="1570"/>
      <c r="AD473" s="1570"/>
      <c r="AE473" s="1570"/>
      <c r="AF473" s="1570"/>
      <c r="AG473" s="1570"/>
      <c r="AH473" s="1570"/>
    </row>
    <row r="474" spans="1:36" hidden="1">
      <c r="A474" s="1585" t="s">
        <v>366</v>
      </c>
      <c r="B474" s="1663">
        <f ca="1">B509+B544</f>
        <v>-822.76182582951765</v>
      </c>
      <c r="C474" s="1600"/>
      <c r="D474" s="1600"/>
      <c r="E474" s="1664" t="e">
        <f>E509+E544</f>
        <v>#REF!</v>
      </c>
      <c r="F474" s="1600"/>
      <c r="G474" s="1600"/>
      <c r="H474" s="1664">
        <f ca="1">H509+H544</f>
        <v>-263.15414039122498</v>
      </c>
      <c r="I474" s="1600"/>
      <c r="J474" s="1600"/>
      <c r="K474" s="1664">
        <f ca="1">H474</f>
        <v>-263.15414039122498</v>
      </c>
      <c r="M474" s="1422"/>
      <c r="N474" s="1422"/>
      <c r="O474" s="1423"/>
      <c r="P474" s="1571"/>
      <c r="Q474" s="1571"/>
      <c r="R474" s="1570"/>
      <c r="S474" s="1570"/>
      <c r="T474" s="1570"/>
      <c r="U474" s="1570"/>
      <c r="V474" s="1570"/>
      <c r="W474" s="1570"/>
      <c r="X474" s="1570"/>
      <c r="Y474" s="1570"/>
      <c r="Z474" s="1570"/>
      <c r="AA474" s="1570"/>
      <c r="AB474" s="1570"/>
      <c r="AC474" s="1570"/>
      <c r="AD474" s="1570"/>
      <c r="AE474" s="1570"/>
      <c r="AF474" s="1570"/>
      <c r="AG474" s="1570"/>
      <c r="AH474" s="1570"/>
    </row>
    <row r="475" spans="1:36" ht="15.75" hidden="1" thickBot="1">
      <c r="A475" s="1585" t="s">
        <v>385</v>
      </c>
      <c r="B475" s="1632">
        <f ca="1">SUM(B473:B474)</f>
        <v>356655.23817417049</v>
      </c>
      <c r="C475" s="1666"/>
      <c r="D475" s="1667"/>
      <c r="E475" s="1668" t="e">
        <f>E473+E474</f>
        <v>#REF!</v>
      </c>
      <c r="F475" s="1666"/>
      <c r="G475" s="1670"/>
      <c r="H475" s="1668">
        <f ca="1">H473+H474</f>
        <v>121720.84585960877</v>
      </c>
      <c r="I475" s="1666"/>
      <c r="J475" s="1670"/>
      <c r="K475" s="1668">
        <f ca="1">K473+K474</f>
        <v>125067.84585960877</v>
      </c>
      <c r="M475" s="1424"/>
      <c r="N475" s="1424"/>
      <c r="O475" s="1597"/>
      <c r="P475" s="1571"/>
      <c r="Q475" s="1571"/>
      <c r="R475" s="1570"/>
      <c r="S475" s="1570"/>
      <c r="T475" s="1570"/>
      <c r="U475" s="1570"/>
      <c r="V475" s="1570"/>
      <c r="W475" s="1570"/>
      <c r="X475" s="1570"/>
      <c r="Y475" s="1570"/>
      <c r="Z475" s="1570"/>
      <c r="AA475" s="1570"/>
      <c r="AB475" s="1570"/>
      <c r="AC475" s="1570"/>
      <c r="AD475" s="1570"/>
      <c r="AE475" s="1570"/>
      <c r="AF475" s="1570"/>
      <c r="AG475" s="1570"/>
      <c r="AH475" s="1570"/>
    </row>
    <row r="476" spans="1:36" hidden="1">
      <c r="A476" s="1585"/>
      <c r="B476" s="1610"/>
      <c r="C476" s="1660"/>
      <c r="D476" s="1577"/>
      <c r="E476" s="1577"/>
      <c r="F476" s="1660" t="s">
        <v>31</v>
      </c>
      <c r="G476" s="1585"/>
      <c r="H476" s="1577"/>
      <c r="I476" s="1657" t="s">
        <v>31</v>
      </c>
      <c r="J476" s="1585"/>
      <c r="K476" s="1577" t="s">
        <v>31</v>
      </c>
      <c r="M476" s="1570"/>
      <c r="N476" s="1570"/>
      <c r="O476" s="1571"/>
      <c r="P476" s="1571"/>
      <c r="Q476" s="1571"/>
      <c r="R476" s="1570"/>
      <c r="S476" s="1570"/>
      <c r="T476" s="1570"/>
      <c r="U476" s="1570"/>
      <c r="V476" s="1570"/>
      <c r="W476" s="1570"/>
      <c r="X476" s="1570"/>
      <c r="Y476" s="1570"/>
      <c r="Z476" s="1570"/>
      <c r="AA476" s="1570"/>
      <c r="AB476" s="1570"/>
      <c r="AC476" s="1570"/>
      <c r="AD476" s="1570"/>
      <c r="AE476" s="1570"/>
      <c r="AF476" s="1570"/>
      <c r="AG476" s="1570"/>
      <c r="AH476" s="1570"/>
    </row>
    <row r="477" spans="1:36" hidden="1">
      <c r="A477" s="1609" t="s">
        <v>420</v>
      </c>
      <c r="B477" s="1585"/>
      <c r="C477" s="1577"/>
      <c r="D477" s="1577"/>
      <c r="E477" s="1585" t="s">
        <v>31</v>
      </c>
      <c r="F477" s="1577"/>
      <c r="G477" s="1585"/>
      <c r="H477" s="1585"/>
      <c r="I477" s="1577"/>
      <c r="J477" s="1585"/>
      <c r="K477" s="1585"/>
      <c r="M477" s="1570"/>
      <c r="N477" s="1570"/>
      <c r="O477" s="1571"/>
      <c r="P477" s="1571"/>
      <c r="Q477" s="1571"/>
      <c r="R477" s="1570"/>
      <c r="S477" s="1570"/>
      <c r="T477" s="1570"/>
      <c r="U477" s="1570"/>
      <c r="V477" s="1570"/>
      <c r="W477" s="1570"/>
      <c r="X477" s="1570"/>
      <c r="Y477" s="1570"/>
      <c r="Z477" s="1570"/>
      <c r="AA477" s="1570"/>
      <c r="AB477" s="1570"/>
      <c r="AC477" s="1570"/>
      <c r="AD477" s="1570"/>
      <c r="AE477" s="1570"/>
      <c r="AF477" s="1570"/>
      <c r="AG477" s="1570"/>
      <c r="AH477" s="1570"/>
    </row>
    <row r="478" spans="1:36" hidden="1">
      <c r="A478" s="1585" t="s">
        <v>414</v>
      </c>
      <c r="B478" s="1585"/>
      <c r="C478" s="1577"/>
      <c r="D478" s="1577"/>
      <c r="E478" s="1585"/>
      <c r="F478" s="1577"/>
      <c r="G478" s="1585"/>
      <c r="H478" s="1585"/>
      <c r="I478" s="1577"/>
      <c r="J478" s="1585"/>
      <c r="K478" s="1585"/>
      <c r="M478" s="1570"/>
      <c r="N478" s="1570"/>
      <c r="O478" s="1571"/>
      <c r="P478" s="1571"/>
      <c r="Q478" s="1571"/>
      <c r="R478" s="1570"/>
      <c r="S478" s="1570"/>
      <c r="T478" s="1570"/>
      <c r="U478" s="1570"/>
      <c r="V478" s="1570"/>
      <c r="W478" s="1570"/>
      <c r="X478" s="1570"/>
      <c r="Y478" s="1570"/>
      <c r="Z478" s="1570"/>
      <c r="AA478" s="1570"/>
      <c r="AB478" s="1570"/>
      <c r="AC478" s="1570"/>
      <c r="AD478" s="1570"/>
      <c r="AE478" s="1570"/>
      <c r="AF478" s="1570"/>
      <c r="AG478" s="1570"/>
      <c r="AH478" s="1570"/>
    </row>
    <row r="479" spans="1:36" hidden="1">
      <c r="A479" s="1585" t="s">
        <v>421</v>
      </c>
      <c r="B479" s="1585"/>
      <c r="C479" s="1577"/>
      <c r="D479" s="1577"/>
      <c r="E479" s="1585"/>
      <c r="F479" s="1577"/>
      <c r="G479" s="1585"/>
      <c r="H479" s="1585"/>
      <c r="I479" s="1577"/>
      <c r="J479" s="1585"/>
      <c r="K479" s="1585"/>
      <c r="M479" s="1570"/>
      <c r="N479" s="1570"/>
      <c r="O479" s="1571"/>
      <c r="P479" s="1571"/>
      <c r="Q479" s="1571"/>
      <c r="R479" s="1570"/>
      <c r="S479" s="1570"/>
      <c r="T479" s="1570"/>
      <c r="U479" s="1570"/>
      <c r="V479" s="1570"/>
      <c r="W479" s="1570"/>
      <c r="X479" s="1570"/>
      <c r="Y479" s="1570"/>
      <c r="Z479" s="1570"/>
      <c r="AA479" s="1570"/>
      <c r="AB479" s="1570"/>
      <c r="AC479" s="1570"/>
      <c r="AD479" s="1570"/>
      <c r="AE479" s="1570"/>
      <c r="AF479" s="1570"/>
      <c r="AG479" s="1570"/>
      <c r="AH479" s="1570"/>
    </row>
    <row r="480" spans="1:36" hidden="1">
      <c r="A480" s="1585" t="s">
        <v>396</v>
      </c>
      <c r="B480" s="1599"/>
      <c r="C480" s="1577"/>
      <c r="D480" s="1577"/>
      <c r="E480" s="1585"/>
      <c r="F480" s="1577"/>
      <c r="G480" s="1585"/>
      <c r="H480" s="1585"/>
      <c r="I480" s="1577"/>
      <c r="J480" s="1585"/>
      <c r="K480" s="1585"/>
      <c r="M480" s="1570"/>
      <c r="N480" s="1570"/>
      <c r="O480" s="1571"/>
      <c r="P480" s="1571"/>
      <c r="Q480" s="1571"/>
      <c r="R480" s="1570"/>
      <c r="S480" s="1570"/>
      <c r="T480" s="1570"/>
      <c r="U480" s="1570"/>
      <c r="V480" s="1570"/>
      <c r="W480" s="1570"/>
      <c r="X480" s="1570"/>
      <c r="Y480" s="1570"/>
      <c r="Z480" s="1570"/>
      <c r="AA480" s="1570"/>
      <c r="AB480" s="1570"/>
      <c r="AC480" s="1570"/>
      <c r="AD480" s="1570"/>
      <c r="AE480" s="1570"/>
      <c r="AF480" s="1570"/>
      <c r="AG480" s="1570"/>
      <c r="AH480" s="1570"/>
    </row>
    <row r="481" spans="1:36" hidden="1">
      <c r="A481" s="1585" t="s">
        <v>393</v>
      </c>
      <c r="B481" s="1599">
        <v>1</v>
      </c>
      <c r="C481" s="1614">
        <v>91.679999999999993</v>
      </c>
      <c r="D481" s="1574"/>
      <c r="E481" s="1577">
        <f>ROUND(C481*$B481,0)</f>
        <v>92</v>
      </c>
      <c r="F481" s="1614">
        <v>104.52000000000001</v>
      </c>
      <c r="G481" s="1600"/>
      <c r="H481" s="1577">
        <f>ROUND(F481*$B481,0)</f>
        <v>105</v>
      </c>
      <c r="I481" s="1614">
        <f>$I$160</f>
        <v>107.03999999999999</v>
      </c>
      <c r="J481" s="1600"/>
      <c r="K481" s="1577">
        <f>ROUND(I481*$B481,0)</f>
        <v>107</v>
      </c>
      <c r="M481" s="1570"/>
      <c r="N481" s="1570"/>
      <c r="O481" s="1571"/>
      <c r="P481" s="1571"/>
      <c r="Q481" s="1571"/>
      <c r="R481" s="1570"/>
      <c r="S481" s="1570"/>
      <c r="T481" s="1570"/>
      <c r="U481" s="1570"/>
      <c r="V481" s="1570"/>
      <c r="W481" s="1570"/>
      <c r="X481" s="1570"/>
      <c r="Y481" s="1570"/>
      <c r="Z481" s="1570"/>
      <c r="AA481" s="1570"/>
      <c r="AB481" s="1570"/>
      <c r="AC481" s="1570"/>
      <c r="AD481" s="1570"/>
      <c r="AE481" s="1570"/>
      <c r="AF481" s="1570"/>
      <c r="AG481" s="1570"/>
      <c r="AH481" s="1570"/>
    </row>
    <row r="482" spans="1:36" hidden="1">
      <c r="A482" s="1585" t="s">
        <v>394</v>
      </c>
      <c r="B482" s="1599">
        <v>87.747945205479496</v>
      </c>
      <c r="C482" s="1614">
        <v>136.32</v>
      </c>
      <c r="D482" s="1641"/>
      <c r="E482" s="1577">
        <f>ROUND(C482*$B482,0)</f>
        <v>11962</v>
      </c>
      <c r="F482" s="1614">
        <v>155.76</v>
      </c>
      <c r="G482" s="1642"/>
      <c r="H482" s="1577">
        <f t="shared" ref="H482:H483" si="88">ROUND(F482*$B482,0)</f>
        <v>13668</v>
      </c>
      <c r="I482" s="1614">
        <f>$I$161</f>
        <v>159.6</v>
      </c>
      <c r="J482" s="1642"/>
      <c r="K482" s="1577">
        <f>ROUND(I482*$B482,0)</f>
        <v>14005</v>
      </c>
      <c r="M482" s="1570"/>
      <c r="N482" s="1570"/>
      <c r="O482" s="1571"/>
      <c r="P482" s="1571"/>
      <c r="Q482" s="1571"/>
      <c r="R482" s="1570"/>
      <c r="S482" s="1570"/>
      <c r="T482" s="1570"/>
      <c r="U482" s="1570"/>
      <c r="V482" s="1570"/>
      <c r="W482" s="1570"/>
      <c r="X482" s="1570"/>
      <c r="Y482" s="1570"/>
      <c r="Z482" s="1570"/>
      <c r="AA482" s="1570"/>
      <c r="AB482" s="1570"/>
      <c r="AC482" s="1570"/>
      <c r="AD482" s="1570"/>
      <c r="AE482" s="1570"/>
      <c r="AF482" s="1570"/>
      <c r="AG482" s="1570"/>
      <c r="AH482" s="1570"/>
    </row>
    <row r="483" spans="1:36" hidden="1">
      <c r="A483" s="1585" t="s">
        <v>395</v>
      </c>
      <c r="B483" s="1599">
        <v>3293.9150684931501</v>
      </c>
      <c r="C483" s="1614">
        <v>9.66</v>
      </c>
      <c r="D483" s="1641"/>
      <c r="E483" s="1577">
        <f>ROUND(C483*$B483,0)</f>
        <v>31819</v>
      </c>
      <c r="F483" s="1614">
        <v>11.040000000000001</v>
      </c>
      <c r="G483" s="1642"/>
      <c r="H483" s="1577">
        <f t="shared" si="88"/>
        <v>36365</v>
      </c>
      <c r="I483" s="1614">
        <f>$I$162</f>
        <v>11.399999999999999</v>
      </c>
      <c r="J483" s="1642"/>
      <c r="K483" s="1577">
        <f>ROUND(I483*$B483,0)</f>
        <v>37551</v>
      </c>
      <c r="M483" s="1570"/>
      <c r="N483" s="1570"/>
      <c r="O483" s="1571"/>
      <c r="P483" s="1571"/>
      <c r="Q483" s="1571"/>
      <c r="R483" s="1570"/>
      <c r="S483" s="1570"/>
      <c r="T483" s="1570"/>
      <c r="U483" s="1570"/>
      <c r="V483" s="1570"/>
      <c r="W483" s="1570"/>
      <c r="X483" s="1570"/>
      <c r="Y483" s="1570"/>
      <c r="Z483" s="1570"/>
      <c r="AA483" s="1570"/>
      <c r="AB483" s="1570"/>
      <c r="AC483" s="1570"/>
      <c r="AD483" s="1570"/>
      <c r="AE483" s="1570"/>
      <c r="AF483" s="1570"/>
      <c r="AG483" s="1570"/>
      <c r="AH483" s="1570"/>
    </row>
    <row r="484" spans="1:36" hidden="1">
      <c r="A484" s="1585" t="s">
        <v>397</v>
      </c>
      <c r="B484" s="1599">
        <f>SUM(B481:B482)</f>
        <v>88.747945205479496</v>
      </c>
      <c r="C484" s="1614"/>
      <c r="D484" s="1574"/>
      <c r="E484" s="1577"/>
      <c r="F484" s="1614"/>
      <c r="G484" s="1600"/>
      <c r="H484" s="1577"/>
      <c r="I484" s="1614"/>
      <c r="J484" s="1600"/>
      <c r="K484" s="1577"/>
      <c r="M484" s="1570"/>
      <c r="N484" s="1570"/>
      <c r="O484" s="1571"/>
      <c r="P484" s="1571"/>
      <c r="Q484" s="1571"/>
      <c r="R484" s="1570"/>
      <c r="S484" s="1570"/>
      <c r="T484" s="1570"/>
      <c r="U484" s="1570"/>
      <c r="V484" s="1570"/>
      <c r="W484" s="1570"/>
      <c r="X484" s="1570"/>
      <c r="Y484" s="1570"/>
      <c r="Z484" s="1570"/>
      <c r="AA484" s="1570"/>
      <c r="AB484" s="1570"/>
      <c r="AC484" s="1570"/>
      <c r="AD484" s="1570"/>
      <c r="AE484" s="1570"/>
      <c r="AF484" s="1570"/>
      <c r="AG484" s="1570"/>
      <c r="AH484" s="1570"/>
    </row>
    <row r="485" spans="1:36" hidden="1">
      <c r="A485" s="1585" t="s">
        <v>422</v>
      </c>
      <c r="B485" s="1599">
        <f>12+1031</f>
        <v>1043</v>
      </c>
      <c r="C485" s="1614"/>
      <c r="D485" s="1574"/>
      <c r="E485" s="1577"/>
      <c r="F485" s="1614"/>
      <c r="G485" s="1600"/>
      <c r="H485" s="1577"/>
      <c r="I485" s="1614"/>
      <c r="J485" s="1600"/>
      <c r="K485" s="1577"/>
      <c r="M485" s="1570"/>
      <c r="N485" s="1570"/>
      <c r="O485" s="1571"/>
      <c r="P485" s="1571"/>
      <c r="Q485" s="1571"/>
      <c r="R485" s="1570"/>
      <c r="S485" s="1570"/>
      <c r="T485" s="1570"/>
      <c r="U485" s="1570"/>
      <c r="V485" s="1570"/>
      <c r="W485" s="1570"/>
      <c r="X485" s="1570"/>
      <c r="Y485" s="1570"/>
      <c r="Z485" s="1570"/>
      <c r="AA485" s="1570"/>
      <c r="AB485" s="1570"/>
      <c r="AC485" s="1570"/>
      <c r="AD485" s="1570"/>
      <c r="AE485" s="1570"/>
      <c r="AF485" s="1570"/>
      <c r="AG485" s="1570"/>
      <c r="AH485" s="1570"/>
    </row>
    <row r="486" spans="1:36" hidden="1">
      <c r="A486" s="1585" t="s">
        <v>398</v>
      </c>
      <c r="B486" s="1599">
        <v>12658</v>
      </c>
      <c r="C486" s="1660">
        <v>2.98</v>
      </c>
      <c r="D486" s="1600"/>
      <c r="E486" s="1577">
        <f>ROUND(C486*$B486,0)</f>
        <v>37721</v>
      </c>
      <c r="F486" s="1660">
        <v>3.4</v>
      </c>
      <c r="G486" s="1600"/>
      <c r="H486" s="1577">
        <f>ROUND(F486*B486,0)</f>
        <v>43037</v>
      </c>
      <c r="I486" s="1660">
        <f>$I$169</f>
        <v>3.4899999999999998</v>
      </c>
      <c r="J486" s="1600"/>
      <c r="K486" s="1577">
        <f>ROUND(I486*$B486,0)</f>
        <v>44176</v>
      </c>
      <c r="M486" s="1570"/>
      <c r="N486" s="1570"/>
      <c r="O486" s="1571"/>
      <c r="P486" s="1571"/>
      <c r="Q486" s="1571"/>
      <c r="R486" s="1570"/>
      <c r="S486" s="1570"/>
      <c r="T486" s="1570"/>
      <c r="U486" s="1570"/>
      <c r="V486" s="1570"/>
      <c r="W486" s="1570"/>
      <c r="X486" s="1570"/>
      <c r="Y486" s="1570"/>
      <c r="Z486" s="1570"/>
      <c r="AA486" s="1570"/>
      <c r="AB486" s="1570"/>
      <c r="AC486" s="1570"/>
      <c r="AD486" s="1570"/>
      <c r="AE486" s="1570"/>
      <c r="AF486" s="1570"/>
      <c r="AG486" s="1570"/>
      <c r="AH486" s="1570"/>
    </row>
    <row r="487" spans="1:36" hidden="1">
      <c r="A487" s="1585" t="s">
        <v>400</v>
      </c>
      <c r="B487" s="1599">
        <f>4094+101902</f>
        <v>105996</v>
      </c>
      <c r="C487" s="1389">
        <v>8.5489999999999995</v>
      </c>
      <c r="D487" s="1600" t="s">
        <v>377</v>
      </c>
      <c r="E487" s="1577">
        <f>ROUND(C487*$B487/100,0)</f>
        <v>9062</v>
      </c>
      <c r="F487" s="1389">
        <v>9.766</v>
      </c>
      <c r="G487" s="1600" t="s">
        <v>377</v>
      </c>
      <c r="H487" s="1577">
        <f>ROUND(F487*B487/100,0)</f>
        <v>10352</v>
      </c>
      <c r="I487" s="1389">
        <f>$I$170</f>
        <v>9.9879999999999995</v>
      </c>
      <c r="J487" s="1600" t="s">
        <v>377</v>
      </c>
      <c r="K487" s="1577">
        <f>ROUND(I487*$B487/100,0)</f>
        <v>10587</v>
      </c>
      <c r="M487" s="1570"/>
      <c r="N487" s="1570"/>
      <c r="O487" s="1571"/>
      <c r="P487" s="1571"/>
      <c r="Q487" s="1571"/>
      <c r="R487" s="1570"/>
      <c r="S487" s="1570"/>
      <c r="T487" s="1570"/>
      <c r="U487" s="1570"/>
      <c r="V487" s="1570"/>
      <c r="W487" s="1570"/>
      <c r="X487" s="1570"/>
      <c r="Y487" s="1570"/>
      <c r="Z487" s="1570"/>
      <c r="AA487" s="1570"/>
      <c r="AB487" s="1570"/>
      <c r="AC487" s="1570"/>
      <c r="AD487" s="1570"/>
      <c r="AE487" s="1570"/>
      <c r="AF487" s="1570"/>
      <c r="AG487" s="1570"/>
      <c r="AH487" s="1570"/>
    </row>
    <row r="488" spans="1:36" hidden="1">
      <c r="A488" s="1585" t="s">
        <v>401</v>
      </c>
      <c r="B488" s="1599">
        <f>308+110294</f>
        <v>110602</v>
      </c>
      <c r="C488" s="1389">
        <v>5.9020000000000001</v>
      </c>
      <c r="D488" s="1600" t="s">
        <v>377</v>
      </c>
      <c r="E488" s="1577">
        <f>ROUND(C488*$B488/100,0)</f>
        <v>6528</v>
      </c>
      <c r="F488" s="1389">
        <v>6.7460000000000004</v>
      </c>
      <c r="G488" s="1600" t="s">
        <v>377</v>
      </c>
      <c r="H488" s="1577">
        <f t="shared" ref="H488:H490" si="89">ROUND(F488*B488/100,0)</f>
        <v>7461</v>
      </c>
      <c r="I488" s="1389">
        <f>$I$171</f>
        <v>6.9080000000000004</v>
      </c>
      <c r="J488" s="1600" t="s">
        <v>377</v>
      </c>
      <c r="K488" s="1577">
        <f>ROUND(I488*$B488/100,0)</f>
        <v>7640</v>
      </c>
      <c r="M488" s="1570"/>
      <c r="N488" s="1570"/>
      <c r="O488" s="1571"/>
      <c r="P488" s="1571"/>
      <c r="Q488" s="1571"/>
      <c r="R488" s="1570"/>
      <c r="S488" s="1570"/>
      <c r="T488" s="1570"/>
      <c r="U488" s="1570"/>
      <c r="V488" s="1570"/>
      <c r="W488" s="1570"/>
      <c r="X488" s="1570"/>
      <c r="Y488" s="1570"/>
      <c r="Z488" s="1570"/>
      <c r="AA488" s="1570"/>
      <c r="AB488" s="1570"/>
      <c r="AC488" s="1570"/>
      <c r="AD488" s="1570"/>
      <c r="AE488" s="1570"/>
      <c r="AF488" s="1570"/>
      <c r="AG488" s="1570"/>
      <c r="AH488" s="1570"/>
    </row>
    <row r="489" spans="1:36" hidden="1">
      <c r="A489" s="1585" t="s">
        <v>402</v>
      </c>
      <c r="B489" s="1599">
        <v>134813</v>
      </c>
      <c r="C489" s="1389">
        <v>5.0839999999999996</v>
      </c>
      <c r="D489" s="1600" t="s">
        <v>377</v>
      </c>
      <c r="E489" s="1577">
        <f>ROUND(C489*$B489/100,0)</f>
        <v>6854</v>
      </c>
      <c r="F489" s="1389">
        <v>5.8120000000000003</v>
      </c>
      <c r="G489" s="1600" t="s">
        <v>377</v>
      </c>
      <c r="H489" s="1577">
        <f t="shared" si="89"/>
        <v>7835</v>
      </c>
      <c r="I489" s="1389">
        <f>$I$172</f>
        <v>5.952</v>
      </c>
      <c r="J489" s="1600" t="s">
        <v>377</v>
      </c>
      <c r="K489" s="1577">
        <f>ROUND(I489*$B489/100,0)</f>
        <v>8024</v>
      </c>
      <c r="M489" s="1570"/>
      <c r="N489" s="1570"/>
      <c r="O489" s="1571"/>
      <c r="P489" s="1571"/>
      <c r="Q489" s="1571"/>
      <c r="R489" s="1570"/>
      <c r="S489" s="1570"/>
      <c r="T489" s="1570"/>
      <c r="U489" s="1570"/>
      <c r="V489" s="1570"/>
      <c r="W489" s="1570"/>
      <c r="X489" s="1570"/>
      <c r="Y489" s="1570"/>
      <c r="Z489" s="1570"/>
      <c r="AA489" s="1570"/>
      <c r="AB489" s="1570"/>
      <c r="AC489" s="1570"/>
      <c r="AD489" s="1570"/>
      <c r="AE489" s="1570"/>
      <c r="AF489" s="1570"/>
      <c r="AG489" s="1570"/>
      <c r="AH489" s="1570"/>
    </row>
    <row r="490" spans="1:36" hidden="1">
      <c r="A490" s="1585" t="s">
        <v>403</v>
      </c>
      <c r="B490" s="1599">
        <v>1416.98888888889</v>
      </c>
      <c r="C490" s="1647">
        <v>50</v>
      </c>
      <c r="D490" s="1574" t="s">
        <v>377</v>
      </c>
      <c r="E490" s="1577">
        <f>ROUND(C490*$B490/100,0)</f>
        <v>708</v>
      </c>
      <c r="F490" s="1647">
        <v>56</v>
      </c>
      <c r="G490" s="1600" t="s">
        <v>377</v>
      </c>
      <c r="H490" s="1577">
        <f t="shared" si="89"/>
        <v>794</v>
      </c>
      <c r="I490" s="1647">
        <f>$I$173</f>
        <v>57</v>
      </c>
      <c r="J490" s="1600" t="s">
        <v>377</v>
      </c>
      <c r="K490" s="1577">
        <f>ROUND(I490*$B490/100,0)</f>
        <v>808</v>
      </c>
      <c r="M490" s="1570"/>
      <c r="N490" s="1570"/>
      <c r="O490" s="1571"/>
      <c r="P490" s="1571"/>
      <c r="Q490" s="1571"/>
      <c r="R490" s="1570"/>
      <c r="S490" s="1570"/>
      <c r="T490" s="1570"/>
      <c r="U490" s="1570"/>
      <c r="V490" s="1570"/>
      <c r="W490" s="1570"/>
      <c r="X490" s="1570"/>
      <c r="Y490" s="1570"/>
      <c r="Z490" s="1570"/>
      <c r="AA490" s="1570"/>
      <c r="AB490" s="1570"/>
      <c r="AC490" s="1570"/>
      <c r="AD490" s="1570"/>
      <c r="AE490" s="1570"/>
      <c r="AF490" s="1570"/>
      <c r="AG490" s="1570"/>
      <c r="AH490" s="1570"/>
    </row>
    <row r="491" spans="1:36" hidden="1">
      <c r="A491" s="1569" t="s">
        <v>933</v>
      </c>
      <c r="B491" s="1575">
        <f>B487</f>
        <v>105996</v>
      </c>
      <c r="C491" s="1584"/>
      <c r="D491" s="1570"/>
      <c r="E491" s="1577"/>
      <c r="F491" s="1584"/>
      <c r="G491" s="1570"/>
      <c r="H491" s="1577"/>
      <c r="I491" s="1389">
        <f>I174</f>
        <v>0</v>
      </c>
      <c r="J491" s="1600" t="s">
        <v>377</v>
      </c>
      <c r="K491" s="1577">
        <f t="shared" ref="K491:K493" si="90">ROUND(I491*$B491/100,0)</f>
        <v>0</v>
      </c>
      <c r="M491" s="1578"/>
      <c r="O491" s="1579"/>
      <c r="P491" s="1569"/>
      <c r="Q491" s="1569"/>
      <c r="R491" s="1580"/>
      <c r="S491" s="1580"/>
      <c r="X491" s="1570"/>
      <c r="Y491" s="1570"/>
      <c r="Z491" s="1570"/>
      <c r="AA491" s="1570"/>
      <c r="AB491" s="1570"/>
      <c r="AC491" s="1570"/>
      <c r="AD491" s="1570"/>
      <c r="AE491" s="1570"/>
      <c r="AF491" s="1570"/>
      <c r="AG491" s="1570"/>
      <c r="AH491" s="1570"/>
      <c r="AJ491" s="1578"/>
    </row>
    <row r="492" spans="1:36" hidden="1">
      <c r="A492" s="1569" t="s">
        <v>934</v>
      </c>
      <c r="B492" s="1575">
        <f t="shared" ref="B492:B493" si="91">B488</f>
        <v>110602</v>
      </c>
      <c r="C492" s="1584"/>
      <c r="D492" s="1570"/>
      <c r="E492" s="1577"/>
      <c r="F492" s="1584"/>
      <c r="G492" s="1570"/>
      <c r="H492" s="1577"/>
      <c r="I492" s="1389">
        <f>I175</f>
        <v>0</v>
      </c>
      <c r="J492" s="1600" t="s">
        <v>377</v>
      </c>
      <c r="K492" s="1577">
        <f t="shared" si="90"/>
        <v>0</v>
      </c>
      <c r="M492" s="1578"/>
      <c r="O492" s="1579"/>
      <c r="P492" s="1569"/>
      <c r="Q492" s="1569"/>
      <c r="R492" s="1580"/>
      <c r="S492" s="1580"/>
      <c r="X492" s="1570"/>
      <c r="Y492" s="1570"/>
      <c r="Z492" s="1570"/>
      <c r="AA492" s="1570"/>
      <c r="AB492" s="1570"/>
      <c r="AC492" s="1570"/>
      <c r="AD492" s="1570"/>
      <c r="AE492" s="1570"/>
      <c r="AF492" s="1570"/>
      <c r="AG492" s="1570"/>
      <c r="AH492" s="1570"/>
      <c r="AJ492" s="1578"/>
    </row>
    <row r="493" spans="1:36" hidden="1">
      <c r="A493" s="1569" t="s">
        <v>935</v>
      </c>
      <c r="B493" s="1575">
        <f t="shared" si="91"/>
        <v>134813</v>
      </c>
      <c r="C493" s="1584"/>
      <c r="D493" s="1570"/>
      <c r="E493" s="1577"/>
      <c r="F493" s="1584"/>
      <c r="G493" s="1570"/>
      <c r="H493" s="1577"/>
      <c r="I493" s="1389">
        <f>I176</f>
        <v>0</v>
      </c>
      <c r="J493" s="1600" t="s">
        <v>377</v>
      </c>
      <c r="K493" s="1577">
        <f t="shared" si="90"/>
        <v>0</v>
      </c>
      <c r="M493" s="1578"/>
      <c r="O493" s="1579"/>
      <c r="P493" s="1569"/>
      <c r="Q493" s="1569"/>
      <c r="R493" s="1580"/>
      <c r="S493" s="1580"/>
      <c r="X493" s="1570"/>
      <c r="Y493" s="1570"/>
      <c r="Z493" s="1570"/>
      <c r="AA493" s="1570"/>
      <c r="AB493" s="1570"/>
      <c r="AC493" s="1570"/>
      <c r="AD493" s="1570"/>
      <c r="AE493" s="1570"/>
      <c r="AF493" s="1570"/>
      <c r="AG493" s="1570"/>
      <c r="AH493" s="1570"/>
      <c r="AJ493" s="1578"/>
    </row>
    <row r="494" spans="1:36" hidden="1">
      <c r="A494" s="1654" t="s">
        <v>404</v>
      </c>
      <c r="B494" s="1599"/>
      <c r="C494" s="1655">
        <v>-0.01</v>
      </c>
      <c r="D494" s="1574"/>
      <c r="E494" s="1577"/>
      <c r="F494" s="1655">
        <v>-0.01</v>
      </c>
      <c r="G494" s="1600"/>
      <c r="H494" s="1577"/>
      <c r="I494" s="1655">
        <v>-0.01</v>
      </c>
      <c r="J494" s="1600"/>
      <c r="K494" s="1577"/>
      <c r="M494" s="1570"/>
      <c r="N494" s="1570"/>
      <c r="O494" s="1571"/>
      <c r="P494" s="1571"/>
      <c r="Q494" s="1571"/>
      <c r="R494" s="1570"/>
      <c r="S494" s="1570"/>
      <c r="T494" s="1570"/>
      <c r="U494" s="1570"/>
      <c r="V494" s="1570"/>
      <c r="W494" s="1570"/>
      <c r="X494" s="1570"/>
      <c r="Y494" s="1570"/>
      <c r="Z494" s="1570"/>
      <c r="AA494" s="1570"/>
      <c r="AB494" s="1570"/>
      <c r="AC494" s="1570"/>
      <c r="AD494" s="1570"/>
      <c r="AE494" s="1570"/>
      <c r="AF494" s="1570"/>
      <c r="AG494" s="1570"/>
      <c r="AH494" s="1570"/>
    </row>
    <row r="495" spans="1:36" hidden="1">
      <c r="A495" s="1585" t="s">
        <v>393</v>
      </c>
      <c r="B495" s="1599">
        <v>0</v>
      </c>
      <c r="C495" s="1657">
        <v>91.679999999999993</v>
      </c>
      <c r="D495" s="1574"/>
      <c r="E495" s="1577">
        <f>-ROUND(C495*$B495/100,0)</f>
        <v>0</v>
      </c>
      <c r="F495" s="1657">
        <v>104.52000000000001</v>
      </c>
      <c r="G495" s="1574"/>
      <c r="H495" s="1577">
        <f>-ROUND(F495*$B495/100,0)</f>
        <v>0</v>
      </c>
      <c r="I495" s="1657">
        <f>I481</f>
        <v>107.03999999999999</v>
      </c>
      <c r="J495" s="1574"/>
      <c r="K495" s="1577">
        <f>-ROUND(I495*$B495/100,0)</f>
        <v>0</v>
      </c>
      <c r="M495" s="1570"/>
      <c r="N495" s="1570"/>
      <c r="O495" s="1571"/>
      <c r="P495" s="1571"/>
      <c r="Q495" s="1571"/>
      <c r="R495" s="1570"/>
      <c r="S495" s="1570"/>
      <c r="T495" s="1570"/>
      <c r="U495" s="1570"/>
      <c r="V495" s="1570"/>
      <c r="W495" s="1570"/>
      <c r="X495" s="1570"/>
      <c r="Y495" s="1570"/>
      <c r="Z495" s="1570"/>
      <c r="AA495" s="1570"/>
      <c r="AB495" s="1570"/>
      <c r="AC495" s="1570"/>
      <c r="AD495" s="1570"/>
      <c r="AE495" s="1570"/>
      <c r="AF495" s="1570"/>
      <c r="AG495" s="1570"/>
      <c r="AH495" s="1570"/>
    </row>
    <row r="496" spans="1:36" hidden="1">
      <c r="A496" s="1585" t="s">
        <v>394</v>
      </c>
      <c r="B496" s="1599">
        <v>0</v>
      </c>
      <c r="C496" s="1657">
        <v>136.32</v>
      </c>
      <c r="D496" s="1574"/>
      <c r="E496" s="1577">
        <f>-ROUND(C496*$B496/100,0)</f>
        <v>0</v>
      </c>
      <c r="F496" s="1657">
        <v>155.76</v>
      </c>
      <c r="G496" s="1574"/>
      <c r="H496" s="1577">
        <f t="shared" ref="H496:H498" si="92">-ROUND(F496*$B496/100,0)</f>
        <v>0</v>
      </c>
      <c r="I496" s="1657">
        <f>I482</f>
        <v>159.6</v>
      </c>
      <c r="J496" s="1574"/>
      <c r="K496" s="1577">
        <f>-ROUND(I496*$B496/100,0)</f>
        <v>0</v>
      </c>
      <c r="M496" s="1570"/>
      <c r="N496" s="1570"/>
      <c r="O496" s="1571"/>
      <c r="P496" s="1571"/>
      <c r="Q496" s="1571"/>
      <c r="R496" s="1570"/>
      <c r="S496" s="1570"/>
      <c r="T496" s="1570"/>
      <c r="U496" s="1570"/>
      <c r="V496" s="1570"/>
      <c r="W496" s="1570"/>
      <c r="X496" s="1570"/>
      <c r="Y496" s="1570"/>
      <c r="Z496" s="1570"/>
      <c r="AA496" s="1570"/>
      <c r="AB496" s="1570"/>
      <c r="AC496" s="1570"/>
      <c r="AD496" s="1570"/>
      <c r="AE496" s="1570"/>
      <c r="AF496" s="1570"/>
      <c r="AG496" s="1570"/>
      <c r="AH496" s="1570"/>
    </row>
    <row r="497" spans="1:36" hidden="1">
      <c r="A497" s="1585" t="s">
        <v>405</v>
      </c>
      <c r="B497" s="1599">
        <v>0</v>
      </c>
      <c r="C497" s="1657">
        <v>9.66</v>
      </c>
      <c r="D497" s="1574"/>
      <c r="E497" s="1577">
        <f>-ROUND(C497*$B497/100,0)</f>
        <v>0</v>
      </c>
      <c r="F497" s="1657">
        <v>11.040000000000001</v>
      </c>
      <c r="G497" s="1574"/>
      <c r="H497" s="1577">
        <f t="shared" si="92"/>
        <v>0</v>
      </c>
      <c r="I497" s="1657">
        <f>I483</f>
        <v>11.399999999999999</v>
      </c>
      <c r="J497" s="1574"/>
      <c r="K497" s="1577">
        <f>-ROUND(I497*$B497/100,0)</f>
        <v>0</v>
      </c>
      <c r="M497" s="1570"/>
      <c r="N497" s="1570"/>
      <c r="O497" s="1571"/>
      <c r="P497" s="1571"/>
      <c r="Q497" s="1571"/>
      <c r="R497" s="1570"/>
      <c r="S497" s="1570"/>
      <c r="T497" s="1570"/>
      <c r="U497" s="1570"/>
      <c r="V497" s="1570"/>
      <c r="W497" s="1570"/>
      <c r="X497" s="1570"/>
      <c r="Y497" s="1570"/>
      <c r="Z497" s="1570"/>
      <c r="AA497" s="1570"/>
      <c r="AB497" s="1570"/>
      <c r="AC497" s="1570"/>
      <c r="AD497" s="1570"/>
      <c r="AE497" s="1570"/>
      <c r="AF497" s="1570"/>
      <c r="AG497" s="1570"/>
      <c r="AH497" s="1570"/>
    </row>
    <row r="498" spans="1:36" hidden="1">
      <c r="A498" s="1585" t="s">
        <v>406</v>
      </c>
      <c r="B498" s="1599">
        <v>0</v>
      </c>
      <c r="C498" s="1657">
        <v>2.98</v>
      </c>
      <c r="D498" s="1600"/>
      <c r="E498" s="1577">
        <f>-ROUND(C498*$B498/100,0)</f>
        <v>0</v>
      </c>
      <c r="F498" s="1657">
        <v>3.4</v>
      </c>
      <c r="G498" s="1600"/>
      <c r="H498" s="1577">
        <f t="shared" si="92"/>
        <v>0</v>
      </c>
      <c r="I498" s="1657">
        <f>I486</f>
        <v>3.4899999999999998</v>
      </c>
      <c r="J498" s="1600"/>
      <c r="K498" s="1577">
        <f>-ROUND(I498*$B498/100,0)</f>
        <v>0</v>
      </c>
      <c r="M498" s="1570"/>
      <c r="N498" s="1570"/>
      <c r="O498" s="1571"/>
      <c r="P498" s="1571"/>
      <c r="Q498" s="1571"/>
      <c r="R498" s="1570"/>
      <c r="S498" s="1570"/>
      <c r="T498" s="1570"/>
      <c r="U498" s="1570"/>
      <c r="V498" s="1570"/>
      <c r="W498" s="1570"/>
      <c r="X498" s="1570"/>
      <c r="Y498" s="1570"/>
      <c r="Z498" s="1570"/>
      <c r="AA498" s="1570"/>
      <c r="AB498" s="1570"/>
      <c r="AC498" s="1570"/>
      <c r="AD498" s="1570"/>
      <c r="AE498" s="1570"/>
      <c r="AF498" s="1570"/>
      <c r="AG498" s="1570"/>
      <c r="AH498" s="1570"/>
    </row>
    <row r="499" spans="1:36" hidden="1">
      <c r="A499" s="1585" t="s">
        <v>408</v>
      </c>
      <c r="B499" s="1599">
        <v>0</v>
      </c>
      <c r="C499" s="1658">
        <v>8.5489999999999995</v>
      </c>
      <c r="D499" s="1600" t="s">
        <v>377</v>
      </c>
      <c r="E499" s="1577">
        <f>ROUND(C499*$B499/100*C494,0)</f>
        <v>0</v>
      </c>
      <c r="F499" s="1658">
        <v>9.766</v>
      </c>
      <c r="G499" s="1600" t="s">
        <v>377</v>
      </c>
      <c r="H499" s="1577">
        <f>ROUND(F499*$B499/100*F494,0)</f>
        <v>0</v>
      </c>
      <c r="I499" s="1658">
        <f>I487</f>
        <v>9.9879999999999995</v>
      </c>
      <c r="J499" s="1600" t="s">
        <v>377</v>
      </c>
      <c r="K499" s="1577">
        <f>ROUND(I499*$B499/100*I494,0)</f>
        <v>0</v>
      </c>
      <c r="M499" s="1570"/>
      <c r="N499" s="1570"/>
      <c r="O499" s="1571"/>
      <c r="P499" s="1571"/>
      <c r="Q499" s="1571"/>
      <c r="R499" s="1570"/>
      <c r="S499" s="1570"/>
      <c r="T499" s="1570"/>
      <c r="U499" s="1570"/>
      <c r="V499" s="1570"/>
      <c r="W499" s="1570"/>
      <c r="X499" s="1570"/>
      <c r="Y499" s="1570"/>
      <c r="Z499" s="1570"/>
      <c r="AA499" s="1570"/>
      <c r="AB499" s="1570"/>
      <c r="AC499" s="1570"/>
      <c r="AD499" s="1570"/>
      <c r="AE499" s="1570"/>
      <c r="AF499" s="1570"/>
      <c r="AG499" s="1570"/>
      <c r="AH499" s="1570"/>
    </row>
    <row r="500" spans="1:36" hidden="1">
      <c r="A500" s="1585" t="s">
        <v>401</v>
      </c>
      <c r="B500" s="1599">
        <v>0</v>
      </c>
      <c r="C500" s="1658">
        <v>5.9020000000000001</v>
      </c>
      <c r="D500" s="1600" t="s">
        <v>377</v>
      </c>
      <c r="E500" s="1577">
        <f>ROUND(C500*$B500/100*C494,0)</f>
        <v>0</v>
      </c>
      <c r="F500" s="1658">
        <v>6.7460000000000004</v>
      </c>
      <c r="G500" s="1600" t="s">
        <v>377</v>
      </c>
      <c r="H500" s="1577">
        <f>ROUND(F500*$B500/100*F494,0)</f>
        <v>0</v>
      </c>
      <c r="I500" s="1658">
        <f>I488</f>
        <v>6.9080000000000004</v>
      </c>
      <c r="J500" s="1600" t="s">
        <v>377</v>
      </c>
      <c r="K500" s="1577">
        <f>ROUND(I500*$B500/100*I494,0)</f>
        <v>0</v>
      </c>
      <c r="M500" s="1570"/>
      <c r="N500" s="1570"/>
      <c r="O500" s="1571"/>
      <c r="P500" s="1571"/>
      <c r="Q500" s="1571"/>
      <c r="R500" s="1570"/>
      <c r="S500" s="1570"/>
      <c r="T500" s="1570"/>
      <c r="U500" s="1570"/>
      <c r="V500" s="1570"/>
      <c r="W500" s="1570"/>
      <c r="X500" s="1570"/>
      <c r="Y500" s="1570"/>
      <c r="Z500" s="1570"/>
      <c r="AA500" s="1570"/>
      <c r="AB500" s="1570"/>
      <c r="AC500" s="1570"/>
      <c r="AD500" s="1570"/>
      <c r="AE500" s="1570"/>
      <c r="AF500" s="1570"/>
      <c r="AG500" s="1570"/>
      <c r="AH500" s="1570"/>
    </row>
    <row r="501" spans="1:36" hidden="1">
      <c r="A501" s="1585" t="s">
        <v>402</v>
      </c>
      <c r="B501" s="1599">
        <v>0</v>
      </c>
      <c r="C501" s="1658">
        <v>5.0839999999999996</v>
      </c>
      <c r="D501" s="1600" t="s">
        <v>377</v>
      </c>
      <c r="E501" s="1577">
        <f>ROUND(C501*$B501/100*C494,0)</f>
        <v>0</v>
      </c>
      <c r="F501" s="1658">
        <v>5.8120000000000003</v>
      </c>
      <c r="G501" s="1600" t="s">
        <v>377</v>
      </c>
      <c r="H501" s="1577">
        <f>ROUND(F501*$B501/100*F494,0)</f>
        <v>0</v>
      </c>
      <c r="I501" s="1658">
        <f>I489</f>
        <v>5.952</v>
      </c>
      <c r="J501" s="1600" t="s">
        <v>377</v>
      </c>
      <c r="K501" s="1577">
        <f>ROUND(I501*$B501/100*I494,0)</f>
        <v>0</v>
      </c>
      <c r="M501" s="1570"/>
      <c r="N501" s="1570"/>
      <c r="O501" s="1571"/>
      <c r="P501" s="1571"/>
      <c r="Q501" s="1571"/>
      <c r="R501" s="1570"/>
      <c r="S501" s="1570"/>
      <c r="T501" s="1570"/>
      <c r="U501" s="1570"/>
      <c r="V501" s="1570"/>
      <c r="W501" s="1570"/>
      <c r="X501" s="1570"/>
      <c r="Y501" s="1570"/>
      <c r="Z501" s="1570"/>
      <c r="AA501" s="1570"/>
      <c r="AB501" s="1570"/>
      <c r="AC501" s="1570"/>
      <c r="AD501" s="1570"/>
      <c r="AE501" s="1570"/>
      <c r="AF501" s="1570"/>
      <c r="AG501" s="1570"/>
      <c r="AH501" s="1570"/>
    </row>
    <row r="502" spans="1:36" hidden="1">
      <c r="A502" s="1585" t="s">
        <v>403</v>
      </c>
      <c r="B502" s="1599">
        <v>0</v>
      </c>
      <c r="C502" s="1659">
        <v>50</v>
      </c>
      <c r="D502" s="1600" t="s">
        <v>377</v>
      </c>
      <c r="E502" s="1577">
        <f>ROUND(C502*$B502/100*C494,0)</f>
        <v>0</v>
      </c>
      <c r="F502" s="1659">
        <v>56</v>
      </c>
      <c r="G502" s="1600" t="s">
        <v>377</v>
      </c>
      <c r="H502" s="1577">
        <f>ROUND(F502*$B502/100*F494,0)</f>
        <v>0</v>
      </c>
      <c r="I502" s="1659">
        <f>I490</f>
        <v>57</v>
      </c>
      <c r="J502" s="1600" t="s">
        <v>377</v>
      </c>
      <c r="K502" s="1577">
        <f>ROUND(I502*$B502/100*I494,0)</f>
        <v>0</v>
      </c>
      <c r="M502" s="1570"/>
      <c r="N502" s="1570"/>
      <c r="O502" s="1571"/>
      <c r="P502" s="1571"/>
      <c r="Q502" s="1571"/>
      <c r="R502" s="1570"/>
      <c r="S502" s="1570"/>
      <c r="T502" s="1570"/>
      <c r="U502" s="1570"/>
      <c r="V502" s="1570"/>
      <c r="W502" s="1570"/>
      <c r="X502" s="1570"/>
      <c r="Y502" s="1570"/>
      <c r="Z502" s="1570"/>
      <c r="AA502" s="1570"/>
      <c r="AB502" s="1570"/>
      <c r="AC502" s="1570"/>
      <c r="AD502" s="1570"/>
      <c r="AE502" s="1570"/>
      <c r="AF502" s="1570"/>
      <c r="AG502" s="1570"/>
      <c r="AH502" s="1570"/>
    </row>
    <row r="503" spans="1:36" hidden="1">
      <c r="A503" s="1585" t="s">
        <v>410</v>
      </c>
      <c r="B503" s="1599">
        <v>0</v>
      </c>
      <c r="C503" s="1660">
        <v>60</v>
      </c>
      <c r="D503" s="1574"/>
      <c r="E503" s="1577">
        <f>ROUND(C503*$B503,0)</f>
        <v>0</v>
      </c>
      <c r="F503" s="1660">
        <v>60</v>
      </c>
      <c r="G503" s="1600"/>
      <c r="H503" s="1577">
        <f>ROUND(F503*B503,0)</f>
        <v>0</v>
      </c>
      <c r="I503" s="1660">
        <f>$I$189</f>
        <v>60</v>
      </c>
      <c r="J503" s="1600"/>
      <c r="K503" s="1577">
        <f>ROUND(I503*$B503,0)</f>
        <v>0</v>
      </c>
      <c r="M503" s="1570"/>
      <c r="N503" s="1570"/>
      <c r="O503" s="1571"/>
      <c r="P503" s="1571"/>
      <c r="Q503" s="1571"/>
      <c r="R503" s="1570"/>
      <c r="S503" s="1570"/>
      <c r="T503" s="1570"/>
      <c r="U503" s="1570"/>
      <c r="V503" s="1570"/>
      <c r="W503" s="1570"/>
      <c r="X503" s="1570"/>
      <c r="Y503" s="1570"/>
      <c r="Z503" s="1570"/>
      <c r="AA503" s="1570"/>
      <c r="AB503" s="1570"/>
      <c r="AC503" s="1570"/>
      <c r="AD503" s="1570"/>
      <c r="AE503" s="1570"/>
      <c r="AF503" s="1570"/>
      <c r="AG503" s="1570"/>
      <c r="AH503" s="1570"/>
    </row>
    <row r="504" spans="1:36" hidden="1">
      <c r="A504" s="1585" t="s">
        <v>411</v>
      </c>
      <c r="B504" s="1599">
        <v>0</v>
      </c>
      <c r="C504" s="1661">
        <v>-30</v>
      </c>
      <c r="D504" s="1574" t="s">
        <v>377</v>
      </c>
      <c r="E504" s="1577">
        <f>ROUND(C504*$B504/100,0)</f>
        <v>0</v>
      </c>
      <c r="F504" s="1661">
        <v>-30</v>
      </c>
      <c r="G504" s="1600" t="s">
        <v>377</v>
      </c>
      <c r="H504" s="1577">
        <f>ROUND(F504*B504/100,0)</f>
        <v>0</v>
      </c>
      <c r="I504" s="1661">
        <f>$I$190</f>
        <v>-30</v>
      </c>
      <c r="J504" s="1600" t="s">
        <v>377</v>
      </c>
      <c r="K504" s="1577">
        <f>ROUND(I504*$B504/100,0)</f>
        <v>0</v>
      </c>
      <c r="M504" s="1570"/>
      <c r="N504" s="1570"/>
      <c r="O504" s="1571"/>
      <c r="P504" s="1571"/>
      <c r="Q504" s="1571"/>
      <c r="R504" s="1570"/>
      <c r="S504" s="1570"/>
      <c r="T504" s="1570"/>
      <c r="U504" s="1570"/>
      <c r="V504" s="1570"/>
      <c r="W504" s="1570"/>
      <c r="X504" s="1570"/>
      <c r="Y504" s="1570"/>
      <c r="Z504" s="1570"/>
      <c r="AA504" s="1570"/>
      <c r="AB504" s="1570"/>
      <c r="AC504" s="1570"/>
      <c r="AD504" s="1570"/>
      <c r="AE504" s="1570"/>
      <c r="AF504" s="1570"/>
      <c r="AG504" s="1570"/>
      <c r="AH504" s="1570"/>
    </row>
    <row r="505" spans="1:36" hidden="1">
      <c r="A505" s="1569" t="s">
        <v>933</v>
      </c>
      <c r="B505" s="1575">
        <f>B499</f>
        <v>0</v>
      </c>
      <c r="C505" s="1584"/>
      <c r="D505" s="1570"/>
      <c r="E505" s="1577"/>
      <c r="F505" s="1584"/>
      <c r="G505" s="1570"/>
      <c r="H505" s="1577"/>
      <c r="I505" s="1389">
        <f>I174</f>
        <v>0</v>
      </c>
      <c r="J505" s="1600" t="s">
        <v>377</v>
      </c>
      <c r="K505" s="1577">
        <f t="shared" ref="K505:K507" si="93">ROUND(I505*$B505/100,0)</f>
        <v>0</v>
      </c>
      <c r="M505" s="1578"/>
      <c r="O505" s="1579"/>
      <c r="P505" s="1569"/>
      <c r="Q505" s="1569"/>
      <c r="R505" s="1580"/>
      <c r="S505" s="1580"/>
      <c r="X505" s="1570"/>
      <c r="Y505" s="1570"/>
      <c r="Z505" s="1570"/>
      <c r="AA505" s="1570"/>
      <c r="AB505" s="1570"/>
      <c r="AC505" s="1570"/>
      <c r="AD505" s="1570"/>
      <c r="AE505" s="1570"/>
      <c r="AF505" s="1570"/>
      <c r="AG505" s="1570"/>
      <c r="AH505" s="1570"/>
      <c r="AJ505" s="1578"/>
    </row>
    <row r="506" spans="1:36" hidden="1">
      <c r="A506" s="1569" t="s">
        <v>934</v>
      </c>
      <c r="B506" s="1575">
        <f t="shared" ref="B506:B507" si="94">B500</f>
        <v>0</v>
      </c>
      <c r="C506" s="1584"/>
      <c r="D506" s="1570"/>
      <c r="E506" s="1577"/>
      <c r="F506" s="1584"/>
      <c r="G506" s="1570"/>
      <c r="H506" s="1577"/>
      <c r="I506" s="1389">
        <f>I175</f>
        <v>0</v>
      </c>
      <c r="J506" s="1600" t="s">
        <v>377</v>
      </c>
      <c r="K506" s="1577">
        <f t="shared" si="93"/>
        <v>0</v>
      </c>
      <c r="M506" s="1578"/>
      <c r="O506" s="1579"/>
      <c r="P506" s="1569"/>
      <c r="Q506" s="1569"/>
      <c r="R506" s="1580"/>
      <c r="S506" s="1580"/>
      <c r="X506" s="1570"/>
      <c r="Y506" s="1570"/>
      <c r="Z506" s="1570"/>
      <c r="AA506" s="1570"/>
      <c r="AB506" s="1570"/>
      <c r="AC506" s="1570"/>
      <c r="AD506" s="1570"/>
      <c r="AE506" s="1570"/>
      <c r="AF506" s="1570"/>
      <c r="AG506" s="1570"/>
      <c r="AH506" s="1570"/>
      <c r="AJ506" s="1578"/>
    </row>
    <row r="507" spans="1:36" hidden="1">
      <c r="A507" s="1569" t="s">
        <v>935</v>
      </c>
      <c r="B507" s="1575">
        <f t="shared" si="94"/>
        <v>0</v>
      </c>
      <c r="C507" s="1584"/>
      <c r="D507" s="1570"/>
      <c r="E507" s="1577"/>
      <c r="F507" s="1584"/>
      <c r="G507" s="1570"/>
      <c r="H507" s="1577"/>
      <c r="I507" s="1389">
        <f>I176</f>
        <v>0</v>
      </c>
      <c r="J507" s="1600" t="s">
        <v>377</v>
      </c>
      <c r="K507" s="1577">
        <f t="shared" si="93"/>
        <v>0</v>
      </c>
      <c r="M507" s="1578"/>
      <c r="O507" s="1579"/>
      <c r="P507" s="1569"/>
      <c r="Q507" s="1569"/>
      <c r="R507" s="1580"/>
      <c r="S507" s="1580"/>
      <c r="X507" s="1570"/>
      <c r="Y507" s="1570"/>
      <c r="Z507" s="1570"/>
      <c r="AA507" s="1570"/>
      <c r="AB507" s="1570"/>
      <c r="AC507" s="1570"/>
      <c r="AD507" s="1570"/>
      <c r="AE507" s="1570"/>
      <c r="AF507" s="1570"/>
      <c r="AG507" s="1570"/>
      <c r="AH507" s="1570"/>
      <c r="AJ507" s="1578"/>
    </row>
    <row r="508" spans="1:36" hidden="1">
      <c r="A508" s="1585" t="s">
        <v>384</v>
      </c>
      <c r="B508" s="1599">
        <f>SUM(B487:B489)</f>
        <v>351411</v>
      </c>
      <c r="C508" s="1647"/>
      <c r="D508" s="1577"/>
      <c r="E508" s="1577">
        <f>SUM(E481:E504)</f>
        <v>104746</v>
      </c>
      <c r="F508" s="1647"/>
      <c r="G508" s="1600"/>
      <c r="H508" s="1577">
        <f>SUM(H481:H504)</f>
        <v>119617</v>
      </c>
      <c r="I508" s="1647"/>
      <c r="J508" s="1600"/>
      <c r="K508" s="1577">
        <f>SUM(K481:K507)</f>
        <v>122898</v>
      </c>
      <c r="M508" s="1570"/>
      <c r="N508" s="1570"/>
      <c r="O508" s="1571"/>
      <c r="P508" s="1571"/>
      <c r="Q508" s="1571"/>
      <c r="R508" s="1570"/>
      <c r="S508" s="1570"/>
      <c r="T508" s="1570"/>
      <c r="U508" s="1570"/>
      <c r="V508" s="1570"/>
      <c r="W508" s="1570"/>
      <c r="X508" s="1570"/>
      <c r="Y508" s="1570"/>
      <c r="Z508" s="1570"/>
      <c r="AA508" s="1570"/>
      <c r="AB508" s="1570"/>
      <c r="AC508" s="1570"/>
      <c r="AD508" s="1570"/>
      <c r="AE508" s="1570"/>
      <c r="AF508" s="1570"/>
      <c r="AG508" s="1570"/>
      <c r="AH508" s="1570"/>
    </row>
    <row r="509" spans="1:36" hidden="1">
      <c r="A509" s="1585" t="s">
        <v>366</v>
      </c>
      <c r="B509" s="1679">
        <f>'Table 2'!H43</f>
        <v>-905.99909962916831</v>
      </c>
      <c r="C509" s="1600"/>
      <c r="D509" s="1600"/>
      <c r="E509" s="1664" t="e">
        <f>#REF!</f>
        <v>#REF!</v>
      </c>
      <c r="F509" s="1600"/>
      <c r="G509" s="1600"/>
      <c r="H509" s="1664">
        <f ca="1">'Table 3'!E43</f>
        <v>-300.81745054377819</v>
      </c>
      <c r="I509" s="1600"/>
      <c r="J509" s="1600"/>
      <c r="K509" s="1664">
        <f ca="1">H509</f>
        <v>-300.81745054377819</v>
      </c>
      <c r="M509" s="1422"/>
      <c r="N509" s="1422"/>
      <c r="O509" s="1423"/>
      <c r="P509" s="1571"/>
      <c r="Q509" s="1571"/>
      <c r="R509" s="1570"/>
      <c r="S509" s="1570"/>
      <c r="T509" s="1570"/>
      <c r="U509" s="1570"/>
      <c r="V509" s="1570"/>
      <c r="W509" s="1570"/>
      <c r="X509" s="1570"/>
      <c r="Y509" s="1570"/>
      <c r="Z509" s="1570"/>
      <c r="AA509" s="1570"/>
      <c r="AB509" s="1570"/>
      <c r="AC509" s="1570"/>
      <c r="AD509" s="1570"/>
      <c r="AE509" s="1570"/>
      <c r="AF509" s="1570"/>
      <c r="AG509" s="1570"/>
      <c r="AH509" s="1570"/>
    </row>
    <row r="510" spans="1:36" ht="15.75" hidden="1" thickBot="1">
      <c r="A510" s="1585" t="s">
        <v>385</v>
      </c>
      <c r="B510" s="1632">
        <f>SUM(B508:B509)</f>
        <v>350505.00090037083</v>
      </c>
      <c r="C510" s="1666"/>
      <c r="D510" s="1667"/>
      <c r="E510" s="1668" t="e">
        <f>E508+E509</f>
        <v>#REF!</v>
      </c>
      <c r="F510" s="1666"/>
      <c r="G510" s="1670"/>
      <c r="H510" s="1668">
        <f ca="1">H508+H509</f>
        <v>119316.18254945622</v>
      </c>
      <c r="I510" s="1666"/>
      <c r="J510" s="1670"/>
      <c r="K510" s="1668">
        <f ca="1">K508+K509</f>
        <v>122597.18254945622</v>
      </c>
      <c r="M510" s="1424"/>
      <c r="N510" s="1424"/>
      <c r="O510" s="1597"/>
      <c r="P510" s="1571"/>
      <c r="Q510" s="1571"/>
      <c r="R510" s="1570"/>
      <c r="S510" s="1570"/>
      <c r="T510" s="1570"/>
      <c r="U510" s="1570"/>
      <c r="V510" s="1570"/>
      <c r="W510" s="1570"/>
      <c r="X510" s="1570"/>
      <c r="Y510" s="1570"/>
      <c r="Z510" s="1570"/>
      <c r="AA510" s="1570"/>
      <c r="AB510" s="1570"/>
      <c r="AC510" s="1570"/>
      <c r="AD510" s="1570"/>
      <c r="AE510" s="1570"/>
      <c r="AF510" s="1570"/>
      <c r="AG510" s="1570"/>
      <c r="AH510" s="1570"/>
    </row>
    <row r="511" spans="1:36" hidden="1">
      <c r="A511" s="1585"/>
      <c r="B511" s="1610"/>
      <c r="C511" s="1660"/>
      <c r="D511" s="1577"/>
      <c r="E511" s="1577"/>
      <c r="F511" s="1660" t="s">
        <v>31</v>
      </c>
      <c r="G511" s="1585"/>
      <c r="H511" s="1577"/>
      <c r="I511" s="1657" t="s">
        <v>31</v>
      </c>
      <c r="J511" s="1585"/>
      <c r="K511" s="1577" t="s">
        <v>31</v>
      </c>
      <c r="M511" s="1570"/>
      <c r="N511" s="1570"/>
      <c r="O511" s="1571"/>
      <c r="P511" s="1571"/>
      <c r="Q511" s="1571"/>
      <c r="R511" s="1570"/>
      <c r="S511" s="1570"/>
      <c r="T511" s="1570"/>
      <c r="U511" s="1570"/>
      <c r="V511" s="1570"/>
      <c r="W511" s="1570"/>
      <c r="X511" s="1570"/>
      <c r="Y511" s="1570"/>
      <c r="Z511" s="1570"/>
      <c r="AA511" s="1570"/>
      <c r="AB511" s="1570"/>
      <c r="AC511" s="1570"/>
      <c r="AD511" s="1570"/>
      <c r="AE511" s="1570"/>
      <c r="AF511" s="1570"/>
      <c r="AG511" s="1570"/>
      <c r="AH511" s="1570"/>
    </row>
    <row r="512" spans="1:36" hidden="1">
      <c r="A512" s="1609" t="s">
        <v>420</v>
      </c>
      <c r="B512" s="1585"/>
      <c r="C512" s="1577"/>
      <c r="D512" s="1577"/>
      <c r="E512" s="1585" t="s">
        <v>31</v>
      </c>
      <c r="F512" s="1577"/>
      <c r="G512" s="1585"/>
      <c r="H512" s="1585"/>
      <c r="I512" s="1577"/>
      <c r="J512" s="1585"/>
      <c r="K512" s="1585"/>
      <c r="M512" s="1570"/>
      <c r="N512" s="1570"/>
      <c r="O512" s="1571"/>
      <c r="P512" s="1571"/>
      <c r="Q512" s="1571"/>
      <c r="R512" s="1570"/>
      <c r="S512" s="1570"/>
      <c r="T512" s="1570"/>
      <c r="U512" s="1570"/>
      <c r="V512" s="1570"/>
      <c r="W512" s="1570"/>
      <c r="X512" s="1570"/>
      <c r="Y512" s="1570"/>
      <c r="Z512" s="1570"/>
      <c r="AA512" s="1570"/>
      <c r="AB512" s="1570"/>
      <c r="AC512" s="1570"/>
      <c r="AD512" s="1570"/>
      <c r="AE512" s="1570"/>
      <c r="AF512" s="1570"/>
      <c r="AG512" s="1570"/>
      <c r="AH512" s="1570"/>
    </row>
    <row r="513" spans="1:36" hidden="1">
      <c r="A513" s="1585" t="s">
        <v>417</v>
      </c>
      <c r="B513" s="1585"/>
      <c r="C513" s="1577"/>
      <c r="D513" s="1577"/>
      <c r="E513" s="1585"/>
      <c r="F513" s="1577"/>
      <c r="G513" s="1585"/>
      <c r="H513" s="1585"/>
      <c r="I513" s="1577"/>
      <c r="J513" s="1585"/>
      <c r="K513" s="1585"/>
      <c r="M513" s="1570"/>
      <c r="N513" s="1570"/>
      <c r="O513" s="1571"/>
      <c r="P513" s="1571"/>
      <c r="Q513" s="1571"/>
      <c r="R513" s="1570"/>
      <c r="S513" s="1570"/>
      <c r="T513" s="1570"/>
      <c r="U513" s="1570"/>
      <c r="V513" s="1570"/>
      <c r="W513" s="1570"/>
      <c r="X513" s="1570"/>
      <c r="Y513" s="1570"/>
      <c r="Z513" s="1570"/>
      <c r="AA513" s="1570"/>
      <c r="AB513" s="1570"/>
      <c r="AC513" s="1570"/>
      <c r="AD513" s="1570"/>
      <c r="AE513" s="1570"/>
      <c r="AF513" s="1570"/>
      <c r="AG513" s="1570"/>
      <c r="AH513" s="1570"/>
    </row>
    <row r="514" spans="1:36" hidden="1">
      <c r="A514" s="1585" t="s">
        <v>421</v>
      </c>
      <c r="B514" s="1585"/>
      <c r="C514" s="1577"/>
      <c r="D514" s="1577"/>
      <c r="E514" s="1585"/>
      <c r="F514" s="1577"/>
      <c r="G514" s="1585"/>
      <c r="H514" s="1585"/>
      <c r="I514" s="1577"/>
      <c r="J514" s="1585"/>
      <c r="K514" s="1585"/>
      <c r="M514" s="1570"/>
      <c r="N514" s="1570"/>
      <c r="O514" s="1571"/>
      <c r="P514" s="1571"/>
      <c r="Q514" s="1571"/>
      <c r="R514" s="1570"/>
      <c r="S514" s="1570"/>
      <c r="T514" s="1570"/>
      <c r="U514" s="1570"/>
      <c r="V514" s="1570"/>
      <c r="W514" s="1570"/>
      <c r="X514" s="1570"/>
      <c r="Y514" s="1570"/>
      <c r="Z514" s="1570"/>
      <c r="AA514" s="1570"/>
      <c r="AB514" s="1570"/>
      <c r="AC514" s="1570"/>
      <c r="AD514" s="1570"/>
      <c r="AE514" s="1570"/>
      <c r="AF514" s="1570"/>
      <c r="AG514" s="1570"/>
      <c r="AH514" s="1570"/>
    </row>
    <row r="515" spans="1:36" hidden="1">
      <c r="A515" s="1585" t="s">
        <v>396</v>
      </c>
      <c r="B515" s="1599"/>
      <c r="C515" s="1577"/>
      <c r="D515" s="1577"/>
      <c r="E515" s="1585"/>
      <c r="F515" s="1577"/>
      <c r="G515" s="1585"/>
      <c r="H515" s="1585"/>
      <c r="I515" s="1577"/>
      <c r="J515" s="1585"/>
      <c r="K515" s="1585"/>
      <c r="M515" s="1570"/>
      <c r="N515" s="1570"/>
      <c r="O515" s="1571"/>
      <c r="P515" s="1571"/>
      <c r="Q515" s="1571"/>
      <c r="R515" s="1570"/>
      <c r="S515" s="1570"/>
      <c r="T515" s="1570"/>
      <c r="U515" s="1570"/>
      <c r="V515" s="1570"/>
      <c r="W515" s="1570"/>
      <c r="X515" s="1570"/>
      <c r="Y515" s="1570"/>
      <c r="Z515" s="1570"/>
      <c r="AA515" s="1570"/>
      <c r="AB515" s="1570"/>
      <c r="AC515" s="1570"/>
      <c r="AD515" s="1570"/>
      <c r="AE515" s="1570"/>
      <c r="AF515" s="1570"/>
      <c r="AG515" s="1570"/>
      <c r="AH515" s="1570"/>
    </row>
    <row r="516" spans="1:36" hidden="1">
      <c r="A516" s="1585" t="s">
        <v>393</v>
      </c>
      <c r="B516" s="1599">
        <v>0</v>
      </c>
      <c r="C516" s="1614">
        <v>91.679999999999993</v>
      </c>
      <c r="D516" s="1574"/>
      <c r="E516" s="1577">
        <f>ROUND(C516*$B516,0)</f>
        <v>0</v>
      </c>
      <c r="F516" s="1614">
        <v>104.52000000000001</v>
      </c>
      <c r="G516" s="1600"/>
      <c r="H516" s="1577">
        <f>ROUND(F516*$B516,0)</f>
        <v>0</v>
      </c>
      <c r="I516" s="1614">
        <f>$I$160</f>
        <v>107.03999999999999</v>
      </c>
      <c r="J516" s="1600"/>
      <c r="K516" s="1577">
        <f>ROUND(I516*$B516,0)</f>
        <v>0</v>
      </c>
      <c r="M516" s="1570"/>
      <c r="N516" s="1570"/>
      <c r="O516" s="1571"/>
      <c r="P516" s="1571"/>
      <c r="Q516" s="1571"/>
      <c r="R516" s="1570"/>
      <c r="S516" s="1570"/>
      <c r="T516" s="1570"/>
      <c r="U516" s="1570"/>
      <c r="V516" s="1570"/>
      <c r="W516" s="1570"/>
      <c r="X516" s="1570"/>
      <c r="Y516" s="1570"/>
      <c r="Z516" s="1570"/>
      <c r="AA516" s="1570"/>
      <c r="AB516" s="1570"/>
      <c r="AC516" s="1570"/>
      <c r="AD516" s="1570"/>
      <c r="AE516" s="1570"/>
      <c r="AF516" s="1570"/>
      <c r="AG516" s="1570"/>
      <c r="AH516" s="1570"/>
    </row>
    <row r="517" spans="1:36" hidden="1">
      <c r="A517" s="1585" t="s">
        <v>394</v>
      </c>
      <c r="B517" s="1599">
        <v>1</v>
      </c>
      <c r="C517" s="1614">
        <v>136.32</v>
      </c>
      <c r="D517" s="1641"/>
      <c r="E517" s="1577">
        <f>ROUND(C517*$B517,0)</f>
        <v>136</v>
      </c>
      <c r="F517" s="1614">
        <v>155.76</v>
      </c>
      <c r="G517" s="1642"/>
      <c r="H517" s="1577">
        <f t="shared" ref="H517:H518" si="95">ROUND(F517*$B517,0)</f>
        <v>156</v>
      </c>
      <c r="I517" s="1614">
        <f>$I$161</f>
        <v>159.6</v>
      </c>
      <c r="J517" s="1642"/>
      <c r="K517" s="1577">
        <f>ROUND(I517*$B517,0)</f>
        <v>160</v>
      </c>
      <c r="M517" s="1570"/>
      <c r="N517" s="1570"/>
      <c r="O517" s="1571"/>
      <c r="P517" s="1571"/>
      <c r="Q517" s="1571"/>
      <c r="R517" s="1570"/>
      <c r="S517" s="1570"/>
      <c r="T517" s="1570"/>
      <c r="U517" s="1570"/>
      <c r="V517" s="1570"/>
      <c r="W517" s="1570"/>
      <c r="X517" s="1570"/>
      <c r="Y517" s="1570"/>
      <c r="Z517" s="1570"/>
      <c r="AA517" s="1570"/>
      <c r="AB517" s="1570"/>
      <c r="AC517" s="1570"/>
      <c r="AD517" s="1570"/>
      <c r="AE517" s="1570"/>
      <c r="AF517" s="1570"/>
      <c r="AG517" s="1570"/>
      <c r="AH517" s="1570"/>
    </row>
    <row r="518" spans="1:36" hidden="1">
      <c r="A518" s="1585" t="s">
        <v>395</v>
      </c>
      <c r="B518" s="1599">
        <v>75</v>
      </c>
      <c r="C518" s="1614">
        <v>9.66</v>
      </c>
      <c r="D518" s="1641"/>
      <c r="E518" s="1577">
        <f>ROUND(C518*$B518,0)</f>
        <v>725</v>
      </c>
      <c r="F518" s="1614">
        <v>11.040000000000001</v>
      </c>
      <c r="G518" s="1642"/>
      <c r="H518" s="1577">
        <f t="shared" si="95"/>
        <v>828</v>
      </c>
      <c r="I518" s="1614">
        <f>$I$162</f>
        <v>11.399999999999999</v>
      </c>
      <c r="J518" s="1642"/>
      <c r="K518" s="1577">
        <f>ROUND(I518*$B518,0)</f>
        <v>855</v>
      </c>
      <c r="M518" s="1570"/>
      <c r="N518" s="1570"/>
      <c r="O518" s="1571"/>
      <c r="P518" s="1571"/>
      <c r="Q518" s="1571"/>
      <c r="R518" s="1570"/>
      <c r="S518" s="1570"/>
      <c r="T518" s="1570"/>
      <c r="U518" s="1570"/>
      <c r="V518" s="1570"/>
      <c r="W518" s="1570"/>
      <c r="X518" s="1570"/>
      <c r="Y518" s="1570"/>
      <c r="Z518" s="1570"/>
      <c r="AA518" s="1570"/>
      <c r="AB518" s="1570"/>
      <c r="AC518" s="1570"/>
      <c r="AD518" s="1570"/>
      <c r="AE518" s="1570"/>
      <c r="AF518" s="1570"/>
      <c r="AG518" s="1570"/>
      <c r="AH518" s="1570"/>
    </row>
    <row r="519" spans="1:36" hidden="1">
      <c r="A519" s="1585" t="s">
        <v>397</v>
      </c>
      <c r="B519" s="1599">
        <f>SUM(B516:B517)</f>
        <v>1</v>
      </c>
      <c r="C519" s="1614"/>
      <c r="D519" s="1574"/>
      <c r="E519" s="1577"/>
      <c r="F519" s="1614"/>
      <c r="G519" s="1600"/>
      <c r="H519" s="1577"/>
      <c r="I519" s="1614"/>
      <c r="J519" s="1600"/>
      <c r="K519" s="1577"/>
      <c r="M519" s="1570"/>
      <c r="N519" s="1570"/>
      <c r="O519" s="1571"/>
      <c r="P519" s="1571"/>
      <c r="Q519" s="1571"/>
      <c r="R519" s="1570"/>
      <c r="S519" s="1570"/>
      <c r="T519" s="1570"/>
      <c r="U519" s="1570"/>
      <c r="V519" s="1570"/>
      <c r="W519" s="1570"/>
      <c r="X519" s="1570"/>
      <c r="Y519" s="1570"/>
      <c r="Z519" s="1570"/>
      <c r="AA519" s="1570"/>
      <c r="AB519" s="1570"/>
      <c r="AC519" s="1570"/>
      <c r="AD519" s="1570"/>
      <c r="AE519" s="1570"/>
      <c r="AF519" s="1570"/>
      <c r="AG519" s="1570"/>
      <c r="AH519" s="1570"/>
    </row>
    <row r="520" spans="1:36" hidden="1">
      <c r="A520" s="1585" t="s">
        <v>422</v>
      </c>
      <c r="B520" s="1599">
        <v>12</v>
      </c>
      <c r="C520" s="1614"/>
      <c r="D520" s="1574"/>
      <c r="E520" s="1577"/>
      <c r="F520" s="1614"/>
      <c r="G520" s="1600"/>
      <c r="H520" s="1577"/>
      <c r="I520" s="1614"/>
      <c r="J520" s="1600"/>
      <c r="K520" s="1577"/>
      <c r="M520" s="1570"/>
      <c r="N520" s="1570"/>
      <c r="O520" s="1571"/>
      <c r="P520" s="1571"/>
      <c r="Q520" s="1571"/>
      <c r="R520" s="1570"/>
      <c r="S520" s="1570"/>
      <c r="T520" s="1570"/>
      <c r="U520" s="1570"/>
      <c r="V520" s="1570"/>
      <c r="W520" s="1570"/>
      <c r="X520" s="1570"/>
      <c r="Y520" s="1570"/>
      <c r="Z520" s="1570"/>
      <c r="AA520" s="1570"/>
      <c r="AB520" s="1570"/>
      <c r="AC520" s="1570"/>
      <c r="AD520" s="1570"/>
      <c r="AE520" s="1570"/>
      <c r="AF520" s="1570"/>
      <c r="AG520" s="1570"/>
      <c r="AH520" s="1570"/>
    </row>
    <row r="521" spans="1:36" hidden="1">
      <c r="A521" s="1585" t="s">
        <v>398</v>
      </c>
      <c r="B521" s="1599">
        <v>238</v>
      </c>
      <c r="C521" s="1660">
        <v>2.98</v>
      </c>
      <c r="D521" s="1600"/>
      <c r="E521" s="1577">
        <f>ROUND(C521*$B521,0)</f>
        <v>709</v>
      </c>
      <c r="F521" s="1660">
        <v>3.4</v>
      </c>
      <c r="G521" s="1600"/>
      <c r="H521" s="1577">
        <f>ROUND(F521*B521,0)</f>
        <v>809</v>
      </c>
      <c r="I521" s="1660">
        <f>$I$169</f>
        <v>3.4899999999999998</v>
      </c>
      <c r="J521" s="1600"/>
      <c r="K521" s="1577">
        <f>ROUND(I521*$B521,0)</f>
        <v>831</v>
      </c>
      <c r="M521" s="1570"/>
      <c r="N521" s="1570"/>
      <c r="O521" s="1571"/>
      <c r="P521" s="1571"/>
      <c r="Q521" s="1571"/>
      <c r="R521" s="1570"/>
      <c r="S521" s="1570"/>
      <c r="T521" s="1570"/>
      <c r="U521" s="1570"/>
      <c r="V521" s="1570"/>
      <c r="W521" s="1570"/>
      <c r="X521" s="1570"/>
      <c r="Y521" s="1570"/>
      <c r="Z521" s="1570"/>
      <c r="AA521" s="1570"/>
      <c r="AB521" s="1570"/>
      <c r="AC521" s="1570"/>
      <c r="AD521" s="1570"/>
      <c r="AE521" s="1570"/>
      <c r="AF521" s="1570"/>
      <c r="AG521" s="1570"/>
      <c r="AH521" s="1570"/>
    </row>
    <row r="522" spans="1:36" hidden="1">
      <c r="A522" s="1585" t="s">
        <v>400</v>
      </c>
      <c r="B522" s="1599">
        <v>5433</v>
      </c>
      <c r="C522" s="1389">
        <v>8.5489999999999995</v>
      </c>
      <c r="D522" s="1600" t="s">
        <v>377</v>
      </c>
      <c r="E522" s="1577">
        <f>ROUND(C522*$B522/100,0)</f>
        <v>464</v>
      </c>
      <c r="F522" s="1389">
        <v>9.766</v>
      </c>
      <c r="G522" s="1600" t="s">
        <v>377</v>
      </c>
      <c r="H522" s="1577">
        <f>ROUND(F522*B522/100,0)</f>
        <v>531</v>
      </c>
      <c r="I522" s="1389">
        <f>$I$170</f>
        <v>9.9879999999999995</v>
      </c>
      <c r="J522" s="1600" t="s">
        <v>377</v>
      </c>
      <c r="K522" s="1577">
        <f>ROUND(I522*$B522/100,0)</f>
        <v>543</v>
      </c>
      <c r="M522" s="1570"/>
      <c r="N522" s="1570"/>
      <c r="O522" s="1571"/>
      <c r="P522" s="1571"/>
      <c r="Q522" s="1571"/>
      <c r="R522" s="1570"/>
      <c r="S522" s="1570"/>
      <c r="T522" s="1570"/>
      <c r="U522" s="1570"/>
      <c r="V522" s="1570"/>
      <c r="W522" s="1570"/>
      <c r="X522" s="1570"/>
      <c r="Y522" s="1570"/>
      <c r="Z522" s="1570"/>
      <c r="AA522" s="1570"/>
      <c r="AB522" s="1570"/>
      <c r="AC522" s="1570"/>
      <c r="AD522" s="1570"/>
      <c r="AE522" s="1570"/>
      <c r="AF522" s="1570"/>
      <c r="AG522" s="1570"/>
      <c r="AH522" s="1570"/>
    </row>
    <row r="523" spans="1:36" hidden="1">
      <c r="A523" s="1585" t="s">
        <v>401</v>
      </c>
      <c r="B523" s="1599">
        <v>634</v>
      </c>
      <c r="C523" s="1389">
        <v>5.9020000000000001</v>
      </c>
      <c r="D523" s="1600" t="s">
        <v>377</v>
      </c>
      <c r="E523" s="1577">
        <f>ROUND(C523*$B523/100,0)</f>
        <v>37</v>
      </c>
      <c r="F523" s="1389">
        <v>6.7460000000000004</v>
      </c>
      <c r="G523" s="1600" t="s">
        <v>377</v>
      </c>
      <c r="H523" s="1577">
        <f t="shared" ref="H523:H525" si="96">ROUND(F523*B523/100,0)</f>
        <v>43</v>
      </c>
      <c r="I523" s="1389">
        <f>$I$171</f>
        <v>6.9080000000000004</v>
      </c>
      <c r="J523" s="1600" t="s">
        <v>377</v>
      </c>
      <c r="K523" s="1577">
        <f>ROUND(I523*$B523/100,0)</f>
        <v>44</v>
      </c>
      <c r="M523" s="1570"/>
      <c r="N523" s="1570"/>
      <c r="O523" s="1571"/>
      <c r="P523" s="1571"/>
      <c r="Q523" s="1571"/>
      <c r="R523" s="1570"/>
      <c r="S523" s="1570"/>
      <c r="T523" s="1570"/>
      <c r="U523" s="1570"/>
      <c r="V523" s="1570"/>
      <c r="W523" s="1570"/>
      <c r="X523" s="1570"/>
      <c r="Y523" s="1570"/>
      <c r="Z523" s="1570"/>
      <c r="AA523" s="1570"/>
      <c r="AB523" s="1570"/>
      <c r="AC523" s="1570"/>
      <c r="AD523" s="1570"/>
      <c r="AE523" s="1570"/>
      <c r="AF523" s="1570"/>
      <c r="AG523" s="1570"/>
      <c r="AH523" s="1570"/>
    </row>
    <row r="524" spans="1:36" hidden="1">
      <c r="A524" s="1585" t="s">
        <v>402</v>
      </c>
      <c r="B524" s="1599">
        <v>0</v>
      </c>
      <c r="C524" s="1389">
        <v>5.0839999999999996</v>
      </c>
      <c r="D524" s="1600" t="s">
        <v>377</v>
      </c>
      <c r="E524" s="1577">
        <f>ROUND(C524*$B524/100,0)</f>
        <v>0</v>
      </c>
      <c r="F524" s="1389">
        <v>5.8120000000000003</v>
      </c>
      <c r="G524" s="1600" t="s">
        <v>377</v>
      </c>
      <c r="H524" s="1577">
        <f t="shared" si="96"/>
        <v>0</v>
      </c>
      <c r="I524" s="1389">
        <f>$I$172</f>
        <v>5.952</v>
      </c>
      <c r="J524" s="1600" t="s">
        <v>377</v>
      </c>
      <c r="K524" s="1577">
        <f>ROUND(I524*$B524/100,0)</f>
        <v>0</v>
      </c>
      <c r="M524" s="1570"/>
      <c r="N524" s="1570"/>
      <c r="O524" s="1571"/>
      <c r="P524" s="1571"/>
      <c r="Q524" s="1571"/>
      <c r="R524" s="1570"/>
      <c r="S524" s="1570"/>
      <c r="T524" s="1570"/>
      <c r="U524" s="1570"/>
      <c r="V524" s="1570"/>
      <c r="W524" s="1570"/>
      <c r="X524" s="1570"/>
      <c r="Y524" s="1570"/>
      <c r="Z524" s="1570"/>
      <c r="AA524" s="1570"/>
      <c r="AB524" s="1570"/>
      <c r="AC524" s="1570"/>
      <c r="AD524" s="1570"/>
      <c r="AE524" s="1570"/>
      <c r="AF524" s="1570"/>
      <c r="AG524" s="1570"/>
      <c r="AH524" s="1570"/>
    </row>
    <row r="525" spans="1:36" hidden="1">
      <c r="A525" s="1585" t="s">
        <v>403</v>
      </c>
      <c r="B525" s="1599">
        <v>0</v>
      </c>
      <c r="C525" s="1647">
        <v>50</v>
      </c>
      <c r="D525" s="1574" t="s">
        <v>377</v>
      </c>
      <c r="E525" s="1577">
        <f>ROUND(C525*$B525/100,0)</f>
        <v>0</v>
      </c>
      <c r="F525" s="1647">
        <v>56</v>
      </c>
      <c r="G525" s="1600" t="s">
        <v>377</v>
      </c>
      <c r="H525" s="1577">
        <f t="shared" si="96"/>
        <v>0</v>
      </c>
      <c r="I525" s="1647">
        <f>$I$173</f>
        <v>57</v>
      </c>
      <c r="J525" s="1600" t="s">
        <v>377</v>
      </c>
      <c r="K525" s="1577">
        <f>ROUND(I525*$B525/100,0)</f>
        <v>0</v>
      </c>
      <c r="M525" s="1570"/>
      <c r="N525" s="1570"/>
      <c r="O525" s="1571"/>
      <c r="P525" s="1571"/>
      <c r="Q525" s="1571"/>
      <c r="R525" s="1570"/>
      <c r="S525" s="1570"/>
      <c r="T525" s="1570"/>
      <c r="U525" s="1570"/>
      <c r="V525" s="1570"/>
      <c r="W525" s="1570"/>
      <c r="X525" s="1570"/>
      <c r="Y525" s="1570"/>
      <c r="Z525" s="1570"/>
      <c r="AA525" s="1570"/>
      <c r="AB525" s="1570"/>
      <c r="AC525" s="1570"/>
      <c r="AD525" s="1570"/>
      <c r="AE525" s="1570"/>
      <c r="AF525" s="1570"/>
      <c r="AG525" s="1570"/>
      <c r="AH525" s="1570"/>
    </row>
    <row r="526" spans="1:36" hidden="1">
      <c r="A526" s="1569" t="s">
        <v>933</v>
      </c>
      <c r="B526" s="1575">
        <f>B522</f>
        <v>5433</v>
      </c>
      <c r="C526" s="1584"/>
      <c r="D526" s="1570"/>
      <c r="E526" s="1577"/>
      <c r="F526" s="1584"/>
      <c r="G526" s="1570"/>
      <c r="H526" s="1577"/>
      <c r="I526" s="1389">
        <f>I174</f>
        <v>0</v>
      </c>
      <c r="J526" s="1600" t="s">
        <v>377</v>
      </c>
      <c r="K526" s="1577">
        <f t="shared" ref="K526:K528" si="97">ROUND(I526*$B526/100,0)</f>
        <v>0</v>
      </c>
      <c r="M526" s="1578"/>
      <c r="O526" s="1579"/>
      <c r="P526" s="1569"/>
      <c r="Q526" s="1569"/>
      <c r="R526" s="1580"/>
      <c r="S526" s="1580"/>
      <c r="X526" s="1570"/>
      <c r="Y526" s="1570"/>
      <c r="Z526" s="1570"/>
      <c r="AA526" s="1570"/>
      <c r="AB526" s="1570"/>
      <c r="AC526" s="1570"/>
      <c r="AD526" s="1570"/>
      <c r="AE526" s="1570"/>
      <c r="AF526" s="1570"/>
      <c r="AG526" s="1570"/>
      <c r="AH526" s="1570"/>
      <c r="AJ526" s="1578"/>
    </row>
    <row r="527" spans="1:36" hidden="1">
      <c r="A527" s="1569" t="s">
        <v>934</v>
      </c>
      <c r="B527" s="1575">
        <f>B523</f>
        <v>634</v>
      </c>
      <c r="C527" s="1584"/>
      <c r="D527" s="1570"/>
      <c r="E527" s="1577"/>
      <c r="F527" s="1584"/>
      <c r="G527" s="1570"/>
      <c r="H527" s="1577"/>
      <c r="I527" s="1389">
        <f>I175</f>
        <v>0</v>
      </c>
      <c r="J527" s="1600" t="s">
        <v>377</v>
      </c>
      <c r="K527" s="1577">
        <f t="shared" si="97"/>
        <v>0</v>
      </c>
      <c r="M527" s="1578"/>
      <c r="O527" s="1579"/>
      <c r="P527" s="1569"/>
      <c r="Q527" s="1569"/>
      <c r="R527" s="1580"/>
      <c r="S527" s="1580"/>
      <c r="X527" s="1570"/>
      <c r="Y527" s="1570"/>
      <c r="Z527" s="1570"/>
      <c r="AA527" s="1570"/>
      <c r="AB527" s="1570"/>
      <c r="AC527" s="1570"/>
      <c r="AD527" s="1570"/>
      <c r="AE527" s="1570"/>
      <c r="AF527" s="1570"/>
      <c r="AG527" s="1570"/>
      <c r="AH527" s="1570"/>
      <c r="AJ527" s="1578"/>
    </row>
    <row r="528" spans="1:36" hidden="1">
      <c r="A528" s="1569" t="s">
        <v>935</v>
      </c>
      <c r="B528" s="1575">
        <f>B524</f>
        <v>0</v>
      </c>
      <c r="C528" s="1584"/>
      <c r="D528" s="1570"/>
      <c r="E528" s="1577"/>
      <c r="F528" s="1584"/>
      <c r="G528" s="1570"/>
      <c r="H528" s="1577"/>
      <c r="I528" s="1389">
        <f>I176</f>
        <v>0</v>
      </c>
      <c r="J528" s="1600" t="s">
        <v>377</v>
      </c>
      <c r="K528" s="1577">
        <f t="shared" si="97"/>
        <v>0</v>
      </c>
      <c r="M528" s="1578"/>
      <c r="O528" s="1579"/>
      <c r="P528" s="1569"/>
      <c r="Q528" s="1569"/>
      <c r="R528" s="1580"/>
      <c r="S528" s="1580"/>
      <c r="X528" s="1570"/>
      <c r="Y528" s="1570"/>
      <c r="Z528" s="1570"/>
      <c r="AA528" s="1570"/>
      <c r="AB528" s="1570"/>
      <c r="AC528" s="1570"/>
      <c r="AD528" s="1570"/>
      <c r="AE528" s="1570"/>
      <c r="AF528" s="1570"/>
      <c r="AG528" s="1570"/>
      <c r="AH528" s="1570"/>
      <c r="AJ528" s="1578"/>
    </row>
    <row r="529" spans="1:36" hidden="1">
      <c r="A529" s="1654" t="s">
        <v>404</v>
      </c>
      <c r="B529" s="1599"/>
      <c r="C529" s="1655">
        <v>-0.01</v>
      </c>
      <c r="D529" s="1574"/>
      <c r="E529" s="1577"/>
      <c r="F529" s="1655">
        <v>-0.01</v>
      </c>
      <c r="G529" s="1600"/>
      <c r="H529" s="1577"/>
      <c r="I529" s="1655">
        <v>-0.01</v>
      </c>
      <c r="J529" s="1600"/>
      <c r="K529" s="1577"/>
      <c r="M529" s="1570"/>
      <c r="N529" s="1570"/>
      <c r="O529" s="1571"/>
      <c r="P529" s="1571"/>
      <c r="Q529" s="1571"/>
      <c r="R529" s="1570"/>
      <c r="S529" s="1570"/>
      <c r="T529" s="1570"/>
      <c r="U529" s="1570"/>
      <c r="V529" s="1570"/>
      <c r="W529" s="1570"/>
      <c r="X529" s="1570"/>
      <c r="Y529" s="1570"/>
      <c r="Z529" s="1570"/>
      <c r="AA529" s="1570"/>
      <c r="AB529" s="1570"/>
      <c r="AC529" s="1570"/>
      <c r="AD529" s="1570"/>
      <c r="AE529" s="1570"/>
      <c r="AF529" s="1570"/>
      <c r="AG529" s="1570"/>
      <c r="AH529" s="1570"/>
    </row>
    <row r="530" spans="1:36" hidden="1">
      <c r="A530" s="1585" t="s">
        <v>393</v>
      </c>
      <c r="B530" s="1599">
        <v>0</v>
      </c>
      <c r="C530" s="1657">
        <v>91.679999999999993</v>
      </c>
      <c r="D530" s="1574"/>
      <c r="E530" s="1577">
        <f>-ROUND(C530*$B530/100,0)</f>
        <v>0</v>
      </c>
      <c r="F530" s="1657">
        <v>104.52000000000001</v>
      </c>
      <c r="G530" s="1574"/>
      <c r="H530" s="1577">
        <f>-ROUND(F530*$B530/100,0)</f>
        <v>0</v>
      </c>
      <c r="I530" s="1657">
        <f>I516</f>
        <v>107.03999999999999</v>
      </c>
      <c r="J530" s="1574"/>
      <c r="K530" s="1577">
        <f>-ROUND(I530*$B530/100,0)</f>
        <v>0</v>
      </c>
      <c r="M530" s="1570"/>
      <c r="N530" s="1570"/>
      <c r="O530" s="1571"/>
      <c r="P530" s="1571"/>
      <c r="Q530" s="1571"/>
      <c r="R530" s="1570"/>
      <c r="S530" s="1570"/>
      <c r="T530" s="1570"/>
      <c r="U530" s="1570"/>
      <c r="V530" s="1570"/>
      <c r="W530" s="1570"/>
      <c r="X530" s="1570"/>
      <c r="Y530" s="1570"/>
      <c r="Z530" s="1570"/>
      <c r="AA530" s="1570"/>
      <c r="AB530" s="1570"/>
      <c r="AC530" s="1570"/>
      <c r="AD530" s="1570"/>
      <c r="AE530" s="1570"/>
      <c r="AF530" s="1570"/>
      <c r="AG530" s="1570"/>
      <c r="AH530" s="1570"/>
    </row>
    <row r="531" spans="1:36" hidden="1">
      <c r="A531" s="1585" t="s">
        <v>394</v>
      </c>
      <c r="B531" s="1599">
        <v>0</v>
      </c>
      <c r="C531" s="1657">
        <v>136.32</v>
      </c>
      <c r="D531" s="1574"/>
      <c r="E531" s="1577">
        <f>-ROUND(C531*$B531/100,0)</f>
        <v>0</v>
      </c>
      <c r="F531" s="1657">
        <v>155.76</v>
      </c>
      <c r="G531" s="1574"/>
      <c r="H531" s="1577">
        <f t="shared" ref="H531:H533" si="98">-ROUND(F531*$B531/100,0)</f>
        <v>0</v>
      </c>
      <c r="I531" s="1657">
        <f>I517</f>
        <v>159.6</v>
      </c>
      <c r="J531" s="1574"/>
      <c r="K531" s="1577">
        <f>-ROUND(I531*$B531/100,0)</f>
        <v>0</v>
      </c>
      <c r="M531" s="1570"/>
      <c r="N531" s="1570"/>
      <c r="O531" s="1571"/>
      <c r="P531" s="1571"/>
      <c r="Q531" s="1571"/>
      <c r="R531" s="1570"/>
      <c r="S531" s="1570"/>
      <c r="T531" s="1570"/>
      <c r="U531" s="1570"/>
      <c r="V531" s="1570"/>
      <c r="W531" s="1570"/>
      <c r="X531" s="1570"/>
      <c r="Y531" s="1570"/>
      <c r="Z531" s="1570"/>
      <c r="AA531" s="1570"/>
      <c r="AB531" s="1570"/>
      <c r="AC531" s="1570"/>
      <c r="AD531" s="1570"/>
      <c r="AE531" s="1570"/>
      <c r="AF531" s="1570"/>
      <c r="AG531" s="1570"/>
      <c r="AH531" s="1570"/>
    </row>
    <row r="532" spans="1:36" hidden="1">
      <c r="A532" s="1585" t="s">
        <v>405</v>
      </c>
      <c r="B532" s="1599">
        <v>0</v>
      </c>
      <c r="C532" s="1657">
        <v>9.66</v>
      </c>
      <c r="D532" s="1574"/>
      <c r="E532" s="1577">
        <f>-ROUND(C532*$B532/100,0)</f>
        <v>0</v>
      </c>
      <c r="F532" s="1657">
        <v>11.040000000000001</v>
      </c>
      <c r="G532" s="1574"/>
      <c r="H532" s="1577">
        <f t="shared" si="98"/>
        <v>0</v>
      </c>
      <c r="I532" s="1657">
        <f>I518</f>
        <v>11.399999999999999</v>
      </c>
      <c r="J532" s="1574"/>
      <c r="K532" s="1577">
        <f>-ROUND(I532*$B532/100,0)</f>
        <v>0</v>
      </c>
      <c r="M532" s="1570"/>
      <c r="N532" s="1570"/>
      <c r="O532" s="1571"/>
      <c r="P532" s="1571"/>
      <c r="Q532" s="1571"/>
      <c r="R532" s="1570"/>
      <c r="S532" s="1570"/>
      <c r="T532" s="1570"/>
      <c r="U532" s="1570"/>
      <c r="V532" s="1570"/>
      <c r="W532" s="1570"/>
      <c r="X532" s="1570"/>
      <c r="Y532" s="1570"/>
      <c r="Z532" s="1570"/>
      <c r="AA532" s="1570"/>
      <c r="AB532" s="1570"/>
      <c r="AC532" s="1570"/>
      <c r="AD532" s="1570"/>
      <c r="AE532" s="1570"/>
      <c r="AF532" s="1570"/>
      <c r="AG532" s="1570"/>
      <c r="AH532" s="1570"/>
    </row>
    <row r="533" spans="1:36" hidden="1">
      <c r="A533" s="1585" t="s">
        <v>406</v>
      </c>
      <c r="B533" s="1599">
        <v>0</v>
      </c>
      <c r="C533" s="1657">
        <v>2.98</v>
      </c>
      <c r="D533" s="1600"/>
      <c r="E533" s="1577">
        <f>-ROUND(C533*$B533/100,0)</f>
        <v>0</v>
      </c>
      <c r="F533" s="1657">
        <v>3.4</v>
      </c>
      <c r="G533" s="1600"/>
      <c r="H533" s="1577">
        <f t="shared" si="98"/>
        <v>0</v>
      </c>
      <c r="I533" s="1657">
        <f>I521</f>
        <v>3.4899999999999998</v>
      </c>
      <c r="J533" s="1600"/>
      <c r="K533" s="1577">
        <f>-ROUND(I533*$B533/100,0)</f>
        <v>0</v>
      </c>
      <c r="M533" s="1570"/>
      <c r="N533" s="1570"/>
      <c r="O533" s="1571"/>
      <c r="P533" s="1571"/>
      <c r="Q533" s="1571"/>
      <c r="R533" s="1570"/>
      <c r="S533" s="1570"/>
      <c r="T533" s="1570"/>
      <c r="U533" s="1570"/>
      <c r="V533" s="1570"/>
      <c r="W533" s="1570"/>
      <c r="X533" s="1570"/>
      <c r="Y533" s="1570"/>
      <c r="Z533" s="1570"/>
      <c r="AA533" s="1570"/>
      <c r="AB533" s="1570"/>
      <c r="AC533" s="1570"/>
      <c r="AD533" s="1570"/>
      <c r="AE533" s="1570"/>
      <c r="AF533" s="1570"/>
      <c r="AG533" s="1570"/>
      <c r="AH533" s="1570"/>
    </row>
    <row r="534" spans="1:36" hidden="1">
      <c r="A534" s="1585" t="s">
        <v>408</v>
      </c>
      <c r="B534" s="1599">
        <v>0</v>
      </c>
      <c r="C534" s="1658">
        <v>8.5489999999999995</v>
      </c>
      <c r="D534" s="1600" t="s">
        <v>377</v>
      </c>
      <c r="E534" s="1577">
        <f>ROUND(C534*$B534/100*C529,0)</f>
        <v>0</v>
      </c>
      <c r="F534" s="1658">
        <v>9.766</v>
      </c>
      <c r="G534" s="1600" t="s">
        <v>377</v>
      </c>
      <c r="H534" s="1577">
        <f>ROUND(F534*$B534/100*F529,0)</f>
        <v>0</v>
      </c>
      <c r="I534" s="1658">
        <f>I522</f>
        <v>9.9879999999999995</v>
      </c>
      <c r="J534" s="1600" t="s">
        <v>377</v>
      </c>
      <c r="K534" s="1577">
        <f>ROUND(I534*$B534/100*I529,0)</f>
        <v>0</v>
      </c>
      <c r="M534" s="1570"/>
      <c r="N534" s="1570"/>
      <c r="O534" s="1571"/>
      <c r="P534" s="1571"/>
      <c r="Q534" s="1571"/>
      <c r="R534" s="1570"/>
      <c r="S534" s="1570"/>
      <c r="T534" s="1570"/>
      <c r="U534" s="1570"/>
      <c r="V534" s="1570"/>
      <c r="W534" s="1570"/>
      <c r="X534" s="1570"/>
      <c r="Y534" s="1570"/>
      <c r="Z534" s="1570"/>
      <c r="AA534" s="1570"/>
      <c r="AB534" s="1570"/>
      <c r="AC534" s="1570"/>
      <c r="AD534" s="1570"/>
      <c r="AE534" s="1570"/>
      <c r="AF534" s="1570"/>
      <c r="AG534" s="1570"/>
      <c r="AH534" s="1570"/>
    </row>
    <row r="535" spans="1:36" hidden="1">
      <c r="A535" s="1585" t="s">
        <v>401</v>
      </c>
      <c r="B535" s="1599">
        <v>0</v>
      </c>
      <c r="C535" s="1658">
        <v>5.9020000000000001</v>
      </c>
      <c r="D535" s="1600" t="s">
        <v>377</v>
      </c>
      <c r="E535" s="1577">
        <f>ROUND(C535*$B535/100*C529,0)</f>
        <v>0</v>
      </c>
      <c r="F535" s="1658">
        <v>6.7460000000000004</v>
      </c>
      <c r="G535" s="1600" t="s">
        <v>377</v>
      </c>
      <c r="H535" s="1577">
        <f>ROUND(F535*$B535/100*F529,0)</f>
        <v>0</v>
      </c>
      <c r="I535" s="1658">
        <f>I523</f>
        <v>6.9080000000000004</v>
      </c>
      <c r="J535" s="1600" t="s">
        <v>377</v>
      </c>
      <c r="K535" s="1577">
        <f>ROUND(I535*$B535/100*I529,0)</f>
        <v>0</v>
      </c>
      <c r="M535" s="1570"/>
      <c r="N535" s="1570"/>
      <c r="O535" s="1571"/>
      <c r="P535" s="1571"/>
      <c r="Q535" s="1571"/>
      <c r="R535" s="1570"/>
      <c r="S535" s="1570"/>
      <c r="T535" s="1570"/>
      <c r="U535" s="1570"/>
      <c r="V535" s="1570"/>
      <c r="W535" s="1570"/>
      <c r="X535" s="1570"/>
      <c r="Y535" s="1570"/>
      <c r="Z535" s="1570"/>
      <c r="AA535" s="1570"/>
      <c r="AB535" s="1570"/>
      <c r="AC535" s="1570"/>
      <c r="AD535" s="1570"/>
      <c r="AE535" s="1570"/>
      <c r="AF535" s="1570"/>
      <c r="AG535" s="1570"/>
      <c r="AH535" s="1570"/>
    </row>
    <row r="536" spans="1:36" hidden="1">
      <c r="A536" s="1585" t="s">
        <v>402</v>
      </c>
      <c r="B536" s="1599">
        <v>0</v>
      </c>
      <c r="C536" s="1658">
        <v>5.0839999999999996</v>
      </c>
      <c r="D536" s="1600" t="s">
        <v>377</v>
      </c>
      <c r="E536" s="1577">
        <f>ROUND(C536*$B536/100*C529,0)</f>
        <v>0</v>
      </c>
      <c r="F536" s="1658">
        <v>5.8120000000000003</v>
      </c>
      <c r="G536" s="1600" t="s">
        <v>377</v>
      </c>
      <c r="H536" s="1577">
        <f>ROUND(F536*$B536/100*F529,0)</f>
        <v>0</v>
      </c>
      <c r="I536" s="1658">
        <f>I524</f>
        <v>5.952</v>
      </c>
      <c r="J536" s="1600" t="s">
        <v>377</v>
      </c>
      <c r="K536" s="1577">
        <f>ROUND(I536*$B536/100*I529,0)</f>
        <v>0</v>
      </c>
      <c r="M536" s="1570"/>
      <c r="N536" s="1570"/>
      <c r="O536" s="1571"/>
      <c r="P536" s="1571"/>
      <c r="Q536" s="1571"/>
      <c r="R536" s="1570"/>
      <c r="S536" s="1570"/>
      <c r="T536" s="1570"/>
      <c r="U536" s="1570"/>
      <c r="V536" s="1570"/>
      <c r="W536" s="1570"/>
      <c r="X536" s="1570"/>
      <c r="Y536" s="1570"/>
      <c r="Z536" s="1570"/>
      <c r="AA536" s="1570"/>
      <c r="AB536" s="1570"/>
      <c r="AC536" s="1570"/>
      <c r="AD536" s="1570"/>
      <c r="AE536" s="1570"/>
      <c r="AF536" s="1570"/>
      <c r="AG536" s="1570"/>
      <c r="AH536" s="1570"/>
    </row>
    <row r="537" spans="1:36" hidden="1">
      <c r="A537" s="1585" t="s">
        <v>403</v>
      </c>
      <c r="B537" s="1599">
        <v>0</v>
      </c>
      <c r="C537" s="1659">
        <v>50</v>
      </c>
      <c r="D537" s="1600" t="s">
        <v>377</v>
      </c>
      <c r="E537" s="1577">
        <f>ROUND(C537*$B537/100*C529,0)</f>
        <v>0</v>
      </c>
      <c r="F537" s="1659">
        <v>56</v>
      </c>
      <c r="G537" s="1600" t="s">
        <v>377</v>
      </c>
      <c r="H537" s="1577">
        <f>ROUND(F537*$B537/100*F529,0)</f>
        <v>0</v>
      </c>
      <c r="I537" s="1659">
        <f>I525</f>
        <v>57</v>
      </c>
      <c r="J537" s="1600" t="s">
        <v>377</v>
      </c>
      <c r="K537" s="1577">
        <f>ROUND(I537*$B537/100*I529,0)</f>
        <v>0</v>
      </c>
      <c r="M537" s="1570"/>
      <c r="N537" s="1570"/>
      <c r="O537" s="1571"/>
      <c r="P537" s="1571"/>
      <c r="Q537" s="1571"/>
      <c r="R537" s="1570"/>
      <c r="S537" s="1570"/>
      <c r="T537" s="1570"/>
      <c r="U537" s="1570"/>
      <c r="V537" s="1570"/>
      <c r="W537" s="1570"/>
      <c r="X537" s="1570"/>
      <c r="Y537" s="1570"/>
      <c r="Z537" s="1570"/>
      <c r="AA537" s="1570"/>
      <c r="AB537" s="1570"/>
      <c r="AC537" s="1570"/>
      <c r="AD537" s="1570"/>
      <c r="AE537" s="1570"/>
      <c r="AF537" s="1570"/>
      <c r="AG537" s="1570"/>
      <c r="AH537" s="1570"/>
    </row>
    <row r="538" spans="1:36" hidden="1">
      <c r="A538" s="1585" t="s">
        <v>410</v>
      </c>
      <c r="B538" s="1599">
        <v>0</v>
      </c>
      <c r="C538" s="1660">
        <v>60</v>
      </c>
      <c r="D538" s="1574"/>
      <c r="E538" s="1577">
        <f>ROUND(C538*$B538,0)</f>
        <v>0</v>
      </c>
      <c r="F538" s="1660">
        <v>60</v>
      </c>
      <c r="G538" s="1600"/>
      <c r="H538" s="1577">
        <f>ROUND(F538*B538,0)</f>
        <v>0</v>
      </c>
      <c r="I538" s="1660">
        <f>$I$189</f>
        <v>60</v>
      </c>
      <c r="J538" s="1600"/>
      <c r="K538" s="1577">
        <f>ROUND(I538*$B538,0)</f>
        <v>0</v>
      </c>
      <c r="M538" s="1570"/>
      <c r="N538" s="1570"/>
      <c r="O538" s="1571"/>
      <c r="P538" s="1571"/>
      <c r="Q538" s="1571"/>
      <c r="R538" s="1570"/>
      <c r="S538" s="1570"/>
      <c r="T538" s="1570"/>
      <c r="U538" s="1570"/>
      <c r="V538" s="1570"/>
      <c r="W538" s="1570"/>
      <c r="X538" s="1570"/>
      <c r="Y538" s="1570"/>
      <c r="Z538" s="1570"/>
      <c r="AA538" s="1570"/>
      <c r="AB538" s="1570"/>
      <c r="AC538" s="1570"/>
      <c r="AD538" s="1570"/>
      <c r="AE538" s="1570"/>
      <c r="AF538" s="1570"/>
      <c r="AG538" s="1570"/>
      <c r="AH538" s="1570"/>
    </row>
    <row r="539" spans="1:36" hidden="1">
      <c r="A539" s="1585" t="s">
        <v>411</v>
      </c>
      <c r="B539" s="1599">
        <v>0</v>
      </c>
      <c r="C539" s="1661">
        <v>-30</v>
      </c>
      <c r="D539" s="1574" t="s">
        <v>377</v>
      </c>
      <c r="E539" s="1577">
        <f>ROUND(C539*$B539/100,0)</f>
        <v>0</v>
      </c>
      <c r="F539" s="1661">
        <v>-30</v>
      </c>
      <c r="G539" s="1600" t="s">
        <v>377</v>
      </c>
      <c r="H539" s="1577">
        <f>ROUND(F539*B539/100,0)</f>
        <v>0</v>
      </c>
      <c r="I539" s="1661">
        <f>$I$190</f>
        <v>-30</v>
      </c>
      <c r="J539" s="1600" t="s">
        <v>377</v>
      </c>
      <c r="K539" s="1577">
        <f>ROUND(I539*$B539/100,0)</f>
        <v>0</v>
      </c>
      <c r="M539" s="1570"/>
      <c r="N539" s="1570"/>
      <c r="O539" s="1571"/>
      <c r="P539" s="1571"/>
      <c r="Q539" s="1571"/>
      <c r="R539" s="1570"/>
      <c r="S539" s="1570"/>
      <c r="T539" s="1570"/>
      <c r="U539" s="1570"/>
      <c r="V539" s="1570"/>
      <c r="W539" s="1570"/>
      <c r="X539" s="1570"/>
      <c r="Y539" s="1570"/>
      <c r="Z539" s="1570"/>
      <c r="AA539" s="1570"/>
      <c r="AB539" s="1570"/>
      <c r="AC539" s="1570"/>
      <c r="AD539" s="1570"/>
      <c r="AE539" s="1570"/>
      <c r="AF539" s="1570"/>
      <c r="AG539" s="1570"/>
      <c r="AH539" s="1570"/>
    </row>
    <row r="540" spans="1:36" hidden="1">
      <c r="A540" s="1569" t="s">
        <v>933</v>
      </c>
      <c r="B540" s="1575">
        <f>B534</f>
        <v>0</v>
      </c>
      <c r="C540" s="1584"/>
      <c r="D540" s="1570"/>
      <c r="E540" s="1577"/>
      <c r="F540" s="1584"/>
      <c r="G540" s="1570"/>
      <c r="H540" s="1577"/>
      <c r="I540" s="1389">
        <f>I174</f>
        <v>0</v>
      </c>
      <c r="J540" s="1600" t="s">
        <v>377</v>
      </c>
      <c r="K540" s="1577">
        <f t="shared" ref="K540:K542" si="99">ROUND(I540*$B540/100,0)</f>
        <v>0</v>
      </c>
      <c r="M540" s="1578"/>
      <c r="O540" s="1579"/>
      <c r="P540" s="1569"/>
      <c r="Q540" s="1569"/>
      <c r="R540" s="1580"/>
      <c r="S540" s="1580"/>
      <c r="X540" s="1570"/>
      <c r="Y540" s="1570"/>
      <c r="Z540" s="1570"/>
      <c r="AA540" s="1570"/>
      <c r="AB540" s="1570"/>
      <c r="AC540" s="1570"/>
      <c r="AD540" s="1570"/>
      <c r="AE540" s="1570"/>
      <c r="AF540" s="1570"/>
      <c r="AG540" s="1570"/>
      <c r="AH540" s="1570"/>
      <c r="AJ540" s="1578"/>
    </row>
    <row r="541" spans="1:36" hidden="1">
      <c r="A541" s="1569" t="s">
        <v>934</v>
      </c>
      <c r="B541" s="1575">
        <f>B535</f>
        <v>0</v>
      </c>
      <c r="C541" s="1584"/>
      <c r="D541" s="1570"/>
      <c r="E541" s="1577"/>
      <c r="F541" s="1584"/>
      <c r="G541" s="1570"/>
      <c r="H541" s="1577"/>
      <c r="I541" s="1389">
        <f>I175</f>
        <v>0</v>
      </c>
      <c r="J541" s="1600" t="s">
        <v>377</v>
      </c>
      <c r="K541" s="1577">
        <f t="shared" si="99"/>
        <v>0</v>
      </c>
      <c r="M541" s="1578"/>
      <c r="O541" s="1579"/>
      <c r="P541" s="1569"/>
      <c r="Q541" s="1569"/>
      <c r="R541" s="1580"/>
      <c r="S541" s="1580"/>
      <c r="X541" s="1570"/>
      <c r="Y541" s="1570"/>
      <c r="Z541" s="1570"/>
      <c r="AA541" s="1570"/>
      <c r="AB541" s="1570"/>
      <c r="AC541" s="1570"/>
      <c r="AD541" s="1570"/>
      <c r="AE541" s="1570"/>
      <c r="AF541" s="1570"/>
      <c r="AG541" s="1570"/>
      <c r="AH541" s="1570"/>
      <c r="AJ541" s="1578"/>
    </row>
    <row r="542" spans="1:36" hidden="1">
      <c r="A542" s="1569" t="s">
        <v>935</v>
      </c>
      <c r="B542" s="1575">
        <f>B536</f>
        <v>0</v>
      </c>
      <c r="C542" s="1584"/>
      <c r="D542" s="1570"/>
      <c r="E542" s="1577"/>
      <c r="F542" s="1584"/>
      <c r="G542" s="1570"/>
      <c r="H542" s="1577"/>
      <c r="I542" s="1389">
        <f>I176</f>
        <v>0</v>
      </c>
      <c r="J542" s="1600" t="s">
        <v>377</v>
      </c>
      <c r="K542" s="1577">
        <f t="shared" si="99"/>
        <v>0</v>
      </c>
      <c r="M542" s="1578"/>
      <c r="O542" s="1579"/>
      <c r="P542" s="1569"/>
      <c r="Q542" s="1569"/>
      <c r="R542" s="1580"/>
      <c r="S542" s="1580"/>
      <c r="X542" s="1570"/>
      <c r="Y542" s="1570"/>
      <c r="Z542" s="1570"/>
      <c r="AA542" s="1570"/>
      <c r="AB542" s="1570"/>
      <c r="AC542" s="1570"/>
      <c r="AD542" s="1570"/>
      <c r="AE542" s="1570"/>
      <c r="AF542" s="1570"/>
      <c r="AG542" s="1570"/>
      <c r="AH542" s="1570"/>
      <c r="AJ542" s="1578"/>
    </row>
    <row r="543" spans="1:36" hidden="1">
      <c r="A543" s="1585" t="s">
        <v>384</v>
      </c>
      <c r="B543" s="1599">
        <f>SUM(B522:B524)</f>
        <v>6067</v>
      </c>
      <c r="C543" s="1647"/>
      <c r="D543" s="1577"/>
      <c r="E543" s="1577">
        <f>SUM(E516:E539)</f>
        <v>2071</v>
      </c>
      <c r="F543" s="1647"/>
      <c r="G543" s="1600"/>
      <c r="H543" s="1577">
        <f>SUM(H516:H539)</f>
        <v>2367</v>
      </c>
      <c r="I543" s="1647"/>
      <c r="J543" s="1600"/>
      <c r="K543" s="1577">
        <f>SUM(K516:K542)</f>
        <v>2433</v>
      </c>
      <c r="M543" s="1570"/>
      <c r="N543" s="1570"/>
      <c r="O543" s="1571"/>
      <c r="P543" s="1571"/>
      <c r="Q543" s="1571"/>
      <c r="R543" s="1570"/>
      <c r="S543" s="1570"/>
      <c r="T543" s="1570"/>
      <c r="U543" s="1570"/>
      <c r="V543" s="1570"/>
      <c r="W543" s="1570"/>
      <c r="X543" s="1570"/>
      <c r="Y543" s="1570"/>
      <c r="Z543" s="1570"/>
      <c r="AA543" s="1570"/>
      <c r="AB543" s="1570"/>
      <c r="AC543" s="1570"/>
      <c r="AD543" s="1570"/>
      <c r="AE543" s="1570"/>
      <c r="AF543" s="1570"/>
      <c r="AG543" s="1570"/>
      <c r="AH543" s="1570"/>
    </row>
    <row r="544" spans="1:36" hidden="1">
      <c r="A544" s="1585" t="s">
        <v>366</v>
      </c>
      <c r="B544" s="1679">
        <f ca="1">'Table 2'!H73</f>
        <v>83.237273799650609</v>
      </c>
      <c r="C544" s="1600"/>
      <c r="D544" s="1600"/>
      <c r="E544" s="1664" t="e">
        <f>#REF!</f>
        <v>#REF!</v>
      </c>
      <c r="F544" s="1600"/>
      <c r="G544" s="1600"/>
      <c r="H544" s="1664">
        <f ca="1">'Table 3'!E73</f>
        <v>37.66331015255323</v>
      </c>
      <c r="I544" s="1600"/>
      <c r="J544" s="1600"/>
      <c r="K544" s="1664">
        <f ca="1">H544</f>
        <v>37.66331015255323</v>
      </c>
      <c r="M544" s="1422"/>
      <c r="N544" s="1422"/>
      <c r="O544" s="1423"/>
      <c r="P544" s="1571"/>
      <c r="Q544" s="1571"/>
      <c r="R544" s="1570"/>
      <c r="S544" s="1570"/>
      <c r="T544" s="1570"/>
      <c r="U544" s="1570"/>
      <c r="V544" s="1570"/>
      <c r="W544" s="1570"/>
      <c r="X544" s="1570"/>
      <c r="Y544" s="1570"/>
      <c r="Z544" s="1570"/>
      <c r="AA544" s="1570"/>
      <c r="AB544" s="1570"/>
      <c r="AC544" s="1570"/>
      <c r="AD544" s="1570"/>
      <c r="AE544" s="1570"/>
      <c r="AF544" s="1570"/>
      <c r="AG544" s="1570"/>
      <c r="AH544" s="1570"/>
    </row>
    <row r="545" spans="1:34" ht="15.75" hidden="1" thickBot="1">
      <c r="A545" s="1585" t="s">
        <v>385</v>
      </c>
      <c r="B545" s="1632">
        <f ca="1">SUM(B543:B544)</f>
        <v>6150.2372737996502</v>
      </c>
      <c r="C545" s="1666"/>
      <c r="D545" s="1667"/>
      <c r="E545" s="1668" t="e">
        <f>E543+E544</f>
        <v>#REF!</v>
      </c>
      <c r="F545" s="1666"/>
      <c r="G545" s="1670"/>
      <c r="H545" s="1668">
        <f ca="1">H543+H544</f>
        <v>2404.6633101525531</v>
      </c>
      <c r="I545" s="1666"/>
      <c r="J545" s="1670"/>
      <c r="K545" s="1668">
        <f ca="1">K543+K544</f>
        <v>2470.6633101525531</v>
      </c>
      <c r="M545" s="1424"/>
      <c r="N545" s="1424"/>
      <c r="O545" s="1597"/>
      <c r="P545" s="1571"/>
      <c r="Q545" s="1571"/>
      <c r="R545" s="1570"/>
      <c r="S545" s="1570"/>
      <c r="T545" s="1570"/>
      <c r="U545" s="1570"/>
      <c r="V545" s="1570"/>
      <c r="W545" s="1570"/>
      <c r="X545" s="1570"/>
      <c r="Y545" s="1570"/>
      <c r="Z545" s="1570"/>
      <c r="AA545" s="1570"/>
      <c r="AB545" s="1570"/>
      <c r="AC545" s="1570"/>
      <c r="AD545" s="1570"/>
      <c r="AE545" s="1570"/>
      <c r="AF545" s="1570"/>
      <c r="AG545" s="1570"/>
      <c r="AH545" s="1570"/>
    </row>
    <row r="546" spans="1:34" hidden="1">
      <c r="A546" s="1585"/>
      <c r="B546" s="1610"/>
      <c r="C546" s="1660"/>
      <c r="D546" s="1577"/>
      <c r="E546" s="1577"/>
      <c r="F546" s="1660" t="s">
        <v>31</v>
      </c>
      <c r="G546" s="1585"/>
      <c r="H546" s="1577"/>
      <c r="I546" s="1657" t="s">
        <v>31</v>
      </c>
      <c r="J546" s="1585"/>
      <c r="K546" s="1577" t="s">
        <v>31</v>
      </c>
      <c r="M546" s="1570"/>
      <c r="N546" s="1570"/>
      <c r="O546" s="1571"/>
      <c r="P546" s="1571"/>
      <c r="Q546" s="1571"/>
      <c r="R546" s="1570"/>
      <c r="S546" s="1570"/>
      <c r="T546" s="1570"/>
      <c r="U546" s="1570"/>
      <c r="V546" s="1570"/>
      <c r="W546" s="1570"/>
      <c r="X546" s="1570"/>
      <c r="Y546" s="1570"/>
      <c r="Z546" s="1570"/>
      <c r="AA546" s="1570"/>
      <c r="AB546" s="1570"/>
      <c r="AC546" s="1570"/>
      <c r="AD546" s="1570"/>
      <c r="AE546" s="1570"/>
      <c r="AF546" s="1570"/>
      <c r="AG546" s="1570"/>
      <c r="AH546" s="1570"/>
    </row>
    <row r="547" spans="1:34" hidden="1">
      <c r="A547" s="1585"/>
      <c r="B547" s="1610"/>
      <c r="C547" s="1660"/>
      <c r="D547" s="1577"/>
      <c r="E547" s="1577"/>
      <c r="F547" s="1660" t="s">
        <v>31</v>
      </c>
      <c r="G547" s="1585"/>
      <c r="H547" s="1577"/>
      <c r="I547" s="1657" t="s">
        <v>31</v>
      </c>
      <c r="J547" s="1585"/>
      <c r="K547" s="1577" t="s">
        <v>31</v>
      </c>
      <c r="M547" s="1570"/>
      <c r="N547" s="1570"/>
      <c r="O547" s="1571"/>
      <c r="P547" s="1571"/>
      <c r="Q547" s="1571"/>
      <c r="R547" s="1570"/>
      <c r="S547" s="1570"/>
      <c r="T547" s="1570"/>
      <c r="U547" s="1570"/>
      <c r="V547" s="1570"/>
      <c r="W547" s="1570"/>
      <c r="X547" s="1570"/>
      <c r="Y547" s="1570"/>
      <c r="Z547" s="1570"/>
      <c r="AA547" s="1570"/>
      <c r="AB547" s="1570"/>
      <c r="AC547" s="1570"/>
      <c r="AD547" s="1570"/>
      <c r="AE547" s="1570"/>
      <c r="AF547" s="1570"/>
      <c r="AG547" s="1570"/>
      <c r="AH547" s="1570"/>
    </row>
    <row r="548" spans="1:34">
      <c r="A548" s="1609" t="s">
        <v>423</v>
      </c>
      <c r="B548" s="1684"/>
      <c r="C548" s="1577"/>
      <c r="D548" s="1577"/>
      <c r="E548" s="1585"/>
      <c r="F548" s="1577"/>
      <c r="G548" s="1585"/>
      <c r="H548" s="1585"/>
      <c r="I548" s="1577"/>
      <c r="J548" s="1585"/>
      <c r="K548" s="1577" t="s">
        <v>31</v>
      </c>
      <c r="M548" s="1570"/>
      <c r="N548" s="1570"/>
      <c r="O548" s="1571"/>
      <c r="P548" s="1571"/>
      <c r="Q548" s="1571"/>
      <c r="R548" s="1570"/>
      <c r="S548" s="1570"/>
      <c r="T548" s="1570"/>
      <c r="U548" s="1570"/>
      <c r="V548" s="1570"/>
      <c r="W548" s="1570"/>
      <c r="X548" s="1570"/>
      <c r="Y548" s="1570"/>
      <c r="Z548" s="1570"/>
      <c r="AA548" s="1570"/>
      <c r="AB548" s="1570"/>
      <c r="AC548" s="1570"/>
      <c r="AD548" s="1570"/>
      <c r="AE548" s="1570"/>
      <c r="AF548" s="1570"/>
      <c r="AG548" s="1570"/>
      <c r="AH548" s="1570"/>
    </row>
    <row r="549" spans="1:34">
      <c r="A549" s="1600" t="s">
        <v>338</v>
      </c>
      <c r="B549" s="1585" t="s">
        <v>31</v>
      </c>
      <c r="C549" s="1577"/>
      <c r="D549" s="1577"/>
      <c r="E549" s="1585"/>
      <c r="F549" s="1577"/>
      <c r="G549" s="1585"/>
      <c r="H549" s="1585"/>
      <c r="I549" s="1577"/>
      <c r="J549" s="1585"/>
      <c r="K549" s="1585"/>
      <c r="M549" s="1570"/>
      <c r="N549" s="1570"/>
      <c r="O549" s="1571"/>
      <c r="P549" s="1571"/>
      <c r="Q549" s="1571"/>
      <c r="R549" s="1570"/>
      <c r="S549" s="1570"/>
      <c r="T549" s="1570"/>
      <c r="U549" s="1570"/>
      <c r="V549" s="1570"/>
      <c r="W549" s="1570"/>
      <c r="X549" s="1570"/>
      <c r="Y549" s="1570"/>
      <c r="Z549" s="1570"/>
      <c r="AA549" s="1570"/>
      <c r="AB549" s="1570"/>
      <c r="AC549" s="1570"/>
      <c r="AD549" s="1570"/>
      <c r="AE549" s="1570"/>
      <c r="AF549" s="1570"/>
      <c r="AG549" s="1570"/>
      <c r="AH549" s="1570"/>
    </row>
    <row r="550" spans="1:34">
      <c r="A550" s="1600"/>
      <c r="B550" s="1585"/>
      <c r="C550" s="1577"/>
      <c r="D550" s="1577"/>
      <c r="E550" s="1585"/>
      <c r="F550" s="1577"/>
      <c r="G550" s="1585"/>
      <c r="H550" s="1585"/>
      <c r="I550" s="1577"/>
      <c r="J550" s="1585"/>
      <c r="K550" s="1585"/>
      <c r="M550" s="1570"/>
      <c r="N550" s="1570"/>
      <c r="O550" s="1571"/>
      <c r="P550" s="1571"/>
      <c r="Q550" s="1571"/>
      <c r="R550" s="1570"/>
      <c r="S550" s="1570"/>
      <c r="T550" s="1570"/>
      <c r="U550" s="1570"/>
      <c r="V550" s="1570"/>
      <c r="W550" s="1570"/>
      <c r="X550" s="1570"/>
      <c r="Y550" s="1570"/>
      <c r="Z550" s="1570"/>
      <c r="AA550" s="1570"/>
      <c r="AB550" s="1570"/>
      <c r="AC550" s="1570"/>
      <c r="AD550" s="1570"/>
      <c r="AE550" s="1570"/>
      <c r="AF550" s="1570"/>
      <c r="AG550" s="1570"/>
      <c r="AH550" s="1570"/>
    </row>
    <row r="551" spans="1:34">
      <c r="A551" s="1600" t="s">
        <v>396</v>
      </c>
      <c r="B551" s="1599"/>
      <c r="C551" s="1577"/>
      <c r="D551" s="1577"/>
      <c r="E551" s="1585"/>
      <c r="F551" s="1577"/>
      <c r="G551" s="1585"/>
      <c r="H551" s="1585"/>
      <c r="I551" s="1577"/>
      <c r="J551" s="1585"/>
      <c r="K551" s="1585"/>
      <c r="M551" s="1570"/>
      <c r="N551" s="1570"/>
      <c r="O551" s="1571"/>
      <c r="P551" s="1571"/>
      <c r="Q551" s="1571"/>
      <c r="R551" s="1570"/>
      <c r="S551" s="1570"/>
      <c r="T551" s="1570"/>
      <c r="U551" s="1570"/>
      <c r="V551" s="1570"/>
      <c r="W551" s="1570"/>
      <c r="X551" s="1570"/>
      <c r="Y551" s="1570"/>
      <c r="Z551" s="1570"/>
      <c r="AA551" s="1570"/>
      <c r="AB551" s="1570"/>
      <c r="AC551" s="1570"/>
      <c r="AD551" s="1570"/>
      <c r="AE551" s="1570"/>
      <c r="AF551" s="1570"/>
      <c r="AG551" s="1570"/>
      <c r="AH551" s="1570"/>
    </row>
    <row r="552" spans="1:34">
      <c r="A552" s="1600" t="s">
        <v>424</v>
      </c>
      <c r="B552" s="1599">
        <v>0</v>
      </c>
      <c r="C552" s="1620">
        <v>227</v>
      </c>
      <c r="D552" s="1600"/>
      <c r="E552" s="1574">
        <f t="shared" ref="E552:E554" si="100">ROUND(C552*$B552,0)</f>
        <v>0</v>
      </c>
      <c r="F552" s="1620">
        <v>259</v>
      </c>
      <c r="G552" s="1600"/>
      <c r="H552" s="1574">
        <f>ROUND(D552*$B552,0)</f>
        <v>0</v>
      </c>
      <c r="I552" s="1620">
        <f>I593</f>
        <v>271</v>
      </c>
      <c r="J552" s="1600"/>
      <c r="K552" s="1574">
        <f>ROUND(I552*$B552,0)</f>
        <v>0</v>
      </c>
      <c r="M552" s="1570"/>
      <c r="N552" s="1570"/>
      <c r="O552" s="1571"/>
      <c r="P552" s="1571"/>
      <c r="Q552" s="1571"/>
      <c r="R552" s="1570"/>
      <c r="S552" s="1570"/>
      <c r="T552" s="1570"/>
      <c r="U552" s="1570"/>
      <c r="V552" s="1570"/>
      <c r="W552" s="1570"/>
      <c r="X552" s="1570"/>
      <c r="Y552" s="1570"/>
      <c r="Z552" s="1570"/>
      <c r="AA552" s="1570"/>
      <c r="AB552" s="1570"/>
      <c r="AC552" s="1570"/>
      <c r="AD552" s="1570"/>
      <c r="AE552" s="1570"/>
      <c r="AF552" s="1570"/>
      <c r="AG552" s="1570"/>
      <c r="AH552" s="1570"/>
    </row>
    <row r="553" spans="1:34">
      <c r="A553" s="1600" t="s">
        <v>425</v>
      </c>
      <c r="B553" s="1599">
        <v>0</v>
      </c>
      <c r="C553" s="1620">
        <v>84</v>
      </c>
      <c r="D553" s="1600"/>
      <c r="E553" s="1574">
        <f t="shared" si="100"/>
        <v>0</v>
      </c>
      <c r="F553" s="1620">
        <v>96</v>
      </c>
      <c r="G553" s="1600"/>
      <c r="H553" s="1574">
        <f>ROUND(D553*$B553,0)</f>
        <v>0</v>
      </c>
      <c r="I553" s="1620">
        <f t="shared" ref="I553:I559" si="101">I594</f>
        <v>101</v>
      </c>
      <c r="J553" s="1600"/>
      <c r="K553" s="1574">
        <f>ROUND(I553*$B553,0)</f>
        <v>0</v>
      </c>
      <c r="M553" s="1570"/>
      <c r="N553" s="1570"/>
      <c r="O553" s="1571"/>
      <c r="P553" s="1571"/>
      <c r="Q553" s="1571"/>
      <c r="R553" s="1570"/>
      <c r="S553" s="1570"/>
      <c r="T553" s="1570"/>
      <c r="U553" s="1570"/>
      <c r="V553" s="1570"/>
      <c r="W553" s="1570"/>
      <c r="X553" s="1570"/>
      <c r="Y553" s="1570"/>
      <c r="Z553" s="1570"/>
      <c r="AA553" s="1570"/>
      <c r="AB553" s="1570"/>
      <c r="AC553" s="1570"/>
      <c r="AD553" s="1570"/>
      <c r="AE553" s="1570"/>
      <c r="AF553" s="1570"/>
      <c r="AG553" s="1570"/>
      <c r="AH553" s="1570"/>
    </row>
    <row r="554" spans="1:34">
      <c r="A554" s="1600" t="s">
        <v>426</v>
      </c>
      <c r="B554" s="1599">
        <v>0</v>
      </c>
      <c r="C554" s="1620">
        <v>168</v>
      </c>
      <c r="D554" s="1642"/>
      <c r="E554" s="1574">
        <f t="shared" si="100"/>
        <v>0</v>
      </c>
      <c r="F554" s="1620">
        <v>192</v>
      </c>
      <c r="G554" s="1642"/>
      <c r="H554" s="1574">
        <f>ROUND(D554*$B554,0)</f>
        <v>0</v>
      </c>
      <c r="I554" s="1620">
        <f t="shared" si="101"/>
        <v>201</v>
      </c>
      <c r="J554" s="1642"/>
      <c r="K554" s="1574">
        <f>ROUND(I554*$B554,0)</f>
        <v>0</v>
      </c>
      <c r="M554" s="1570"/>
      <c r="N554" s="1570"/>
      <c r="O554" s="1571"/>
      <c r="P554" s="1571"/>
      <c r="Q554" s="1571"/>
      <c r="R554" s="1570"/>
      <c r="S554" s="1570"/>
      <c r="T554" s="1570"/>
      <c r="U554" s="1570"/>
      <c r="V554" s="1570"/>
      <c r="W554" s="1570"/>
      <c r="X554" s="1570"/>
      <c r="Y554" s="1570"/>
      <c r="Z554" s="1570"/>
      <c r="AA554" s="1570"/>
      <c r="AB554" s="1570"/>
      <c r="AC554" s="1570"/>
      <c r="AD554" s="1570"/>
      <c r="AE554" s="1570"/>
      <c r="AF554" s="1570"/>
      <c r="AG554" s="1570"/>
      <c r="AH554" s="1570"/>
    </row>
    <row r="555" spans="1:34">
      <c r="A555" s="1600" t="s">
        <v>397</v>
      </c>
      <c r="B555" s="1599">
        <f>SUM(B552:B554)</f>
        <v>0</v>
      </c>
      <c r="C555" s="1620"/>
      <c r="D555" s="1600"/>
      <c r="E555" s="1574"/>
      <c r="F555" s="1620"/>
      <c r="G555" s="1600"/>
      <c r="H555" s="1574"/>
      <c r="I555" s="1620"/>
      <c r="J555" s="1600"/>
      <c r="K555" s="1574"/>
      <c r="M555" s="1570"/>
      <c r="N555" s="1570"/>
      <c r="O555" s="1571"/>
      <c r="P555" s="1571"/>
      <c r="Q555" s="1571"/>
      <c r="R555" s="1570"/>
      <c r="S555" s="1570"/>
      <c r="T555" s="1570"/>
      <c r="U555" s="1570"/>
      <c r="V555" s="1570"/>
      <c r="W555" s="1570"/>
      <c r="X555" s="1570"/>
      <c r="Y555" s="1570"/>
      <c r="Z555" s="1570"/>
      <c r="AA555" s="1570"/>
      <c r="AB555" s="1570"/>
      <c r="AC555" s="1570"/>
      <c r="AD555" s="1570"/>
      <c r="AE555" s="1570"/>
      <c r="AF555" s="1570"/>
      <c r="AG555" s="1570"/>
      <c r="AH555" s="1570"/>
    </row>
    <row r="556" spans="1:34">
      <c r="A556" s="1600" t="s">
        <v>425</v>
      </c>
      <c r="B556" s="1599">
        <v>0</v>
      </c>
      <c r="C556" s="1620">
        <v>1.48</v>
      </c>
      <c r="D556" s="1600" t="s">
        <v>31</v>
      </c>
      <c r="E556" s="1574">
        <f>ROUND(C556*$B556,0)</f>
        <v>0</v>
      </c>
      <c r="F556" s="1620">
        <v>1.7</v>
      </c>
      <c r="G556" s="1600" t="s">
        <v>31</v>
      </c>
      <c r="H556" s="1574">
        <f>ROUND(D556*$B556,0)</f>
        <v>0</v>
      </c>
      <c r="I556" s="1620">
        <f t="shared" si="101"/>
        <v>1.78</v>
      </c>
      <c r="J556" s="1600" t="s">
        <v>31</v>
      </c>
      <c r="K556" s="1574">
        <f>ROUND(I556*$B556,0)</f>
        <v>0</v>
      </c>
      <c r="M556" s="1570"/>
      <c r="N556" s="1570"/>
      <c r="O556" s="1571"/>
      <c r="P556" s="1571"/>
      <c r="Q556" s="1571"/>
      <c r="R556" s="1570"/>
      <c r="S556" s="1570"/>
      <c r="T556" s="1570"/>
      <c r="U556" s="1570"/>
      <c r="V556" s="1570"/>
      <c r="W556" s="1570"/>
      <c r="X556" s="1570"/>
      <c r="Y556" s="1570"/>
      <c r="Z556" s="1570"/>
      <c r="AA556" s="1570"/>
      <c r="AB556" s="1570"/>
      <c r="AC556" s="1570"/>
      <c r="AD556" s="1570"/>
      <c r="AE556" s="1570"/>
      <c r="AF556" s="1570"/>
      <c r="AG556" s="1570"/>
      <c r="AH556" s="1570"/>
    </row>
    <row r="557" spans="1:34">
      <c r="A557" s="1600" t="s">
        <v>426</v>
      </c>
      <c r="B557" s="1599">
        <v>0</v>
      </c>
      <c r="C557" s="1620">
        <v>1.22</v>
      </c>
      <c r="D557" s="1600" t="s">
        <v>31</v>
      </c>
      <c r="E557" s="1574">
        <f>ROUND(C557*$B557,0)</f>
        <v>0</v>
      </c>
      <c r="F557" s="1620">
        <v>1.39</v>
      </c>
      <c r="G557" s="1600" t="s">
        <v>31</v>
      </c>
      <c r="H557" s="1574">
        <f>ROUND(D557*$B557,0)</f>
        <v>0</v>
      </c>
      <c r="I557" s="1620">
        <f t="shared" si="101"/>
        <v>1.46</v>
      </c>
      <c r="J557" s="1600" t="s">
        <v>31</v>
      </c>
      <c r="K557" s="1574">
        <f>ROUND(I557*$B557,0)</f>
        <v>0</v>
      </c>
      <c r="M557" s="1570"/>
      <c r="N557" s="1570"/>
      <c r="O557" s="1571"/>
      <c r="P557" s="1571"/>
      <c r="Q557" s="1571"/>
      <c r="R557" s="1570"/>
      <c r="S557" s="1570"/>
      <c r="T557" s="1570"/>
      <c r="U557" s="1570"/>
      <c r="V557" s="1570"/>
      <c r="W557" s="1570"/>
      <c r="X557" s="1570"/>
      <c r="Y557" s="1570"/>
      <c r="Z557" s="1570"/>
      <c r="AA557" s="1570"/>
      <c r="AB557" s="1570"/>
      <c r="AC557" s="1570"/>
      <c r="AD557" s="1570"/>
      <c r="AE557" s="1570"/>
      <c r="AF557" s="1570"/>
      <c r="AG557" s="1570"/>
      <c r="AH557" s="1570"/>
    </row>
    <row r="558" spans="1:34">
      <c r="A558" s="1600" t="s">
        <v>427</v>
      </c>
      <c r="B558" s="1599"/>
      <c r="C558" s="1620"/>
      <c r="D558" s="1600"/>
      <c r="E558" s="1574"/>
      <c r="F558" s="1620"/>
      <c r="G558" s="1600"/>
      <c r="H558" s="1574"/>
      <c r="I558" s="1620"/>
      <c r="J558" s="1600"/>
      <c r="K558" s="1574"/>
      <c r="M558" s="1570"/>
      <c r="N558" s="1570"/>
      <c r="O558" s="1571"/>
      <c r="P558" s="1571"/>
      <c r="Q558" s="1571"/>
      <c r="R558" s="1570"/>
      <c r="S558" s="1570"/>
      <c r="T558" s="1570"/>
      <c r="U558" s="1570"/>
      <c r="V558" s="1570"/>
      <c r="W558" s="1570"/>
      <c r="X558" s="1570"/>
      <c r="Y558" s="1570"/>
      <c r="Z558" s="1570"/>
      <c r="AA558" s="1570"/>
      <c r="AB558" s="1570"/>
      <c r="AC558" s="1570"/>
      <c r="AD558" s="1570"/>
      <c r="AE558" s="1570"/>
      <c r="AF558" s="1570"/>
      <c r="AG558" s="1570"/>
      <c r="AH558" s="1570"/>
    </row>
    <row r="559" spans="1:34">
      <c r="A559" s="1600" t="s">
        <v>428</v>
      </c>
      <c r="B559" s="1599">
        <v>0</v>
      </c>
      <c r="C559" s="1620">
        <v>3.88</v>
      </c>
      <c r="D559" s="1600"/>
      <c r="E559" s="1574">
        <f>ROUND(C559*$B559,0)</f>
        <v>0</v>
      </c>
      <c r="F559" s="1620">
        <v>4.4400000000000004</v>
      </c>
      <c r="G559" s="1600"/>
      <c r="H559" s="1574">
        <f>ROUND(D559*$B559,0)</f>
        <v>0</v>
      </c>
      <c r="I559" s="1620">
        <f t="shared" si="101"/>
        <v>4.6399999999999997</v>
      </c>
      <c r="J559" s="1600"/>
      <c r="K559" s="1574">
        <f>ROUND(I559*$B559,0)</f>
        <v>0</v>
      </c>
      <c r="M559" s="1570"/>
      <c r="N559" s="1570"/>
      <c r="O559" s="1571"/>
      <c r="P559" s="1571"/>
      <c r="Q559" s="1571"/>
      <c r="R559" s="1570"/>
      <c r="S559" s="1570"/>
      <c r="T559" s="1570"/>
      <c r="U559" s="1570"/>
      <c r="V559" s="1570"/>
      <c r="W559" s="1570"/>
      <c r="X559" s="1570"/>
      <c r="Y559" s="1570"/>
      <c r="Z559" s="1570"/>
      <c r="AA559" s="1570"/>
      <c r="AB559" s="1570"/>
      <c r="AC559" s="1570"/>
      <c r="AD559" s="1570"/>
      <c r="AE559" s="1570"/>
      <c r="AF559" s="1570"/>
      <c r="AG559" s="1570"/>
      <c r="AH559" s="1570"/>
    </row>
    <row r="560" spans="1:34">
      <c r="A560" s="1600" t="s">
        <v>429</v>
      </c>
      <c r="B560" s="1599"/>
      <c r="C560" s="1685"/>
      <c r="D560" s="1574"/>
      <c r="E560" s="1574"/>
      <c r="F560" s="1685"/>
      <c r="G560" s="1574"/>
      <c r="H560" s="1574"/>
      <c r="I560" s="1685"/>
      <c r="J560" s="1574"/>
      <c r="K560" s="1574"/>
      <c r="M560" s="1570"/>
      <c r="N560" s="1570"/>
      <c r="O560" s="1571"/>
      <c r="P560" s="1571"/>
      <c r="Q560" s="1571"/>
      <c r="R560" s="1570"/>
      <c r="S560" s="1570"/>
      <c r="T560" s="1570"/>
      <c r="U560" s="1570"/>
      <c r="V560" s="1570"/>
      <c r="W560" s="1570"/>
      <c r="X560" s="1570"/>
      <c r="Y560" s="1570"/>
      <c r="Z560" s="1570"/>
      <c r="AA560" s="1570"/>
      <c r="AB560" s="1570"/>
      <c r="AC560" s="1570"/>
      <c r="AD560" s="1570"/>
      <c r="AE560" s="1570"/>
      <c r="AF560" s="1570"/>
      <c r="AG560" s="1570"/>
      <c r="AH560" s="1570"/>
    </row>
    <row r="561" spans="1:36">
      <c r="A561" s="1600" t="s">
        <v>430</v>
      </c>
      <c r="B561" s="1599">
        <v>0</v>
      </c>
      <c r="C561" s="1658">
        <v>4.6340000000000003</v>
      </c>
      <c r="D561" s="1574" t="s">
        <v>377</v>
      </c>
      <c r="E561" s="1574">
        <f>ROUND($B561*C561/100,0)</f>
        <v>0</v>
      </c>
      <c r="F561" s="1658">
        <v>5.2939999999999996</v>
      </c>
      <c r="G561" s="1574" t="s">
        <v>377</v>
      </c>
      <c r="H561" s="1574">
        <f>ROUND($B561*D561/100,0)</f>
        <v>0</v>
      </c>
      <c r="I561" s="1658">
        <f>I603</f>
        <v>5.5339999999999998</v>
      </c>
      <c r="J561" s="1574" t="s">
        <v>377</v>
      </c>
      <c r="K561" s="1574">
        <f>ROUND($B561*I561/100,0)</f>
        <v>0</v>
      </c>
      <c r="M561" s="1570"/>
      <c r="N561" s="1570"/>
      <c r="O561" s="1571"/>
      <c r="P561" s="1571"/>
      <c r="Q561" s="1571"/>
      <c r="R561" s="1570"/>
      <c r="S561" s="1570"/>
      <c r="T561" s="1570"/>
      <c r="U561" s="1570"/>
      <c r="V561" s="1570"/>
      <c r="W561" s="1570"/>
      <c r="X561" s="1570"/>
      <c r="Y561" s="1570"/>
      <c r="Z561" s="1570"/>
      <c r="AA561" s="1570"/>
      <c r="AB561" s="1570"/>
      <c r="AC561" s="1570"/>
      <c r="AD561" s="1570"/>
      <c r="AE561" s="1570"/>
      <c r="AF561" s="1570"/>
      <c r="AG561" s="1570"/>
      <c r="AH561" s="1570"/>
    </row>
    <row r="562" spans="1:36">
      <c r="A562" s="1600" t="s">
        <v>402</v>
      </c>
      <c r="B562" s="1599">
        <v>0</v>
      </c>
      <c r="C562" s="1658">
        <v>4.2469999999999999</v>
      </c>
      <c r="D562" s="1574" t="s">
        <v>377</v>
      </c>
      <c r="E562" s="1574">
        <f>ROUND($B562*C562/100,0)</f>
        <v>0</v>
      </c>
      <c r="F562" s="1658">
        <v>4.8520000000000003</v>
      </c>
      <c r="G562" s="1574" t="s">
        <v>377</v>
      </c>
      <c r="H562" s="1574">
        <f>ROUND($B562*D562/100,0)</f>
        <v>0</v>
      </c>
      <c r="I562" s="1658">
        <f>I604</f>
        <v>5.069</v>
      </c>
      <c r="J562" s="1574" t="s">
        <v>377</v>
      </c>
      <c r="K562" s="1574">
        <f>ROUND($B562*I562/100,0)</f>
        <v>0</v>
      </c>
      <c r="M562" s="1570"/>
      <c r="N562" s="1570"/>
      <c r="O562" s="1571"/>
      <c r="P562" s="1571"/>
      <c r="Q562" s="1571"/>
      <c r="R562" s="1570"/>
      <c r="S562" s="1570"/>
      <c r="T562" s="1570"/>
      <c r="U562" s="1570"/>
      <c r="V562" s="1570"/>
      <c r="W562" s="1570"/>
      <c r="X562" s="1570"/>
      <c r="Y562" s="1570"/>
      <c r="Z562" s="1570"/>
      <c r="AA562" s="1570"/>
      <c r="AB562" s="1570"/>
      <c r="AC562" s="1570"/>
      <c r="AD562" s="1570"/>
      <c r="AE562" s="1570"/>
      <c r="AF562" s="1570"/>
      <c r="AG562" s="1570"/>
      <c r="AH562" s="1570"/>
    </row>
    <row r="563" spans="1:36">
      <c r="A563" s="1600" t="s">
        <v>403</v>
      </c>
      <c r="B563" s="1599">
        <v>0</v>
      </c>
      <c r="C563" s="1686">
        <v>0</v>
      </c>
      <c r="D563" s="1574" t="s">
        <v>377</v>
      </c>
      <c r="E563" s="1574">
        <f>ROUND(C563*$B563/100,0)</f>
        <v>0</v>
      </c>
      <c r="F563" s="1686">
        <v>56</v>
      </c>
      <c r="G563" s="1574" t="s">
        <v>377</v>
      </c>
      <c r="H563" s="1574">
        <f>ROUND(D563*$B563/100,0)</f>
        <v>0</v>
      </c>
      <c r="I563" s="1686">
        <f>I605</f>
        <v>59</v>
      </c>
      <c r="J563" s="1574" t="s">
        <v>377</v>
      </c>
      <c r="K563" s="1574">
        <f>ROUND(I563*$B563,0)</f>
        <v>0</v>
      </c>
      <c r="M563" s="1570"/>
      <c r="N563" s="1570"/>
      <c r="O563" s="1571"/>
      <c r="P563" s="1571"/>
      <c r="Q563" s="1571"/>
      <c r="R563" s="1570"/>
      <c r="S563" s="1570"/>
      <c r="T563" s="1570"/>
      <c r="U563" s="1570"/>
      <c r="V563" s="1570"/>
      <c r="W563" s="1570"/>
      <c r="X563" s="1570"/>
      <c r="Y563" s="1570"/>
      <c r="Z563" s="1570"/>
      <c r="AA563" s="1570"/>
      <c r="AB563" s="1570"/>
      <c r="AC563" s="1570"/>
      <c r="AD563" s="1570"/>
      <c r="AE563" s="1570"/>
      <c r="AF563" s="1570"/>
      <c r="AG563" s="1570"/>
      <c r="AH563" s="1570"/>
    </row>
    <row r="564" spans="1:36">
      <c r="A564" s="1600" t="s">
        <v>431</v>
      </c>
      <c r="B564" s="1599">
        <v>0</v>
      </c>
      <c r="C564" s="1687">
        <v>0.06</v>
      </c>
      <c r="D564" s="1574"/>
      <c r="E564" s="1574">
        <f>ROUND($B564*C564/100,0)</f>
        <v>0</v>
      </c>
      <c r="F564" s="1687">
        <v>0.06</v>
      </c>
      <c r="G564" s="1574"/>
      <c r="H564" s="1574">
        <f>ROUND($B564*D564/100,0)</f>
        <v>0</v>
      </c>
      <c r="I564" s="1687">
        <f>'Blocking - detail'!I455</f>
        <v>0.06</v>
      </c>
      <c r="J564" s="1574" t="s">
        <v>377</v>
      </c>
      <c r="K564" s="1574">
        <f>ROUND($B564*I564/100,0)</f>
        <v>0</v>
      </c>
      <c r="M564" s="1570"/>
      <c r="N564" s="1570"/>
      <c r="O564" s="1571"/>
      <c r="P564" s="1571"/>
      <c r="Q564" s="1571"/>
      <c r="R564" s="1570"/>
      <c r="S564" s="1570"/>
      <c r="T564" s="1570"/>
      <c r="U564" s="1570"/>
      <c r="V564" s="1570"/>
      <c r="W564" s="1570"/>
      <c r="X564" s="1570"/>
      <c r="Y564" s="1570"/>
      <c r="Z564" s="1570"/>
      <c r="AA564" s="1570"/>
      <c r="AB564" s="1570"/>
      <c r="AC564" s="1570"/>
      <c r="AD564" s="1570"/>
      <c r="AE564" s="1570"/>
      <c r="AF564" s="1570"/>
      <c r="AG564" s="1570"/>
      <c r="AH564" s="1570"/>
    </row>
    <row r="565" spans="1:36" s="1621" customFormat="1">
      <c r="A565" s="1621" t="s">
        <v>936</v>
      </c>
      <c r="B565" s="1688">
        <f>B561+B562</f>
        <v>0</v>
      </c>
      <c r="C565" s="1623"/>
      <c r="D565" s="1624"/>
      <c r="E565" s="1625"/>
      <c r="F565" s="1623"/>
      <c r="G565" s="1624"/>
      <c r="H565" s="1625"/>
      <c r="I565" s="1626">
        <v>0</v>
      </c>
      <c r="J565" s="1689" t="s">
        <v>377</v>
      </c>
      <c r="K565" s="1689">
        <f t="shared" ref="K565:K566" si="102">ROUND($B565*I565/100,0)</f>
        <v>0</v>
      </c>
      <c r="M565" s="1651"/>
      <c r="O565" s="1652"/>
      <c r="R565" s="1653"/>
      <c r="S565" s="1653"/>
      <c r="X565" s="1624"/>
      <c r="Y565" s="1624"/>
      <c r="Z565" s="1624"/>
      <c r="AA565" s="1624"/>
      <c r="AB565" s="1624"/>
      <c r="AC565" s="1624"/>
      <c r="AD565" s="1624"/>
      <c r="AE565" s="1624"/>
      <c r="AF565" s="1624"/>
      <c r="AG565" s="1624"/>
      <c r="AH565" s="1624"/>
      <c r="AJ565" s="1651"/>
    </row>
    <row r="566" spans="1:36" s="1621" customFormat="1">
      <c r="A566" s="1621" t="s">
        <v>937</v>
      </c>
      <c r="B566" s="1688">
        <f>B562+B563</f>
        <v>0</v>
      </c>
      <c r="C566" s="1623"/>
      <c r="D566" s="1624"/>
      <c r="E566" s="1625"/>
      <c r="F566" s="1623"/>
      <c r="G566" s="1624"/>
      <c r="H566" s="1625"/>
      <c r="I566" s="1626">
        <v>0</v>
      </c>
      <c r="J566" s="1624"/>
      <c r="K566" s="1689">
        <f t="shared" si="102"/>
        <v>0</v>
      </c>
      <c r="M566" s="1651"/>
      <c r="O566" s="1652"/>
      <c r="R566" s="1653"/>
      <c r="S566" s="1653"/>
      <c r="X566" s="1624"/>
      <c r="Y566" s="1624"/>
      <c r="Z566" s="1624"/>
      <c r="AA566" s="1624"/>
      <c r="AB566" s="1624"/>
      <c r="AC566" s="1624"/>
      <c r="AD566" s="1624"/>
      <c r="AE566" s="1624"/>
      <c r="AF566" s="1624"/>
      <c r="AG566" s="1624"/>
      <c r="AH566" s="1624"/>
      <c r="AJ566" s="1651"/>
    </row>
    <row r="567" spans="1:36">
      <c r="A567" s="253" t="s">
        <v>404</v>
      </c>
      <c r="B567" s="1599"/>
      <c r="C567" s="1655">
        <v>-0.01</v>
      </c>
      <c r="D567" s="1690"/>
      <c r="E567" s="1690"/>
      <c r="F567" s="1655">
        <v>-0.01</v>
      </c>
      <c r="G567" s="1690"/>
      <c r="H567" s="1690"/>
      <c r="I567" s="1655">
        <v>-0.01</v>
      </c>
      <c r="J567" s="1690"/>
      <c r="K567" s="1577"/>
      <c r="M567" s="1570"/>
      <c r="N567" s="1570"/>
      <c r="O567" s="1571"/>
      <c r="P567" s="1571"/>
      <c r="Q567" s="1571"/>
      <c r="R567" s="1570"/>
      <c r="S567" s="1570"/>
      <c r="T567" s="1570"/>
      <c r="U567" s="1570"/>
      <c r="V567" s="1570"/>
      <c r="W567" s="1570"/>
      <c r="X567" s="1570"/>
      <c r="Y567" s="1570"/>
      <c r="Z567" s="1570"/>
      <c r="AA567" s="1570"/>
      <c r="AB567" s="1570"/>
      <c r="AC567" s="1570"/>
      <c r="AD567" s="1570"/>
      <c r="AE567" s="1570"/>
      <c r="AF567" s="1570"/>
      <c r="AG567" s="1570"/>
      <c r="AH567" s="1570"/>
    </row>
    <row r="568" spans="1:36">
      <c r="A568" s="1600" t="s">
        <v>424</v>
      </c>
      <c r="B568" s="1599">
        <v>0</v>
      </c>
      <c r="C568" s="1620">
        <v>227</v>
      </c>
      <c r="D568" s="1600"/>
      <c r="E568" s="1574">
        <f t="shared" ref="E568:E573" si="103">ROUND(C568*$B568*$C$567,0)</f>
        <v>0</v>
      </c>
      <c r="F568" s="1620">
        <v>259</v>
      </c>
      <c r="G568" s="1600"/>
      <c r="H568" s="1574">
        <f t="shared" ref="H568:H573" si="104">ROUND(D568*$B568*$C$567,0)</f>
        <v>0</v>
      </c>
      <c r="I568" s="1620">
        <f>I552</f>
        <v>271</v>
      </c>
      <c r="J568" s="1600"/>
      <c r="K568" s="1574">
        <f t="shared" ref="K568:K573" si="105">ROUND(I568*$B568*$C$567,0)</f>
        <v>0</v>
      </c>
      <c r="M568" s="1570"/>
      <c r="N568" s="1570"/>
      <c r="O568" s="1571"/>
      <c r="P568" s="1571"/>
      <c r="Q568" s="1571"/>
      <c r="R568" s="1570"/>
      <c r="S568" s="1570"/>
      <c r="T568" s="1570"/>
      <c r="U568" s="1570"/>
      <c r="V568" s="1570"/>
      <c r="W568" s="1570"/>
      <c r="X568" s="1570"/>
      <c r="Y568" s="1570"/>
      <c r="Z568" s="1570"/>
      <c r="AA568" s="1570"/>
      <c r="AB568" s="1570"/>
      <c r="AC568" s="1570"/>
      <c r="AD568" s="1570"/>
      <c r="AE568" s="1570"/>
      <c r="AF568" s="1570"/>
      <c r="AG568" s="1570"/>
      <c r="AH568" s="1570"/>
    </row>
    <row r="569" spans="1:36">
      <c r="A569" s="1600" t="s">
        <v>425</v>
      </c>
      <c r="B569" s="1599">
        <v>0</v>
      </c>
      <c r="C569" s="1620">
        <v>84</v>
      </c>
      <c r="D569" s="1600"/>
      <c r="E569" s="1574">
        <f t="shared" si="103"/>
        <v>0</v>
      </c>
      <c r="F569" s="1620">
        <v>96</v>
      </c>
      <c r="G569" s="1600"/>
      <c r="H569" s="1574">
        <f t="shared" si="104"/>
        <v>0</v>
      </c>
      <c r="I569" s="1620">
        <f>I553</f>
        <v>101</v>
      </c>
      <c r="J569" s="1600"/>
      <c r="K569" s="1574">
        <f t="shared" si="105"/>
        <v>0</v>
      </c>
      <c r="M569" s="1570"/>
      <c r="N569" s="1570"/>
      <c r="O569" s="1571"/>
      <c r="P569" s="1571"/>
      <c r="Q569" s="1571"/>
      <c r="R569" s="1570"/>
      <c r="S569" s="1570"/>
      <c r="T569" s="1570"/>
      <c r="U569" s="1570"/>
      <c r="V569" s="1570"/>
      <c r="W569" s="1570"/>
      <c r="X569" s="1570"/>
      <c r="Y569" s="1570"/>
      <c r="Z569" s="1570"/>
      <c r="AA569" s="1570"/>
      <c r="AB569" s="1570"/>
      <c r="AC569" s="1570"/>
      <c r="AD569" s="1570"/>
      <c r="AE569" s="1570"/>
      <c r="AF569" s="1570"/>
      <c r="AG569" s="1570"/>
      <c r="AH569" s="1570"/>
    </row>
    <row r="570" spans="1:36">
      <c r="A570" s="1600" t="s">
        <v>426</v>
      </c>
      <c r="B570" s="1599">
        <v>0</v>
      </c>
      <c r="C570" s="1620">
        <v>168</v>
      </c>
      <c r="D570" s="1642"/>
      <c r="E570" s="1574">
        <f t="shared" si="103"/>
        <v>0</v>
      </c>
      <c r="F570" s="1620">
        <v>192</v>
      </c>
      <c r="G570" s="1642"/>
      <c r="H570" s="1574">
        <f t="shared" si="104"/>
        <v>0</v>
      </c>
      <c r="I570" s="1620">
        <f>I554</f>
        <v>201</v>
      </c>
      <c r="J570" s="1642"/>
      <c r="K570" s="1574">
        <f t="shared" si="105"/>
        <v>0</v>
      </c>
      <c r="M570" s="1570"/>
      <c r="N570" s="1570"/>
      <c r="O570" s="1571"/>
      <c r="P570" s="1571"/>
      <c r="Q570" s="1571"/>
      <c r="R570" s="1570"/>
      <c r="S570" s="1570"/>
      <c r="T570" s="1570"/>
      <c r="U570" s="1570"/>
      <c r="V570" s="1570"/>
      <c r="W570" s="1570"/>
      <c r="X570" s="1570"/>
      <c r="Y570" s="1570"/>
      <c r="Z570" s="1570"/>
      <c r="AA570" s="1570"/>
      <c r="AB570" s="1570"/>
      <c r="AC570" s="1570"/>
      <c r="AD570" s="1570"/>
      <c r="AE570" s="1570"/>
      <c r="AF570" s="1570"/>
      <c r="AG570" s="1570"/>
      <c r="AH570" s="1570"/>
    </row>
    <row r="571" spans="1:36">
      <c r="A571" s="1600" t="s">
        <v>425</v>
      </c>
      <c r="B571" s="1599">
        <v>0</v>
      </c>
      <c r="C571" s="1620">
        <v>1.48</v>
      </c>
      <c r="D571" s="1600" t="s">
        <v>31</v>
      </c>
      <c r="E571" s="1574">
        <f t="shared" si="103"/>
        <v>0</v>
      </c>
      <c r="F571" s="1620">
        <v>1.7</v>
      </c>
      <c r="G571" s="1600" t="s">
        <v>31</v>
      </c>
      <c r="H571" s="1574">
        <f t="shared" si="104"/>
        <v>0</v>
      </c>
      <c r="I571" s="1620">
        <f>I556</f>
        <v>1.78</v>
      </c>
      <c r="J571" s="1600" t="s">
        <v>31</v>
      </c>
      <c r="K571" s="1574">
        <f t="shared" si="105"/>
        <v>0</v>
      </c>
      <c r="M571" s="1570"/>
      <c r="N571" s="1570"/>
      <c r="O571" s="1571"/>
      <c r="P571" s="1571"/>
      <c r="Q571" s="1571"/>
      <c r="R571" s="1570"/>
      <c r="S571" s="1570"/>
      <c r="T571" s="1570"/>
      <c r="U571" s="1570"/>
      <c r="V571" s="1570"/>
      <c r="W571" s="1570"/>
      <c r="X571" s="1570"/>
      <c r="Y571" s="1570"/>
      <c r="Z571" s="1570"/>
      <c r="AA571" s="1570"/>
      <c r="AB571" s="1570"/>
      <c r="AC571" s="1570"/>
      <c r="AD571" s="1570"/>
      <c r="AE571" s="1570"/>
      <c r="AF571" s="1570"/>
      <c r="AG571" s="1570"/>
      <c r="AH571" s="1570"/>
    </row>
    <row r="572" spans="1:36">
      <c r="A572" s="1600" t="s">
        <v>426</v>
      </c>
      <c r="B572" s="1599">
        <v>0</v>
      </c>
      <c r="C572" s="1620">
        <v>1.22</v>
      </c>
      <c r="D572" s="1600" t="s">
        <v>31</v>
      </c>
      <c r="E572" s="1574">
        <f t="shared" si="103"/>
        <v>0</v>
      </c>
      <c r="F572" s="1620">
        <v>1.39</v>
      </c>
      <c r="G572" s="1600" t="s">
        <v>31</v>
      </c>
      <c r="H572" s="1574">
        <f t="shared" si="104"/>
        <v>0</v>
      </c>
      <c r="I572" s="1620">
        <f>I557</f>
        <v>1.46</v>
      </c>
      <c r="J572" s="1600" t="s">
        <v>31</v>
      </c>
      <c r="K572" s="1574">
        <f t="shared" si="105"/>
        <v>0</v>
      </c>
      <c r="M572" s="1570"/>
      <c r="N572" s="1570"/>
      <c r="O572" s="1571"/>
      <c r="P572" s="1571"/>
      <c r="Q572" s="1571"/>
      <c r="R572" s="1570"/>
      <c r="S572" s="1570"/>
      <c r="T572" s="1570"/>
      <c r="U572" s="1570"/>
      <c r="V572" s="1570"/>
      <c r="W572" s="1570"/>
      <c r="X572" s="1570"/>
      <c r="Y572" s="1570"/>
      <c r="Z572" s="1570"/>
      <c r="AA572" s="1570"/>
      <c r="AB572" s="1570"/>
      <c r="AC572" s="1570"/>
      <c r="AD572" s="1570"/>
      <c r="AE572" s="1570"/>
      <c r="AF572" s="1570"/>
      <c r="AG572" s="1570"/>
      <c r="AH572" s="1570"/>
    </row>
    <row r="573" spans="1:36">
      <c r="A573" s="1600" t="s">
        <v>428</v>
      </c>
      <c r="B573" s="1599">
        <v>0</v>
      </c>
      <c r="C573" s="1620">
        <v>3.88</v>
      </c>
      <c r="D573" s="1600"/>
      <c r="E573" s="1574">
        <f t="shared" si="103"/>
        <v>0</v>
      </c>
      <c r="F573" s="1620">
        <v>4.4400000000000004</v>
      </c>
      <c r="G573" s="1600"/>
      <c r="H573" s="1574">
        <f t="shared" si="104"/>
        <v>0</v>
      </c>
      <c r="I573" s="1620">
        <f>I559</f>
        <v>4.6399999999999997</v>
      </c>
      <c r="J573" s="1600"/>
      <c r="K573" s="1574">
        <f t="shared" si="105"/>
        <v>0</v>
      </c>
      <c r="M573" s="1570"/>
      <c r="N573" s="1570"/>
      <c r="O573" s="1571"/>
      <c r="P573" s="1571"/>
      <c r="Q573" s="1571"/>
      <c r="R573" s="1570"/>
      <c r="S573" s="1570"/>
      <c r="T573" s="1570"/>
      <c r="U573" s="1570"/>
      <c r="V573" s="1570"/>
      <c r="W573" s="1570"/>
      <c r="X573" s="1570"/>
      <c r="Y573" s="1570"/>
      <c r="Z573" s="1570"/>
      <c r="AA573" s="1570"/>
      <c r="AB573" s="1570"/>
      <c r="AC573" s="1570"/>
      <c r="AD573" s="1570"/>
      <c r="AE573" s="1570"/>
      <c r="AF573" s="1570"/>
      <c r="AG573" s="1570"/>
      <c r="AH573" s="1570"/>
    </row>
    <row r="574" spans="1:36">
      <c r="A574" s="1600" t="s">
        <v>430</v>
      </c>
      <c r="B574" s="1599">
        <v>0</v>
      </c>
      <c r="C574" s="1658">
        <v>4.6340000000000003</v>
      </c>
      <c r="D574" s="1574" t="s">
        <v>377</v>
      </c>
      <c r="E574" s="1574">
        <f>ROUND(C574/100*$B574*C567,0)</f>
        <v>0</v>
      </c>
      <c r="F574" s="1657">
        <v>0</v>
      </c>
      <c r="G574" s="1574" t="s">
        <v>377</v>
      </c>
      <c r="H574" s="1574">
        <f>ROUND(D574/100*$B574*D567,0)</f>
        <v>0</v>
      </c>
      <c r="I574" s="1620">
        <f>I560</f>
        <v>0</v>
      </c>
      <c r="J574" s="1574" t="s">
        <v>377</v>
      </c>
      <c r="K574" s="1574">
        <f>ROUND(I574/100*$B574*C567,0)</f>
        <v>0</v>
      </c>
      <c r="M574" s="1570"/>
      <c r="N574" s="1570"/>
      <c r="O574" s="1571"/>
      <c r="P574" s="1571"/>
      <c r="Q574" s="1571"/>
      <c r="R574" s="1570"/>
      <c r="S574" s="1570"/>
      <c r="T574" s="1570"/>
      <c r="U574" s="1570"/>
      <c r="V574" s="1570"/>
      <c r="W574" s="1570"/>
      <c r="X574" s="1570"/>
      <c r="Y574" s="1570"/>
      <c r="Z574" s="1570"/>
      <c r="AA574" s="1570"/>
      <c r="AB574" s="1570"/>
      <c r="AC574" s="1570"/>
      <c r="AD574" s="1570"/>
      <c r="AE574" s="1570"/>
      <c r="AF574" s="1570"/>
      <c r="AG574" s="1570"/>
      <c r="AH574" s="1570"/>
    </row>
    <row r="575" spans="1:36">
      <c r="A575" s="1600" t="s">
        <v>402</v>
      </c>
      <c r="B575" s="1599">
        <v>0</v>
      </c>
      <c r="C575" s="1658">
        <v>4.2469999999999999</v>
      </c>
      <c r="D575" s="1574" t="s">
        <v>377</v>
      </c>
      <c r="E575" s="1574">
        <f>ROUND(C575/100*$B575*C567,0)</f>
        <v>0</v>
      </c>
      <c r="F575" s="1691">
        <v>4.8520000000000003</v>
      </c>
      <c r="G575" s="1574" t="s">
        <v>377</v>
      </c>
      <c r="H575" s="1574">
        <f>ROUND(D575/100*$B575*D567,0)</f>
        <v>0</v>
      </c>
      <c r="I575" s="1628">
        <f>I562</f>
        <v>5.069</v>
      </c>
      <c r="J575" s="1574" t="s">
        <v>377</v>
      </c>
      <c r="K575" s="1574">
        <f>ROUND(I575/100*$B575*C567,0)</f>
        <v>0</v>
      </c>
      <c r="M575" s="1570"/>
      <c r="N575" s="1570"/>
      <c r="O575" s="1571"/>
      <c r="P575" s="1571"/>
      <c r="Q575" s="1571"/>
      <c r="R575" s="1570"/>
      <c r="S575" s="1570"/>
      <c r="T575" s="1570"/>
      <c r="U575" s="1570"/>
      <c r="V575" s="1570"/>
      <c r="W575" s="1570"/>
      <c r="X575" s="1570"/>
      <c r="Y575" s="1570"/>
      <c r="Z575" s="1570"/>
      <c r="AA575" s="1570"/>
      <c r="AB575" s="1570"/>
      <c r="AC575" s="1570"/>
      <c r="AD575" s="1570"/>
      <c r="AE575" s="1570"/>
      <c r="AF575" s="1570"/>
      <c r="AG575" s="1570"/>
      <c r="AH575" s="1570"/>
    </row>
    <row r="576" spans="1:36">
      <c r="A576" s="1600" t="s">
        <v>432</v>
      </c>
      <c r="B576" s="1599">
        <v>0</v>
      </c>
      <c r="C576" s="1686">
        <v>50</v>
      </c>
      <c r="D576" s="1574" t="s">
        <v>377</v>
      </c>
      <c r="E576" s="1574">
        <f>ROUND(C576*$B576*$C$567,0)</f>
        <v>0</v>
      </c>
      <c r="F576" s="1691">
        <v>56</v>
      </c>
      <c r="G576" s="1574" t="s">
        <v>377</v>
      </c>
      <c r="H576" s="1574">
        <f>ROUND(D576*$B576*$C$567,0)</f>
        <v>0</v>
      </c>
      <c r="I576" s="1628">
        <f>I563</f>
        <v>59</v>
      </c>
      <c r="J576" s="1574" t="s">
        <v>377</v>
      </c>
      <c r="K576" s="1574">
        <f>ROUND(I576*$B576*$C$567,0)</f>
        <v>0</v>
      </c>
      <c r="M576" s="1570"/>
      <c r="N576" s="1570"/>
      <c r="O576" s="1571"/>
      <c r="P576" s="1571"/>
      <c r="Q576" s="1571"/>
      <c r="R576" s="1570"/>
      <c r="S576" s="1570"/>
      <c r="T576" s="1570"/>
      <c r="U576" s="1570"/>
      <c r="V576" s="1570"/>
      <c r="W576" s="1570"/>
      <c r="X576" s="1570"/>
      <c r="Y576" s="1570"/>
      <c r="Z576" s="1570"/>
      <c r="AA576" s="1570"/>
      <c r="AB576" s="1570"/>
      <c r="AC576" s="1570"/>
      <c r="AD576" s="1570"/>
      <c r="AE576" s="1570"/>
      <c r="AF576" s="1570"/>
      <c r="AG576" s="1570"/>
      <c r="AH576" s="1570"/>
    </row>
    <row r="577" spans="1:36">
      <c r="A577" s="1600" t="s">
        <v>433</v>
      </c>
      <c r="B577" s="1599">
        <v>0</v>
      </c>
      <c r="C577" s="1692">
        <v>0.06</v>
      </c>
      <c r="D577" s="1574" t="s">
        <v>377</v>
      </c>
      <c r="E577" s="1574">
        <f>ROUND(C577/100*$B577*C567,0)</f>
        <v>0</v>
      </c>
      <c r="F577" s="1692">
        <v>0.06</v>
      </c>
      <c r="G577" s="1574" t="s">
        <v>377</v>
      </c>
      <c r="H577" s="1574">
        <f>ROUND(D577/100*$B577*D567,0)</f>
        <v>0</v>
      </c>
      <c r="I577" s="1692">
        <f>I564</f>
        <v>0.06</v>
      </c>
      <c r="J577" s="1574" t="s">
        <v>377</v>
      </c>
      <c r="K577" s="1574">
        <f>ROUND(I577/100*$B577*I567,0)</f>
        <v>0</v>
      </c>
      <c r="M577" s="1570"/>
      <c r="N577" s="1570"/>
      <c r="O577" s="1571"/>
      <c r="P577" s="1571"/>
      <c r="Q577" s="1571"/>
      <c r="R577" s="1570"/>
      <c r="S577" s="1570"/>
      <c r="T577" s="1570"/>
      <c r="U577" s="1570"/>
      <c r="V577" s="1570"/>
      <c r="W577" s="1570"/>
      <c r="X577" s="1570"/>
      <c r="Y577" s="1570"/>
      <c r="Z577" s="1570"/>
      <c r="AA577" s="1570"/>
      <c r="AB577" s="1570"/>
      <c r="AC577" s="1570"/>
      <c r="AD577" s="1570"/>
      <c r="AE577" s="1570"/>
      <c r="AF577" s="1570"/>
      <c r="AG577" s="1570"/>
      <c r="AH577" s="1570"/>
    </row>
    <row r="578" spans="1:36">
      <c r="A578" s="1600" t="s">
        <v>434</v>
      </c>
      <c r="B578" s="1599">
        <v>0</v>
      </c>
      <c r="C578" s="1657">
        <v>60</v>
      </c>
      <c r="D578" s="1690" t="s">
        <v>31</v>
      </c>
      <c r="E578" s="1574">
        <f>ROUND(C578*$B578,0)</f>
        <v>0</v>
      </c>
      <c r="F578" s="1657">
        <v>60</v>
      </c>
      <c r="G578" s="1693" t="s">
        <v>31</v>
      </c>
      <c r="H578" s="1574">
        <f>ROUND(D578*$B578,0)</f>
        <v>0</v>
      </c>
      <c r="I578" s="1657">
        <v>60</v>
      </c>
      <c r="J578" s="1693" t="s">
        <v>31</v>
      </c>
      <c r="K578" s="1574">
        <f>ROUND(I578*$B578,0)</f>
        <v>0</v>
      </c>
      <c r="M578" s="1570"/>
      <c r="N578" s="1570"/>
      <c r="O578" s="1571"/>
      <c r="P578" s="1571"/>
      <c r="Q578" s="1571"/>
      <c r="R578" s="1570"/>
      <c r="S578" s="1570"/>
      <c r="T578" s="1570"/>
      <c r="U578" s="1570"/>
      <c r="V578" s="1570"/>
      <c r="W578" s="1570"/>
      <c r="X578" s="1570"/>
      <c r="Y578" s="1570"/>
      <c r="Z578" s="1570"/>
      <c r="AA578" s="1570"/>
      <c r="AB578" s="1570"/>
      <c r="AC578" s="1570"/>
      <c r="AD578" s="1570"/>
      <c r="AE578" s="1570"/>
      <c r="AF578" s="1570"/>
      <c r="AG578" s="1570"/>
      <c r="AH578" s="1570"/>
    </row>
    <row r="579" spans="1:36">
      <c r="A579" s="1600" t="s">
        <v>435</v>
      </c>
      <c r="B579" s="1599">
        <v>0</v>
      </c>
      <c r="C579" s="1659">
        <v>-30</v>
      </c>
      <c r="D579" s="1574" t="s">
        <v>377</v>
      </c>
      <c r="E579" s="1574">
        <f>ROUND(C579*$B579*$C$567,0)</f>
        <v>0</v>
      </c>
      <c r="F579" s="1659">
        <v>-30</v>
      </c>
      <c r="G579" s="1574" t="s">
        <v>377</v>
      </c>
      <c r="H579" s="1574">
        <f>ROUND(D579*$B579*$C$567,0)</f>
        <v>0</v>
      </c>
      <c r="I579" s="1659">
        <v>-30</v>
      </c>
      <c r="J579" s="1574" t="s">
        <v>377</v>
      </c>
      <c r="K579" s="1574">
        <f>ROUND(I579*$B579*$C$567,0)</f>
        <v>0</v>
      </c>
      <c r="M579" s="1570"/>
      <c r="N579" s="1570"/>
      <c r="O579" s="1571"/>
      <c r="P579" s="1571"/>
      <c r="Q579" s="1571"/>
      <c r="R579" s="1570"/>
      <c r="S579" s="1570"/>
      <c r="T579" s="1570"/>
      <c r="U579" s="1570"/>
      <c r="V579" s="1570"/>
      <c r="W579" s="1570"/>
      <c r="X579" s="1570"/>
      <c r="Y579" s="1570"/>
      <c r="Z579" s="1570"/>
      <c r="AA579" s="1570"/>
      <c r="AB579" s="1570"/>
      <c r="AC579" s="1570"/>
      <c r="AD579" s="1570"/>
      <c r="AE579" s="1570"/>
      <c r="AF579" s="1570"/>
      <c r="AG579" s="1570"/>
      <c r="AH579" s="1570"/>
    </row>
    <row r="580" spans="1:36">
      <c r="A580" s="1600" t="s">
        <v>436</v>
      </c>
      <c r="B580" s="1599">
        <v>0</v>
      </c>
      <c r="C580" s="1657">
        <v>1.94</v>
      </c>
      <c r="D580" s="1574"/>
      <c r="E580" s="1574"/>
      <c r="F580" s="1657">
        <v>2.2200000000000002</v>
      </c>
      <c r="G580" s="1574"/>
      <c r="H580" s="1574"/>
      <c r="I580" s="1620">
        <f>I573/2</f>
        <v>2.3199999999999998</v>
      </c>
      <c r="J580" s="1574"/>
      <c r="K580" s="1574">
        <f>ROUND($B580*I580,0)</f>
        <v>0</v>
      </c>
      <c r="M580" s="1570"/>
      <c r="N580" s="1570"/>
      <c r="O580" s="1571"/>
      <c r="P580" s="1571"/>
      <c r="Q580" s="1571"/>
      <c r="R580" s="1570"/>
      <c r="S580" s="1570"/>
      <c r="T580" s="1570"/>
      <c r="U580" s="1570"/>
      <c r="V580" s="1570"/>
      <c r="W580" s="1570"/>
      <c r="X580" s="1570"/>
      <c r="Y580" s="1570"/>
      <c r="Z580" s="1570"/>
      <c r="AA580" s="1570"/>
      <c r="AB580" s="1570"/>
      <c r="AC580" s="1570"/>
      <c r="AD580" s="1570"/>
      <c r="AE580" s="1570"/>
      <c r="AF580" s="1570"/>
      <c r="AG580" s="1570"/>
      <c r="AH580" s="1570"/>
    </row>
    <row r="581" spans="1:36">
      <c r="A581" s="1600" t="s">
        <v>437</v>
      </c>
      <c r="B581" s="1599">
        <v>0</v>
      </c>
      <c r="C581" s="1657">
        <v>15.52</v>
      </c>
      <c r="D581" s="1574"/>
      <c r="E581" s="1574"/>
      <c r="F581" s="1657">
        <v>17.760000000000002</v>
      </c>
      <c r="G581" s="1574"/>
      <c r="H581" s="1574"/>
      <c r="I581" s="1620">
        <f>I573*4</f>
        <v>18.559999999999999</v>
      </c>
      <c r="J581" s="1574"/>
      <c r="K581" s="1574">
        <f>ROUND($B581*I581,0)</f>
        <v>0</v>
      </c>
      <c r="M581" s="1570"/>
      <c r="N581" s="1570"/>
      <c r="O581" s="1571"/>
      <c r="P581" s="1571"/>
      <c r="Q581" s="1571"/>
      <c r="R581" s="1570"/>
      <c r="S581" s="1570"/>
      <c r="T581" s="1570"/>
      <c r="U581" s="1570"/>
      <c r="V581" s="1570"/>
      <c r="W581" s="1570"/>
      <c r="X581" s="1570"/>
      <c r="Y581" s="1570"/>
      <c r="Z581" s="1570"/>
      <c r="AA581" s="1570"/>
      <c r="AB581" s="1570"/>
      <c r="AC581" s="1570"/>
      <c r="AD581" s="1570"/>
      <c r="AE581" s="1570"/>
      <c r="AF581" s="1570"/>
      <c r="AG581" s="1570"/>
      <c r="AH581" s="1570"/>
    </row>
    <row r="582" spans="1:36">
      <c r="A582" s="1569" t="s">
        <v>438</v>
      </c>
      <c r="B582" s="1599">
        <v>0</v>
      </c>
      <c r="C582" s="1658">
        <v>16.988</v>
      </c>
      <c r="D582" s="1574" t="s">
        <v>377</v>
      </c>
      <c r="E582" s="1574">
        <f>ROUND($B582*C582/100,0)</f>
        <v>0</v>
      </c>
      <c r="F582" s="1658">
        <v>19.408000000000001</v>
      </c>
      <c r="G582" s="1574" t="s">
        <v>377</v>
      </c>
      <c r="H582" s="1574">
        <f>ROUND($B582*D582/100,0)</f>
        <v>0</v>
      </c>
      <c r="I582" s="1658">
        <f>(I562+I566)*4</f>
        <v>20.276</v>
      </c>
      <c r="J582" s="1574" t="s">
        <v>377</v>
      </c>
      <c r="K582" s="1574">
        <f>ROUND($B582*I582/100,0)</f>
        <v>0</v>
      </c>
      <c r="M582" s="1570"/>
      <c r="N582" s="1570" t="s">
        <v>74</v>
      </c>
      <c r="O582" s="1571"/>
      <c r="P582" s="1571"/>
      <c r="Q582" s="1571"/>
      <c r="R582" s="1570"/>
      <c r="S582" s="1570"/>
      <c r="T582" s="1570"/>
      <c r="U582" s="1570"/>
      <c r="V582" s="1570"/>
      <c r="W582" s="1570"/>
      <c r="X582" s="1570"/>
      <c r="Y582" s="1570"/>
      <c r="Z582" s="1570"/>
      <c r="AA582" s="1570"/>
      <c r="AB582" s="1570"/>
      <c r="AC582" s="1570"/>
      <c r="AD582" s="1570"/>
      <c r="AE582" s="1570"/>
      <c r="AF582" s="1570"/>
      <c r="AG582" s="1570"/>
      <c r="AH582" s="1570"/>
    </row>
    <row r="583" spans="1:36" s="1621" customFormat="1">
      <c r="A583" s="1621" t="s">
        <v>936</v>
      </c>
      <c r="B583" s="1688">
        <f>B574+B575</f>
        <v>0</v>
      </c>
      <c r="C583" s="1623"/>
      <c r="D583" s="1624"/>
      <c r="E583" s="1625"/>
      <c r="F583" s="1623"/>
      <c r="G583" s="1624"/>
      <c r="H583" s="1625"/>
      <c r="I583" s="1626">
        <f>I606</f>
        <v>0</v>
      </c>
      <c r="J583" s="1649" t="s">
        <v>377</v>
      </c>
      <c r="K583" s="1689">
        <f t="shared" ref="K583:K584" si="106">ROUND($B583*I583/100,0)</f>
        <v>0</v>
      </c>
      <c r="M583" s="1651"/>
      <c r="O583" s="1652"/>
      <c r="R583" s="1653"/>
      <c r="S583" s="1653"/>
      <c r="X583" s="1624"/>
      <c r="Y583" s="1624"/>
      <c r="Z583" s="1624"/>
      <c r="AA583" s="1624"/>
      <c r="AB583" s="1624"/>
      <c r="AC583" s="1624"/>
      <c r="AD583" s="1624"/>
      <c r="AE583" s="1624"/>
      <c r="AF583" s="1624"/>
      <c r="AG583" s="1624"/>
      <c r="AH583" s="1624"/>
      <c r="AJ583" s="1651"/>
    </row>
    <row r="584" spans="1:36" s="1621" customFormat="1">
      <c r="A584" s="1621" t="s">
        <v>937</v>
      </c>
      <c r="B584" s="1688">
        <f>B575+B576</f>
        <v>0</v>
      </c>
      <c r="C584" s="1623"/>
      <c r="D584" s="1624"/>
      <c r="E584" s="1625"/>
      <c r="F584" s="1623"/>
      <c r="G584" s="1624"/>
      <c r="H584" s="1625"/>
      <c r="I584" s="1626">
        <f>I607</f>
        <v>0</v>
      </c>
      <c r="J584" s="1649" t="s">
        <v>377</v>
      </c>
      <c r="K584" s="1689">
        <f t="shared" si="106"/>
        <v>0</v>
      </c>
      <c r="M584" s="1651"/>
      <c r="O584" s="1652"/>
      <c r="R584" s="1653"/>
      <c r="S584" s="1653"/>
      <c r="X584" s="1624"/>
      <c r="Y584" s="1624"/>
      <c r="Z584" s="1624"/>
      <c r="AA584" s="1624"/>
      <c r="AB584" s="1624"/>
      <c r="AC584" s="1624"/>
      <c r="AD584" s="1624"/>
      <c r="AE584" s="1624"/>
      <c r="AF584" s="1624"/>
      <c r="AG584" s="1624"/>
      <c r="AH584" s="1624"/>
      <c r="AJ584" s="1651"/>
    </row>
    <row r="585" spans="1:36">
      <c r="A585" s="1585" t="s">
        <v>384</v>
      </c>
      <c r="B585" s="1599">
        <f>SUM(B561:B562)</f>
        <v>0</v>
      </c>
      <c r="C585" s="1647"/>
      <c r="D585" s="1577"/>
      <c r="E585" s="1577">
        <f>SUM(E552:E582)</f>
        <v>0</v>
      </c>
      <c r="F585" s="1647"/>
      <c r="G585" s="1600"/>
      <c r="H585" s="1577">
        <f>SUM(H552:H582)</f>
        <v>0</v>
      </c>
      <c r="I585" s="1647"/>
      <c r="J585" s="1600"/>
      <c r="K585" s="1577">
        <f>SUM(K552:K584)</f>
        <v>0</v>
      </c>
      <c r="M585" s="1570"/>
      <c r="N585" s="1570"/>
      <c r="O585" s="1571"/>
      <c r="P585" s="1571"/>
      <c r="Q585" s="1571"/>
      <c r="R585" s="1570"/>
      <c r="S585" s="1570"/>
      <c r="T585" s="1570"/>
      <c r="U585" s="1570"/>
      <c r="V585" s="1570"/>
      <c r="W585" s="1570"/>
      <c r="X585" s="1570"/>
      <c r="Y585" s="1570"/>
      <c r="Z585" s="1570"/>
      <c r="AA585" s="1570"/>
      <c r="AB585" s="1570"/>
      <c r="AC585" s="1570"/>
      <c r="AD585" s="1570"/>
      <c r="AE585" s="1570"/>
      <c r="AF585" s="1570"/>
      <c r="AG585" s="1570"/>
      <c r="AH585" s="1570"/>
    </row>
    <row r="586" spans="1:36">
      <c r="A586" s="1585" t="s">
        <v>366</v>
      </c>
      <c r="B586" s="1679">
        <v>0</v>
      </c>
      <c r="C586" s="1600"/>
      <c r="D586" s="1600"/>
      <c r="E586" s="1631">
        <v>0</v>
      </c>
      <c r="F586" s="1600"/>
      <c r="G586" s="1600"/>
      <c r="H586" s="1631">
        <v>0</v>
      </c>
      <c r="I586" s="1600"/>
      <c r="J586" s="1600"/>
      <c r="K586" s="1631">
        <v>0</v>
      </c>
      <c r="M586" s="1422"/>
      <c r="N586" s="1422"/>
      <c r="O586" s="1423"/>
      <c r="P586" s="1571"/>
      <c r="Q586" s="1571"/>
      <c r="R586" s="1570"/>
      <c r="S586" s="1570"/>
      <c r="T586" s="1570"/>
      <c r="U586" s="1570"/>
      <c r="V586" s="1570"/>
      <c r="W586" s="1570"/>
      <c r="X586" s="1570"/>
      <c r="Y586" s="1570"/>
      <c r="Z586" s="1570"/>
      <c r="AA586" s="1570"/>
      <c r="AB586" s="1570"/>
      <c r="AC586" s="1570"/>
      <c r="AD586" s="1570"/>
      <c r="AE586" s="1570"/>
      <c r="AF586" s="1570"/>
      <c r="AG586" s="1570"/>
      <c r="AH586" s="1570"/>
    </row>
    <row r="587" spans="1:36" ht="15.75" thickBot="1">
      <c r="A587" s="1585" t="s">
        <v>385</v>
      </c>
      <c r="B587" s="1694">
        <f>SUM(B585:B586)</f>
        <v>0</v>
      </c>
      <c r="C587" s="1666"/>
      <c r="D587" s="1667"/>
      <c r="E587" s="1668">
        <f>SUM(E585:E586)</f>
        <v>0</v>
      </c>
      <c r="F587" s="1666"/>
      <c r="G587" s="1670"/>
      <c r="H587" s="1668">
        <f>SUM(H585:H586)</f>
        <v>0</v>
      </c>
      <c r="I587" s="1666"/>
      <c r="J587" s="1670"/>
      <c r="K587" s="1668">
        <f>SUM(K585:K586)</f>
        <v>0</v>
      </c>
      <c r="M587" s="1424"/>
      <c r="N587" s="1424"/>
      <c r="O587" s="1597"/>
      <c r="P587" s="1571"/>
      <c r="Q587" s="1571"/>
      <c r="R587" s="1570"/>
      <c r="S587" s="1570"/>
      <c r="T587" s="1570"/>
      <c r="U587" s="1570"/>
      <c r="V587" s="1570"/>
      <c r="W587" s="1570"/>
      <c r="X587" s="1570"/>
      <c r="Y587" s="1570"/>
      <c r="Z587" s="1570"/>
      <c r="AA587" s="1570"/>
      <c r="AB587" s="1570"/>
      <c r="AC587" s="1570"/>
      <c r="AD587" s="1570"/>
      <c r="AE587" s="1570"/>
      <c r="AF587" s="1570"/>
      <c r="AG587" s="1570"/>
      <c r="AH587" s="1570"/>
    </row>
    <row r="588" spans="1:36" ht="15.75" thickTop="1">
      <c r="A588" s="1585"/>
      <c r="B588" s="1610"/>
      <c r="C588" s="1660"/>
      <c r="D588" s="1577"/>
      <c r="E588" s="1577"/>
      <c r="F588" s="1660"/>
      <c r="G588" s="1585"/>
      <c r="H588" s="1577"/>
      <c r="I588" s="1660"/>
      <c r="J588" s="1585"/>
      <c r="K588" s="1577"/>
      <c r="M588" s="1570"/>
      <c r="N588" s="1570"/>
      <c r="O588" s="1571"/>
      <c r="P588" s="1571"/>
      <c r="Q588" s="1571"/>
      <c r="R588" s="1570"/>
      <c r="S588" s="1570"/>
      <c r="T588" s="1570"/>
      <c r="U588" s="1570"/>
      <c r="V588" s="1570"/>
      <c r="W588" s="1570"/>
      <c r="X588" s="1570"/>
      <c r="Y588" s="1570"/>
      <c r="Z588" s="1570"/>
      <c r="AA588" s="1570"/>
      <c r="AB588" s="1570"/>
      <c r="AC588" s="1570"/>
      <c r="AD588" s="1570"/>
      <c r="AE588" s="1570"/>
      <c r="AF588" s="1570"/>
      <c r="AG588" s="1570"/>
      <c r="AH588" s="1570"/>
    </row>
    <row r="589" spans="1:36">
      <c r="A589" s="1609" t="s">
        <v>439</v>
      </c>
      <c r="B589" s="1585"/>
      <c r="C589" s="1577"/>
      <c r="D589" s="1577"/>
      <c r="E589" s="1585" t="s">
        <v>31</v>
      </c>
      <c r="F589" s="1577"/>
      <c r="G589" s="1585"/>
      <c r="H589" s="1585"/>
      <c r="I589" s="1577"/>
      <c r="J589" s="1585"/>
      <c r="K589" s="1585"/>
      <c r="M589" s="1570"/>
      <c r="N589" s="1570"/>
      <c r="O589" s="1571"/>
      <c r="P589" s="1571"/>
      <c r="Q589" s="1571"/>
      <c r="R589" s="1570"/>
      <c r="S589" s="1570"/>
      <c r="T589" s="1570"/>
      <c r="U589" s="1570"/>
      <c r="V589" s="1570"/>
      <c r="W589" s="1570"/>
      <c r="X589" s="1570"/>
      <c r="Y589" s="1570"/>
      <c r="Z589" s="1570"/>
      <c r="AA589" s="1570"/>
      <c r="AB589" s="1570"/>
      <c r="AC589" s="1570"/>
      <c r="AD589" s="1570"/>
      <c r="AE589" s="1570"/>
      <c r="AF589" s="1570"/>
      <c r="AG589" s="1570"/>
      <c r="AH589" s="1570"/>
    </row>
    <row r="590" spans="1:36">
      <c r="A590" s="1600" t="s">
        <v>440</v>
      </c>
      <c r="B590" s="1585"/>
      <c r="C590" s="1577"/>
      <c r="D590" s="1577"/>
      <c r="E590" s="1585"/>
      <c r="F590" s="1577"/>
      <c r="G590" s="1585"/>
      <c r="H590" s="1585"/>
      <c r="I590" s="1577"/>
      <c r="J590" s="1585"/>
      <c r="K590" s="1585"/>
      <c r="M590" s="1570"/>
      <c r="N590" s="1570"/>
      <c r="O590" s="1571"/>
      <c r="P590" s="1571"/>
      <c r="Q590" s="1571"/>
      <c r="R590" s="1570"/>
      <c r="S590" s="1570"/>
      <c r="T590" s="1570"/>
      <c r="U590" s="1570"/>
      <c r="V590" s="1570"/>
      <c r="W590" s="1570"/>
      <c r="X590" s="1570"/>
      <c r="Y590" s="1570"/>
      <c r="Z590" s="1570"/>
      <c r="AA590" s="1570"/>
      <c r="AB590" s="1570"/>
      <c r="AC590" s="1570"/>
      <c r="AD590" s="1570"/>
      <c r="AE590" s="1570"/>
      <c r="AF590" s="1570"/>
      <c r="AG590" s="1570"/>
      <c r="AH590" s="1570"/>
    </row>
    <row r="591" spans="1:36">
      <c r="A591" s="1600"/>
      <c r="B591" s="1585"/>
      <c r="C591" s="1577"/>
      <c r="D591" s="1577"/>
      <c r="E591" s="1585"/>
      <c r="F591" s="1577"/>
      <c r="G591" s="1585"/>
      <c r="H591" s="1585"/>
      <c r="I591" s="1577"/>
      <c r="J591" s="1585"/>
      <c r="K591" s="1585"/>
      <c r="M591" s="1570"/>
      <c r="N591" s="1570"/>
      <c r="P591" s="1571"/>
      <c r="Q591" s="1571"/>
      <c r="R591" s="1570"/>
      <c r="S591" s="1570"/>
      <c r="T591" s="1570"/>
      <c r="U591" s="1570"/>
      <c r="V591" s="1570"/>
      <c r="W591" s="1570"/>
      <c r="X591" s="1570"/>
      <c r="Y591" s="1570"/>
      <c r="Z591" s="1570"/>
      <c r="AA591" s="1570"/>
      <c r="AB591" s="1570"/>
      <c r="AC591" s="1570"/>
      <c r="AD591" s="1570"/>
      <c r="AE591" s="1570"/>
      <c r="AF591" s="1570"/>
      <c r="AG591" s="1570"/>
      <c r="AH591" s="1570"/>
    </row>
    <row r="592" spans="1:36">
      <c r="A592" s="1600" t="s">
        <v>396</v>
      </c>
      <c r="B592" s="1599"/>
      <c r="C592" s="1577"/>
      <c r="D592" s="1577"/>
      <c r="E592" s="1585"/>
      <c r="F592" s="1577"/>
      <c r="G592" s="1585"/>
      <c r="H592" s="1585"/>
      <c r="I592" s="1577"/>
      <c r="J592" s="1585"/>
      <c r="K592" s="1585"/>
      <c r="M592" s="1570"/>
      <c r="N592" s="1570"/>
      <c r="O592" s="1571"/>
      <c r="P592" s="1695" t="s">
        <v>254</v>
      </c>
      <c r="Q592" s="1695"/>
      <c r="R592" s="1570"/>
      <c r="S592" s="1570"/>
      <c r="T592" s="1570"/>
      <c r="U592" s="1570"/>
      <c r="V592" s="1570"/>
      <c r="W592" s="1570"/>
      <c r="X592" s="1570"/>
      <c r="Z592" s="1570"/>
      <c r="AA592" s="1570"/>
      <c r="AB592" s="1570"/>
      <c r="AC592" s="1570"/>
      <c r="AD592" s="1570"/>
      <c r="AE592" s="1570"/>
      <c r="AF592" s="1570"/>
      <c r="AG592" s="1570"/>
      <c r="AH592" s="1570"/>
    </row>
    <row r="593" spans="1:36">
      <c r="A593" s="1600" t="s">
        <v>424</v>
      </c>
      <c r="B593" s="1599">
        <f>B633+B671</f>
        <v>332</v>
      </c>
      <c r="C593" s="1614">
        <v>227</v>
      </c>
      <c r="D593" s="1600"/>
      <c r="E593" s="1574">
        <f>E633+E671</f>
        <v>75364</v>
      </c>
      <c r="F593" s="1614">
        <v>259</v>
      </c>
      <c r="G593" s="1600"/>
      <c r="H593" s="1574">
        <f>H633+H671</f>
        <v>85988</v>
      </c>
      <c r="I593" s="1614">
        <f>ROUNDUP(F593*(1+$P$627),0)</f>
        <v>271</v>
      </c>
      <c r="J593" s="1600"/>
      <c r="K593" s="1574">
        <f>K633+K671</f>
        <v>89972</v>
      </c>
      <c r="M593" s="1578" t="e">
        <f>I593*#REF!</f>
        <v>#REF!</v>
      </c>
      <c r="P593" s="1598">
        <f>(I593-F593)/F593</f>
        <v>4.633204633204633E-2</v>
      </c>
      <c r="Q593" s="1598"/>
      <c r="Y593" s="1638"/>
      <c r="Z593" s="1638"/>
      <c r="AC593" s="1570"/>
      <c r="AD593" s="1570"/>
      <c r="AE593" s="1570"/>
      <c r="AF593" s="1570"/>
      <c r="AG593" s="1570"/>
      <c r="AH593" s="1570"/>
    </row>
    <row r="594" spans="1:36">
      <c r="A594" s="1600" t="s">
        <v>425</v>
      </c>
      <c r="B594" s="1599">
        <f>B634+B672</f>
        <v>8660</v>
      </c>
      <c r="C594" s="1614">
        <v>84</v>
      </c>
      <c r="D594" s="1600"/>
      <c r="E594" s="1574">
        <f>E634+E672</f>
        <v>727440</v>
      </c>
      <c r="F594" s="1614">
        <v>96</v>
      </c>
      <c r="G594" s="1600"/>
      <c r="H594" s="1574">
        <f>H634+H672</f>
        <v>831360</v>
      </c>
      <c r="I594" s="1614">
        <f>ROUNDUP(F594*(1+$P$627),0)</f>
        <v>101</v>
      </c>
      <c r="J594" s="1600"/>
      <c r="K594" s="1574">
        <f>K634+K672</f>
        <v>874660</v>
      </c>
      <c r="M594" s="1578" t="e">
        <f>I594*#REF!</f>
        <v>#REF!</v>
      </c>
      <c r="P594" s="1598">
        <f>(I594-F594)/F594</f>
        <v>5.2083333333333336E-2</v>
      </c>
      <c r="Q594" s="1598"/>
      <c r="S594" s="1578"/>
      <c r="T594" s="1616"/>
      <c r="U594" s="1578"/>
      <c r="V594" s="1616"/>
      <c r="W594" s="1578"/>
      <c r="X594" s="1578"/>
      <c r="Y594" s="1616"/>
      <c r="Z594" s="1616"/>
      <c r="AB594" s="1615"/>
      <c r="AC594" s="1570"/>
      <c r="AD594" s="1570"/>
      <c r="AE594" s="1570"/>
      <c r="AF594" s="1570"/>
      <c r="AG594" s="1570"/>
      <c r="AH594" s="1570"/>
    </row>
    <row r="595" spans="1:36">
      <c r="A595" s="1600" t="s">
        <v>426</v>
      </c>
      <c r="B595" s="1599">
        <f>B635+B673</f>
        <v>3541.9333333333334</v>
      </c>
      <c r="C595" s="1614">
        <v>168</v>
      </c>
      <c r="D595" s="1642"/>
      <c r="E595" s="1574">
        <f>E635+E673</f>
        <v>595045</v>
      </c>
      <c r="F595" s="1614">
        <v>192</v>
      </c>
      <c r="G595" s="1642"/>
      <c r="H595" s="1574">
        <f>H635+H673</f>
        <v>680051</v>
      </c>
      <c r="I595" s="1614">
        <f>ROUNDUP(F595*(1+$P$627),0)</f>
        <v>201</v>
      </c>
      <c r="J595" s="1642"/>
      <c r="K595" s="1574">
        <f>K635+K673</f>
        <v>711929</v>
      </c>
      <c r="M595" s="1578" t="e">
        <f>I595*#REF!</f>
        <v>#REF!</v>
      </c>
      <c r="P595" s="1598">
        <f>(I595-F595)/F595</f>
        <v>4.6875E-2</v>
      </c>
      <c r="Q595" s="1598"/>
      <c r="S595" s="1578"/>
      <c r="T595" s="1616"/>
      <c r="U595" s="1578"/>
      <c r="V595" s="1616"/>
      <c r="W595" s="1578"/>
      <c r="X595" s="1578"/>
      <c r="Y595" s="1616"/>
      <c r="Z595" s="1616"/>
      <c r="AB595" s="1615"/>
      <c r="AC595" s="1570"/>
      <c r="AD595" s="1570"/>
      <c r="AE595" s="1570"/>
      <c r="AF595" s="1570"/>
      <c r="AG595" s="1570"/>
      <c r="AH595" s="1570"/>
    </row>
    <row r="596" spans="1:36">
      <c r="A596" s="1600" t="s">
        <v>397</v>
      </c>
      <c r="B596" s="1599">
        <f>SUM(B593:B595)</f>
        <v>12533.933333333334</v>
      </c>
      <c r="C596" s="1614"/>
      <c r="D596" s="1600"/>
      <c r="E596" s="1574"/>
      <c r="F596" s="1614"/>
      <c r="G596" s="1600"/>
      <c r="H596" s="1574"/>
      <c r="I596" s="1614"/>
      <c r="J596" s="1600"/>
      <c r="K596" s="1574"/>
      <c r="S596" s="1578"/>
      <c r="T596" s="1616"/>
      <c r="U596" s="1578"/>
      <c r="V596" s="1616"/>
      <c r="W596" s="1578"/>
      <c r="X596" s="1578"/>
      <c r="Y596" s="1616"/>
      <c r="Z596" s="1616"/>
      <c r="AB596" s="1615"/>
      <c r="AC596" s="1570"/>
      <c r="AD596" s="1570"/>
      <c r="AE596" s="1570"/>
      <c r="AF596" s="1570"/>
      <c r="AG596" s="1570"/>
      <c r="AH596" s="1570"/>
    </row>
    <row r="597" spans="1:36">
      <c r="A597" s="1600" t="s">
        <v>425</v>
      </c>
      <c r="B597" s="1599">
        <f>B637+B675</f>
        <v>1493044</v>
      </c>
      <c r="C597" s="1614">
        <v>1.48</v>
      </c>
      <c r="D597" s="1600" t="s">
        <v>31</v>
      </c>
      <c r="E597" s="1574">
        <f>E637+E675</f>
        <v>2209706</v>
      </c>
      <c r="F597" s="1614">
        <v>1.7</v>
      </c>
      <c r="G597" s="1600" t="s">
        <v>31</v>
      </c>
      <c r="H597" s="1574">
        <f>H637+H675</f>
        <v>2538175</v>
      </c>
      <c r="I597" s="1614">
        <f>ROUNDUP(F597*(1+$P$627),2)</f>
        <v>1.78</v>
      </c>
      <c r="J597" s="1600" t="s">
        <v>31</v>
      </c>
      <c r="K597" s="1574">
        <f>K637+K675</f>
        <v>2657619</v>
      </c>
      <c r="M597" s="1578" t="e">
        <f>I597*#REF!</f>
        <v>#REF!</v>
      </c>
      <c r="O597" s="1589" t="s">
        <v>31</v>
      </c>
      <c r="P597" s="1598">
        <f>(I597-F597)/F597</f>
        <v>4.7058823529411806E-2</v>
      </c>
      <c r="Q597" s="1598"/>
      <c r="S597" s="1578"/>
      <c r="T597" s="1643"/>
      <c r="U597" s="1578"/>
      <c r="V597" s="1643"/>
      <c r="W597" s="1578"/>
      <c r="X597" s="1578"/>
      <c r="Y597" s="1643"/>
      <c r="Z597" s="1643"/>
      <c r="AB597" s="1570"/>
      <c r="AC597" s="1570"/>
      <c r="AD597" s="1570"/>
      <c r="AE597" s="1570"/>
      <c r="AF597" s="1570"/>
      <c r="AG597" s="1570"/>
      <c r="AH597" s="1570"/>
    </row>
    <row r="598" spans="1:36">
      <c r="A598" s="1600" t="s">
        <v>426</v>
      </c>
      <c r="B598" s="1599">
        <f>B638+B676</f>
        <v>1779104</v>
      </c>
      <c r="C598" s="1614">
        <v>1.22</v>
      </c>
      <c r="D598" s="1600" t="s">
        <v>31</v>
      </c>
      <c r="E598" s="1574">
        <f>E638+E676</f>
        <v>2170507</v>
      </c>
      <c r="F598" s="1614">
        <v>1.39</v>
      </c>
      <c r="G598" s="1600" t="s">
        <v>31</v>
      </c>
      <c r="H598" s="1574">
        <f>H638+H676</f>
        <v>2472955</v>
      </c>
      <c r="I598" s="1614">
        <f>ROUNDUP(F598*(1+$P$627),2)</f>
        <v>1.46</v>
      </c>
      <c r="J598" s="1600" t="s">
        <v>31</v>
      </c>
      <c r="K598" s="1574">
        <f>K638+K676</f>
        <v>2597492</v>
      </c>
      <c r="M598" s="1578" t="e">
        <f>I598*#REF!</f>
        <v>#REF!</v>
      </c>
      <c r="P598" s="1598">
        <f>(I598-F598)/F598</f>
        <v>5.0359712230215875E-2</v>
      </c>
      <c r="Q598" s="1598"/>
      <c r="S598" s="1578"/>
      <c r="T598" s="1578"/>
      <c r="AB598" s="1570"/>
      <c r="AC598" s="1570"/>
      <c r="AD598" s="1570"/>
      <c r="AE598" s="1570"/>
      <c r="AF598" s="1570"/>
      <c r="AG598" s="1570"/>
      <c r="AH598" s="1570"/>
    </row>
    <row r="599" spans="1:36">
      <c r="A599" s="1600" t="s">
        <v>427</v>
      </c>
      <c r="B599" s="1599"/>
      <c r="C599" s="1620"/>
      <c r="D599" s="1600"/>
      <c r="E599" s="1574"/>
      <c r="F599" s="1620"/>
      <c r="G599" s="1600"/>
      <c r="H599" s="1574"/>
      <c r="I599" s="1620"/>
      <c r="J599" s="1600"/>
      <c r="K599" s="1574"/>
      <c r="R599" s="1589"/>
      <c r="AB599" s="1570"/>
      <c r="AC599" s="1570"/>
      <c r="AD599" s="1570"/>
      <c r="AE599" s="1570"/>
      <c r="AF599" s="1570"/>
      <c r="AG599" s="1570"/>
      <c r="AH599" s="1570"/>
    </row>
    <row r="600" spans="1:36">
      <c r="A600" s="1600" t="s">
        <v>428</v>
      </c>
      <c r="B600" s="1599">
        <f>B640+B678</f>
        <v>2464015</v>
      </c>
      <c r="C600" s="1614">
        <v>3.88</v>
      </c>
      <c r="D600" s="1600"/>
      <c r="E600" s="1574">
        <f>E640+E678</f>
        <v>9560378</v>
      </c>
      <c r="F600" s="1614">
        <v>4.4400000000000004</v>
      </c>
      <c r="G600" s="1600"/>
      <c r="H600" s="1574">
        <f>H640+H678</f>
        <v>10940227</v>
      </c>
      <c r="I600" s="1614">
        <f>ROUNDDOWN(F600*(1+$P$627),2)</f>
        <v>4.6399999999999997</v>
      </c>
      <c r="J600" s="1600"/>
      <c r="K600" s="1574">
        <f>K640+K678</f>
        <v>11433029</v>
      </c>
      <c r="M600" s="1578" t="e">
        <f>I600*#REF!</f>
        <v>#REF!</v>
      </c>
      <c r="P600" s="1598">
        <f>(I600-F600)/F600</f>
        <v>4.5045045045044883E-2</v>
      </c>
      <c r="Q600" s="1598"/>
      <c r="R600" s="1589"/>
      <c r="AB600" s="1570"/>
      <c r="AC600" s="1570"/>
      <c r="AD600" s="1570"/>
      <c r="AE600" s="1570"/>
      <c r="AF600" s="1570"/>
      <c r="AG600" s="1570"/>
      <c r="AH600" s="1570"/>
    </row>
    <row r="601" spans="1:36">
      <c r="A601" s="1600" t="s">
        <v>444</v>
      </c>
      <c r="B601" s="1599">
        <f>B641+B679</f>
        <v>3552</v>
      </c>
      <c r="C601" s="1696">
        <v>3.88</v>
      </c>
      <c r="D601" s="1600"/>
      <c r="E601" s="1574">
        <f>E641+E679</f>
        <v>13782</v>
      </c>
      <c r="F601" s="1696">
        <v>4.4400000000000004</v>
      </c>
      <c r="G601" s="1600"/>
      <c r="H601" s="1574">
        <f>H641+H679</f>
        <v>15771</v>
      </c>
      <c r="I601" s="1696">
        <f>I600</f>
        <v>4.6399999999999997</v>
      </c>
      <c r="J601" s="1600"/>
      <c r="K601" s="1574">
        <f>K641+K679</f>
        <v>16482</v>
      </c>
      <c r="M601" s="1578" t="e">
        <f>I601*#REF!</f>
        <v>#REF!</v>
      </c>
      <c r="P601" s="1598">
        <f>(I601-F601)/F601</f>
        <v>4.5045045045044883E-2</v>
      </c>
      <c r="Q601" s="1598"/>
      <c r="R601" s="1589"/>
      <c r="AB601" s="1570"/>
      <c r="AC601" s="1570"/>
      <c r="AD601" s="1570"/>
      <c r="AE601" s="1570"/>
      <c r="AF601" s="1570"/>
      <c r="AG601" s="1570"/>
      <c r="AH601" s="1570"/>
    </row>
    <row r="602" spans="1:36">
      <c r="A602" s="1600" t="s">
        <v>429</v>
      </c>
      <c r="B602" s="1599"/>
      <c r="C602" s="1614"/>
      <c r="D602" s="1600"/>
      <c r="E602" s="1574"/>
      <c r="F602" s="1614"/>
      <c r="G602" s="1600"/>
      <c r="H602" s="1574"/>
      <c r="I602" s="1614"/>
      <c r="J602" s="1600"/>
      <c r="K602" s="1574"/>
      <c r="R602" s="1589" t="s">
        <v>31</v>
      </c>
      <c r="AB602" s="1570"/>
      <c r="AC602" s="1570"/>
      <c r="AD602" s="1570"/>
      <c r="AE602" s="1570"/>
      <c r="AF602" s="1570"/>
      <c r="AG602" s="1570"/>
      <c r="AH602" s="1570"/>
    </row>
    <row r="603" spans="1:36">
      <c r="A603" s="1600" t="s">
        <v>430</v>
      </c>
      <c r="B603" s="1599">
        <f>B643+B681</f>
        <v>392463948.33333331</v>
      </c>
      <c r="C603" s="1697">
        <v>4.6340000000000003</v>
      </c>
      <c r="D603" s="1600" t="s">
        <v>377</v>
      </c>
      <c r="E603" s="1574">
        <f>E643+E681</f>
        <v>18186780</v>
      </c>
      <c r="F603" s="1697">
        <v>5.2919999999999998</v>
      </c>
      <c r="G603" s="1600" t="s">
        <v>377</v>
      </c>
      <c r="H603" s="1574">
        <f>H643+H681</f>
        <v>20769192</v>
      </c>
      <c r="I603" s="1697">
        <f>ROUNDDOWN(F603*(1+P627)-I606,3)</f>
        <v>5.5339999999999998</v>
      </c>
      <c r="J603" s="1600" t="s">
        <v>377</v>
      </c>
      <c r="K603" s="1574">
        <f>K643+K681</f>
        <v>21718955</v>
      </c>
      <c r="M603" s="1578" t="e">
        <f>(I603/100)*#REF!</f>
        <v>#REF!</v>
      </c>
      <c r="P603" s="1598">
        <f>(I603+I606-F603)/F603</f>
        <v>4.5729402872260017E-2</v>
      </c>
      <c r="Q603" s="1598"/>
      <c r="R603" s="1589"/>
      <c r="AB603" s="1570"/>
      <c r="AC603" s="1570"/>
      <c r="AD603" s="1570"/>
      <c r="AE603" s="1570"/>
      <c r="AF603" s="1570"/>
      <c r="AG603" s="1570"/>
      <c r="AH603" s="1570"/>
    </row>
    <row r="604" spans="1:36">
      <c r="A604" s="1600" t="s">
        <v>402</v>
      </c>
      <c r="B604" s="1599">
        <f>B644+B682</f>
        <v>468674490.66666669</v>
      </c>
      <c r="C604" s="1697">
        <v>4.2469999999999999</v>
      </c>
      <c r="D604" s="1600" t="s">
        <v>377</v>
      </c>
      <c r="E604" s="1574">
        <f>E644+E682</f>
        <v>19904606</v>
      </c>
      <c r="F604" s="1697">
        <v>4.8499999999999996</v>
      </c>
      <c r="G604" s="1600" t="s">
        <v>377</v>
      </c>
      <c r="H604" s="1574">
        <f>H644+H682</f>
        <v>22730713</v>
      </c>
      <c r="I604" s="1697">
        <f>ROUNDDOWN(I603/C603*C604,3)-0.002</f>
        <v>5.069</v>
      </c>
      <c r="J604" s="1600" t="s">
        <v>377</v>
      </c>
      <c r="K604" s="1574">
        <f>K644+K682</f>
        <v>23757110</v>
      </c>
      <c r="M604" s="1578" t="e">
        <f>(I604/100)*#REF!</f>
        <v>#REF!</v>
      </c>
      <c r="P604" s="1598">
        <f>(I604+I607-F604)/F604</f>
        <v>4.5154639175257798E-2</v>
      </c>
      <c r="Q604" s="1598"/>
      <c r="R604" s="1589"/>
      <c r="AC604" s="1570"/>
      <c r="AD604" s="1570"/>
      <c r="AE604" s="1570"/>
      <c r="AF604" s="1570"/>
      <c r="AG604" s="1570"/>
      <c r="AH604" s="1570"/>
    </row>
    <row r="605" spans="1:36">
      <c r="A605" s="1600" t="s">
        <v>403</v>
      </c>
      <c r="B605" s="1599">
        <f>B645+B683</f>
        <v>496293.6</v>
      </c>
      <c r="C605" s="1698">
        <v>50</v>
      </c>
      <c r="D605" s="1600" t="s">
        <v>377</v>
      </c>
      <c r="E605" s="1574">
        <f>E645+E683</f>
        <v>248147</v>
      </c>
      <c r="F605" s="1698">
        <v>56</v>
      </c>
      <c r="G605" s="1600" t="s">
        <v>377</v>
      </c>
      <c r="H605" s="1574">
        <f>H645+H683</f>
        <v>277924</v>
      </c>
      <c r="I605" s="1698">
        <f>ROUNDDOWN((I604+I607)/C604*C605,0)</f>
        <v>59</v>
      </c>
      <c r="J605" s="1600" t="s">
        <v>377</v>
      </c>
      <c r="K605" s="1574">
        <f>K645+K683</f>
        <v>292813</v>
      </c>
      <c r="M605" s="1578" t="e">
        <f>(I605/100)*#REF!</f>
        <v>#REF!</v>
      </c>
      <c r="P605" s="1598">
        <f>(I605-F605)/F605</f>
        <v>5.3571428571428568E-2</v>
      </c>
      <c r="Q605" s="1598"/>
      <c r="R605" s="1589"/>
      <c r="AC605" s="1570"/>
      <c r="AD605" s="1570"/>
      <c r="AE605" s="1570"/>
      <c r="AF605" s="1570"/>
      <c r="AG605" s="1570"/>
      <c r="AH605" s="1570"/>
    </row>
    <row r="606" spans="1:36" s="1621" customFormat="1">
      <c r="A606" s="1621" t="s">
        <v>936</v>
      </c>
      <c r="B606" s="1648">
        <f t="shared" ref="B606:B607" si="107">B646+B684</f>
        <v>392463948.33333331</v>
      </c>
      <c r="C606" s="1623"/>
      <c r="D606" s="1624"/>
      <c r="E606" s="1625"/>
      <c r="F606" s="1623"/>
      <c r="G606" s="1624"/>
      <c r="H606" s="1625"/>
      <c r="I606" s="1626">
        <v>0</v>
      </c>
      <c r="J606" s="1689" t="s">
        <v>377</v>
      </c>
      <c r="K606" s="1689">
        <f t="shared" ref="K606:K607" si="108">K646+K684</f>
        <v>0</v>
      </c>
      <c r="M606" s="1651"/>
      <c r="N606" s="1651">
        <f>'NPC Spread'!F33</f>
        <v>28605195.273029372</v>
      </c>
      <c r="O606" s="1652" t="s">
        <v>913</v>
      </c>
      <c r="R606" s="1653"/>
      <c r="S606" s="1653"/>
      <c r="X606" s="1624"/>
      <c r="Y606" s="1624"/>
      <c r="Z606" s="1624"/>
      <c r="AA606" s="1624"/>
      <c r="AB606" s="1624"/>
      <c r="AC606" s="1624"/>
      <c r="AD606" s="1624"/>
      <c r="AE606" s="1624"/>
      <c r="AF606" s="1624"/>
      <c r="AG606" s="1624"/>
      <c r="AH606" s="1624"/>
      <c r="AJ606" s="1651"/>
    </row>
    <row r="607" spans="1:36" s="1621" customFormat="1">
      <c r="A607" s="1621" t="s">
        <v>937</v>
      </c>
      <c r="B607" s="1648">
        <f t="shared" si="107"/>
        <v>468674490.66666669</v>
      </c>
      <c r="C607" s="1623"/>
      <c r="D607" s="1624"/>
      <c r="E607" s="1625"/>
      <c r="F607" s="1623"/>
      <c r="G607" s="1624"/>
      <c r="H607" s="1625"/>
      <c r="I607" s="1626">
        <v>0</v>
      </c>
      <c r="J607" s="1689" t="s">
        <v>377</v>
      </c>
      <c r="K607" s="1689">
        <f t="shared" si="108"/>
        <v>0</v>
      </c>
      <c r="M607" s="1651"/>
      <c r="N607" s="1621" t="s">
        <v>31</v>
      </c>
      <c r="O607" s="1652"/>
      <c r="R607" s="1653"/>
      <c r="S607" s="1653"/>
      <c r="X607" s="1624"/>
      <c r="Y607" s="1624"/>
      <c r="Z607" s="1624"/>
      <c r="AA607" s="1624"/>
      <c r="AB607" s="1624"/>
      <c r="AC607" s="1624"/>
      <c r="AD607" s="1624"/>
      <c r="AE607" s="1624"/>
      <c r="AF607" s="1624"/>
      <c r="AG607" s="1624"/>
      <c r="AH607" s="1624"/>
      <c r="AJ607" s="1651"/>
    </row>
    <row r="608" spans="1:36">
      <c r="A608" s="1569" t="s">
        <v>920</v>
      </c>
      <c r="B608" s="1599"/>
      <c r="C608" s="1584"/>
      <c r="D608" s="1570"/>
      <c r="E608" s="1577"/>
      <c r="F608" s="1697">
        <f>F603</f>
        <v>5.2919999999999998</v>
      </c>
      <c r="G608" s="1600" t="s">
        <v>377</v>
      </c>
      <c r="H608" s="1577"/>
      <c r="I608" s="1697">
        <f>I603+I606</f>
        <v>5.5339999999999998</v>
      </c>
      <c r="J608" s="1600" t="s">
        <v>377</v>
      </c>
      <c r="K608" s="1574"/>
      <c r="M608" s="1578"/>
      <c r="O608" s="1579"/>
      <c r="P608" s="1598">
        <f>(I608-F608)/F608</f>
        <v>4.5729402872260017E-2</v>
      </c>
      <c r="Q608" s="1569"/>
      <c r="R608" s="1580"/>
      <c r="S608" s="1580"/>
      <c r="X608" s="1570"/>
      <c r="Y608" s="1570"/>
      <c r="Z608" s="1570"/>
      <c r="AA608" s="1570"/>
      <c r="AB608" s="1570"/>
      <c r="AC608" s="1570"/>
      <c r="AD608" s="1570"/>
      <c r="AE608" s="1570"/>
      <c r="AF608" s="1570"/>
      <c r="AG608" s="1570"/>
      <c r="AH608" s="1570"/>
      <c r="AJ608" s="1578"/>
    </row>
    <row r="609" spans="1:36">
      <c r="A609" s="1569" t="s">
        <v>921</v>
      </c>
      <c r="B609" s="1599"/>
      <c r="C609" s="1584"/>
      <c r="D609" s="1570"/>
      <c r="E609" s="1577"/>
      <c r="F609" s="1697">
        <f>F604</f>
        <v>4.8499999999999996</v>
      </c>
      <c r="G609" s="1600" t="s">
        <v>377</v>
      </c>
      <c r="H609" s="1577"/>
      <c r="I609" s="1697">
        <f>I604+I607</f>
        <v>5.069</v>
      </c>
      <c r="J609" s="1600" t="s">
        <v>377</v>
      </c>
      <c r="K609" s="1574"/>
      <c r="M609" s="1578"/>
      <c r="O609" s="1579"/>
      <c r="P609" s="1598">
        <f>(I609-F609)/F609</f>
        <v>4.5154639175257798E-2</v>
      </c>
      <c r="Q609" s="1569"/>
      <c r="R609" s="1580"/>
      <c r="S609" s="1580"/>
      <c r="X609" s="1570"/>
      <c r="Y609" s="1570"/>
      <c r="Z609" s="1570"/>
      <c r="AA609" s="1570"/>
      <c r="AB609" s="1570"/>
      <c r="AC609" s="1570"/>
      <c r="AD609" s="1570"/>
      <c r="AE609" s="1570"/>
      <c r="AF609" s="1570"/>
      <c r="AG609" s="1570"/>
      <c r="AH609" s="1570"/>
      <c r="AJ609" s="1578"/>
    </row>
    <row r="610" spans="1:36">
      <c r="A610" s="253" t="s">
        <v>404</v>
      </c>
      <c r="B610" s="1599"/>
      <c r="C610" s="1655">
        <v>-0.01</v>
      </c>
      <c r="D610" s="1577"/>
      <c r="E610" s="1574"/>
      <c r="F610" s="1655">
        <v>-0.01</v>
      </c>
      <c r="G610" s="1585"/>
      <c r="H610" s="1574"/>
      <c r="I610" s="1655">
        <v>-0.01</v>
      </c>
      <c r="J610" s="1585"/>
      <c r="K610" s="1574"/>
      <c r="AC610" s="1570"/>
      <c r="AD610" s="1570"/>
      <c r="AE610" s="1570"/>
      <c r="AF610" s="1570"/>
      <c r="AG610" s="1570"/>
      <c r="AH610" s="1570"/>
    </row>
    <row r="611" spans="1:36">
      <c r="A611" s="1600" t="s">
        <v>424</v>
      </c>
      <c r="B611" s="1599">
        <f t="shared" ref="B611:B626" si="109">B649+B687</f>
        <v>0</v>
      </c>
      <c r="C611" s="1620">
        <v>227</v>
      </c>
      <c r="D611" s="1693"/>
      <c r="E611" s="1574">
        <f t="shared" ref="E611:E622" si="110">E649+E687</f>
        <v>0</v>
      </c>
      <c r="F611" s="1620">
        <v>259</v>
      </c>
      <c r="G611" s="1609"/>
      <c r="H611" s="1574">
        <f t="shared" ref="H611:H622" si="111">H649+H687</f>
        <v>0</v>
      </c>
      <c r="I611" s="1620">
        <f>I593</f>
        <v>271</v>
      </c>
      <c r="J611" s="1609"/>
      <c r="K611" s="1574">
        <f t="shared" ref="K611:K622" si="112">K649+K687</f>
        <v>0</v>
      </c>
      <c r="M611" s="1578" t="e">
        <f>-(I611*#REF!)/100</f>
        <v>#REF!</v>
      </c>
      <c r="O611" s="1589" t="s">
        <v>31</v>
      </c>
      <c r="AC611" s="1570"/>
      <c r="AD611" s="1570"/>
      <c r="AE611" s="1570"/>
      <c r="AF611" s="1570"/>
      <c r="AG611" s="1570"/>
      <c r="AH611" s="1570"/>
    </row>
    <row r="612" spans="1:36">
      <c r="A612" s="1600" t="s">
        <v>425</v>
      </c>
      <c r="B612" s="1599">
        <f t="shared" si="109"/>
        <v>66</v>
      </c>
      <c r="C612" s="1620">
        <v>84</v>
      </c>
      <c r="D612" s="1693"/>
      <c r="E612" s="1574">
        <f t="shared" si="110"/>
        <v>-56</v>
      </c>
      <c r="F612" s="1620">
        <v>96</v>
      </c>
      <c r="G612" s="1609"/>
      <c r="H612" s="1574">
        <f t="shared" si="111"/>
        <v>-64</v>
      </c>
      <c r="I612" s="1620">
        <f>I594</f>
        <v>101</v>
      </c>
      <c r="J612" s="1609"/>
      <c r="K612" s="1574">
        <f t="shared" si="112"/>
        <v>-67</v>
      </c>
      <c r="M612" s="1578" t="e">
        <f>-(I612*#REF!)/100</f>
        <v>#REF!</v>
      </c>
      <c r="O612" s="1699"/>
      <c r="AB612" s="1570"/>
      <c r="AC612" s="1570"/>
      <c r="AD612" s="1570"/>
      <c r="AE612" s="1570"/>
      <c r="AF612" s="1570"/>
      <c r="AG612" s="1570"/>
      <c r="AH612" s="1570"/>
    </row>
    <row r="613" spans="1:36">
      <c r="A613" s="1600" t="s">
        <v>426</v>
      </c>
      <c r="B613" s="1599">
        <f t="shared" si="109"/>
        <v>76.933333333333294</v>
      </c>
      <c r="C613" s="1620">
        <v>168</v>
      </c>
      <c r="D613" s="1700"/>
      <c r="E613" s="1574">
        <f t="shared" si="110"/>
        <v>-130</v>
      </c>
      <c r="F613" s="1620">
        <v>192</v>
      </c>
      <c r="G613" s="1701"/>
      <c r="H613" s="1574">
        <f t="shared" si="111"/>
        <v>-148</v>
      </c>
      <c r="I613" s="1620">
        <f>I595</f>
        <v>201</v>
      </c>
      <c r="J613" s="1701"/>
      <c r="K613" s="1574">
        <f t="shared" si="112"/>
        <v>-155</v>
      </c>
      <c r="M613" s="1578" t="e">
        <f>-(I613*#REF!)/100</f>
        <v>#REF!</v>
      </c>
      <c r="O613" s="1699"/>
      <c r="AB613" s="1570"/>
      <c r="AC613" s="1570"/>
      <c r="AD613" s="1570"/>
      <c r="AE613" s="1570"/>
      <c r="AF613" s="1570"/>
      <c r="AG613" s="1570"/>
      <c r="AH613" s="1570"/>
    </row>
    <row r="614" spans="1:36">
      <c r="A614" s="1600" t="s">
        <v>425</v>
      </c>
      <c r="B614" s="1599">
        <f t="shared" si="109"/>
        <v>13175</v>
      </c>
      <c r="C614" s="1620">
        <v>1.48</v>
      </c>
      <c r="D614" s="1693"/>
      <c r="E614" s="1574">
        <f t="shared" si="110"/>
        <v>-195</v>
      </c>
      <c r="F614" s="1620">
        <v>1.7</v>
      </c>
      <c r="G614" s="1609"/>
      <c r="H614" s="1574">
        <f t="shared" si="111"/>
        <v>-224</v>
      </c>
      <c r="I614" s="1620">
        <f>I597</f>
        <v>1.78</v>
      </c>
      <c r="J614" s="1609"/>
      <c r="K614" s="1574">
        <f t="shared" si="112"/>
        <v>-234</v>
      </c>
      <c r="M614" s="1578" t="e">
        <f>-(I614*#REF!)/100</f>
        <v>#REF!</v>
      </c>
      <c r="AB614" s="1570"/>
      <c r="AC614" s="1570"/>
      <c r="AD614" s="1570"/>
      <c r="AE614" s="1570"/>
      <c r="AF614" s="1570"/>
      <c r="AG614" s="1570"/>
      <c r="AH614" s="1570"/>
    </row>
    <row r="615" spans="1:36">
      <c r="A615" s="1600" t="s">
        <v>426</v>
      </c>
      <c r="B615" s="1599">
        <f t="shared" si="109"/>
        <v>51278</v>
      </c>
      <c r="C615" s="1620">
        <v>1.22</v>
      </c>
      <c r="D615" s="1693" t="s">
        <v>31</v>
      </c>
      <c r="E615" s="1574">
        <f t="shared" si="110"/>
        <v>-626</v>
      </c>
      <c r="F615" s="1620">
        <v>1.39</v>
      </c>
      <c r="G615" s="1609"/>
      <c r="H615" s="1574">
        <f t="shared" si="111"/>
        <v>-713</v>
      </c>
      <c r="I615" s="1620">
        <f>I598</f>
        <v>1.46</v>
      </c>
      <c r="J615" s="1609"/>
      <c r="K615" s="1574">
        <f t="shared" si="112"/>
        <v>-748</v>
      </c>
      <c r="M615" s="1578" t="e">
        <f>-(I615*#REF!)/100</f>
        <v>#REF!</v>
      </c>
      <c r="O615" s="1589" t="s">
        <v>31</v>
      </c>
      <c r="AB615" s="1570"/>
      <c r="AC615" s="1570"/>
      <c r="AD615" s="1570"/>
      <c r="AE615" s="1570"/>
      <c r="AF615" s="1570"/>
      <c r="AG615" s="1570"/>
      <c r="AH615" s="1570"/>
    </row>
    <row r="616" spans="1:36">
      <c r="A616" s="1600" t="s">
        <v>428</v>
      </c>
      <c r="B616" s="1599">
        <f t="shared" si="109"/>
        <v>46548</v>
      </c>
      <c r="C616" s="1620">
        <v>3.88</v>
      </c>
      <c r="D616" s="1693" t="s">
        <v>31</v>
      </c>
      <c r="E616" s="1574">
        <f t="shared" si="110"/>
        <v>-1806</v>
      </c>
      <c r="F616" s="1620">
        <v>4.4400000000000004</v>
      </c>
      <c r="G616" s="1609"/>
      <c r="H616" s="1574">
        <f t="shared" si="111"/>
        <v>-2067</v>
      </c>
      <c r="I616" s="1620">
        <f>I600</f>
        <v>4.6399999999999997</v>
      </c>
      <c r="J616" s="1609"/>
      <c r="K616" s="1574">
        <f t="shared" si="112"/>
        <v>-2160</v>
      </c>
      <c r="M616" s="1578" t="e">
        <f>-(I616*#REF!)/100</f>
        <v>#REF!</v>
      </c>
      <c r="AB616" s="1570"/>
      <c r="AC616" s="1570"/>
      <c r="AD616" s="1570"/>
      <c r="AE616" s="1570"/>
      <c r="AF616" s="1570"/>
      <c r="AG616" s="1570"/>
      <c r="AH616" s="1570"/>
    </row>
    <row r="617" spans="1:36">
      <c r="A617" s="1600" t="s">
        <v>444</v>
      </c>
      <c r="B617" s="1599">
        <f t="shared" si="109"/>
        <v>181</v>
      </c>
      <c r="C617" s="1620">
        <v>3.88</v>
      </c>
      <c r="D617" s="1693" t="s">
        <v>31</v>
      </c>
      <c r="E617" s="1574">
        <f t="shared" si="110"/>
        <v>-7</v>
      </c>
      <c r="F617" s="1620">
        <v>4.4400000000000004</v>
      </c>
      <c r="G617" s="1609"/>
      <c r="H617" s="1574">
        <f t="shared" si="111"/>
        <v>-8</v>
      </c>
      <c r="I617" s="1620">
        <f>I601</f>
        <v>4.6399999999999997</v>
      </c>
      <c r="J617" s="1609"/>
      <c r="K617" s="1574">
        <f t="shared" si="112"/>
        <v>-9</v>
      </c>
      <c r="M617" s="1578" t="e">
        <f>-(I617*#REF!)/100</f>
        <v>#REF!</v>
      </c>
      <c r="AB617" s="1570"/>
      <c r="AC617" s="1570"/>
      <c r="AD617" s="1570"/>
      <c r="AE617" s="1570"/>
      <c r="AF617" s="1570"/>
      <c r="AG617" s="1570"/>
      <c r="AH617" s="1570"/>
    </row>
    <row r="618" spans="1:36">
      <c r="A618" s="1600" t="s">
        <v>430</v>
      </c>
      <c r="B618" s="1599">
        <f t="shared" si="109"/>
        <v>5105859.333333333</v>
      </c>
      <c r="C618" s="1628">
        <v>4.6340000000000003</v>
      </c>
      <c r="D618" s="1574" t="s">
        <v>377</v>
      </c>
      <c r="E618" s="1574">
        <f t="shared" si="110"/>
        <v>-2366</v>
      </c>
      <c r="F618" s="1628">
        <v>5.2919999999999998</v>
      </c>
      <c r="G618" s="1600" t="s">
        <v>377</v>
      </c>
      <c r="H618" s="1574">
        <f t="shared" si="111"/>
        <v>-2703</v>
      </c>
      <c r="I618" s="1628">
        <f>I603</f>
        <v>5.5339999999999998</v>
      </c>
      <c r="J618" s="1600" t="s">
        <v>377</v>
      </c>
      <c r="K618" s="1574">
        <f t="shared" si="112"/>
        <v>-2825</v>
      </c>
      <c r="M618" s="1578" t="e">
        <f>-((I618*#REF!)/100)/100</f>
        <v>#REF!</v>
      </c>
      <c r="AB618" s="1570"/>
      <c r="AC618" s="1570"/>
      <c r="AD618" s="1570"/>
      <c r="AE618" s="1570"/>
      <c r="AF618" s="1570"/>
      <c r="AG618" s="1570"/>
      <c r="AH618" s="1570"/>
    </row>
    <row r="619" spans="1:36">
      <c r="A619" s="1600" t="s">
        <v>402</v>
      </c>
      <c r="B619" s="1599">
        <f t="shared" si="109"/>
        <v>11112061.666666668</v>
      </c>
      <c r="C619" s="1628">
        <v>4.2469999999999999</v>
      </c>
      <c r="D619" s="1574" t="s">
        <v>377</v>
      </c>
      <c r="E619" s="1574">
        <f t="shared" si="110"/>
        <v>-4719</v>
      </c>
      <c r="F619" s="1628">
        <v>4.8499999999999996</v>
      </c>
      <c r="G619" s="1600" t="s">
        <v>377</v>
      </c>
      <c r="H619" s="1574">
        <f t="shared" si="111"/>
        <v>-5392</v>
      </c>
      <c r="I619" s="1628">
        <f>I604</f>
        <v>5.069</v>
      </c>
      <c r="J619" s="1600" t="s">
        <v>377</v>
      </c>
      <c r="K619" s="1574">
        <f t="shared" si="112"/>
        <v>-5633</v>
      </c>
      <c r="M619" s="1578" t="e">
        <f>-((I619*#REF!)/100)/100</f>
        <v>#REF!</v>
      </c>
      <c r="AB619" s="1570"/>
      <c r="AC619" s="1570"/>
      <c r="AD619" s="1570"/>
      <c r="AE619" s="1570"/>
      <c r="AF619" s="1570"/>
      <c r="AG619" s="1570"/>
      <c r="AH619" s="1570"/>
    </row>
    <row r="620" spans="1:36">
      <c r="A620" s="1600" t="s">
        <v>403</v>
      </c>
      <c r="B620" s="1599">
        <f t="shared" si="109"/>
        <v>8803.6</v>
      </c>
      <c r="C620" s="1702">
        <v>50</v>
      </c>
      <c r="D620" s="1574" t="s">
        <v>377</v>
      </c>
      <c r="E620" s="1574">
        <f t="shared" si="110"/>
        <v>-44</v>
      </c>
      <c r="F620" s="1702">
        <v>56</v>
      </c>
      <c r="G620" s="1600" t="s">
        <v>377</v>
      </c>
      <c r="H620" s="1574">
        <f t="shared" si="111"/>
        <v>-49</v>
      </c>
      <c r="I620" s="1702">
        <f>I605</f>
        <v>59</v>
      </c>
      <c r="J620" s="1600" t="s">
        <v>377</v>
      </c>
      <c r="K620" s="1574">
        <f t="shared" si="112"/>
        <v>-52</v>
      </c>
      <c r="M620" s="1578" t="e">
        <f>-((I620*#REF!)/100)/100</f>
        <v>#REF!</v>
      </c>
      <c r="AB620" s="1570"/>
      <c r="AC620" s="1570"/>
      <c r="AD620" s="1570"/>
      <c r="AE620" s="1570"/>
      <c r="AF620" s="1570"/>
      <c r="AG620" s="1570"/>
      <c r="AH620" s="1570"/>
    </row>
    <row r="621" spans="1:36">
      <c r="A621" s="1600" t="s">
        <v>446</v>
      </c>
      <c r="B621" s="1599">
        <f t="shared" si="109"/>
        <v>143</v>
      </c>
      <c r="C621" s="1614">
        <v>60</v>
      </c>
      <c r="D621" s="1693" t="s">
        <v>31</v>
      </c>
      <c r="E621" s="1574">
        <f t="shared" si="110"/>
        <v>8580</v>
      </c>
      <c r="F621" s="1614">
        <v>60</v>
      </c>
      <c r="G621" s="1585"/>
      <c r="H621" s="1574">
        <f t="shared" si="111"/>
        <v>8580</v>
      </c>
      <c r="I621" s="1614">
        <f>'Blocking - detail'!I504</f>
        <v>60</v>
      </c>
      <c r="J621" s="1585"/>
      <c r="K621" s="1574">
        <f t="shared" si="112"/>
        <v>8580</v>
      </c>
      <c r="M621" s="1578" t="e">
        <f>I621*#REF!</f>
        <v>#REF!</v>
      </c>
      <c r="AB621" s="1570"/>
      <c r="AC621" s="1570"/>
      <c r="AD621" s="1570"/>
      <c r="AE621" s="1570"/>
      <c r="AF621" s="1570"/>
      <c r="AG621" s="1570"/>
      <c r="AH621" s="1570"/>
    </row>
    <row r="622" spans="1:36">
      <c r="A622" s="1600" t="s">
        <v>447</v>
      </c>
      <c r="B622" s="1599">
        <f t="shared" si="109"/>
        <v>64453</v>
      </c>
      <c r="C622" s="1661">
        <v>-30</v>
      </c>
      <c r="D622" s="1574" t="s">
        <v>377</v>
      </c>
      <c r="E622" s="1574">
        <f t="shared" si="110"/>
        <v>-19336</v>
      </c>
      <c r="F622" s="1661">
        <v>-30</v>
      </c>
      <c r="G622" s="1574" t="s">
        <v>377</v>
      </c>
      <c r="H622" s="1574">
        <f t="shared" si="111"/>
        <v>-19336</v>
      </c>
      <c r="I622" s="1661">
        <f>'Blocking - detail'!I505</f>
        <v>-30</v>
      </c>
      <c r="J622" s="1574" t="s">
        <v>377</v>
      </c>
      <c r="K622" s="1574">
        <f t="shared" si="112"/>
        <v>-19336</v>
      </c>
      <c r="M622" s="1578" t="e">
        <f>(I622/100)*#REF!</f>
        <v>#REF!</v>
      </c>
      <c r="AB622" s="1570"/>
      <c r="AC622" s="1570"/>
      <c r="AD622" s="1570"/>
      <c r="AE622" s="1570"/>
      <c r="AF622" s="1570"/>
      <c r="AG622" s="1570"/>
      <c r="AH622" s="1570"/>
    </row>
    <row r="623" spans="1:36" s="1621" customFormat="1">
      <c r="A623" s="1621" t="s">
        <v>936</v>
      </c>
      <c r="B623" s="1648">
        <f t="shared" si="109"/>
        <v>5105859.333333333</v>
      </c>
      <c r="C623" s="1623"/>
      <c r="D623" s="1624"/>
      <c r="E623" s="1625"/>
      <c r="F623" s="1623"/>
      <c r="G623" s="1624"/>
      <c r="H623" s="1625"/>
      <c r="I623" s="1626">
        <f>I606</f>
        <v>0</v>
      </c>
      <c r="J623" s="1689" t="s">
        <v>377</v>
      </c>
      <c r="K623" s="1689">
        <f t="shared" ref="K623:K624" si="113">K661+K699</f>
        <v>0</v>
      </c>
      <c r="M623" s="1651"/>
      <c r="O623" s="1652"/>
      <c r="R623" s="1653"/>
      <c r="S623" s="1653"/>
      <c r="X623" s="1624"/>
      <c r="Y623" s="1624"/>
      <c r="Z623" s="1624"/>
      <c r="AA623" s="1624"/>
      <c r="AB623" s="1624"/>
      <c r="AC623" s="1624"/>
      <c r="AD623" s="1624"/>
      <c r="AE623" s="1624"/>
      <c r="AF623" s="1624"/>
      <c r="AG623" s="1624"/>
      <c r="AH623" s="1624"/>
      <c r="AJ623" s="1651"/>
    </row>
    <row r="624" spans="1:36" s="1621" customFormat="1">
      <c r="A624" s="1621" t="s">
        <v>937</v>
      </c>
      <c r="B624" s="1648">
        <f t="shared" si="109"/>
        <v>11112061.666666668</v>
      </c>
      <c r="C624" s="1623"/>
      <c r="D624" s="1624"/>
      <c r="E624" s="1625"/>
      <c r="F624" s="1623"/>
      <c r="G624" s="1624"/>
      <c r="H624" s="1625"/>
      <c r="I624" s="1626">
        <f>I607</f>
        <v>0</v>
      </c>
      <c r="J624" s="1689" t="s">
        <v>377</v>
      </c>
      <c r="K624" s="1689">
        <f t="shared" si="113"/>
        <v>0</v>
      </c>
      <c r="M624" s="1651"/>
      <c r="O624" s="1652"/>
      <c r="R624" s="1653"/>
      <c r="S624" s="1653"/>
      <c r="X624" s="1624"/>
      <c r="Y624" s="1624"/>
      <c r="Z624" s="1624"/>
      <c r="AA624" s="1624"/>
      <c r="AB624" s="1624"/>
      <c r="AC624" s="1624"/>
      <c r="AD624" s="1624"/>
      <c r="AE624" s="1624"/>
      <c r="AF624" s="1624"/>
      <c r="AG624" s="1624"/>
      <c r="AH624" s="1624"/>
      <c r="AJ624" s="1651"/>
    </row>
    <row r="625" spans="1:34">
      <c r="A625" s="1585" t="s">
        <v>384</v>
      </c>
      <c r="B625" s="1599">
        <f t="shared" si="109"/>
        <v>861138439</v>
      </c>
      <c r="C625" s="1647"/>
      <c r="D625" s="1577"/>
      <c r="E625" s="1577">
        <f>E663+E701</f>
        <v>53671050</v>
      </c>
      <c r="F625" s="1641"/>
      <c r="G625" s="1585"/>
      <c r="H625" s="1577">
        <f>H663+H701</f>
        <v>61320232</v>
      </c>
      <c r="I625" s="1577"/>
      <c r="J625" s="1585"/>
      <c r="K625" s="1577">
        <f t="shared" ref="K625" si="114">K663+K701</f>
        <v>64127422</v>
      </c>
      <c r="M625" s="1578" t="e">
        <f>SUM(M593:M622)</f>
        <v>#REF!</v>
      </c>
      <c r="P625" s="1703"/>
      <c r="Q625" s="1703"/>
      <c r="AB625" s="1570"/>
      <c r="AC625" s="1570"/>
      <c r="AD625" s="1570"/>
      <c r="AE625" s="1570"/>
      <c r="AF625" s="1570"/>
      <c r="AG625" s="1570"/>
      <c r="AH625" s="1570"/>
    </row>
    <row r="626" spans="1:34">
      <c r="A626" s="1585" t="s">
        <v>366</v>
      </c>
      <c r="B626" s="1663">
        <f t="shared" ca="1" si="109"/>
        <v>-434048.61387258163</v>
      </c>
      <c r="C626" s="1600"/>
      <c r="D626" s="1600"/>
      <c r="E626" s="1631" t="e">
        <f>E664+E702</f>
        <v>#REF!</v>
      </c>
      <c r="F626" s="1600"/>
      <c r="G626" s="1600"/>
      <c r="H626" s="1631">
        <f ca="1">H664+H702</f>
        <v>-22821.496526031377</v>
      </c>
      <c r="I626" s="1600"/>
      <c r="J626" s="1600"/>
      <c r="K626" s="1631">
        <f ca="1">H626</f>
        <v>-22821.496526031377</v>
      </c>
      <c r="M626" s="1665"/>
      <c r="N626" s="1665"/>
      <c r="O626" s="1704"/>
      <c r="AB626" s="1570"/>
      <c r="AC626" s="1570"/>
      <c r="AD626" s="1570"/>
      <c r="AE626" s="1570"/>
      <c r="AF626" s="1570"/>
      <c r="AG626" s="1570"/>
      <c r="AH626" s="1570"/>
    </row>
    <row r="627" spans="1:34" ht="15.75" thickBot="1">
      <c r="A627" s="1585" t="s">
        <v>385</v>
      </c>
      <c r="B627" s="1694">
        <f ca="1">SUM(B625)+B626</f>
        <v>860704390.38612747</v>
      </c>
      <c r="C627" s="1666"/>
      <c r="D627" s="1667"/>
      <c r="E627" s="1668" t="e">
        <f>E625+E626</f>
        <v>#REF!</v>
      </c>
      <c r="F627" s="1666"/>
      <c r="G627" s="1670"/>
      <c r="H627" s="1668">
        <f ca="1">H625+H626</f>
        <v>61297410.503473967</v>
      </c>
      <c r="I627" s="1666"/>
      <c r="J627" s="1670"/>
      <c r="K627" s="1668">
        <f ca="1">K625+K626</f>
        <v>64104600.503473967</v>
      </c>
      <c r="M627" s="1672"/>
      <c r="N627" s="1594" t="s">
        <v>412</v>
      </c>
      <c r="O627" s="1633">
        <f>'Rate Spread-Staff'!Q24*1000</f>
        <v>64104831.904533081</v>
      </c>
      <c r="P627" s="1674">
        <f>'Rate Spread-Staff'!V24</f>
        <v>4.58E-2</v>
      </c>
      <c r="Q627" s="1597"/>
      <c r="R627" s="1598" t="s">
        <v>31</v>
      </c>
      <c r="AB627" s="1570"/>
      <c r="AC627" s="1570"/>
      <c r="AD627" s="1570"/>
      <c r="AE627" s="1570"/>
      <c r="AF627" s="1570"/>
      <c r="AG627" s="1570"/>
      <c r="AH627" s="1570"/>
    </row>
    <row r="628" spans="1:34" ht="15.75" thickTop="1">
      <c r="A628" s="1585"/>
      <c r="B628" s="1610"/>
      <c r="C628" s="1660"/>
      <c r="D628" s="1577"/>
      <c r="E628" s="1577"/>
      <c r="F628" s="1660" t="s">
        <v>31</v>
      </c>
      <c r="G628" s="1585"/>
      <c r="H628" s="1577" t="s">
        <v>31</v>
      </c>
      <c r="I628" s="1657" t="s">
        <v>31</v>
      </c>
      <c r="J628" s="1585"/>
      <c r="K628" s="1577" t="s">
        <v>31</v>
      </c>
      <c r="N628" s="1601" t="s">
        <v>265</v>
      </c>
      <c r="O628" s="1602">
        <f ca="1">O627-K627</f>
        <v>231.4010591134429</v>
      </c>
      <c r="P628" s="1675" t="s">
        <v>31</v>
      </c>
      <c r="Q628" s="1676"/>
      <c r="AB628" s="1570"/>
      <c r="AC628" s="1570"/>
      <c r="AD628" s="1570"/>
      <c r="AE628" s="1570"/>
      <c r="AF628" s="1570"/>
      <c r="AG628" s="1570"/>
      <c r="AH628" s="1570"/>
    </row>
    <row r="629" spans="1:34" hidden="1">
      <c r="A629" s="1609" t="s">
        <v>439</v>
      </c>
      <c r="B629" s="1585"/>
      <c r="C629" s="1577"/>
      <c r="D629" s="1577"/>
      <c r="E629" s="1585" t="s">
        <v>31</v>
      </c>
      <c r="F629" s="1577"/>
      <c r="G629" s="1585"/>
      <c r="H629" s="1585"/>
      <c r="I629" s="1577"/>
      <c r="J629" s="1585"/>
      <c r="K629" s="1585"/>
      <c r="AB629" s="1570"/>
      <c r="AC629" s="1570"/>
      <c r="AD629" s="1570"/>
      <c r="AE629" s="1570"/>
      <c r="AF629" s="1570"/>
      <c r="AG629" s="1570"/>
      <c r="AH629" s="1570"/>
    </row>
    <row r="630" spans="1:34" hidden="1">
      <c r="A630" s="1600" t="s">
        <v>448</v>
      </c>
      <c r="B630" s="1585"/>
      <c r="C630" s="1577"/>
      <c r="D630" s="1577"/>
      <c r="E630" s="1585"/>
      <c r="F630" s="1577"/>
      <c r="G630" s="1585"/>
      <c r="H630" s="1585"/>
      <c r="I630" s="1577"/>
      <c r="J630" s="1585"/>
      <c r="K630" s="1585"/>
      <c r="O630" s="1605" t="s">
        <v>31</v>
      </c>
      <c r="AB630" s="1570"/>
      <c r="AC630" s="1570"/>
      <c r="AD630" s="1570"/>
      <c r="AE630" s="1570"/>
      <c r="AF630" s="1570"/>
      <c r="AG630" s="1570"/>
      <c r="AH630" s="1570"/>
    </row>
    <row r="631" spans="1:34" hidden="1">
      <c r="A631" s="1600"/>
      <c r="B631" s="1585"/>
      <c r="C631" s="1577"/>
      <c r="D631" s="1577"/>
      <c r="E631" s="1585"/>
      <c r="F631" s="1577"/>
      <c r="G631" s="1585"/>
      <c r="H631" s="1585"/>
      <c r="I631" s="1577"/>
      <c r="J631" s="1585"/>
      <c r="K631" s="1585"/>
      <c r="M631" s="1570"/>
      <c r="N631" s="1570"/>
      <c r="O631" s="1571"/>
      <c r="P631" s="1571"/>
      <c r="Q631" s="1571"/>
      <c r="R631" s="1570"/>
      <c r="S631" s="1570"/>
      <c r="T631" s="1570"/>
      <c r="U631" s="1570"/>
      <c r="V631" s="1570"/>
      <c r="W631" s="1570"/>
      <c r="X631" s="1570"/>
      <c r="Y631" s="1570"/>
      <c r="Z631" s="1570"/>
      <c r="AA631" s="1570"/>
      <c r="AB631" s="1570"/>
      <c r="AC631" s="1570"/>
      <c r="AD631" s="1570"/>
      <c r="AE631" s="1570"/>
      <c r="AF631" s="1570"/>
      <c r="AG631" s="1570"/>
      <c r="AH631" s="1570"/>
    </row>
    <row r="632" spans="1:34" hidden="1">
      <c r="A632" s="1600" t="s">
        <v>396</v>
      </c>
      <c r="B632" s="1599"/>
      <c r="C632" s="1577"/>
      <c r="D632" s="1577"/>
      <c r="E632" s="1585"/>
      <c r="F632" s="1577"/>
      <c r="G632" s="1585"/>
      <c r="H632" s="1585"/>
      <c r="I632" s="1577"/>
      <c r="J632" s="1585"/>
      <c r="K632" s="1585"/>
      <c r="M632" s="1570"/>
      <c r="N632" s="1570"/>
      <c r="O632" s="1571"/>
      <c r="P632" s="1571"/>
      <c r="Q632" s="1571"/>
      <c r="R632" s="1570"/>
      <c r="S632" s="1570"/>
      <c r="T632" s="1570"/>
      <c r="U632" s="1570"/>
      <c r="V632" s="1570"/>
      <c r="W632" s="1570"/>
      <c r="X632" s="1570"/>
      <c r="Y632" s="1570"/>
      <c r="Z632" s="1570"/>
      <c r="AA632" s="1570"/>
      <c r="AB632" s="1570"/>
      <c r="AC632" s="1570"/>
      <c r="AD632" s="1570"/>
      <c r="AE632" s="1570"/>
      <c r="AF632" s="1570"/>
      <c r="AG632" s="1570"/>
      <c r="AH632" s="1570"/>
    </row>
    <row r="633" spans="1:34" hidden="1">
      <c r="A633" s="1600" t="s">
        <v>424</v>
      </c>
      <c r="B633" s="1599">
        <f>281</f>
        <v>281</v>
      </c>
      <c r="C633" s="1614">
        <v>227</v>
      </c>
      <c r="D633" s="1600"/>
      <c r="E633" s="1574">
        <f>ROUND(C633*$B633,0)</f>
        <v>63787</v>
      </c>
      <c r="F633" s="1614">
        <v>259</v>
      </c>
      <c r="G633" s="1600"/>
      <c r="H633" s="1574">
        <f>ROUND(F633*B633,0)</f>
        <v>72779</v>
      </c>
      <c r="I633" s="1614">
        <f>$I$593</f>
        <v>271</v>
      </c>
      <c r="J633" s="1600"/>
      <c r="K633" s="1574">
        <f>ROUND(I633*$B633,0)</f>
        <v>76151</v>
      </c>
      <c r="M633" s="1570"/>
      <c r="P633" s="1571"/>
      <c r="Q633" s="1571"/>
      <c r="R633" s="1570"/>
      <c r="S633" s="1570"/>
      <c r="T633" s="1570"/>
      <c r="U633" s="1570"/>
      <c r="V633" s="1570"/>
      <c r="W633" s="1570"/>
      <c r="X633" s="1570"/>
      <c r="Y633" s="1570"/>
      <c r="Z633" s="1570"/>
      <c r="AA633" s="1570"/>
      <c r="AB633" s="1570"/>
      <c r="AC633" s="1570"/>
      <c r="AD633" s="1570"/>
      <c r="AE633" s="1570"/>
      <c r="AF633" s="1570"/>
      <c r="AG633" s="1570"/>
      <c r="AH633" s="1570"/>
    </row>
    <row r="634" spans="1:34" hidden="1">
      <c r="A634" s="1600" t="s">
        <v>425</v>
      </c>
      <c r="B634" s="1599">
        <f>57+7534</f>
        <v>7591</v>
      </c>
      <c r="C634" s="1614">
        <v>84</v>
      </c>
      <c r="D634" s="1600"/>
      <c r="E634" s="1574">
        <f>ROUND(C634*$B634,0)</f>
        <v>637644</v>
      </c>
      <c r="F634" s="1614">
        <v>96</v>
      </c>
      <c r="G634" s="1600"/>
      <c r="H634" s="1574">
        <f>ROUND(F634*B634,0)</f>
        <v>728736</v>
      </c>
      <c r="I634" s="1614">
        <f>$I$594</f>
        <v>101</v>
      </c>
      <c r="J634" s="1600"/>
      <c r="K634" s="1574">
        <f>ROUND(I634*$B634,0)</f>
        <v>766691</v>
      </c>
      <c r="M634" s="1570"/>
      <c r="P634" s="1571"/>
      <c r="Q634" s="1571"/>
      <c r="R634" s="1570"/>
      <c r="S634" s="1570"/>
      <c r="T634" s="1570"/>
      <c r="U634" s="1570"/>
      <c r="V634" s="1570"/>
      <c r="W634" s="1570"/>
      <c r="X634" s="1570"/>
      <c r="Y634" s="1570"/>
      <c r="Z634" s="1570"/>
      <c r="AA634" s="1570"/>
      <c r="AB634" s="1570"/>
      <c r="AC634" s="1570"/>
      <c r="AD634" s="1570"/>
      <c r="AE634" s="1570"/>
      <c r="AF634" s="1570"/>
      <c r="AG634" s="1570"/>
      <c r="AH634" s="1570"/>
    </row>
    <row r="635" spans="1:34" hidden="1">
      <c r="A635" s="1600" t="s">
        <v>426</v>
      </c>
      <c r="B635" s="1599">
        <f>85+2926-'Load Loss'!C11</f>
        <v>2998.9333333333334</v>
      </c>
      <c r="C635" s="1614">
        <v>168</v>
      </c>
      <c r="D635" s="1642"/>
      <c r="E635" s="1574">
        <f>ROUND(C635*$B635,0)</f>
        <v>503821</v>
      </c>
      <c r="F635" s="1614">
        <v>192</v>
      </c>
      <c r="G635" s="1642"/>
      <c r="H635" s="1574">
        <f>ROUND(F635*B635,0)</f>
        <v>575795</v>
      </c>
      <c r="I635" s="1614">
        <f>$I$595</f>
        <v>201</v>
      </c>
      <c r="J635" s="1642"/>
      <c r="K635" s="1574">
        <f>ROUND(I635*$B635,0)</f>
        <v>602786</v>
      </c>
      <c r="M635" s="1570"/>
      <c r="P635" s="1571"/>
      <c r="Q635" s="1571"/>
      <c r="R635" s="1570"/>
      <c r="S635" s="1570"/>
      <c r="T635" s="1570"/>
      <c r="U635" s="1570"/>
      <c r="V635" s="1570"/>
      <c r="W635" s="1570"/>
      <c r="X635" s="1570"/>
      <c r="Y635" s="1570"/>
      <c r="Z635" s="1570"/>
      <c r="AA635" s="1570"/>
      <c r="AB635" s="1570"/>
      <c r="AC635" s="1570"/>
      <c r="AD635" s="1570"/>
      <c r="AE635" s="1570"/>
      <c r="AF635" s="1570"/>
      <c r="AG635" s="1570"/>
      <c r="AH635" s="1570"/>
    </row>
    <row r="636" spans="1:34" hidden="1">
      <c r="A636" s="1600" t="s">
        <v>397</v>
      </c>
      <c r="B636" s="1599">
        <f>SUM(B633:B635)</f>
        <v>10870.933333333334</v>
      </c>
      <c r="C636" s="1614"/>
      <c r="D636" s="1600"/>
      <c r="E636" s="1574"/>
      <c r="F636" s="1614"/>
      <c r="G636" s="1600"/>
      <c r="H636" s="1574"/>
      <c r="I636" s="1614"/>
      <c r="J636" s="1600"/>
      <c r="K636" s="1574"/>
      <c r="M636" s="1570"/>
      <c r="P636" s="1571"/>
      <c r="Q636" s="1571"/>
      <c r="R636" s="1570"/>
      <c r="S636" s="1570"/>
      <c r="T636" s="1570"/>
      <c r="U636" s="1570"/>
      <c r="V636" s="1570"/>
      <c r="W636" s="1570"/>
      <c r="X636" s="1570"/>
      <c r="Y636" s="1570"/>
      <c r="Z636" s="1570"/>
      <c r="AA636" s="1570"/>
      <c r="AB636" s="1570"/>
      <c r="AC636" s="1570"/>
      <c r="AD636" s="1570"/>
      <c r="AE636" s="1570"/>
      <c r="AF636" s="1570"/>
      <c r="AG636" s="1570"/>
      <c r="AH636" s="1570"/>
    </row>
    <row r="637" spans="1:34" hidden="1">
      <c r="A637" s="1600" t="s">
        <v>425</v>
      </c>
      <c r="B637" s="1599">
        <f>11751+1300323</f>
        <v>1312074</v>
      </c>
      <c r="C637" s="1614">
        <v>1.48</v>
      </c>
      <c r="D637" s="1600" t="s">
        <v>31</v>
      </c>
      <c r="E637" s="1574">
        <f>ROUND(C637*$B637,0)</f>
        <v>1941870</v>
      </c>
      <c r="F637" s="1614">
        <v>1.7</v>
      </c>
      <c r="G637" s="1600" t="s">
        <v>31</v>
      </c>
      <c r="H637" s="1574">
        <f t="shared" ref="H637:H638" si="115">ROUND(F637*B637,0)</f>
        <v>2230526</v>
      </c>
      <c r="I637" s="1614">
        <f>$I$597</f>
        <v>1.78</v>
      </c>
      <c r="J637" s="1600" t="s">
        <v>31</v>
      </c>
      <c r="K637" s="1574">
        <f>ROUND(I637*$B637,0)</f>
        <v>2335492</v>
      </c>
      <c r="M637" s="1570"/>
      <c r="P637" s="1571"/>
      <c r="Q637" s="1571"/>
      <c r="R637" s="1570"/>
      <c r="S637" s="1570"/>
      <c r="T637" s="1570"/>
      <c r="U637" s="1570"/>
      <c r="V637" s="1570"/>
      <c r="W637" s="1570"/>
      <c r="X637" s="1570"/>
      <c r="Y637" s="1570"/>
      <c r="Z637" s="1570"/>
      <c r="AA637" s="1570"/>
      <c r="AB637" s="1570"/>
      <c r="AC637" s="1570"/>
      <c r="AD637" s="1570"/>
      <c r="AE637" s="1570"/>
      <c r="AF637" s="1570"/>
      <c r="AG637" s="1570"/>
      <c r="AH637" s="1570"/>
    </row>
    <row r="638" spans="1:34" hidden="1">
      <c r="A638" s="1600" t="s">
        <v>426</v>
      </c>
      <c r="B638" s="1599">
        <f>55486+1424492-'Load Loss'!C14</f>
        <v>1471768</v>
      </c>
      <c r="C638" s="1614">
        <v>1.22</v>
      </c>
      <c r="D638" s="1600" t="s">
        <v>31</v>
      </c>
      <c r="E638" s="1574">
        <f>ROUND(C638*$B638,0)</f>
        <v>1795557</v>
      </c>
      <c r="F638" s="1614">
        <v>1.39</v>
      </c>
      <c r="G638" s="1600" t="s">
        <v>31</v>
      </c>
      <c r="H638" s="1574">
        <f t="shared" si="115"/>
        <v>2045758</v>
      </c>
      <c r="I638" s="1614">
        <f>$I$598</f>
        <v>1.46</v>
      </c>
      <c r="J638" s="1600" t="s">
        <v>31</v>
      </c>
      <c r="K638" s="1574">
        <f>ROUND(I638*$B638,0)</f>
        <v>2148781</v>
      </c>
      <c r="M638" s="1570"/>
      <c r="P638" s="1571"/>
      <c r="Q638" s="1571"/>
      <c r="R638" s="1570"/>
      <c r="S638" s="1570"/>
      <c r="T638" s="1570"/>
      <c r="U638" s="1570"/>
      <c r="V638" s="1570"/>
      <c r="W638" s="1570"/>
      <c r="X638" s="1570"/>
      <c r="Y638" s="1570"/>
      <c r="Z638" s="1570"/>
      <c r="AA638" s="1570"/>
      <c r="AB638" s="1570"/>
      <c r="AC638" s="1570"/>
      <c r="AD638" s="1570"/>
      <c r="AE638" s="1570"/>
      <c r="AF638" s="1570"/>
      <c r="AG638" s="1570"/>
      <c r="AH638" s="1570"/>
    </row>
    <row r="639" spans="1:34" hidden="1">
      <c r="A639" s="1600" t="s">
        <v>427</v>
      </c>
      <c r="B639" s="1599"/>
      <c r="C639" s="1620"/>
      <c r="D639" s="1600"/>
      <c r="E639" s="1574"/>
      <c r="F639" s="1620"/>
      <c r="G639" s="1600"/>
      <c r="H639" s="1574"/>
      <c r="I639" s="1620"/>
      <c r="J639" s="1600"/>
      <c r="K639" s="1574"/>
      <c r="M639" s="1570"/>
      <c r="P639" s="1571"/>
      <c r="Q639" s="1571"/>
      <c r="R639" s="1570"/>
      <c r="S639" s="1570"/>
      <c r="T639" s="1570"/>
      <c r="U639" s="1570"/>
      <c r="V639" s="1570"/>
      <c r="W639" s="1570"/>
      <c r="X639" s="1570"/>
      <c r="Y639" s="1570"/>
      <c r="Z639" s="1570"/>
      <c r="AA639" s="1570"/>
      <c r="AB639" s="1570"/>
      <c r="AC639" s="1570"/>
      <c r="AD639" s="1570"/>
      <c r="AE639" s="1570"/>
      <c r="AF639" s="1570"/>
      <c r="AG639" s="1570"/>
      <c r="AH639" s="1570"/>
    </row>
    <row r="640" spans="1:34" hidden="1">
      <c r="A640" s="1600" t="s">
        <v>428</v>
      </c>
      <c r="B640" s="1599">
        <f>9322+39219+17535+972195+1060315-'Load Loss'!C16</f>
        <v>2091816</v>
      </c>
      <c r="C640" s="1614">
        <v>3.88</v>
      </c>
      <c r="D640" s="1600"/>
      <c r="E640" s="1574">
        <f>ROUND(C640*$B640,0)</f>
        <v>8116246</v>
      </c>
      <c r="F640" s="1614">
        <v>4.4400000000000004</v>
      </c>
      <c r="G640" s="1600"/>
      <c r="H640" s="1574">
        <f t="shared" ref="H640:H641" si="116">ROUND(F640*B640,0)</f>
        <v>9287663</v>
      </c>
      <c r="I640" s="1614">
        <f>$I$600</f>
        <v>4.6399999999999997</v>
      </c>
      <c r="J640" s="1600"/>
      <c r="K640" s="1574">
        <f>ROUND(I640*$B640,0)</f>
        <v>9706026</v>
      </c>
      <c r="M640" s="1570"/>
      <c r="P640" s="1571"/>
      <c r="Q640" s="1571"/>
      <c r="R640" s="1570"/>
      <c r="S640" s="1570"/>
      <c r="T640" s="1570"/>
      <c r="U640" s="1570"/>
      <c r="V640" s="1570"/>
      <c r="W640" s="1570"/>
      <c r="X640" s="1570"/>
      <c r="Y640" s="1570"/>
      <c r="Z640" s="1570"/>
      <c r="AA640" s="1570"/>
      <c r="AB640" s="1570"/>
      <c r="AC640" s="1570"/>
      <c r="AD640" s="1570"/>
      <c r="AE640" s="1570"/>
      <c r="AF640" s="1570"/>
      <c r="AG640" s="1570"/>
      <c r="AH640" s="1570"/>
    </row>
    <row r="641" spans="1:36" hidden="1">
      <c r="A641" s="1600" t="s">
        <v>444</v>
      </c>
      <c r="B641" s="1599">
        <f>250+210+1624+950</f>
        <v>3034</v>
      </c>
      <c r="C641" s="1696">
        <v>3.88</v>
      </c>
      <c r="D641" s="1600"/>
      <c r="E641" s="1574">
        <f>ROUND(C641*$B641,0)</f>
        <v>11772</v>
      </c>
      <c r="F641" s="1696">
        <v>4.4400000000000004</v>
      </c>
      <c r="G641" s="1600"/>
      <c r="H641" s="1574">
        <f t="shared" si="116"/>
        <v>13471</v>
      </c>
      <c r="I641" s="1696">
        <f>I640</f>
        <v>4.6399999999999997</v>
      </c>
      <c r="J641" s="1600"/>
      <c r="K641" s="1574">
        <f>ROUND(I641*$B641,0)</f>
        <v>14078</v>
      </c>
      <c r="M641" s="1570"/>
      <c r="P641" s="1571"/>
      <c r="Q641" s="1571"/>
      <c r="R641" s="1570"/>
      <c r="S641" s="1570"/>
      <c r="T641" s="1570"/>
      <c r="U641" s="1570"/>
      <c r="V641" s="1570"/>
      <c r="W641" s="1570"/>
      <c r="X641" s="1570"/>
      <c r="Y641" s="1570"/>
      <c r="Z641" s="1570"/>
      <c r="AA641" s="1570"/>
      <c r="AB641" s="1570"/>
      <c r="AC641" s="1570"/>
      <c r="AD641" s="1570"/>
      <c r="AE641" s="1570"/>
      <c r="AF641" s="1570"/>
      <c r="AG641" s="1570"/>
      <c r="AH641" s="1570"/>
    </row>
    <row r="642" spans="1:36" hidden="1">
      <c r="A642" s="1600" t="s">
        <v>429</v>
      </c>
      <c r="B642" s="1599"/>
      <c r="C642" s="1614"/>
      <c r="D642" s="1600"/>
      <c r="E642" s="1574"/>
      <c r="F642" s="1614"/>
      <c r="G642" s="1600"/>
      <c r="H642" s="1574"/>
      <c r="I642" s="1614"/>
      <c r="J642" s="1600"/>
      <c r="K642" s="1574"/>
      <c r="M642" s="1570"/>
      <c r="P642" s="1571"/>
      <c r="Q642" s="1571"/>
      <c r="R642" s="1570"/>
      <c r="S642" s="1570"/>
      <c r="T642" s="1570"/>
      <c r="U642" s="1570"/>
      <c r="V642" s="1570"/>
      <c r="W642" s="1570"/>
      <c r="X642" s="1570"/>
      <c r="Y642" s="1570"/>
      <c r="Z642" s="1570"/>
      <c r="AA642" s="1570"/>
      <c r="AB642" s="1570"/>
      <c r="AC642" s="1570"/>
      <c r="AD642" s="1570"/>
      <c r="AE642" s="1570"/>
      <c r="AF642" s="1570"/>
      <c r="AG642" s="1570"/>
      <c r="AH642" s="1570"/>
    </row>
    <row r="643" spans="1:36" hidden="1">
      <c r="A643" s="1600" t="s">
        <v>430</v>
      </c>
      <c r="B643" s="1599">
        <f>2056393+3072400+4257539+226577685+110054142-'Load Loss'!C19</f>
        <v>345535492.33333331</v>
      </c>
      <c r="C643" s="1705">
        <v>4.6340000000000003</v>
      </c>
      <c r="D643" s="1600" t="s">
        <v>377</v>
      </c>
      <c r="E643" s="1574">
        <f>ROUND(C643*$B643/100,0)</f>
        <v>16012115</v>
      </c>
      <c r="F643" s="1706">
        <v>5.2919999999999998</v>
      </c>
      <c r="G643" s="1600" t="s">
        <v>377</v>
      </c>
      <c r="H643" s="1574">
        <f>ROUND(F643*B643/100,0)</f>
        <v>18285738</v>
      </c>
      <c r="I643" s="1697">
        <f>$I$603</f>
        <v>5.5339999999999998</v>
      </c>
      <c r="J643" s="1600" t="s">
        <v>377</v>
      </c>
      <c r="K643" s="1574">
        <f>ROUND(I643*$B643/100,0)</f>
        <v>19121934</v>
      </c>
      <c r="M643" s="1570"/>
      <c r="P643" s="1571"/>
      <c r="Q643" s="1571"/>
      <c r="R643" s="1570"/>
      <c r="S643" s="1570"/>
      <c r="T643" s="1570"/>
      <c r="U643" s="1570"/>
      <c r="V643" s="1570"/>
      <c r="W643" s="1570"/>
      <c r="X643" s="1570"/>
      <c r="Y643" s="1570"/>
      <c r="Z643" s="1570"/>
      <c r="AA643" s="1570"/>
      <c r="AB643" s="1570"/>
      <c r="AC643" s="1570"/>
      <c r="AD643" s="1570"/>
      <c r="AE643" s="1570"/>
      <c r="AF643" s="1570"/>
      <c r="AG643" s="1570"/>
      <c r="AH643" s="1570"/>
    </row>
    <row r="644" spans="1:36" hidden="1">
      <c r="A644" s="1600" t="s">
        <v>402</v>
      </c>
      <c r="B644" s="1599">
        <f>3686800+12483521+4350426+318933808+413712700-'Load Loss'!C19-'Load Loss'!C20-B643</f>
        <v>406010762.66666669</v>
      </c>
      <c r="C644" s="1705">
        <v>4.2469999999999999</v>
      </c>
      <c r="D644" s="1600" t="s">
        <v>377</v>
      </c>
      <c r="E644" s="1574">
        <f>ROUND(C644*$B644/100,0)</f>
        <v>17243277</v>
      </c>
      <c r="F644" s="1706">
        <v>4.8499999999999996</v>
      </c>
      <c r="G644" s="1600" t="s">
        <v>377</v>
      </c>
      <c r="H644" s="1574">
        <f t="shared" ref="H644:H645" si="117">ROUND(F644*B644/100,0)</f>
        <v>19691522</v>
      </c>
      <c r="I644" s="1697">
        <f>$I$604</f>
        <v>5.069</v>
      </c>
      <c r="J644" s="1600" t="s">
        <v>377</v>
      </c>
      <c r="K644" s="1574">
        <f>ROUND(I644*$B644/100,0)</f>
        <v>20580686</v>
      </c>
      <c r="M644" s="1570"/>
      <c r="P644" s="1571"/>
      <c r="Q644" s="1571"/>
      <c r="R644" s="1570"/>
      <c r="S644" s="1570"/>
      <c r="T644" s="1570"/>
      <c r="U644" s="1570"/>
      <c r="V644" s="1570"/>
      <c r="W644" s="1570"/>
      <c r="X644" s="1570"/>
      <c r="Y644" s="1570"/>
      <c r="Z644" s="1570"/>
      <c r="AA644" s="1570"/>
      <c r="AB644" s="1570"/>
      <c r="AC644" s="1570"/>
      <c r="AD644" s="1570"/>
      <c r="AE644" s="1570"/>
      <c r="AF644" s="1570"/>
      <c r="AG644" s="1570"/>
      <c r="AH644" s="1570"/>
    </row>
    <row r="645" spans="1:36" hidden="1">
      <c r="A645" s="1600" t="s">
        <v>403</v>
      </c>
      <c r="B645" s="1599">
        <f>590+10691+1905+174527+195017-'Load Loss'!C21</f>
        <v>379182.6</v>
      </c>
      <c r="C645" s="1661">
        <v>50</v>
      </c>
      <c r="D645" s="1600" t="s">
        <v>377</v>
      </c>
      <c r="E645" s="1574">
        <f>ROUND(C645*$B645/100,0)</f>
        <v>189591</v>
      </c>
      <c r="F645" s="1707">
        <v>56</v>
      </c>
      <c r="G645" s="1600" t="s">
        <v>377</v>
      </c>
      <c r="H645" s="1574">
        <f t="shared" si="117"/>
        <v>212342</v>
      </c>
      <c r="I645" s="1708">
        <f>$I$605</f>
        <v>59</v>
      </c>
      <c r="J645" s="1600" t="s">
        <v>377</v>
      </c>
      <c r="K645" s="1574">
        <f>ROUND(I645*$B645/100,0)</f>
        <v>223718</v>
      </c>
      <c r="M645" s="1570"/>
      <c r="P645" s="1571"/>
      <c r="Q645" s="1571"/>
      <c r="R645" s="1570" t="s">
        <v>31</v>
      </c>
      <c r="S645" s="1570"/>
      <c r="T645" s="1570"/>
      <c r="U645" s="1570"/>
      <c r="V645" s="1570"/>
      <c r="W645" s="1570"/>
      <c r="X645" s="1570"/>
      <c r="Y645" s="1570"/>
      <c r="Z645" s="1570"/>
      <c r="AA645" s="1570"/>
      <c r="AB645" s="1570"/>
      <c r="AC645" s="1570"/>
      <c r="AD645" s="1570"/>
      <c r="AE645" s="1570"/>
      <c r="AF645" s="1570"/>
      <c r="AG645" s="1570"/>
      <c r="AH645" s="1570"/>
    </row>
    <row r="646" spans="1:36" hidden="1">
      <c r="A646" s="1569" t="s">
        <v>936</v>
      </c>
      <c r="B646" s="1575">
        <f>B643</f>
        <v>345535492.33333331</v>
      </c>
      <c r="C646" s="1584"/>
      <c r="D646" s="1570"/>
      <c r="E646" s="1577"/>
      <c r="F646" s="1584"/>
      <c r="G646" s="1570"/>
      <c r="H646" s="1577"/>
      <c r="I646" s="1389">
        <f>I606</f>
        <v>0</v>
      </c>
      <c r="J646" s="1574" t="s">
        <v>377</v>
      </c>
      <c r="K646" s="1574">
        <f t="shared" ref="K646:K647" si="118">ROUND(I646*$B646/100,0)</f>
        <v>0</v>
      </c>
      <c r="M646" s="1578"/>
      <c r="P646" s="1678"/>
      <c r="Q646" s="1571"/>
      <c r="R646" s="1580"/>
      <c r="S646" s="1580"/>
      <c r="X646" s="1570"/>
      <c r="Y646" s="1570"/>
      <c r="Z646" s="1570"/>
      <c r="AA646" s="1570"/>
      <c r="AB646" s="1570"/>
      <c r="AC646" s="1570"/>
      <c r="AD646" s="1570"/>
      <c r="AE646" s="1570"/>
      <c r="AF646" s="1570"/>
      <c r="AG646" s="1570"/>
      <c r="AH646" s="1570"/>
      <c r="AJ646" s="1578"/>
    </row>
    <row r="647" spans="1:36" hidden="1">
      <c r="A647" s="1569" t="s">
        <v>937</v>
      </c>
      <c r="B647" s="1575">
        <f>B644</f>
        <v>406010762.66666669</v>
      </c>
      <c r="C647" s="1584"/>
      <c r="D647" s="1570"/>
      <c r="E647" s="1577"/>
      <c r="F647" s="1584"/>
      <c r="G647" s="1570"/>
      <c r="H647" s="1577"/>
      <c r="I647" s="1389">
        <f>I607</f>
        <v>0</v>
      </c>
      <c r="J647" s="1574" t="s">
        <v>377</v>
      </c>
      <c r="K647" s="1574">
        <f t="shared" si="118"/>
        <v>0</v>
      </c>
      <c r="M647" s="1578"/>
      <c r="P647" s="1678"/>
      <c r="Q647" s="1571"/>
      <c r="R647" s="1580"/>
      <c r="S647" s="1580"/>
      <c r="X647" s="1570"/>
      <c r="Y647" s="1570"/>
      <c r="Z647" s="1570"/>
      <c r="AA647" s="1570"/>
      <c r="AB647" s="1570"/>
      <c r="AC647" s="1570"/>
      <c r="AD647" s="1570"/>
      <c r="AE647" s="1570"/>
      <c r="AF647" s="1570"/>
      <c r="AG647" s="1570"/>
      <c r="AH647" s="1570"/>
      <c r="AJ647" s="1578"/>
    </row>
    <row r="648" spans="1:36" hidden="1">
      <c r="A648" s="253" t="s">
        <v>404</v>
      </c>
      <c r="B648" s="1599"/>
      <c r="C648" s="1655">
        <v>-0.01</v>
      </c>
      <c r="D648" s="1577"/>
      <c r="E648" s="1574"/>
      <c r="F648" s="1655">
        <v>-0.01</v>
      </c>
      <c r="G648" s="1585"/>
      <c r="H648" s="1574"/>
      <c r="I648" s="1655">
        <v>-0.01</v>
      </c>
      <c r="J648" s="1585"/>
      <c r="K648" s="1574"/>
      <c r="M648" s="1570"/>
      <c r="P648" s="1678"/>
      <c r="Q648" s="1571"/>
      <c r="R648" s="1570"/>
      <c r="S648" s="1570"/>
      <c r="T648" s="1570"/>
      <c r="U648" s="1570"/>
      <c r="V648" s="1570"/>
      <c r="W648" s="1570"/>
      <c r="X648" s="1570"/>
      <c r="Y648" s="1570"/>
      <c r="Z648" s="1570"/>
      <c r="AA648" s="1570"/>
      <c r="AB648" s="1570"/>
      <c r="AC648" s="1570"/>
      <c r="AD648" s="1570"/>
      <c r="AE648" s="1570"/>
      <c r="AF648" s="1570"/>
      <c r="AG648" s="1570"/>
      <c r="AH648" s="1570"/>
    </row>
    <row r="649" spans="1:36" hidden="1">
      <c r="A649" s="1600" t="s">
        <v>424</v>
      </c>
      <c r="B649" s="1599">
        <v>0</v>
      </c>
      <c r="C649" s="1620">
        <v>227</v>
      </c>
      <c r="D649" s="1693"/>
      <c r="E649" s="1574">
        <f>ROUND(C649*$B649*C648,0)</f>
        <v>0</v>
      </c>
      <c r="F649" s="1620">
        <v>259</v>
      </c>
      <c r="G649" s="1609"/>
      <c r="H649" s="1574">
        <f>ROUND(F649*B649*$F$648,0)</f>
        <v>0</v>
      </c>
      <c r="I649" s="1620">
        <f>I633</f>
        <v>271</v>
      </c>
      <c r="J649" s="1609"/>
      <c r="K649" s="1574">
        <f>ROUND(I649*$B649*I648,0)</f>
        <v>0</v>
      </c>
      <c r="M649" s="1570"/>
      <c r="P649" s="1678"/>
      <c r="Q649" s="1571"/>
      <c r="R649" s="1570"/>
      <c r="S649" s="1570"/>
      <c r="T649" s="1570"/>
      <c r="U649" s="1570"/>
      <c r="V649" s="1570"/>
      <c r="W649" s="1570"/>
      <c r="X649" s="1570"/>
      <c r="Y649" s="1570"/>
      <c r="Z649" s="1570"/>
      <c r="AA649" s="1570"/>
      <c r="AB649" s="1570"/>
      <c r="AC649" s="1570"/>
      <c r="AD649" s="1570"/>
      <c r="AE649" s="1570"/>
      <c r="AF649" s="1570"/>
      <c r="AG649" s="1570"/>
      <c r="AH649" s="1570"/>
    </row>
    <row r="650" spans="1:36" hidden="1">
      <c r="A650" s="1600" t="s">
        <v>425</v>
      </c>
      <c r="B650" s="1599">
        <f>57</f>
        <v>57</v>
      </c>
      <c r="C650" s="1620">
        <v>84</v>
      </c>
      <c r="D650" s="1693"/>
      <c r="E650" s="1574">
        <f>ROUND(C650*$B650*C648,0)</f>
        <v>-48</v>
      </c>
      <c r="F650" s="1620">
        <v>96</v>
      </c>
      <c r="G650" s="1609"/>
      <c r="H650" s="1574">
        <f t="shared" ref="H650:H655" si="119">ROUND(F650*B650*$F$648,0)</f>
        <v>-55</v>
      </c>
      <c r="I650" s="1620">
        <f>I634</f>
        <v>101</v>
      </c>
      <c r="J650" s="1609"/>
      <c r="K650" s="1574">
        <f>ROUND(I650*$B650*I648,0)</f>
        <v>-58</v>
      </c>
      <c r="M650" s="1570"/>
      <c r="P650" s="1678"/>
      <c r="Q650" s="1571"/>
      <c r="R650" s="1570"/>
      <c r="S650" s="1570"/>
      <c r="T650" s="1570"/>
      <c r="U650" s="1570"/>
      <c r="V650" s="1570"/>
      <c r="W650" s="1570"/>
      <c r="X650" s="1570"/>
      <c r="Y650" s="1570"/>
      <c r="Z650" s="1570"/>
      <c r="AA650" s="1570"/>
      <c r="AB650" s="1570"/>
      <c r="AC650" s="1570"/>
      <c r="AD650" s="1570"/>
      <c r="AE650" s="1570"/>
      <c r="AF650" s="1570"/>
      <c r="AG650" s="1570"/>
      <c r="AH650" s="1570"/>
    </row>
    <row r="651" spans="1:36" hidden="1">
      <c r="A651" s="1600" t="s">
        <v>426</v>
      </c>
      <c r="B651" s="1599">
        <f>85-'Load Loss'!C25</f>
        <v>72.933333333333294</v>
      </c>
      <c r="C651" s="1620">
        <v>168</v>
      </c>
      <c r="D651" s="1700"/>
      <c r="E651" s="1574">
        <f>ROUND(C651*$B651*C648,0)</f>
        <v>-123</v>
      </c>
      <c r="F651" s="1620">
        <v>192</v>
      </c>
      <c r="G651" s="1701"/>
      <c r="H651" s="1574">
        <f t="shared" si="119"/>
        <v>-140</v>
      </c>
      <c r="I651" s="1620">
        <f>I635</f>
        <v>201</v>
      </c>
      <c r="J651" s="1701"/>
      <c r="K651" s="1574">
        <f>ROUND(I651*$B651*I648,0)</f>
        <v>-147</v>
      </c>
      <c r="M651" s="1570"/>
      <c r="P651" s="1678"/>
      <c r="Q651" s="1571"/>
      <c r="R651" s="1570"/>
      <c r="S651" s="1570"/>
      <c r="T651" s="1570"/>
      <c r="U651" s="1570"/>
      <c r="V651" s="1570"/>
      <c r="W651" s="1570"/>
      <c r="X651" s="1570"/>
      <c r="Y651" s="1570"/>
      <c r="Z651" s="1570"/>
      <c r="AA651" s="1570"/>
      <c r="AB651" s="1570"/>
      <c r="AC651" s="1570"/>
      <c r="AD651" s="1570"/>
      <c r="AE651" s="1570"/>
      <c r="AF651" s="1570"/>
      <c r="AG651" s="1570"/>
      <c r="AH651" s="1570"/>
    </row>
    <row r="652" spans="1:36" hidden="1">
      <c r="A652" s="1600" t="s">
        <v>425</v>
      </c>
      <c r="B652" s="1599">
        <f>11751</f>
        <v>11751</v>
      </c>
      <c r="C652" s="1620">
        <v>1.48</v>
      </c>
      <c r="D652" s="1693"/>
      <c r="E652" s="1574">
        <f>ROUND(C652*$B652*C648,0)</f>
        <v>-174</v>
      </c>
      <c r="F652" s="1620">
        <v>1.7</v>
      </c>
      <c r="G652" s="1609"/>
      <c r="H652" s="1574">
        <f t="shared" si="119"/>
        <v>-200</v>
      </c>
      <c r="I652" s="1620">
        <f>I637</f>
        <v>1.78</v>
      </c>
      <c r="J652" s="1609"/>
      <c r="K652" s="1574">
        <f>ROUND(I652*$B652*I648,0)</f>
        <v>-209</v>
      </c>
      <c r="M652" s="1570"/>
      <c r="P652" s="1678"/>
      <c r="Q652" s="1571"/>
      <c r="R652" s="1570"/>
      <c r="S652" s="1570"/>
      <c r="T652" s="1570"/>
      <c r="U652" s="1570"/>
      <c r="V652" s="1570"/>
      <c r="W652" s="1570"/>
      <c r="X652" s="1570"/>
      <c r="Y652" s="1570"/>
      <c r="Z652" s="1570"/>
      <c r="AA652" s="1570"/>
      <c r="AB652" s="1570"/>
      <c r="AC652" s="1570"/>
      <c r="AD652" s="1570"/>
      <c r="AE652" s="1570"/>
      <c r="AF652" s="1570"/>
      <c r="AG652" s="1570"/>
      <c r="AH652" s="1570"/>
    </row>
    <row r="653" spans="1:36" hidden="1">
      <c r="A653" s="1600" t="s">
        <v>426</v>
      </c>
      <c r="B653" s="1599">
        <f>55486-'Load Loss'!C27</f>
        <v>47276</v>
      </c>
      <c r="C653" s="1620">
        <v>1.22</v>
      </c>
      <c r="D653" s="1693" t="s">
        <v>31</v>
      </c>
      <c r="E653" s="1574">
        <f>ROUND(C653*$B653*C648,0)</f>
        <v>-577</v>
      </c>
      <c r="F653" s="1620">
        <v>1.39</v>
      </c>
      <c r="G653" s="1609"/>
      <c r="H653" s="1574">
        <f t="shared" si="119"/>
        <v>-657</v>
      </c>
      <c r="I653" s="1620">
        <f>I638</f>
        <v>1.46</v>
      </c>
      <c r="J653" s="1609"/>
      <c r="K653" s="1574">
        <f>ROUND(I653*$B653*I648,0)</f>
        <v>-690</v>
      </c>
      <c r="M653" s="1570"/>
      <c r="P653" s="1678"/>
      <c r="Q653" s="1571"/>
      <c r="R653" s="1570"/>
      <c r="S653" s="1570"/>
      <c r="T653" s="1570"/>
      <c r="U653" s="1570"/>
      <c r="V653" s="1570"/>
      <c r="W653" s="1570"/>
      <c r="X653" s="1570"/>
      <c r="Y653" s="1570"/>
      <c r="Z653" s="1570"/>
      <c r="AA653" s="1570"/>
      <c r="AB653" s="1570"/>
      <c r="AC653" s="1570"/>
      <c r="AD653" s="1570"/>
      <c r="AE653" s="1570"/>
      <c r="AF653" s="1570"/>
      <c r="AG653" s="1570"/>
      <c r="AH653" s="1570"/>
    </row>
    <row r="654" spans="1:36" hidden="1">
      <c r="A654" s="1600" t="s">
        <v>428</v>
      </c>
      <c r="B654" s="1599">
        <f>9322+39219-'Load Loss'!C28</f>
        <v>41771</v>
      </c>
      <c r="C654" s="1620">
        <v>3.88</v>
      </c>
      <c r="D654" s="1693" t="s">
        <v>31</v>
      </c>
      <c r="E654" s="1574">
        <f>ROUND(C654*$B654*C648,0)</f>
        <v>-1621</v>
      </c>
      <c r="F654" s="1620">
        <v>4.4400000000000004</v>
      </c>
      <c r="G654" s="1609"/>
      <c r="H654" s="1574">
        <f t="shared" si="119"/>
        <v>-1855</v>
      </c>
      <c r="I654" s="1620">
        <f>I640</f>
        <v>4.6399999999999997</v>
      </c>
      <c r="J654" s="1609"/>
      <c r="K654" s="1574">
        <f>ROUND(I654*$B654*I648,0)</f>
        <v>-1938</v>
      </c>
      <c r="M654" s="1570"/>
      <c r="P654" s="1678"/>
      <c r="Q654" s="1571"/>
      <c r="R654" s="1570"/>
      <c r="S654" s="1570"/>
      <c r="T654" s="1570"/>
      <c r="U654" s="1570"/>
      <c r="V654" s="1570"/>
      <c r="W654" s="1570"/>
      <c r="X654" s="1570"/>
      <c r="Y654" s="1570"/>
      <c r="Z654" s="1570"/>
      <c r="AA654" s="1570"/>
      <c r="AB654" s="1570"/>
      <c r="AC654" s="1570"/>
      <c r="AD654" s="1570"/>
      <c r="AE654" s="1570"/>
      <c r="AF654" s="1570"/>
      <c r="AG654" s="1570"/>
      <c r="AH654" s="1570"/>
    </row>
    <row r="655" spans="1:36" hidden="1">
      <c r="A655" s="1600" t="s">
        <v>444</v>
      </c>
      <c r="B655" s="1599">
        <f>250</f>
        <v>250</v>
      </c>
      <c r="C655" s="1620">
        <v>3.88</v>
      </c>
      <c r="D655" s="1693" t="s">
        <v>31</v>
      </c>
      <c r="E655" s="1574">
        <f>ROUND(C655*$B655*C648,0)</f>
        <v>-10</v>
      </c>
      <c r="F655" s="1620">
        <v>4.4400000000000004</v>
      </c>
      <c r="G655" s="1609"/>
      <c r="H655" s="1574">
        <f t="shared" si="119"/>
        <v>-11</v>
      </c>
      <c r="I655" s="1620">
        <f>I641</f>
        <v>4.6399999999999997</v>
      </c>
      <c r="J655" s="1609"/>
      <c r="K655" s="1574">
        <f>ROUND(I655*$B655*I648,0)</f>
        <v>-12</v>
      </c>
      <c r="M655" s="1570"/>
      <c r="P655" s="1678"/>
      <c r="Q655" s="1571"/>
      <c r="R655" s="1570"/>
      <c r="S655" s="1570"/>
      <c r="T655" s="1570"/>
      <c r="U655" s="1570"/>
      <c r="V655" s="1570"/>
      <c r="W655" s="1570"/>
      <c r="X655" s="1570"/>
      <c r="Y655" s="1570"/>
      <c r="Z655" s="1570"/>
      <c r="AA655" s="1570"/>
      <c r="AB655" s="1570"/>
      <c r="AC655" s="1570"/>
      <c r="AD655" s="1570"/>
      <c r="AE655" s="1570"/>
      <c r="AF655" s="1570"/>
      <c r="AG655" s="1570"/>
      <c r="AH655" s="1570"/>
    </row>
    <row r="656" spans="1:36" hidden="1">
      <c r="A656" s="1600" t="s">
        <v>430</v>
      </c>
      <c r="B656" s="1599">
        <f>2056393+3072400-'Load Loss'!C30</f>
        <v>4646126.333333333</v>
      </c>
      <c r="C656" s="1628">
        <v>4.6340000000000003</v>
      </c>
      <c r="D656" s="1574" t="s">
        <v>377</v>
      </c>
      <c r="E656" s="1574">
        <f>ROUND(C656*$B656/100*C648,0)</f>
        <v>-2153</v>
      </c>
      <c r="F656" s="1628">
        <v>5.2939999999999996</v>
      </c>
      <c r="G656" s="1600" t="s">
        <v>377</v>
      </c>
      <c r="H656" s="1574">
        <f>ROUND(F656*B656/100*$F$648,0)</f>
        <v>-2460</v>
      </c>
      <c r="I656" s="1628">
        <f>I643</f>
        <v>5.5339999999999998</v>
      </c>
      <c r="J656" s="1600" t="s">
        <v>377</v>
      </c>
      <c r="K656" s="1574">
        <f>ROUND(I656*$B656/100*I648,0)</f>
        <v>-2571</v>
      </c>
      <c r="M656" s="1678"/>
      <c r="P656" s="1678"/>
      <c r="Q656" s="1571"/>
      <c r="R656" s="1570"/>
      <c r="S656" s="1570"/>
      <c r="T656" s="1570"/>
      <c r="U656" s="1570"/>
      <c r="V656" s="1570"/>
      <c r="W656" s="1570"/>
      <c r="X656" s="1570"/>
      <c r="Y656" s="1570"/>
      <c r="Z656" s="1570"/>
      <c r="AA656" s="1570"/>
      <c r="AB656" s="1570"/>
      <c r="AC656" s="1570"/>
      <c r="AD656" s="1570"/>
      <c r="AE656" s="1570"/>
      <c r="AF656" s="1570"/>
      <c r="AG656" s="1570"/>
      <c r="AH656" s="1570"/>
    </row>
    <row r="657" spans="1:36" hidden="1">
      <c r="A657" s="1600" t="s">
        <v>402</v>
      </c>
      <c r="B657" s="1599">
        <f>3686800+12483521-'Load Loss'!C31-'Load Loss'!C30-B656</f>
        <v>9903194.6666666679</v>
      </c>
      <c r="C657" s="1628">
        <v>4.2469999999999999</v>
      </c>
      <c r="D657" s="1574" t="s">
        <v>377</v>
      </c>
      <c r="E657" s="1574">
        <f>ROUND(C657*$B657/100*C648,0)</f>
        <v>-4206</v>
      </c>
      <c r="F657" s="1628">
        <v>4.8520000000000003</v>
      </c>
      <c r="G657" s="1600" t="s">
        <v>377</v>
      </c>
      <c r="H657" s="1574">
        <f>ROUND(F657*B657/100*$F$648,0)</f>
        <v>-4805</v>
      </c>
      <c r="I657" s="1628">
        <f>I644</f>
        <v>5.069</v>
      </c>
      <c r="J657" s="1600" t="s">
        <v>377</v>
      </c>
      <c r="K657" s="1574">
        <f>ROUND(I657*$B657/100*I648,0)</f>
        <v>-5020</v>
      </c>
      <c r="M657" s="1570"/>
      <c r="P657" s="1678"/>
      <c r="Q657" s="1571"/>
      <c r="R657" s="1570"/>
      <c r="S657" s="1570"/>
      <c r="T657" s="1570"/>
      <c r="U657" s="1570"/>
      <c r="V657" s="1570"/>
      <c r="W657" s="1570"/>
      <c r="X657" s="1570"/>
      <c r="Y657" s="1570"/>
      <c r="Z657" s="1570"/>
      <c r="AA657" s="1570"/>
      <c r="AB657" s="1570"/>
      <c r="AC657" s="1570"/>
      <c r="AD657" s="1570"/>
      <c r="AE657" s="1570"/>
      <c r="AF657" s="1570"/>
      <c r="AG657" s="1570"/>
      <c r="AH657" s="1570"/>
    </row>
    <row r="658" spans="1:36" hidden="1">
      <c r="A658" s="1600" t="s">
        <v>403</v>
      </c>
      <c r="B658" s="1599">
        <f>590+10691-'Load Loss'!C32</f>
        <v>7733.6</v>
      </c>
      <c r="C658" s="1702">
        <v>50</v>
      </c>
      <c r="D658" s="1574" t="s">
        <v>377</v>
      </c>
      <c r="E658" s="1574">
        <f>ROUND(C658*$B658/100*C648,0)</f>
        <v>-39</v>
      </c>
      <c r="F658" s="1702">
        <v>56</v>
      </c>
      <c r="G658" s="1600" t="s">
        <v>377</v>
      </c>
      <c r="H658" s="1574">
        <f>ROUND(F658*B658/100*$F$648,0)</f>
        <v>-43</v>
      </c>
      <c r="I658" s="1702">
        <f>I645</f>
        <v>59</v>
      </c>
      <c r="J658" s="1600" t="s">
        <v>377</v>
      </c>
      <c r="K658" s="1574">
        <f>ROUND(I658*$B658/100*I648,0)</f>
        <v>-46</v>
      </c>
      <c r="M658" s="1570"/>
      <c r="P658" s="1678"/>
      <c r="Q658" s="1571"/>
      <c r="R658" s="1570"/>
      <c r="S658" s="1570"/>
      <c r="T658" s="1570"/>
      <c r="U658" s="1570"/>
      <c r="V658" s="1570"/>
      <c r="W658" s="1570"/>
      <c r="X658" s="1570"/>
      <c r="Y658" s="1570"/>
      <c r="Z658" s="1570"/>
      <c r="AA658" s="1570"/>
      <c r="AB658" s="1570"/>
      <c r="AC658" s="1570"/>
      <c r="AD658" s="1570"/>
      <c r="AE658" s="1570"/>
      <c r="AF658" s="1570"/>
      <c r="AG658" s="1570"/>
      <c r="AH658" s="1570"/>
    </row>
    <row r="659" spans="1:36" hidden="1">
      <c r="A659" s="1600" t="s">
        <v>446</v>
      </c>
      <c r="B659" s="1599">
        <f>57+85-'Load Loss'!C33</f>
        <v>130</v>
      </c>
      <c r="C659" s="1614">
        <v>60</v>
      </c>
      <c r="D659" s="1693" t="s">
        <v>31</v>
      </c>
      <c r="E659" s="1574">
        <f>ROUND(C659*$B659,0)</f>
        <v>7800</v>
      </c>
      <c r="F659" s="1614">
        <v>60</v>
      </c>
      <c r="G659" s="1585"/>
      <c r="H659" s="1574">
        <f>ROUND(F659*B659,0)</f>
        <v>7800</v>
      </c>
      <c r="I659" s="1614">
        <f>$I$621</f>
        <v>60</v>
      </c>
      <c r="J659" s="1585"/>
      <c r="K659" s="1574">
        <f>ROUND(I659*$B659,0)</f>
        <v>7800</v>
      </c>
      <c r="M659" s="1570"/>
      <c r="P659" s="1569"/>
      <c r="Q659" s="1579"/>
      <c r="R659" s="1570"/>
      <c r="S659" s="1570"/>
      <c r="T659" s="1570"/>
      <c r="U659" s="1570"/>
      <c r="V659" s="1570"/>
      <c r="W659" s="1570"/>
      <c r="X659" s="1570"/>
      <c r="Y659" s="1570"/>
      <c r="Z659" s="1570"/>
      <c r="AA659" s="1570"/>
      <c r="AB659" s="1570"/>
      <c r="AC659" s="1570"/>
      <c r="AD659" s="1570"/>
      <c r="AE659" s="1570"/>
      <c r="AF659" s="1570"/>
      <c r="AG659" s="1570"/>
      <c r="AH659" s="1570"/>
    </row>
    <row r="660" spans="1:36" hidden="1">
      <c r="A660" s="1600" t="s">
        <v>447</v>
      </c>
      <c r="B660" s="1599">
        <f>11751+55486-'Load Loss'!C34</f>
        <v>59027</v>
      </c>
      <c r="C660" s="1661">
        <v>-30</v>
      </c>
      <c r="D660" s="1574" t="s">
        <v>377</v>
      </c>
      <c r="E660" s="1574">
        <f>ROUND(C660*$B660/100,0)</f>
        <v>-17708</v>
      </c>
      <c r="F660" s="1661">
        <v>-30</v>
      </c>
      <c r="G660" s="1574" t="s">
        <v>377</v>
      </c>
      <c r="H660" s="1574">
        <f>-ROUND(F660*B660*$F$648,0)</f>
        <v>-17708</v>
      </c>
      <c r="I660" s="1661">
        <f>$I$622</f>
        <v>-30</v>
      </c>
      <c r="J660" s="1574" t="s">
        <v>377</v>
      </c>
      <c r="K660" s="1574">
        <f>ROUND(I660*$B660/100,0)</f>
        <v>-17708</v>
      </c>
      <c r="M660" s="1570"/>
      <c r="P660" s="1569"/>
      <c r="Q660" s="1579"/>
      <c r="R660" s="1570" t="s">
        <v>31</v>
      </c>
      <c r="S660" s="1570"/>
      <c r="T660" s="1570"/>
      <c r="U660" s="1570"/>
      <c r="V660" s="1570"/>
      <c r="W660" s="1570"/>
      <c r="X660" s="1570"/>
      <c r="Y660" s="1570"/>
      <c r="Z660" s="1570"/>
      <c r="AA660" s="1570"/>
      <c r="AB660" s="1570"/>
      <c r="AC660" s="1570"/>
      <c r="AD660" s="1570"/>
      <c r="AE660" s="1570"/>
      <c r="AF660" s="1570"/>
      <c r="AG660" s="1570"/>
      <c r="AH660" s="1570"/>
    </row>
    <row r="661" spans="1:36" hidden="1">
      <c r="A661" s="1569" t="s">
        <v>936</v>
      </c>
      <c r="B661" s="1575">
        <f>B656</f>
        <v>4646126.333333333</v>
      </c>
      <c r="C661" s="1584"/>
      <c r="D661" s="1570"/>
      <c r="E661" s="1577"/>
      <c r="F661" s="1584"/>
      <c r="G661" s="1570"/>
      <c r="H661" s="1577"/>
      <c r="I661" s="1389">
        <f>I646</f>
        <v>0</v>
      </c>
      <c r="J661" s="1574" t="s">
        <v>377</v>
      </c>
      <c r="K661" s="1574">
        <f>ROUND(I661*$B661/100*I648,0)</f>
        <v>0</v>
      </c>
      <c r="M661" s="1578"/>
      <c r="P661" s="1678"/>
      <c r="Q661" s="1571"/>
      <c r="R661" s="1580"/>
      <c r="S661" s="1580"/>
      <c r="X661" s="1570"/>
      <c r="Y661" s="1570"/>
      <c r="Z661" s="1570"/>
      <c r="AA661" s="1570"/>
      <c r="AB661" s="1570"/>
      <c r="AC661" s="1570"/>
      <c r="AD661" s="1570"/>
      <c r="AE661" s="1570"/>
      <c r="AF661" s="1570"/>
      <c r="AG661" s="1570"/>
      <c r="AH661" s="1570"/>
      <c r="AJ661" s="1578"/>
    </row>
    <row r="662" spans="1:36" hidden="1">
      <c r="A662" s="1569" t="s">
        <v>937</v>
      </c>
      <c r="B662" s="1575">
        <f>B657</f>
        <v>9903194.6666666679</v>
      </c>
      <c r="C662" s="1584"/>
      <c r="D662" s="1570"/>
      <c r="E662" s="1577"/>
      <c r="F662" s="1584"/>
      <c r="G662" s="1570"/>
      <c r="H662" s="1577"/>
      <c r="I662" s="1389">
        <f>I647</f>
        <v>0</v>
      </c>
      <c r="J662" s="1574" t="s">
        <v>377</v>
      </c>
      <c r="K662" s="1574">
        <f>ROUND(I662*$B662/100*I648,0)</f>
        <v>0</v>
      </c>
      <c r="M662" s="1578"/>
      <c r="P662" s="1678"/>
      <c r="Q662" s="1571"/>
      <c r="R662" s="1580"/>
      <c r="S662" s="1580"/>
      <c r="X662" s="1570"/>
      <c r="Y662" s="1570"/>
      <c r="Z662" s="1570"/>
      <c r="AA662" s="1570"/>
      <c r="AB662" s="1570"/>
      <c r="AC662" s="1570"/>
      <c r="AD662" s="1570"/>
      <c r="AE662" s="1570"/>
      <c r="AF662" s="1570"/>
      <c r="AG662" s="1570"/>
      <c r="AH662" s="1570"/>
      <c r="AJ662" s="1578"/>
    </row>
    <row r="663" spans="1:36" hidden="1">
      <c r="A663" s="1585" t="s">
        <v>384</v>
      </c>
      <c r="B663" s="1599">
        <f>SUM(B643:B644)</f>
        <v>751546255</v>
      </c>
      <c r="C663" s="1647"/>
      <c r="D663" s="1577"/>
      <c r="E663" s="1577">
        <f>SUM(E633:E660)</f>
        <v>46496821</v>
      </c>
      <c r="F663" s="1647"/>
      <c r="G663" s="1585"/>
      <c r="H663" s="1577">
        <f>SUM(H633:H660)</f>
        <v>53124196</v>
      </c>
      <c r="I663" s="1647"/>
      <c r="J663" s="1585"/>
      <c r="K663" s="1577">
        <f>SUM(K633:K662)</f>
        <v>55555744</v>
      </c>
      <c r="M663" s="1570"/>
      <c r="P663" s="1678"/>
      <c r="Q663" s="1571"/>
      <c r="R663" s="1570"/>
      <c r="S663" s="1570"/>
      <c r="T663" s="1570"/>
      <c r="U663" s="1570"/>
      <c r="V663" s="1570"/>
      <c r="W663" s="1570"/>
      <c r="X663" s="1570"/>
      <c r="Y663" s="1570"/>
      <c r="Z663" s="1570"/>
      <c r="AA663" s="1570"/>
      <c r="AB663" s="1570"/>
      <c r="AC663" s="1570"/>
      <c r="AD663" s="1570"/>
      <c r="AE663" s="1570"/>
      <c r="AF663" s="1570"/>
      <c r="AG663" s="1570"/>
      <c r="AH663" s="1570"/>
    </row>
    <row r="664" spans="1:36" hidden="1">
      <c r="A664" s="1585" t="s">
        <v>366</v>
      </c>
      <c r="B664" s="1679">
        <f>'Table 2'!H46</f>
        <v>-1937617.861591337</v>
      </c>
      <c r="C664" s="1600"/>
      <c r="D664" s="1600"/>
      <c r="E664" s="1631" t="e">
        <f>#REF!</f>
        <v>#REF!</v>
      </c>
      <c r="F664" s="1600"/>
      <c r="G664" s="1600"/>
      <c r="H664" s="1631">
        <f ca="1">'Table 3'!E46</f>
        <v>-154956.56153473366</v>
      </c>
      <c r="I664" s="1600"/>
      <c r="J664" s="1600"/>
      <c r="K664" s="1631">
        <f ca="1">H664</f>
        <v>-154956.56153473366</v>
      </c>
      <c r="M664" s="1422"/>
      <c r="N664" s="1422"/>
      <c r="O664" s="1423"/>
      <c r="P664" s="1678"/>
      <c r="Q664" s="1571"/>
      <c r="R664" s="1570"/>
      <c r="S664" s="1570"/>
      <c r="T664" s="1570"/>
      <c r="U664" s="1570"/>
      <c r="V664" s="1570"/>
      <c r="W664" s="1570"/>
      <c r="X664" s="1570"/>
      <c r="Y664" s="1570"/>
      <c r="Z664" s="1570"/>
      <c r="AA664" s="1570"/>
      <c r="AB664" s="1570"/>
      <c r="AC664" s="1570"/>
      <c r="AD664" s="1570"/>
      <c r="AE664" s="1570"/>
      <c r="AF664" s="1570"/>
      <c r="AG664" s="1570"/>
      <c r="AH664" s="1570"/>
    </row>
    <row r="665" spans="1:36" ht="15.75" hidden="1" thickBot="1">
      <c r="A665" s="1585" t="s">
        <v>385</v>
      </c>
      <c r="B665" s="1694">
        <f>SUM(B663)+B664</f>
        <v>749608637.13840866</v>
      </c>
      <c r="C665" s="1666"/>
      <c r="D665" s="1667"/>
      <c r="E665" s="1668" t="e">
        <f>E663+E664</f>
        <v>#REF!</v>
      </c>
      <c r="F665" s="1666"/>
      <c r="G665" s="1670"/>
      <c r="H665" s="1668">
        <f ca="1">H663+H664</f>
        <v>52969239.438465267</v>
      </c>
      <c r="I665" s="1666"/>
      <c r="J665" s="1670"/>
      <c r="K665" s="1668">
        <f ca="1">K663+K664</f>
        <v>55400787.438465267</v>
      </c>
      <c r="M665" s="1424"/>
      <c r="N665" s="1424"/>
      <c r="O665" s="1597"/>
      <c r="P665" s="1678"/>
      <c r="Q665" s="1571"/>
      <c r="R665" s="1570"/>
      <c r="S665" s="1570"/>
      <c r="T665" s="1570"/>
      <c r="U665" s="1570"/>
      <c r="V665" s="1570"/>
      <c r="W665" s="1570"/>
      <c r="X665" s="1570"/>
      <c r="Y665" s="1570"/>
      <c r="Z665" s="1570"/>
      <c r="AA665" s="1570"/>
      <c r="AB665" s="1570"/>
      <c r="AC665" s="1570"/>
      <c r="AD665" s="1570"/>
      <c r="AE665" s="1570"/>
      <c r="AF665" s="1570"/>
      <c r="AG665" s="1570"/>
      <c r="AH665" s="1570"/>
    </row>
    <row r="666" spans="1:36" hidden="1">
      <c r="A666" s="1585"/>
      <c r="B666" s="1610"/>
      <c r="C666" s="1660"/>
      <c r="D666" s="1577"/>
      <c r="E666" s="1577"/>
      <c r="F666" s="1660" t="s">
        <v>31</v>
      </c>
      <c r="G666" s="1585"/>
      <c r="H666" s="1577"/>
      <c r="I666" s="1657" t="s">
        <v>31</v>
      </c>
      <c r="J666" s="1585"/>
      <c r="K666" s="1577" t="s">
        <v>31</v>
      </c>
      <c r="M666" s="1570"/>
      <c r="N666" s="1570"/>
      <c r="O666" s="1571"/>
      <c r="P666" s="1678"/>
      <c r="Q666" s="1571"/>
      <c r="R666" s="1570"/>
      <c r="S666" s="1570"/>
      <c r="T666" s="1570"/>
      <c r="U666" s="1570"/>
      <c r="V666" s="1570"/>
      <c r="W666" s="1570"/>
      <c r="X666" s="1570"/>
      <c r="Y666" s="1570"/>
      <c r="Z666" s="1570"/>
      <c r="AA666" s="1570"/>
      <c r="AB666" s="1570"/>
      <c r="AC666" s="1570"/>
      <c r="AD666" s="1570"/>
      <c r="AE666" s="1570"/>
      <c r="AF666" s="1570"/>
      <c r="AG666" s="1570"/>
      <c r="AH666" s="1570"/>
    </row>
    <row r="667" spans="1:36" hidden="1">
      <c r="A667" s="1609" t="s">
        <v>439</v>
      </c>
      <c r="B667" s="1585"/>
      <c r="C667" s="1577"/>
      <c r="D667" s="1577"/>
      <c r="E667" s="1585" t="s">
        <v>31</v>
      </c>
      <c r="F667" s="1577"/>
      <c r="G667" s="1585"/>
      <c r="H667" s="1585"/>
      <c r="I667" s="1577"/>
      <c r="J667" s="1585"/>
      <c r="K667" s="1585"/>
      <c r="M667" s="1570"/>
      <c r="N667" s="1570"/>
      <c r="O667" s="1571"/>
      <c r="P667" s="1678"/>
      <c r="Q667" s="1571"/>
      <c r="R667" s="1570"/>
      <c r="S667" s="1570"/>
      <c r="T667" s="1570"/>
      <c r="U667" s="1570"/>
      <c r="V667" s="1570"/>
      <c r="W667" s="1570"/>
      <c r="X667" s="1570"/>
      <c r="Y667" s="1570"/>
      <c r="Z667" s="1570"/>
      <c r="AA667" s="1570"/>
      <c r="AB667" s="1570"/>
      <c r="AC667" s="1570"/>
      <c r="AD667" s="1570"/>
      <c r="AE667" s="1570"/>
      <c r="AF667" s="1570"/>
      <c r="AG667" s="1570"/>
      <c r="AH667" s="1570"/>
    </row>
    <row r="668" spans="1:36" hidden="1">
      <c r="A668" s="1600" t="s">
        <v>449</v>
      </c>
      <c r="B668" s="1585"/>
      <c r="C668" s="1577"/>
      <c r="D668" s="1577"/>
      <c r="E668" s="1585"/>
      <c r="F668" s="1577"/>
      <c r="G668" s="1585"/>
      <c r="H668" s="1585"/>
      <c r="I668" s="1577"/>
      <c r="J668" s="1585"/>
      <c r="K668" s="1585"/>
      <c r="M668" s="1570"/>
      <c r="N668" s="1570"/>
      <c r="O668" s="1571"/>
      <c r="P668" s="1678"/>
      <c r="Q668" s="1571"/>
      <c r="R668" s="1570"/>
      <c r="S668" s="1570"/>
      <c r="T668" s="1570"/>
      <c r="U668" s="1570"/>
      <c r="V668" s="1570"/>
      <c r="W668" s="1570"/>
      <c r="X668" s="1570"/>
      <c r="Y668" s="1570"/>
      <c r="Z668" s="1570"/>
      <c r="AA668" s="1570"/>
      <c r="AB668" s="1570"/>
      <c r="AC668" s="1570"/>
      <c r="AD668" s="1570"/>
      <c r="AE668" s="1570"/>
      <c r="AF668" s="1570"/>
      <c r="AG668" s="1570"/>
      <c r="AH668" s="1570"/>
    </row>
    <row r="669" spans="1:36" hidden="1">
      <c r="A669" s="1600"/>
      <c r="B669" s="1585"/>
      <c r="C669" s="1577"/>
      <c r="D669" s="1577"/>
      <c r="E669" s="1585"/>
      <c r="F669" s="1577"/>
      <c r="G669" s="1585"/>
      <c r="H669" s="1585"/>
      <c r="I669" s="1577"/>
      <c r="J669" s="1585"/>
      <c r="K669" s="1585"/>
      <c r="M669" s="1570"/>
      <c r="N669" s="1570"/>
      <c r="O669" s="1571"/>
      <c r="P669" s="1678"/>
      <c r="Q669" s="1571"/>
      <c r="R669" s="1570"/>
      <c r="S669" s="1570"/>
      <c r="T669" s="1570"/>
      <c r="U669" s="1570"/>
      <c r="V669" s="1570"/>
      <c r="W669" s="1570"/>
      <c r="X669" s="1570"/>
      <c r="Y669" s="1570"/>
      <c r="Z669" s="1570"/>
      <c r="AA669" s="1570"/>
      <c r="AB669" s="1570"/>
      <c r="AC669" s="1570"/>
      <c r="AD669" s="1570"/>
      <c r="AE669" s="1570"/>
      <c r="AF669" s="1570"/>
      <c r="AG669" s="1570"/>
      <c r="AH669" s="1570"/>
    </row>
    <row r="670" spans="1:36" hidden="1">
      <c r="A670" s="1600" t="s">
        <v>396</v>
      </c>
      <c r="B670" s="1599"/>
      <c r="C670" s="1577"/>
      <c r="D670" s="1577"/>
      <c r="E670" s="1585"/>
      <c r="F670" s="1577"/>
      <c r="G670" s="1585"/>
      <c r="H670" s="1585"/>
      <c r="I670" s="1577"/>
      <c r="J670" s="1585"/>
      <c r="K670" s="1585"/>
      <c r="M670" s="1570"/>
      <c r="N670" s="1570"/>
      <c r="O670" s="1571"/>
      <c r="P670" s="1678"/>
      <c r="Q670" s="1571"/>
      <c r="R670" s="1570"/>
      <c r="S670" s="1570"/>
      <c r="T670" s="1570"/>
      <c r="U670" s="1570"/>
      <c r="V670" s="1570"/>
      <c r="W670" s="1570"/>
      <c r="X670" s="1570"/>
      <c r="Y670" s="1570"/>
      <c r="Z670" s="1570"/>
      <c r="AA670" s="1570"/>
      <c r="AB670" s="1570"/>
      <c r="AC670" s="1570"/>
      <c r="AD670" s="1570"/>
      <c r="AE670" s="1570"/>
      <c r="AF670" s="1570"/>
      <c r="AG670" s="1570"/>
      <c r="AH670" s="1570"/>
    </row>
    <row r="671" spans="1:36" hidden="1">
      <c r="A671" s="1600" t="s">
        <v>424</v>
      </c>
      <c r="B671" s="1599">
        <f>51</f>
        <v>51</v>
      </c>
      <c r="C671" s="1614">
        <v>227</v>
      </c>
      <c r="D671" s="1600"/>
      <c r="E671" s="1574">
        <f>ROUND(C671*$B671,0)</f>
        <v>11577</v>
      </c>
      <c r="F671" s="1614">
        <v>259</v>
      </c>
      <c r="G671" s="1600"/>
      <c r="H671" s="1574">
        <f>ROUND(F671*B671,0)</f>
        <v>13209</v>
      </c>
      <c r="I671" s="1614">
        <f>$I$593</f>
        <v>271</v>
      </c>
      <c r="J671" s="1600"/>
      <c r="K671" s="1574">
        <f>ROUND(I671*$B671,0)</f>
        <v>13821</v>
      </c>
      <c r="M671" s="1570"/>
      <c r="N671" s="1570"/>
      <c r="O671" s="1571"/>
      <c r="P671" s="1678"/>
      <c r="Q671" s="1571"/>
      <c r="R671" s="1570"/>
      <c r="S671" s="1570"/>
      <c r="T671" s="1570"/>
      <c r="U671" s="1570"/>
      <c r="V671" s="1570"/>
      <c r="W671" s="1570"/>
      <c r="X671" s="1570"/>
      <c r="Y671" s="1570"/>
      <c r="Z671" s="1570"/>
      <c r="AA671" s="1570"/>
      <c r="AB671" s="1570"/>
      <c r="AC671" s="1570"/>
      <c r="AD671" s="1570"/>
      <c r="AE671" s="1570"/>
      <c r="AF671" s="1570"/>
      <c r="AG671" s="1570"/>
      <c r="AH671" s="1570"/>
    </row>
    <row r="672" spans="1:36" hidden="1">
      <c r="A672" s="1600" t="s">
        <v>425</v>
      </c>
      <c r="B672" s="1599">
        <f>9+1060</f>
        <v>1069</v>
      </c>
      <c r="C672" s="1614">
        <v>84</v>
      </c>
      <c r="D672" s="1600"/>
      <c r="E672" s="1574">
        <f>ROUND(C672*$B672,0)</f>
        <v>89796</v>
      </c>
      <c r="F672" s="1614">
        <v>96</v>
      </c>
      <c r="G672" s="1600"/>
      <c r="H672" s="1574">
        <f>ROUND(F672*B672,0)</f>
        <v>102624</v>
      </c>
      <c r="I672" s="1614">
        <f>$I$594</f>
        <v>101</v>
      </c>
      <c r="J672" s="1600"/>
      <c r="K672" s="1574">
        <f>ROUND(I672*$B672,0)</f>
        <v>107969</v>
      </c>
      <c r="M672" s="1570"/>
      <c r="N672" s="1570"/>
      <c r="O672" s="1571"/>
      <c r="P672" s="1678"/>
      <c r="Q672" s="1571"/>
      <c r="R672" s="1570"/>
      <c r="S672" s="1570"/>
      <c r="T672" s="1570"/>
      <c r="U672" s="1570"/>
      <c r="V672" s="1570"/>
      <c r="W672" s="1570"/>
      <c r="X672" s="1570"/>
      <c r="Y672" s="1570"/>
      <c r="Z672" s="1570"/>
      <c r="AA672" s="1570"/>
      <c r="AB672" s="1570"/>
      <c r="AC672" s="1570"/>
      <c r="AD672" s="1570"/>
      <c r="AE672" s="1570"/>
      <c r="AF672" s="1570"/>
      <c r="AG672" s="1570"/>
      <c r="AH672" s="1570"/>
    </row>
    <row r="673" spans="1:36" hidden="1">
      <c r="A673" s="1600" t="s">
        <v>426</v>
      </c>
      <c r="B673" s="1599">
        <f>4+539</f>
        <v>543</v>
      </c>
      <c r="C673" s="1614">
        <v>168</v>
      </c>
      <c r="D673" s="1642"/>
      <c r="E673" s="1574">
        <f>ROUND(C673*$B673,0)</f>
        <v>91224</v>
      </c>
      <c r="F673" s="1614">
        <v>192</v>
      </c>
      <c r="G673" s="1642"/>
      <c r="H673" s="1574">
        <f>ROUND(F673*B673,0)</f>
        <v>104256</v>
      </c>
      <c r="I673" s="1614">
        <f>$I$595</f>
        <v>201</v>
      </c>
      <c r="J673" s="1642"/>
      <c r="K673" s="1574">
        <f>ROUND(I673*$B673,0)</f>
        <v>109143</v>
      </c>
      <c r="M673" s="1570"/>
      <c r="N673" s="1570"/>
      <c r="O673" s="1571"/>
      <c r="P673" s="1678"/>
      <c r="Q673" s="1571"/>
      <c r="R673" s="1570"/>
      <c r="S673" s="1570"/>
      <c r="T673" s="1570"/>
      <c r="U673" s="1570"/>
      <c r="V673" s="1570"/>
      <c r="W673" s="1570"/>
      <c r="X673" s="1570"/>
      <c r="Y673" s="1570"/>
      <c r="Z673" s="1570"/>
      <c r="AA673" s="1570"/>
      <c r="AB673" s="1570"/>
      <c r="AC673" s="1570"/>
      <c r="AD673" s="1570"/>
      <c r="AE673" s="1570"/>
      <c r="AF673" s="1570"/>
      <c r="AG673" s="1570"/>
      <c r="AH673" s="1570"/>
    </row>
    <row r="674" spans="1:36" hidden="1">
      <c r="A674" s="1600" t="s">
        <v>397</v>
      </c>
      <c r="B674" s="1599">
        <f>SUM(B671:B673)</f>
        <v>1663</v>
      </c>
      <c r="C674" s="1614"/>
      <c r="D674" s="1600"/>
      <c r="E674" s="1574"/>
      <c r="F674" s="1614"/>
      <c r="G674" s="1600"/>
      <c r="H674" s="1574"/>
      <c r="I674" s="1614"/>
      <c r="J674" s="1600"/>
      <c r="K674" s="1574"/>
      <c r="M674" s="1570"/>
      <c r="N674" s="1570"/>
      <c r="O674" s="1571"/>
      <c r="P674" s="1569"/>
      <c r="Q674" s="1579"/>
      <c r="R674" s="1570"/>
      <c r="S674" s="1570"/>
      <c r="T674" s="1570"/>
      <c r="U674" s="1570"/>
      <c r="V674" s="1570"/>
      <c r="W674" s="1570"/>
      <c r="X674" s="1570"/>
      <c r="Y674" s="1570"/>
      <c r="Z674" s="1570"/>
      <c r="AA674" s="1570"/>
      <c r="AB674" s="1570"/>
      <c r="AC674" s="1570"/>
      <c r="AD674" s="1570"/>
      <c r="AE674" s="1570"/>
      <c r="AF674" s="1570"/>
      <c r="AG674" s="1570"/>
      <c r="AH674" s="1570"/>
    </row>
    <row r="675" spans="1:36" hidden="1">
      <c r="A675" s="1600" t="s">
        <v>425</v>
      </c>
      <c r="B675" s="1599">
        <f>1424+179546</f>
        <v>180970</v>
      </c>
      <c r="C675" s="1614">
        <v>1.48</v>
      </c>
      <c r="D675" s="1600" t="s">
        <v>31</v>
      </c>
      <c r="E675" s="1574">
        <f>ROUND(C675*$B675,0)</f>
        <v>267836</v>
      </c>
      <c r="F675" s="1614">
        <v>1.7</v>
      </c>
      <c r="G675" s="1600" t="s">
        <v>31</v>
      </c>
      <c r="H675" s="1574">
        <f t="shared" ref="H675:H676" si="120">ROUND(F675*B675,0)</f>
        <v>307649</v>
      </c>
      <c r="I675" s="1614">
        <f>$I$597</f>
        <v>1.78</v>
      </c>
      <c r="J675" s="1600" t="s">
        <v>31</v>
      </c>
      <c r="K675" s="1574">
        <f>ROUND(I675*$B675,0)</f>
        <v>322127</v>
      </c>
      <c r="M675" s="1570"/>
      <c r="N675" s="1570"/>
      <c r="O675" s="1571"/>
      <c r="P675" s="1569"/>
      <c r="Q675" s="1579"/>
      <c r="R675" s="1570"/>
      <c r="S675" s="1570"/>
      <c r="T675" s="1570"/>
      <c r="U675" s="1570"/>
      <c r="V675" s="1570"/>
      <c r="W675" s="1570"/>
      <c r="X675" s="1570"/>
      <c r="Y675" s="1570"/>
      <c r="Z675" s="1570"/>
      <c r="AA675" s="1570"/>
      <c r="AB675" s="1570"/>
      <c r="AC675" s="1570"/>
      <c r="AD675" s="1570"/>
      <c r="AE675" s="1570"/>
      <c r="AF675" s="1570"/>
      <c r="AG675" s="1570"/>
      <c r="AH675" s="1570"/>
    </row>
    <row r="676" spans="1:36" hidden="1">
      <c r="A676" s="1600" t="s">
        <v>426</v>
      </c>
      <c r="B676" s="1599">
        <f>4002+303334</f>
        <v>307336</v>
      </c>
      <c r="C676" s="1614">
        <v>1.22</v>
      </c>
      <c r="D676" s="1600" t="s">
        <v>31</v>
      </c>
      <c r="E676" s="1574">
        <f>ROUND(C676*$B676,0)</f>
        <v>374950</v>
      </c>
      <c r="F676" s="1614">
        <v>1.39</v>
      </c>
      <c r="G676" s="1600" t="s">
        <v>31</v>
      </c>
      <c r="H676" s="1574">
        <f t="shared" si="120"/>
        <v>427197</v>
      </c>
      <c r="I676" s="1614">
        <f>$I$598</f>
        <v>1.46</v>
      </c>
      <c r="J676" s="1600" t="s">
        <v>31</v>
      </c>
      <c r="K676" s="1574">
        <f>ROUND(I676*$B676,0)</f>
        <v>448711</v>
      </c>
      <c r="M676" s="1570"/>
      <c r="N676" s="1570"/>
      <c r="O676" s="1571"/>
      <c r="P676" s="1678"/>
      <c r="Q676" s="1571"/>
      <c r="R676" s="1570"/>
      <c r="S676" s="1570"/>
      <c r="T676" s="1570"/>
      <c r="U676" s="1570"/>
      <c r="V676" s="1570"/>
      <c r="W676" s="1570"/>
      <c r="X676" s="1570"/>
      <c r="Y676" s="1570"/>
      <c r="Z676" s="1570"/>
      <c r="AA676" s="1570"/>
      <c r="AB676" s="1570"/>
      <c r="AC676" s="1570"/>
      <c r="AD676" s="1570"/>
      <c r="AE676" s="1570"/>
      <c r="AF676" s="1570"/>
      <c r="AG676" s="1570"/>
      <c r="AH676" s="1570"/>
    </row>
    <row r="677" spans="1:36" hidden="1">
      <c r="A677" s="1600" t="s">
        <v>427</v>
      </c>
      <c r="B677" s="1599"/>
      <c r="C677" s="1620"/>
      <c r="D677" s="1600"/>
      <c r="E677" s="1574"/>
      <c r="F677" s="1620"/>
      <c r="G677" s="1600"/>
      <c r="H677" s="1574"/>
      <c r="I677" s="1620"/>
      <c r="J677" s="1600"/>
      <c r="K677" s="1574"/>
      <c r="M677" s="1570"/>
      <c r="N677" s="1570"/>
      <c r="O677" s="1571"/>
      <c r="P677" s="1571"/>
      <c r="Q677" s="1571"/>
      <c r="R677" s="1570"/>
      <c r="S677" s="1570"/>
      <c r="T677" s="1570"/>
      <c r="U677" s="1570"/>
      <c r="V677" s="1570"/>
      <c r="W677" s="1570"/>
      <c r="X677" s="1570"/>
      <c r="Y677" s="1570"/>
      <c r="Z677" s="1570"/>
      <c r="AA677" s="1570"/>
      <c r="AB677" s="1570"/>
      <c r="AC677" s="1570"/>
      <c r="AD677" s="1570"/>
      <c r="AE677" s="1570"/>
      <c r="AF677" s="1570"/>
      <c r="AG677" s="1570"/>
      <c r="AH677" s="1570"/>
    </row>
    <row r="678" spans="1:36" hidden="1">
      <c r="A678" s="1600" t="s">
        <v>428</v>
      </c>
      <c r="B678" s="1599">
        <f>41+721+4015+3207+129389+234826</f>
        <v>372199</v>
      </c>
      <c r="C678" s="1614">
        <v>3.88</v>
      </c>
      <c r="D678" s="1600"/>
      <c r="E678" s="1574">
        <f>ROUND(C678*$B678,0)</f>
        <v>1444132</v>
      </c>
      <c r="F678" s="1614">
        <v>4.4400000000000004</v>
      </c>
      <c r="G678" s="1600"/>
      <c r="H678" s="1574">
        <f t="shared" ref="H678:H679" si="121">ROUND(F678*B678,0)</f>
        <v>1652564</v>
      </c>
      <c r="I678" s="1614">
        <f>$I$600</f>
        <v>4.6399999999999997</v>
      </c>
      <c r="J678" s="1600"/>
      <c r="K678" s="1574">
        <f>ROUND(I678*$B678,0)</f>
        <v>1727003</v>
      </c>
      <c r="M678" s="1570"/>
      <c r="N678" s="1570"/>
      <c r="O678" s="1571"/>
      <c r="P678" s="1571"/>
      <c r="Q678" s="1571"/>
      <c r="R678" s="1570"/>
      <c r="S678" s="1570"/>
      <c r="T678" s="1570"/>
      <c r="U678" s="1570"/>
      <c r="V678" s="1570"/>
      <c r="W678" s="1570"/>
      <c r="X678" s="1570"/>
      <c r="Y678" s="1570"/>
      <c r="Z678" s="1570"/>
      <c r="AA678" s="1570"/>
      <c r="AB678" s="1570"/>
      <c r="AC678" s="1570"/>
      <c r="AD678" s="1570"/>
      <c r="AE678" s="1570"/>
      <c r="AF678" s="1570"/>
      <c r="AG678" s="1570"/>
      <c r="AH678" s="1570"/>
    </row>
    <row r="679" spans="1:36" hidden="1">
      <c r="A679" s="1600" t="s">
        <v>444</v>
      </c>
      <c r="B679" s="1599">
        <f>-69+-51+638</f>
        <v>518</v>
      </c>
      <c r="C679" s="1696">
        <v>3.88</v>
      </c>
      <c r="D679" s="1600"/>
      <c r="E679" s="1574">
        <f>ROUND(C679*$B679,0)</f>
        <v>2010</v>
      </c>
      <c r="F679" s="1696">
        <v>4.4400000000000004</v>
      </c>
      <c r="G679" s="1600"/>
      <c r="H679" s="1574">
        <f t="shared" si="121"/>
        <v>2300</v>
      </c>
      <c r="I679" s="1696">
        <f>I678</f>
        <v>4.6399999999999997</v>
      </c>
      <c r="J679" s="1600"/>
      <c r="K679" s="1574">
        <f>ROUND(I679*$B679,0)</f>
        <v>2404</v>
      </c>
      <c r="M679" s="1570"/>
      <c r="N679" s="1570"/>
      <c r="O679" s="1571"/>
      <c r="P679" s="1571"/>
      <c r="Q679" s="1571"/>
      <c r="R679" s="1570"/>
      <c r="S679" s="1570"/>
      <c r="T679" s="1570"/>
      <c r="U679" s="1570"/>
      <c r="V679" s="1570"/>
      <c r="W679" s="1570"/>
      <c r="X679" s="1570"/>
      <c r="Y679" s="1570"/>
      <c r="Z679" s="1570"/>
      <c r="AA679" s="1570"/>
      <c r="AB679" s="1570"/>
      <c r="AC679" s="1570"/>
      <c r="AD679" s="1570"/>
      <c r="AE679" s="1570"/>
      <c r="AF679" s="1570"/>
      <c r="AG679" s="1570"/>
      <c r="AH679" s="1570"/>
    </row>
    <row r="680" spans="1:36" hidden="1">
      <c r="A680" s="1600" t="s">
        <v>429</v>
      </c>
      <c r="B680" s="1599"/>
      <c r="C680" s="1614"/>
      <c r="D680" s="1600"/>
      <c r="E680" s="1574"/>
      <c r="F680" s="1614"/>
      <c r="G680" s="1600"/>
      <c r="H680" s="1574"/>
      <c r="I680" s="1614"/>
      <c r="J680" s="1600"/>
      <c r="K680" s="1574"/>
      <c r="M680" s="1570"/>
      <c r="N680" s="1570"/>
      <c r="O680" s="1571"/>
      <c r="P680" s="1571"/>
      <c r="Q680" s="1571"/>
      <c r="R680" s="1570"/>
      <c r="S680" s="1570"/>
      <c r="T680" s="1570"/>
      <c r="U680" s="1570"/>
      <c r="V680" s="1570"/>
      <c r="W680" s="1570"/>
      <c r="X680" s="1570"/>
      <c r="Y680" s="1570"/>
      <c r="Z680" s="1570"/>
      <c r="AA680" s="1570"/>
      <c r="AB680" s="1570"/>
      <c r="AC680" s="1570"/>
      <c r="AD680" s="1570"/>
      <c r="AE680" s="1570"/>
      <c r="AF680" s="1570"/>
      <c r="AG680" s="1570"/>
      <c r="AH680" s="1570"/>
    </row>
    <row r="681" spans="1:36" hidden="1">
      <c r="A681" s="1600" t="s">
        <v>430</v>
      </c>
      <c r="B681" s="1599">
        <f>9333+294400+156000+594867+25753476+20120380</f>
        <v>46928456</v>
      </c>
      <c r="C681" s="1705">
        <v>4.6340000000000003</v>
      </c>
      <c r="D681" s="1600" t="s">
        <v>377</v>
      </c>
      <c r="E681" s="1574">
        <f>ROUND(C681*$B681/100,0)</f>
        <v>2174665</v>
      </c>
      <c r="F681" s="1706">
        <v>5.2919999999999998</v>
      </c>
      <c r="G681" s="1600" t="s">
        <v>377</v>
      </c>
      <c r="H681" s="1574">
        <f>ROUND(F681*B681/100,0)</f>
        <v>2483454</v>
      </c>
      <c r="I681" s="1697">
        <f>$I$603</f>
        <v>5.5339999999999998</v>
      </c>
      <c r="J681" s="1600" t="s">
        <v>377</v>
      </c>
      <c r="K681" s="1574">
        <f>ROUND(I681*$B681/100,0)</f>
        <v>2597021</v>
      </c>
      <c r="M681" s="1570"/>
      <c r="N681" s="1570"/>
      <c r="O681" s="1571"/>
      <c r="P681" s="1571"/>
      <c r="Q681" s="1571"/>
      <c r="R681" s="1570"/>
      <c r="S681" s="1570"/>
      <c r="T681" s="1570"/>
      <c r="U681" s="1570"/>
      <c r="V681" s="1570"/>
      <c r="W681" s="1570"/>
      <c r="X681" s="1570"/>
      <c r="Y681" s="1570"/>
      <c r="Z681" s="1570"/>
      <c r="AA681" s="1570"/>
      <c r="AB681" s="1570"/>
      <c r="AC681" s="1570"/>
      <c r="AD681" s="1570"/>
      <c r="AE681" s="1570"/>
      <c r="AF681" s="1570"/>
      <c r="AG681" s="1570"/>
      <c r="AH681" s="1570"/>
    </row>
    <row r="682" spans="1:36" hidden="1">
      <c r="A682" s="1600" t="s">
        <v>402</v>
      </c>
      <c r="B682" s="1599">
        <f>12600+297600+1358400+747880+33430363+73745341-B681</f>
        <v>62663728</v>
      </c>
      <c r="C682" s="1705">
        <v>4.2469999999999999</v>
      </c>
      <c r="D682" s="1600" t="s">
        <v>377</v>
      </c>
      <c r="E682" s="1574">
        <f>ROUND(C682*$B682/100,0)</f>
        <v>2661329</v>
      </c>
      <c r="F682" s="1706">
        <v>4.8499999999999996</v>
      </c>
      <c r="G682" s="1600" t="s">
        <v>377</v>
      </c>
      <c r="H682" s="1574">
        <f t="shared" ref="H682:H683" si="122">ROUND(F682*B682/100,0)</f>
        <v>3039191</v>
      </c>
      <c r="I682" s="1697">
        <f>$I$604</f>
        <v>5.069</v>
      </c>
      <c r="J682" s="1600" t="s">
        <v>377</v>
      </c>
      <c r="K682" s="1574">
        <f>ROUND(I682*$B682/100,0)</f>
        <v>3176424</v>
      </c>
      <c r="M682" s="1570"/>
      <c r="N682" s="1570"/>
      <c r="O682" s="1571"/>
      <c r="P682" s="1571"/>
      <c r="Q682" s="1571"/>
      <c r="R682" s="1570"/>
      <c r="S682" s="1570"/>
      <c r="T682" s="1570"/>
      <c r="U682" s="1570"/>
      <c r="V682" s="1570"/>
      <c r="W682" s="1570"/>
      <c r="X682" s="1570"/>
      <c r="Y682" s="1570"/>
      <c r="Z682" s="1570"/>
      <c r="AA682" s="1570"/>
      <c r="AB682" s="1570"/>
      <c r="AC682" s="1570"/>
      <c r="AD682" s="1570"/>
      <c r="AE682" s="1570"/>
      <c r="AF682" s="1570"/>
      <c r="AG682" s="1570"/>
      <c r="AH682" s="1570"/>
    </row>
    <row r="683" spans="1:36" hidden="1">
      <c r="A683" s="1600" t="s">
        <v>403</v>
      </c>
      <c r="B683" s="1599">
        <f>28+1042+308+41191+74542</f>
        <v>117111</v>
      </c>
      <c r="C683" s="1661">
        <v>50</v>
      </c>
      <c r="D683" s="1600" t="s">
        <v>377</v>
      </c>
      <c r="E683" s="1574">
        <f>ROUND(C683*$B683/100,0)</f>
        <v>58556</v>
      </c>
      <c r="F683" s="1707">
        <v>56</v>
      </c>
      <c r="G683" s="1600" t="s">
        <v>377</v>
      </c>
      <c r="H683" s="1574">
        <f t="shared" si="122"/>
        <v>65582</v>
      </c>
      <c r="I683" s="1708">
        <f>$I$605</f>
        <v>59</v>
      </c>
      <c r="J683" s="1600" t="s">
        <v>377</v>
      </c>
      <c r="K683" s="1574">
        <f>ROUND(I683*$B683/100,0)</f>
        <v>69095</v>
      </c>
      <c r="M683" s="1570"/>
      <c r="N683" s="1570"/>
      <c r="O683" s="1571"/>
      <c r="P683" s="1571"/>
      <c r="Q683" s="1571"/>
      <c r="R683" s="1570"/>
      <c r="S683" s="1570"/>
      <c r="T683" s="1570"/>
      <c r="U683" s="1570"/>
      <c r="V683" s="1570"/>
      <c r="W683" s="1570"/>
      <c r="X683" s="1570"/>
      <c r="Y683" s="1570"/>
      <c r="Z683" s="1570"/>
      <c r="AA683" s="1570"/>
      <c r="AB683" s="1570"/>
      <c r="AC683" s="1570"/>
      <c r="AD683" s="1570"/>
      <c r="AE683" s="1570"/>
      <c r="AF683" s="1570"/>
      <c r="AG683" s="1570"/>
      <c r="AH683" s="1570"/>
    </row>
    <row r="684" spans="1:36" hidden="1">
      <c r="A684" s="1569" t="s">
        <v>936</v>
      </c>
      <c r="B684" s="1575">
        <f>B681</f>
        <v>46928456</v>
      </c>
      <c r="C684" s="1584"/>
      <c r="D684" s="1570"/>
      <c r="E684" s="1577"/>
      <c r="F684" s="1584"/>
      <c r="G684" s="1570"/>
      <c r="H684" s="1577"/>
      <c r="I684" s="1389">
        <f>I606</f>
        <v>0</v>
      </c>
      <c r="J684" s="1574" t="s">
        <v>377</v>
      </c>
      <c r="K684" s="1574">
        <f t="shared" ref="K684:K685" si="123">ROUND(I684*$B684/100,0)</f>
        <v>0</v>
      </c>
      <c r="M684" s="1578"/>
      <c r="O684" s="1579"/>
      <c r="P684" s="1569"/>
      <c r="Q684" s="1569"/>
      <c r="R684" s="1580"/>
      <c r="S684" s="1580"/>
      <c r="X684" s="1570"/>
      <c r="Y684" s="1570"/>
      <c r="Z684" s="1570"/>
      <c r="AA684" s="1570"/>
      <c r="AB684" s="1570"/>
      <c r="AC684" s="1570"/>
      <c r="AD684" s="1570"/>
      <c r="AE684" s="1570"/>
      <c r="AF684" s="1570"/>
      <c r="AG684" s="1570"/>
      <c r="AH684" s="1570"/>
      <c r="AJ684" s="1578"/>
    </row>
    <row r="685" spans="1:36" hidden="1">
      <c r="A685" s="1569" t="s">
        <v>937</v>
      </c>
      <c r="B685" s="1575">
        <f>B682</f>
        <v>62663728</v>
      </c>
      <c r="C685" s="1584"/>
      <c r="D685" s="1570"/>
      <c r="E685" s="1577"/>
      <c r="F685" s="1584"/>
      <c r="G685" s="1570"/>
      <c r="H685" s="1577"/>
      <c r="I685" s="1389">
        <f>I607</f>
        <v>0</v>
      </c>
      <c r="J685" s="1574" t="s">
        <v>377</v>
      </c>
      <c r="K685" s="1574">
        <f t="shared" si="123"/>
        <v>0</v>
      </c>
      <c r="M685" s="1578"/>
      <c r="O685" s="1579"/>
      <c r="P685" s="1569"/>
      <c r="Q685" s="1569"/>
      <c r="R685" s="1580"/>
      <c r="S685" s="1580"/>
      <c r="X685" s="1570"/>
      <c r="Y685" s="1570"/>
      <c r="Z685" s="1570"/>
      <c r="AA685" s="1570"/>
      <c r="AB685" s="1570"/>
      <c r="AC685" s="1570"/>
      <c r="AD685" s="1570"/>
      <c r="AE685" s="1570"/>
      <c r="AF685" s="1570"/>
      <c r="AG685" s="1570"/>
      <c r="AH685" s="1570"/>
      <c r="AJ685" s="1578"/>
    </row>
    <row r="686" spans="1:36" hidden="1">
      <c r="A686" s="253" t="s">
        <v>404</v>
      </c>
      <c r="B686" s="1599"/>
      <c r="C686" s="1655">
        <v>-0.01</v>
      </c>
      <c r="D686" s="1577"/>
      <c r="E686" s="1574"/>
      <c r="F686" s="1655">
        <v>-0.01</v>
      </c>
      <c r="G686" s="1585"/>
      <c r="H686" s="1574"/>
      <c r="I686" s="1655">
        <v>-0.01</v>
      </c>
      <c r="J686" s="1585"/>
      <c r="K686" s="1574"/>
      <c r="M686" s="1570"/>
      <c r="N686" s="1570"/>
      <c r="O686" s="1571"/>
      <c r="P686" s="1571"/>
      <c r="Q686" s="1571"/>
      <c r="R686" s="1570"/>
      <c r="S686" s="1570"/>
      <c r="T686" s="1570"/>
      <c r="U686" s="1570"/>
      <c r="V686" s="1570"/>
      <c r="W686" s="1570"/>
      <c r="X686" s="1570"/>
      <c r="Y686" s="1570"/>
      <c r="Z686" s="1570"/>
      <c r="AA686" s="1570"/>
      <c r="AB686" s="1570"/>
      <c r="AC686" s="1570"/>
      <c r="AD686" s="1570"/>
      <c r="AE686" s="1570"/>
      <c r="AF686" s="1570"/>
      <c r="AG686" s="1570"/>
      <c r="AH686" s="1570"/>
    </row>
    <row r="687" spans="1:36" hidden="1">
      <c r="A687" s="1600" t="s">
        <v>424</v>
      </c>
      <c r="B687" s="1599">
        <v>0</v>
      </c>
      <c r="C687" s="1620">
        <v>227</v>
      </c>
      <c r="D687" s="1693"/>
      <c r="E687" s="1574">
        <f>ROUND(C687*$B687*C686,0)</f>
        <v>0</v>
      </c>
      <c r="F687" s="1620">
        <v>259</v>
      </c>
      <c r="G687" s="1609"/>
      <c r="H687" s="1574">
        <f>ROUND(F687*B687*$F$648,0)</f>
        <v>0</v>
      </c>
      <c r="I687" s="1620">
        <f>I671</f>
        <v>271</v>
      </c>
      <c r="J687" s="1609"/>
      <c r="K687" s="1574">
        <f>ROUND(I687*$B687*I686,0)</f>
        <v>0</v>
      </c>
      <c r="M687" s="1570"/>
      <c r="N687" s="1570"/>
      <c r="O687" s="1571"/>
      <c r="P687" s="1571"/>
      <c r="Q687" s="1571"/>
      <c r="R687" s="1570"/>
      <c r="S687" s="1570"/>
      <c r="T687" s="1570"/>
      <c r="U687" s="1570"/>
      <c r="V687" s="1570"/>
      <c r="W687" s="1570"/>
      <c r="X687" s="1570"/>
      <c r="Y687" s="1570"/>
      <c r="Z687" s="1570"/>
      <c r="AA687" s="1570"/>
      <c r="AB687" s="1570"/>
      <c r="AC687" s="1570"/>
      <c r="AD687" s="1570"/>
      <c r="AE687" s="1570"/>
      <c r="AF687" s="1570"/>
      <c r="AG687" s="1570"/>
      <c r="AH687" s="1570"/>
    </row>
    <row r="688" spans="1:36" hidden="1">
      <c r="A688" s="1600" t="s">
        <v>425</v>
      </c>
      <c r="B688" s="1599">
        <f>9</f>
        <v>9</v>
      </c>
      <c r="C688" s="1620">
        <v>84</v>
      </c>
      <c r="D688" s="1693"/>
      <c r="E688" s="1574">
        <f>ROUND(C688*$B688*C686,0)</f>
        <v>-8</v>
      </c>
      <c r="F688" s="1620">
        <v>96</v>
      </c>
      <c r="G688" s="1609"/>
      <c r="H688" s="1574">
        <f t="shared" ref="H688:H693" si="124">ROUND(F688*B688*$F$648,0)</f>
        <v>-9</v>
      </c>
      <c r="I688" s="1620">
        <f>I672</f>
        <v>101</v>
      </c>
      <c r="J688" s="1609"/>
      <c r="K688" s="1574">
        <f>ROUND(I688*$B688*I686,0)</f>
        <v>-9</v>
      </c>
      <c r="M688" s="1570"/>
      <c r="N688" s="1570"/>
      <c r="O688" s="1571"/>
      <c r="P688" s="1571"/>
      <c r="Q688" s="1571"/>
      <c r="R688" s="1570"/>
      <c r="S688" s="1570"/>
      <c r="T688" s="1570"/>
      <c r="U688" s="1570"/>
      <c r="V688" s="1570"/>
      <c r="W688" s="1570"/>
      <c r="X688" s="1570"/>
      <c r="Y688" s="1570"/>
      <c r="Z688" s="1570"/>
      <c r="AA688" s="1570"/>
      <c r="AB688" s="1570"/>
      <c r="AC688" s="1570"/>
      <c r="AD688" s="1570"/>
      <c r="AE688" s="1570"/>
      <c r="AF688" s="1570"/>
      <c r="AG688" s="1570"/>
      <c r="AH688" s="1570"/>
    </row>
    <row r="689" spans="1:36" hidden="1">
      <c r="A689" s="1600" t="s">
        <v>426</v>
      </c>
      <c r="B689" s="1599">
        <f>4</f>
        <v>4</v>
      </c>
      <c r="C689" s="1620">
        <v>168</v>
      </c>
      <c r="D689" s="1700"/>
      <c r="E689" s="1574">
        <f>ROUND(C689*$B689*C686,0)</f>
        <v>-7</v>
      </c>
      <c r="F689" s="1620">
        <v>192</v>
      </c>
      <c r="G689" s="1701"/>
      <c r="H689" s="1574">
        <f t="shared" si="124"/>
        <v>-8</v>
      </c>
      <c r="I689" s="1620">
        <f>I673</f>
        <v>201</v>
      </c>
      <c r="J689" s="1701"/>
      <c r="K689" s="1574">
        <f>ROUND(I689*$B689*I686,0)</f>
        <v>-8</v>
      </c>
      <c r="M689" s="1570"/>
      <c r="N689" s="1570"/>
      <c r="O689" s="1571"/>
      <c r="P689" s="1571"/>
      <c r="Q689" s="1571"/>
      <c r="R689" s="1570"/>
      <c r="S689" s="1570"/>
      <c r="T689" s="1570"/>
      <c r="U689" s="1570"/>
      <c r="V689" s="1570"/>
      <c r="W689" s="1570"/>
      <c r="X689" s="1570"/>
      <c r="Y689" s="1570"/>
      <c r="Z689" s="1570"/>
      <c r="AA689" s="1570"/>
      <c r="AB689" s="1570"/>
      <c r="AC689" s="1570"/>
      <c r="AD689" s="1570"/>
      <c r="AE689" s="1570"/>
      <c r="AF689" s="1570"/>
      <c r="AG689" s="1570"/>
      <c r="AH689" s="1570"/>
    </row>
    <row r="690" spans="1:36" hidden="1">
      <c r="A690" s="1600" t="s">
        <v>425</v>
      </c>
      <c r="B690" s="1599">
        <f>1424</f>
        <v>1424</v>
      </c>
      <c r="C690" s="1620">
        <v>1.48</v>
      </c>
      <c r="D690" s="1693"/>
      <c r="E690" s="1574">
        <f>ROUND(C690*$B690*C686,0)</f>
        <v>-21</v>
      </c>
      <c r="F690" s="1620">
        <v>1.7</v>
      </c>
      <c r="G690" s="1609"/>
      <c r="H690" s="1574">
        <f t="shared" si="124"/>
        <v>-24</v>
      </c>
      <c r="I690" s="1620">
        <f>I675</f>
        <v>1.78</v>
      </c>
      <c r="J690" s="1609"/>
      <c r="K690" s="1574">
        <f>ROUND(I690*$B690*I686,0)</f>
        <v>-25</v>
      </c>
      <c r="M690" s="1570"/>
      <c r="N690" s="1570"/>
      <c r="O690" s="1571"/>
      <c r="P690" s="1571"/>
      <c r="Q690" s="1571"/>
      <c r="R690" s="1570"/>
      <c r="S690" s="1570"/>
      <c r="T690" s="1570"/>
      <c r="U690" s="1570"/>
      <c r="V690" s="1570"/>
      <c r="W690" s="1570"/>
      <c r="X690" s="1570"/>
      <c r="Y690" s="1570"/>
      <c r="Z690" s="1570"/>
      <c r="AA690" s="1570"/>
      <c r="AB690" s="1570"/>
      <c r="AC690" s="1570"/>
      <c r="AD690" s="1570"/>
      <c r="AE690" s="1570"/>
      <c r="AF690" s="1570"/>
      <c r="AG690" s="1570"/>
      <c r="AH690" s="1570"/>
    </row>
    <row r="691" spans="1:36" hidden="1">
      <c r="A691" s="1600" t="s">
        <v>426</v>
      </c>
      <c r="B691" s="1599">
        <f>4002</f>
        <v>4002</v>
      </c>
      <c r="C691" s="1620">
        <v>1.22</v>
      </c>
      <c r="D691" s="1693" t="s">
        <v>31</v>
      </c>
      <c r="E691" s="1574">
        <f>ROUND(C691*$B691*C686,0)</f>
        <v>-49</v>
      </c>
      <c r="F691" s="1620">
        <v>1.39</v>
      </c>
      <c r="G691" s="1609"/>
      <c r="H691" s="1574">
        <f t="shared" si="124"/>
        <v>-56</v>
      </c>
      <c r="I691" s="1620">
        <f>I676</f>
        <v>1.46</v>
      </c>
      <c r="J691" s="1609"/>
      <c r="K691" s="1574">
        <f>ROUND(I691*$B691*I686,0)</f>
        <v>-58</v>
      </c>
      <c r="M691" s="1570"/>
      <c r="N691" s="1570"/>
      <c r="O691" s="1571"/>
      <c r="P691" s="1571"/>
      <c r="Q691" s="1571"/>
      <c r="R691" s="1570"/>
      <c r="S691" s="1570"/>
      <c r="T691" s="1570"/>
      <c r="U691" s="1570"/>
      <c r="V691" s="1570"/>
      <c r="W691" s="1570"/>
      <c r="X691" s="1570"/>
      <c r="Y691" s="1570"/>
      <c r="Z691" s="1570"/>
      <c r="AA691" s="1570"/>
      <c r="AB691" s="1570"/>
      <c r="AC691" s="1570"/>
      <c r="AD691" s="1570"/>
      <c r="AE691" s="1570"/>
      <c r="AF691" s="1570"/>
      <c r="AG691" s="1570"/>
      <c r="AH691" s="1570"/>
    </row>
    <row r="692" spans="1:36" hidden="1">
      <c r="A692" s="1600" t="s">
        <v>428</v>
      </c>
      <c r="B692" s="1599">
        <f>41+721+4015</f>
        <v>4777</v>
      </c>
      <c r="C692" s="1620">
        <v>3.88</v>
      </c>
      <c r="D692" s="1693" t="s">
        <v>31</v>
      </c>
      <c r="E692" s="1574">
        <f>ROUND(C692*$B692*C686,0)</f>
        <v>-185</v>
      </c>
      <c r="F692" s="1620">
        <v>4.4400000000000004</v>
      </c>
      <c r="G692" s="1609"/>
      <c r="H692" s="1574">
        <f t="shared" si="124"/>
        <v>-212</v>
      </c>
      <c r="I692" s="1620">
        <f>I678</f>
        <v>4.6399999999999997</v>
      </c>
      <c r="J692" s="1609"/>
      <c r="K692" s="1574">
        <f>ROUND(I692*$B692*I686,0)</f>
        <v>-222</v>
      </c>
      <c r="M692" s="1570"/>
      <c r="N692" s="1570"/>
      <c r="O692" s="1571"/>
      <c r="P692" s="1571"/>
      <c r="Q692" s="1571"/>
      <c r="R692" s="1570"/>
      <c r="S692" s="1570"/>
      <c r="T692" s="1570"/>
      <c r="U692" s="1570"/>
      <c r="V692" s="1570"/>
      <c r="W692" s="1570"/>
      <c r="X692" s="1570"/>
      <c r="Y692" s="1570"/>
      <c r="Z692" s="1570"/>
      <c r="AA692" s="1570"/>
      <c r="AB692" s="1570"/>
      <c r="AC692" s="1570"/>
      <c r="AD692" s="1570"/>
      <c r="AE692" s="1570"/>
      <c r="AF692" s="1570"/>
      <c r="AG692" s="1570"/>
      <c r="AH692" s="1570"/>
    </row>
    <row r="693" spans="1:36" hidden="1">
      <c r="A693" s="1600" t="s">
        <v>444</v>
      </c>
      <c r="B693" s="1599">
        <f>-69</f>
        <v>-69</v>
      </c>
      <c r="C693" s="1620">
        <v>3.88</v>
      </c>
      <c r="D693" s="1693" t="s">
        <v>31</v>
      </c>
      <c r="E693" s="1574">
        <f>ROUND(C693*$B693*C686,0)</f>
        <v>3</v>
      </c>
      <c r="F693" s="1620">
        <v>4.4400000000000004</v>
      </c>
      <c r="G693" s="1609"/>
      <c r="H693" s="1574">
        <f t="shared" si="124"/>
        <v>3</v>
      </c>
      <c r="I693" s="1620">
        <f>I679</f>
        <v>4.6399999999999997</v>
      </c>
      <c r="J693" s="1609"/>
      <c r="K693" s="1574">
        <f>ROUND(I693*$B693*I686,0)</f>
        <v>3</v>
      </c>
      <c r="M693" s="1570"/>
      <c r="N693" s="1570"/>
      <c r="O693" s="1571"/>
      <c r="P693" s="1571"/>
      <c r="Q693" s="1571"/>
      <c r="R693" s="1570"/>
      <c r="S693" s="1570"/>
      <c r="T693" s="1570"/>
      <c r="U693" s="1570"/>
      <c r="V693" s="1570"/>
      <c r="W693" s="1570"/>
      <c r="X693" s="1570"/>
      <c r="Y693" s="1570"/>
      <c r="Z693" s="1570"/>
      <c r="AA693" s="1570"/>
      <c r="AB693" s="1570"/>
      <c r="AC693" s="1570"/>
      <c r="AD693" s="1570"/>
      <c r="AE693" s="1570"/>
      <c r="AF693" s="1570"/>
      <c r="AG693" s="1570"/>
      <c r="AH693" s="1570"/>
    </row>
    <row r="694" spans="1:36" hidden="1">
      <c r="A694" s="1600" t="s">
        <v>430</v>
      </c>
      <c r="B694" s="1599">
        <f>9333+294400+156000</f>
        <v>459733</v>
      </c>
      <c r="C694" s="1628">
        <v>4.6340000000000003</v>
      </c>
      <c r="D694" s="1574" t="s">
        <v>377</v>
      </c>
      <c r="E694" s="1574">
        <f>ROUND(C694*$B694/100*C686,0)</f>
        <v>-213</v>
      </c>
      <c r="F694" s="1628">
        <v>5.2939999999999996</v>
      </c>
      <c r="G694" s="1600" t="s">
        <v>377</v>
      </c>
      <c r="H694" s="1574">
        <f>ROUND(F694*B694/100*$F$648,0)</f>
        <v>-243</v>
      </c>
      <c r="I694" s="1628">
        <f>I681</f>
        <v>5.5339999999999998</v>
      </c>
      <c r="J694" s="1600" t="s">
        <v>377</v>
      </c>
      <c r="K694" s="1574">
        <f>ROUND(I694*$B694/100*I686,0)</f>
        <v>-254</v>
      </c>
      <c r="M694" s="1570"/>
      <c r="N694" s="1570"/>
      <c r="O694" s="1571"/>
      <c r="P694" s="1571"/>
      <c r="Q694" s="1571"/>
      <c r="R694" s="1570"/>
      <c r="S694" s="1570"/>
      <c r="T694" s="1570"/>
      <c r="U694" s="1570"/>
      <c r="V694" s="1570"/>
      <c r="W694" s="1570"/>
      <c r="X694" s="1570"/>
      <c r="Y694" s="1570"/>
      <c r="Z694" s="1570"/>
      <c r="AA694" s="1570"/>
      <c r="AB694" s="1570"/>
      <c r="AC694" s="1570"/>
      <c r="AD694" s="1570"/>
      <c r="AE694" s="1570"/>
      <c r="AF694" s="1570"/>
      <c r="AG694" s="1570"/>
      <c r="AH694" s="1570"/>
    </row>
    <row r="695" spans="1:36" hidden="1">
      <c r="A695" s="1600" t="s">
        <v>402</v>
      </c>
      <c r="B695" s="1599">
        <f>12600+297600+1358400-B694</f>
        <v>1208867</v>
      </c>
      <c r="C695" s="1628">
        <v>4.2469999999999999</v>
      </c>
      <c r="D695" s="1574" t="s">
        <v>377</v>
      </c>
      <c r="E695" s="1574">
        <f>ROUND(C695*$B695/100*C686,0)</f>
        <v>-513</v>
      </c>
      <c r="F695" s="1628">
        <v>4.8520000000000003</v>
      </c>
      <c r="G695" s="1600" t="s">
        <v>377</v>
      </c>
      <c r="H695" s="1574">
        <f>ROUND(F695*B695/100*$F$648,0)</f>
        <v>-587</v>
      </c>
      <c r="I695" s="1628">
        <f>I682</f>
        <v>5.069</v>
      </c>
      <c r="J695" s="1600" t="s">
        <v>377</v>
      </c>
      <c r="K695" s="1574">
        <f>ROUND(I695*$B695/100*I686,0)</f>
        <v>-613</v>
      </c>
      <c r="M695" s="1570"/>
      <c r="N695" s="1570"/>
      <c r="O695" s="1571"/>
      <c r="P695" s="1571"/>
      <c r="Q695" s="1571"/>
      <c r="R695" s="1570"/>
      <c r="S695" s="1570"/>
      <c r="T695" s="1570"/>
      <c r="U695" s="1570"/>
      <c r="V695" s="1570"/>
      <c r="W695" s="1570"/>
      <c r="X695" s="1570"/>
      <c r="Y695" s="1570"/>
      <c r="Z695" s="1570"/>
      <c r="AA695" s="1570"/>
      <c r="AB695" s="1570"/>
      <c r="AC695" s="1570"/>
      <c r="AD695" s="1570"/>
      <c r="AE695" s="1570"/>
      <c r="AF695" s="1570"/>
      <c r="AG695" s="1570"/>
      <c r="AH695" s="1570"/>
    </row>
    <row r="696" spans="1:36" hidden="1">
      <c r="A696" s="1600" t="s">
        <v>403</v>
      </c>
      <c r="B696" s="1599">
        <f>28+1042</f>
        <v>1070</v>
      </c>
      <c r="C696" s="1702">
        <v>50</v>
      </c>
      <c r="D696" s="1574" t="s">
        <v>377</v>
      </c>
      <c r="E696" s="1574">
        <f>ROUND(C696*$B696/100*C686,0)</f>
        <v>-5</v>
      </c>
      <c r="F696" s="1702">
        <v>56</v>
      </c>
      <c r="G696" s="1600" t="s">
        <v>377</v>
      </c>
      <c r="H696" s="1574">
        <f>ROUND(F696*B696/100*$F$648,0)</f>
        <v>-6</v>
      </c>
      <c r="I696" s="1702">
        <f>I683</f>
        <v>59</v>
      </c>
      <c r="J696" s="1600" t="s">
        <v>377</v>
      </c>
      <c r="K696" s="1574">
        <f>ROUND(I696*$B696/100*I686,0)</f>
        <v>-6</v>
      </c>
      <c r="M696" s="1570"/>
      <c r="N696" s="1570"/>
      <c r="O696" s="1571"/>
      <c r="P696" s="1571"/>
      <c r="Q696" s="1571"/>
      <c r="R696" s="1570"/>
      <c r="S696" s="1570"/>
      <c r="T696" s="1570"/>
      <c r="U696" s="1570"/>
      <c r="V696" s="1570"/>
      <c r="W696" s="1570"/>
      <c r="X696" s="1570"/>
      <c r="Y696" s="1570"/>
      <c r="Z696" s="1570"/>
      <c r="AA696" s="1570"/>
      <c r="AB696" s="1570"/>
      <c r="AC696" s="1570"/>
      <c r="AD696" s="1570"/>
      <c r="AE696" s="1570"/>
      <c r="AF696" s="1570"/>
      <c r="AG696" s="1570"/>
      <c r="AH696" s="1570"/>
    </row>
    <row r="697" spans="1:36" hidden="1">
      <c r="A697" s="1600" t="s">
        <v>446</v>
      </c>
      <c r="B697" s="1599">
        <f>9+4</f>
        <v>13</v>
      </c>
      <c r="C697" s="1614">
        <v>60</v>
      </c>
      <c r="D697" s="1693" t="s">
        <v>31</v>
      </c>
      <c r="E697" s="1574">
        <f>ROUND(C697*$B697,0)</f>
        <v>780</v>
      </c>
      <c r="F697" s="1614">
        <v>60</v>
      </c>
      <c r="G697" s="1585"/>
      <c r="H697" s="1574">
        <f>ROUND(F697*B697,0)</f>
        <v>780</v>
      </c>
      <c r="I697" s="1614">
        <f>$I$621</f>
        <v>60</v>
      </c>
      <c r="J697" s="1585"/>
      <c r="K697" s="1574">
        <f>ROUND(I697*$B697,0)</f>
        <v>780</v>
      </c>
      <c r="M697" s="1570"/>
      <c r="N697" s="1570"/>
      <c r="O697" s="1571"/>
      <c r="P697" s="1571"/>
      <c r="Q697" s="1571"/>
      <c r="R697" s="1570"/>
      <c r="S697" s="1570"/>
      <c r="T697" s="1570"/>
      <c r="U697" s="1570"/>
      <c r="V697" s="1570"/>
      <c r="W697" s="1570"/>
      <c r="X697" s="1570"/>
      <c r="Y697" s="1570"/>
      <c r="Z697" s="1570"/>
      <c r="AA697" s="1570"/>
      <c r="AB697" s="1570"/>
      <c r="AC697" s="1570"/>
      <c r="AD697" s="1570"/>
      <c r="AE697" s="1570"/>
      <c r="AF697" s="1570"/>
      <c r="AG697" s="1570"/>
      <c r="AH697" s="1570"/>
    </row>
    <row r="698" spans="1:36" hidden="1">
      <c r="A698" s="1600" t="s">
        <v>447</v>
      </c>
      <c r="B698" s="1599">
        <f>B690+B691</f>
        <v>5426</v>
      </c>
      <c r="C698" s="1661">
        <v>-30</v>
      </c>
      <c r="D698" s="1574" t="s">
        <v>377</v>
      </c>
      <c r="E698" s="1574">
        <f>ROUND(C698*$B698/100,0)</f>
        <v>-1628</v>
      </c>
      <c r="F698" s="1661">
        <v>-30</v>
      </c>
      <c r="G698" s="1574" t="s">
        <v>377</v>
      </c>
      <c r="H698" s="1574">
        <f>-ROUND(F698*B698*$F$648,0)</f>
        <v>-1628</v>
      </c>
      <c r="I698" s="1661">
        <f>$I$622</f>
        <v>-30</v>
      </c>
      <c r="J698" s="1574" t="s">
        <v>377</v>
      </c>
      <c r="K698" s="1574">
        <f>ROUND(I698*$B698/100,0)</f>
        <v>-1628</v>
      </c>
      <c r="M698" s="1570"/>
      <c r="N698" s="1570"/>
      <c r="O698" s="1571"/>
      <c r="P698" s="1571"/>
      <c r="Q698" s="1571"/>
      <c r="R698" s="1570"/>
      <c r="S698" s="1570"/>
      <c r="T698" s="1570"/>
      <c r="U698" s="1570"/>
      <c r="V698" s="1570"/>
      <c r="W698" s="1570"/>
      <c r="X698" s="1570"/>
      <c r="Y698" s="1570"/>
      <c r="Z698" s="1570"/>
      <c r="AA698" s="1570"/>
      <c r="AB698" s="1570"/>
      <c r="AC698" s="1570"/>
      <c r="AD698" s="1570"/>
      <c r="AE698" s="1570"/>
      <c r="AF698" s="1570"/>
      <c r="AG698" s="1570"/>
      <c r="AH698" s="1570"/>
    </row>
    <row r="699" spans="1:36" hidden="1">
      <c r="A699" s="1569" t="s">
        <v>936</v>
      </c>
      <c r="B699" s="1575">
        <f>B694</f>
        <v>459733</v>
      </c>
      <c r="C699" s="1584"/>
      <c r="D699" s="1570"/>
      <c r="E699" s="1577"/>
      <c r="F699" s="1584"/>
      <c r="G699" s="1570"/>
      <c r="H699" s="1577"/>
      <c r="I699" s="1389">
        <f>I684</f>
        <v>0</v>
      </c>
      <c r="J699" s="1574" t="s">
        <v>377</v>
      </c>
      <c r="K699" s="1574">
        <f>ROUND(I699*$B699/100*I686,0)</f>
        <v>0</v>
      </c>
      <c r="M699" s="1578"/>
      <c r="O699" s="1579"/>
      <c r="P699" s="1569"/>
      <c r="Q699" s="1569"/>
      <c r="R699" s="1580"/>
      <c r="S699" s="1580"/>
      <c r="X699" s="1570"/>
      <c r="Y699" s="1570"/>
      <c r="Z699" s="1570"/>
      <c r="AA699" s="1570"/>
      <c r="AB699" s="1570"/>
      <c r="AC699" s="1570"/>
      <c r="AD699" s="1570"/>
      <c r="AE699" s="1570"/>
      <c r="AF699" s="1570"/>
      <c r="AG699" s="1570"/>
      <c r="AH699" s="1570"/>
      <c r="AJ699" s="1578"/>
    </row>
    <row r="700" spans="1:36" hidden="1">
      <c r="A700" s="1569" t="s">
        <v>937</v>
      </c>
      <c r="B700" s="1575">
        <f>B695</f>
        <v>1208867</v>
      </c>
      <c r="C700" s="1584"/>
      <c r="D700" s="1570"/>
      <c r="E700" s="1577"/>
      <c r="F700" s="1584"/>
      <c r="G700" s="1570"/>
      <c r="H700" s="1577"/>
      <c r="I700" s="1389">
        <f>I685</f>
        <v>0</v>
      </c>
      <c r="J700" s="1574" t="s">
        <v>377</v>
      </c>
      <c r="K700" s="1574">
        <f>ROUND(I700*$B700/100*I686,0)</f>
        <v>0</v>
      </c>
      <c r="M700" s="1578"/>
      <c r="O700" s="1579"/>
      <c r="P700" s="1569"/>
      <c r="Q700" s="1569"/>
      <c r="R700" s="1580"/>
      <c r="S700" s="1580"/>
      <c r="X700" s="1570"/>
      <c r="Y700" s="1570"/>
      <c r="Z700" s="1570"/>
      <c r="AA700" s="1570"/>
      <c r="AB700" s="1570"/>
      <c r="AC700" s="1570"/>
      <c r="AD700" s="1570"/>
      <c r="AE700" s="1570"/>
      <c r="AF700" s="1570"/>
      <c r="AG700" s="1570"/>
      <c r="AH700" s="1570"/>
      <c r="AJ700" s="1578"/>
    </row>
    <row r="701" spans="1:36" hidden="1">
      <c r="A701" s="1585" t="s">
        <v>384</v>
      </c>
      <c r="B701" s="1599">
        <f>SUM(B681:B682)</f>
        <v>109592184</v>
      </c>
      <c r="C701" s="1647"/>
      <c r="D701" s="1577"/>
      <c r="E701" s="1577">
        <f>SUM(E671:E698)</f>
        <v>7174229</v>
      </c>
      <c r="F701" s="1647"/>
      <c r="G701" s="1585"/>
      <c r="H701" s="1577">
        <f>SUM(H671:H698)</f>
        <v>8196036</v>
      </c>
      <c r="I701" s="1647"/>
      <c r="J701" s="1585"/>
      <c r="K701" s="1577">
        <f>SUM(K671:K700)</f>
        <v>8571678</v>
      </c>
      <c r="M701" s="1570"/>
      <c r="N701" s="1570"/>
      <c r="O701" s="1571"/>
      <c r="P701" s="1571"/>
      <c r="Q701" s="1571"/>
      <c r="R701" s="1570"/>
      <c r="S701" s="1570"/>
      <c r="T701" s="1570"/>
      <c r="U701" s="1570"/>
      <c r="V701" s="1570"/>
      <c r="W701" s="1570"/>
      <c r="X701" s="1570"/>
      <c r="Y701" s="1570"/>
      <c r="Z701" s="1570"/>
      <c r="AA701" s="1570"/>
      <c r="AB701" s="1570"/>
      <c r="AC701" s="1570"/>
      <c r="AD701" s="1570"/>
      <c r="AE701" s="1570"/>
      <c r="AF701" s="1570"/>
      <c r="AG701" s="1570"/>
      <c r="AH701" s="1570"/>
    </row>
    <row r="702" spans="1:36" hidden="1">
      <c r="A702" s="1585" t="s">
        <v>366</v>
      </c>
      <c r="B702" s="1679">
        <f ca="1">'Table 2'!H76</f>
        <v>1503569.2477187554</v>
      </c>
      <c r="C702" s="1600"/>
      <c r="D702" s="1600"/>
      <c r="E702" s="1631" t="e">
        <f>#REF!</f>
        <v>#REF!</v>
      </c>
      <c r="F702" s="1600"/>
      <c r="G702" s="1600"/>
      <c r="H702" s="1631">
        <f ca="1">'Table 3'!E76</f>
        <v>132135.06500870228</v>
      </c>
      <c r="I702" s="1600"/>
      <c r="J702" s="1600"/>
      <c r="K702" s="1631">
        <f ca="1">H702</f>
        <v>132135.06500870228</v>
      </c>
      <c r="M702" s="1422"/>
      <c r="N702" s="1422"/>
      <c r="O702" s="1423"/>
      <c r="P702" s="1571"/>
      <c r="Q702" s="1571"/>
      <c r="R702" s="1570"/>
      <c r="S702" s="1570"/>
      <c r="T702" s="1570"/>
      <c r="U702" s="1570"/>
      <c r="V702" s="1570"/>
      <c r="W702" s="1570"/>
      <c r="X702" s="1570"/>
      <c r="Y702" s="1570"/>
      <c r="Z702" s="1570"/>
      <c r="AA702" s="1570"/>
      <c r="AB702" s="1570"/>
      <c r="AC702" s="1570"/>
      <c r="AD702" s="1570"/>
      <c r="AE702" s="1570"/>
      <c r="AF702" s="1570"/>
      <c r="AG702" s="1570"/>
      <c r="AH702" s="1570"/>
    </row>
    <row r="703" spans="1:36" ht="15.75" hidden="1" thickBot="1">
      <c r="A703" s="1585" t="s">
        <v>385</v>
      </c>
      <c r="B703" s="1694">
        <f ca="1">SUM(B701)+B702</f>
        <v>111095753.24771875</v>
      </c>
      <c r="C703" s="1666"/>
      <c r="D703" s="1667"/>
      <c r="E703" s="1668" t="e">
        <f>E701+E702</f>
        <v>#REF!</v>
      </c>
      <c r="F703" s="1666"/>
      <c r="G703" s="1670"/>
      <c r="H703" s="1668">
        <f ca="1">H701+H702</f>
        <v>8328171.0650087027</v>
      </c>
      <c r="I703" s="1666"/>
      <c r="J703" s="1670"/>
      <c r="K703" s="1668">
        <f ca="1">K701+K702</f>
        <v>8703813.0650087018</v>
      </c>
      <c r="M703" s="1424"/>
      <c r="N703" s="1424"/>
      <c r="O703" s="1597"/>
      <c r="P703" s="1571"/>
      <c r="Q703" s="1571"/>
      <c r="R703" s="1570"/>
      <c r="S703" s="1570"/>
      <c r="T703" s="1570"/>
      <c r="U703" s="1570"/>
      <c r="V703" s="1570"/>
      <c r="W703" s="1570"/>
      <c r="X703" s="1570"/>
      <c r="Y703" s="1570"/>
      <c r="Z703" s="1570"/>
      <c r="AA703" s="1570"/>
      <c r="AB703" s="1570"/>
      <c r="AC703" s="1570"/>
      <c r="AD703" s="1570"/>
      <c r="AE703" s="1570"/>
      <c r="AF703" s="1570"/>
      <c r="AG703" s="1570"/>
      <c r="AH703" s="1570"/>
    </row>
    <row r="704" spans="1:36" hidden="1">
      <c r="A704" s="1619"/>
      <c r="B704" s="1619"/>
      <c r="C704" s="1610"/>
      <c r="D704" s="1610"/>
      <c r="E704" s="1709"/>
      <c r="F704" s="1585"/>
      <c r="G704" s="1619"/>
      <c r="H704" s="1709"/>
      <c r="I704" s="1619"/>
      <c r="J704" s="1619"/>
      <c r="K704" s="1619"/>
      <c r="M704" s="1570"/>
      <c r="N704" s="1570"/>
      <c r="O704" s="1571"/>
      <c r="P704" s="1571"/>
      <c r="Q704" s="1571"/>
      <c r="R704" s="1570"/>
      <c r="S704" s="1570"/>
      <c r="T704" s="1570"/>
      <c r="U704" s="1570"/>
      <c r="V704" s="1570"/>
      <c r="W704" s="1570"/>
      <c r="X704" s="1570"/>
      <c r="Y704" s="1570"/>
      <c r="Z704" s="1570"/>
      <c r="AA704" s="1570"/>
      <c r="AB704" s="1570"/>
      <c r="AC704" s="1570"/>
      <c r="AD704" s="1570"/>
      <c r="AE704" s="1570"/>
      <c r="AF704" s="1570"/>
      <c r="AG704" s="1570"/>
      <c r="AH704" s="1570"/>
    </row>
    <row r="705" spans="1:34">
      <c r="A705" s="1609" t="s">
        <v>450</v>
      </c>
      <c r="B705" s="1610"/>
      <c r="C705" s="1660"/>
      <c r="D705" s="1577"/>
      <c r="E705" s="1577"/>
      <c r="F705" s="1660"/>
      <c r="G705" s="1585"/>
      <c r="H705" s="1577"/>
      <c r="I705" s="1660"/>
      <c r="J705" s="1585"/>
      <c r="K705" s="1577"/>
      <c r="M705" s="1570"/>
      <c r="N705" s="1570"/>
      <c r="O705" s="1571"/>
      <c r="P705" s="1571"/>
      <c r="Q705" s="1571"/>
      <c r="R705" s="1570"/>
      <c r="S705" s="1570"/>
      <c r="T705" s="1570"/>
      <c r="U705" s="1570"/>
      <c r="V705" s="1570"/>
      <c r="W705" s="1570"/>
      <c r="X705" s="1570"/>
      <c r="Y705" s="1570"/>
      <c r="Z705" s="1570"/>
      <c r="AA705" s="1570"/>
      <c r="AB705" s="1570"/>
      <c r="AC705" s="1570"/>
      <c r="AD705" s="1570"/>
      <c r="AE705" s="1570"/>
      <c r="AF705" s="1570"/>
      <c r="AG705" s="1570"/>
      <c r="AH705" s="1570"/>
    </row>
    <row r="706" spans="1:34">
      <c r="A706" s="1600" t="s">
        <v>451</v>
      </c>
      <c r="B706" s="1610"/>
      <c r="C706" s="1660"/>
      <c r="D706" s="1577"/>
      <c r="E706" s="1577"/>
      <c r="F706" s="1660"/>
      <c r="G706" s="1585"/>
      <c r="H706" s="1577"/>
      <c r="I706" s="1660"/>
      <c r="J706" s="1585"/>
      <c r="K706" s="1577"/>
      <c r="M706" s="1570"/>
      <c r="N706" s="1570"/>
      <c r="O706" s="1571"/>
      <c r="P706" s="1571"/>
      <c r="Q706" s="1571"/>
      <c r="R706" s="1570"/>
      <c r="S706" s="1570"/>
      <c r="T706" s="1570"/>
      <c r="U706" s="1570"/>
      <c r="V706" s="1570"/>
      <c r="W706" s="1570"/>
      <c r="X706" s="1570"/>
      <c r="Y706" s="1570"/>
      <c r="Z706" s="1570"/>
      <c r="AA706" s="1570"/>
      <c r="AB706" s="1570"/>
      <c r="AC706" s="1570"/>
      <c r="AD706" s="1570"/>
      <c r="AE706" s="1570"/>
      <c r="AF706" s="1570"/>
      <c r="AG706" s="1570"/>
      <c r="AH706" s="1570"/>
    </row>
    <row r="707" spans="1:34">
      <c r="A707" s="1600"/>
      <c r="B707" s="1610"/>
      <c r="C707" s="1660"/>
      <c r="D707" s="1577"/>
      <c r="E707" s="1710"/>
      <c r="F707" s="1660"/>
      <c r="G707" s="1585"/>
      <c r="H707" s="1710"/>
      <c r="I707" s="1660"/>
      <c r="J707" s="1585"/>
      <c r="K707" s="1711"/>
      <c r="M707" s="1570"/>
      <c r="N707" s="1570"/>
      <c r="O707" s="1571"/>
      <c r="P707" s="1571"/>
      <c r="Q707" s="1571"/>
      <c r="R707" s="1570"/>
      <c r="S707" s="1570"/>
      <c r="T707" s="1570"/>
      <c r="U707" s="1570"/>
      <c r="V707" s="1570"/>
      <c r="W707" s="1570"/>
      <c r="X707" s="1570"/>
      <c r="Y707" s="1570"/>
      <c r="Z707" s="1570"/>
      <c r="AA707" s="1570"/>
      <c r="AB707" s="1570"/>
      <c r="AC707" s="1570"/>
      <c r="AD707" s="1570"/>
      <c r="AE707" s="1570"/>
      <c r="AF707" s="1570"/>
      <c r="AG707" s="1570"/>
      <c r="AH707" s="1570"/>
    </row>
    <row r="708" spans="1:34">
      <c r="A708" s="1600" t="s">
        <v>452</v>
      </c>
      <c r="B708" s="1599"/>
      <c r="C708" s="1577" t="s">
        <v>31</v>
      </c>
      <c r="D708" s="1577"/>
      <c r="E708" s="1585"/>
      <c r="F708" s="1577" t="s">
        <v>31</v>
      </c>
      <c r="G708" s="1585"/>
      <c r="H708" s="1585"/>
      <c r="I708" s="1577" t="s">
        <v>31</v>
      </c>
      <c r="J708" s="1585"/>
      <c r="K708" s="1585"/>
      <c r="M708" s="1570"/>
      <c r="N708" s="1570"/>
      <c r="O708" s="1571"/>
      <c r="P708" s="1570"/>
      <c r="Q708" s="1570"/>
      <c r="R708" s="1570"/>
      <c r="S708" s="1570"/>
      <c r="T708" s="1570"/>
      <c r="U708" s="1570"/>
      <c r="V708" s="1570"/>
      <c r="W708" s="1570"/>
      <c r="X708" s="1570"/>
      <c r="AB708" s="1570"/>
      <c r="AC708" s="1570"/>
      <c r="AD708" s="1570"/>
      <c r="AE708" s="1570"/>
      <c r="AF708" s="1570"/>
      <c r="AG708" s="1570"/>
      <c r="AH708" s="1570"/>
    </row>
    <row r="709" spans="1:34">
      <c r="A709" s="1600" t="s">
        <v>453</v>
      </c>
      <c r="B709" s="1599">
        <f>B763+B816</f>
        <v>1049</v>
      </c>
      <c r="C709" s="1660">
        <v>0</v>
      </c>
      <c r="D709" s="1641"/>
      <c r="E709" s="1574">
        <f>E763+E816</f>
        <v>0</v>
      </c>
      <c r="F709" s="1660">
        <v>0</v>
      </c>
      <c r="G709" s="1641"/>
      <c r="H709" s="1574">
        <f>H763+H816</f>
        <v>0</v>
      </c>
      <c r="I709" s="1660">
        <f>C709</f>
        <v>0</v>
      </c>
      <c r="J709" s="1641"/>
      <c r="K709" s="1574">
        <f>K763+K816</f>
        <v>0</v>
      </c>
      <c r="M709" s="1578" t="e">
        <f>I709*#REF!</f>
        <v>#REF!</v>
      </c>
      <c r="P709" s="1598"/>
      <c r="Q709" s="1598"/>
      <c r="AC709" s="1570"/>
      <c r="AD709" s="1570"/>
      <c r="AE709" s="1570"/>
      <c r="AF709" s="1570"/>
      <c r="AG709" s="1570"/>
      <c r="AH709" s="1570"/>
    </row>
    <row r="710" spans="1:34">
      <c r="A710" s="1600" t="s">
        <v>454</v>
      </c>
      <c r="B710" s="1599"/>
      <c r="C710" s="1660"/>
      <c r="D710" s="1641"/>
      <c r="E710" s="1574"/>
      <c r="F710" s="1660"/>
      <c r="G710" s="1641"/>
      <c r="H710" s="1574"/>
      <c r="I710" s="1660"/>
      <c r="J710" s="1641"/>
      <c r="K710" s="1574"/>
      <c r="S710" s="1578"/>
      <c r="T710" s="1615"/>
      <c r="U710" s="1578"/>
      <c r="V710" s="1615"/>
      <c r="W710" s="1578"/>
      <c r="X710" s="1578"/>
      <c r="Y710" s="1615"/>
      <c r="AC710" s="1570"/>
      <c r="AD710" s="1570"/>
      <c r="AE710" s="1570"/>
      <c r="AF710" s="1570"/>
      <c r="AG710" s="1570"/>
      <c r="AH710" s="1570"/>
    </row>
    <row r="711" spans="1:34">
      <c r="A711" s="1600" t="s">
        <v>455</v>
      </c>
      <c r="B711" s="1599">
        <f t="shared" ref="B711:B716" si="125">B765+B818</f>
        <v>3806</v>
      </c>
      <c r="C711" s="1660">
        <v>0</v>
      </c>
      <c r="D711" s="1641"/>
      <c r="E711" s="1574">
        <f>E765+E818</f>
        <v>0</v>
      </c>
      <c r="F711" s="1660">
        <v>0</v>
      </c>
      <c r="G711" s="1641"/>
      <c r="H711" s="1574">
        <f>H765+H818</f>
        <v>0</v>
      </c>
      <c r="I711" s="1660">
        <v>0</v>
      </c>
      <c r="J711" s="1641"/>
      <c r="K711" s="1574">
        <f>K765+K818</f>
        <v>0</v>
      </c>
      <c r="M711" s="1578" t="e">
        <f>I711*#REF!</f>
        <v>#REF!</v>
      </c>
      <c r="N711" s="1638"/>
      <c r="P711" s="1590" t="s">
        <v>649</v>
      </c>
      <c r="Q711" s="1590"/>
      <c r="S711" s="1578"/>
      <c r="T711" s="1615"/>
      <c r="U711" s="1578"/>
      <c r="V711" s="1615"/>
      <c r="W711" s="1578"/>
      <c r="X711" s="1578"/>
      <c r="Y711" s="1615"/>
      <c r="AC711" s="1570"/>
      <c r="AD711" s="1570"/>
      <c r="AE711" s="1570"/>
      <c r="AF711" s="1570"/>
      <c r="AG711" s="1570"/>
      <c r="AH711" s="1570"/>
    </row>
    <row r="712" spans="1:34">
      <c r="A712" s="1600" t="s">
        <v>456</v>
      </c>
      <c r="B712" s="1599">
        <f t="shared" si="125"/>
        <v>405</v>
      </c>
      <c r="C712" s="1660">
        <v>312</v>
      </c>
      <c r="D712" s="1641"/>
      <c r="E712" s="1574">
        <f>E766+E819</f>
        <v>126360</v>
      </c>
      <c r="F712" s="1660">
        <v>357</v>
      </c>
      <c r="G712" s="1641"/>
      <c r="H712" s="1574">
        <f>H766+H819</f>
        <v>144585</v>
      </c>
      <c r="I712" s="1660">
        <f>ROUNDUP(F712+(F712*$P$757),0)</f>
        <v>366</v>
      </c>
      <c r="J712" s="1641"/>
      <c r="K712" s="1574">
        <f>K766+K819</f>
        <v>148230</v>
      </c>
      <c r="M712" s="1578" t="e">
        <f>I712*#REF!</f>
        <v>#REF!</v>
      </c>
      <c r="N712" s="1589"/>
      <c r="P712" s="1615">
        <f>(I712-F712)/F712</f>
        <v>2.5210084033613446E-2</v>
      </c>
      <c r="Q712" s="1598"/>
      <c r="R712" s="1646"/>
      <c r="S712" s="1578"/>
      <c r="T712" s="1640"/>
      <c r="U712" s="1578"/>
      <c r="V712" s="1640"/>
      <c r="W712" s="1578"/>
      <c r="X712" s="1578"/>
      <c r="Y712" s="1712"/>
      <c r="AC712" s="1570"/>
      <c r="AD712" s="1570"/>
      <c r="AE712" s="1570"/>
      <c r="AF712" s="1570"/>
      <c r="AG712" s="1570"/>
      <c r="AH712" s="1570"/>
    </row>
    <row r="713" spans="1:34">
      <c r="A713" s="1600" t="s">
        <v>457</v>
      </c>
      <c r="B713" s="1599">
        <f t="shared" si="125"/>
        <v>0</v>
      </c>
      <c r="C713" s="1660">
        <v>1268</v>
      </c>
      <c r="D713" s="1641"/>
      <c r="E713" s="1574">
        <f>E767+E820</f>
        <v>0</v>
      </c>
      <c r="F713" s="1660">
        <v>1457</v>
      </c>
      <c r="G713" s="1641"/>
      <c r="H713" s="1574">
        <f>H767+H820</f>
        <v>0</v>
      </c>
      <c r="I713" s="1660">
        <f>ROUNDUP(F713+(F713*$P$757),0)</f>
        <v>1493</v>
      </c>
      <c r="J713" s="1641"/>
      <c r="K713" s="1574">
        <f>K767+K820</f>
        <v>0</v>
      </c>
      <c r="M713" s="1578" t="e">
        <f>I713*#REF!</f>
        <v>#REF!</v>
      </c>
      <c r="N713" s="1589"/>
      <c r="P713" s="1615">
        <f>(I713-F713)/F713</f>
        <v>2.4708304735758406E-2</v>
      </c>
      <c r="Q713" s="1598"/>
      <c r="S713" s="1578"/>
      <c r="T713" s="1578"/>
      <c r="Y713" s="1570"/>
      <c r="AB713" s="1570"/>
      <c r="AC713" s="1570"/>
      <c r="AD713" s="1570"/>
      <c r="AE713" s="1570"/>
      <c r="AF713" s="1570"/>
      <c r="AG713" s="1570"/>
      <c r="AH713" s="1570"/>
    </row>
    <row r="714" spans="1:34">
      <c r="A714" s="1600" t="s">
        <v>365</v>
      </c>
      <c r="B714" s="1599">
        <f t="shared" si="125"/>
        <v>5260</v>
      </c>
      <c r="C714" s="1660"/>
      <c r="D714" s="1641"/>
      <c r="E714" s="1574"/>
      <c r="F714" s="1660"/>
      <c r="G714" s="1641"/>
      <c r="H714" s="1574"/>
      <c r="I714" s="1660"/>
      <c r="J714" s="1641"/>
      <c r="K714" s="1574"/>
      <c r="M714" s="1589"/>
      <c r="N714" s="1589"/>
      <c r="P714" s="1640"/>
      <c r="Q714" s="1640"/>
      <c r="R714" s="1589"/>
      <c r="Y714" s="1646"/>
      <c r="Z714" s="1646"/>
      <c r="AA714" s="1570"/>
      <c r="AB714" s="1570"/>
      <c r="AC714" s="1570"/>
      <c r="AD714" s="1570"/>
      <c r="AE714" s="1570"/>
      <c r="AF714" s="1570"/>
      <c r="AG714" s="1570"/>
      <c r="AH714" s="1570"/>
    </row>
    <row r="715" spans="1:34">
      <c r="A715" s="1600" t="s">
        <v>458</v>
      </c>
      <c r="B715" s="1599">
        <f t="shared" si="125"/>
        <v>39861</v>
      </c>
      <c r="C715" s="1660"/>
      <c r="D715" s="1641"/>
      <c r="E715" s="1574"/>
      <c r="F715" s="1660"/>
      <c r="G715" s="1641"/>
      <c r="H715" s="1574"/>
      <c r="I715" s="1660"/>
      <c r="J715" s="1641"/>
      <c r="K715" s="1574"/>
      <c r="M715" s="1589"/>
      <c r="N715" s="1589"/>
      <c r="P715" s="1640"/>
      <c r="R715" s="1589"/>
      <c r="AA715" s="1570"/>
      <c r="AB715" s="1570"/>
      <c r="AC715" s="1570"/>
      <c r="AD715" s="1570"/>
      <c r="AE715" s="1570"/>
      <c r="AF715" s="1570"/>
      <c r="AG715" s="1570"/>
      <c r="AH715" s="1570"/>
    </row>
    <row r="716" spans="1:34">
      <c r="A716" s="1600" t="s">
        <v>104</v>
      </c>
      <c r="B716" s="1599">
        <f t="shared" si="125"/>
        <v>5907</v>
      </c>
      <c r="C716" s="1660"/>
      <c r="D716" s="1574"/>
      <c r="E716" s="1574"/>
      <c r="F716" s="1660"/>
      <c r="G716" s="1574"/>
      <c r="H716" s="1574"/>
      <c r="I716" s="1660"/>
      <c r="J716" s="1574"/>
      <c r="K716" s="1657" t="s">
        <v>31</v>
      </c>
      <c r="M716" s="1589"/>
      <c r="N716" s="1589"/>
      <c r="P716" s="1640"/>
      <c r="Q716" s="1640"/>
      <c r="R716" s="1662"/>
      <c r="AA716" s="1570"/>
      <c r="AB716" s="1570"/>
      <c r="AC716" s="1570"/>
      <c r="AD716" s="1570"/>
      <c r="AE716" s="1570"/>
      <c r="AF716" s="1570"/>
      <c r="AG716" s="1570"/>
      <c r="AH716" s="1570"/>
    </row>
    <row r="717" spans="1:34">
      <c r="A717" s="1600" t="s">
        <v>459</v>
      </c>
      <c r="B717" s="1599"/>
      <c r="C717" s="1660"/>
      <c r="D717" s="1641"/>
      <c r="E717" s="1574"/>
      <c r="F717" s="1660"/>
      <c r="G717" s="1641"/>
      <c r="H717" s="1574"/>
      <c r="I717" s="1660"/>
      <c r="J717" s="1641"/>
      <c r="K717" s="1574"/>
      <c r="M717" s="1589"/>
      <c r="N717" s="1589"/>
      <c r="P717" s="1640"/>
      <c r="Q717" s="1640"/>
      <c r="R717" s="1589"/>
      <c r="AA717" s="1570"/>
      <c r="AB717" s="1570"/>
      <c r="AC717" s="1570"/>
      <c r="AD717" s="1570"/>
      <c r="AE717" s="1570"/>
      <c r="AF717" s="1570"/>
      <c r="AG717" s="1570"/>
      <c r="AH717" s="1570"/>
    </row>
    <row r="718" spans="1:34">
      <c r="A718" s="1600" t="s">
        <v>460</v>
      </c>
      <c r="B718" s="1599">
        <f>B772+B825</f>
        <v>2990</v>
      </c>
      <c r="C718" s="1660">
        <v>20.86</v>
      </c>
      <c r="D718" s="1641"/>
      <c r="E718" s="1574">
        <f>E772+E825</f>
        <v>62371</v>
      </c>
      <c r="F718" s="1660">
        <v>23.87</v>
      </c>
      <c r="G718" s="1641"/>
      <c r="H718" s="1574">
        <f>H772+H825</f>
        <v>71371</v>
      </c>
      <c r="I718" s="1660">
        <f>ROUNDUP(F718+(F718*$P$757),2)</f>
        <v>24.450000000000003</v>
      </c>
      <c r="J718" s="1641"/>
      <c r="K718" s="1574">
        <f>K772+K825</f>
        <v>73105</v>
      </c>
      <c r="M718" s="1578" t="e">
        <f>I718*#REF!</f>
        <v>#REF!</v>
      </c>
      <c r="N718" s="1713"/>
      <c r="P718" s="1615">
        <f>(I718-F718)/F718</f>
        <v>2.429828236279857E-2</v>
      </c>
      <c r="Q718" s="1598"/>
      <c r="R718" s="1589"/>
      <c r="AC718" s="1570"/>
      <c r="AD718" s="1570"/>
      <c r="AE718" s="1570"/>
      <c r="AF718" s="1570"/>
      <c r="AG718" s="1570"/>
      <c r="AH718" s="1570"/>
    </row>
    <row r="719" spans="1:34">
      <c r="A719" s="1600" t="s">
        <v>461</v>
      </c>
      <c r="B719" s="1599"/>
      <c r="C719" s="1660"/>
      <c r="D719" s="1641"/>
      <c r="E719" s="1574"/>
      <c r="F719" s="1660"/>
      <c r="G719" s="1641"/>
      <c r="H719" s="1574"/>
      <c r="I719" s="1660"/>
      <c r="J719" s="1641"/>
      <c r="K719" s="1574"/>
      <c r="M719" s="1713"/>
      <c r="N719" s="1713"/>
      <c r="P719" s="1640"/>
      <c r="Q719" s="1640"/>
      <c r="R719" s="1589"/>
      <c r="AC719" s="1570"/>
      <c r="AD719" s="1570"/>
      <c r="AE719" s="1570"/>
      <c r="AF719" s="1570"/>
      <c r="AG719" s="1570"/>
      <c r="AH719" s="1570"/>
    </row>
    <row r="720" spans="1:34">
      <c r="A720" s="1600" t="s">
        <v>455</v>
      </c>
      <c r="B720" s="1599">
        <f>B774+B827</f>
        <v>50496</v>
      </c>
      <c r="C720" s="1660">
        <v>20.860000000000003</v>
      </c>
      <c r="D720" s="1641"/>
      <c r="E720" s="1574">
        <f>E774+E827</f>
        <v>1053346</v>
      </c>
      <c r="F720" s="1660">
        <v>23.79</v>
      </c>
      <c r="G720" s="1641"/>
      <c r="H720" s="1574">
        <f>H774+H827</f>
        <v>1201300</v>
      </c>
      <c r="I720" s="1660">
        <f>ROUNDUP(F720+(F720*$P$757),2)+0.08</f>
        <v>24.45</v>
      </c>
      <c r="J720" s="1641"/>
      <c r="K720" s="1574">
        <f>K774+K827</f>
        <v>1234627</v>
      </c>
      <c r="M720" s="1578" t="e">
        <f>I720*#REF!</f>
        <v>#REF!</v>
      </c>
      <c r="N720" s="1713"/>
      <c r="P720" s="1615">
        <f>(I720-F720)/F720</f>
        <v>2.7742749054224473E-2</v>
      </c>
      <c r="Q720" s="1598"/>
      <c r="R720" s="1589"/>
      <c r="AC720" s="1570"/>
      <c r="AD720" s="1570"/>
      <c r="AE720" s="1570"/>
      <c r="AF720" s="1570"/>
      <c r="AG720" s="1570"/>
      <c r="AH720" s="1570"/>
    </row>
    <row r="721" spans="1:36">
      <c r="A721" s="1600" t="s">
        <v>456</v>
      </c>
      <c r="B721" s="1599">
        <f>B775+B828</f>
        <v>38906</v>
      </c>
      <c r="C721" s="1660">
        <v>14.53</v>
      </c>
      <c r="D721" s="1641"/>
      <c r="E721" s="1574">
        <f>E775+E828</f>
        <v>565305</v>
      </c>
      <c r="F721" s="1660">
        <v>16.559999999999999</v>
      </c>
      <c r="G721" s="1641"/>
      <c r="H721" s="1574">
        <f>H775+H828</f>
        <v>644284</v>
      </c>
      <c r="I721" s="1660">
        <f>ROUNDUP(F721+(F721*$P$757),2)</f>
        <v>16.96</v>
      </c>
      <c r="J721" s="1641"/>
      <c r="K721" s="1574">
        <f>K775+K828</f>
        <v>659846</v>
      </c>
      <c r="M721" s="1578" t="e">
        <f>I721*#REF!</f>
        <v>#REF!</v>
      </c>
      <c r="N721" s="1713"/>
      <c r="P721" s="1615">
        <f>(I721-F721)/F721</f>
        <v>2.4154589371980808E-2</v>
      </c>
      <c r="Q721" s="1598"/>
      <c r="R721" s="1589"/>
      <c r="U721" s="1578"/>
      <c r="V721" s="1578"/>
      <c r="W721" s="1578"/>
      <c r="X721" s="1578"/>
      <c r="Y721" s="1578"/>
      <c r="Z721" s="1615"/>
      <c r="AA721" s="1570" t="s">
        <v>31</v>
      </c>
      <c r="AB721" s="1570"/>
      <c r="AC721" s="1570"/>
      <c r="AD721" s="1570"/>
      <c r="AE721" s="1570"/>
      <c r="AF721" s="1570"/>
      <c r="AG721" s="1570"/>
      <c r="AH721" s="1570"/>
    </row>
    <row r="722" spans="1:36">
      <c r="A722" s="1600" t="s">
        <v>457</v>
      </c>
      <c r="B722" s="1599">
        <f>B776+B829</f>
        <v>0</v>
      </c>
      <c r="C722" s="1660">
        <v>11.340000000000002</v>
      </c>
      <c r="D722" s="1641"/>
      <c r="E722" s="1574">
        <f>E776+E829</f>
        <v>0</v>
      </c>
      <c r="F722" s="1660">
        <v>12.96</v>
      </c>
      <c r="G722" s="1641"/>
      <c r="H722" s="1574">
        <f>H776+H829</f>
        <v>0</v>
      </c>
      <c r="I722" s="1660">
        <f>ROUNDUP(F722+(F722*$P$757),2)</f>
        <v>13.28</v>
      </c>
      <c r="J722" s="1641"/>
      <c r="K722" s="1574">
        <f>K776+K829</f>
        <v>0</v>
      </c>
      <c r="M722" s="1578" t="e">
        <f>I722*#REF!</f>
        <v>#REF!</v>
      </c>
      <c r="N722" s="1713"/>
      <c r="P722" s="1615">
        <f>(I722-F722)/F722</f>
        <v>2.4691358024691242E-2</v>
      </c>
      <c r="Q722" s="1598"/>
      <c r="R722" s="1589"/>
      <c r="AA722" s="1570" t="s">
        <v>31</v>
      </c>
      <c r="AB722" s="1570"/>
      <c r="AC722" s="1570"/>
      <c r="AD722" s="1570"/>
      <c r="AE722" s="1570"/>
      <c r="AF722" s="1570"/>
      <c r="AG722" s="1570"/>
      <c r="AH722" s="1570"/>
    </row>
    <row r="723" spans="1:36">
      <c r="A723" s="1600" t="s">
        <v>463</v>
      </c>
      <c r="B723" s="1599">
        <f>B777+B830</f>
        <v>608</v>
      </c>
      <c r="C723" s="1660">
        <v>62.58</v>
      </c>
      <c r="D723" s="1641"/>
      <c r="E723" s="1574">
        <f>E777+E830</f>
        <v>38049</v>
      </c>
      <c r="F723" s="1660">
        <v>71.61</v>
      </c>
      <c r="G723" s="1641"/>
      <c r="H723" s="1574">
        <f>H777+H830</f>
        <v>43539</v>
      </c>
      <c r="I723" s="1660">
        <f>3*I718</f>
        <v>73.350000000000009</v>
      </c>
      <c r="J723" s="1641"/>
      <c r="K723" s="1574">
        <f>K777+K830</f>
        <v>44597</v>
      </c>
      <c r="M723" s="1578" t="e">
        <f>I723*#REF!</f>
        <v>#REF!</v>
      </c>
      <c r="N723" s="1589"/>
      <c r="P723" s="1615">
        <f>(I723-F723)/F723</f>
        <v>2.4298282362798618E-2</v>
      </c>
      <c r="Q723" s="1598"/>
      <c r="R723" s="1589"/>
      <c r="AA723" s="1570"/>
      <c r="AB723" s="1570"/>
      <c r="AC723" s="1570"/>
      <c r="AD723" s="1570"/>
      <c r="AE723" s="1570"/>
      <c r="AF723" s="1570"/>
      <c r="AG723" s="1570"/>
      <c r="AH723" s="1570"/>
    </row>
    <row r="724" spans="1:36">
      <c r="A724" s="1600" t="s">
        <v>464</v>
      </c>
      <c r="B724" s="1599">
        <f>B778+B831</f>
        <v>1116</v>
      </c>
      <c r="C724" s="1660">
        <v>125.16000000000003</v>
      </c>
      <c r="D724" s="1641"/>
      <c r="E724" s="1574">
        <f>E778+E831</f>
        <v>139679</v>
      </c>
      <c r="F724" s="1660">
        <v>142.74</v>
      </c>
      <c r="G724" s="1641"/>
      <c r="H724" s="1574">
        <f>H778+H831</f>
        <v>159298</v>
      </c>
      <c r="I724" s="1660">
        <f>6*I720</f>
        <v>146.69999999999999</v>
      </c>
      <c r="J724" s="1641"/>
      <c r="K724" s="1574">
        <f>K778+K831</f>
        <v>163718</v>
      </c>
      <c r="M724" s="1578" t="e">
        <f>I724*#REF!</f>
        <v>#REF!</v>
      </c>
      <c r="N724" s="1589"/>
      <c r="P724" s="1615">
        <f>(I724-F724)/F724</f>
        <v>2.774274905422432E-2</v>
      </c>
      <c r="Q724" s="1598"/>
      <c r="R724" s="1589"/>
      <c r="AA724" s="1570"/>
      <c r="AB724" s="1570"/>
      <c r="AC724" s="1570"/>
      <c r="AD724" s="1570"/>
      <c r="AE724" s="1570"/>
      <c r="AF724" s="1570"/>
      <c r="AG724" s="1570"/>
      <c r="AH724" s="1570"/>
    </row>
    <row r="725" spans="1:36">
      <c r="A725" s="1600" t="s">
        <v>465</v>
      </c>
      <c r="B725" s="1599"/>
      <c r="C725" s="1660"/>
      <c r="D725" s="1641"/>
      <c r="E725" s="1574"/>
      <c r="F725" s="1660"/>
      <c r="G725" s="1641"/>
      <c r="H725" s="1574"/>
      <c r="I725" s="1660"/>
      <c r="J725" s="1641"/>
      <c r="K725" s="1574"/>
      <c r="M725" s="1589"/>
      <c r="N725" s="1589"/>
      <c r="P725" s="1640"/>
      <c r="Q725" s="1569"/>
      <c r="R725" s="1589"/>
      <c r="AA725" s="1570"/>
      <c r="AB725" s="1570"/>
      <c r="AC725" s="1570"/>
      <c r="AD725" s="1570"/>
      <c r="AE725" s="1570"/>
      <c r="AF725" s="1570"/>
      <c r="AG725" s="1570"/>
      <c r="AH725" s="1570"/>
    </row>
    <row r="726" spans="1:36">
      <c r="A726" s="1600" t="s">
        <v>460</v>
      </c>
      <c r="B726" s="1599">
        <f t="shared" ref="B726:B731" si="126">B780+B833</f>
        <v>50</v>
      </c>
      <c r="C726" s="1657">
        <v>-20.86</v>
      </c>
      <c r="D726" s="1641"/>
      <c r="E726" s="1574">
        <f>E780+E833</f>
        <v>-1043</v>
      </c>
      <c r="F726" s="1657">
        <v>-23.87</v>
      </c>
      <c r="G726" s="1641"/>
      <c r="H726" s="1574">
        <f>H780+H833</f>
        <v>-1194</v>
      </c>
      <c r="I726" s="1657">
        <f>-I718</f>
        <v>-24.450000000000003</v>
      </c>
      <c r="J726" s="1641"/>
      <c r="K726" s="1574">
        <f>K780+K833</f>
        <v>-1223</v>
      </c>
      <c r="M726" s="1578" t="e">
        <f>I726*#REF!</f>
        <v>#REF!</v>
      </c>
      <c r="N726" s="1589"/>
      <c r="P726" s="1640"/>
      <c r="Q726" s="1569"/>
      <c r="R726" s="1589"/>
      <c r="AA726" s="1570"/>
      <c r="AB726" s="1570"/>
      <c r="AC726" s="1570"/>
      <c r="AD726" s="1570"/>
      <c r="AE726" s="1570"/>
      <c r="AF726" s="1570"/>
      <c r="AG726" s="1570"/>
      <c r="AH726" s="1570"/>
    </row>
    <row r="727" spans="1:36">
      <c r="A727" s="1600" t="s">
        <v>466</v>
      </c>
      <c r="B727" s="1599">
        <f t="shared" si="126"/>
        <v>574</v>
      </c>
      <c r="C727" s="1657">
        <v>-20.860000000000003</v>
      </c>
      <c r="D727" s="1641"/>
      <c r="E727" s="1574">
        <f>E781+E834</f>
        <v>-11973</v>
      </c>
      <c r="F727" s="1657">
        <v>-23.79</v>
      </c>
      <c r="G727" s="1641"/>
      <c r="H727" s="1574">
        <f>H781+H834</f>
        <v>-13655</v>
      </c>
      <c r="I727" s="1657">
        <f>-I720</f>
        <v>-24.45</v>
      </c>
      <c r="J727" s="1641"/>
      <c r="K727" s="1574">
        <f>K781+K834</f>
        <v>-14034</v>
      </c>
      <c r="M727" s="1578" t="e">
        <f>I727*#REF!</f>
        <v>#REF!</v>
      </c>
      <c r="N727" s="1589"/>
      <c r="P727" s="1640"/>
      <c r="Q727" s="1569"/>
      <c r="R727" s="1589"/>
      <c r="AA727" s="1570"/>
      <c r="AB727" s="1570"/>
      <c r="AC727" s="1570"/>
      <c r="AD727" s="1570"/>
      <c r="AE727" s="1570"/>
      <c r="AF727" s="1570"/>
      <c r="AG727" s="1570"/>
      <c r="AH727" s="1570"/>
    </row>
    <row r="728" spans="1:36">
      <c r="A728" s="1600" t="s">
        <v>429</v>
      </c>
      <c r="B728" s="1599">
        <f t="shared" si="126"/>
        <v>145798478.36433661</v>
      </c>
      <c r="C728" s="1660"/>
      <c r="D728" s="1574"/>
      <c r="E728" s="1574"/>
      <c r="F728" s="1660"/>
      <c r="G728" s="1574"/>
      <c r="H728" s="1574"/>
      <c r="I728" s="1660"/>
      <c r="J728" s="1574"/>
      <c r="K728" s="1574"/>
      <c r="M728" s="1589"/>
      <c r="N728" s="1589"/>
      <c r="P728" s="1640"/>
      <c r="Q728" s="1569"/>
      <c r="R728" s="1589"/>
      <c r="S728" s="1569" t="s">
        <v>31</v>
      </c>
      <c r="AA728" s="1570"/>
      <c r="AB728" s="1570"/>
      <c r="AC728" s="1570"/>
      <c r="AD728" s="1570"/>
      <c r="AE728" s="1570"/>
      <c r="AF728" s="1570"/>
      <c r="AG728" s="1570"/>
      <c r="AH728" s="1570"/>
    </row>
    <row r="729" spans="1:36">
      <c r="A729" s="1600" t="s">
        <v>467</v>
      </c>
      <c r="B729" s="1599">
        <f t="shared" si="126"/>
        <v>151200065.36433661</v>
      </c>
      <c r="C729" s="1714">
        <v>5.6469999999999994</v>
      </c>
      <c r="D729" s="1574" t="s">
        <v>377</v>
      </c>
      <c r="E729" s="1574">
        <f>E783+E836</f>
        <v>8538268</v>
      </c>
      <c r="F729" s="1714">
        <v>6.4390000000000001</v>
      </c>
      <c r="G729" s="1574" t="s">
        <v>377</v>
      </c>
      <c r="H729" s="1574">
        <f>H783+H836</f>
        <v>9735772</v>
      </c>
      <c r="I729" s="1714">
        <f>ROUNDUP(F729-I731+(F729*$P$757),3)</f>
        <v>6.5950000000000006</v>
      </c>
      <c r="J729" s="1574" t="s">
        <v>377</v>
      </c>
      <c r="K729" s="1574">
        <f>K783+K836</f>
        <v>9971645</v>
      </c>
      <c r="M729" s="1578" t="e">
        <f>(I729/100)*#REF!</f>
        <v>#REF!</v>
      </c>
      <c r="N729" s="1715"/>
      <c r="P729" s="1615">
        <f>(I729+I731-F729)/F729</f>
        <v>2.4227364497592885E-2</v>
      </c>
      <c r="Q729" s="1598"/>
      <c r="R729" s="1589"/>
      <c r="AA729" s="1570"/>
      <c r="AB729" s="1570"/>
      <c r="AC729" s="1570"/>
      <c r="AD729" s="1570"/>
      <c r="AE729" s="1570"/>
      <c r="AF729" s="1570"/>
      <c r="AG729" s="1570"/>
      <c r="AH729" s="1570"/>
    </row>
    <row r="730" spans="1:36">
      <c r="A730" s="1600" t="s">
        <v>403</v>
      </c>
      <c r="B730" s="1599">
        <f t="shared" si="126"/>
        <v>46531</v>
      </c>
      <c r="C730" s="1716">
        <v>50</v>
      </c>
      <c r="D730" s="1600" t="s">
        <v>377</v>
      </c>
      <c r="E730" s="1574">
        <f>E784+E837</f>
        <v>23266</v>
      </c>
      <c r="F730" s="1716">
        <v>56</v>
      </c>
      <c r="G730" s="1600" t="s">
        <v>377</v>
      </c>
      <c r="H730" s="1574">
        <f>H784+H837</f>
        <v>26057</v>
      </c>
      <c r="I730" s="1716">
        <f>ROUNDUP(F730+(F730*$P$757),0)</f>
        <v>58</v>
      </c>
      <c r="J730" s="1600" t="s">
        <v>377</v>
      </c>
      <c r="K730" s="1574">
        <f>K784+K837</f>
        <v>26988</v>
      </c>
      <c r="M730" s="1578" t="e">
        <f>(I730/100)*#REF!</f>
        <v>#REF!</v>
      </c>
      <c r="P730" s="1615">
        <f>(I730-F730)/F730</f>
        <v>3.5714285714285712E-2</v>
      </c>
      <c r="Q730" s="1598"/>
      <c r="R730" s="1589"/>
      <c r="AA730" s="1570"/>
      <c r="AB730" s="1570"/>
      <c r="AC730" s="1570"/>
      <c r="AD730" s="1570"/>
      <c r="AE730" s="1570"/>
      <c r="AF730" s="1570"/>
      <c r="AG730" s="1570"/>
      <c r="AH730" s="1570"/>
    </row>
    <row r="731" spans="1:36" s="1621" customFormat="1">
      <c r="A731" s="1621" t="s">
        <v>938</v>
      </c>
      <c r="B731" s="1648">
        <f t="shared" si="126"/>
        <v>151200065.36433661</v>
      </c>
      <c r="C731" s="1623"/>
      <c r="D731" s="1624"/>
      <c r="E731" s="1625"/>
      <c r="F731" s="1623"/>
      <c r="G731" s="1624"/>
      <c r="H731" s="1625"/>
      <c r="I731" s="1626">
        <v>0</v>
      </c>
      <c r="J731" s="1649" t="s">
        <v>377</v>
      </c>
      <c r="K731" s="1689">
        <f>K785+K838</f>
        <v>0</v>
      </c>
      <c r="M731" s="1651"/>
      <c r="N731" s="1651">
        <f>'NPC Spread'!I33</f>
        <v>4762684.196680231</v>
      </c>
      <c r="O731" s="1652" t="s">
        <v>913</v>
      </c>
      <c r="P731" s="1717"/>
      <c r="R731" s="1653"/>
      <c r="S731" s="1653"/>
      <c r="X731" s="1624"/>
      <c r="Y731" s="1624"/>
      <c r="Z731" s="1624"/>
      <c r="AA731" s="1624"/>
      <c r="AB731" s="1624"/>
      <c r="AC731" s="1624"/>
      <c r="AD731" s="1624"/>
      <c r="AE731" s="1624"/>
      <c r="AF731" s="1624"/>
      <c r="AG731" s="1624"/>
      <c r="AH731" s="1624"/>
      <c r="AJ731" s="1651"/>
    </row>
    <row r="732" spans="1:36">
      <c r="A732" s="1569" t="s">
        <v>922</v>
      </c>
      <c r="B732" s="1599"/>
      <c r="C732" s="1584"/>
      <c r="D732" s="1570"/>
      <c r="E732" s="1577"/>
      <c r="F732" s="1714">
        <f>F729</f>
        <v>6.4390000000000001</v>
      </c>
      <c r="G732" s="1600" t="s">
        <v>377</v>
      </c>
      <c r="H732" s="1577"/>
      <c r="I732" s="1389">
        <f>I729+I731</f>
        <v>6.5950000000000006</v>
      </c>
      <c r="J732" s="1600" t="s">
        <v>377</v>
      </c>
      <c r="K732" s="1574"/>
      <c r="M732" s="1578"/>
      <c r="N732" s="1578"/>
      <c r="O732" s="1579"/>
      <c r="P732" s="1615">
        <f>(I732-F732)/F732</f>
        <v>2.4227364497592885E-2</v>
      </c>
      <c r="Q732" s="1569"/>
      <c r="R732" s="1580"/>
      <c r="S732" s="1580"/>
      <c r="X732" s="1570"/>
      <c r="Y732" s="1570"/>
      <c r="Z732" s="1570"/>
      <c r="AA732" s="1570"/>
      <c r="AB732" s="1570"/>
      <c r="AC732" s="1570"/>
      <c r="AD732" s="1570"/>
      <c r="AE732" s="1570"/>
      <c r="AF732" s="1570"/>
      <c r="AG732" s="1570"/>
      <c r="AH732" s="1570"/>
      <c r="AJ732" s="1578"/>
    </row>
    <row r="733" spans="1:36">
      <c r="A733" s="253" t="s">
        <v>404</v>
      </c>
      <c r="B733" s="1599"/>
      <c r="C733" s="1655">
        <v>-0.01</v>
      </c>
      <c r="D733" s="1577"/>
      <c r="E733" s="1574"/>
      <c r="F733" s="1655">
        <v>-0.01</v>
      </c>
      <c r="G733" s="1585"/>
      <c r="H733" s="1574"/>
      <c r="I733" s="1655">
        <v>-0.01</v>
      </c>
      <c r="J733" s="1585"/>
      <c r="K733" s="1574"/>
      <c r="AA733" s="1570"/>
      <c r="AB733" s="1570"/>
      <c r="AC733" s="1570"/>
      <c r="AD733" s="1570"/>
      <c r="AE733" s="1570"/>
      <c r="AF733" s="1570"/>
      <c r="AG733" s="1570"/>
      <c r="AH733" s="1570"/>
    </row>
    <row r="734" spans="1:36">
      <c r="A734" s="1600" t="s">
        <v>393</v>
      </c>
      <c r="B734" s="1599">
        <f>B787+B840</f>
        <v>0</v>
      </c>
      <c r="C734" s="1710">
        <v>0</v>
      </c>
      <c r="D734" s="1641"/>
      <c r="E734" s="1574">
        <f>E787+E840</f>
        <v>0</v>
      </c>
      <c r="F734" s="1710">
        <v>0</v>
      </c>
      <c r="G734" s="1641"/>
      <c r="H734" s="1574">
        <f>H787+H840</f>
        <v>0</v>
      </c>
      <c r="I734" s="1710">
        <f>I709</f>
        <v>0</v>
      </c>
      <c r="J734" s="1641"/>
      <c r="K734" s="1574">
        <f>K787+K840</f>
        <v>0</v>
      </c>
      <c r="M734" s="1578" t="e">
        <f>-(I734/100)*#REF!</f>
        <v>#REF!</v>
      </c>
      <c r="AA734" s="1570"/>
      <c r="AB734" s="1570"/>
      <c r="AC734" s="1570"/>
      <c r="AD734" s="1570"/>
      <c r="AE734" s="1570"/>
      <c r="AF734" s="1570"/>
      <c r="AG734" s="1570"/>
      <c r="AH734" s="1570"/>
    </row>
    <row r="735" spans="1:36">
      <c r="A735" s="1600" t="s">
        <v>394</v>
      </c>
      <c r="B735" s="1599"/>
      <c r="C735" s="1710"/>
      <c r="D735" s="1641"/>
      <c r="E735" s="1574"/>
      <c r="F735" s="1710"/>
      <c r="G735" s="1641"/>
      <c r="H735" s="1574"/>
      <c r="I735" s="1710"/>
      <c r="J735" s="1641"/>
      <c r="K735" s="1574"/>
      <c r="AA735" s="1570"/>
      <c r="AB735" s="1570"/>
      <c r="AC735" s="1570"/>
      <c r="AD735" s="1570"/>
      <c r="AE735" s="1570"/>
      <c r="AF735" s="1570"/>
      <c r="AG735" s="1570"/>
      <c r="AH735" s="1570"/>
    </row>
    <row r="736" spans="1:36">
      <c r="A736" s="1600" t="s">
        <v>455</v>
      </c>
      <c r="B736" s="1599">
        <f>B789+B842</f>
        <v>0</v>
      </c>
      <c r="C736" s="1710">
        <v>0</v>
      </c>
      <c r="D736" s="1641"/>
      <c r="E736" s="1574">
        <f>E789+E842</f>
        <v>0</v>
      </c>
      <c r="F736" s="1710">
        <v>0</v>
      </c>
      <c r="G736" s="1641"/>
      <c r="H736" s="1574">
        <f>H789+H842</f>
        <v>0</v>
      </c>
      <c r="I736" s="1710">
        <f>I711</f>
        <v>0</v>
      </c>
      <c r="J736" s="1641"/>
      <c r="K736" s="1574">
        <f>K789+K842</f>
        <v>0</v>
      </c>
      <c r="M736" s="1578" t="e">
        <f>-(I736/100)*#REF!</f>
        <v>#REF!</v>
      </c>
      <c r="AA736" s="1570"/>
      <c r="AB736" s="1570"/>
      <c r="AC736" s="1570"/>
      <c r="AD736" s="1570"/>
      <c r="AE736" s="1570"/>
      <c r="AF736" s="1570"/>
      <c r="AG736" s="1570"/>
      <c r="AH736" s="1570"/>
    </row>
    <row r="737" spans="1:34">
      <c r="A737" s="1600" t="s">
        <v>456</v>
      </c>
      <c r="B737" s="1599">
        <f>B790+B843</f>
        <v>0</v>
      </c>
      <c r="C737" s="1710">
        <v>312</v>
      </c>
      <c r="D737" s="1641"/>
      <c r="E737" s="1574">
        <f>E790+E843</f>
        <v>0</v>
      </c>
      <c r="F737" s="1710">
        <v>357</v>
      </c>
      <c r="G737" s="1641"/>
      <c r="H737" s="1574">
        <f>H790+H843</f>
        <v>0</v>
      </c>
      <c r="I737" s="1710">
        <f>I712</f>
        <v>366</v>
      </c>
      <c r="J737" s="1641"/>
      <c r="K737" s="1574">
        <f>K790+K843</f>
        <v>0</v>
      </c>
      <c r="M737" s="1578" t="e">
        <f>-(I737/100)*#REF!</f>
        <v>#REF!</v>
      </c>
      <c r="AA737" s="1570"/>
      <c r="AB737" s="1570"/>
      <c r="AC737" s="1570"/>
      <c r="AD737" s="1570"/>
      <c r="AE737" s="1570"/>
      <c r="AF737" s="1570"/>
      <c r="AG737" s="1570"/>
      <c r="AH737" s="1570"/>
    </row>
    <row r="738" spans="1:34">
      <c r="A738" s="1600" t="s">
        <v>457</v>
      </c>
      <c r="B738" s="1599">
        <f>B791+B844</f>
        <v>0</v>
      </c>
      <c r="C738" s="1710">
        <v>1268</v>
      </c>
      <c r="D738" s="1641"/>
      <c r="E738" s="1574">
        <f>E791+E844</f>
        <v>0</v>
      </c>
      <c r="F738" s="1710">
        <v>1457</v>
      </c>
      <c r="G738" s="1641"/>
      <c r="H738" s="1574">
        <f>H791+H844</f>
        <v>0</v>
      </c>
      <c r="I738" s="1710">
        <f>I713</f>
        <v>1493</v>
      </c>
      <c r="J738" s="1641"/>
      <c r="K738" s="1574">
        <f>K791+K844</f>
        <v>0</v>
      </c>
      <c r="M738" s="1578" t="e">
        <f>-(I738/100)*#REF!</f>
        <v>#REF!</v>
      </c>
      <c r="AA738" s="1570"/>
      <c r="AB738" s="1570"/>
      <c r="AC738" s="1570"/>
      <c r="AD738" s="1570"/>
      <c r="AE738" s="1570"/>
      <c r="AF738" s="1570"/>
      <c r="AG738" s="1570"/>
      <c r="AH738" s="1570"/>
    </row>
    <row r="739" spans="1:34">
      <c r="A739" s="1600" t="s">
        <v>393</v>
      </c>
      <c r="B739" s="1599">
        <f>B792+B845</f>
        <v>0</v>
      </c>
      <c r="C739" s="1710">
        <v>20.86</v>
      </c>
      <c r="D739" s="1641"/>
      <c r="E739" s="1574">
        <f>E792+E845</f>
        <v>0</v>
      </c>
      <c r="F739" s="1710">
        <v>23.87</v>
      </c>
      <c r="G739" s="1641"/>
      <c r="H739" s="1574">
        <f>H792+H845</f>
        <v>0</v>
      </c>
      <c r="I739" s="1710">
        <f>I718</f>
        <v>24.450000000000003</v>
      </c>
      <c r="J739" s="1641"/>
      <c r="K739" s="1574">
        <f>K792+K845</f>
        <v>0</v>
      </c>
      <c r="M739" s="1578" t="e">
        <f>-(I739/100)*#REF!</f>
        <v>#REF!</v>
      </c>
      <c r="AA739" s="1570"/>
      <c r="AB739" s="1570"/>
      <c r="AC739" s="1570"/>
      <c r="AD739" s="1570"/>
      <c r="AE739" s="1570"/>
      <c r="AF739" s="1570"/>
      <c r="AG739" s="1570"/>
      <c r="AH739" s="1570"/>
    </row>
    <row r="740" spans="1:34">
      <c r="A740" s="1600" t="s">
        <v>394</v>
      </c>
      <c r="B740" s="1599"/>
      <c r="C740" s="1710"/>
      <c r="D740" s="1641"/>
      <c r="E740" s="1574"/>
      <c r="F740" s="1710"/>
      <c r="G740" s="1641"/>
      <c r="H740" s="1574"/>
      <c r="I740" s="1710"/>
      <c r="J740" s="1641"/>
      <c r="K740" s="1574"/>
      <c r="AA740" s="1570"/>
      <c r="AB740" s="1570"/>
      <c r="AC740" s="1570"/>
      <c r="AD740" s="1570"/>
      <c r="AE740" s="1570"/>
      <c r="AF740" s="1570"/>
      <c r="AG740" s="1570"/>
      <c r="AH740" s="1570"/>
    </row>
    <row r="741" spans="1:34">
      <c r="A741" s="1600" t="s">
        <v>455</v>
      </c>
      <c r="B741" s="1599">
        <f>B794+B847</f>
        <v>39</v>
      </c>
      <c r="C741" s="1710">
        <v>20.860000000000003</v>
      </c>
      <c r="D741" s="1641"/>
      <c r="E741" s="1574">
        <f>E794+E847</f>
        <v>-8</v>
      </c>
      <c r="F741" s="1710">
        <v>23.79</v>
      </c>
      <c r="G741" s="1641"/>
      <c r="H741" s="1574">
        <f>H794+H847</f>
        <v>-9</v>
      </c>
      <c r="I741" s="1710">
        <f>I720</f>
        <v>24.45</v>
      </c>
      <c r="J741" s="1641"/>
      <c r="K741" s="1574">
        <f>K794+K847</f>
        <v>-10</v>
      </c>
      <c r="M741" s="1578" t="e">
        <f>-(I741/100)*#REF!</f>
        <v>#REF!</v>
      </c>
      <c r="AA741" s="1570"/>
      <c r="AB741" s="1570"/>
      <c r="AC741" s="1570"/>
      <c r="AD741" s="1570"/>
      <c r="AE741" s="1570"/>
      <c r="AF741" s="1570"/>
      <c r="AG741" s="1570"/>
      <c r="AH741" s="1570"/>
    </row>
    <row r="742" spans="1:34">
      <c r="A742" s="1600" t="s">
        <v>456</v>
      </c>
      <c r="B742" s="1599">
        <f>B795+B848</f>
        <v>0</v>
      </c>
      <c r="C742" s="1710">
        <v>14.53</v>
      </c>
      <c r="D742" s="1641"/>
      <c r="E742" s="1574">
        <f>E795+E848</f>
        <v>0</v>
      </c>
      <c r="F742" s="1710">
        <v>16.559999999999999</v>
      </c>
      <c r="G742" s="1641"/>
      <c r="H742" s="1574">
        <f>H795+H848</f>
        <v>0</v>
      </c>
      <c r="I742" s="1710">
        <f>I721</f>
        <v>16.96</v>
      </c>
      <c r="J742" s="1641"/>
      <c r="K742" s="1574">
        <f>K795+K848</f>
        <v>0</v>
      </c>
      <c r="M742" s="1578" t="e">
        <f>-(I742/100)*#REF!</f>
        <v>#REF!</v>
      </c>
      <c r="AA742" s="1570"/>
      <c r="AB742" s="1570"/>
      <c r="AC742" s="1570"/>
      <c r="AD742" s="1570"/>
      <c r="AE742" s="1570"/>
      <c r="AF742" s="1570"/>
      <c r="AG742" s="1570"/>
      <c r="AH742" s="1570"/>
    </row>
    <row r="743" spans="1:34">
      <c r="A743" s="1600" t="s">
        <v>457</v>
      </c>
      <c r="B743" s="1599">
        <f>B796+B849</f>
        <v>0</v>
      </c>
      <c r="C743" s="1710">
        <v>11.340000000000002</v>
      </c>
      <c r="D743" s="1641"/>
      <c r="E743" s="1574">
        <f>E796+E849</f>
        <v>0</v>
      </c>
      <c r="F743" s="1710">
        <v>12.96</v>
      </c>
      <c r="G743" s="1641"/>
      <c r="H743" s="1574">
        <f>H796+H849</f>
        <v>0</v>
      </c>
      <c r="I743" s="1710">
        <f>I722</f>
        <v>13.28</v>
      </c>
      <c r="J743" s="1641"/>
      <c r="K743" s="1574">
        <f>K796+K849</f>
        <v>0</v>
      </c>
      <c r="M743" s="1578" t="e">
        <f>-(I743/100)*#REF!</f>
        <v>#REF!</v>
      </c>
      <c r="AA743" s="1570"/>
      <c r="AB743" s="1570"/>
      <c r="AC743" s="1570"/>
      <c r="AD743" s="1570"/>
      <c r="AE743" s="1570"/>
      <c r="AF743" s="1570"/>
      <c r="AG743" s="1570"/>
      <c r="AH743" s="1570"/>
    </row>
    <row r="744" spans="1:34">
      <c r="A744" s="1600" t="s">
        <v>468</v>
      </c>
      <c r="B744" s="1599">
        <f>B797+B850</f>
        <v>0</v>
      </c>
      <c r="C744" s="1657">
        <v>62.58</v>
      </c>
      <c r="D744" s="1641"/>
      <c r="E744" s="1574">
        <f>E797+E850</f>
        <v>0</v>
      </c>
      <c r="F744" s="1657">
        <v>71.61</v>
      </c>
      <c r="G744" s="1641"/>
      <c r="H744" s="1574">
        <f>H797+H850</f>
        <v>0</v>
      </c>
      <c r="I744" s="1657">
        <f>I723</f>
        <v>73.350000000000009</v>
      </c>
      <c r="J744" s="1641"/>
      <c r="K744" s="1574">
        <f>K797+K850</f>
        <v>0</v>
      </c>
      <c r="M744" s="1578" t="e">
        <f>-(I744/100)*#REF!</f>
        <v>#REF!</v>
      </c>
      <c r="AA744" s="1570"/>
      <c r="AB744" s="1570"/>
      <c r="AC744" s="1570"/>
      <c r="AD744" s="1570"/>
      <c r="AE744" s="1570"/>
      <c r="AF744" s="1570"/>
      <c r="AG744" s="1570"/>
      <c r="AH744" s="1570"/>
    </row>
    <row r="745" spans="1:34">
      <c r="A745" s="1600" t="s">
        <v>469</v>
      </c>
      <c r="B745" s="1599">
        <f>B798+B851</f>
        <v>0</v>
      </c>
      <c r="C745" s="1657">
        <v>125.16000000000003</v>
      </c>
      <c r="D745" s="1641"/>
      <c r="E745" s="1574">
        <f>E798+E851</f>
        <v>0</v>
      </c>
      <c r="F745" s="1657">
        <v>142.74</v>
      </c>
      <c r="G745" s="1641"/>
      <c r="H745" s="1574">
        <f>H798+H851</f>
        <v>0</v>
      </c>
      <c r="I745" s="1657">
        <f>I724</f>
        <v>146.69999999999999</v>
      </c>
      <c r="J745" s="1641"/>
      <c r="K745" s="1574">
        <f>K798+K851</f>
        <v>0</v>
      </c>
      <c r="M745" s="1578" t="e">
        <f>-(I745/100)*#REF!</f>
        <v>#REF!</v>
      </c>
      <c r="AA745" s="1570"/>
      <c r="AB745" s="1570"/>
      <c r="AC745" s="1570"/>
      <c r="AD745" s="1570"/>
      <c r="AE745" s="1570"/>
      <c r="AF745" s="1570"/>
      <c r="AG745" s="1570"/>
      <c r="AH745" s="1570"/>
    </row>
    <row r="746" spans="1:34">
      <c r="A746" s="1600" t="s">
        <v>465</v>
      </c>
      <c r="B746" s="1599"/>
      <c r="C746" s="1660"/>
      <c r="D746" s="1641"/>
      <c r="E746" s="1574"/>
      <c r="F746" s="1660"/>
      <c r="G746" s="1641"/>
      <c r="H746" s="1574"/>
      <c r="I746" s="1660"/>
      <c r="J746" s="1641"/>
      <c r="K746" s="1574"/>
      <c r="AA746" s="1570"/>
      <c r="AB746" s="1570"/>
      <c r="AC746" s="1570"/>
      <c r="AD746" s="1570"/>
      <c r="AE746" s="1570"/>
      <c r="AF746" s="1570"/>
      <c r="AG746" s="1570"/>
      <c r="AH746" s="1570"/>
    </row>
    <row r="747" spans="1:34">
      <c r="A747" s="1600" t="s">
        <v>460</v>
      </c>
      <c r="B747" s="1599">
        <f>B800+B853</f>
        <v>0</v>
      </c>
      <c r="C747" s="1657">
        <v>-20.86</v>
      </c>
      <c r="D747" s="1641"/>
      <c r="E747" s="1574">
        <f>E800+E853</f>
        <v>0</v>
      </c>
      <c r="F747" s="1657">
        <v>-23.87</v>
      </c>
      <c r="G747" s="1641"/>
      <c r="H747" s="1574">
        <f>H800+H853</f>
        <v>0</v>
      </c>
      <c r="I747" s="1657">
        <f>I726</f>
        <v>-24.450000000000003</v>
      </c>
      <c r="J747" s="1641"/>
      <c r="K747" s="1574">
        <f>K800+K853</f>
        <v>0</v>
      </c>
      <c r="M747" s="1578" t="e">
        <f>-(I747/100)*#REF!</f>
        <v>#REF!</v>
      </c>
      <c r="AA747" s="1570"/>
      <c r="AB747" s="1570"/>
      <c r="AC747" s="1570"/>
      <c r="AD747" s="1570"/>
      <c r="AE747" s="1570"/>
      <c r="AF747" s="1570"/>
      <c r="AG747" s="1570"/>
      <c r="AH747" s="1570"/>
    </row>
    <row r="748" spans="1:34">
      <c r="A748" s="1600" t="s">
        <v>466</v>
      </c>
      <c r="B748" s="1599">
        <f>B801+B854</f>
        <v>0</v>
      </c>
      <c r="C748" s="1657">
        <v>-20.860000000000003</v>
      </c>
      <c r="D748" s="1641"/>
      <c r="E748" s="1574">
        <f>E801+E854</f>
        <v>0</v>
      </c>
      <c r="F748" s="1657">
        <v>-23.79</v>
      </c>
      <c r="G748" s="1641"/>
      <c r="H748" s="1574">
        <f>H801+H854</f>
        <v>0</v>
      </c>
      <c r="I748" s="1657">
        <f>I727</f>
        <v>-24.45</v>
      </c>
      <c r="J748" s="1641"/>
      <c r="K748" s="1574">
        <f>K801+K854</f>
        <v>0</v>
      </c>
      <c r="M748" s="1578" t="e">
        <f>-(I748/100)*#REF!</f>
        <v>#REF!</v>
      </c>
      <c r="AA748" s="1570"/>
      <c r="AB748" s="1570"/>
      <c r="AC748" s="1570"/>
      <c r="AD748" s="1570"/>
      <c r="AE748" s="1570"/>
      <c r="AF748" s="1570"/>
      <c r="AG748" s="1570"/>
      <c r="AH748" s="1570"/>
    </row>
    <row r="749" spans="1:34">
      <c r="A749" s="1600" t="s">
        <v>429</v>
      </c>
      <c r="B749" s="1599"/>
      <c r="C749" s="1710"/>
      <c r="D749" s="1574"/>
      <c r="E749" s="1574"/>
      <c r="F749" s="1710"/>
      <c r="G749" s="1574"/>
      <c r="H749" s="1574"/>
      <c r="I749" s="1710"/>
      <c r="J749" s="1574"/>
      <c r="K749" s="1574"/>
      <c r="AA749" s="1570"/>
      <c r="AB749" s="1570"/>
      <c r="AC749" s="1570"/>
      <c r="AD749" s="1570"/>
      <c r="AE749" s="1570"/>
      <c r="AF749" s="1570"/>
      <c r="AG749" s="1570"/>
      <c r="AH749" s="1570"/>
    </row>
    <row r="750" spans="1:34">
      <c r="A750" s="1600" t="s">
        <v>467</v>
      </c>
      <c r="B750" s="1599">
        <f t="shared" ref="B750:B756" si="127">B803+B856</f>
        <v>0</v>
      </c>
      <c r="C750" s="1718">
        <v>5.6469999999999994</v>
      </c>
      <c r="D750" s="1574" t="s">
        <v>377</v>
      </c>
      <c r="E750" s="1574">
        <f>E803+E856</f>
        <v>0</v>
      </c>
      <c r="F750" s="1718">
        <v>6.4390000000000001</v>
      </c>
      <c r="G750" s="1574" t="s">
        <v>377</v>
      </c>
      <c r="H750" s="1574">
        <f>H803+H856</f>
        <v>0</v>
      </c>
      <c r="I750" s="1718">
        <f>I729</f>
        <v>6.5950000000000006</v>
      </c>
      <c r="J750" s="1574" t="s">
        <v>377</v>
      </c>
      <c r="K750" s="1574">
        <f t="shared" ref="K750:K755" si="128">K803+K856</f>
        <v>0</v>
      </c>
      <c r="M750" s="1578" t="e">
        <f>-((I750/100)*#REF!)/100</f>
        <v>#REF!</v>
      </c>
      <c r="AA750" s="1570"/>
      <c r="AB750" s="1570"/>
      <c r="AC750" s="1570"/>
      <c r="AD750" s="1570"/>
      <c r="AE750" s="1570"/>
      <c r="AF750" s="1570"/>
      <c r="AG750" s="1570"/>
      <c r="AH750" s="1570"/>
    </row>
    <row r="751" spans="1:34">
      <c r="A751" s="1600" t="s">
        <v>403</v>
      </c>
      <c r="B751" s="1599">
        <f t="shared" si="127"/>
        <v>0</v>
      </c>
      <c r="C751" s="1702">
        <v>50</v>
      </c>
      <c r="D751" s="1574" t="s">
        <v>377</v>
      </c>
      <c r="E751" s="1574">
        <f>E804+E857</f>
        <v>0</v>
      </c>
      <c r="F751" s="1702">
        <v>56</v>
      </c>
      <c r="G751" s="1600" t="s">
        <v>377</v>
      </c>
      <c r="H751" s="1574">
        <f>H804+H857</f>
        <v>0</v>
      </c>
      <c r="I751" s="1702">
        <f>I730</f>
        <v>58</v>
      </c>
      <c r="J751" s="1600" t="s">
        <v>377</v>
      </c>
      <c r="K751" s="1574">
        <f t="shared" si="128"/>
        <v>0</v>
      </c>
      <c r="M751" s="1578" t="e">
        <f>-((I751/100)*#REF!)/100</f>
        <v>#REF!</v>
      </c>
      <c r="AA751" s="1570"/>
      <c r="AB751" s="1570"/>
      <c r="AC751" s="1570"/>
      <c r="AD751" s="1570"/>
      <c r="AE751" s="1570"/>
      <c r="AF751" s="1570"/>
      <c r="AG751" s="1570"/>
      <c r="AH751" s="1570"/>
    </row>
    <row r="752" spans="1:34">
      <c r="A752" s="1600" t="s">
        <v>446</v>
      </c>
      <c r="B752" s="1599">
        <f t="shared" si="127"/>
        <v>0</v>
      </c>
      <c r="C752" s="1660">
        <v>60</v>
      </c>
      <c r="D752" s="1693" t="s">
        <v>31</v>
      </c>
      <c r="E752" s="1574">
        <f>E805+E858</f>
        <v>0</v>
      </c>
      <c r="F752" s="1660">
        <v>60</v>
      </c>
      <c r="G752" s="1585"/>
      <c r="H752" s="1574">
        <f>H805+H858</f>
        <v>0</v>
      </c>
      <c r="I752" s="1660">
        <f>'Blocking - detail'!I623</f>
        <v>60</v>
      </c>
      <c r="J752" s="1585"/>
      <c r="K752" s="1574">
        <f t="shared" si="128"/>
        <v>0</v>
      </c>
      <c r="M752" s="1578" t="e">
        <f>I752*#REF!</f>
        <v>#REF!</v>
      </c>
      <c r="AA752" s="1570"/>
      <c r="AB752" s="1570"/>
      <c r="AC752" s="1570"/>
      <c r="AD752" s="1570"/>
      <c r="AE752" s="1570"/>
      <c r="AF752" s="1570"/>
      <c r="AG752" s="1570"/>
      <c r="AH752" s="1570"/>
    </row>
    <row r="753" spans="1:36">
      <c r="A753" s="1600" t="s">
        <v>447</v>
      </c>
      <c r="B753" s="1599">
        <f t="shared" si="127"/>
        <v>0</v>
      </c>
      <c r="C753" s="1716">
        <v>-30</v>
      </c>
      <c r="D753" s="1574" t="s">
        <v>377</v>
      </c>
      <c r="E753" s="1574">
        <f>E806+E859</f>
        <v>0</v>
      </c>
      <c r="F753" s="1716">
        <v>-30</v>
      </c>
      <c r="G753" s="1574" t="s">
        <v>377</v>
      </c>
      <c r="H753" s="1574">
        <f>H806+H859</f>
        <v>0</v>
      </c>
      <c r="I753" s="1719">
        <f>'Blocking - detail'!I624</f>
        <v>-30</v>
      </c>
      <c r="J753" s="1574" t="s">
        <v>377</v>
      </c>
      <c r="K753" s="1574">
        <f t="shared" si="128"/>
        <v>0</v>
      </c>
      <c r="M753" s="1578" t="e">
        <f>(I753/100)*#REF!</f>
        <v>#REF!</v>
      </c>
      <c r="AA753" s="1570"/>
      <c r="AB753" s="1570"/>
      <c r="AC753" s="1570"/>
      <c r="AD753" s="1570"/>
      <c r="AE753" s="1570"/>
      <c r="AF753" s="1570"/>
      <c r="AG753" s="1570"/>
      <c r="AH753" s="1570"/>
    </row>
    <row r="754" spans="1:36" s="1621" customFormat="1">
      <c r="A754" s="1621" t="s">
        <v>938</v>
      </c>
      <c r="B754" s="1648">
        <f t="shared" si="127"/>
        <v>0</v>
      </c>
      <c r="C754" s="1623"/>
      <c r="D754" s="1624"/>
      <c r="E754" s="1625"/>
      <c r="F754" s="1623"/>
      <c r="G754" s="1624"/>
      <c r="H754" s="1625"/>
      <c r="I754" s="1626">
        <f>I731</f>
        <v>0</v>
      </c>
      <c r="J754" s="1689" t="s">
        <v>377</v>
      </c>
      <c r="K754" s="1689">
        <f t="shared" si="128"/>
        <v>0</v>
      </c>
      <c r="M754" s="1651"/>
      <c r="O754" s="1652"/>
      <c r="R754" s="1653"/>
      <c r="S754" s="1653"/>
      <c r="X754" s="1624"/>
      <c r="Y754" s="1624"/>
      <c r="Z754" s="1624"/>
      <c r="AA754" s="1624"/>
      <c r="AB754" s="1624"/>
      <c r="AC754" s="1624"/>
      <c r="AD754" s="1624"/>
      <c r="AE754" s="1624"/>
      <c r="AF754" s="1624"/>
      <c r="AG754" s="1624"/>
      <c r="AH754" s="1624"/>
      <c r="AJ754" s="1651"/>
    </row>
    <row r="755" spans="1:36">
      <c r="A755" s="1585" t="s">
        <v>384</v>
      </c>
      <c r="B755" s="1599">
        <f t="shared" si="127"/>
        <v>151200065.36433661</v>
      </c>
      <c r="C755" s="1647"/>
      <c r="D755" s="1577"/>
      <c r="E755" s="1577">
        <f>E808+E861</f>
        <v>10533620</v>
      </c>
      <c r="F755" s="1641"/>
      <c r="G755" s="1600"/>
      <c r="H755" s="1577">
        <f>H808+H861</f>
        <v>12011348</v>
      </c>
      <c r="I755" s="1577"/>
      <c r="J755" s="1600"/>
      <c r="K755" s="1577">
        <f t="shared" si="128"/>
        <v>12307489</v>
      </c>
      <c r="M755" s="1578" t="e">
        <f>SUM(M709:M753)</f>
        <v>#REF!</v>
      </c>
      <c r="P755" s="1605"/>
      <c r="Q755" s="1605"/>
      <c r="AA755" s="1570"/>
      <c r="AB755" s="1570"/>
      <c r="AC755" s="1570"/>
      <c r="AD755" s="1570"/>
      <c r="AE755" s="1570"/>
      <c r="AF755" s="1570"/>
      <c r="AG755" s="1570"/>
      <c r="AH755" s="1570"/>
    </row>
    <row r="756" spans="1:36" ht="14.25" customHeight="1">
      <c r="A756" s="1585" t="s">
        <v>366</v>
      </c>
      <c r="B756" s="1663">
        <f t="shared" ca="1" si="127"/>
        <v>2355000</v>
      </c>
      <c r="C756" s="1600"/>
      <c r="D756" s="1600"/>
      <c r="E756" s="1631" t="e">
        <f>E809+E862</f>
        <v>#REF!</v>
      </c>
      <c r="F756" s="1600"/>
      <c r="G756" s="1600"/>
      <c r="H756" s="1631">
        <f ca="1">H809+H862</f>
        <v>288000</v>
      </c>
      <c r="I756" s="1600"/>
      <c r="J756" s="1600"/>
      <c r="K756" s="1631">
        <f ca="1">H756</f>
        <v>288000</v>
      </c>
      <c r="AA756" s="1570"/>
      <c r="AB756" s="1570"/>
      <c r="AC756" s="1570"/>
      <c r="AD756" s="1570"/>
      <c r="AE756" s="1570"/>
      <c r="AF756" s="1570"/>
      <c r="AG756" s="1570"/>
      <c r="AH756" s="1570"/>
    </row>
    <row r="757" spans="1:36" ht="17.25" customHeight="1" thickBot="1">
      <c r="A757" s="1585" t="s">
        <v>385</v>
      </c>
      <c r="B757" s="1694">
        <f ca="1">SUM(B755:B756)</f>
        <v>153555065.36433661</v>
      </c>
      <c r="C757" s="1666"/>
      <c r="D757" s="1667"/>
      <c r="E757" s="1668" t="e">
        <f>E755+E756</f>
        <v>#REF!</v>
      </c>
      <c r="F757" s="1666"/>
      <c r="G757" s="1670"/>
      <c r="H757" s="1668">
        <f ca="1">H755+H756</f>
        <v>12299348</v>
      </c>
      <c r="I757" s="1666"/>
      <c r="J757" s="1670"/>
      <c r="K757" s="1668">
        <f ca="1">K755+K756</f>
        <v>12595489</v>
      </c>
      <c r="N757" s="1594" t="s">
        <v>367</v>
      </c>
      <c r="O757" s="1673">
        <f>'Rate Spread-Staff'!Q25*1000</f>
        <v>12595762.286799999</v>
      </c>
      <c r="P757" s="1674">
        <f>'Rate Spread-Staff'!V25</f>
        <v>2.41E-2</v>
      </c>
      <c r="Q757" s="1597"/>
      <c r="R757" s="1640" t="s">
        <v>31</v>
      </c>
      <c r="S757" s="1640"/>
      <c r="AA757" s="1570"/>
      <c r="AB757" s="1570"/>
      <c r="AC757" s="1570"/>
      <c r="AD757" s="1570"/>
      <c r="AE757" s="1570"/>
      <c r="AF757" s="1570"/>
      <c r="AG757" s="1570"/>
      <c r="AH757" s="1570"/>
    </row>
    <row r="758" spans="1:36" ht="15.75" thickTop="1">
      <c r="A758" s="1585"/>
      <c r="B758" s="1720"/>
      <c r="C758" s="1681"/>
      <c r="D758" s="1682"/>
      <c r="E758" s="1588"/>
      <c r="F758" s="1681" t="s">
        <v>31</v>
      </c>
      <c r="G758" s="1683"/>
      <c r="H758" s="1588"/>
      <c r="I758" s="1681" t="s">
        <v>31</v>
      </c>
      <c r="J758" s="1683"/>
      <c r="K758" s="1588" t="s">
        <v>31</v>
      </c>
      <c r="N758" s="1601" t="s">
        <v>265</v>
      </c>
      <c r="O758" s="1602">
        <f ca="1">O757-K757</f>
        <v>273.28679999895394</v>
      </c>
      <c r="P758" s="1721" t="s">
        <v>31</v>
      </c>
      <c r="Q758" s="1634"/>
      <c r="AA758" s="1570"/>
      <c r="AB758" s="1570"/>
      <c r="AC758" s="1570"/>
      <c r="AD758" s="1570"/>
      <c r="AE758" s="1570"/>
      <c r="AF758" s="1570"/>
      <c r="AG758" s="1570"/>
      <c r="AH758" s="1570"/>
    </row>
    <row r="759" spans="1:36" hidden="1">
      <c r="A759" s="1609" t="s">
        <v>450</v>
      </c>
      <c r="B759" s="1610"/>
      <c r="C759" s="1660"/>
      <c r="D759" s="1577"/>
      <c r="E759" s="1577"/>
      <c r="F759" s="1660"/>
      <c r="G759" s="1585"/>
      <c r="H759" s="1577"/>
      <c r="I759" s="1660"/>
      <c r="J759" s="1585"/>
      <c r="K759" s="1577"/>
      <c r="AA759" s="1570"/>
      <c r="AB759" s="1570"/>
      <c r="AC759" s="1570"/>
      <c r="AD759" s="1570"/>
      <c r="AE759" s="1570"/>
      <c r="AF759" s="1570"/>
      <c r="AG759" s="1570"/>
      <c r="AH759" s="1570"/>
    </row>
    <row r="760" spans="1:36" hidden="1">
      <c r="A760" s="1600" t="s">
        <v>198</v>
      </c>
      <c r="B760" s="1610"/>
      <c r="C760" s="1660"/>
      <c r="D760" s="1577"/>
      <c r="E760" s="1577"/>
      <c r="F760" s="1660"/>
      <c r="G760" s="1585"/>
      <c r="H760" s="1577"/>
      <c r="I760" s="1660"/>
      <c r="J760" s="1585"/>
      <c r="K760" s="1577"/>
      <c r="M760" s="1578"/>
      <c r="N760" s="1578"/>
      <c r="O760" s="1677" t="s">
        <v>31</v>
      </c>
      <c r="P760" s="1615"/>
      <c r="Q760" s="1615"/>
      <c r="AA760" s="1570"/>
      <c r="AB760" s="1570"/>
      <c r="AC760" s="1570"/>
      <c r="AD760" s="1570"/>
      <c r="AE760" s="1570"/>
      <c r="AF760" s="1570"/>
      <c r="AG760" s="1570"/>
      <c r="AH760" s="1570"/>
    </row>
    <row r="761" spans="1:36" hidden="1">
      <c r="A761" s="1600"/>
      <c r="B761" s="1610"/>
      <c r="C761" s="1660"/>
      <c r="D761" s="1577"/>
      <c r="E761" s="1710"/>
      <c r="F761" s="1660"/>
      <c r="G761" s="1585"/>
      <c r="H761" s="1710"/>
      <c r="I761" s="1660"/>
      <c r="J761" s="1585"/>
      <c r="K761" s="1711"/>
      <c r="M761" s="1570"/>
      <c r="N761" s="1570"/>
      <c r="O761" s="1571"/>
      <c r="P761" s="1571"/>
      <c r="Q761" s="1571"/>
      <c r="R761" s="1570"/>
      <c r="S761" s="1570"/>
      <c r="T761" s="1570"/>
      <c r="U761" s="1570"/>
      <c r="V761" s="1570"/>
      <c r="W761" s="1570"/>
      <c r="X761" s="1570"/>
      <c r="Y761" s="1570"/>
      <c r="Z761" s="1570"/>
      <c r="AA761" s="1570"/>
      <c r="AB761" s="1570"/>
      <c r="AC761" s="1570"/>
      <c r="AD761" s="1570"/>
      <c r="AE761" s="1570"/>
      <c r="AF761" s="1570"/>
      <c r="AG761" s="1570"/>
      <c r="AH761" s="1570"/>
    </row>
    <row r="762" spans="1:36" hidden="1">
      <c r="A762" s="1600" t="s">
        <v>452</v>
      </c>
      <c r="B762" s="1599"/>
      <c r="C762" s="1577" t="s">
        <v>31</v>
      </c>
      <c r="D762" s="1577"/>
      <c r="E762" s="1585"/>
      <c r="F762" s="1577" t="s">
        <v>31</v>
      </c>
      <c r="G762" s="1585"/>
      <c r="H762" s="1585"/>
      <c r="I762" s="1577" t="s">
        <v>31</v>
      </c>
      <c r="J762" s="1585"/>
      <c r="K762" s="1585"/>
      <c r="M762" s="1570"/>
      <c r="N762" s="1570"/>
      <c r="O762" s="1571"/>
      <c r="P762" s="1571"/>
      <c r="Q762" s="1571"/>
      <c r="R762" s="1570"/>
      <c r="S762" s="1570"/>
      <c r="T762" s="1570"/>
      <c r="U762" s="1570"/>
      <c r="V762" s="1570"/>
      <c r="W762" s="1570"/>
      <c r="X762" s="1570"/>
      <c r="Y762" s="1570"/>
      <c r="Z762" s="1570"/>
      <c r="AA762" s="1570"/>
      <c r="AB762" s="1570"/>
      <c r="AC762" s="1570"/>
      <c r="AD762" s="1570"/>
      <c r="AE762" s="1570"/>
      <c r="AF762" s="1570"/>
      <c r="AG762" s="1570"/>
      <c r="AH762" s="1570"/>
    </row>
    <row r="763" spans="1:36" hidden="1">
      <c r="A763" s="1600" t="s">
        <v>453</v>
      </c>
      <c r="B763" s="1599">
        <f>985</f>
        <v>985</v>
      </c>
      <c r="C763" s="1660">
        <v>0</v>
      </c>
      <c r="D763" s="1641"/>
      <c r="E763" s="1574">
        <f>ROUND(C763*$B763,0)</f>
        <v>0</v>
      </c>
      <c r="F763" s="1660">
        <v>0</v>
      </c>
      <c r="G763" s="1641"/>
      <c r="H763" s="1574">
        <f>ROUND(F763*B763,0)</f>
        <v>0</v>
      </c>
      <c r="I763" s="1660">
        <f>$I$709</f>
        <v>0</v>
      </c>
      <c r="J763" s="1641"/>
      <c r="K763" s="1574">
        <f>ROUND(I763*$B763,0)</f>
        <v>0</v>
      </c>
      <c r="M763" s="1570"/>
      <c r="N763" s="1570"/>
      <c r="O763" s="1571"/>
      <c r="P763" s="1571"/>
      <c r="Q763" s="1571"/>
      <c r="R763" s="1570"/>
      <c r="S763" s="1570"/>
      <c r="T763" s="1570"/>
      <c r="U763" s="1570"/>
      <c r="V763" s="1570"/>
      <c r="W763" s="1570"/>
      <c r="X763" s="1570"/>
      <c r="Y763" s="1570"/>
      <c r="Z763" s="1570"/>
      <c r="AA763" s="1570"/>
      <c r="AB763" s="1570"/>
      <c r="AC763" s="1570"/>
      <c r="AD763" s="1570"/>
      <c r="AE763" s="1570"/>
      <c r="AF763" s="1570"/>
      <c r="AG763" s="1570"/>
      <c r="AH763" s="1570"/>
    </row>
    <row r="764" spans="1:36" hidden="1">
      <c r="A764" s="1600" t="s">
        <v>454</v>
      </c>
      <c r="B764" s="1599"/>
      <c r="C764" s="1660"/>
      <c r="D764" s="1641"/>
      <c r="E764" s="1574"/>
      <c r="F764" s="1660"/>
      <c r="G764" s="1641"/>
      <c r="H764" s="1574"/>
      <c r="I764" s="1660"/>
      <c r="J764" s="1641"/>
      <c r="K764" s="1574"/>
      <c r="M764" s="1570"/>
      <c r="N764" s="1570"/>
      <c r="O764" s="1571"/>
      <c r="P764" s="1571"/>
      <c r="Q764" s="1571"/>
      <c r="R764" s="1570"/>
      <c r="S764" s="1570"/>
      <c r="T764" s="1570"/>
      <c r="U764" s="1570"/>
      <c r="V764" s="1570"/>
      <c r="W764" s="1570"/>
      <c r="X764" s="1570"/>
      <c r="Y764" s="1570"/>
      <c r="Z764" s="1570"/>
      <c r="AA764" s="1570"/>
      <c r="AB764" s="1570"/>
      <c r="AC764" s="1570"/>
      <c r="AD764" s="1570"/>
      <c r="AE764" s="1570"/>
      <c r="AF764" s="1570"/>
      <c r="AG764" s="1570"/>
      <c r="AH764" s="1570"/>
    </row>
    <row r="765" spans="1:36" hidden="1">
      <c r="A765" s="1600" t="s">
        <v>455</v>
      </c>
      <c r="B765" s="1599">
        <f>1+3685</f>
        <v>3686</v>
      </c>
      <c r="C765" s="1660">
        <v>0</v>
      </c>
      <c r="D765" s="1641"/>
      <c r="E765" s="1574">
        <f>ROUND(C765*$B765,0)</f>
        <v>0</v>
      </c>
      <c r="F765" s="1660">
        <v>0</v>
      </c>
      <c r="G765" s="1641"/>
      <c r="H765" s="1574">
        <f t="shared" ref="H765:H767" si="129">ROUND(F765*B765,0)</f>
        <v>0</v>
      </c>
      <c r="I765" s="1660">
        <f>$I$711</f>
        <v>0</v>
      </c>
      <c r="J765" s="1641"/>
      <c r="K765" s="1574">
        <f>ROUND(I765*$B765,0)</f>
        <v>0</v>
      </c>
      <c r="M765" s="1570"/>
      <c r="N765" s="1570"/>
      <c r="O765" s="1571"/>
      <c r="P765" s="1571"/>
      <c r="Q765" s="1571"/>
      <c r="R765" s="1570"/>
      <c r="S765" s="1570"/>
      <c r="T765" s="1570"/>
      <c r="U765" s="1570"/>
      <c r="V765" s="1570"/>
      <c r="W765" s="1570"/>
      <c r="X765" s="1570"/>
      <c r="Y765" s="1570"/>
      <c r="Z765" s="1570"/>
      <c r="AA765" s="1570"/>
      <c r="AB765" s="1570"/>
      <c r="AC765" s="1570"/>
      <c r="AD765" s="1570"/>
      <c r="AE765" s="1570"/>
      <c r="AF765" s="1570"/>
      <c r="AG765" s="1570"/>
      <c r="AH765" s="1570"/>
    </row>
    <row r="766" spans="1:36" hidden="1">
      <c r="A766" s="1600" t="s">
        <v>456</v>
      </c>
      <c r="B766" s="1599">
        <f>394</f>
        <v>394</v>
      </c>
      <c r="C766" s="1660">
        <v>312</v>
      </c>
      <c r="D766" s="1641"/>
      <c r="E766" s="1574">
        <f>ROUND(C766*$B766,0)</f>
        <v>122928</v>
      </c>
      <c r="F766" s="1660">
        <v>357</v>
      </c>
      <c r="G766" s="1641"/>
      <c r="H766" s="1574">
        <f t="shared" si="129"/>
        <v>140658</v>
      </c>
      <c r="I766" s="1660">
        <f>$I$712</f>
        <v>366</v>
      </c>
      <c r="J766" s="1641"/>
      <c r="K766" s="1574">
        <f>ROUND(I766*$B766,0)</f>
        <v>144204</v>
      </c>
      <c r="M766" s="1570"/>
      <c r="N766" s="1570"/>
      <c r="O766" s="1571"/>
      <c r="P766" s="1571"/>
      <c r="Q766" s="1571"/>
      <c r="R766" s="1570"/>
      <c r="S766" s="1570"/>
      <c r="T766" s="1570"/>
      <c r="U766" s="1570"/>
      <c r="V766" s="1570"/>
      <c r="W766" s="1570"/>
      <c r="X766" s="1570"/>
      <c r="Y766" s="1570"/>
      <c r="Z766" s="1570"/>
      <c r="AA766" s="1570"/>
      <c r="AB766" s="1570"/>
      <c r="AC766" s="1570"/>
      <c r="AD766" s="1570"/>
      <c r="AE766" s="1570"/>
      <c r="AF766" s="1570"/>
      <c r="AG766" s="1570"/>
      <c r="AH766" s="1570"/>
    </row>
    <row r="767" spans="1:36" hidden="1">
      <c r="A767" s="1600" t="s">
        <v>457</v>
      </c>
      <c r="B767" s="1599">
        <v>0</v>
      </c>
      <c r="C767" s="1660">
        <v>1268</v>
      </c>
      <c r="D767" s="1641"/>
      <c r="E767" s="1574">
        <f>ROUND(C767*$B767,0)</f>
        <v>0</v>
      </c>
      <c r="F767" s="1660">
        <v>1457</v>
      </c>
      <c r="G767" s="1641"/>
      <c r="H767" s="1574">
        <f t="shared" si="129"/>
        <v>0</v>
      </c>
      <c r="I767" s="1660">
        <f>$I$713</f>
        <v>1493</v>
      </c>
      <c r="J767" s="1641"/>
      <c r="K767" s="1574">
        <f>ROUND(I767*$B767,0)</f>
        <v>0</v>
      </c>
      <c r="M767" s="1570"/>
      <c r="N767" s="1570"/>
      <c r="O767" s="1571"/>
      <c r="P767" s="1571"/>
      <c r="Q767" s="1571"/>
      <c r="R767" s="1570"/>
      <c r="S767" s="1570"/>
      <c r="T767" s="1570"/>
      <c r="U767" s="1570"/>
      <c r="V767" s="1570"/>
      <c r="W767" s="1570"/>
      <c r="X767" s="1570"/>
      <c r="Y767" s="1570"/>
      <c r="Z767" s="1570"/>
      <c r="AA767" s="1570"/>
      <c r="AB767" s="1570"/>
      <c r="AC767" s="1570"/>
      <c r="AD767" s="1570"/>
      <c r="AE767" s="1570"/>
      <c r="AF767" s="1570"/>
      <c r="AG767" s="1570"/>
      <c r="AH767" s="1570"/>
    </row>
    <row r="768" spans="1:36" hidden="1">
      <c r="A768" s="1600" t="s">
        <v>365</v>
      </c>
      <c r="B768" s="1599">
        <f>SUM(B763:B767)</f>
        <v>5065</v>
      </c>
      <c r="C768" s="1660"/>
      <c r="D768" s="1641"/>
      <c r="E768" s="1574"/>
      <c r="F768" s="1660"/>
      <c r="G768" s="1641"/>
      <c r="H768" s="1574"/>
      <c r="I768" s="1660"/>
      <c r="J768" s="1641"/>
      <c r="K768" s="1574"/>
      <c r="M768" s="1570"/>
      <c r="N768" s="1570"/>
      <c r="O768" s="1571"/>
      <c r="P768" s="1571"/>
      <c r="Q768" s="1571"/>
      <c r="R768" s="1570"/>
      <c r="S768" s="1570"/>
      <c r="T768" s="1570"/>
      <c r="U768" s="1570"/>
      <c r="V768" s="1570"/>
      <c r="W768" s="1570"/>
      <c r="X768" s="1570"/>
      <c r="Y768" s="1570"/>
      <c r="Z768" s="1570"/>
      <c r="AA768" s="1570"/>
      <c r="AB768" s="1570"/>
      <c r="AC768" s="1570"/>
      <c r="AD768" s="1570"/>
      <c r="AE768" s="1570"/>
      <c r="AF768" s="1570"/>
      <c r="AG768" s="1570"/>
      <c r="AH768" s="1570"/>
    </row>
    <row r="769" spans="1:34" hidden="1">
      <c r="A769" s="1600" t="s">
        <v>458</v>
      </c>
      <c r="B769" s="1599">
        <f>7280+27868+3039</f>
        <v>38187</v>
      </c>
      <c r="C769" s="1660"/>
      <c r="D769" s="1574"/>
      <c r="E769" s="1574"/>
      <c r="F769" s="1660"/>
      <c r="G769" s="1574"/>
      <c r="H769" s="1574"/>
      <c r="I769" s="1660"/>
      <c r="J769" s="1574"/>
      <c r="K769" s="1574"/>
      <c r="M769" s="1570"/>
      <c r="N769" s="1570"/>
      <c r="O769" s="1571"/>
      <c r="P769" s="1571"/>
      <c r="Q769" s="1571"/>
      <c r="R769" s="1570"/>
      <c r="S769" s="1570"/>
      <c r="T769" s="1570"/>
      <c r="U769" s="1570"/>
      <c r="V769" s="1570"/>
      <c r="W769" s="1570"/>
      <c r="X769" s="1570"/>
      <c r="Y769" s="1570"/>
      <c r="Z769" s="1570"/>
      <c r="AA769" s="1570"/>
      <c r="AB769" s="1570"/>
      <c r="AC769" s="1570"/>
      <c r="AD769" s="1570"/>
      <c r="AE769" s="1570"/>
      <c r="AF769" s="1570"/>
      <c r="AG769" s="1570"/>
      <c r="AH769" s="1570"/>
    </row>
    <row r="770" spans="1:34" hidden="1">
      <c r="A770" s="1600" t="s">
        <v>104</v>
      </c>
      <c r="B770" s="1599">
        <f>1+1+1071+4201+407</f>
        <v>5681</v>
      </c>
      <c r="C770" s="1660"/>
      <c r="D770" s="1574"/>
      <c r="E770" s="1574"/>
      <c r="F770" s="1660"/>
      <c r="G770" s="1574"/>
      <c r="H770" s="1574"/>
      <c r="I770" s="1660"/>
      <c r="J770" s="1574"/>
      <c r="K770" s="1574"/>
      <c r="M770" s="1570"/>
      <c r="N770" s="1570"/>
      <c r="O770" s="1571"/>
      <c r="P770" s="1571"/>
      <c r="Q770" s="1571"/>
      <c r="R770" s="1570"/>
      <c r="S770" s="1570"/>
      <c r="T770" s="1570"/>
      <c r="U770" s="1570"/>
      <c r="V770" s="1570"/>
      <c r="W770" s="1570"/>
      <c r="X770" s="1570"/>
      <c r="Y770" s="1570"/>
      <c r="Z770" s="1570"/>
      <c r="AA770" s="1570"/>
      <c r="AB770" s="1570"/>
      <c r="AC770" s="1570"/>
      <c r="AD770" s="1570"/>
      <c r="AE770" s="1570"/>
      <c r="AF770" s="1570"/>
      <c r="AG770" s="1570"/>
      <c r="AH770" s="1570"/>
    </row>
    <row r="771" spans="1:34" hidden="1">
      <c r="A771" s="1600" t="s">
        <v>459</v>
      </c>
      <c r="B771" s="1599"/>
      <c r="C771" s="1660"/>
      <c r="D771" s="1641"/>
      <c r="E771" s="1574"/>
      <c r="F771" s="1660"/>
      <c r="G771" s="1641"/>
      <c r="H771" s="1574"/>
      <c r="I771" s="1660"/>
      <c r="J771" s="1641"/>
      <c r="K771" s="1574"/>
      <c r="M771" s="1570"/>
      <c r="N771" s="1570"/>
      <c r="O771" s="1571"/>
      <c r="P771" s="1571"/>
      <c r="Q771" s="1571"/>
      <c r="R771" s="1570"/>
      <c r="S771" s="1570"/>
      <c r="T771" s="1570"/>
      <c r="U771" s="1570"/>
      <c r="V771" s="1570"/>
      <c r="W771" s="1570"/>
      <c r="X771" s="1570"/>
      <c r="Y771" s="1570"/>
      <c r="Z771" s="1570"/>
      <c r="AA771" s="1570"/>
      <c r="AB771" s="1570"/>
      <c r="AC771" s="1570"/>
      <c r="AD771" s="1570"/>
      <c r="AE771" s="1570"/>
      <c r="AF771" s="1570"/>
      <c r="AG771" s="1570"/>
      <c r="AH771" s="1570"/>
    </row>
    <row r="772" spans="1:34" hidden="1">
      <c r="A772" s="1600" t="s">
        <v>460</v>
      </c>
      <c r="B772" s="1599">
        <f>2783</f>
        <v>2783</v>
      </c>
      <c r="C772" s="1660">
        <v>20.86</v>
      </c>
      <c r="D772" s="1641"/>
      <c r="E772" s="1574">
        <f>ROUND(C772*$B772,0)</f>
        <v>58053</v>
      </c>
      <c r="F772" s="1660">
        <v>23.87</v>
      </c>
      <c r="G772" s="1641"/>
      <c r="H772" s="1574">
        <f>ROUND(F772*B772,0)</f>
        <v>66430</v>
      </c>
      <c r="I772" s="1660">
        <f>$I$718</f>
        <v>24.450000000000003</v>
      </c>
      <c r="J772" s="1641"/>
      <c r="K772" s="1574">
        <f>ROUND(I772*$B772,0)</f>
        <v>68044</v>
      </c>
      <c r="M772" s="1570"/>
      <c r="N772" s="1570"/>
      <c r="O772" s="1571"/>
      <c r="P772" s="1571"/>
      <c r="Q772" s="1571"/>
      <c r="R772" s="1570"/>
      <c r="S772" s="1570"/>
      <c r="T772" s="1570"/>
      <c r="U772" s="1570"/>
      <c r="V772" s="1570"/>
      <c r="W772" s="1570"/>
      <c r="X772" s="1570"/>
      <c r="Y772" s="1570"/>
      <c r="Z772" s="1570"/>
      <c r="AA772" s="1570"/>
      <c r="AB772" s="1570"/>
      <c r="AC772" s="1570"/>
      <c r="AD772" s="1570"/>
      <c r="AE772" s="1570"/>
      <c r="AF772" s="1570"/>
      <c r="AG772" s="1570"/>
      <c r="AH772" s="1570"/>
    </row>
    <row r="773" spans="1:34" hidden="1">
      <c r="A773" s="1600" t="s">
        <v>461</v>
      </c>
      <c r="B773" s="1599"/>
      <c r="C773" s="1660"/>
      <c r="D773" s="1641"/>
      <c r="E773" s="1574"/>
      <c r="F773" s="1660"/>
      <c r="G773" s="1641"/>
      <c r="H773" s="1574"/>
      <c r="I773" s="1660"/>
      <c r="J773" s="1641"/>
      <c r="K773" s="1574"/>
      <c r="M773" s="1570"/>
      <c r="N773" s="1570"/>
      <c r="O773" s="1571"/>
      <c r="P773" s="1571"/>
      <c r="Q773" s="1571"/>
      <c r="R773" s="1570"/>
      <c r="S773" s="1570"/>
      <c r="T773" s="1570"/>
      <c r="U773" s="1570"/>
      <c r="V773" s="1570"/>
      <c r="W773" s="1570"/>
      <c r="X773" s="1570"/>
      <c r="Y773" s="1570"/>
      <c r="Z773" s="1570"/>
      <c r="AA773" s="1570"/>
      <c r="AB773" s="1570"/>
      <c r="AC773" s="1570"/>
      <c r="AD773" s="1570"/>
      <c r="AE773" s="1570"/>
      <c r="AF773" s="1570"/>
      <c r="AG773" s="1570"/>
      <c r="AH773" s="1570"/>
    </row>
    <row r="774" spans="1:34" hidden="1">
      <c r="A774" s="1600" t="s">
        <v>455</v>
      </c>
      <c r="B774" s="1599">
        <f>42+48776</f>
        <v>48818</v>
      </c>
      <c r="C774" s="1660">
        <v>20.860000000000003</v>
      </c>
      <c r="D774" s="1641"/>
      <c r="E774" s="1574">
        <f>ROUND(C774*$B774,0)</f>
        <v>1018343</v>
      </c>
      <c r="F774" s="1660">
        <v>23.79</v>
      </c>
      <c r="G774" s="1641"/>
      <c r="H774" s="1574">
        <f t="shared" ref="H774:H778" si="130">ROUND(F774*B774,0)</f>
        <v>1161380</v>
      </c>
      <c r="I774" s="1660">
        <f>$I$720</f>
        <v>24.45</v>
      </c>
      <c r="J774" s="1641"/>
      <c r="K774" s="1574">
        <f>ROUND(I774*$B774,0)</f>
        <v>1193600</v>
      </c>
      <c r="M774" s="1570"/>
      <c r="N774" s="1570"/>
      <c r="O774" s="1571"/>
      <c r="P774" s="1571"/>
      <c r="Q774" s="1571"/>
      <c r="R774" s="1570"/>
      <c r="S774" s="1570"/>
      <c r="T774" s="1570"/>
      <c r="U774" s="1570"/>
      <c r="V774" s="1570"/>
      <c r="W774" s="1570"/>
      <c r="X774" s="1570"/>
      <c r="Y774" s="1570"/>
      <c r="Z774" s="1570"/>
      <c r="AA774" s="1570"/>
      <c r="AB774" s="1570"/>
      <c r="AC774" s="1570"/>
      <c r="AD774" s="1570"/>
      <c r="AE774" s="1570"/>
      <c r="AF774" s="1570"/>
      <c r="AG774" s="1570"/>
      <c r="AH774" s="1570"/>
    </row>
    <row r="775" spans="1:34" hidden="1">
      <c r="A775" s="1600" t="s">
        <v>456</v>
      </c>
      <c r="B775" s="1599">
        <f>37471</f>
        <v>37471</v>
      </c>
      <c r="C775" s="1660">
        <v>14.53</v>
      </c>
      <c r="D775" s="1641"/>
      <c r="E775" s="1574">
        <f>ROUND(C775*$B775,0)</f>
        <v>544454</v>
      </c>
      <c r="F775" s="1660">
        <v>16.559999999999999</v>
      </c>
      <c r="G775" s="1641"/>
      <c r="H775" s="1574">
        <f t="shared" si="130"/>
        <v>620520</v>
      </c>
      <c r="I775" s="1660">
        <f>$I$721</f>
        <v>16.96</v>
      </c>
      <c r="J775" s="1641"/>
      <c r="K775" s="1574">
        <f>ROUND(I775*$B775,0)</f>
        <v>635508</v>
      </c>
      <c r="M775" s="1570"/>
      <c r="N775" s="1570"/>
      <c r="O775" s="1571"/>
      <c r="P775" s="1571"/>
      <c r="Q775" s="1571"/>
      <c r="R775" s="1570"/>
      <c r="S775" s="1570"/>
      <c r="T775" s="1570"/>
      <c r="U775" s="1570"/>
      <c r="V775" s="1570"/>
      <c r="W775" s="1570"/>
      <c r="X775" s="1570"/>
      <c r="Y775" s="1570"/>
      <c r="Z775" s="1570"/>
      <c r="AA775" s="1570"/>
      <c r="AB775" s="1570"/>
      <c r="AC775" s="1570"/>
      <c r="AD775" s="1570"/>
      <c r="AE775" s="1570"/>
      <c r="AF775" s="1570"/>
      <c r="AG775" s="1570"/>
      <c r="AH775" s="1570"/>
    </row>
    <row r="776" spans="1:34" hidden="1">
      <c r="A776" s="1600" t="s">
        <v>457</v>
      </c>
      <c r="B776" s="1599">
        <v>0</v>
      </c>
      <c r="C776" s="1660">
        <v>11.340000000000002</v>
      </c>
      <c r="D776" s="1641"/>
      <c r="E776" s="1574">
        <f>ROUND(C776*$B776,0)</f>
        <v>0</v>
      </c>
      <c r="F776" s="1660">
        <v>12.96</v>
      </c>
      <c r="G776" s="1641"/>
      <c r="H776" s="1574">
        <f t="shared" si="130"/>
        <v>0</v>
      </c>
      <c r="I776" s="1660">
        <f>$I$722</f>
        <v>13.28</v>
      </c>
      <c r="J776" s="1641"/>
      <c r="K776" s="1574">
        <f>ROUND(I776*$B776,0)</f>
        <v>0</v>
      </c>
      <c r="M776" s="1570"/>
      <c r="N776" s="1570"/>
      <c r="O776" s="1571"/>
      <c r="P776" s="1571"/>
      <c r="Q776" s="1571"/>
      <c r="R776" s="1570"/>
      <c r="S776" s="1570"/>
      <c r="T776" s="1570"/>
      <c r="U776" s="1570"/>
      <c r="V776" s="1570"/>
      <c r="W776" s="1570"/>
      <c r="X776" s="1570"/>
      <c r="Y776" s="1570"/>
      <c r="Z776" s="1570"/>
      <c r="AA776" s="1570"/>
      <c r="AB776" s="1570"/>
      <c r="AC776" s="1570"/>
      <c r="AD776" s="1570"/>
      <c r="AE776" s="1570"/>
      <c r="AF776" s="1570"/>
      <c r="AG776" s="1570"/>
      <c r="AH776" s="1570"/>
    </row>
    <row r="777" spans="1:34" hidden="1">
      <c r="A777" s="1600" t="s">
        <v>463</v>
      </c>
      <c r="B777" s="1599">
        <f>570</f>
        <v>570</v>
      </c>
      <c r="C777" s="1660">
        <v>62.58</v>
      </c>
      <c r="D777" s="1641"/>
      <c r="E777" s="1574">
        <f>ROUND(C777*$B777,0)</f>
        <v>35671</v>
      </c>
      <c r="F777" s="1660">
        <v>71.61</v>
      </c>
      <c r="G777" s="1641"/>
      <c r="H777" s="1574">
        <f t="shared" si="130"/>
        <v>40818</v>
      </c>
      <c r="I777" s="1660">
        <f>$I$723</f>
        <v>73.350000000000009</v>
      </c>
      <c r="J777" s="1641"/>
      <c r="K777" s="1574">
        <f>ROUND(I777*$B777,0)</f>
        <v>41810</v>
      </c>
      <c r="M777" s="1570"/>
      <c r="N777" s="1570"/>
      <c r="O777" s="1571"/>
      <c r="P777" s="1571"/>
      <c r="Q777" s="1571"/>
      <c r="R777" s="1570"/>
      <c r="S777" s="1570"/>
      <c r="T777" s="1570"/>
      <c r="U777" s="1570"/>
      <c r="V777" s="1570"/>
      <c r="W777" s="1570"/>
      <c r="X777" s="1570"/>
      <c r="Y777" s="1570"/>
      <c r="Z777" s="1570"/>
      <c r="AA777" s="1570"/>
      <c r="AB777" s="1570"/>
      <c r="AC777" s="1570"/>
      <c r="AD777" s="1570"/>
      <c r="AE777" s="1570"/>
      <c r="AF777" s="1570"/>
      <c r="AG777" s="1570"/>
      <c r="AH777" s="1570"/>
    </row>
    <row r="778" spans="1:34" hidden="1">
      <c r="A778" s="1600" t="s">
        <v>464</v>
      </c>
      <c r="B778" s="1599">
        <f>1085</f>
        <v>1085</v>
      </c>
      <c r="C778" s="1660">
        <v>125.16000000000003</v>
      </c>
      <c r="D778" s="1641"/>
      <c r="E778" s="1574">
        <f>ROUND(C778*$B778,0)</f>
        <v>135799</v>
      </c>
      <c r="F778" s="1660">
        <v>142.74</v>
      </c>
      <c r="G778" s="1641"/>
      <c r="H778" s="1574">
        <f t="shared" si="130"/>
        <v>154873</v>
      </c>
      <c r="I778" s="1660">
        <f>$I$724</f>
        <v>146.69999999999999</v>
      </c>
      <c r="J778" s="1641"/>
      <c r="K778" s="1574">
        <f>ROUND(I778*$B778,0)</f>
        <v>159170</v>
      </c>
      <c r="M778" s="1570"/>
      <c r="N778" s="1570"/>
      <c r="O778" s="1571"/>
      <c r="P778" s="1571"/>
      <c r="Q778" s="1571"/>
      <c r="R778" s="1570"/>
      <c r="S778" s="1570"/>
      <c r="T778" s="1570"/>
      <c r="U778" s="1570"/>
      <c r="V778" s="1570"/>
      <c r="W778" s="1570"/>
      <c r="X778" s="1570"/>
      <c r="Y778" s="1570"/>
      <c r="Z778" s="1570"/>
      <c r="AA778" s="1570"/>
      <c r="AB778" s="1570"/>
      <c r="AC778" s="1570"/>
      <c r="AD778" s="1570"/>
      <c r="AE778" s="1570"/>
      <c r="AF778" s="1570"/>
      <c r="AG778" s="1570"/>
      <c r="AH778" s="1570"/>
    </row>
    <row r="779" spans="1:34" hidden="1">
      <c r="A779" s="1600" t="s">
        <v>465</v>
      </c>
      <c r="B779" s="1599"/>
      <c r="C779" s="1660"/>
      <c r="D779" s="1641"/>
      <c r="E779" s="1574"/>
      <c r="F779" s="1660"/>
      <c r="G779" s="1641"/>
      <c r="H779" s="1574"/>
      <c r="I779" s="1660"/>
      <c r="J779" s="1641"/>
      <c r="K779" s="1574"/>
      <c r="M779" s="1570"/>
      <c r="N779" s="1570"/>
      <c r="O779" s="1571"/>
      <c r="P779" s="1571"/>
      <c r="Q779" s="1571"/>
      <c r="R779" s="1570"/>
      <c r="S779" s="1570"/>
      <c r="T779" s="1570"/>
      <c r="U779" s="1570"/>
      <c r="V779" s="1570"/>
      <c r="W779" s="1570"/>
      <c r="X779" s="1570"/>
      <c r="Y779" s="1570"/>
      <c r="Z779" s="1570"/>
      <c r="AA779" s="1570"/>
      <c r="AB779" s="1570"/>
      <c r="AC779" s="1570"/>
      <c r="AD779" s="1570"/>
      <c r="AE779" s="1570"/>
      <c r="AF779" s="1570"/>
      <c r="AG779" s="1570"/>
      <c r="AH779" s="1570"/>
    </row>
    <row r="780" spans="1:34" hidden="1">
      <c r="A780" s="1600" t="s">
        <v>460</v>
      </c>
      <c r="B780" s="1599">
        <f>48</f>
        <v>48</v>
      </c>
      <c r="C780" s="1657">
        <v>-20.86</v>
      </c>
      <c r="D780" s="1641"/>
      <c r="E780" s="1574">
        <f>ROUND(C780*$B780,0)</f>
        <v>-1001</v>
      </c>
      <c r="F780" s="1657">
        <v>-23.87</v>
      </c>
      <c r="G780" s="1641"/>
      <c r="H780" s="1574">
        <f t="shared" ref="H780:H781" si="131">ROUND(F780*B780,0)</f>
        <v>-1146</v>
      </c>
      <c r="I780" s="1657">
        <f>-I772</f>
        <v>-24.450000000000003</v>
      </c>
      <c r="J780" s="1641"/>
      <c r="K780" s="1574">
        <f>ROUND(I780*$B780,0)</f>
        <v>-1174</v>
      </c>
      <c r="M780" s="1570"/>
      <c r="N780" s="1570"/>
      <c r="O780" s="1571"/>
      <c r="P780" s="1571"/>
      <c r="Q780" s="1571"/>
      <c r="R780" s="1570"/>
      <c r="S780" s="1570"/>
      <c r="T780" s="1570"/>
      <c r="U780" s="1570"/>
      <c r="V780" s="1570"/>
      <c r="W780" s="1570"/>
      <c r="X780" s="1570"/>
      <c r="Y780" s="1570"/>
      <c r="Z780" s="1570"/>
      <c r="AA780" s="1570"/>
      <c r="AB780" s="1570"/>
      <c r="AC780" s="1570"/>
      <c r="AD780" s="1570"/>
      <c r="AE780" s="1570"/>
      <c r="AF780" s="1570"/>
      <c r="AG780" s="1570"/>
      <c r="AH780" s="1570"/>
    </row>
    <row r="781" spans="1:34" hidden="1">
      <c r="A781" s="1600" t="s">
        <v>466</v>
      </c>
      <c r="B781" s="1599">
        <f>561</f>
        <v>561</v>
      </c>
      <c r="C781" s="1657">
        <v>-20.860000000000003</v>
      </c>
      <c r="D781" s="1641"/>
      <c r="E781" s="1574">
        <f>ROUND(C781*$B781,0)</f>
        <v>-11702</v>
      </c>
      <c r="F781" s="1657">
        <v>-23.79</v>
      </c>
      <c r="G781" s="1641"/>
      <c r="H781" s="1574">
        <f t="shared" si="131"/>
        <v>-13346</v>
      </c>
      <c r="I781" s="1657">
        <f>-I774</f>
        <v>-24.45</v>
      </c>
      <c r="J781" s="1641"/>
      <c r="K781" s="1574">
        <f>ROUND(I781*$B781,0)</f>
        <v>-13716</v>
      </c>
      <c r="M781" s="1570"/>
      <c r="N781" s="1570"/>
      <c r="O781" s="1571"/>
      <c r="P781" s="1571"/>
      <c r="Q781" s="1571"/>
      <c r="R781" s="1570"/>
      <c r="S781" s="1570"/>
      <c r="T781" s="1570"/>
      <c r="U781" s="1570"/>
      <c r="V781" s="1570"/>
      <c r="W781" s="1570"/>
      <c r="X781" s="1570"/>
      <c r="Y781" s="1570"/>
      <c r="Z781" s="1570"/>
      <c r="AA781" s="1570"/>
      <c r="AB781" s="1570"/>
      <c r="AC781" s="1570"/>
      <c r="AD781" s="1570"/>
      <c r="AE781" s="1570"/>
      <c r="AF781" s="1570"/>
      <c r="AG781" s="1570"/>
      <c r="AH781" s="1570"/>
    </row>
    <row r="782" spans="1:34" hidden="1">
      <c r="A782" s="1600" t="s">
        <v>429</v>
      </c>
      <c r="B782" s="1599">
        <f>B783</f>
        <v>145798478.36433661</v>
      </c>
      <c r="C782" s="1660"/>
      <c r="D782" s="1574"/>
      <c r="E782" s="1574"/>
      <c r="F782" s="1660"/>
      <c r="G782" s="1574"/>
      <c r="H782" s="1574"/>
      <c r="I782" s="1660"/>
      <c r="J782" s="1574"/>
      <c r="K782" s="1574"/>
      <c r="M782" s="1570"/>
      <c r="N782" s="1570"/>
      <c r="O782" s="1571"/>
      <c r="P782" s="1571"/>
      <c r="Q782" s="1571"/>
      <c r="R782" s="1570"/>
      <c r="S782" s="1570"/>
      <c r="T782" s="1570"/>
      <c r="U782" s="1570"/>
      <c r="V782" s="1570"/>
      <c r="W782" s="1570"/>
      <c r="X782" s="1570"/>
      <c r="Y782" s="1570"/>
      <c r="Z782" s="1570"/>
      <c r="AA782" s="1570"/>
      <c r="AB782" s="1570"/>
      <c r="AC782" s="1570"/>
      <c r="AD782" s="1570"/>
      <c r="AE782" s="1570"/>
      <c r="AF782" s="1570"/>
      <c r="AG782" s="1570"/>
      <c r="AH782" s="1570"/>
    </row>
    <row r="783" spans="1:34" hidden="1">
      <c r="A783" s="1600" t="s">
        <v>467</v>
      </c>
      <c r="B783" s="1599">
        <f>24408+5713553+88448788+53690217+Temperature!B92*1000</f>
        <v>145798478.36433661</v>
      </c>
      <c r="C783" s="1722">
        <v>5.6469999999999994</v>
      </c>
      <c r="D783" s="1574" t="s">
        <v>377</v>
      </c>
      <c r="E783" s="1574">
        <f>ROUND(C783/100*$B783,0)</f>
        <v>8233240</v>
      </c>
      <c r="F783" s="1722">
        <v>6.4390000000000001</v>
      </c>
      <c r="G783" s="1574" t="s">
        <v>377</v>
      </c>
      <c r="H783" s="1574">
        <f>ROUND(F783/100*B783,0)</f>
        <v>9387964</v>
      </c>
      <c r="I783" s="1722">
        <f>$I$729</f>
        <v>6.5950000000000006</v>
      </c>
      <c r="J783" s="1574" t="s">
        <v>377</v>
      </c>
      <c r="K783" s="1574">
        <f>ROUND(I783/100*$B783,0)</f>
        <v>9615410</v>
      </c>
      <c r="M783" s="1570"/>
      <c r="N783" s="1570"/>
      <c r="O783" s="1571"/>
      <c r="P783" s="1571"/>
      <c r="Q783" s="1571"/>
      <c r="R783" s="1570"/>
      <c r="S783" s="1570"/>
      <c r="T783" s="1570"/>
      <c r="U783" s="1570"/>
      <c r="V783" s="1570"/>
      <c r="W783" s="1570"/>
      <c r="X783" s="1570"/>
      <c r="Y783" s="1570"/>
      <c r="Z783" s="1570"/>
      <c r="AA783" s="1570"/>
      <c r="AB783" s="1570"/>
      <c r="AC783" s="1570"/>
      <c r="AD783" s="1570"/>
      <c r="AE783" s="1570"/>
      <c r="AF783" s="1570"/>
      <c r="AG783" s="1570"/>
      <c r="AH783" s="1570"/>
    </row>
    <row r="784" spans="1:34" hidden="1">
      <c r="A784" s="1600" t="s">
        <v>403</v>
      </c>
      <c r="B784" s="1599">
        <f>22+15618+29518</f>
        <v>45158</v>
      </c>
      <c r="C784" s="1661">
        <v>50</v>
      </c>
      <c r="D784" s="1600" t="s">
        <v>377</v>
      </c>
      <c r="E784" s="1574">
        <f>ROUND(C784*$B784/100,0)</f>
        <v>22579</v>
      </c>
      <c r="F784" s="1661">
        <v>56</v>
      </c>
      <c r="G784" s="1600" t="s">
        <v>377</v>
      </c>
      <c r="H784" s="1574">
        <f>ROUND(F784/100*B784,0)</f>
        <v>25288</v>
      </c>
      <c r="I784" s="1661">
        <f>$I$730</f>
        <v>58</v>
      </c>
      <c r="J784" s="1600" t="s">
        <v>377</v>
      </c>
      <c r="K784" s="1574">
        <f>ROUND(I784*$B784/100,0)</f>
        <v>26192</v>
      </c>
      <c r="M784" s="1570"/>
      <c r="N784" s="1570"/>
      <c r="O784" s="1571"/>
      <c r="P784" s="1571"/>
      <c r="Q784" s="1571"/>
      <c r="R784" s="1570"/>
      <c r="S784" s="1570"/>
      <c r="T784" s="1570"/>
      <c r="U784" s="1570"/>
      <c r="V784" s="1570"/>
      <c r="W784" s="1570"/>
      <c r="X784" s="1570"/>
      <c r="Y784" s="1570"/>
      <c r="Z784" s="1570"/>
      <c r="AA784" s="1570"/>
      <c r="AB784" s="1570"/>
      <c r="AC784" s="1570"/>
      <c r="AD784" s="1570"/>
      <c r="AE784" s="1570"/>
      <c r="AF784" s="1570"/>
      <c r="AG784" s="1570"/>
      <c r="AH784" s="1570"/>
    </row>
    <row r="785" spans="1:36" hidden="1">
      <c r="A785" s="1569" t="s">
        <v>938</v>
      </c>
      <c r="B785" s="1575">
        <f>B783</f>
        <v>145798478.36433661</v>
      </c>
      <c r="C785" s="1584"/>
      <c r="D785" s="1570"/>
      <c r="E785" s="1577"/>
      <c r="F785" s="1584"/>
      <c r="G785" s="1570"/>
      <c r="H785" s="1577"/>
      <c r="I785" s="1389">
        <f>I731</f>
        <v>0</v>
      </c>
      <c r="J785" s="1574" t="s">
        <v>377</v>
      </c>
      <c r="K785" s="1574">
        <f>ROUND(I785*$B785/100,0)</f>
        <v>0</v>
      </c>
      <c r="M785" s="1578"/>
      <c r="O785" s="1579"/>
      <c r="P785" s="1569"/>
      <c r="Q785" s="1569"/>
      <c r="R785" s="1580"/>
      <c r="S785" s="1580"/>
      <c r="X785" s="1570"/>
      <c r="Y785" s="1570"/>
      <c r="Z785" s="1570"/>
      <c r="AA785" s="1570"/>
      <c r="AB785" s="1570"/>
      <c r="AC785" s="1570"/>
      <c r="AD785" s="1570"/>
      <c r="AE785" s="1570"/>
      <c r="AF785" s="1570"/>
      <c r="AG785" s="1570"/>
      <c r="AH785" s="1570"/>
      <c r="AJ785" s="1578"/>
    </row>
    <row r="786" spans="1:36" hidden="1">
      <c r="A786" s="253" t="s">
        <v>404</v>
      </c>
      <c r="B786" s="1599"/>
      <c r="C786" s="1655">
        <v>-0.01</v>
      </c>
      <c r="D786" s="1577"/>
      <c r="E786" s="1574"/>
      <c r="F786" s="1655">
        <v>-0.01</v>
      </c>
      <c r="G786" s="1585"/>
      <c r="H786" s="1574"/>
      <c r="I786" s="1655">
        <v>-0.01</v>
      </c>
      <c r="J786" s="1585"/>
      <c r="K786" s="1574"/>
      <c r="M786" s="1570"/>
      <c r="N786" s="1570"/>
      <c r="O786" s="1571"/>
      <c r="P786" s="1571"/>
      <c r="Q786" s="1571"/>
      <c r="R786" s="1570"/>
      <c r="S786" s="1570"/>
      <c r="T786" s="1570"/>
      <c r="U786" s="1570"/>
      <c r="V786" s="1570"/>
      <c r="W786" s="1570"/>
      <c r="X786" s="1570"/>
      <c r="Y786" s="1570"/>
      <c r="Z786" s="1570"/>
      <c r="AA786" s="1570"/>
      <c r="AB786" s="1570"/>
      <c r="AC786" s="1570"/>
      <c r="AD786" s="1570"/>
      <c r="AE786" s="1570"/>
      <c r="AF786" s="1570"/>
      <c r="AG786" s="1570"/>
      <c r="AH786" s="1570"/>
    </row>
    <row r="787" spans="1:36" hidden="1">
      <c r="A787" s="1600" t="s">
        <v>393</v>
      </c>
      <c r="B787" s="1599">
        <v>0</v>
      </c>
      <c r="C787" s="1710">
        <v>0</v>
      </c>
      <c r="D787" s="1641"/>
      <c r="E787" s="1574">
        <f>ROUND(C787*$B787*$C$733,0)</f>
        <v>0</v>
      </c>
      <c r="F787" s="1710">
        <v>0</v>
      </c>
      <c r="G787" s="1641"/>
      <c r="H787" s="1574">
        <f>ROUND(F787*B787*$F$733,0)</f>
        <v>0</v>
      </c>
      <c r="I787" s="1710">
        <f>I763</f>
        <v>0</v>
      </c>
      <c r="J787" s="1641"/>
      <c r="K787" s="1574">
        <f>ROUND(I787*$B787*$C$733,0)</f>
        <v>0</v>
      </c>
      <c r="M787" s="1570"/>
      <c r="N787" s="1570"/>
      <c r="O787" s="1571"/>
      <c r="P787" s="1571"/>
      <c r="Q787" s="1571"/>
      <c r="R787" s="1570"/>
      <c r="S787" s="1570"/>
      <c r="T787" s="1570"/>
      <c r="U787" s="1570"/>
      <c r="V787" s="1570"/>
      <c r="W787" s="1570"/>
      <c r="X787" s="1570"/>
      <c r="Y787" s="1570"/>
      <c r="Z787" s="1570"/>
      <c r="AA787" s="1570"/>
      <c r="AB787" s="1570"/>
      <c r="AC787" s="1570"/>
      <c r="AD787" s="1570"/>
      <c r="AE787" s="1570"/>
      <c r="AF787" s="1570"/>
      <c r="AG787" s="1570"/>
      <c r="AH787" s="1570"/>
    </row>
    <row r="788" spans="1:36" hidden="1">
      <c r="A788" s="1600" t="s">
        <v>394</v>
      </c>
      <c r="B788" s="1599"/>
      <c r="C788" s="1710"/>
      <c r="D788" s="1641"/>
      <c r="E788" s="1574"/>
      <c r="F788" s="1710"/>
      <c r="G788" s="1641"/>
      <c r="H788" s="1574"/>
      <c r="I788" s="1710"/>
      <c r="J788" s="1641"/>
      <c r="K788" s="1574"/>
      <c r="M788" s="1570"/>
      <c r="N788" s="1570"/>
      <c r="O788" s="1571"/>
      <c r="P788" s="1571"/>
      <c r="Q788" s="1571"/>
      <c r="R788" s="1570"/>
      <c r="S788" s="1570"/>
      <c r="T788" s="1570"/>
      <c r="U788" s="1570"/>
      <c r="V788" s="1570"/>
      <c r="W788" s="1570"/>
      <c r="X788" s="1570"/>
      <c r="Y788" s="1570"/>
      <c r="Z788" s="1570"/>
      <c r="AA788" s="1570"/>
      <c r="AB788" s="1570"/>
      <c r="AC788" s="1570"/>
      <c r="AD788" s="1570"/>
      <c r="AE788" s="1570"/>
      <c r="AF788" s="1570"/>
      <c r="AG788" s="1570"/>
      <c r="AH788" s="1570"/>
    </row>
    <row r="789" spans="1:36" hidden="1">
      <c r="A789" s="1600" t="s">
        <v>455</v>
      </c>
      <c r="B789" s="1599">
        <v>0</v>
      </c>
      <c r="C789" s="1710">
        <v>0</v>
      </c>
      <c r="D789" s="1641"/>
      <c r="E789" s="1574">
        <f>ROUND(C789*$B789*$C$733,0)</f>
        <v>0</v>
      </c>
      <c r="F789" s="1710">
        <v>0</v>
      </c>
      <c r="G789" s="1641"/>
      <c r="H789" s="1574">
        <f t="shared" ref="H789:H792" si="132">ROUND(F789*B789*$F$733,0)</f>
        <v>0</v>
      </c>
      <c r="I789" s="1710">
        <f>I765</f>
        <v>0</v>
      </c>
      <c r="J789" s="1641"/>
      <c r="K789" s="1574">
        <f>ROUND(I789*$B789*$C$733,0)</f>
        <v>0</v>
      </c>
      <c r="M789" s="1570"/>
      <c r="N789" s="1570"/>
      <c r="O789" s="1571"/>
      <c r="P789" s="1571"/>
      <c r="Q789" s="1571"/>
      <c r="R789" s="1570"/>
      <c r="S789" s="1570"/>
      <c r="T789" s="1570"/>
      <c r="U789" s="1570"/>
      <c r="V789" s="1570"/>
      <c r="W789" s="1570"/>
      <c r="X789" s="1570"/>
      <c r="Y789" s="1570"/>
      <c r="Z789" s="1570"/>
      <c r="AA789" s="1570"/>
      <c r="AB789" s="1570"/>
      <c r="AC789" s="1570"/>
      <c r="AD789" s="1570"/>
      <c r="AE789" s="1570"/>
      <c r="AF789" s="1570"/>
      <c r="AG789" s="1570"/>
      <c r="AH789" s="1570"/>
    </row>
    <row r="790" spans="1:36" hidden="1">
      <c r="A790" s="1600" t="s">
        <v>456</v>
      </c>
      <c r="B790" s="1599">
        <v>0</v>
      </c>
      <c r="C790" s="1710">
        <v>312</v>
      </c>
      <c r="D790" s="1641"/>
      <c r="E790" s="1574">
        <f>ROUND(C790*$B790*$C$733,0)</f>
        <v>0</v>
      </c>
      <c r="F790" s="1710">
        <v>357</v>
      </c>
      <c r="G790" s="1641"/>
      <c r="H790" s="1574">
        <f t="shared" si="132"/>
        <v>0</v>
      </c>
      <c r="I790" s="1710">
        <f>I766</f>
        <v>366</v>
      </c>
      <c r="J790" s="1641"/>
      <c r="K790" s="1574">
        <f>ROUND(I790*$B790*$C$733,0)</f>
        <v>0</v>
      </c>
      <c r="M790" s="1570"/>
      <c r="N790" s="1570"/>
      <c r="O790" s="1571"/>
      <c r="P790" s="1571"/>
      <c r="Q790" s="1571"/>
      <c r="R790" s="1570"/>
      <c r="S790" s="1570"/>
      <c r="T790" s="1570"/>
      <c r="U790" s="1570"/>
      <c r="V790" s="1570"/>
      <c r="W790" s="1570"/>
      <c r="X790" s="1570"/>
      <c r="Y790" s="1570"/>
      <c r="Z790" s="1570"/>
      <c r="AA790" s="1570"/>
      <c r="AB790" s="1570"/>
      <c r="AC790" s="1570"/>
      <c r="AD790" s="1570"/>
      <c r="AE790" s="1570"/>
      <c r="AF790" s="1570"/>
      <c r="AG790" s="1570"/>
      <c r="AH790" s="1570"/>
    </row>
    <row r="791" spans="1:36" hidden="1">
      <c r="A791" s="1600" t="s">
        <v>457</v>
      </c>
      <c r="B791" s="1599">
        <v>0</v>
      </c>
      <c r="C791" s="1710">
        <v>1268</v>
      </c>
      <c r="D791" s="1641"/>
      <c r="E791" s="1574">
        <f>ROUND(C791*$B791*$C$733,0)</f>
        <v>0</v>
      </c>
      <c r="F791" s="1710">
        <v>1457</v>
      </c>
      <c r="G791" s="1641"/>
      <c r="H791" s="1574">
        <f t="shared" si="132"/>
        <v>0</v>
      </c>
      <c r="I791" s="1710">
        <f>I767</f>
        <v>1493</v>
      </c>
      <c r="J791" s="1641"/>
      <c r="K791" s="1574">
        <f>ROUND(I791*$B791*$C$733,0)</f>
        <v>0</v>
      </c>
      <c r="M791" s="1570"/>
      <c r="N791" s="1570"/>
      <c r="O791" s="1571"/>
      <c r="P791" s="1571"/>
      <c r="Q791" s="1571"/>
      <c r="R791" s="1570"/>
      <c r="S791" s="1570"/>
      <c r="T791" s="1570"/>
      <c r="U791" s="1570"/>
      <c r="V791" s="1570"/>
      <c r="W791" s="1570"/>
      <c r="X791" s="1570"/>
      <c r="Y791" s="1570"/>
      <c r="Z791" s="1570"/>
      <c r="AA791" s="1570"/>
      <c r="AB791" s="1570"/>
      <c r="AC791" s="1570"/>
      <c r="AD791" s="1570"/>
      <c r="AE791" s="1570"/>
      <c r="AF791" s="1570"/>
      <c r="AG791" s="1570"/>
      <c r="AH791" s="1570"/>
    </row>
    <row r="792" spans="1:36" hidden="1">
      <c r="A792" s="1600" t="s">
        <v>393</v>
      </c>
      <c r="B792" s="1599">
        <v>0</v>
      </c>
      <c r="C792" s="1710">
        <v>20.86</v>
      </c>
      <c r="D792" s="1641"/>
      <c r="E792" s="1574">
        <f>ROUND(C792*$B792*$C$733,0)</f>
        <v>0</v>
      </c>
      <c r="F792" s="1710">
        <v>23.87</v>
      </c>
      <c r="G792" s="1641"/>
      <c r="H792" s="1574">
        <f t="shared" si="132"/>
        <v>0</v>
      </c>
      <c r="I792" s="1710">
        <f>I772</f>
        <v>24.450000000000003</v>
      </c>
      <c r="J792" s="1641"/>
      <c r="K792" s="1574">
        <f>ROUND(I792*$B792*$C$733,0)</f>
        <v>0</v>
      </c>
      <c r="M792" s="1570"/>
      <c r="N792" s="1570"/>
      <c r="O792" s="1571"/>
      <c r="P792" s="1571"/>
      <c r="Q792" s="1571"/>
      <c r="R792" s="1570"/>
      <c r="S792" s="1570"/>
      <c r="T792" s="1570"/>
      <c r="U792" s="1570"/>
      <c r="V792" s="1570"/>
      <c r="W792" s="1570"/>
      <c r="X792" s="1570"/>
      <c r="Y792" s="1570"/>
      <c r="Z792" s="1570"/>
      <c r="AA792" s="1570"/>
      <c r="AB792" s="1570"/>
      <c r="AC792" s="1570"/>
      <c r="AD792" s="1570"/>
      <c r="AE792" s="1570"/>
      <c r="AF792" s="1570"/>
      <c r="AG792" s="1570"/>
      <c r="AH792" s="1570"/>
    </row>
    <row r="793" spans="1:36" hidden="1">
      <c r="A793" s="1600" t="s">
        <v>394</v>
      </c>
      <c r="B793" s="1599"/>
      <c r="C793" s="1710"/>
      <c r="D793" s="1641"/>
      <c r="E793" s="1574"/>
      <c r="F793" s="1710"/>
      <c r="G793" s="1641"/>
      <c r="H793" s="1574"/>
      <c r="I793" s="1710"/>
      <c r="J793" s="1641"/>
      <c r="K793" s="1574"/>
      <c r="M793" s="1570"/>
      <c r="N793" s="1570"/>
      <c r="O793" s="1571"/>
      <c r="P793" s="1571"/>
      <c r="Q793" s="1571"/>
      <c r="R793" s="1570"/>
      <c r="S793" s="1570"/>
      <c r="T793" s="1570"/>
      <c r="U793" s="1570"/>
      <c r="V793" s="1570"/>
      <c r="W793" s="1570"/>
      <c r="X793" s="1570"/>
      <c r="Y793" s="1570"/>
      <c r="Z793" s="1570"/>
      <c r="AA793" s="1570"/>
      <c r="AB793" s="1570"/>
      <c r="AC793" s="1570"/>
      <c r="AD793" s="1570"/>
      <c r="AE793" s="1570"/>
      <c r="AF793" s="1570"/>
      <c r="AG793" s="1570"/>
      <c r="AH793" s="1570"/>
    </row>
    <row r="794" spans="1:36" hidden="1">
      <c r="A794" s="1600" t="s">
        <v>455</v>
      </c>
      <c r="B794" s="1599">
        <v>0</v>
      </c>
      <c r="C794" s="1710">
        <v>20.860000000000003</v>
      </c>
      <c r="D794" s="1641"/>
      <c r="E794" s="1574">
        <f>ROUND(C794*$B794*$C$733,0)</f>
        <v>0</v>
      </c>
      <c r="F794" s="1710">
        <v>23.79</v>
      </c>
      <c r="G794" s="1641"/>
      <c r="H794" s="1574">
        <f t="shared" ref="H794:H798" si="133">ROUND(F794*B794*$F$733,0)</f>
        <v>0</v>
      </c>
      <c r="I794" s="1710">
        <f>I774</f>
        <v>24.45</v>
      </c>
      <c r="J794" s="1641"/>
      <c r="K794" s="1574">
        <f>ROUND(I794*$B794*$C$733,0)</f>
        <v>0</v>
      </c>
      <c r="M794" s="1570"/>
      <c r="N794" s="1570"/>
      <c r="O794" s="1571"/>
      <c r="P794" s="1571"/>
      <c r="Q794" s="1571"/>
      <c r="R794" s="1570"/>
      <c r="S794" s="1570"/>
      <c r="T794" s="1570"/>
      <c r="U794" s="1570"/>
      <c r="V794" s="1570"/>
      <c r="W794" s="1570"/>
      <c r="X794" s="1570"/>
      <c r="Y794" s="1570"/>
      <c r="Z794" s="1570"/>
      <c r="AA794" s="1570"/>
      <c r="AB794" s="1570"/>
      <c r="AC794" s="1570"/>
      <c r="AD794" s="1570"/>
      <c r="AE794" s="1570"/>
      <c r="AF794" s="1570"/>
      <c r="AG794" s="1570"/>
      <c r="AH794" s="1570"/>
    </row>
    <row r="795" spans="1:36" hidden="1">
      <c r="A795" s="1600" t="s">
        <v>456</v>
      </c>
      <c r="B795" s="1599">
        <v>0</v>
      </c>
      <c r="C795" s="1710">
        <v>14.53</v>
      </c>
      <c r="D795" s="1641"/>
      <c r="E795" s="1574">
        <f>ROUND(C795*$B795*$C$733,0)</f>
        <v>0</v>
      </c>
      <c r="F795" s="1710">
        <v>16.559999999999999</v>
      </c>
      <c r="G795" s="1641"/>
      <c r="H795" s="1574">
        <f t="shared" si="133"/>
        <v>0</v>
      </c>
      <c r="I795" s="1710">
        <f>I775</f>
        <v>16.96</v>
      </c>
      <c r="J795" s="1641"/>
      <c r="K795" s="1574">
        <f>ROUND(I795*$B795*$C$733,0)</f>
        <v>0</v>
      </c>
      <c r="M795" s="1570"/>
      <c r="N795" s="1570"/>
      <c r="O795" s="1571"/>
      <c r="P795" s="1571"/>
      <c r="Q795" s="1571"/>
      <c r="R795" s="1570"/>
      <c r="S795" s="1570"/>
      <c r="T795" s="1570"/>
      <c r="U795" s="1570"/>
      <c r="V795" s="1570"/>
      <c r="W795" s="1570"/>
      <c r="X795" s="1570"/>
      <c r="Y795" s="1570"/>
      <c r="Z795" s="1570"/>
      <c r="AA795" s="1570"/>
      <c r="AB795" s="1570"/>
      <c r="AC795" s="1570"/>
      <c r="AD795" s="1570"/>
      <c r="AE795" s="1570"/>
      <c r="AF795" s="1570"/>
      <c r="AG795" s="1570"/>
      <c r="AH795" s="1570"/>
    </row>
    <row r="796" spans="1:36" hidden="1">
      <c r="A796" s="1600" t="s">
        <v>457</v>
      </c>
      <c r="B796" s="1599">
        <v>0</v>
      </c>
      <c r="C796" s="1710">
        <v>11.340000000000002</v>
      </c>
      <c r="D796" s="1641"/>
      <c r="E796" s="1574">
        <f>ROUND(C796*$B796*$C$733,0)</f>
        <v>0</v>
      </c>
      <c r="F796" s="1710">
        <v>12.96</v>
      </c>
      <c r="G796" s="1641"/>
      <c r="H796" s="1574">
        <f t="shared" si="133"/>
        <v>0</v>
      </c>
      <c r="I796" s="1710">
        <f>I776</f>
        <v>13.28</v>
      </c>
      <c r="J796" s="1641"/>
      <c r="K796" s="1574">
        <f>ROUND(I796*$B796*$C$733,0)</f>
        <v>0</v>
      </c>
      <c r="M796" s="1570"/>
      <c r="N796" s="1570"/>
      <c r="O796" s="1571"/>
      <c r="P796" s="1571"/>
      <c r="Q796" s="1571"/>
      <c r="R796" s="1570"/>
      <c r="S796" s="1570"/>
      <c r="T796" s="1570"/>
      <c r="U796" s="1570"/>
      <c r="V796" s="1570"/>
      <c r="W796" s="1570"/>
      <c r="X796" s="1570"/>
      <c r="Y796" s="1570"/>
      <c r="Z796" s="1570"/>
      <c r="AA796" s="1570"/>
      <c r="AB796" s="1570"/>
      <c r="AC796" s="1570"/>
      <c r="AD796" s="1570"/>
      <c r="AE796" s="1570"/>
      <c r="AF796" s="1570"/>
      <c r="AG796" s="1570"/>
      <c r="AH796" s="1570"/>
    </row>
    <row r="797" spans="1:36" hidden="1">
      <c r="A797" s="1600" t="s">
        <v>468</v>
      </c>
      <c r="B797" s="1599">
        <v>0</v>
      </c>
      <c r="C797" s="1657">
        <v>62.58</v>
      </c>
      <c r="D797" s="1641"/>
      <c r="E797" s="1574">
        <f>ROUND(C797*$B797*$C$733,0)</f>
        <v>0</v>
      </c>
      <c r="F797" s="1657">
        <v>71.61</v>
      </c>
      <c r="G797" s="1641"/>
      <c r="H797" s="1574">
        <f t="shared" si="133"/>
        <v>0</v>
      </c>
      <c r="I797" s="1657">
        <f>I777</f>
        <v>73.350000000000009</v>
      </c>
      <c r="J797" s="1641"/>
      <c r="K797" s="1574">
        <f>ROUND(I797*$B797*$C$733,0)</f>
        <v>0</v>
      </c>
      <c r="M797" s="1570"/>
      <c r="N797" s="1570"/>
      <c r="O797" s="1571"/>
      <c r="P797" s="1571"/>
      <c r="Q797" s="1571"/>
      <c r="R797" s="1570"/>
      <c r="S797" s="1570"/>
      <c r="T797" s="1570"/>
      <c r="U797" s="1570"/>
      <c r="V797" s="1570"/>
      <c r="W797" s="1570"/>
      <c r="X797" s="1570"/>
      <c r="Y797" s="1570"/>
      <c r="Z797" s="1570"/>
      <c r="AA797" s="1570"/>
      <c r="AB797" s="1570"/>
      <c r="AC797" s="1570"/>
      <c r="AD797" s="1570"/>
      <c r="AE797" s="1570"/>
      <c r="AF797" s="1570"/>
      <c r="AG797" s="1570"/>
      <c r="AH797" s="1570"/>
    </row>
    <row r="798" spans="1:36" hidden="1">
      <c r="A798" s="1600" t="s">
        <v>469</v>
      </c>
      <c r="B798" s="1599">
        <v>0</v>
      </c>
      <c r="C798" s="1657">
        <v>125.16000000000003</v>
      </c>
      <c r="D798" s="1641"/>
      <c r="E798" s="1574">
        <f>ROUND(C798*$B798*$C$733,0)</f>
        <v>0</v>
      </c>
      <c r="F798" s="1657">
        <v>142.74</v>
      </c>
      <c r="G798" s="1641"/>
      <c r="H798" s="1574">
        <f t="shared" si="133"/>
        <v>0</v>
      </c>
      <c r="I798" s="1657">
        <f>I778</f>
        <v>146.69999999999999</v>
      </c>
      <c r="J798" s="1641"/>
      <c r="K798" s="1574">
        <f>ROUND(I798*$B798*$C$733,0)</f>
        <v>0</v>
      </c>
      <c r="M798" s="1570"/>
      <c r="N798" s="1570"/>
      <c r="O798" s="1571"/>
      <c r="P798" s="1571"/>
      <c r="Q798" s="1571"/>
      <c r="R798" s="1570"/>
      <c r="S798" s="1570"/>
      <c r="T798" s="1570"/>
      <c r="U798" s="1570"/>
      <c r="V798" s="1570"/>
      <c r="W798" s="1570"/>
      <c r="X798" s="1570"/>
      <c r="Y798" s="1570"/>
      <c r="Z798" s="1570"/>
      <c r="AA798" s="1570"/>
      <c r="AB798" s="1570"/>
      <c r="AC798" s="1570"/>
      <c r="AD798" s="1570"/>
      <c r="AE798" s="1570"/>
      <c r="AF798" s="1570"/>
      <c r="AG798" s="1570"/>
      <c r="AH798" s="1570"/>
    </row>
    <row r="799" spans="1:36" hidden="1">
      <c r="A799" s="1600" t="s">
        <v>465</v>
      </c>
      <c r="B799" s="1599"/>
      <c r="C799" s="1660"/>
      <c r="D799" s="1641"/>
      <c r="E799" s="1574"/>
      <c r="F799" s="1660"/>
      <c r="G799" s="1641"/>
      <c r="H799" s="1574"/>
      <c r="I799" s="1660"/>
      <c r="J799" s="1641"/>
      <c r="K799" s="1574"/>
      <c r="M799" s="1570"/>
      <c r="N799" s="1570"/>
      <c r="O799" s="1571"/>
      <c r="P799" s="1571"/>
      <c r="Q799" s="1571"/>
      <c r="R799" s="1570"/>
      <c r="S799" s="1570"/>
      <c r="T799" s="1570"/>
      <c r="U799" s="1570"/>
      <c r="V799" s="1570"/>
      <c r="W799" s="1570"/>
      <c r="X799" s="1570"/>
      <c r="Y799" s="1570"/>
      <c r="Z799" s="1570"/>
      <c r="AA799" s="1570"/>
      <c r="AB799" s="1570"/>
      <c r="AC799" s="1570"/>
      <c r="AD799" s="1570"/>
      <c r="AE799" s="1570"/>
      <c r="AF799" s="1570"/>
      <c r="AG799" s="1570"/>
      <c r="AH799" s="1570"/>
    </row>
    <row r="800" spans="1:36" hidden="1">
      <c r="A800" s="1600" t="s">
        <v>460</v>
      </c>
      <c r="B800" s="1599">
        <v>0</v>
      </c>
      <c r="C800" s="1657">
        <v>-20.86</v>
      </c>
      <c r="D800" s="1641"/>
      <c r="E800" s="1574">
        <f>ROUND(C800*$B800*$C$733,0)</f>
        <v>0</v>
      </c>
      <c r="F800" s="1657">
        <v>-23.87</v>
      </c>
      <c r="G800" s="1641"/>
      <c r="H800" s="1574">
        <f t="shared" ref="H800:H801" si="134">ROUND(F800*B800*$F$733,0)</f>
        <v>0</v>
      </c>
      <c r="I800" s="1657">
        <f>I780</f>
        <v>-24.450000000000003</v>
      </c>
      <c r="J800" s="1641"/>
      <c r="K800" s="1574">
        <f>ROUND(I800*$B800*$C$733,0)</f>
        <v>0</v>
      </c>
      <c r="M800" s="1570"/>
      <c r="N800" s="1570"/>
      <c r="O800" s="1571"/>
      <c r="P800" s="1571"/>
      <c r="Q800" s="1571"/>
      <c r="R800" s="1570"/>
      <c r="S800" s="1570"/>
      <c r="T800" s="1570"/>
      <c r="U800" s="1570"/>
      <c r="V800" s="1570"/>
      <c r="W800" s="1570"/>
      <c r="X800" s="1570"/>
      <c r="Y800" s="1570"/>
      <c r="Z800" s="1570"/>
      <c r="AA800" s="1570"/>
      <c r="AB800" s="1570"/>
      <c r="AC800" s="1570"/>
      <c r="AD800" s="1570"/>
      <c r="AE800" s="1570"/>
      <c r="AF800" s="1570"/>
      <c r="AG800" s="1570"/>
      <c r="AH800" s="1570"/>
    </row>
    <row r="801" spans="1:36" hidden="1">
      <c r="A801" s="1600" t="s">
        <v>466</v>
      </c>
      <c r="B801" s="1599">
        <v>0</v>
      </c>
      <c r="C801" s="1657">
        <v>-20.860000000000003</v>
      </c>
      <c r="D801" s="1641"/>
      <c r="E801" s="1574">
        <f>ROUND(C801*$B801*$C$733,0)</f>
        <v>0</v>
      </c>
      <c r="F801" s="1657">
        <v>-23.79</v>
      </c>
      <c r="G801" s="1641"/>
      <c r="H801" s="1574">
        <f t="shared" si="134"/>
        <v>0</v>
      </c>
      <c r="I801" s="1657">
        <f>I781</f>
        <v>-24.45</v>
      </c>
      <c r="J801" s="1641"/>
      <c r="K801" s="1574">
        <f>ROUND(I801*$B801*$C$733,0)</f>
        <v>0</v>
      </c>
      <c r="M801" s="1570"/>
      <c r="N801" s="1570"/>
      <c r="O801" s="1571"/>
      <c r="P801" s="1571"/>
      <c r="Q801" s="1571"/>
      <c r="R801" s="1570"/>
      <c r="S801" s="1570"/>
      <c r="T801" s="1570"/>
      <c r="U801" s="1570"/>
      <c r="V801" s="1570"/>
      <c r="W801" s="1570"/>
      <c r="X801" s="1570"/>
      <c r="Y801" s="1570"/>
      <c r="Z801" s="1570"/>
      <c r="AA801" s="1570"/>
      <c r="AB801" s="1570"/>
      <c r="AC801" s="1570"/>
      <c r="AD801" s="1570"/>
      <c r="AE801" s="1570"/>
      <c r="AF801" s="1570"/>
      <c r="AG801" s="1570"/>
      <c r="AH801" s="1570"/>
    </row>
    <row r="802" spans="1:36" hidden="1">
      <c r="A802" s="1600" t="s">
        <v>429</v>
      </c>
      <c r="B802" s="1599"/>
      <c r="C802" s="1710"/>
      <c r="D802" s="1574"/>
      <c r="E802" s="1574"/>
      <c r="F802" s="1710"/>
      <c r="G802" s="1574"/>
      <c r="H802" s="1574"/>
      <c r="I802" s="1710"/>
      <c r="J802" s="1574"/>
      <c r="K802" s="1574"/>
      <c r="M802" s="1570"/>
      <c r="N802" s="1570"/>
      <c r="O802" s="1571"/>
      <c r="P802" s="1571"/>
      <c r="Q802" s="1571"/>
      <c r="R802" s="1570"/>
      <c r="S802" s="1570"/>
      <c r="T802" s="1570"/>
      <c r="U802" s="1570"/>
      <c r="V802" s="1570"/>
      <c r="W802" s="1570"/>
      <c r="X802" s="1570"/>
      <c r="Y802" s="1570"/>
      <c r="Z802" s="1570"/>
      <c r="AA802" s="1570"/>
      <c r="AB802" s="1570"/>
      <c r="AC802" s="1570"/>
      <c r="AD802" s="1570"/>
      <c r="AE802" s="1570"/>
      <c r="AF802" s="1570"/>
      <c r="AG802" s="1570"/>
      <c r="AH802" s="1570"/>
    </row>
    <row r="803" spans="1:36" hidden="1">
      <c r="A803" s="1600" t="s">
        <v>467</v>
      </c>
      <c r="B803" s="1599">
        <v>0</v>
      </c>
      <c r="C803" s="1718">
        <v>5.6469999999999994</v>
      </c>
      <c r="D803" s="1574" t="s">
        <v>377</v>
      </c>
      <c r="E803" s="1574">
        <f>ROUND(C803/100*$B803*$C$733,0)</f>
        <v>0</v>
      </c>
      <c r="F803" s="1718">
        <v>6.4390000000000001</v>
      </c>
      <c r="G803" s="1574" t="s">
        <v>377</v>
      </c>
      <c r="H803" s="1574">
        <f t="shared" ref="H803:H804" si="135">ROUND(F803*B803,0)</f>
        <v>0</v>
      </c>
      <c r="I803" s="1718">
        <f>I783</f>
        <v>6.5950000000000006</v>
      </c>
      <c r="J803" s="1574" t="s">
        <v>377</v>
      </c>
      <c r="K803" s="1574">
        <f>ROUND(I803/100*$B803*$C$733,0)</f>
        <v>0</v>
      </c>
      <c r="M803" s="1570"/>
      <c r="N803" s="1570"/>
      <c r="O803" s="1571"/>
      <c r="P803" s="1571"/>
      <c r="Q803" s="1571"/>
      <c r="R803" s="1570"/>
      <c r="S803" s="1570"/>
      <c r="T803" s="1570"/>
      <c r="U803" s="1570"/>
      <c r="V803" s="1570"/>
      <c r="W803" s="1570"/>
      <c r="X803" s="1570"/>
      <c r="Y803" s="1570"/>
      <c r="Z803" s="1570"/>
      <c r="AA803" s="1570"/>
      <c r="AB803" s="1570"/>
      <c r="AC803" s="1570"/>
      <c r="AD803" s="1570"/>
      <c r="AE803" s="1570"/>
      <c r="AF803" s="1570"/>
      <c r="AG803" s="1570"/>
      <c r="AH803" s="1570"/>
    </row>
    <row r="804" spans="1:36" hidden="1">
      <c r="A804" s="1600" t="s">
        <v>403</v>
      </c>
      <c r="B804" s="1599">
        <v>0</v>
      </c>
      <c r="C804" s="1702">
        <v>50</v>
      </c>
      <c r="D804" s="1574" t="s">
        <v>377</v>
      </c>
      <c r="E804" s="1574">
        <f>ROUND(C804/100*$B804*$C$733,0)</f>
        <v>0</v>
      </c>
      <c r="F804" s="1702">
        <v>56</v>
      </c>
      <c r="G804" s="1600" t="s">
        <v>377</v>
      </c>
      <c r="H804" s="1574">
        <f t="shared" si="135"/>
        <v>0</v>
      </c>
      <c r="I804" s="1702">
        <f>I784</f>
        <v>58</v>
      </c>
      <c r="J804" s="1600" t="s">
        <v>377</v>
      </c>
      <c r="K804" s="1574">
        <f>ROUND(I804/100*$B804*$C$733,0)</f>
        <v>0</v>
      </c>
      <c r="M804" s="1570"/>
      <c r="N804" s="1570"/>
      <c r="O804" s="1571"/>
      <c r="P804" s="1571"/>
      <c r="Q804" s="1571"/>
      <c r="R804" s="1570"/>
      <c r="S804" s="1570"/>
      <c r="T804" s="1570"/>
      <c r="U804" s="1570"/>
      <c r="V804" s="1570"/>
      <c r="W804" s="1570"/>
      <c r="X804" s="1570"/>
      <c r="Y804" s="1570"/>
      <c r="Z804" s="1570"/>
      <c r="AA804" s="1570"/>
      <c r="AB804" s="1570"/>
      <c r="AC804" s="1570"/>
      <c r="AD804" s="1570"/>
      <c r="AE804" s="1570"/>
      <c r="AF804" s="1570"/>
      <c r="AG804" s="1570"/>
      <c r="AH804" s="1570"/>
    </row>
    <row r="805" spans="1:36" hidden="1">
      <c r="A805" s="1600" t="s">
        <v>446</v>
      </c>
      <c r="B805" s="1599">
        <v>0</v>
      </c>
      <c r="C805" s="1614">
        <v>60</v>
      </c>
      <c r="D805" s="1693" t="s">
        <v>31</v>
      </c>
      <c r="E805" s="1574">
        <f>ROUND(C805*$B805,0)</f>
        <v>0</v>
      </c>
      <c r="F805" s="1614">
        <v>60</v>
      </c>
      <c r="G805" s="1585"/>
      <c r="H805" s="1574">
        <f t="shared" ref="H805:H806" si="136">ROUND(F805/100*B805*$F$733,0)</f>
        <v>0</v>
      </c>
      <c r="I805" s="1614">
        <f>$I$752</f>
        <v>60</v>
      </c>
      <c r="J805" s="1585"/>
      <c r="K805" s="1574">
        <f>ROUND(I805*$B805,0)</f>
        <v>0</v>
      </c>
      <c r="M805" s="1570"/>
      <c r="N805" s="1570"/>
      <c r="O805" s="1571"/>
      <c r="P805" s="1571"/>
      <c r="Q805" s="1571"/>
      <c r="R805" s="1570"/>
      <c r="S805" s="1570"/>
      <c r="T805" s="1570"/>
      <c r="U805" s="1570"/>
      <c r="V805" s="1570"/>
      <c r="W805" s="1570"/>
      <c r="X805" s="1570"/>
      <c r="Y805" s="1570"/>
      <c r="Z805" s="1570"/>
      <c r="AA805" s="1570"/>
      <c r="AB805" s="1570"/>
      <c r="AC805" s="1570"/>
      <c r="AD805" s="1570"/>
      <c r="AE805" s="1570"/>
      <c r="AF805" s="1570"/>
      <c r="AG805" s="1570"/>
      <c r="AH805" s="1570"/>
    </row>
    <row r="806" spans="1:36" hidden="1">
      <c r="A806" s="1600" t="s">
        <v>447</v>
      </c>
      <c r="B806" s="1599">
        <v>0</v>
      </c>
      <c r="C806" s="1661">
        <v>-30</v>
      </c>
      <c r="D806" s="1574" t="s">
        <v>377</v>
      </c>
      <c r="E806" s="1574">
        <f>ROUND(C806*$B806,0)</f>
        <v>0</v>
      </c>
      <c r="F806" s="1661">
        <v>-30</v>
      </c>
      <c r="G806" s="1574" t="s">
        <v>377</v>
      </c>
      <c r="H806" s="1574">
        <f t="shared" si="136"/>
        <v>0</v>
      </c>
      <c r="I806" s="1661">
        <f>$I$753</f>
        <v>-30</v>
      </c>
      <c r="J806" s="1574" t="s">
        <v>377</v>
      </c>
      <c r="K806" s="1574">
        <f>ROUND(I806*$B806,0)</f>
        <v>0</v>
      </c>
      <c r="M806" s="1570"/>
      <c r="N806" s="1570"/>
      <c r="O806" s="1571"/>
      <c r="P806" s="1571"/>
      <c r="Q806" s="1571"/>
      <c r="R806" s="1570"/>
      <c r="S806" s="1570"/>
      <c r="T806" s="1570"/>
      <c r="U806" s="1570"/>
      <c r="V806" s="1570"/>
      <c r="W806" s="1570"/>
      <c r="X806" s="1570"/>
      <c r="Y806" s="1570"/>
      <c r="Z806" s="1570"/>
      <c r="AA806" s="1570"/>
      <c r="AB806" s="1570"/>
      <c r="AC806" s="1570"/>
      <c r="AD806" s="1570"/>
      <c r="AE806" s="1570"/>
      <c r="AF806" s="1570"/>
      <c r="AG806" s="1570"/>
      <c r="AH806" s="1570"/>
    </row>
    <row r="807" spans="1:36" hidden="1">
      <c r="A807" s="1569" t="s">
        <v>938</v>
      </c>
      <c r="B807" s="1575">
        <f>B803</f>
        <v>0</v>
      </c>
      <c r="C807" s="1584"/>
      <c r="D807" s="1570"/>
      <c r="E807" s="1577"/>
      <c r="F807" s="1584"/>
      <c r="G807" s="1570"/>
      <c r="H807" s="1577"/>
      <c r="I807" s="1389">
        <f>I754</f>
        <v>0</v>
      </c>
      <c r="J807" s="1574" t="s">
        <v>377</v>
      </c>
      <c r="K807" s="1574">
        <f>ROUND(I807*$B807,0)</f>
        <v>0</v>
      </c>
      <c r="M807" s="1578"/>
      <c r="O807" s="1579"/>
      <c r="P807" s="1569"/>
      <c r="Q807" s="1569"/>
      <c r="R807" s="1580"/>
      <c r="S807" s="1580"/>
      <c r="X807" s="1570"/>
      <c r="Y807" s="1570"/>
      <c r="Z807" s="1570"/>
      <c r="AA807" s="1570"/>
      <c r="AB807" s="1570"/>
      <c r="AC807" s="1570"/>
      <c r="AD807" s="1570"/>
      <c r="AE807" s="1570"/>
      <c r="AF807" s="1570"/>
      <c r="AG807" s="1570"/>
      <c r="AH807" s="1570"/>
      <c r="AJ807" s="1578"/>
    </row>
    <row r="808" spans="1:36" hidden="1">
      <c r="A808" s="1585" t="s">
        <v>384</v>
      </c>
      <c r="B808" s="1599">
        <f>SUM(B783:B783)</f>
        <v>145798478.36433661</v>
      </c>
      <c r="C808" s="1647"/>
      <c r="D808" s="1577"/>
      <c r="E808" s="1577">
        <f>SUM(E763:E806)</f>
        <v>10158364</v>
      </c>
      <c r="F808" s="1647"/>
      <c r="G808" s="1600"/>
      <c r="H808" s="1577">
        <f>SUM(H763:H806)</f>
        <v>11583439</v>
      </c>
      <c r="I808" s="1647"/>
      <c r="J808" s="1600"/>
      <c r="K808" s="1577">
        <f>SUM(K763:K807)</f>
        <v>11869048</v>
      </c>
      <c r="M808" s="1570"/>
      <c r="N808" s="1570"/>
      <c r="O808" s="1571"/>
      <c r="P808" s="1571"/>
      <c r="Q808" s="1571"/>
      <c r="R808" s="1570"/>
      <c r="S808" s="1570"/>
      <c r="T808" s="1570"/>
      <c r="U808" s="1570"/>
      <c r="V808" s="1570"/>
      <c r="W808" s="1570"/>
      <c r="X808" s="1570"/>
      <c r="Y808" s="1570"/>
      <c r="Z808" s="1570"/>
      <c r="AA808" s="1570"/>
      <c r="AB808" s="1570"/>
      <c r="AC808" s="1570"/>
      <c r="AD808" s="1570"/>
      <c r="AE808" s="1570"/>
      <c r="AF808" s="1570"/>
      <c r="AG808" s="1570"/>
      <c r="AH808" s="1570"/>
    </row>
    <row r="809" spans="1:36" hidden="1">
      <c r="A809" s="1585" t="s">
        <v>366</v>
      </c>
      <c r="B809" s="1679">
        <f ca="1">'Table 2'!H101</f>
        <v>2272009.0196180283</v>
      </c>
      <c r="C809" s="1600"/>
      <c r="D809" s="1600"/>
      <c r="E809" s="1631" t="e">
        <f>#REF!</f>
        <v>#REF!</v>
      </c>
      <c r="F809" s="1600"/>
      <c r="G809" s="1600"/>
      <c r="H809" s="1631">
        <f ca="1">'Table 3'!E101</f>
        <v>277909.20330886031</v>
      </c>
      <c r="I809" s="1600"/>
      <c r="J809" s="1600"/>
      <c r="K809" s="1631">
        <f ca="1">H809</f>
        <v>277909.20330886031</v>
      </c>
      <c r="M809" s="1422"/>
      <c r="N809" s="1422"/>
      <c r="O809" s="1423"/>
      <c r="P809" s="1571"/>
      <c r="Q809" s="1571"/>
      <c r="R809" s="1570"/>
      <c r="S809" s="1570"/>
      <c r="T809" s="1570"/>
      <c r="U809" s="1570"/>
      <c r="V809" s="1570"/>
      <c r="W809" s="1570"/>
      <c r="X809" s="1570"/>
      <c r="Y809" s="1570"/>
      <c r="Z809" s="1570"/>
      <c r="AA809" s="1570"/>
      <c r="AB809" s="1570"/>
      <c r="AC809" s="1570"/>
      <c r="AD809" s="1570"/>
      <c r="AE809" s="1570"/>
      <c r="AF809" s="1570"/>
      <c r="AG809" s="1570"/>
      <c r="AH809" s="1570"/>
    </row>
    <row r="810" spans="1:36" ht="15.75" hidden="1" thickBot="1">
      <c r="A810" s="1585" t="s">
        <v>385</v>
      </c>
      <c r="B810" s="1694">
        <f ca="1">SUM(B808:B809)</f>
        <v>148070487.38395464</v>
      </c>
      <c r="C810" s="1666"/>
      <c r="D810" s="1667"/>
      <c r="E810" s="1668" t="e">
        <f>E808+E809</f>
        <v>#REF!</v>
      </c>
      <c r="F810" s="1666"/>
      <c r="G810" s="1670"/>
      <c r="H810" s="1668">
        <f ca="1">H808+H809</f>
        <v>11861348.20330886</v>
      </c>
      <c r="I810" s="1666"/>
      <c r="J810" s="1670"/>
      <c r="K810" s="1668">
        <f ca="1">K808+K809</f>
        <v>12146957.20330886</v>
      </c>
      <c r="M810" s="1424"/>
      <c r="N810" s="1424"/>
      <c r="O810" s="1597"/>
      <c r="P810" s="1571"/>
      <c r="Q810" s="1571"/>
      <c r="R810" s="1570"/>
      <c r="S810" s="1570"/>
      <c r="T810" s="1570"/>
      <c r="U810" s="1570"/>
      <c r="V810" s="1570"/>
      <c r="W810" s="1570"/>
      <c r="X810" s="1570"/>
      <c r="Y810" s="1570"/>
      <c r="Z810" s="1570"/>
      <c r="AA810" s="1570"/>
      <c r="AB810" s="1570"/>
      <c r="AC810" s="1570"/>
      <c r="AD810" s="1570"/>
      <c r="AE810" s="1570"/>
      <c r="AF810" s="1570"/>
      <c r="AG810" s="1570"/>
      <c r="AH810" s="1570"/>
    </row>
    <row r="811" spans="1:36" hidden="1">
      <c r="A811" s="1585"/>
      <c r="B811" s="1720"/>
      <c r="C811" s="1681"/>
      <c r="D811" s="1682"/>
      <c r="E811" s="1588"/>
      <c r="F811" s="1681" t="s">
        <v>31</v>
      </c>
      <c r="G811" s="1683"/>
      <c r="H811" s="1588"/>
      <c r="I811" s="1681" t="s">
        <v>31</v>
      </c>
      <c r="J811" s="1683"/>
      <c r="K811" s="1588" t="s">
        <v>31</v>
      </c>
      <c r="M811" s="1570"/>
      <c r="N811" s="1570"/>
      <c r="O811" s="1571"/>
      <c r="P811" s="1571"/>
      <c r="Q811" s="1571"/>
      <c r="R811" s="1570"/>
      <c r="S811" s="1570"/>
      <c r="T811" s="1570"/>
      <c r="U811" s="1570"/>
      <c r="V811" s="1570"/>
      <c r="W811" s="1570"/>
      <c r="X811" s="1570"/>
      <c r="Y811" s="1570"/>
      <c r="Z811" s="1570"/>
      <c r="AA811" s="1570"/>
      <c r="AB811" s="1570"/>
      <c r="AC811" s="1570"/>
      <c r="AD811" s="1570"/>
      <c r="AE811" s="1570"/>
      <c r="AF811" s="1570"/>
      <c r="AG811" s="1570"/>
      <c r="AH811" s="1570"/>
    </row>
    <row r="812" spans="1:36" hidden="1">
      <c r="A812" s="1609" t="s">
        <v>470</v>
      </c>
      <c r="B812" s="1610"/>
      <c r="C812" s="1660"/>
      <c r="D812" s="1577"/>
      <c r="E812" s="1577"/>
      <c r="F812" s="1660"/>
      <c r="G812" s="1585"/>
      <c r="H812" s="1577"/>
      <c r="I812" s="1660"/>
      <c r="J812" s="1585"/>
      <c r="K812" s="1577"/>
      <c r="M812" s="1570"/>
      <c r="N812" s="1570"/>
      <c r="O812" s="1571"/>
      <c r="P812" s="1571"/>
      <c r="Q812" s="1571"/>
      <c r="R812" s="1570"/>
      <c r="S812" s="1570"/>
      <c r="T812" s="1570"/>
      <c r="U812" s="1570"/>
      <c r="V812" s="1570"/>
      <c r="W812" s="1570"/>
      <c r="X812" s="1570"/>
      <c r="Y812" s="1570"/>
      <c r="Z812" s="1570"/>
      <c r="AA812" s="1570"/>
      <c r="AB812" s="1570"/>
      <c r="AC812" s="1570"/>
      <c r="AD812" s="1570"/>
      <c r="AE812" s="1570"/>
      <c r="AF812" s="1570"/>
      <c r="AG812" s="1570"/>
      <c r="AH812" s="1570"/>
    </row>
    <row r="813" spans="1:36" hidden="1">
      <c r="A813" s="1600" t="s">
        <v>471</v>
      </c>
      <c r="B813" s="1610"/>
      <c r="C813" s="1660"/>
      <c r="D813" s="1577"/>
      <c r="E813" s="1577"/>
      <c r="F813" s="1660"/>
      <c r="G813" s="1585"/>
      <c r="H813" s="1577"/>
      <c r="I813" s="1660"/>
      <c r="J813" s="1585"/>
      <c r="K813" s="1577"/>
      <c r="M813" s="1570"/>
      <c r="N813" s="1570"/>
      <c r="O813" s="1571"/>
      <c r="P813" s="1571"/>
      <c r="Q813" s="1571"/>
      <c r="R813" s="1570"/>
      <c r="S813" s="1570"/>
      <c r="T813" s="1570"/>
      <c r="U813" s="1570"/>
      <c r="V813" s="1570"/>
      <c r="W813" s="1570"/>
      <c r="X813" s="1570"/>
      <c r="Y813" s="1570"/>
      <c r="Z813" s="1570"/>
      <c r="AA813" s="1570"/>
      <c r="AB813" s="1570"/>
      <c r="AC813" s="1570"/>
      <c r="AD813" s="1570"/>
      <c r="AE813" s="1570"/>
      <c r="AF813" s="1570"/>
      <c r="AG813" s="1570"/>
      <c r="AH813" s="1570"/>
    </row>
    <row r="814" spans="1:36" hidden="1">
      <c r="A814" s="1600"/>
      <c r="B814" s="1610"/>
      <c r="C814" s="1660"/>
      <c r="D814" s="1577"/>
      <c r="E814" s="1710"/>
      <c r="F814" s="1660"/>
      <c r="G814" s="1585"/>
      <c r="H814" s="1710"/>
      <c r="I814" s="1660"/>
      <c r="J814" s="1585"/>
      <c r="K814" s="1711"/>
      <c r="M814" s="1570"/>
      <c r="N814" s="1570"/>
      <c r="O814" s="1571"/>
      <c r="P814" s="1571"/>
      <c r="Q814" s="1571"/>
      <c r="R814" s="1570"/>
      <c r="S814" s="1570"/>
      <c r="T814" s="1570"/>
      <c r="U814" s="1570"/>
      <c r="V814" s="1570"/>
      <c r="W814" s="1570"/>
      <c r="X814" s="1570"/>
      <c r="Y814" s="1570"/>
      <c r="Z814" s="1570"/>
      <c r="AA814" s="1570"/>
      <c r="AB814" s="1570"/>
      <c r="AC814" s="1570"/>
      <c r="AD814" s="1570"/>
      <c r="AE814" s="1570"/>
      <c r="AF814" s="1570"/>
      <c r="AG814" s="1570"/>
      <c r="AH814" s="1570"/>
    </row>
    <row r="815" spans="1:36" hidden="1">
      <c r="A815" s="1600" t="s">
        <v>452</v>
      </c>
      <c r="B815" s="1599"/>
      <c r="C815" s="1577" t="s">
        <v>31</v>
      </c>
      <c r="D815" s="1577"/>
      <c r="E815" s="1585"/>
      <c r="F815" s="1577" t="s">
        <v>31</v>
      </c>
      <c r="G815" s="1585"/>
      <c r="H815" s="1585"/>
      <c r="I815" s="1577" t="s">
        <v>31</v>
      </c>
      <c r="J815" s="1585"/>
      <c r="K815" s="1585"/>
      <c r="M815" s="1570"/>
      <c r="N815" s="1570"/>
      <c r="O815" s="1571"/>
      <c r="P815" s="1571"/>
      <c r="Q815" s="1571"/>
      <c r="R815" s="1570"/>
      <c r="S815" s="1570"/>
      <c r="T815" s="1570"/>
      <c r="U815" s="1570"/>
      <c r="V815" s="1570"/>
      <c r="W815" s="1570"/>
      <c r="X815" s="1570"/>
      <c r="Y815" s="1570"/>
      <c r="Z815" s="1570"/>
      <c r="AA815" s="1570"/>
      <c r="AB815" s="1570"/>
      <c r="AC815" s="1570"/>
      <c r="AD815" s="1570"/>
      <c r="AE815" s="1570"/>
      <c r="AF815" s="1570"/>
      <c r="AG815" s="1570"/>
      <c r="AH815" s="1570"/>
    </row>
    <row r="816" spans="1:36" hidden="1">
      <c r="A816" s="1600" t="s">
        <v>453</v>
      </c>
      <c r="B816" s="1599">
        <f>64</f>
        <v>64</v>
      </c>
      <c r="C816" s="1660">
        <v>0</v>
      </c>
      <c r="D816" s="1641"/>
      <c r="E816" s="1574">
        <f>ROUND(C816*$B816,0)</f>
        <v>0</v>
      </c>
      <c r="F816" s="1660">
        <v>0</v>
      </c>
      <c r="G816" s="1641"/>
      <c r="H816" s="1574">
        <f>ROUND(F816*B816,0)</f>
        <v>0</v>
      </c>
      <c r="I816" s="1660">
        <f>$I$709</f>
        <v>0</v>
      </c>
      <c r="J816" s="1641"/>
      <c r="K816" s="1574">
        <f>ROUND(I816*$B816,0)</f>
        <v>0</v>
      </c>
      <c r="M816" s="1570"/>
      <c r="N816" s="1570"/>
      <c r="O816" s="1571"/>
      <c r="P816" s="1571"/>
      <c r="Q816" s="1571"/>
      <c r="R816" s="1570"/>
      <c r="S816" s="1570"/>
      <c r="T816" s="1570"/>
      <c r="U816" s="1570"/>
      <c r="V816" s="1570"/>
      <c r="W816" s="1570"/>
      <c r="X816" s="1570"/>
      <c r="Y816" s="1570"/>
      <c r="Z816" s="1570"/>
      <c r="AA816" s="1570"/>
      <c r="AB816" s="1570"/>
      <c r="AC816" s="1570"/>
      <c r="AD816" s="1570"/>
      <c r="AE816" s="1570"/>
      <c r="AF816" s="1570"/>
      <c r="AG816" s="1570"/>
      <c r="AH816" s="1570"/>
    </row>
    <row r="817" spans="1:34" hidden="1">
      <c r="A817" s="1600" t="s">
        <v>454</v>
      </c>
      <c r="B817" s="1599"/>
      <c r="C817" s="1660"/>
      <c r="D817" s="1641"/>
      <c r="E817" s="1574"/>
      <c r="F817" s="1660"/>
      <c r="G817" s="1641"/>
      <c r="H817" s="1574"/>
      <c r="I817" s="1660"/>
      <c r="J817" s="1641"/>
      <c r="K817" s="1574"/>
      <c r="M817" s="1570"/>
      <c r="N817" s="1570"/>
      <c r="O817" s="1571"/>
      <c r="P817" s="1571"/>
      <c r="Q817" s="1571"/>
      <c r="R817" s="1570"/>
      <c r="S817" s="1570"/>
      <c r="T817" s="1570"/>
      <c r="U817" s="1570"/>
      <c r="V817" s="1570"/>
      <c r="W817" s="1570"/>
      <c r="X817" s="1570"/>
      <c r="Y817" s="1570"/>
      <c r="Z817" s="1570"/>
      <c r="AA817" s="1570"/>
      <c r="AB817" s="1570"/>
      <c r="AC817" s="1570"/>
      <c r="AD817" s="1570"/>
      <c r="AE817" s="1570"/>
      <c r="AF817" s="1570"/>
      <c r="AG817" s="1570"/>
      <c r="AH817" s="1570"/>
    </row>
    <row r="818" spans="1:34" hidden="1">
      <c r="A818" s="1600" t="s">
        <v>455</v>
      </c>
      <c r="B818" s="1599">
        <f>120</f>
        <v>120</v>
      </c>
      <c r="C818" s="1660">
        <v>0</v>
      </c>
      <c r="D818" s="1641"/>
      <c r="E818" s="1574">
        <f>ROUND(C818*$B818,0)</f>
        <v>0</v>
      </c>
      <c r="F818" s="1660">
        <v>0</v>
      </c>
      <c r="G818" s="1641"/>
      <c r="H818" s="1574">
        <f t="shared" ref="H818:H820" si="137">ROUND(F818*B818,0)</f>
        <v>0</v>
      </c>
      <c r="I818" s="1660">
        <f>$I$711</f>
        <v>0</v>
      </c>
      <c r="J818" s="1641"/>
      <c r="K818" s="1574">
        <f>ROUND(I818*$B818,0)</f>
        <v>0</v>
      </c>
      <c r="M818" s="1570"/>
      <c r="N818" s="1570"/>
      <c r="O818" s="1571"/>
      <c r="P818" s="1571"/>
      <c r="Q818" s="1571"/>
      <c r="R818" s="1570"/>
      <c r="S818" s="1570"/>
      <c r="T818" s="1570"/>
      <c r="U818" s="1570"/>
      <c r="V818" s="1570"/>
      <c r="W818" s="1570"/>
      <c r="X818" s="1570"/>
      <c r="Y818" s="1570"/>
      <c r="Z818" s="1570"/>
      <c r="AA818" s="1570"/>
      <c r="AB818" s="1570"/>
      <c r="AC818" s="1570"/>
      <c r="AD818" s="1570"/>
      <c r="AE818" s="1570"/>
      <c r="AF818" s="1570"/>
      <c r="AG818" s="1570"/>
      <c r="AH818" s="1570"/>
    </row>
    <row r="819" spans="1:34" hidden="1">
      <c r="A819" s="1600" t="s">
        <v>456</v>
      </c>
      <c r="B819" s="1599">
        <f>11</f>
        <v>11</v>
      </c>
      <c r="C819" s="1660">
        <v>312</v>
      </c>
      <c r="D819" s="1641"/>
      <c r="E819" s="1574">
        <f>ROUND(C819*$B819,0)</f>
        <v>3432</v>
      </c>
      <c r="F819" s="1660">
        <v>357</v>
      </c>
      <c r="G819" s="1641"/>
      <c r="H819" s="1574">
        <f t="shared" si="137"/>
        <v>3927</v>
      </c>
      <c r="I819" s="1660">
        <f>$I$712</f>
        <v>366</v>
      </c>
      <c r="J819" s="1641"/>
      <c r="K819" s="1574">
        <f>ROUND(I819*$B819,0)</f>
        <v>4026</v>
      </c>
      <c r="M819" s="1570"/>
      <c r="N819" s="1570"/>
      <c r="O819" s="1571"/>
      <c r="P819" s="1571"/>
      <c r="Q819" s="1571"/>
      <c r="R819" s="1570"/>
      <c r="S819" s="1570"/>
      <c r="T819" s="1570"/>
      <c r="U819" s="1570"/>
      <c r="V819" s="1570"/>
      <c r="W819" s="1570"/>
      <c r="X819" s="1570"/>
      <c r="Y819" s="1570"/>
      <c r="Z819" s="1570"/>
      <c r="AA819" s="1570"/>
      <c r="AB819" s="1570"/>
      <c r="AC819" s="1570"/>
      <c r="AD819" s="1570"/>
      <c r="AE819" s="1570"/>
      <c r="AF819" s="1570"/>
      <c r="AG819" s="1570"/>
      <c r="AH819" s="1570"/>
    </row>
    <row r="820" spans="1:34" hidden="1">
      <c r="A820" s="1600" t="s">
        <v>457</v>
      </c>
      <c r="B820" s="1599">
        <v>0</v>
      </c>
      <c r="C820" s="1660">
        <v>1268</v>
      </c>
      <c r="D820" s="1641"/>
      <c r="E820" s="1574">
        <f>ROUND(C820*$B820,0)</f>
        <v>0</v>
      </c>
      <c r="F820" s="1660">
        <v>1457</v>
      </c>
      <c r="G820" s="1641"/>
      <c r="H820" s="1574">
        <f t="shared" si="137"/>
        <v>0</v>
      </c>
      <c r="I820" s="1660">
        <f>$I$713</f>
        <v>1493</v>
      </c>
      <c r="J820" s="1641"/>
      <c r="K820" s="1574">
        <f>ROUND(I820*$B820,0)</f>
        <v>0</v>
      </c>
      <c r="M820" s="1570"/>
      <c r="N820" s="1570"/>
      <c r="O820" s="1571"/>
      <c r="P820" s="1571"/>
      <c r="Q820" s="1571"/>
      <c r="R820" s="1570"/>
      <c r="S820" s="1570"/>
      <c r="T820" s="1570"/>
      <c r="U820" s="1570"/>
      <c r="V820" s="1570"/>
      <c r="W820" s="1570"/>
      <c r="X820" s="1570"/>
      <c r="Y820" s="1570"/>
      <c r="Z820" s="1570"/>
      <c r="AA820" s="1570"/>
      <c r="AB820" s="1570"/>
      <c r="AC820" s="1570"/>
      <c r="AD820" s="1570"/>
      <c r="AE820" s="1570"/>
      <c r="AF820" s="1570"/>
      <c r="AG820" s="1570"/>
      <c r="AH820" s="1570"/>
    </row>
    <row r="821" spans="1:34" hidden="1">
      <c r="A821" s="1600" t="s">
        <v>365</v>
      </c>
      <c r="B821" s="1599">
        <f>SUM(B816:B820)</f>
        <v>195</v>
      </c>
      <c r="C821" s="1660"/>
      <c r="D821" s="1641"/>
      <c r="E821" s="1574"/>
      <c r="F821" s="1660"/>
      <c r="G821" s="1641"/>
      <c r="H821" s="1574"/>
      <c r="I821" s="1660"/>
      <c r="J821" s="1641"/>
      <c r="K821" s="1574"/>
      <c r="M821" s="1570"/>
      <c r="N821" s="1570"/>
      <c r="O821" s="1571"/>
      <c r="P821" s="1571"/>
      <c r="Q821" s="1571"/>
      <c r="R821" s="1570"/>
      <c r="S821" s="1570"/>
      <c r="T821" s="1570"/>
      <c r="U821" s="1570"/>
      <c r="V821" s="1570"/>
      <c r="W821" s="1570"/>
      <c r="X821" s="1570"/>
      <c r="Y821" s="1570"/>
      <c r="Z821" s="1570"/>
      <c r="AA821" s="1570"/>
      <c r="AB821" s="1570"/>
      <c r="AC821" s="1570"/>
      <c r="AD821" s="1570"/>
      <c r="AE821" s="1570"/>
      <c r="AF821" s="1570"/>
      <c r="AG821" s="1570"/>
      <c r="AH821" s="1570"/>
    </row>
    <row r="822" spans="1:34" hidden="1">
      <c r="A822" s="1600" t="s">
        <v>458</v>
      </c>
      <c r="B822" s="1599">
        <f>514+1058+102</f>
        <v>1674</v>
      </c>
      <c r="C822" s="1660"/>
      <c r="D822" s="1574"/>
      <c r="E822" s="1574"/>
      <c r="F822" s="1660"/>
      <c r="G822" s="1574"/>
      <c r="H822" s="1574"/>
      <c r="I822" s="1660"/>
      <c r="J822" s="1574"/>
      <c r="K822" s="1574"/>
      <c r="M822" s="1570"/>
      <c r="N822" s="1570"/>
      <c r="O822" s="1571"/>
      <c r="P822" s="1571"/>
      <c r="Q822" s="1571"/>
      <c r="R822" s="1570"/>
      <c r="S822" s="1570"/>
      <c r="T822" s="1570"/>
      <c r="U822" s="1570"/>
      <c r="V822" s="1570"/>
      <c r="W822" s="1570"/>
      <c r="X822" s="1570"/>
      <c r="Y822" s="1570"/>
      <c r="Z822" s="1570"/>
      <c r="AA822" s="1570"/>
      <c r="AB822" s="1570"/>
      <c r="AC822" s="1570"/>
      <c r="AD822" s="1570"/>
      <c r="AE822" s="1570"/>
      <c r="AF822" s="1570"/>
      <c r="AG822" s="1570"/>
      <c r="AH822" s="1570"/>
    </row>
    <row r="823" spans="1:34" hidden="1">
      <c r="A823" s="1600" t="s">
        <v>104</v>
      </c>
      <c r="B823" s="1599">
        <f>71+142+13</f>
        <v>226</v>
      </c>
      <c r="C823" s="1660"/>
      <c r="D823" s="1574"/>
      <c r="E823" s="1574"/>
      <c r="F823" s="1660"/>
      <c r="G823" s="1574"/>
      <c r="H823" s="1574"/>
      <c r="I823" s="1660"/>
      <c r="J823" s="1574"/>
      <c r="K823" s="1574"/>
      <c r="M823" s="1570"/>
      <c r="N823" s="1570"/>
      <c r="O823" s="1571"/>
      <c r="P823" s="1571"/>
      <c r="Q823" s="1571"/>
      <c r="R823" s="1570"/>
      <c r="S823" s="1570"/>
      <c r="T823" s="1570"/>
      <c r="U823" s="1570"/>
      <c r="V823" s="1570"/>
      <c r="W823" s="1570"/>
      <c r="X823" s="1570"/>
      <c r="Y823" s="1570"/>
      <c r="Z823" s="1570"/>
      <c r="AA823" s="1570"/>
      <c r="AB823" s="1570"/>
      <c r="AC823" s="1570"/>
      <c r="AD823" s="1570"/>
      <c r="AE823" s="1570"/>
      <c r="AF823" s="1570"/>
      <c r="AG823" s="1570"/>
      <c r="AH823" s="1570"/>
    </row>
    <row r="824" spans="1:34" hidden="1">
      <c r="A824" s="1600" t="s">
        <v>459</v>
      </c>
      <c r="B824" s="1599"/>
      <c r="C824" s="1660"/>
      <c r="D824" s="1641"/>
      <c r="E824" s="1574"/>
      <c r="F824" s="1660"/>
      <c r="G824" s="1641"/>
      <c r="H824" s="1574"/>
      <c r="I824" s="1660"/>
      <c r="J824" s="1641"/>
      <c r="K824" s="1574"/>
      <c r="M824" s="1570"/>
      <c r="N824" s="1570"/>
      <c r="O824" s="1571"/>
      <c r="P824" s="1571"/>
      <c r="Q824" s="1571"/>
      <c r="R824" s="1570"/>
      <c r="S824" s="1570"/>
      <c r="T824" s="1570"/>
      <c r="U824" s="1570"/>
      <c r="V824" s="1570"/>
      <c r="W824" s="1570"/>
      <c r="X824" s="1570"/>
      <c r="Y824" s="1570"/>
      <c r="Z824" s="1570"/>
      <c r="AA824" s="1570"/>
      <c r="AB824" s="1570"/>
      <c r="AC824" s="1570"/>
      <c r="AD824" s="1570"/>
      <c r="AE824" s="1570"/>
      <c r="AF824" s="1570"/>
      <c r="AG824" s="1570"/>
      <c r="AH824" s="1570"/>
    </row>
    <row r="825" spans="1:34" hidden="1">
      <c r="A825" s="1600" t="s">
        <v>460</v>
      </c>
      <c r="B825" s="1599">
        <f>207</f>
        <v>207</v>
      </c>
      <c r="C825" s="1660">
        <v>20.86</v>
      </c>
      <c r="D825" s="1641"/>
      <c r="E825" s="1574">
        <f>ROUND(C825*$B825,0)</f>
        <v>4318</v>
      </c>
      <c r="F825" s="1660">
        <v>23.87</v>
      </c>
      <c r="G825" s="1641"/>
      <c r="H825" s="1574">
        <f>ROUND(F825*B825,0)</f>
        <v>4941</v>
      </c>
      <c r="I825" s="1660">
        <f>$I$718</f>
        <v>24.450000000000003</v>
      </c>
      <c r="J825" s="1641"/>
      <c r="K825" s="1574">
        <f>ROUND(I825*$B825,0)</f>
        <v>5061</v>
      </c>
      <c r="M825" s="1570"/>
      <c r="N825" s="1570"/>
      <c r="O825" s="1571"/>
      <c r="P825" s="1571"/>
      <c r="Q825" s="1571"/>
      <c r="R825" s="1570"/>
      <c r="S825" s="1570"/>
      <c r="T825" s="1570"/>
      <c r="U825" s="1570"/>
      <c r="V825" s="1570"/>
      <c r="W825" s="1570"/>
      <c r="X825" s="1570"/>
      <c r="Y825" s="1570"/>
      <c r="Z825" s="1570"/>
      <c r="AA825" s="1570"/>
      <c r="AB825" s="1570"/>
      <c r="AC825" s="1570"/>
      <c r="AD825" s="1570"/>
      <c r="AE825" s="1570"/>
      <c r="AF825" s="1570"/>
      <c r="AG825" s="1570"/>
      <c r="AH825" s="1570"/>
    </row>
    <row r="826" spans="1:34" hidden="1">
      <c r="A826" s="1600" t="s">
        <v>461</v>
      </c>
      <c r="B826" s="1599"/>
      <c r="C826" s="1660"/>
      <c r="D826" s="1641"/>
      <c r="E826" s="1574"/>
      <c r="F826" s="1660"/>
      <c r="G826" s="1641"/>
      <c r="H826" s="1574"/>
      <c r="I826" s="1660"/>
      <c r="J826" s="1641"/>
      <c r="K826" s="1574"/>
      <c r="M826" s="1570"/>
      <c r="N826" s="1570"/>
      <c r="O826" s="1571"/>
      <c r="P826" s="1571"/>
      <c r="Q826" s="1571"/>
      <c r="R826" s="1570"/>
      <c r="S826" s="1570"/>
      <c r="T826" s="1570"/>
      <c r="U826" s="1570"/>
      <c r="V826" s="1570"/>
      <c r="W826" s="1570"/>
      <c r="X826" s="1570"/>
      <c r="Y826" s="1570"/>
      <c r="Z826" s="1570"/>
      <c r="AA826" s="1570"/>
      <c r="AB826" s="1570"/>
      <c r="AC826" s="1570"/>
      <c r="AD826" s="1570"/>
      <c r="AE826" s="1570"/>
      <c r="AF826" s="1570"/>
      <c r="AG826" s="1570"/>
      <c r="AH826" s="1570"/>
    </row>
    <row r="827" spans="1:34" hidden="1">
      <c r="A827" s="1600" t="s">
        <v>455</v>
      </c>
      <c r="B827" s="1599">
        <f>1678</f>
        <v>1678</v>
      </c>
      <c r="C827" s="1660">
        <v>20.860000000000003</v>
      </c>
      <c r="D827" s="1641"/>
      <c r="E827" s="1574">
        <f>ROUND(C827*$B827,0)</f>
        <v>35003</v>
      </c>
      <c r="F827" s="1660">
        <v>23.79</v>
      </c>
      <c r="G827" s="1641"/>
      <c r="H827" s="1574">
        <f t="shared" ref="H827:H831" si="138">ROUND(F827*B827,0)</f>
        <v>39920</v>
      </c>
      <c r="I827" s="1660">
        <f>$I$720</f>
        <v>24.45</v>
      </c>
      <c r="J827" s="1641"/>
      <c r="K827" s="1574">
        <f>ROUND(I827*$B827,0)</f>
        <v>41027</v>
      </c>
      <c r="M827" s="1570"/>
      <c r="N827" s="1570"/>
      <c r="O827" s="1571"/>
      <c r="P827" s="1571"/>
      <c r="Q827" s="1571"/>
      <c r="R827" s="1570"/>
      <c r="S827" s="1570"/>
      <c r="T827" s="1570"/>
      <c r="U827" s="1570"/>
      <c r="V827" s="1570"/>
      <c r="W827" s="1570"/>
      <c r="X827" s="1570"/>
      <c r="Y827" s="1570"/>
      <c r="Z827" s="1570"/>
      <c r="AA827" s="1570"/>
      <c r="AB827" s="1570"/>
      <c r="AC827" s="1570"/>
      <c r="AD827" s="1570"/>
      <c r="AE827" s="1570"/>
      <c r="AF827" s="1570"/>
      <c r="AG827" s="1570"/>
      <c r="AH827" s="1570"/>
    </row>
    <row r="828" spans="1:34" hidden="1">
      <c r="A828" s="1600" t="s">
        <v>456</v>
      </c>
      <c r="B828" s="1599">
        <f>1435</f>
        <v>1435</v>
      </c>
      <c r="C828" s="1660">
        <v>14.53</v>
      </c>
      <c r="D828" s="1641"/>
      <c r="E828" s="1574">
        <f>ROUND(C828*$B828,0)</f>
        <v>20851</v>
      </c>
      <c r="F828" s="1660">
        <v>16.559999999999999</v>
      </c>
      <c r="G828" s="1641"/>
      <c r="H828" s="1574">
        <f t="shared" si="138"/>
        <v>23764</v>
      </c>
      <c r="I828" s="1660">
        <f>$I$721</f>
        <v>16.96</v>
      </c>
      <c r="J828" s="1641"/>
      <c r="K828" s="1574">
        <f>ROUND(I828*$B828,0)</f>
        <v>24338</v>
      </c>
      <c r="M828" s="1570"/>
      <c r="N828" s="1570"/>
      <c r="O828" s="1571"/>
      <c r="P828" s="1571"/>
      <c r="Q828" s="1571"/>
      <c r="R828" s="1570"/>
      <c r="S828" s="1570"/>
      <c r="T828" s="1570"/>
      <c r="U828" s="1570"/>
      <c r="V828" s="1570"/>
      <c r="W828" s="1570"/>
      <c r="X828" s="1570"/>
      <c r="Y828" s="1570"/>
      <c r="Z828" s="1570"/>
      <c r="AA828" s="1570"/>
      <c r="AB828" s="1570"/>
      <c r="AC828" s="1570"/>
      <c r="AD828" s="1570"/>
      <c r="AE828" s="1570"/>
      <c r="AF828" s="1570"/>
      <c r="AG828" s="1570"/>
      <c r="AH828" s="1570"/>
    </row>
    <row r="829" spans="1:34" hidden="1">
      <c r="A829" s="1600" t="s">
        <v>457</v>
      </c>
      <c r="B829" s="1599">
        <v>0</v>
      </c>
      <c r="C829" s="1660">
        <v>11.340000000000002</v>
      </c>
      <c r="D829" s="1641"/>
      <c r="E829" s="1574">
        <f>ROUND(C829*$B829,0)</f>
        <v>0</v>
      </c>
      <c r="F829" s="1660">
        <v>12.96</v>
      </c>
      <c r="G829" s="1641"/>
      <c r="H829" s="1574">
        <f t="shared" si="138"/>
        <v>0</v>
      </c>
      <c r="I829" s="1660">
        <f>$I$722</f>
        <v>13.28</v>
      </c>
      <c r="J829" s="1641"/>
      <c r="K829" s="1574">
        <f>ROUND(I829*$B829,0)</f>
        <v>0</v>
      </c>
      <c r="M829" s="1570"/>
      <c r="N829" s="1570"/>
      <c r="O829" s="1571"/>
      <c r="P829" s="1571"/>
      <c r="Q829" s="1571"/>
      <c r="R829" s="1570"/>
      <c r="S829" s="1570"/>
      <c r="T829" s="1570"/>
      <c r="U829" s="1570"/>
      <c r="V829" s="1570"/>
      <c r="W829" s="1570"/>
      <c r="X829" s="1570"/>
      <c r="Y829" s="1570"/>
      <c r="Z829" s="1570"/>
      <c r="AA829" s="1570"/>
      <c r="AB829" s="1570"/>
      <c r="AC829" s="1570"/>
      <c r="AD829" s="1570"/>
      <c r="AE829" s="1570"/>
      <c r="AF829" s="1570"/>
      <c r="AG829" s="1570"/>
      <c r="AH829" s="1570"/>
    </row>
    <row r="830" spans="1:34" hidden="1">
      <c r="A830" s="1600" t="s">
        <v>463</v>
      </c>
      <c r="B830" s="1599">
        <f>38</f>
        <v>38</v>
      </c>
      <c r="C830" s="1660">
        <v>62.58</v>
      </c>
      <c r="D830" s="1641"/>
      <c r="E830" s="1574">
        <f>ROUND(C830*$B830,0)</f>
        <v>2378</v>
      </c>
      <c r="F830" s="1660">
        <v>71.61</v>
      </c>
      <c r="G830" s="1641"/>
      <c r="H830" s="1574">
        <f t="shared" si="138"/>
        <v>2721</v>
      </c>
      <c r="I830" s="1660">
        <f>$I$723</f>
        <v>73.350000000000009</v>
      </c>
      <c r="J830" s="1641"/>
      <c r="K830" s="1574">
        <f>ROUND(I830*$B830,0)</f>
        <v>2787</v>
      </c>
      <c r="M830" s="1570"/>
      <c r="N830" s="1570"/>
      <c r="O830" s="1571"/>
      <c r="P830" s="1571"/>
      <c r="Q830" s="1571"/>
      <c r="R830" s="1570"/>
      <c r="S830" s="1570"/>
      <c r="T830" s="1570"/>
      <c r="U830" s="1570"/>
      <c r="V830" s="1570"/>
      <c r="W830" s="1570"/>
      <c r="X830" s="1570"/>
      <c r="Y830" s="1570"/>
      <c r="Z830" s="1570"/>
      <c r="AA830" s="1570"/>
      <c r="AB830" s="1570"/>
      <c r="AC830" s="1570"/>
      <c r="AD830" s="1570"/>
      <c r="AE830" s="1570"/>
      <c r="AF830" s="1570"/>
      <c r="AG830" s="1570"/>
      <c r="AH830" s="1570"/>
    </row>
    <row r="831" spans="1:34" hidden="1">
      <c r="A831" s="1600" t="s">
        <v>464</v>
      </c>
      <c r="B831" s="1599">
        <f>31</f>
        <v>31</v>
      </c>
      <c r="C831" s="1660">
        <v>125.16000000000003</v>
      </c>
      <c r="D831" s="1641"/>
      <c r="E831" s="1574">
        <f>ROUND(C831*$B831,0)</f>
        <v>3880</v>
      </c>
      <c r="F831" s="1660">
        <v>142.74</v>
      </c>
      <c r="G831" s="1641"/>
      <c r="H831" s="1574">
        <f t="shared" si="138"/>
        <v>4425</v>
      </c>
      <c r="I831" s="1660">
        <f>$I$724</f>
        <v>146.69999999999999</v>
      </c>
      <c r="J831" s="1641"/>
      <c r="K831" s="1574">
        <f>ROUND(I831*$B831,0)</f>
        <v>4548</v>
      </c>
      <c r="M831" s="1570"/>
      <c r="N831" s="1570"/>
      <c r="O831" s="1571"/>
      <c r="P831" s="1571"/>
      <c r="Q831" s="1571"/>
      <c r="R831" s="1570"/>
      <c r="S831" s="1570"/>
      <c r="T831" s="1570"/>
      <c r="U831" s="1570"/>
      <c r="V831" s="1570"/>
      <c r="W831" s="1570"/>
      <c r="X831" s="1570"/>
      <c r="Y831" s="1570"/>
      <c r="Z831" s="1570"/>
      <c r="AA831" s="1570"/>
      <c r="AB831" s="1570"/>
      <c r="AC831" s="1570"/>
      <c r="AD831" s="1570"/>
      <c r="AE831" s="1570"/>
      <c r="AF831" s="1570"/>
      <c r="AG831" s="1570"/>
      <c r="AH831" s="1570"/>
    </row>
    <row r="832" spans="1:34" hidden="1">
      <c r="A832" s="1600" t="s">
        <v>465</v>
      </c>
      <c r="B832" s="1599"/>
      <c r="C832" s="1660"/>
      <c r="D832" s="1641"/>
      <c r="E832" s="1574"/>
      <c r="F832" s="1660"/>
      <c r="G832" s="1641"/>
      <c r="H832" s="1574"/>
      <c r="I832" s="1660"/>
      <c r="J832" s="1641"/>
      <c r="K832" s="1574"/>
      <c r="M832" s="1570"/>
      <c r="N832" s="1570"/>
      <c r="O832" s="1571"/>
      <c r="P832" s="1571"/>
      <c r="Q832" s="1571"/>
      <c r="R832" s="1570"/>
      <c r="S832" s="1570"/>
      <c r="T832" s="1570"/>
      <c r="U832" s="1570"/>
      <c r="V832" s="1570"/>
      <c r="W832" s="1570"/>
      <c r="X832" s="1570"/>
      <c r="Y832" s="1570"/>
      <c r="Z832" s="1570"/>
      <c r="AA832" s="1570"/>
      <c r="AB832" s="1570"/>
      <c r="AC832" s="1570"/>
      <c r="AD832" s="1570"/>
      <c r="AE832" s="1570"/>
      <c r="AF832" s="1570"/>
      <c r="AG832" s="1570"/>
      <c r="AH832" s="1570"/>
    </row>
    <row r="833" spans="1:36" hidden="1">
      <c r="A833" s="1600" t="s">
        <v>460</v>
      </c>
      <c r="B833" s="1599">
        <f>2</f>
        <v>2</v>
      </c>
      <c r="C833" s="1657">
        <v>-20.86</v>
      </c>
      <c r="D833" s="1641"/>
      <c r="E833" s="1574">
        <f>ROUND(C833*$B833,0)</f>
        <v>-42</v>
      </c>
      <c r="F833" s="1657">
        <v>-23.87</v>
      </c>
      <c r="G833" s="1641"/>
      <c r="H833" s="1574">
        <f t="shared" ref="H833:H834" si="139">ROUND(F833*B833,0)</f>
        <v>-48</v>
      </c>
      <c r="I833" s="1657">
        <f>-I825</f>
        <v>-24.450000000000003</v>
      </c>
      <c r="J833" s="1641"/>
      <c r="K833" s="1574">
        <f>ROUND(I833*$B833,0)</f>
        <v>-49</v>
      </c>
      <c r="M833" s="1570"/>
      <c r="N833" s="1570"/>
      <c r="O833" s="1571"/>
      <c r="P833" s="1571"/>
      <c r="Q833" s="1571"/>
      <c r="R833" s="1570"/>
      <c r="S833" s="1570"/>
      <c r="T833" s="1570"/>
      <c r="U833" s="1570"/>
      <c r="V833" s="1570"/>
      <c r="W833" s="1570"/>
      <c r="X833" s="1570"/>
      <c r="Y833" s="1570"/>
      <c r="Z833" s="1570"/>
      <c r="AA833" s="1570"/>
      <c r="AB833" s="1570"/>
      <c r="AC833" s="1570"/>
      <c r="AD833" s="1570"/>
      <c r="AE833" s="1570"/>
      <c r="AF833" s="1570"/>
      <c r="AG833" s="1570"/>
      <c r="AH833" s="1570"/>
    </row>
    <row r="834" spans="1:36" hidden="1">
      <c r="A834" s="1600" t="s">
        <v>466</v>
      </c>
      <c r="B834" s="1599">
        <f>13</f>
        <v>13</v>
      </c>
      <c r="C834" s="1657">
        <v>-20.860000000000003</v>
      </c>
      <c r="D834" s="1641"/>
      <c r="E834" s="1574">
        <f>ROUND(C834*$B834,0)</f>
        <v>-271</v>
      </c>
      <c r="F834" s="1657">
        <v>-23.79</v>
      </c>
      <c r="G834" s="1641"/>
      <c r="H834" s="1574">
        <f t="shared" si="139"/>
        <v>-309</v>
      </c>
      <c r="I834" s="1657">
        <f>-I827</f>
        <v>-24.45</v>
      </c>
      <c r="J834" s="1641"/>
      <c r="K834" s="1574">
        <f>ROUND(I834*$B834,0)</f>
        <v>-318</v>
      </c>
      <c r="M834" s="1570"/>
      <c r="N834" s="1570"/>
      <c r="O834" s="1571"/>
      <c r="P834" s="1571"/>
      <c r="Q834" s="1571"/>
      <c r="R834" s="1570"/>
      <c r="S834" s="1570"/>
      <c r="T834" s="1570"/>
      <c r="U834" s="1570"/>
      <c r="V834" s="1570"/>
      <c r="W834" s="1570"/>
      <c r="X834" s="1570"/>
      <c r="Y834" s="1570"/>
      <c r="Z834" s="1570"/>
      <c r="AA834" s="1570"/>
      <c r="AB834" s="1570"/>
      <c r="AC834" s="1570"/>
      <c r="AD834" s="1570"/>
      <c r="AE834" s="1570"/>
      <c r="AF834" s="1570"/>
      <c r="AG834" s="1570"/>
      <c r="AH834" s="1570"/>
    </row>
    <row r="835" spans="1:36" hidden="1">
      <c r="A835" s="1600" t="s">
        <v>429</v>
      </c>
      <c r="B835" s="1599"/>
      <c r="C835" s="1660"/>
      <c r="D835" s="1574"/>
      <c r="E835" s="1574"/>
      <c r="F835" s="1660"/>
      <c r="G835" s="1574"/>
      <c r="H835" s="1574"/>
      <c r="I835" s="1660"/>
      <c r="J835" s="1574"/>
      <c r="K835" s="1574"/>
      <c r="M835" s="1570"/>
      <c r="N835" s="1570"/>
      <c r="O835" s="1571"/>
      <c r="P835" s="1571"/>
      <c r="Q835" s="1571"/>
      <c r="R835" s="1570"/>
      <c r="S835" s="1570"/>
      <c r="T835" s="1570"/>
      <c r="U835" s="1570"/>
      <c r="V835" s="1570"/>
      <c r="W835" s="1570"/>
      <c r="X835" s="1570"/>
      <c r="Y835" s="1570"/>
      <c r="Z835" s="1570"/>
      <c r="AA835" s="1570"/>
      <c r="AB835" s="1570"/>
      <c r="AC835" s="1570"/>
      <c r="AD835" s="1570"/>
      <c r="AE835" s="1570"/>
      <c r="AF835" s="1570"/>
      <c r="AG835" s="1570"/>
      <c r="AH835" s="1570"/>
    </row>
    <row r="836" spans="1:36" hidden="1">
      <c r="A836" s="1600" t="s">
        <v>467</v>
      </c>
      <c r="B836" s="1599">
        <f>422494+3044200+1934893</f>
        <v>5401587</v>
      </c>
      <c r="C836" s="1722">
        <v>5.6469999999999994</v>
      </c>
      <c r="D836" s="1574" t="s">
        <v>377</v>
      </c>
      <c r="E836" s="1574">
        <f>ROUND(C836/100*$B836,0)</f>
        <v>305028</v>
      </c>
      <c r="F836" s="1722">
        <v>6.4390000000000001</v>
      </c>
      <c r="G836" s="1574" t="s">
        <v>377</v>
      </c>
      <c r="H836" s="1574">
        <f>ROUND(F836/100*B836,0)</f>
        <v>347808</v>
      </c>
      <c r="I836" s="1722">
        <f>$I$729</f>
        <v>6.5950000000000006</v>
      </c>
      <c r="J836" s="1574" t="s">
        <v>377</v>
      </c>
      <c r="K836" s="1574">
        <f>ROUND(I836/100*$B836,0)</f>
        <v>356235</v>
      </c>
      <c r="M836" s="1570"/>
      <c r="N836" s="1570"/>
      <c r="O836" s="1571"/>
      <c r="P836" s="1571"/>
      <c r="Q836" s="1571"/>
      <c r="R836" s="1570"/>
      <c r="S836" s="1570"/>
      <c r="T836" s="1570"/>
      <c r="U836" s="1570"/>
      <c r="V836" s="1570"/>
      <c r="W836" s="1570"/>
      <c r="X836" s="1570"/>
      <c r="Y836" s="1570"/>
      <c r="Z836" s="1570"/>
      <c r="AA836" s="1570"/>
      <c r="AB836" s="1570"/>
      <c r="AC836" s="1570"/>
      <c r="AD836" s="1570"/>
      <c r="AE836" s="1570"/>
      <c r="AF836" s="1570"/>
      <c r="AG836" s="1570"/>
      <c r="AH836" s="1570"/>
    </row>
    <row r="837" spans="1:36" hidden="1">
      <c r="A837" s="1600" t="s">
        <v>403</v>
      </c>
      <c r="B837" s="1599">
        <f>643+730</f>
        <v>1373</v>
      </c>
      <c r="C837" s="1661">
        <v>50</v>
      </c>
      <c r="D837" s="1600" t="s">
        <v>377</v>
      </c>
      <c r="E837" s="1574">
        <f>ROUND(C837*$B837/100,0)</f>
        <v>687</v>
      </c>
      <c r="F837" s="1661">
        <v>56</v>
      </c>
      <c r="G837" s="1600" t="s">
        <v>377</v>
      </c>
      <c r="H837" s="1574">
        <f>ROUND(F837*B837/100,0)</f>
        <v>769</v>
      </c>
      <c r="I837" s="1661">
        <f>$I$730</f>
        <v>58</v>
      </c>
      <c r="J837" s="1600" t="s">
        <v>377</v>
      </c>
      <c r="K837" s="1574">
        <f>ROUND(I837*$B837/100,0)</f>
        <v>796</v>
      </c>
      <c r="M837" s="1570"/>
      <c r="N837" s="1570"/>
      <c r="O837" s="1571"/>
      <c r="P837" s="1571"/>
      <c r="Q837" s="1571"/>
      <c r="R837" s="1570"/>
      <c r="S837" s="1570"/>
      <c r="T837" s="1570"/>
      <c r="U837" s="1570"/>
      <c r="V837" s="1570"/>
      <c r="W837" s="1570"/>
      <c r="X837" s="1570"/>
      <c r="Y837" s="1570"/>
      <c r="Z837" s="1570"/>
      <c r="AA837" s="1570"/>
      <c r="AB837" s="1570"/>
      <c r="AC837" s="1570"/>
      <c r="AD837" s="1570"/>
      <c r="AE837" s="1570"/>
      <c r="AF837" s="1570"/>
      <c r="AG837" s="1570"/>
      <c r="AH837" s="1570"/>
    </row>
    <row r="838" spans="1:36" hidden="1">
      <c r="A838" s="1569" t="s">
        <v>938</v>
      </c>
      <c r="B838" s="1575">
        <f>B836</f>
        <v>5401587</v>
      </c>
      <c r="C838" s="1584"/>
      <c r="D838" s="1570"/>
      <c r="E838" s="1577"/>
      <c r="F838" s="1584"/>
      <c r="G838" s="1570"/>
      <c r="H838" s="1577"/>
      <c r="I838" s="1722">
        <f>I731</f>
        <v>0</v>
      </c>
      <c r="J838" s="1574" t="s">
        <v>377</v>
      </c>
      <c r="K838" s="1574">
        <f>ROUND(I838*$B838/100,0)</f>
        <v>0</v>
      </c>
      <c r="M838" s="1578"/>
      <c r="O838" s="1579"/>
      <c r="P838" s="1569"/>
      <c r="Q838" s="1569"/>
      <c r="R838" s="1580"/>
      <c r="S838" s="1580"/>
      <c r="X838" s="1570"/>
      <c r="Y838" s="1570"/>
      <c r="Z838" s="1570"/>
      <c r="AA838" s="1570"/>
      <c r="AB838" s="1570"/>
      <c r="AC838" s="1570"/>
      <c r="AD838" s="1570"/>
      <c r="AE838" s="1570"/>
      <c r="AF838" s="1570"/>
      <c r="AG838" s="1570"/>
      <c r="AH838" s="1570"/>
      <c r="AJ838" s="1578"/>
    </row>
    <row r="839" spans="1:36" hidden="1">
      <c r="A839" s="253" t="s">
        <v>404</v>
      </c>
      <c r="B839" s="1599"/>
      <c r="C839" s="1655">
        <v>-0.01</v>
      </c>
      <c r="D839" s="1577"/>
      <c r="E839" s="1574"/>
      <c r="F839" s="1655">
        <v>-0.01</v>
      </c>
      <c r="G839" s="1585"/>
      <c r="H839" s="1574"/>
      <c r="I839" s="1655">
        <v>-0.01</v>
      </c>
      <c r="J839" s="1585"/>
      <c r="K839" s="1574"/>
      <c r="M839" s="1570"/>
      <c r="N839" s="1570"/>
      <c r="O839" s="1571"/>
      <c r="P839" s="1571"/>
      <c r="Q839" s="1571"/>
      <c r="R839" s="1570"/>
      <c r="S839" s="1570"/>
      <c r="T839" s="1570"/>
      <c r="U839" s="1570"/>
      <c r="V839" s="1570"/>
      <c r="W839" s="1570"/>
      <c r="X839" s="1570"/>
      <c r="Y839" s="1570"/>
      <c r="Z839" s="1570"/>
      <c r="AA839" s="1570"/>
      <c r="AB839" s="1570"/>
      <c r="AC839" s="1570"/>
      <c r="AD839" s="1570"/>
      <c r="AE839" s="1570"/>
      <c r="AF839" s="1570"/>
      <c r="AG839" s="1570"/>
      <c r="AH839" s="1570"/>
    </row>
    <row r="840" spans="1:36" hidden="1">
      <c r="A840" s="1600" t="s">
        <v>393</v>
      </c>
      <c r="B840" s="1599">
        <v>0</v>
      </c>
      <c r="C840" s="1710">
        <v>0</v>
      </c>
      <c r="D840" s="1641"/>
      <c r="E840" s="1574">
        <f>ROUND(C840*$B840*$C$733,0)</f>
        <v>0</v>
      </c>
      <c r="F840" s="1710">
        <v>0</v>
      </c>
      <c r="G840" s="1641"/>
      <c r="H840" s="1574">
        <f>ROUND(F840*B840,0)</f>
        <v>0</v>
      </c>
      <c r="I840" s="1710">
        <f>I816</f>
        <v>0</v>
      </c>
      <c r="J840" s="1641"/>
      <c r="K840" s="1574">
        <f>ROUND(I840*$B840*$C$733,0)</f>
        <v>0</v>
      </c>
      <c r="M840" s="1570"/>
      <c r="N840" s="1570"/>
      <c r="O840" s="1571"/>
      <c r="P840" s="1571"/>
      <c r="Q840" s="1571"/>
      <c r="R840" s="1570"/>
      <c r="S840" s="1570"/>
      <c r="T840" s="1570"/>
      <c r="U840" s="1570"/>
      <c r="V840" s="1570"/>
      <c r="W840" s="1570"/>
      <c r="X840" s="1570"/>
      <c r="Y840" s="1570"/>
      <c r="Z840" s="1570"/>
      <c r="AA840" s="1570"/>
      <c r="AB840" s="1570"/>
      <c r="AC840" s="1570"/>
      <c r="AD840" s="1570"/>
      <c r="AE840" s="1570"/>
      <c r="AF840" s="1570"/>
      <c r="AG840" s="1570"/>
      <c r="AH840" s="1570"/>
    </row>
    <row r="841" spans="1:36" hidden="1">
      <c r="A841" s="1600" t="s">
        <v>394</v>
      </c>
      <c r="B841" s="1599"/>
      <c r="C841" s="1710"/>
      <c r="D841" s="1641"/>
      <c r="E841" s="1574"/>
      <c r="F841" s="1710"/>
      <c r="G841" s="1641"/>
      <c r="H841" s="1574"/>
      <c r="I841" s="1710"/>
      <c r="J841" s="1641"/>
      <c r="K841" s="1574"/>
      <c r="M841" s="1570"/>
      <c r="N841" s="1570"/>
      <c r="O841" s="1571"/>
      <c r="P841" s="1571"/>
      <c r="Q841" s="1571"/>
      <c r="R841" s="1570"/>
      <c r="S841" s="1570"/>
      <c r="T841" s="1570"/>
      <c r="U841" s="1570"/>
      <c r="V841" s="1570"/>
      <c r="W841" s="1570"/>
      <c r="X841" s="1570"/>
      <c r="Y841" s="1570"/>
      <c r="Z841" s="1570"/>
      <c r="AA841" s="1570"/>
      <c r="AB841" s="1570"/>
      <c r="AC841" s="1570"/>
      <c r="AD841" s="1570"/>
      <c r="AE841" s="1570"/>
      <c r="AF841" s="1570"/>
      <c r="AG841" s="1570"/>
      <c r="AH841" s="1570"/>
    </row>
    <row r="842" spans="1:36" hidden="1">
      <c r="A842" s="1600" t="s">
        <v>455</v>
      </c>
      <c r="B842" s="1599">
        <v>0</v>
      </c>
      <c r="C842" s="1710">
        <v>0</v>
      </c>
      <c r="D842" s="1641"/>
      <c r="E842" s="1574">
        <f>ROUND(C842*$B842*$C$733,0)</f>
        <v>0</v>
      </c>
      <c r="F842" s="1710">
        <v>0</v>
      </c>
      <c r="G842" s="1641"/>
      <c r="H842" s="1574">
        <f t="shared" ref="H842:H845" si="140">ROUND(F842*B842,0)</f>
        <v>0</v>
      </c>
      <c r="I842" s="1710">
        <f>I818</f>
        <v>0</v>
      </c>
      <c r="J842" s="1641"/>
      <c r="K842" s="1574">
        <f>ROUND(I842*$B842*$C$733,0)</f>
        <v>0</v>
      </c>
      <c r="M842" s="1570"/>
      <c r="N842" s="1570"/>
      <c r="O842" s="1571"/>
      <c r="P842" s="1571"/>
      <c r="Q842" s="1571"/>
      <c r="R842" s="1570"/>
      <c r="S842" s="1570"/>
      <c r="T842" s="1570"/>
      <c r="U842" s="1570"/>
      <c r="V842" s="1570"/>
      <c r="W842" s="1570"/>
      <c r="X842" s="1570"/>
      <c r="Y842" s="1570"/>
      <c r="Z842" s="1570"/>
      <c r="AA842" s="1570"/>
      <c r="AB842" s="1570"/>
      <c r="AC842" s="1570"/>
      <c r="AD842" s="1570"/>
      <c r="AE842" s="1570"/>
      <c r="AF842" s="1570"/>
      <c r="AG842" s="1570"/>
      <c r="AH842" s="1570"/>
    </row>
    <row r="843" spans="1:36" hidden="1">
      <c r="A843" s="1600" t="s">
        <v>456</v>
      </c>
      <c r="B843" s="1599">
        <v>0</v>
      </c>
      <c r="C843" s="1710">
        <v>312</v>
      </c>
      <c r="D843" s="1641"/>
      <c r="E843" s="1574">
        <f>ROUND(C843*$B843*$C$733,0)</f>
        <v>0</v>
      </c>
      <c r="F843" s="1710">
        <v>357</v>
      </c>
      <c r="G843" s="1641"/>
      <c r="H843" s="1574">
        <f t="shared" si="140"/>
        <v>0</v>
      </c>
      <c r="I843" s="1710">
        <f>I819</f>
        <v>366</v>
      </c>
      <c r="J843" s="1641"/>
      <c r="K843" s="1574">
        <f>ROUND(I843*$B843*$C$733,0)</f>
        <v>0</v>
      </c>
      <c r="M843" s="1570"/>
      <c r="N843" s="1570"/>
      <c r="O843" s="1571"/>
      <c r="P843" s="1571"/>
      <c r="Q843" s="1571"/>
      <c r="R843" s="1570"/>
      <c r="S843" s="1570"/>
      <c r="T843" s="1570"/>
      <c r="U843" s="1570"/>
      <c r="V843" s="1570"/>
      <c r="W843" s="1570"/>
      <c r="X843" s="1570"/>
      <c r="Y843" s="1570"/>
      <c r="Z843" s="1570"/>
      <c r="AA843" s="1570"/>
      <c r="AB843" s="1570"/>
      <c r="AC843" s="1570"/>
      <c r="AD843" s="1570"/>
      <c r="AE843" s="1570"/>
      <c r="AF843" s="1570"/>
      <c r="AG843" s="1570"/>
      <c r="AH843" s="1570"/>
    </row>
    <row r="844" spans="1:36" hidden="1">
      <c r="A844" s="1600" t="s">
        <v>457</v>
      </c>
      <c r="B844" s="1599">
        <v>0</v>
      </c>
      <c r="C844" s="1710">
        <v>1268</v>
      </c>
      <c r="D844" s="1641"/>
      <c r="E844" s="1574">
        <f>ROUND(C844*$B844*$C$733,0)</f>
        <v>0</v>
      </c>
      <c r="F844" s="1710">
        <v>1457</v>
      </c>
      <c r="G844" s="1641"/>
      <c r="H844" s="1574">
        <f t="shared" si="140"/>
        <v>0</v>
      </c>
      <c r="I844" s="1710">
        <f>I820</f>
        <v>1493</v>
      </c>
      <c r="J844" s="1641"/>
      <c r="K844" s="1574">
        <f>ROUND(I844*$B844*$C$733,0)</f>
        <v>0</v>
      </c>
      <c r="M844" s="1570"/>
      <c r="N844" s="1570"/>
      <c r="O844" s="1571"/>
      <c r="P844" s="1571"/>
      <c r="Q844" s="1571"/>
      <c r="R844" s="1570"/>
      <c r="S844" s="1570"/>
      <c r="T844" s="1570"/>
      <c r="U844" s="1570"/>
      <c r="V844" s="1570"/>
      <c r="W844" s="1570"/>
      <c r="X844" s="1570"/>
      <c r="Y844" s="1570"/>
      <c r="Z844" s="1570"/>
      <c r="AA844" s="1570"/>
      <c r="AB844" s="1570"/>
      <c r="AC844" s="1570"/>
      <c r="AD844" s="1570"/>
      <c r="AE844" s="1570"/>
      <c r="AF844" s="1570"/>
      <c r="AG844" s="1570"/>
      <c r="AH844" s="1570"/>
    </row>
    <row r="845" spans="1:36" hidden="1">
      <c r="A845" s="1600" t="s">
        <v>393</v>
      </c>
      <c r="B845" s="1599">
        <v>0</v>
      </c>
      <c r="C845" s="1710">
        <v>20.86</v>
      </c>
      <c r="D845" s="1641"/>
      <c r="E845" s="1574">
        <f>ROUND(C845*$B845*$C$733,0)</f>
        <v>0</v>
      </c>
      <c r="F845" s="1710">
        <v>23.87</v>
      </c>
      <c r="G845" s="1641"/>
      <c r="H845" s="1574">
        <f t="shared" si="140"/>
        <v>0</v>
      </c>
      <c r="I845" s="1710">
        <f>I825</f>
        <v>24.450000000000003</v>
      </c>
      <c r="J845" s="1641"/>
      <c r="K845" s="1574">
        <f>ROUND(I845*$B845*$C$733,0)</f>
        <v>0</v>
      </c>
      <c r="M845" s="1570"/>
      <c r="N845" s="1570"/>
      <c r="O845" s="1571"/>
      <c r="P845" s="1571"/>
      <c r="Q845" s="1571"/>
      <c r="R845" s="1570"/>
      <c r="S845" s="1570"/>
      <c r="T845" s="1570"/>
      <c r="U845" s="1570"/>
      <c r="V845" s="1570"/>
      <c r="W845" s="1570"/>
      <c r="X845" s="1570"/>
      <c r="Y845" s="1570"/>
      <c r="Z845" s="1570"/>
      <c r="AA845" s="1570"/>
      <c r="AB845" s="1570"/>
      <c r="AC845" s="1570"/>
      <c r="AD845" s="1570"/>
      <c r="AE845" s="1570"/>
      <c r="AF845" s="1570"/>
      <c r="AG845" s="1570"/>
      <c r="AH845" s="1570"/>
    </row>
    <row r="846" spans="1:36" hidden="1">
      <c r="A846" s="1600" t="s">
        <v>394</v>
      </c>
      <c r="B846" s="1599"/>
      <c r="C846" s="1710"/>
      <c r="D846" s="1641"/>
      <c r="E846" s="1574"/>
      <c r="F846" s="1710"/>
      <c r="G846" s="1641"/>
      <c r="H846" s="1574"/>
      <c r="I846" s="1710"/>
      <c r="J846" s="1641"/>
      <c r="K846" s="1574"/>
      <c r="M846" s="1570"/>
      <c r="N846" s="1570"/>
      <c r="O846" s="1571"/>
      <c r="P846" s="1571"/>
      <c r="Q846" s="1571"/>
      <c r="R846" s="1570"/>
      <c r="S846" s="1570"/>
      <c r="T846" s="1570"/>
      <c r="U846" s="1570"/>
      <c r="V846" s="1570"/>
      <c r="W846" s="1570"/>
      <c r="X846" s="1570"/>
      <c r="Y846" s="1570"/>
      <c r="Z846" s="1570"/>
      <c r="AA846" s="1570"/>
      <c r="AB846" s="1570"/>
      <c r="AC846" s="1570"/>
      <c r="AD846" s="1570"/>
      <c r="AE846" s="1570"/>
      <c r="AF846" s="1570"/>
      <c r="AG846" s="1570"/>
      <c r="AH846" s="1570"/>
    </row>
    <row r="847" spans="1:36" hidden="1">
      <c r="A847" s="1600" t="s">
        <v>455</v>
      </c>
      <c r="B847" s="1599">
        <v>39</v>
      </c>
      <c r="C847" s="1710">
        <v>20.860000000000003</v>
      </c>
      <c r="D847" s="1641"/>
      <c r="E847" s="1574">
        <f>ROUND(C847*$B847*$C$733,0)</f>
        <v>-8</v>
      </c>
      <c r="F847" s="1710">
        <v>23.79</v>
      </c>
      <c r="G847" s="1641"/>
      <c r="H847" s="1574">
        <f>ROUND(F847*$B847*$F$733,0)</f>
        <v>-9</v>
      </c>
      <c r="I847" s="1710">
        <f>I827</f>
        <v>24.45</v>
      </c>
      <c r="J847" s="1641"/>
      <c r="K847" s="1574">
        <f>ROUND(I847*$B847*$C$733,0)</f>
        <v>-10</v>
      </c>
      <c r="M847" s="1570"/>
      <c r="N847" s="1570"/>
      <c r="O847" s="1571"/>
      <c r="P847" s="1571"/>
      <c r="Q847" s="1571"/>
      <c r="R847" s="1570"/>
      <c r="S847" s="1570"/>
      <c r="T847" s="1570"/>
      <c r="U847" s="1570"/>
      <c r="V847" s="1570"/>
      <c r="W847" s="1570"/>
      <c r="X847" s="1570"/>
      <c r="Y847" s="1570"/>
      <c r="Z847" s="1570"/>
      <c r="AA847" s="1570"/>
      <c r="AB847" s="1570"/>
      <c r="AC847" s="1570"/>
      <c r="AD847" s="1570"/>
      <c r="AE847" s="1570"/>
      <c r="AF847" s="1570"/>
      <c r="AG847" s="1570"/>
      <c r="AH847" s="1570"/>
    </row>
    <row r="848" spans="1:36" hidden="1">
      <c r="A848" s="1600" t="s">
        <v>456</v>
      </c>
      <c r="B848" s="1599">
        <v>0</v>
      </c>
      <c r="C848" s="1710">
        <v>14.53</v>
      </c>
      <c r="D848" s="1641"/>
      <c r="E848" s="1574">
        <f>ROUND(C848*$B848*$C$733,0)</f>
        <v>0</v>
      </c>
      <c r="F848" s="1710">
        <v>16.559999999999999</v>
      </c>
      <c r="G848" s="1641"/>
      <c r="H848" s="1574">
        <f t="shared" ref="H848:H851" si="141">ROUND(F848*$B848*$F$733,0)</f>
        <v>0</v>
      </c>
      <c r="I848" s="1710">
        <f>I828</f>
        <v>16.96</v>
      </c>
      <c r="J848" s="1641"/>
      <c r="K848" s="1574">
        <f>ROUND(I848*$B848*$C$733,0)</f>
        <v>0</v>
      </c>
      <c r="M848" s="1570"/>
      <c r="N848" s="1570"/>
      <c r="O848" s="1571"/>
      <c r="P848" s="1571"/>
      <c r="Q848" s="1571"/>
      <c r="R848" s="1570"/>
      <c r="S848" s="1570"/>
      <c r="T848" s="1570"/>
      <c r="U848" s="1570"/>
      <c r="V848" s="1570"/>
      <c r="W848" s="1570"/>
      <c r="X848" s="1570"/>
      <c r="Y848" s="1570"/>
      <c r="Z848" s="1570"/>
      <c r="AA848" s="1570"/>
      <c r="AB848" s="1570"/>
      <c r="AC848" s="1570"/>
      <c r="AD848" s="1570"/>
      <c r="AE848" s="1570"/>
      <c r="AF848" s="1570"/>
      <c r="AG848" s="1570"/>
      <c r="AH848" s="1570"/>
    </row>
    <row r="849" spans="1:36" hidden="1">
      <c r="A849" s="1600" t="s">
        <v>457</v>
      </c>
      <c r="B849" s="1599">
        <v>0</v>
      </c>
      <c r="C849" s="1710">
        <v>11.340000000000002</v>
      </c>
      <c r="D849" s="1641"/>
      <c r="E849" s="1574">
        <f>ROUND(C849*$B849*$C$733,0)</f>
        <v>0</v>
      </c>
      <c r="F849" s="1710">
        <v>12.96</v>
      </c>
      <c r="G849" s="1641"/>
      <c r="H849" s="1574">
        <f t="shared" si="141"/>
        <v>0</v>
      </c>
      <c r="I849" s="1710">
        <f>I829</f>
        <v>13.28</v>
      </c>
      <c r="J849" s="1641"/>
      <c r="K849" s="1574">
        <f>ROUND(I849*$B849*$C$733,0)</f>
        <v>0</v>
      </c>
      <c r="M849" s="1570"/>
      <c r="N849" s="1570"/>
      <c r="O849" s="1571"/>
      <c r="P849" s="1571"/>
      <c r="Q849" s="1571"/>
      <c r="R849" s="1570"/>
      <c r="S849" s="1570"/>
      <c r="T849" s="1570"/>
      <c r="U849" s="1570"/>
      <c r="V849" s="1570"/>
      <c r="W849" s="1570"/>
      <c r="X849" s="1570"/>
      <c r="Y849" s="1570"/>
      <c r="Z849" s="1570"/>
      <c r="AA849" s="1570"/>
      <c r="AB849" s="1570"/>
      <c r="AC849" s="1570"/>
      <c r="AD849" s="1570"/>
      <c r="AE849" s="1570"/>
      <c r="AF849" s="1570"/>
      <c r="AG849" s="1570"/>
      <c r="AH849" s="1570"/>
    </row>
    <row r="850" spans="1:36" hidden="1">
      <c r="A850" s="1600" t="s">
        <v>468</v>
      </c>
      <c r="B850" s="1599">
        <v>0</v>
      </c>
      <c r="C850" s="1657">
        <v>62.58</v>
      </c>
      <c r="D850" s="1641"/>
      <c r="E850" s="1574">
        <f>ROUND(C850*$B850*$C$733,0)</f>
        <v>0</v>
      </c>
      <c r="F850" s="1657">
        <v>71.61</v>
      </c>
      <c r="G850" s="1641"/>
      <c r="H850" s="1574">
        <f t="shared" si="141"/>
        <v>0</v>
      </c>
      <c r="I850" s="1657">
        <f>I830</f>
        <v>73.350000000000009</v>
      </c>
      <c r="J850" s="1641"/>
      <c r="K850" s="1574">
        <f>ROUND(I850*$B850*$C$733,0)</f>
        <v>0</v>
      </c>
      <c r="M850" s="1570"/>
      <c r="N850" s="1570"/>
      <c r="O850" s="1571"/>
      <c r="P850" s="1571"/>
      <c r="Q850" s="1571"/>
      <c r="R850" s="1570"/>
      <c r="S850" s="1570"/>
      <c r="T850" s="1570"/>
      <c r="U850" s="1570"/>
      <c r="V850" s="1570"/>
      <c r="W850" s="1570"/>
      <c r="X850" s="1570"/>
      <c r="Y850" s="1570"/>
      <c r="Z850" s="1570"/>
      <c r="AA850" s="1570"/>
      <c r="AB850" s="1570"/>
      <c r="AC850" s="1570"/>
      <c r="AD850" s="1570"/>
      <c r="AE850" s="1570"/>
      <c r="AF850" s="1570"/>
      <c r="AG850" s="1570"/>
      <c r="AH850" s="1570"/>
    </row>
    <row r="851" spans="1:36" hidden="1">
      <c r="A851" s="1600" t="s">
        <v>469</v>
      </c>
      <c r="B851" s="1599">
        <v>0</v>
      </c>
      <c r="C851" s="1657">
        <v>125.16000000000003</v>
      </c>
      <c r="D851" s="1641"/>
      <c r="E851" s="1574">
        <f>ROUND(C851*$B851*$C$733,0)</f>
        <v>0</v>
      </c>
      <c r="F851" s="1657">
        <v>142.74</v>
      </c>
      <c r="G851" s="1641"/>
      <c r="H851" s="1574">
        <f t="shared" si="141"/>
        <v>0</v>
      </c>
      <c r="I851" s="1657">
        <f>I831</f>
        <v>146.69999999999999</v>
      </c>
      <c r="J851" s="1641"/>
      <c r="K851" s="1574">
        <f>ROUND(I851*$B851*$C$733,0)</f>
        <v>0</v>
      </c>
      <c r="M851" s="1570"/>
      <c r="N851" s="1570"/>
      <c r="O851" s="1571"/>
      <c r="P851" s="1571"/>
      <c r="Q851" s="1571"/>
      <c r="R851" s="1570"/>
      <c r="S851" s="1570"/>
      <c r="T851" s="1570"/>
      <c r="U851" s="1570"/>
      <c r="V851" s="1570"/>
      <c r="W851" s="1570"/>
      <c r="X851" s="1570"/>
      <c r="Y851" s="1570"/>
      <c r="Z851" s="1570"/>
      <c r="AA851" s="1570"/>
      <c r="AB851" s="1570"/>
      <c r="AC851" s="1570"/>
      <c r="AD851" s="1570"/>
      <c r="AE851" s="1570"/>
      <c r="AF851" s="1570"/>
      <c r="AG851" s="1570"/>
      <c r="AH851" s="1570"/>
    </row>
    <row r="852" spans="1:36" hidden="1">
      <c r="A852" s="1600" t="s">
        <v>465</v>
      </c>
      <c r="B852" s="1599"/>
      <c r="C852" s="1660"/>
      <c r="D852" s="1641"/>
      <c r="E852" s="1574"/>
      <c r="F852" s="1660"/>
      <c r="G852" s="1641"/>
      <c r="H852" s="1574"/>
      <c r="I852" s="1660"/>
      <c r="J852" s="1641"/>
      <c r="K852" s="1574"/>
      <c r="M852" s="1570"/>
      <c r="N852" s="1570"/>
      <c r="O852" s="1571"/>
      <c r="P852" s="1571"/>
      <c r="Q852" s="1571"/>
      <c r="R852" s="1570"/>
      <c r="S852" s="1570"/>
      <c r="T852" s="1570"/>
      <c r="U852" s="1570"/>
      <c r="V852" s="1570"/>
      <c r="W852" s="1570"/>
      <c r="X852" s="1570"/>
      <c r="Y852" s="1570"/>
      <c r="Z852" s="1570"/>
      <c r="AA852" s="1570"/>
      <c r="AB852" s="1570"/>
      <c r="AC852" s="1570"/>
      <c r="AD852" s="1570"/>
      <c r="AE852" s="1570"/>
      <c r="AF852" s="1570"/>
      <c r="AG852" s="1570"/>
      <c r="AH852" s="1570"/>
    </row>
    <row r="853" spans="1:36" hidden="1">
      <c r="A853" s="1600" t="s">
        <v>460</v>
      </c>
      <c r="B853" s="1599">
        <v>0</v>
      </c>
      <c r="C853" s="1657">
        <v>-20.86</v>
      </c>
      <c r="D853" s="1641"/>
      <c r="E853" s="1574">
        <f>ROUND(C853*$B853*$C$733,0)</f>
        <v>0</v>
      </c>
      <c r="F853" s="1657">
        <v>-23.87</v>
      </c>
      <c r="G853" s="1641"/>
      <c r="H853" s="1574">
        <f t="shared" ref="H853:H854" si="142">ROUND(F853*$B853*$F$733,0)</f>
        <v>0</v>
      </c>
      <c r="I853" s="1657">
        <f>I833</f>
        <v>-24.450000000000003</v>
      </c>
      <c r="J853" s="1641"/>
      <c r="K853" s="1574">
        <f>ROUND(I853*$B853*$C$733,0)</f>
        <v>0</v>
      </c>
      <c r="M853" s="1570"/>
      <c r="N853" s="1570"/>
      <c r="O853" s="1571"/>
      <c r="P853" s="1571"/>
      <c r="Q853" s="1571"/>
      <c r="R853" s="1570"/>
      <c r="S853" s="1570"/>
      <c r="T853" s="1570"/>
      <c r="U853" s="1570"/>
      <c r="V853" s="1570"/>
      <c r="W853" s="1570"/>
      <c r="X853" s="1570"/>
      <c r="Y853" s="1570"/>
      <c r="Z853" s="1570"/>
      <c r="AA853" s="1570"/>
      <c r="AB853" s="1570"/>
      <c r="AC853" s="1570"/>
      <c r="AD853" s="1570"/>
      <c r="AE853" s="1570"/>
      <c r="AF853" s="1570"/>
      <c r="AG853" s="1570"/>
      <c r="AH853" s="1570"/>
    </row>
    <row r="854" spans="1:36" hidden="1">
      <c r="A854" s="1600" t="s">
        <v>466</v>
      </c>
      <c r="B854" s="1599">
        <v>0</v>
      </c>
      <c r="C854" s="1657">
        <v>-20.860000000000003</v>
      </c>
      <c r="D854" s="1641"/>
      <c r="E854" s="1574">
        <f>ROUND(C854*$B854*$C$733,0)</f>
        <v>0</v>
      </c>
      <c r="F854" s="1657">
        <v>-23.79</v>
      </c>
      <c r="G854" s="1641"/>
      <c r="H854" s="1574">
        <f t="shared" si="142"/>
        <v>0</v>
      </c>
      <c r="I854" s="1657">
        <f>I834</f>
        <v>-24.45</v>
      </c>
      <c r="J854" s="1641"/>
      <c r="K854" s="1574">
        <f>ROUND(I854*$B854*$C$733,0)</f>
        <v>0</v>
      </c>
      <c r="M854" s="1570"/>
      <c r="N854" s="1570"/>
      <c r="O854" s="1571"/>
      <c r="P854" s="1571"/>
      <c r="Q854" s="1571"/>
      <c r="R854" s="1570"/>
      <c r="S854" s="1570"/>
      <c r="T854" s="1570"/>
      <c r="U854" s="1570"/>
      <c r="V854" s="1570"/>
      <c r="W854" s="1570"/>
      <c r="X854" s="1570"/>
      <c r="Y854" s="1570"/>
      <c r="Z854" s="1570"/>
      <c r="AA854" s="1570"/>
      <c r="AB854" s="1570"/>
      <c r="AC854" s="1570"/>
      <c r="AD854" s="1570"/>
      <c r="AE854" s="1570"/>
      <c r="AF854" s="1570"/>
      <c r="AG854" s="1570"/>
      <c r="AH854" s="1570"/>
    </row>
    <row r="855" spans="1:36" hidden="1">
      <c r="A855" s="1600" t="s">
        <v>429</v>
      </c>
      <c r="B855" s="1599"/>
      <c r="C855" s="1710"/>
      <c r="D855" s="1574"/>
      <c r="E855" s="1574"/>
      <c r="F855" s="1710"/>
      <c r="G855" s="1574"/>
      <c r="H855" s="1574"/>
      <c r="I855" s="1710"/>
      <c r="J855" s="1574"/>
      <c r="K855" s="1574"/>
      <c r="M855" s="1570"/>
      <c r="N855" s="1570"/>
      <c r="O855" s="1571"/>
      <c r="P855" s="1571"/>
      <c r="Q855" s="1571"/>
      <c r="R855" s="1570"/>
      <c r="S855" s="1570"/>
      <c r="T855" s="1570"/>
      <c r="U855" s="1570"/>
      <c r="V855" s="1570"/>
      <c r="W855" s="1570"/>
      <c r="X855" s="1570"/>
      <c r="Y855" s="1570"/>
      <c r="Z855" s="1570"/>
      <c r="AA855" s="1570"/>
      <c r="AB855" s="1570"/>
      <c r="AC855" s="1570"/>
      <c r="AD855" s="1570"/>
      <c r="AE855" s="1570"/>
      <c r="AF855" s="1570"/>
      <c r="AG855" s="1570"/>
      <c r="AH855" s="1570"/>
    </row>
    <row r="856" spans="1:36" hidden="1">
      <c r="A856" s="1600" t="s">
        <v>467</v>
      </c>
      <c r="B856" s="1599">
        <v>0</v>
      </c>
      <c r="C856" s="1718">
        <v>5.6469999999999994</v>
      </c>
      <c r="D856" s="1574" t="s">
        <v>377</v>
      </c>
      <c r="E856" s="1574">
        <f>ROUND(C856/100*$B856*$C$733,0)</f>
        <v>0</v>
      </c>
      <c r="F856" s="1718">
        <v>6.4390000000000001</v>
      </c>
      <c r="G856" s="1574" t="s">
        <v>377</v>
      </c>
      <c r="H856" s="1574">
        <f>ROUND(F856/100*B856*$F$733,0)</f>
        <v>0</v>
      </c>
      <c r="I856" s="1718">
        <f>I836</f>
        <v>6.5950000000000006</v>
      </c>
      <c r="J856" s="1574" t="s">
        <v>377</v>
      </c>
      <c r="K856" s="1574">
        <f>ROUND(I856/100*$B856*$C$733,0)</f>
        <v>0</v>
      </c>
      <c r="M856" s="1570"/>
      <c r="N856" s="1570"/>
      <c r="O856" s="1571"/>
      <c r="P856" s="1571"/>
      <c r="Q856" s="1571"/>
      <c r="R856" s="1570"/>
      <c r="S856" s="1570"/>
      <c r="T856" s="1570"/>
      <c r="U856" s="1570"/>
      <c r="V856" s="1570"/>
      <c r="W856" s="1570"/>
      <c r="X856" s="1570"/>
      <c r="Y856" s="1570"/>
      <c r="Z856" s="1570"/>
      <c r="AA856" s="1570"/>
      <c r="AB856" s="1570"/>
      <c r="AC856" s="1570"/>
      <c r="AD856" s="1570"/>
      <c r="AE856" s="1570"/>
      <c r="AF856" s="1570"/>
      <c r="AG856" s="1570"/>
      <c r="AH856" s="1570"/>
    </row>
    <row r="857" spans="1:36" hidden="1">
      <c r="A857" s="1600" t="s">
        <v>403</v>
      </c>
      <c r="B857" s="1599">
        <v>0</v>
      </c>
      <c r="C857" s="1702">
        <v>50</v>
      </c>
      <c r="D857" s="1574" t="s">
        <v>377</v>
      </c>
      <c r="E857" s="1574">
        <f>ROUND(C857/100*$B857*$C$733,0)</f>
        <v>0</v>
      </c>
      <c r="F857" s="1702">
        <v>56</v>
      </c>
      <c r="G857" s="1600" t="s">
        <v>377</v>
      </c>
      <c r="H857" s="1574">
        <f>ROUND(F857/100*B857*$F$733,0)</f>
        <v>0</v>
      </c>
      <c r="I857" s="1702">
        <f>I837</f>
        <v>58</v>
      </c>
      <c r="J857" s="1600" t="s">
        <v>377</v>
      </c>
      <c r="K857" s="1574">
        <f>ROUND(I857/100*$B857*$C$733,0)</f>
        <v>0</v>
      </c>
      <c r="M857" s="1570"/>
      <c r="N857" s="1570"/>
      <c r="O857" s="1571"/>
      <c r="P857" s="1571"/>
      <c r="Q857" s="1571"/>
      <c r="R857" s="1570"/>
      <c r="S857" s="1570"/>
      <c r="T857" s="1570"/>
      <c r="U857" s="1570"/>
      <c r="V857" s="1570"/>
      <c r="W857" s="1570"/>
      <c r="X857" s="1570"/>
      <c r="Y857" s="1570"/>
      <c r="Z857" s="1570"/>
      <c r="AA857" s="1570"/>
      <c r="AB857" s="1570"/>
      <c r="AC857" s="1570"/>
      <c r="AD857" s="1570"/>
      <c r="AE857" s="1570"/>
      <c r="AF857" s="1570"/>
      <c r="AG857" s="1570"/>
      <c r="AH857" s="1570"/>
    </row>
    <row r="858" spans="1:36" hidden="1">
      <c r="A858" s="1600" t="s">
        <v>446</v>
      </c>
      <c r="B858" s="1599">
        <v>0</v>
      </c>
      <c r="C858" s="1614">
        <v>60</v>
      </c>
      <c r="D858" s="1693" t="s">
        <v>31</v>
      </c>
      <c r="E858" s="1574">
        <f>ROUND(C858*$B858,0)</f>
        <v>0</v>
      </c>
      <c r="F858" s="1614">
        <v>60</v>
      </c>
      <c r="G858" s="1585"/>
      <c r="H858" s="1574">
        <f>ROUND(F858*$B858,0)</f>
        <v>0</v>
      </c>
      <c r="I858" s="1614">
        <f>$I$752</f>
        <v>60</v>
      </c>
      <c r="J858" s="1585"/>
      <c r="K858" s="1574">
        <f>ROUND(I858*$B858,0)</f>
        <v>0</v>
      </c>
      <c r="M858" s="1570"/>
      <c r="N858" s="1570"/>
      <c r="O858" s="1571"/>
      <c r="P858" s="1571"/>
      <c r="Q858" s="1571"/>
      <c r="R858" s="1570"/>
      <c r="S858" s="1570"/>
      <c r="T858" s="1570"/>
      <c r="U858" s="1570"/>
      <c r="V858" s="1570"/>
      <c r="W858" s="1570"/>
      <c r="X858" s="1570"/>
      <c r="Y858" s="1570"/>
      <c r="Z858" s="1570"/>
      <c r="AA858" s="1570"/>
      <c r="AB858" s="1570"/>
      <c r="AC858" s="1570"/>
      <c r="AD858" s="1570"/>
      <c r="AE858" s="1570"/>
      <c r="AF858" s="1570"/>
      <c r="AG858" s="1570"/>
      <c r="AH858" s="1570"/>
    </row>
    <row r="859" spans="1:36" hidden="1">
      <c r="A859" s="1600" t="s">
        <v>447</v>
      </c>
      <c r="B859" s="1599">
        <v>0</v>
      </c>
      <c r="C859" s="1661">
        <v>-30</v>
      </c>
      <c r="D859" s="1574" t="s">
        <v>377</v>
      </c>
      <c r="E859" s="1574">
        <f>ROUND(C859*$B859/100,0)</f>
        <v>0</v>
      </c>
      <c r="F859" s="1661">
        <v>-30</v>
      </c>
      <c r="G859" s="1574" t="s">
        <v>377</v>
      </c>
      <c r="H859" s="1574">
        <f>ROUND(F859*$B859/100,0)</f>
        <v>0</v>
      </c>
      <c r="I859" s="1661">
        <f>$I$753</f>
        <v>-30</v>
      </c>
      <c r="J859" s="1574" t="s">
        <v>377</v>
      </c>
      <c r="K859" s="1574">
        <f>ROUND(I859*$B859/100,0)</f>
        <v>0</v>
      </c>
      <c r="M859" s="1570"/>
      <c r="N859" s="1570"/>
      <c r="O859" s="1571"/>
      <c r="P859" s="1571"/>
      <c r="Q859" s="1571"/>
      <c r="R859" s="1570"/>
      <c r="S859" s="1570"/>
      <c r="T859" s="1570"/>
      <c r="U859" s="1570"/>
      <c r="V859" s="1570"/>
      <c r="W859" s="1570"/>
      <c r="X859" s="1570"/>
      <c r="Y859" s="1570"/>
      <c r="Z859" s="1570"/>
      <c r="AA859" s="1570"/>
      <c r="AB859" s="1570"/>
      <c r="AC859" s="1570"/>
      <c r="AD859" s="1570"/>
      <c r="AE859" s="1570"/>
      <c r="AF859" s="1570"/>
      <c r="AG859" s="1570"/>
      <c r="AH859" s="1570"/>
    </row>
    <row r="860" spans="1:36" hidden="1">
      <c r="A860" s="1569" t="s">
        <v>938</v>
      </c>
      <c r="B860" s="1575">
        <f>B856</f>
        <v>0</v>
      </c>
      <c r="C860" s="1584"/>
      <c r="D860" s="1570"/>
      <c r="E860" s="1577"/>
      <c r="F860" s="1584"/>
      <c r="G860" s="1570"/>
      <c r="H860" s="1577"/>
      <c r="I860" s="1722">
        <f>I754</f>
        <v>0</v>
      </c>
      <c r="J860" s="1574" t="s">
        <v>377</v>
      </c>
      <c r="K860" s="1574">
        <f>ROUND(I860*$B860/100,0)</f>
        <v>0</v>
      </c>
      <c r="M860" s="1578"/>
      <c r="O860" s="1579"/>
      <c r="P860" s="1569"/>
      <c r="Q860" s="1569"/>
      <c r="R860" s="1580"/>
      <c r="S860" s="1580"/>
      <c r="X860" s="1570"/>
      <c r="Y860" s="1570"/>
      <c r="Z860" s="1570"/>
      <c r="AA860" s="1570"/>
      <c r="AB860" s="1570"/>
      <c r="AC860" s="1570"/>
      <c r="AD860" s="1570"/>
      <c r="AE860" s="1570"/>
      <c r="AF860" s="1570"/>
      <c r="AG860" s="1570"/>
      <c r="AH860" s="1570"/>
      <c r="AJ860" s="1578"/>
    </row>
    <row r="861" spans="1:36" hidden="1">
      <c r="A861" s="1585" t="s">
        <v>384</v>
      </c>
      <c r="B861" s="1599">
        <f>SUM(B836:B836)</f>
        <v>5401587</v>
      </c>
      <c r="C861" s="1647"/>
      <c r="D861" s="1577"/>
      <c r="E861" s="1577">
        <f>SUM(E816:E859)</f>
        <v>375256</v>
      </c>
      <c r="F861" s="1647"/>
      <c r="G861" s="1600"/>
      <c r="H861" s="1577">
        <f>SUM(H816:H859)</f>
        <v>427909</v>
      </c>
      <c r="I861" s="1647"/>
      <c r="J861" s="1600"/>
      <c r="K861" s="1577">
        <f>SUM(K816:K860)</f>
        <v>438441</v>
      </c>
      <c r="M861" s="1570"/>
      <c r="N861" s="1570"/>
      <c r="O861" s="1571"/>
      <c r="P861" s="1571"/>
      <c r="Q861" s="1571"/>
      <c r="R861" s="1570"/>
      <c r="S861" s="1570"/>
      <c r="T861" s="1570"/>
      <c r="U861" s="1570"/>
      <c r="V861" s="1570"/>
      <c r="W861" s="1570"/>
      <c r="X861" s="1570"/>
      <c r="Y861" s="1570"/>
      <c r="Z861" s="1570"/>
      <c r="AA861" s="1570"/>
      <c r="AB861" s="1570"/>
      <c r="AC861" s="1570"/>
      <c r="AD861" s="1570"/>
      <c r="AE861" s="1570"/>
      <c r="AF861" s="1570"/>
      <c r="AG861" s="1570"/>
      <c r="AH861" s="1570"/>
    </row>
    <row r="862" spans="1:36" hidden="1">
      <c r="A862" s="1585" t="s">
        <v>366</v>
      </c>
      <c r="B862" s="1679">
        <f ca="1">'Table 2'!H102</f>
        <v>82990.980381971647</v>
      </c>
      <c r="C862" s="1600"/>
      <c r="D862" s="1600"/>
      <c r="E862" s="1631" t="e">
        <f>#REF!</f>
        <v>#REF!</v>
      </c>
      <c r="F862" s="1600"/>
      <c r="G862" s="1600"/>
      <c r="H862" s="1631">
        <f ca="1">'Table 3'!E102</f>
        <v>10090.79669113968</v>
      </c>
      <c r="I862" s="1600"/>
      <c r="J862" s="1600"/>
      <c r="K862" s="1631">
        <f ca="1">H862</f>
        <v>10090.79669113968</v>
      </c>
      <c r="M862" s="1422"/>
      <c r="N862" s="1422"/>
      <c r="O862" s="1423"/>
      <c r="P862" s="1571"/>
      <c r="Q862" s="1571"/>
      <c r="R862" s="1570"/>
      <c r="S862" s="1570"/>
      <c r="T862" s="1570"/>
      <c r="U862" s="1570"/>
      <c r="V862" s="1570"/>
      <c r="W862" s="1570"/>
      <c r="X862" s="1570"/>
      <c r="Y862" s="1570"/>
      <c r="Z862" s="1570"/>
      <c r="AA862" s="1570"/>
      <c r="AB862" s="1570"/>
      <c r="AC862" s="1570"/>
      <c r="AD862" s="1570"/>
      <c r="AE862" s="1570"/>
      <c r="AF862" s="1570"/>
      <c r="AG862" s="1570"/>
      <c r="AH862" s="1570"/>
    </row>
    <row r="863" spans="1:36" ht="15.75" hidden="1" thickBot="1">
      <c r="A863" s="1585" t="s">
        <v>385</v>
      </c>
      <c r="B863" s="1694">
        <f ca="1">SUM(B861:B862)</f>
        <v>5484577.9803819712</v>
      </c>
      <c r="C863" s="1666"/>
      <c r="D863" s="1667"/>
      <c r="E863" s="1668" t="e">
        <f>E861+E862</f>
        <v>#REF!</v>
      </c>
      <c r="F863" s="1666"/>
      <c r="G863" s="1670"/>
      <c r="H863" s="1668">
        <f ca="1">H861+H862</f>
        <v>437999.79669113969</v>
      </c>
      <c r="I863" s="1666"/>
      <c r="J863" s="1670"/>
      <c r="K863" s="1668">
        <f ca="1">K861+K862</f>
        <v>448531.79669113969</v>
      </c>
      <c r="M863" s="1424"/>
      <c r="N863" s="1424"/>
      <c r="O863" s="1597"/>
      <c r="P863" s="1571"/>
      <c r="Q863" s="1571"/>
      <c r="R863" s="1570"/>
      <c r="S863" s="1570"/>
      <c r="T863" s="1570"/>
      <c r="U863" s="1570"/>
      <c r="V863" s="1570"/>
      <c r="W863" s="1570"/>
      <c r="X863" s="1570"/>
      <c r="Y863" s="1570"/>
      <c r="Z863" s="1570"/>
      <c r="AA863" s="1570"/>
      <c r="AB863" s="1570"/>
      <c r="AC863" s="1570"/>
      <c r="AD863" s="1570"/>
      <c r="AE863" s="1570"/>
      <c r="AF863" s="1570"/>
      <c r="AG863" s="1570"/>
      <c r="AH863" s="1570"/>
    </row>
    <row r="864" spans="1:36" hidden="1">
      <c r="A864" s="1619"/>
      <c r="B864" s="1619"/>
      <c r="C864" s="1610"/>
      <c r="D864" s="1610"/>
      <c r="E864" s="1709"/>
      <c r="F864" s="1585"/>
      <c r="G864" s="1619"/>
      <c r="H864" s="1709" t="s">
        <v>31</v>
      </c>
      <c r="I864" s="1619"/>
      <c r="J864" s="1619"/>
      <c r="K864" s="1619"/>
      <c r="M864" s="1570"/>
      <c r="N864" s="1570"/>
      <c r="O864" s="1571"/>
      <c r="P864" s="1571"/>
      <c r="Q864" s="1571"/>
      <c r="R864" s="1570"/>
      <c r="S864" s="1570"/>
      <c r="T864" s="1570"/>
      <c r="U864" s="1570"/>
      <c r="V864" s="1570"/>
      <c r="W864" s="1570"/>
      <c r="X864" s="1570"/>
      <c r="Y864" s="1570"/>
      <c r="Z864" s="1570"/>
      <c r="AA864" s="1570"/>
      <c r="AB864" s="1570"/>
      <c r="AC864" s="1570"/>
      <c r="AD864" s="1570"/>
      <c r="AE864" s="1570"/>
      <c r="AF864" s="1570"/>
      <c r="AG864" s="1570"/>
      <c r="AH864" s="1570"/>
    </row>
    <row r="865" spans="1:34">
      <c r="A865" s="1609" t="s">
        <v>472</v>
      </c>
      <c r="B865" s="1585"/>
      <c r="C865" s="1577"/>
      <c r="D865" s="1577"/>
      <c r="E865" s="1585"/>
      <c r="F865" s="1577"/>
      <c r="G865" s="1585"/>
      <c r="H865" s="1585"/>
      <c r="I865" s="1577"/>
      <c r="J865" s="1585"/>
      <c r="K865" s="1585"/>
      <c r="M865" s="1570"/>
      <c r="N865" s="1570"/>
      <c r="O865" s="1571"/>
      <c r="P865" s="1571"/>
      <c r="Q865" s="1571"/>
      <c r="R865" s="1570"/>
      <c r="S865" s="1570"/>
      <c r="T865" s="1570"/>
      <c r="U865" s="1570"/>
      <c r="V865" s="1570"/>
      <c r="W865" s="1570"/>
      <c r="X865" s="1570"/>
      <c r="Y865" s="1570"/>
      <c r="Z865" s="1570"/>
      <c r="AA865" s="1570"/>
      <c r="AB865" s="1570"/>
      <c r="AC865" s="1570"/>
      <c r="AD865" s="1570"/>
      <c r="AE865" s="1570"/>
      <c r="AF865" s="1570"/>
      <c r="AG865" s="1570"/>
      <c r="AH865" s="1570"/>
    </row>
    <row r="866" spans="1:34">
      <c r="A866" s="1600" t="s">
        <v>473</v>
      </c>
      <c r="B866" s="1585"/>
      <c r="C866" s="1577"/>
      <c r="D866" s="1577"/>
      <c r="E866" s="1585"/>
      <c r="F866" s="1577"/>
      <c r="G866" s="1585"/>
      <c r="H866" s="1585"/>
      <c r="I866" s="1577"/>
      <c r="J866" s="1585"/>
      <c r="K866" s="1585"/>
      <c r="M866" s="1570"/>
      <c r="N866" s="1570"/>
      <c r="O866" s="1571"/>
      <c r="P866" s="1571"/>
      <c r="Q866" s="1571"/>
      <c r="R866" s="1570"/>
      <c r="S866" s="1570"/>
      <c r="T866" s="1570"/>
      <c r="U866" s="1570"/>
      <c r="V866" s="1570"/>
      <c r="W866" s="1570"/>
      <c r="X866" s="1570"/>
      <c r="Y866" s="1570"/>
      <c r="Z866" s="1570"/>
      <c r="AA866" s="1570"/>
      <c r="AB866" s="1570"/>
      <c r="AC866" s="1570"/>
      <c r="AD866" s="1570"/>
      <c r="AE866" s="1570"/>
      <c r="AF866" s="1570"/>
      <c r="AG866" s="1570"/>
      <c r="AH866" s="1570"/>
    </row>
    <row r="867" spans="1:34">
      <c r="A867" s="1600"/>
      <c r="B867" s="1585"/>
      <c r="C867" s="1577"/>
      <c r="D867" s="1577"/>
      <c r="E867" s="1585"/>
      <c r="F867" s="1577"/>
      <c r="G867" s="1585"/>
      <c r="H867" s="1585"/>
      <c r="I867" s="1577"/>
      <c r="J867" s="1585"/>
      <c r="K867" s="1585"/>
      <c r="M867" s="1570"/>
      <c r="N867" s="1570"/>
      <c r="O867" s="1571"/>
      <c r="P867" s="1571"/>
      <c r="Q867" s="1571"/>
      <c r="R867" s="1570"/>
      <c r="S867" s="1570"/>
      <c r="T867" s="1570"/>
      <c r="U867" s="1570"/>
      <c r="V867" s="1570"/>
      <c r="W867" s="1570"/>
      <c r="X867" s="1570"/>
      <c r="Y867" s="1570"/>
      <c r="Z867" s="1570"/>
      <c r="AA867" s="1570"/>
      <c r="AB867" s="1570"/>
      <c r="AC867" s="1570"/>
      <c r="AD867" s="1570"/>
      <c r="AE867" s="1570"/>
      <c r="AF867" s="1570"/>
      <c r="AG867" s="1570"/>
      <c r="AH867" s="1570"/>
    </row>
    <row r="868" spans="1:34">
      <c r="A868" s="1600" t="s">
        <v>396</v>
      </c>
      <c r="B868" s="1599"/>
      <c r="C868" s="1577"/>
      <c r="D868" s="1577"/>
      <c r="E868" s="1585"/>
      <c r="F868" s="1577"/>
      <c r="G868" s="1585"/>
      <c r="H868" s="1585"/>
      <c r="I868" s="1577"/>
      <c r="J868" s="1585"/>
      <c r="K868" s="1585"/>
      <c r="M868" s="1570"/>
      <c r="N868" s="1570"/>
      <c r="O868" s="1571"/>
      <c r="P868" s="1571"/>
      <c r="Q868" s="1571"/>
      <c r="R868" s="1570"/>
      <c r="S868" s="1570"/>
      <c r="T868" s="1570"/>
      <c r="U868" s="1570"/>
      <c r="V868" s="1570"/>
      <c r="W868" s="1570"/>
      <c r="X868" s="1570"/>
      <c r="Y868" s="1570"/>
      <c r="Z868" s="1570"/>
      <c r="AA868" s="1570"/>
      <c r="AB868" s="1570"/>
      <c r="AC868" s="1570"/>
      <c r="AD868" s="1570"/>
      <c r="AE868" s="1570"/>
      <c r="AF868" s="1570"/>
      <c r="AG868" s="1570"/>
      <c r="AH868" s="1570"/>
    </row>
    <row r="869" spans="1:34">
      <c r="A869" s="1600" t="s">
        <v>474</v>
      </c>
      <c r="B869" s="1599">
        <v>12</v>
      </c>
      <c r="C869" s="1710">
        <v>1215</v>
      </c>
      <c r="D869" s="1660"/>
      <c r="E869" s="1577">
        <f>ROUND(C869*$B869,0)</f>
        <v>14580</v>
      </c>
      <c r="F869" s="1710">
        <v>1386</v>
      </c>
      <c r="G869" s="1574"/>
      <c r="H869" s="1577">
        <f>ROUND(F869*B869,0)</f>
        <v>16632</v>
      </c>
      <c r="I869" s="1710">
        <f>I948</f>
        <v>1463</v>
      </c>
      <c r="J869" s="1574"/>
      <c r="K869" s="1577">
        <f>ROUND(I869*$B869,0)</f>
        <v>17556</v>
      </c>
      <c r="M869" s="1578" t="e">
        <f>I869*#REF!</f>
        <v>#REF!</v>
      </c>
      <c r="O869" s="1598"/>
      <c r="R869" s="1570"/>
      <c r="S869" s="1570"/>
      <c r="T869" s="1570"/>
      <c r="U869" s="1570"/>
      <c r="V869" s="1570"/>
      <c r="W869" s="1570"/>
      <c r="X869" s="1570"/>
      <c r="Y869" s="1570"/>
      <c r="Z869" s="1570"/>
      <c r="AA869" s="1570"/>
      <c r="AB869" s="1570"/>
      <c r="AC869" s="1570"/>
      <c r="AD869" s="1570"/>
      <c r="AE869" s="1570"/>
      <c r="AF869" s="1570"/>
      <c r="AG869" s="1570"/>
      <c r="AH869" s="1570"/>
    </row>
    <row r="870" spans="1:34">
      <c r="A870" s="1600" t="s">
        <v>475</v>
      </c>
      <c r="B870" s="1599">
        <v>0</v>
      </c>
      <c r="C870" s="1710">
        <v>1465</v>
      </c>
      <c r="D870" s="1660"/>
      <c r="E870" s="1577">
        <f>ROUND(C870*$B870,0)</f>
        <v>0</v>
      </c>
      <c r="F870" s="1710">
        <v>1675</v>
      </c>
      <c r="G870" s="1641"/>
      <c r="H870" s="1577">
        <f>ROUND(F870*B870,0)</f>
        <v>0</v>
      </c>
      <c r="I870" s="1710">
        <f>I949</f>
        <v>1768</v>
      </c>
      <c r="J870" s="1641"/>
      <c r="K870" s="1577">
        <f>ROUND(I870*$B870,0)</f>
        <v>0</v>
      </c>
      <c r="M870" s="1578" t="e">
        <f>I870*#REF!</f>
        <v>#REF!</v>
      </c>
      <c r="O870" s="1598"/>
      <c r="R870" s="1570"/>
      <c r="S870" s="1570"/>
      <c r="T870" s="1570"/>
      <c r="U870" s="1570"/>
      <c r="V870" s="1570"/>
      <c r="W870" s="1570"/>
      <c r="X870" s="1570"/>
      <c r="Y870" s="1570"/>
      <c r="Z870" s="1570"/>
      <c r="AA870" s="1570"/>
      <c r="AB870" s="1570"/>
      <c r="AC870" s="1570"/>
      <c r="AD870" s="1570"/>
      <c r="AE870" s="1570"/>
      <c r="AF870" s="1570"/>
      <c r="AG870" s="1570"/>
      <c r="AH870" s="1570"/>
    </row>
    <row r="871" spans="1:34">
      <c r="A871" s="1600" t="s">
        <v>397</v>
      </c>
      <c r="B871" s="1599">
        <f>SUM(B869:B870)</f>
        <v>12</v>
      </c>
      <c r="C871" s="1710" t="s">
        <v>31</v>
      </c>
      <c r="D871" s="1660"/>
      <c r="E871" s="1577" t="s">
        <v>31</v>
      </c>
      <c r="F871" s="1710" t="s">
        <v>31</v>
      </c>
      <c r="G871" s="1574"/>
      <c r="H871" s="1577" t="s">
        <v>31</v>
      </c>
      <c r="I871" s="1710" t="str">
        <f>O912</f>
        <v xml:space="preserve"> </v>
      </c>
      <c r="J871" s="1574"/>
      <c r="K871" s="1577" t="s">
        <v>31</v>
      </c>
      <c r="R871" s="1570"/>
      <c r="S871" s="1570"/>
      <c r="T871" s="1570"/>
      <c r="U871" s="1570"/>
      <c r="V871" s="1570"/>
      <c r="W871" s="1570"/>
      <c r="X871" s="1570"/>
      <c r="Y871" s="1570"/>
      <c r="Z871" s="1570"/>
      <c r="AA871" s="1570"/>
      <c r="AB871" s="1570"/>
      <c r="AC871" s="1570"/>
      <c r="AD871" s="1570"/>
      <c r="AE871" s="1570"/>
      <c r="AF871" s="1570"/>
      <c r="AG871" s="1570"/>
      <c r="AH871" s="1570"/>
    </row>
    <row r="872" spans="1:34">
      <c r="A872" s="1600" t="s">
        <v>476</v>
      </c>
      <c r="B872" s="1599">
        <f>24891</f>
        <v>24891</v>
      </c>
      <c r="C872" s="1710">
        <v>0.92</v>
      </c>
      <c r="D872" s="1660"/>
      <c r="E872" s="1577">
        <f>ROUND(C872*$B872,0)</f>
        <v>22900</v>
      </c>
      <c r="F872" s="1710">
        <v>1.06</v>
      </c>
      <c r="G872" s="1574"/>
      <c r="H872" s="1577">
        <f t="shared" ref="H872:H874" si="143">ROUND(F872*B872,0)</f>
        <v>26384</v>
      </c>
      <c r="I872" s="1710">
        <f>I951</f>
        <v>1.1200000000000001</v>
      </c>
      <c r="J872" s="1574"/>
      <c r="K872" s="1577">
        <f>ROUND(I872*$B872,0)</f>
        <v>27878</v>
      </c>
      <c r="M872" s="1578" t="e">
        <f>I872*#REF!</f>
        <v>#REF!</v>
      </c>
      <c r="O872" s="1598"/>
      <c r="R872" s="1570"/>
      <c r="S872" s="1570"/>
      <c r="T872" s="1570"/>
      <c r="U872" s="1570"/>
      <c r="V872" s="1570"/>
      <c r="W872" s="1570"/>
      <c r="X872" s="1570"/>
      <c r="Y872" s="1570"/>
      <c r="Z872" s="1570"/>
      <c r="AA872" s="1570"/>
      <c r="AB872" s="1570"/>
      <c r="AC872" s="1570"/>
      <c r="AD872" s="1570"/>
      <c r="AE872" s="1570"/>
      <c r="AF872" s="1570"/>
      <c r="AG872" s="1570"/>
      <c r="AH872" s="1570"/>
    </row>
    <row r="873" spans="1:34">
      <c r="A873" s="1600" t="s">
        <v>477</v>
      </c>
      <c r="B873" s="1599">
        <v>0</v>
      </c>
      <c r="C873" s="1710">
        <v>0.84</v>
      </c>
      <c r="D873" s="1660"/>
      <c r="E873" s="1577">
        <f>ROUND(C873*$B873,0)</f>
        <v>0</v>
      </c>
      <c r="F873" s="1710">
        <v>0.96</v>
      </c>
      <c r="G873" s="1574"/>
      <c r="H873" s="1577">
        <f t="shared" si="143"/>
        <v>0</v>
      </c>
      <c r="I873" s="1710">
        <f>I952</f>
        <v>1.02</v>
      </c>
      <c r="J873" s="1574"/>
      <c r="K873" s="1577">
        <f>ROUND(I873*$B873,0)</f>
        <v>0</v>
      </c>
      <c r="M873" s="1578" t="e">
        <f>I873*#REF!</f>
        <v>#REF!</v>
      </c>
      <c r="R873" s="1570"/>
      <c r="S873" s="1570"/>
      <c r="T873" s="1570"/>
      <c r="U873" s="1570"/>
      <c r="V873" s="1570"/>
      <c r="W873" s="1570"/>
      <c r="X873" s="1570"/>
      <c r="Y873" s="1570"/>
      <c r="Z873" s="1570"/>
      <c r="AA873" s="1570"/>
      <c r="AB873" s="1570"/>
      <c r="AC873" s="1570"/>
      <c r="AD873" s="1570"/>
      <c r="AE873" s="1570"/>
      <c r="AF873" s="1570"/>
      <c r="AG873" s="1570"/>
      <c r="AH873" s="1570"/>
    </row>
    <row r="874" spans="1:34">
      <c r="A874" s="1600" t="s">
        <v>406</v>
      </c>
      <c r="B874" s="1599">
        <f>18680</f>
        <v>18680</v>
      </c>
      <c r="C874" s="1710">
        <v>6.22</v>
      </c>
      <c r="D874" s="1660"/>
      <c r="E874" s="1577">
        <f>ROUND(C874*$B874,0)</f>
        <v>116190</v>
      </c>
      <c r="F874" s="1710">
        <v>7.12</v>
      </c>
      <c r="G874" s="1574"/>
      <c r="H874" s="1577">
        <f t="shared" si="143"/>
        <v>133002</v>
      </c>
      <c r="I874" s="1710">
        <f>I953</f>
        <v>7.52</v>
      </c>
      <c r="J874" s="1574"/>
      <c r="K874" s="1577">
        <f>ROUND(I874*$B874,0)</f>
        <v>140474</v>
      </c>
      <c r="M874" s="1578" t="e">
        <f>I874*#REF!</f>
        <v>#REF!</v>
      </c>
      <c r="R874" s="1570"/>
      <c r="S874" s="1570"/>
      <c r="T874" s="1570"/>
      <c r="U874" s="1570"/>
      <c r="V874" s="1570"/>
      <c r="W874" s="1570"/>
      <c r="X874" s="1570"/>
      <c r="Y874" s="1570"/>
      <c r="Z874" s="1570"/>
      <c r="AA874" s="1570"/>
      <c r="AB874" s="1570"/>
      <c r="AC874" s="1570"/>
      <c r="AD874" s="1570"/>
      <c r="AE874" s="1570"/>
      <c r="AF874" s="1570"/>
      <c r="AG874" s="1570"/>
      <c r="AH874" s="1570"/>
    </row>
    <row r="875" spans="1:34">
      <c r="A875" s="1600" t="s">
        <v>429</v>
      </c>
      <c r="B875" s="1599"/>
      <c r="C875" s="1710"/>
      <c r="D875" s="1660"/>
      <c r="E875" s="1577"/>
      <c r="F875" s="1710"/>
      <c r="G875" s="1574"/>
      <c r="H875" s="1577"/>
      <c r="I875" s="1710"/>
      <c r="J875" s="1574"/>
      <c r="K875" s="1577"/>
      <c r="R875" s="1570"/>
      <c r="S875" s="1570"/>
      <c r="T875" s="1570"/>
      <c r="U875" s="1570"/>
      <c r="V875" s="1570"/>
      <c r="W875" s="1570"/>
      <c r="X875" s="1570"/>
      <c r="Y875" s="1570"/>
      <c r="Z875" s="1570"/>
      <c r="AA875" s="1570"/>
      <c r="AB875" s="1570"/>
      <c r="AC875" s="1570"/>
      <c r="AD875" s="1570"/>
      <c r="AE875" s="1570"/>
      <c r="AF875" s="1570"/>
      <c r="AG875" s="1570"/>
      <c r="AH875" s="1570"/>
    </row>
    <row r="876" spans="1:34">
      <c r="A876" s="1600" t="s">
        <v>467</v>
      </c>
      <c r="B876" s="1599">
        <f>1699425</f>
        <v>1699425</v>
      </c>
      <c r="C876" s="1723">
        <v>3.718</v>
      </c>
      <c r="D876" s="1574" t="s">
        <v>377</v>
      </c>
      <c r="E876" s="1577">
        <f>ROUND(C876/100*$B876,0)</f>
        <v>63185</v>
      </c>
      <c r="F876" s="1723">
        <v>4.2460000000000004</v>
      </c>
      <c r="G876" s="1574" t="s">
        <v>377</v>
      </c>
      <c r="H876" s="1577">
        <f>ROUND(F876/100*B876,0)</f>
        <v>72158</v>
      </c>
      <c r="I876" s="1723">
        <f>I955</f>
        <v>4.4820000000000002</v>
      </c>
      <c r="J876" s="1574" t="s">
        <v>377</v>
      </c>
      <c r="K876" s="1577">
        <f>ROUND(I876/100*$B876,0)</f>
        <v>76168</v>
      </c>
      <c r="M876" s="1578" t="e">
        <f>(I876/100)*#REF!</f>
        <v>#REF!</v>
      </c>
      <c r="R876" s="1570"/>
      <c r="S876" s="1570"/>
      <c r="T876" s="1570"/>
      <c r="U876" s="1570"/>
      <c r="V876" s="1570"/>
      <c r="W876" s="1570"/>
      <c r="X876" s="1570"/>
      <c r="Y876" s="1570"/>
      <c r="Z876" s="1570"/>
      <c r="AA876" s="1570"/>
      <c r="AB876" s="1570"/>
      <c r="AC876" s="1570"/>
      <c r="AD876" s="1570"/>
      <c r="AE876" s="1570"/>
      <c r="AF876" s="1570"/>
      <c r="AG876" s="1570"/>
      <c r="AH876" s="1570"/>
    </row>
    <row r="877" spans="1:34">
      <c r="A877" s="1600" t="s">
        <v>403</v>
      </c>
      <c r="B877" s="1599">
        <v>0</v>
      </c>
      <c r="C877" s="1710">
        <v>0.48</v>
      </c>
      <c r="D877" s="1574"/>
      <c r="E877" s="1577">
        <f>ROUND(C877*$B877,0)</f>
        <v>0</v>
      </c>
      <c r="F877" s="1710">
        <v>0.55000000000000004</v>
      </c>
      <c r="G877" s="1574"/>
      <c r="H877" s="1577">
        <f>ROUND(F877*B877,0)</f>
        <v>0</v>
      </c>
      <c r="I877" s="1710">
        <f>I956</f>
        <v>0.59</v>
      </c>
      <c r="J877" s="1574"/>
      <c r="K877" s="1577">
        <f>ROUND(I877*$B877,0)</f>
        <v>0</v>
      </c>
      <c r="M877" s="1578" t="e">
        <f>I877*#REF!</f>
        <v>#REF!</v>
      </c>
      <c r="N877" s="1599"/>
      <c r="R877" s="1570"/>
      <c r="S877" s="1570"/>
      <c r="T877" s="1570"/>
      <c r="U877" s="1570"/>
      <c r="V877" s="1570"/>
      <c r="W877" s="1570"/>
      <c r="X877" s="1570"/>
      <c r="Y877" s="1570"/>
      <c r="Z877" s="1570"/>
      <c r="AA877" s="1570"/>
      <c r="AB877" s="1570"/>
      <c r="AC877" s="1570"/>
      <c r="AD877" s="1570"/>
      <c r="AE877" s="1570"/>
      <c r="AF877" s="1570"/>
      <c r="AG877" s="1570"/>
      <c r="AH877" s="1570"/>
    </row>
    <row r="878" spans="1:34">
      <c r="A878" s="1600" t="s">
        <v>431</v>
      </c>
      <c r="B878" s="1599">
        <v>0</v>
      </c>
      <c r="C878" s="1724">
        <v>5.9999999999999995E-4</v>
      </c>
      <c r="D878" s="1574"/>
      <c r="E878" s="1577">
        <f>ROUND(C878*$B878,0)</f>
        <v>0</v>
      </c>
      <c r="F878" s="1724">
        <v>5.9999999999999995E-4</v>
      </c>
      <c r="G878" s="1574"/>
      <c r="H878" s="1577">
        <f>ROUND(F878*B878,0)</f>
        <v>0</v>
      </c>
      <c r="I878" s="1724">
        <v>5.9999999999999995E-4</v>
      </c>
      <c r="J878" s="1574"/>
      <c r="K878" s="1577">
        <f>ROUND(I878*$B878,0)</f>
        <v>0</v>
      </c>
      <c r="M878" s="1578" t="e">
        <f>I878*#REF!</f>
        <v>#REF!</v>
      </c>
      <c r="N878" s="1599"/>
      <c r="R878" s="1570"/>
      <c r="S878" s="1570"/>
      <c r="T878" s="1570"/>
      <c r="U878" s="1570"/>
      <c r="V878" s="1570"/>
      <c r="W878" s="1570"/>
      <c r="X878" s="1570"/>
      <c r="Y878" s="1570"/>
      <c r="Z878" s="1570"/>
      <c r="AA878" s="1570"/>
      <c r="AB878" s="1570"/>
      <c r="AC878" s="1570"/>
      <c r="AD878" s="1570"/>
      <c r="AE878" s="1570"/>
      <c r="AF878" s="1570"/>
      <c r="AG878" s="1570"/>
      <c r="AH878" s="1570"/>
    </row>
    <row r="879" spans="1:34">
      <c r="A879" s="1600" t="s">
        <v>436</v>
      </c>
      <c r="B879" s="1599">
        <f>5320</f>
        <v>5320</v>
      </c>
      <c r="C879" s="1725">
        <v>3.11</v>
      </c>
      <c r="D879" s="1574"/>
      <c r="E879" s="1574">
        <f>ROUND(C879*$B879,0)</f>
        <v>16545</v>
      </c>
      <c r="F879" s="1657">
        <v>3.56</v>
      </c>
      <c r="G879" s="1574"/>
      <c r="H879" s="1574">
        <f>ROUND(F879*$B879,0)</f>
        <v>18939</v>
      </c>
      <c r="I879" s="1657">
        <f>ROUNDUP(I874/2,3)</f>
        <v>3.76</v>
      </c>
      <c r="J879" s="1574"/>
      <c r="K879" s="1574">
        <f>ROUND($B879*I879,0)</f>
        <v>20003</v>
      </c>
      <c r="M879" s="1578" t="e">
        <f>I879*#REF!</f>
        <v>#REF!</v>
      </c>
      <c r="R879" s="1570"/>
      <c r="S879" s="1570"/>
      <c r="T879" s="1570"/>
      <c r="U879" s="1570"/>
      <c r="V879" s="1570"/>
      <c r="W879" s="1570"/>
      <c r="X879" s="1570"/>
      <c r="Y879" s="1570"/>
      <c r="Z879" s="1570"/>
      <c r="AA879" s="1570"/>
      <c r="AB879" s="1570"/>
      <c r="AC879" s="1570"/>
      <c r="AD879" s="1570"/>
      <c r="AE879" s="1570"/>
      <c r="AF879" s="1570"/>
      <c r="AG879" s="1570"/>
      <c r="AH879" s="1570"/>
    </row>
    <row r="880" spans="1:34">
      <c r="A880" s="1600" t="s">
        <v>437</v>
      </c>
      <c r="B880" s="1599">
        <f>592</f>
        <v>592</v>
      </c>
      <c r="C880" s="1657">
        <v>24.88</v>
      </c>
      <c r="D880" s="1574"/>
      <c r="E880" s="1574">
        <f>ROUND(C880*$B880,0)</f>
        <v>14729</v>
      </c>
      <c r="F880" s="1657">
        <v>28.48</v>
      </c>
      <c r="G880" s="1574"/>
      <c r="H880" s="1574">
        <f>ROUND(F880*$B880,0)</f>
        <v>16860</v>
      </c>
      <c r="I880" s="1657">
        <f>I874*4</f>
        <v>30.08</v>
      </c>
      <c r="J880" s="1574"/>
      <c r="K880" s="1574">
        <f>ROUND($B880*I880,0)</f>
        <v>17807</v>
      </c>
      <c r="M880" s="1578" t="e">
        <f>I880*#REF!</f>
        <v>#REF!</v>
      </c>
      <c r="R880" s="1570"/>
      <c r="S880" s="1570"/>
      <c r="T880" s="1570"/>
      <c r="U880" s="1570"/>
      <c r="V880" s="1570"/>
      <c r="W880" s="1570"/>
      <c r="X880" s="1570"/>
      <c r="Y880" s="1570"/>
      <c r="Z880" s="1570"/>
      <c r="AA880" s="1570"/>
      <c r="AB880" s="1570"/>
      <c r="AC880" s="1570"/>
      <c r="AD880" s="1570"/>
      <c r="AE880" s="1570"/>
      <c r="AF880" s="1570"/>
      <c r="AG880" s="1570"/>
      <c r="AH880" s="1570"/>
    </row>
    <row r="881" spans="1:37">
      <c r="A881" s="1569" t="s">
        <v>438</v>
      </c>
      <c r="B881" s="1599">
        <f>11575</f>
        <v>11575</v>
      </c>
      <c r="C881" s="1617">
        <v>14.872</v>
      </c>
      <c r="D881" s="1574" t="s">
        <v>377</v>
      </c>
      <c r="E881" s="1574">
        <f>ROUND($B881*C881/100,0)</f>
        <v>1721</v>
      </c>
      <c r="F881" s="1617">
        <v>16.984000000000002</v>
      </c>
      <c r="G881" s="1574" t="s">
        <v>377</v>
      </c>
      <c r="H881" s="1574">
        <f>ROUND($B881*F881/100,0)</f>
        <v>1966</v>
      </c>
      <c r="I881" s="1617">
        <f>(I876+I879)*4</f>
        <v>32.968000000000004</v>
      </c>
      <c r="J881" s="1574" t="s">
        <v>377</v>
      </c>
      <c r="K881" s="1574">
        <f>ROUND($B881*I881/100,0)</f>
        <v>3816</v>
      </c>
      <c r="M881" s="1578" t="e">
        <f>(I881/100)*#REF!</f>
        <v>#REF!</v>
      </c>
      <c r="R881" s="1570"/>
      <c r="S881" s="1570"/>
      <c r="T881" s="1570"/>
      <c r="U881" s="1570"/>
      <c r="V881" s="1570"/>
      <c r="W881" s="1570"/>
      <c r="X881" s="1570"/>
      <c r="Y881" s="1570"/>
      <c r="Z881" s="1570"/>
      <c r="AA881" s="1570"/>
      <c r="AB881" s="1570"/>
      <c r="AC881" s="1570"/>
      <c r="AD881" s="1570"/>
      <c r="AE881" s="1570"/>
      <c r="AF881" s="1570"/>
      <c r="AG881" s="1570"/>
      <c r="AH881" s="1570"/>
    </row>
    <row r="882" spans="1:37" s="1621" customFormat="1">
      <c r="A882" s="1621" t="s">
        <v>938</v>
      </c>
      <c r="B882" s="1688">
        <f>B876</f>
        <v>1699425</v>
      </c>
      <c r="C882" s="1623"/>
      <c r="D882" s="1624"/>
      <c r="E882" s="1625"/>
      <c r="F882" s="1623"/>
      <c r="G882" s="1624"/>
      <c r="H882" s="1625"/>
      <c r="I882" s="1726">
        <v>0</v>
      </c>
      <c r="J882" s="1689" t="s">
        <v>377</v>
      </c>
      <c r="K882" s="1625">
        <f>ROUND(I882/100*$B882,0)</f>
        <v>0</v>
      </c>
      <c r="M882" s="1651"/>
      <c r="O882" s="1652"/>
      <c r="R882" s="1653"/>
      <c r="S882" s="1653"/>
      <c r="X882" s="1624"/>
      <c r="Y882" s="1624"/>
      <c r="Z882" s="1624"/>
      <c r="AA882" s="1624"/>
      <c r="AB882" s="1624"/>
      <c r="AC882" s="1624"/>
      <c r="AD882" s="1624"/>
      <c r="AE882" s="1624"/>
      <c r="AF882" s="1624"/>
      <c r="AG882" s="1624"/>
      <c r="AH882" s="1624"/>
      <c r="AJ882" s="1651"/>
    </row>
    <row r="883" spans="1:37">
      <c r="A883" s="1585" t="s">
        <v>384</v>
      </c>
      <c r="B883" s="1599">
        <f>B876+B881</f>
        <v>1711000</v>
      </c>
      <c r="C883" s="1647"/>
      <c r="D883" s="1577"/>
      <c r="E883" s="1577">
        <f>SUM(E869:E881)</f>
        <v>249850</v>
      </c>
      <c r="F883" s="1647"/>
      <c r="G883" s="1585"/>
      <c r="H883" s="1577">
        <f>SUM(H869:H881)</f>
        <v>285941</v>
      </c>
      <c r="I883" s="1647"/>
      <c r="J883" s="1585"/>
      <c r="K883" s="1577">
        <f>SUM(K869:K882)</f>
        <v>303702</v>
      </c>
      <c r="M883" s="1578" t="e">
        <f>SUM(M869:M881)</f>
        <v>#REF!</v>
      </c>
      <c r="R883" s="1570"/>
      <c r="S883" s="1570"/>
      <c r="T883" s="1570"/>
      <c r="U883" s="1570"/>
      <c r="V883" s="1570"/>
      <c r="W883" s="1570"/>
      <c r="X883" s="1570"/>
      <c r="Y883" s="1570"/>
      <c r="Z883" s="1570"/>
      <c r="AA883" s="1570"/>
      <c r="AB883" s="1570"/>
      <c r="AC883" s="1570"/>
      <c r="AD883" s="1570"/>
      <c r="AE883" s="1570"/>
      <c r="AF883" s="1570"/>
      <c r="AG883" s="1570"/>
      <c r="AH883" s="1570"/>
    </row>
    <row r="884" spans="1:37">
      <c r="A884" s="1585" t="s">
        <v>366</v>
      </c>
      <c r="B884" s="1599">
        <f ca="1">'Table 2'!H79</f>
        <v>23474.365497148876</v>
      </c>
      <c r="C884" s="1600"/>
      <c r="D884" s="1600"/>
      <c r="E884" s="1664" t="e">
        <f>#REF!</f>
        <v>#REF!</v>
      </c>
      <c r="F884" s="1600"/>
      <c r="G884" s="1600"/>
      <c r="H884" s="1664">
        <f ca="1">'Table 3'!E79</f>
        <v>4619.5116938615674</v>
      </c>
      <c r="I884" s="1600"/>
      <c r="J884" s="1600"/>
      <c r="K884" s="1664">
        <f ca="1">H884</f>
        <v>4619.5116938615674</v>
      </c>
      <c r="R884" s="1570"/>
      <c r="S884" s="1570"/>
      <c r="T884" s="1570"/>
      <c r="U884" s="1570"/>
      <c r="V884" s="1570"/>
      <c r="W884" s="1570"/>
      <c r="X884" s="1570"/>
      <c r="Y884" s="1570"/>
      <c r="Z884" s="1570"/>
      <c r="AA884" s="1570"/>
      <c r="AB884" s="1570"/>
      <c r="AC884" s="1570"/>
      <c r="AD884" s="1570"/>
      <c r="AE884" s="1570"/>
      <c r="AF884" s="1570"/>
      <c r="AG884" s="1570"/>
      <c r="AH884" s="1570"/>
    </row>
    <row r="885" spans="1:37" ht="15.75" thickBot="1">
      <c r="A885" s="1585" t="s">
        <v>385</v>
      </c>
      <c r="B885" s="1727">
        <f ca="1">SUM(B883)+B884</f>
        <v>1734474.3654971488</v>
      </c>
      <c r="C885" s="1666"/>
      <c r="D885" s="1667"/>
      <c r="E885" s="1668" t="e">
        <f>E883+E884</f>
        <v>#REF!</v>
      </c>
      <c r="F885" s="1666"/>
      <c r="G885" s="1670"/>
      <c r="H885" s="1668">
        <f ca="1">H883+H884</f>
        <v>290560.51169386157</v>
      </c>
      <c r="I885" s="1666"/>
      <c r="J885" s="1670"/>
      <c r="K885" s="1668">
        <f ca="1">K883+K884</f>
        <v>308321.51169386157</v>
      </c>
      <c r="N885" s="1594" t="s">
        <v>367</v>
      </c>
      <c r="O885" s="1673">
        <f>'Rate Spread-Staff'!Q26*1000</f>
        <v>308139.4226513402</v>
      </c>
      <c r="P885" s="1674">
        <f>'Rate Spread-Staff'!V26</f>
        <v>6.0500000000000005E-2</v>
      </c>
      <c r="Q885" s="1597"/>
      <c r="R885" s="1570"/>
      <c r="S885" s="1570"/>
      <c r="T885" s="1570"/>
      <c r="U885" s="1570"/>
      <c r="V885" s="1570"/>
      <c r="W885" s="1570"/>
      <c r="X885" s="1570"/>
      <c r="Y885" s="1570"/>
      <c r="Z885" s="1570"/>
      <c r="AA885" s="1570"/>
      <c r="AB885" s="1570"/>
      <c r="AC885" s="1570"/>
      <c r="AD885" s="1570"/>
      <c r="AE885" s="1570"/>
      <c r="AF885" s="1570"/>
      <c r="AG885" s="1570"/>
      <c r="AH885" s="1570"/>
    </row>
    <row r="886" spans="1:37" ht="15.75" thickTop="1">
      <c r="A886" s="1585"/>
      <c r="B886" s="1610"/>
      <c r="C886" s="1660"/>
      <c r="D886" s="1577"/>
      <c r="E886" s="1577"/>
      <c r="F886" s="1660"/>
      <c r="G886" s="1585"/>
      <c r="H886" s="1577"/>
      <c r="I886" s="1660"/>
      <c r="J886" s="1585"/>
      <c r="K886" s="1710"/>
      <c r="N886" s="1601" t="s">
        <v>265</v>
      </c>
      <c r="O886" s="1602">
        <f ca="1">O885-K885</f>
        <v>-182.0890425213729</v>
      </c>
      <c r="P886" s="1728" t="s">
        <v>31</v>
      </c>
      <c r="Q886" s="1604"/>
      <c r="R886" s="1570"/>
      <c r="S886" s="1570"/>
      <c r="T886" s="1570"/>
      <c r="U886" s="1570"/>
      <c r="V886" s="1570"/>
      <c r="W886" s="1570"/>
      <c r="X886" s="1570"/>
      <c r="Y886" s="1570"/>
      <c r="Z886" s="1570"/>
      <c r="AA886" s="1570"/>
      <c r="AB886" s="1570"/>
      <c r="AC886" s="1570"/>
      <c r="AD886" s="1570"/>
      <c r="AE886" s="1570"/>
      <c r="AF886" s="1570"/>
      <c r="AG886" s="1570"/>
      <c r="AH886" s="1570"/>
    </row>
    <row r="887" spans="1:37">
      <c r="A887" s="1609" t="s">
        <v>479</v>
      </c>
      <c r="B887" s="1585"/>
      <c r="C887" s="1577"/>
      <c r="D887" s="1577"/>
      <c r="E887" s="1585"/>
      <c r="F887" s="1577"/>
      <c r="G887" s="1585"/>
      <c r="H887" s="1585"/>
      <c r="I887" s="1577"/>
      <c r="J887" s="1585"/>
      <c r="K887" s="1585"/>
      <c r="M887" s="1570"/>
      <c r="N887" s="1570"/>
      <c r="O887" s="1571"/>
      <c r="P887" s="1571"/>
      <c r="Q887" s="1571"/>
      <c r="R887" s="1570"/>
      <c r="S887" s="1570"/>
      <c r="T887" s="1570"/>
      <c r="U887" s="1570"/>
      <c r="V887" s="1570"/>
      <c r="W887" s="1570"/>
      <c r="X887" s="1570"/>
      <c r="Y887" s="1570"/>
      <c r="Z887" s="1570"/>
      <c r="AA887" s="1570"/>
      <c r="AB887" s="1570"/>
      <c r="AC887" s="1570"/>
      <c r="AD887" s="1570"/>
      <c r="AE887" s="1570"/>
      <c r="AF887" s="1570"/>
      <c r="AG887" s="1570"/>
      <c r="AH887" s="1570"/>
    </row>
    <row r="888" spans="1:37">
      <c r="A888" s="1600" t="s">
        <v>480</v>
      </c>
      <c r="B888" s="1585"/>
      <c r="C888" s="1577"/>
      <c r="D888" s="1577"/>
      <c r="E888" s="1585"/>
      <c r="F888" s="1577"/>
      <c r="G888" s="1585"/>
      <c r="H888" s="1585"/>
      <c r="I888" s="1577"/>
      <c r="J888" s="1585"/>
      <c r="K888" s="1585"/>
      <c r="M888" s="1570"/>
      <c r="N888" s="1570"/>
      <c r="O888" s="1571"/>
      <c r="P888" s="1571"/>
      <c r="Q888" s="1571"/>
      <c r="R888" s="1570"/>
      <c r="S888" s="1570"/>
      <c r="T888" s="1570"/>
      <c r="U888" s="1570"/>
      <c r="V888" s="1570"/>
      <c r="W888" s="1570"/>
      <c r="X888" s="1570"/>
      <c r="Y888" s="1570"/>
      <c r="Z888" s="1570"/>
      <c r="AA888" s="1570"/>
      <c r="AB888" s="1570"/>
      <c r="AC888" s="1570"/>
      <c r="AD888" s="1570"/>
      <c r="AE888" s="1570"/>
      <c r="AF888" s="1570"/>
      <c r="AG888" s="1570"/>
      <c r="AH888" s="1570"/>
    </row>
    <row r="889" spans="1:37">
      <c r="A889" s="1600"/>
      <c r="B889" s="1585"/>
      <c r="C889" s="1577"/>
      <c r="D889" s="1577"/>
      <c r="E889" s="1585"/>
      <c r="F889" s="1577"/>
      <c r="G889" s="1585"/>
      <c r="H889" s="1585"/>
      <c r="I889" s="1577"/>
      <c r="J889" s="1585"/>
      <c r="K889" s="1585"/>
      <c r="M889" s="1570"/>
      <c r="N889" s="1570"/>
      <c r="O889" s="1571"/>
      <c r="P889" s="1571"/>
      <c r="Q889" s="1571"/>
      <c r="R889" s="1570"/>
      <c r="S889" s="1570"/>
      <c r="T889" s="1570"/>
      <c r="U889" s="1570"/>
      <c r="V889" s="1570"/>
      <c r="W889" s="1570"/>
      <c r="X889" s="1570"/>
      <c r="Y889" s="1570"/>
      <c r="Z889" s="1570"/>
      <c r="AA889" s="1570"/>
      <c r="AB889" s="1570"/>
      <c r="AC889" s="1570"/>
      <c r="AD889" s="1570"/>
      <c r="AE889" s="1570"/>
      <c r="AF889" s="1570"/>
      <c r="AG889" s="1570"/>
      <c r="AH889" s="1570"/>
    </row>
    <row r="890" spans="1:37">
      <c r="A890" s="1600" t="s">
        <v>396</v>
      </c>
      <c r="B890" s="1599"/>
      <c r="C890" s="1577"/>
      <c r="D890" s="1577"/>
      <c r="E890" s="1585"/>
      <c r="F890" s="1577"/>
      <c r="G890" s="1585"/>
      <c r="H890" s="1585"/>
      <c r="I890" s="1577"/>
      <c r="J890" s="1585"/>
      <c r="K890" s="1585"/>
      <c r="M890" s="1570"/>
      <c r="N890" s="1570"/>
      <c r="O890" s="1571"/>
      <c r="P890" s="1571"/>
      <c r="Q890" s="1571"/>
      <c r="R890" s="1570"/>
      <c r="S890" s="1570"/>
      <c r="T890" s="1570"/>
      <c r="U890" s="1570"/>
      <c r="V890" s="1570"/>
      <c r="W890" s="1570"/>
      <c r="X890" s="1570"/>
      <c r="Y890" s="1570"/>
      <c r="Z890" s="1570"/>
      <c r="AA890" s="1570"/>
      <c r="AB890" s="1570"/>
      <c r="AC890" s="1570"/>
      <c r="AD890" s="1570"/>
      <c r="AE890" s="1570"/>
      <c r="AF890" s="1570"/>
      <c r="AG890" s="1570"/>
      <c r="AH890" s="1570"/>
    </row>
    <row r="891" spans="1:37">
      <c r="A891" s="1600" t="s">
        <v>474</v>
      </c>
      <c r="B891" s="1599">
        <f t="shared" ref="B891:B896" si="144">B910+B1078</f>
        <v>695</v>
      </c>
      <c r="C891" s="1660"/>
      <c r="D891" s="1660"/>
      <c r="E891" s="1577">
        <f>E910+E1078</f>
        <v>848355</v>
      </c>
      <c r="F891" s="1660"/>
      <c r="G891" s="1574"/>
      <c r="H891" s="1577">
        <f>H910+H1078</f>
        <v>967593</v>
      </c>
      <c r="I891" s="1660"/>
      <c r="J891" s="1574"/>
      <c r="K891" s="1577">
        <f>K910+K1078</f>
        <v>1021370</v>
      </c>
      <c r="M891" s="1578" t="e">
        <f>I891*#REF!</f>
        <v>#REF!</v>
      </c>
      <c r="O891" s="1598" t="s">
        <v>31</v>
      </c>
      <c r="P891" s="1569"/>
      <c r="Q891" s="1569"/>
      <c r="Y891" s="1646"/>
      <c r="Z891" s="1646"/>
      <c r="AF891" s="1570"/>
      <c r="AG891" s="1570"/>
      <c r="AH891" s="1570"/>
      <c r="AI891" s="1570"/>
      <c r="AJ891" s="1570"/>
      <c r="AK891" s="1570"/>
    </row>
    <row r="892" spans="1:37">
      <c r="A892" s="1600" t="s">
        <v>475</v>
      </c>
      <c r="B892" s="1599">
        <f t="shared" si="144"/>
        <v>12</v>
      </c>
      <c r="C892" s="1660"/>
      <c r="D892" s="1660"/>
      <c r="E892" s="1577">
        <f>E911+E1079</f>
        <v>25200</v>
      </c>
      <c r="F892" s="1660"/>
      <c r="G892" s="1641"/>
      <c r="H892" s="1577">
        <f>H911+H1079</f>
        <v>30336</v>
      </c>
      <c r="I892" s="1660"/>
      <c r="J892" s="1641"/>
      <c r="K892" s="1577">
        <f>K911+K1079</f>
        <v>32160</v>
      </c>
      <c r="M892" s="1578" t="e">
        <f>I892*#REF!</f>
        <v>#REF!</v>
      </c>
      <c r="O892" s="1598" t="s">
        <v>31</v>
      </c>
      <c r="P892" s="1569"/>
      <c r="Q892" s="1569"/>
      <c r="R892" s="1618"/>
      <c r="S892" s="1618"/>
      <c r="T892" s="1618"/>
      <c r="U892" s="1618"/>
      <c r="V892" s="1618"/>
      <c r="W892" s="1618"/>
      <c r="X892" s="1615"/>
      <c r="Y892" s="1646"/>
      <c r="Z892" s="1646"/>
      <c r="AF892" s="1570"/>
      <c r="AG892" s="1570"/>
      <c r="AH892" s="1570"/>
      <c r="AI892" s="1570"/>
      <c r="AJ892" s="1570"/>
      <c r="AK892" s="1570"/>
    </row>
    <row r="893" spans="1:37">
      <c r="A893" s="1600" t="s">
        <v>397</v>
      </c>
      <c r="B893" s="1599">
        <f t="shared" si="144"/>
        <v>707</v>
      </c>
      <c r="C893" s="1660"/>
      <c r="D893" s="1660"/>
      <c r="E893" s="1577"/>
      <c r="F893" s="1660"/>
      <c r="G893" s="1574"/>
      <c r="H893" s="1577"/>
      <c r="I893" s="1660"/>
      <c r="J893" s="1574"/>
      <c r="K893" s="1577"/>
      <c r="O893" s="1640"/>
      <c r="P893" s="1569"/>
      <c r="Q893" s="1569"/>
      <c r="R893" s="1618"/>
      <c r="S893" s="1618"/>
      <c r="T893" s="1618"/>
      <c r="U893" s="1618"/>
      <c r="V893" s="1618"/>
      <c r="W893" s="1618"/>
      <c r="X893" s="1615"/>
      <c r="AF893" s="1570"/>
      <c r="AG893" s="1570"/>
      <c r="AH893" s="1570"/>
      <c r="AI893" s="1570"/>
      <c r="AJ893" s="1570"/>
      <c r="AK893" s="1570"/>
    </row>
    <row r="894" spans="1:37">
      <c r="A894" s="1600" t="s">
        <v>476</v>
      </c>
      <c r="B894" s="1599">
        <f t="shared" si="144"/>
        <v>993653</v>
      </c>
      <c r="C894" s="1660"/>
      <c r="D894" s="1660"/>
      <c r="E894" s="1577">
        <f>E913+E1081</f>
        <v>819275</v>
      </c>
      <c r="F894" s="1660"/>
      <c r="G894" s="1574"/>
      <c r="H894" s="1577">
        <f>H913+H1081</f>
        <v>946273</v>
      </c>
      <c r="I894" s="1660"/>
      <c r="J894" s="1574"/>
      <c r="K894" s="1577">
        <f>K913+K1081</f>
        <v>999835</v>
      </c>
      <c r="M894" s="1578" t="e">
        <f>I894*#REF!</f>
        <v>#REF!</v>
      </c>
      <c r="O894" s="1598" t="s">
        <v>31</v>
      </c>
      <c r="P894" s="1569"/>
      <c r="Q894" s="1569"/>
      <c r="R894" s="1618"/>
      <c r="S894" s="1618"/>
      <c r="T894" s="1618"/>
      <c r="U894" s="1618"/>
      <c r="V894" s="1618"/>
      <c r="W894" s="1618"/>
      <c r="X894" s="1615"/>
      <c r="AF894" s="1570"/>
      <c r="AG894" s="1570"/>
      <c r="AH894" s="1570"/>
      <c r="AI894" s="1570"/>
      <c r="AJ894" s="1570"/>
      <c r="AK894" s="1570"/>
    </row>
    <row r="895" spans="1:37">
      <c r="A895" s="1600" t="s">
        <v>477</v>
      </c>
      <c r="B895" s="1599">
        <f t="shared" si="144"/>
        <v>699156</v>
      </c>
      <c r="C895" s="1660"/>
      <c r="D895" s="1660"/>
      <c r="E895" s="1577">
        <f>E914+E1082</f>
        <v>139831</v>
      </c>
      <c r="F895" s="1660"/>
      <c r="G895" s="1574"/>
      <c r="H895" s="1577">
        <f>H914+H1082</f>
        <v>160806</v>
      </c>
      <c r="I895" s="1660"/>
      <c r="J895" s="1574"/>
      <c r="K895" s="1577">
        <f>K914+K1082</f>
        <v>174789</v>
      </c>
      <c r="M895" s="1578" t="e">
        <f>I895*#REF!</f>
        <v>#REF!</v>
      </c>
      <c r="O895" s="1598" t="s">
        <v>31</v>
      </c>
      <c r="P895" s="1569"/>
      <c r="Q895" s="1569"/>
      <c r="R895" s="1618"/>
      <c r="S895" s="1618"/>
      <c r="T895" s="1618"/>
      <c r="U895" s="1618"/>
      <c r="V895" s="1618"/>
      <c r="W895" s="1618"/>
      <c r="X895" s="1615"/>
      <c r="AF895" s="1570"/>
      <c r="AG895" s="1570"/>
      <c r="AH895" s="1570"/>
      <c r="AI895" s="1570"/>
      <c r="AJ895" s="1570"/>
      <c r="AK895" s="1570"/>
    </row>
    <row r="896" spans="1:37">
      <c r="A896" s="1600" t="s">
        <v>406</v>
      </c>
      <c r="B896" s="1599">
        <f t="shared" si="144"/>
        <v>1504967</v>
      </c>
      <c r="C896" s="1660"/>
      <c r="D896" s="1660"/>
      <c r="E896" s="1577">
        <f>E915+E1083</f>
        <v>9254556</v>
      </c>
      <c r="F896" s="1660"/>
      <c r="G896" s="1574"/>
      <c r="H896" s="1577">
        <f>H915+H1083</f>
        <v>10576435</v>
      </c>
      <c r="I896" s="1660"/>
      <c r="J896" s="1574"/>
      <c r="K896" s="1577">
        <f>K915+K1083</f>
        <v>11199139</v>
      </c>
      <c r="M896" s="1578" t="e">
        <f>I896*#REF!</f>
        <v>#REF!</v>
      </c>
      <c r="O896" s="1598" t="s">
        <v>31</v>
      </c>
      <c r="P896" s="1569"/>
      <c r="Q896" s="1569"/>
      <c r="R896" s="1618"/>
      <c r="S896" s="1618"/>
      <c r="T896" s="1618"/>
      <c r="U896" s="1618"/>
      <c r="V896" s="1618"/>
      <c r="W896" s="1618"/>
      <c r="X896" s="1615"/>
      <c r="AF896" s="1570"/>
      <c r="AG896" s="1570"/>
      <c r="AH896" s="1570"/>
      <c r="AI896" s="1570"/>
      <c r="AJ896" s="1570"/>
      <c r="AK896" s="1570"/>
    </row>
    <row r="897" spans="1:36">
      <c r="A897" s="1600" t="s">
        <v>429</v>
      </c>
      <c r="B897" s="1599"/>
      <c r="C897" s="1660"/>
      <c r="D897" s="1660"/>
      <c r="E897" s="1577"/>
      <c r="F897" s="1660"/>
      <c r="G897" s="1574"/>
      <c r="H897" s="1577"/>
      <c r="I897" s="1660"/>
      <c r="J897" s="1574"/>
      <c r="K897" s="1577"/>
      <c r="O897" s="1640"/>
      <c r="AA897" s="1570"/>
      <c r="AB897" s="1570"/>
      <c r="AC897" s="1570"/>
      <c r="AD897" s="1570"/>
      <c r="AE897" s="1570"/>
      <c r="AF897" s="1570"/>
      <c r="AG897" s="1570"/>
      <c r="AH897" s="1570"/>
    </row>
    <row r="898" spans="1:36">
      <c r="A898" s="1600" t="s">
        <v>467</v>
      </c>
      <c r="B898" s="1599">
        <f>B917+B1085</f>
        <v>823306393</v>
      </c>
      <c r="C898" s="1714"/>
      <c r="D898" s="1574"/>
      <c r="E898" s="1577">
        <f>E917+E1085</f>
        <v>30306995</v>
      </c>
      <c r="F898" s="1729"/>
      <c r="G898" s="1574"/>
      <c r="H898" s="1577">
        <f>H917+H1085</f>
        <v>34647474</v>
      </c>
      <c r="I898" s="1730"/>
      <c r="J898" s="1574"/>
      <c r="K898" s="1577">
        <f>K917+K1085</f>
        <v>36836354</v>
      </c>
      <c r="M898" s="1578" t="e">
        <f>(I898/100)*#REF!</f>
        <v>#REF!</v>
      </c>
      <c r="O898" s="1598" t="s">
        <v>31</v>
      </c>
      <c r="AA898" s="1570"/>
      <c r="AB898" s="1570"/>
      <c r="AC898" s="1570"/>
      <c r="AD898" s="1570"/>
      <c r="AE898" s="1570"/>
      <c r="AF898" s="1570"/>
      <c r="AG898" s="1570"/>
      <c r="AH898" s="1570"/>
    </row>
    <row r="899" spans="1:36">
      <c r="A899" s="1600" t="s">
        <v>403</v>
      </c>
      <c r="B899" s="1599">
        <f>B918+B1086</f>
        <v>379226</v>
      </c>
      <c r="C899" s="1660"/>
      <c r="D899" s="1574"/>
      <c r="E899" s="1577">
        <f>E918+E1086</f>
        <v>178280</v>
      </c>
      <c r="F899" s="1660"/>
      <c r="G899" s="1574"/>
      <c r="H899" s="1577">
        <f>H918+H1086</f>
        <v>204826</v>
      </c>
      <c r="I899" s="1660"/>
      <c r="J899" s="1574"/>
      <c r="K899" s="1577">
        <f>K918+K1086</f>
        <v>223417</v>
      </c>
      <c r="M899" s="1578" t="e">
        <f>I899*#REF!</f>
        <v>#REF!</v>
      </c>
      <c r="N899" s="1640"/>
      <c r="O899" s="1598" t="s">
        <v>31</v>
      </c>
      <c r="AA899" s="1570"/>
      <c r="AB899" s="1570"/>
      <c r="AC899" s="1570"/>
      <c r="AD899" s="1570"/>
      <c r="AE899" s="1570"/>
      <c r="AF899" s="1570"/>
      <c r="AG899" s="1570"/>
      <c r="AH899" s="1570"/>
    </row>
    <row r="900" spans="1:36" s="1621" customFormat="1">
      <c r="A900" s="1621" t="s">
        <v>938</v>
      </c>
      <c r="B900" s="1648">
        <f>B919+B1087</f>
        <v>467514000</v>
      </c>
      <c r="C900" s="1623"/>
      <c r="D900" s="1624"/>
      <c r="E900" s="1625"/>
      <c r="F900" s="1623"/>
      <c r="G900" s="1624"/>
      <c r="H900" s="1625"/>
      <c r="I900" s="1731"/>
      <c r="J900" s="1624"/>
      <c r="K900" s="1625">
        <f>K919+K1087</f>
        <v>0</v>
      </c>
      <c r="M900" s="1651"/>
      <c r="O900" s="1652"/>
      <c r="R900" s="1653"/>
      <c r="S900" s="1653"/>
      <c r="X900" s="1624"/>
      <c r="Y900" s="1624"/>
      <c r="Z900" s="1624"/>
      <c r="AA900" s="1624"/>
      <c r="AB900" s="1624"/>
      <c r="AC900" s="1624"/>
      <c r="AD900" s="1624"/>
      <c r="AE900" s="1624"/>
      <c r="AF900" s="1624"/>
      <c r="AG900" s="1624"/>
      <c r="AH900" s="1624"/>
      <c r="AJ900" s="1651"/>
    </row>
    <row r="901" spans="1:36">
      <c r="A901" s="1585" t="s">
        <v>384</v>
      </c>
      <c r="B901" s="1599">
        <f>B920+B1089</f>
        <v>823306393</v>
      </c>
      <c r="C901" s="1647"/>
      <c r="D901" s="1577"/>
      <c r="E901" s="1577">
        <f>E920+E1089</f>
        <v>41572492</v>
      </c>
      <c r="F901" s="1641"/>
      <c r="G901" s="1585"/>
      <c r="H901" s="1577">
        <f>H920+H1089</f>
        <v>47533743</v>
      </c>
      <c r="I901" s="1577"/>
      <c r="J901" s="1585"/>
      <c r="K901" s="1577">
        <f>K920+K1089</f>
        <v>50487064</v>
      </c>
      <c r="M901" s="1578" t="e">
        <f>SUM(M891:M899)</f>
        <v>#REF!</v>
      </c>
      <c r="AA901" s="1570"/>
      <c r="AB901" s="1570"/>
      <c r="AC901" s="1570"/>
      <c r="AD901" s="1570"/>
      <c r="AE901" s="1570"/>
      <c r="AF901" s="1570"/>
      <c r="AG901" s="1570"/>
      <c r="AH901" s="1570"/>
    </row>
    <row r="902" spans="1:36">
      <c r="A902" s="1585" t="s">
        <v>366</v>
      </c>
      <c r="B902" s="1663">
        <f ca="1">B921+B1090</f>
        <v>8976517.3747324422</v>
      </c>
      <c r="C902" s="1600"/>
      <c r="D902" s="1600"/>
      <c r="E902" s="1732" t="e">
        <f>E921+E1090</f>
        <v>#REF!</v>
      </c>
      <c r="F902" s="1600"/>
      <c r="G902" s="1600"/>
      <c r="H902" s="1732">
        <f ca="1">H921+H1090</f>
        <v>593992.95648998208</v>
      </c>
      <c r="I902" s="1600"/>
      <c r="J902" s="1600"/>
      <c r="K902" s="1732">
        <f ca="1">K921+K1090</f>
        <v>593992.95648998208</v>
      </c>
      <c r="R902" s="1605"/>
      <c r="S902" s="1605"/>
      <c r="AA902" s="1570"/>
      <c r="AB902" s="1570"/>
      <c r="AC902" s="1570"/>
      <c r="AD902" s="1570"/>
      <c r="AE902" s="1570"/>
      <c r="AF902" s="1570"/>
      <c r="AG902" s="1570"/>
      <c r="AH902" s="1570"/>
    </row>
    <row r="903" spans="1:36" ht="15.75" thickBot="1">
      <c r="A903" s="1585" t="s">
        <v>385</v>
      </c>
      <c r="B903" s="1733">
        <f ca="1">SUM(B901:B902)</f>
        <v>832282910.37473249</v>
      </c>
      <c r="C903" s="1666"/>
      <c r="D903" s="1667"/>
      <c r="E903" s="1734" t="e">
        <f>E901+E902</f>
        <v>#REF!</v>
      </c>
      <c r="F903" s="1666"/>
      <c r="G903" s="1670"/>
      <c r="H903" s="1734">
        <f ca="1">H901+H902</f>
        <v>48127735.95648998</v>
      </c>
      <c r="I903" s="1666"/>
      <c r="J903" s="1670"/>
      <c r="K903" s="1734">
        <f ca="1">K901+K902</f>
        <v>51081056.95648998</v>
      </c>
      <c r="N903" s="1594" t="s">
        <v>367</v>
      </c>
      <c r="O903" s="1673">
        <f ca="1">('Rate Spread-Staff'!Q26+'Rate Spread-Staff'!Q27+'Rate Spread-Staff'!Q28-('Rate Spread-Staff'!AK49/1000))*1000</f>
        <v>51388054.245102428</v>
      </c>
      <c r="P903" s="1674">
        <f>'Rate Spread-Staff'!V27</f>
        <v>5.5400000000000005E-2</v>
      </c>
      <c r="Q903" s="1597"/>
      <c r="AA903" s="1570"/>
      <c r="AB903" s="1570"/>
      <c r="AC903" s="1570"/>
      <c r="AD903" s="1570"/>
      <c r="AE903" s="1570"/>
      <c r="AF903" s="1570"/>
      <c r="AG903" s="1570"/>
      <c r="AH903" s="1570"/>
    </row>
    <row r="904" spans="1:36" ht="15.75" thickTop="1">
      <c r="A904" s="1585"/>
      <c r="B904" s="1610"/>
      <c r="C904" s="1660"/>
      <c r="D904" s="1577"/>
      <c r="E904" s="1577"/>
      <c r="F904" s="1660" t="s">
        <v>31</v>
      </c>
      <c r="G904" s="1585"/>
      <c r="H904" s="1577"/>
      <c r="I904" s="1657" t="s">
        <v>31</v>
      </c>
      <c r="J904" s="1585"/>
      <c r="K904" s="1577" t="s">
        <v>31</v>
      </c>
      <c r="N904" s="1601" t="s">
        <v>265</v>
      </c>
      <c r="O904" s="1602">
        <f ca="1">O903-K903-K885</f>
        <v>-1324.2230814138893</v>
      </c>
      <c r="P904" s="1675" t="s">
        <v>31</v>
      </c>
      <c r="Q904" s="1676"/>
      <c r="AA904" s="1570"/>
      <c r="AB904" s="1570"/>
      <c r="AC904" s="1570"/>
      <c r="AD904" s="1570"/>
      <c r="AE904" s="1570"/>
      <c r="AF904" s="1570"/>
      <c r="AG904" s="1570"/>
      <c r="AH904" s="1570"/>
    </row>
    <row r="905" spans="1:36">
      <c r="A905" s="1585"/>
      <c r="B905" s="1610"/>
      <c r="C905" s="1660"/>
      <c r="D905" s="1577"/>
      <c r="E905" s="1577"/>
      <c r="F905" s="1660"/>
      <c r="G905" s="1585"/>
      <c r="H905" s="1577" t="s">
        <v>31</v>
      </c>
      <c r="I905" s="1660"/>
      <c r="J905" s="1585"/>
      <c r="K905" s="1710"/>
      <c r="M905" s="1570"/>
      <c r="P905" s="1571"/>
      <c r="Q905" s="1571"/>
      <c r="R905" s="1570"/>
      <c r="S905" s="1570"/>
      <c r="T905" s="1570"/>
      <c r="U905" s="1570"/>
      <c r="V905" s="1570"/>
      <c r="W905" s="1570"/>
      <c r="X905" s="1570"/>
      <c r="Y905" s="1570"/>
      <c r="Z905" s="1570"/>
      <c r="AA905" s="1570"/>
      <c r="AB905" s="1570"/>
      <c r="AC905" s="1570"/>
      <c r="AD905" s="1570"/>
      <c r="AE905" s="1570"/>
      <c r="AF905" s="1570"/>
      <c r="AG905" s="1570"/>
      <c r="AH905" s="1570"/>
    </row>
    <row r="906" spans="1:36">
      <c r="A906" s="1609" t="s">
        <v>479</v>
      </c>
      <c r="B906" s="1585"/>
      <c r="C906" s="1577"/>
      <c r="D906" s="1577"/>
      <c r="E906" s="1585"/>
      <c r="F906" s="1577"/>
      <c r="G906" s="1585"/>
      <c r="H906" s="1585"/>
      <c r="I906" s="1577"/>
      <c r="J906" s="1585"/>
      <c r="K906" s="1585"/>
      <c r="M906" s="1678"/>
      <c r="N906" s="1678"/>
      <c r="O906" s="1571"/>
      <c r="P906" s="1571"/>
      <c r="Q906" s="1571"/>
      <c r="R906" s="1570"/>
      <c r="S906" s="1570"/>
      <c r="T906" s="1570"/>
      <c r="U906" s="1570"/>
      <c r="V906" s="1570"/>
      <c r="W906" s="1570"/>
      <c r="X906" s="1570"/>
      <c r="Y906" s="1570"/>
      <c r="Z906" s="1570"/>
      <c r="AA906" s="1570"/>
      <c r="AB906" s="1570"/>
      <c r="AC906" s="1570"/>
      <c r="AD906" s="1570"/>
      <c r="AE906" s="1570"/>
      <c r="AF906" s="1570"/>
      <c r="AG906" s="1570"/>
      <c r="AH906" s="1570"/>
    </row>
    <row r="907" spans="1:36">
      <c r="A907" s="1600" t="s">
        <v>481</v>
      </c>
      <c r="B907" s="1585"/>
      <c r="C907" s="1577"/>
      <c r="D907" s="1577"/>
      <c r="E907" s="1585"/>
      <c r="F907" s="1577"/>
      <c r="G907" s="1585"/>
      <c r="H907" s="1585"/>
      <c r="I907" s="1577"/>
      <c r="J907" s="1585"/>
      <c r="K907" s="1585"/>
      <c r="M907" s="1570"/>
      <c r="N907" s="1570"/>
      <c r="P907" s="1571"/>
      <c r="Q907" s="1571"/>
      <c r="R907" s="1570"/>
      <c r="S907" s="1570"/>
      <c r="T907" s="1570"/>
      <c r="U907" s="1570"/>
      <c r="V907" s="1570"/>
      <c r="W907" s="1570"/>
      <c r="X907" s="1570"/>
      <c r="Y907" s="1570"/>
      <c r="Z907" s="1570"/>
      <c r="AA907" s="1570"/>
      <c r="AB907" s="1570"/>
      <c r="AC907" s="1570"/>
      <c r="AD907" s="1570"/>
      <c r="AE907" s="1570"/>
      <c r="AF907" s="1570"/>
      <c r="AG907" s="1570"/>
      <c r="AH907" s="1570"/>
    </row>
    <row r="908" spans="1:36">
      <c r="A908" s="1600"/>
      <c r="B908" s="1585"/>
      <c r="C908" s="1577"/>
      <c r="D908" s="1577"/>
      <c r="E908" s="1585"/>
      <c r="F908" s="1577"/>
      <c r="G908" s="1585"/>
      <c r="H908" s="1585"/>
      <c r="I908" s="1577"/>
      <c r="J908" s="1585"/>
      <c r="K908" s="1585"/>
      <c r="M908" s="1570"/>
      <c r="N908" s="1570"/>
      <c r="O908" s="1571"/>
      <c r="P908" s="1571"/>
      <c r="Q908" s="1571"/>
      <c r="R908" s="1570"/>
      <c r="S908" s="1570"/>
      <c r="T908" s="1570"/>
      <c r="U908" s="1570"/>
      <c r="V908" s="1570"/>
      <c r="W908" s="1570"/>
      <c r="X908" s="1570"/>
      <c r="Y908" s="1570"/>
      <c r="Z908" s="1570"/>
      <c r="AA908" s="1570"/>
      <c r="AB908" s="1570"/>
      <c r="AC908" s="1570"/>
      <c r="AD908" s="1570"/>
      <c r="AE908" s="1570"/>
      <c r="AF908" s="1570"/>
      <c r="AG908" s="1570"/>
      <c r="AH908" s="1570"/>
    </row>
    <row r="909" spans="1:36">
      <c r="A909" s="1600" t="s">
        <v>396</v>
      </c>
      <c r="B909" s="1599"/>
      <c r="C909" s="1577"/>
      <c r="D909" s="1577"/>
      <c r="E909" s="1585"/>
      <c r="F909" s="1577"/>
      <c r="G909" s="1585"/>
      <c r="H909" s="1585"/>
      <c r="I909" s="1577"/>
      <c r="J909" s="1585"/>
      <c r="K909" s="1585"/>
      <c r="M909" s="1570"/>
      <c r="P909" s="1570"/>
      <c r="Q909" s="1570"/>
      <c r="R909" s="1589" t="s">
        <v>31</v>
      </c>
      <c r="Z909" s="1735"/>
      <c r="AA909" s="1570"/>
      <c r="AB909" s="1570"/>
      <c r="AC909" s="1570"/>
      <c r="AD909" s="1570"/>
      <c r="AE909" s="1570"/>
      <c r="AF909" s="1570"/>
      <c r="AG909" s="1570"/>
      <c r="AH909" s="1570"/>
      <c r="AI909" s="1570"/>
      <c r="AJ909" s="1570"/>
    </row>
    <row r="910" spans="1:36">
      <c r="A910" s="1600" t="s">
        <v>474</v>
      </c>
      <c r="B910" s="1599">
        <f t="shared" ref="B910:B918" si="145">B1041+B1060</f>
        <v>695</v>
      </c>
      <c r="C910" s="1660"/>
      <c r="D910" s="1660"/>
      <c r="E910" s="1577">
        <f>E1041+E1060</f>
        <v>848355</v>
      </c>
      <c r="F910" s="1736"/>
      <c r="G910" s="1574"/>
      <c r="H910" s="1577">
        <f>H1041+H1060</f>
        <v>967593</v>
      </c>
      <c r="J910" s="1574"/>
      <c r="K910" s="1577">
        <f>K1041+K1060</f>
        <v>1021370</v>
      </c>
      <c r="M910" s="1570"/>
      <c r="O910" s="1660">
        <f>I948</f>
        <v>1463</v>
      </c>
      <c r="P910" s="1598">
        <f>(O910-F928)/F928</f>
        <v>5.5555555555555552E-2</v>
      </c>
      <c r="Q910" s="1598"/>
      <c r="T910" s="1618"/>
      <c r="U910" s="1615"/>
      <c r="V910" s="1618"/>
      <c r="W910" s="1615"/>
      <c r="X910" s="1618"/>
      <c r="Y910" s="1618"/>
      <c r="Z910" s="1616"/>
      <c r="AA910" s="1570"/>
      <c r="AB910" s="1570"/>
      <c r="AC910" s="1570"/>
      <c r="AD910" s="1570"/>
      <c r="AE910" s="1570"/>
      <c r="AF910" s="1570"/>
      <c r="AG910" s="1570"/>
      <c r="AH910" s="1570"/>
      <c r="AI910" s="1570"/>
      <c r="AJ910" s="1570"/>
    </row>
    <row r="911" spans="1:36">
      <c r="A911" s="1600" t="s">
        <v>475</v>
      </c>
      <c r="B911" s="1599">
        <f t="shared" si="145"/>
        <v>0</v>
      </c>
      <c r="C911" s="1660"/>
      <c r="D911" s="1660"/>
      <c r="E911" s="1577">
        <f>E1042+E1061</f>
        <v>0</v>
      </c>
      <c r="F911" s="1736"/>
      <c r="G911" s="1641"/>
      <c r="H911" s="1577">
        <f>H1042+H1061</f>
        <v>0</v>
      </c>
      <c r="J911" s="1641"/>
      <c r="K911" s="1577">
        <f>K1042+K1061</f>
        <v>0</v>
      </c>
      <c r="M911" s="1570"/>
      <c r="O911" s="1660">
        <f>I949</f>
        <v>1768</v>
      </c>
      <c r="P911" s="1598">
        <f>(O911-F929)/F929</f>
        <v>5.5522388059701493E-2</v>
      </c>
      <c r="Q911" s="1598"/>
      <c r="T911" s="1618"/>
      <c r="U911" s="1615"/>
      <c r="V911" s="1618"/>
      <c r="W911" s="1615"/>
      <c r="X911" s="1618"/>
      <c r="Y911" s="1618"/>
      <c r="Z911" s="1616"/>
      <c r="AA911" s="1570"/>
      <c r="AB911" s="1570"/>
      <c r="AC911" s="1570"/>
      <c r="AD911" s="1570"/>
      <c r="AE911" s="1570"/>
      <c r="AF911" s="1570"/>
      <c r="AG911" s="1570"/>
      <c r="AH911" s="1570"/>
      <c r="AI911" s="1570"/>
      <c r="AJ911" s="1570"/>
    </row>
    <row r="912" spans="1:36">
      <c r="A912" s="1600" t="s">
        <v>397</v>
      </c>
      <c r="B912" s="1599">
        <f t="shared" si="145"/>
        <v>695</v>
      </c>
      <c r="C912" s="1660"/>
      <c r="D912" s="1660"/>
      <c r="E912" s="1577"/>
      <c r="F912" s="1736"/>
      <c r="G912" s="1574"/>
      <c r="H912" s="1577"/>
      <c r="J912" s="1574"/>
      <c r="K912" s="1577"/>
      <c r="M912" s="1570"/>
      <c r="O912" s="1660" t="s">
        <v>31</v>
      </c>
      <c r="P912" s="1640"/>
      <c r="Q912" s="1640"/>
      <c r="T912" s="1618"/>
      <c r="U912" s="1615"/>
      <c r="V912" s="1618"/>
      <c r="W912" s="1615"/>
      <c r="X912" s="1618"/>
      <c r="Y912" s="1618"/>
      <c r="Z912" s="1616"/>
      <c r="AA912" s="1570"/>
      <c r="AB912" s="1570"/>
      <c r="AC912" s="1570"/>
      <c r="AD912" s="1570"/>
      <c r="AE912" s="1570"/>
      <c r="AF912" s="1570"/>
      <c r="AG912" s="1570"/>
      <c r="AH912" s="1570"/>
      <c r="AI912" s="1570"/>
      <c r="AJ912" s="1570"/>
    </row>
    <row r="913" spans="1:36">
      <c r="A913" s="1600" t="s">
        <v>476</v>
      </c>
      <c r="B913" s="1599">
        <f t="shared" si="145"/>
        <v>993653</v>
      </c>
      <c r="C913" s="1660"/>
      <c r="D913" s="1660"/>
      <c r="E913" s="1577">
        <f>E1044+E1063</f>
        <v>819275</v>
      </c>
      <c r="F913" s="1736"/>
      <c r="G913" s="1574"/>
      <c r="H913" s="1577">
        <f>H1044+H1063</f>
        <v>946273</v>
      </c>
      <c r="J913" s="1574"/>
      <c r="K913" s="1577">
        <f>K1044+K1063</f>
        <v>999835</v>
      </c>
      <c r="M913" s="1570"/>
      <c r="O913" s="1660">
        <f>I951</f>
        <v>1.1200000000000001</v>
      </c>
      <c r="P913" s="1598">
        <f>(O913-F931)/F931</f>
        <v>5.660377358490571E-2</v>
      </c>
      <c r="Q913" s="1598"/>
      <c r="T913" s="1618"/>
      <c r="U913" s="1615"/>
      <c r="V913" s="1618"/>
      <c r="W913" s="1615"/>
      <c r="X913" s="1618"/>
      <c r="Y913" s="1618"/>
      <c r="Z913" s="1616"/>
      <c r="AA913" s="1570"/>
      <c r="AB913" s="1570"/>
      <c r="AC913" s="1570"/>
      <c r="AD913" s="1570"/>
      <c r="AE913" s="1570"/>
      <c r="AF913" s="1570"/>
      <c r="AG913" s="1570"/>
      <c r="AH913" s="1570"/>
      <c r="AI913" s="1570"/>
      <c r="AJ913" s="1570"/>
    </row>
    <row r="914" spans="1:36">
      <c r="A914" s="1600" t="s">
        <v>477</v>
      </c>
      <c r="B914" s="1599">
        <f t="shared" si="145"/>
        <v>0</v>
      </c>
      <c r="C914" s="1660"/>
      <c r="D914" s="1660"/>
      <c r="E914" s="1577">
        <f>E1045+E1064</f>
        <v>0</v>
      </c>
      <c r="F914" s="1736"/>
      <c r="G914" s="1574"/>
      <c r="H914" s="1577">
        <f>H1045+H1064</f>
        <v>0</v>
      </c>
      <c r="J914" s="1574"/>
      <c r="K914" s="1577">
        <f>K1045+K1064</f>
        <v>0</v>
      </c>
      <c r="M914" s="1570"/>
      <c r="O914" s="1660">
        <f>I952</f>
        <v>1.02</v>
      </c>
      <c r="P914" s="1598">
        <f>(O914-F932)/F932</f>
        <v>6.2500000000000056E-2</v>
      </c>
      <c r="Q914" s="1598"/>
      <c r="T914" s="1618"/>
      <c r="U914" s="1615"/>
      <c r="V914" s="1618"/>
      <c r="W914" s="1615"/>
      <c r="X914" s="1618"/>
      <c r="Y914" s="1618"/>
      <c r="Z914" s="1616"/>
      <c r="AA914" s="1570"/>
      <c r="AB914" s="1570"/>
      <c r="AC914" s="1570"/>
      <c r="AD914" s="1570"/>
      <c r="AE914" s="1570"/>
      <c r="AF914" s="1570"/>
      <c r="AG914" s="1570"/>
      <c r="AH914" s="1570"/>
      <c r="AI914" s="1570"/>
      <c r="AJ914" s="1570"/>
    </row>
    <row r="915" spans="1:36">
      <c r="A915" s="1600" t="s">
        <v>406</v>
      </c>
      <c r="B915" s="1599">
        <f t="shared" si="145"/>
        <v>814415</v>
      </c>
      <c r="C915" s="1599">
        <f t="shared" ref="C915:E915" si="146">C1046+C1065</f>
        <v>0</v>
      </c>
      <c r="D915" s="1599">
        <f t="shared" si="146"/>
        <v>0</v>
      </c>
      <c r="E915" s="1599">
        <f t="shared" si="146"/>
        <v>5049094</v>
      </c>
      <c r="F915" s="1736"/>
      <c r="G915" s="1574"/>
      <c r="H915" s="1577">
        <f>H1046+H1065</f>
        <v>5777099</v>
      </c>
      <c r="J915" s="1574"/>
      <c r="K915" s="1577">
        <f>K1046+K1065</f>
        <v>6102865</v>
      </c>
      <c r="M915" s="1570"/>
      <c r="O915" s="1660">
        <f>I953</f>
        <v>7.52</v>
      </c>
      <c r="P915" s="1598">
        <f>(O915-F933)/F933</f>
        <v>5.6179775280898799E-2</v>
      </c>
      <c r="Q915" s="1598"/>
      <c r="S915" s="1571"/>
      <c r="T915" s="1737"/>
      <c r="U915" s="1616"/>
      <c r="V915" s="1737"/>
      <c r="W915" s="1616"/>
      <c r="X915" s="1737"/>
      <c r="Y915" s="1571"/>
      <c r="Z915" s="1616"/>
      <c r="AA915" s="1570"/>
      <c r="AB915" s="1570"/>
      <c r="AC915" s="1570"/>
      <c r="AD915" s="1570"/>
      <c r="AE915" s="1570"/>
      <c r="AF915" s="1570"/>
      <c r="AG915" s="1570"/>
      <c r="AH915" s="1570"/>
    </row>
    <row r="916" spans="1:36">
      <c r="A916" s="1600" t="s">
        <v>429</v>
      </c>
      <c r="B916" s="1599">
        <f t="shared" si="145"/>
        <v>0</v>
      </c>
      <c r="C916" s="1660"/>
      <c r="D916" s="1660"/>
      <c r="E916" s="1577"/>
      <c r="F916" s="1736"/>
      <c r="G916" s="1574"/>
      <c r="H916" s="1577"/>
      <c r="J916" s="1574"/>
      <c r="K916" s="1577"/>
      <c r="M916" s="1570"/>
      <c r="O916" s="1660" t="s">
        <v>31</v>
      </c>
      <c r="P916" s="1640"/>
      <c r="Q916" s="1640"/>
      <c r="S916" s="1571"/>
      <c r="T916" s="1570"/>
      <c r="U916" s="1570"/>
      <c r="V916" s="1678"/>
      <c r="W916" s="1570"/>
      <c r="X916" s="1570"/>
      <c r="Y916" s="1570"/>
      <c r="Z916" s="1570"/>
      <c r="AA916" s="1570"/>
      <c r="AB916" s="1570"/>
      <c r="AC916" s="1570"/>
      <c r="AD916" s="1570"/>
      <c r="AE916" s="1570"/>
      <c r="AF916" s="1570"/>
      <c r="AG916" s="1570"/>
      <c r="AH916" s="1570"/>
    </row>
    <row r="917" spans="1:36">
      <c r="A917" s="1600" t="s">
        <v>467</v>
      </c>
      <c r="B917" s="1599">
        <f t="shared" si="145"/>
        <v>355792393</v>
      </c>
      <c r="C917" s="1730"/>
      <c r="D917" s="1574"/>
      <c r="E917" s="1577">
        <f>E1048+E1067</f>
        <v>13195983</v>
      </c>
      <c r="F917" s="1736"/>
      <c r="G917" s="1574"/>
      <c r="H917" s="1577">
        <f>H1048+H1067</f>
        <v>15072663</v>
      </c>
      <c r="J917" s="1574"/>
      <c r="K917" s="1577">
        <f t="shared" ref="K917:K922" si="147">K1048+K1067</f>
        <v>15910427</v>
      </c>
      <c r="M917" s="1570"/>
      <c r="O917" s="1730">
        <f>I955+I957</f>
        <v>4.4820000000000002</v>
      </c>
      <c r="P917" s="1598">
        <f>(O917-F935)/F935</f>
        <v>5.55817239755063E-2</v>
      </c>
      <c r="Q917" s="1598"/>
      <c r="S917" s="1571"/>
      <c r="T917" s="1570"/>
      <c r="U917" s="1570"/>
      <c r="V917" s="1737"/>
      <c r="W917" s="1570"/>
      <c r="X917" s="1570"/>
      <c r="Y917" s="1570"/>
      <c r="Z917" s="1570"/>
      <c r="AA917" s="1570"/>
      <c r="AB917" s="1570"/>
      <c r="AC917" s="1570"/>
      <c r="AD917" s="1570"/>
      <c r="AE917" s="1570"/>
      <c r="AF917" s="1570"/>
      <c r="AG917" s="1570"/>
      <c r="AH917" s="1570"/>
    </row>
    <row r="918" spans="1:36">
      <c r="A918" s="1600" t="s">
        <v>403</v>
      </c>
      <c r="B918" s="1599">
        <f t="shared" si="145"/>
        <v>199998</v>
      </c>
      <c r="C918" s="1660"/>
      <c r="D918" s="1574"/>
      <c r="E918" s="1577">
        <f>E1049+E1068</f>
        <v>95835</v>
      </c>
      <c r="F918" s="1736"/>
      <c r="G918" s="1574"/>
      <c r="H918" s="1577">
        <f>H1049+H1068</f>
        <v>109835</v>
      </c>
      <c r="J918" s="1574"/>
      <c r="K918" s="1577">
        <f t="shared" si="147"/>
        <v>117672</v>
      </c>
      <c r="M918" s="1570"/>
      <c r="O918" s="1660">
        <f>I936</f>
        <v>0.59</v>
      </c>
      <c r="P918" s="1598">
        <f>(O918-F936)/F936</f>
        <v>7.2727272727272585E-2</v>
      </c>
      <c r="Q918" s="1598"/>
      <c r="S918" s="1571"/>
      <c r="T918" s="1570"/>
      <c r="U918" s="1570"/>
      <c r="V918" s="1570"/>
      <c r="W918" s="1570"/>
      <c r="X918" s="1570"/>
      <c r="Y918" s="1570"/>
      <c r="Z918" s="1570"/>
      <c r="AA918" s="1570"/>
      <c r="AB918" s="1570"/>
      <c r="AC918" s="1570"/>
      <c r="AD918" s="1570"/>
      <c r="AE918" s="1570"/>
      <c r="AF918" s="1570"/>
      <c r="AG918" s="1570"/>
      <c r="AH918" s="1570"/>
    </row>
    <row r="919" spans="1:36" s="1621" customFormat="1">
      <c r="A919" s="1621" t="s">
        <v>938</v>
      </c>
      <c r="B919" s="1688"/>
      <c r="C919" s="1623"/>
      <c r="D919" s="1624"/>
      <c r="E919" s="1625"/>
      <c r="F919" s="1623"/>
      <c r="G919" s="1624"/>
      <c r="H919" s="1625"/>
      <c r="I919" s="1731"/>
      <c r="J919" s="1624"/>
      <c r="K919" s="1625">
        <f t="shared" si="147"/>
        <v>0</v>
      </c>
      <c r="M919" s="1651"/>
      <c r="O919" s="1652"/>
      <c r="R919" s="1653"/>
      <c r="S919" s="1653"/>
      <c r="X919" s="1624"/>
      <c r="Y919" s="1624"/>
      <c r="Z919" s="1624"/>
      <c r="AA919" s="1624"/>
      <c r="AB919" s="1624"/>
      <c r="AC919" s="1624"/>
      <c r="AD919" s="1624"/>
      <c r="AE919" s="1624"/>
      <c r="AF919" s="1624"/>
      <c r="AG919" s="1624"/>
      <c r="AH919" s="1624"/>
      <c r="AJ919" s="1651"/>
    </row>
    <row r="920" spans="1:36">
      <c r="A920" s="1585" t="s">
        <v>384</v>
      </c>
      <c r="B920" s="1599">
        <f>B1051+B1070</f>
        <v>355792393</v>
      </c>
      <c r="C920" s="1647"/>
      <c r="D920" s="1577"/>
      <c r="E920" s="1577">
        <f>E1051+E1070</f>
        <v>20008542</v>
      </c>
      <c r="F920" s="1641"/>
      <c r="G920" s="1585"/>
      <c r="H920" s="1577">
        <f>H1051+H1070</f>
        <v>22873463</v>
      </c>
      <c r="I920" s="1577"/>
      <c r="J920" s="1585"/>
      <c r="K920" s="1577">
        <f t="shared" si="147"/>
        <v>24152169</v>
      </c>
      <c r="M920" s="1570"/>
      <c r="N920" s="1570"/>
      <c r="P920" s="1571"/>
      <c r="Q920" s="1571"/>
      <c r="R920" s="1570"/>
      <c r="S920" s="1570"/>
      <c r="T920" s="1570"/>
      <c r="U920" s="1570"/>
      <c r="V920" s="1570"/>
      <c r="W920" s="1570"/>
      <c r="X920" s="1570"/>
      <c r="Y920" s="1570"/>
      <c r="Z920" s="1570"/>
      <c r="AA920" s="1570"/>
      <c r="AB920" s="1570"/>
      <c r="AC920" s="1570"/>
      <c r="AD920" s="1570"/>
      <c r="AE920" s="1570"/>
      <c r="AF920" s="1570"/>
      <c r="AG920" s="1570"/>
      <c r="AH920" s="1570"/>
    </row>
    <row r="921" spans="1:36">
      <c r="A921" s="1585" t="s">
        <v>366</v>
      </c>
      <c r="B921" s="1663">
        <f ca="1">B1052+B1071</f>
        <v>2562376.8072081548</v>
      </c>
      <c r="C921" s="1600"/>
      <c r="D921" s="1600"/>
      <c r="E921" s="1732" t="e">
        <f>E1052+E1071</f>
        <v>#REF!</v>
      </c>
      <c r="F921" s="1600"/>
      <c r="G921" s="1600"/>
      <c r="H921" s="1732">
        <f ca="1">H1052+H1071</f>
        <v>196038.57052329986</v>
      </c>
      <c r="I921" s="1600"/>
      <c r="J921" s="1600"/>
      <c r="K921" s="1732">
        <f t="shared" ca="1" si="147"/>
        <v>196038.57052329986</v>
      </c>
      <c r="M921" s="1422"/>
      <c r="N921" s="1422"/>
      <c r="O921" s="1423"/>
      <c r="P921" s="1571"/>
      <c r="Q921" s="1571"/>
      <c r="R921" s="1570"/>
      <c r="S921" s="1570"/>
      <c r="T921" s="1570"/>
      <c r="U921" s="1570"/>
      <c r="V921" s="1570"/>
      <c r="W921" s="1570"/>
      <c r="X921" s="1570"/>
      <c r="Y921" s="1570"/>
      <c r="Z921" s="1570"/>
      <c r="AA921" s="1570"/>
      <c r="AB921" s="1570"/>
      <c r="AC921" s="1570"/>
      <c r="AD921" s="1570"/>
      <c r="AE921" s="1570"/>
      <c r="AF921" s="1570"/>
      <c r="AG921" s="1570"/>
      <c r="AH921" s="1570"/>
    </row>
    <row r="922" spans="1:36" ht="15.75" thickBot="1">
      <c r="A922" s="1585" t="s">
        <v>385</v>
      </c>
      <c r="B922" s="1738">
        <f ca="1">B1053+B1072</f>
        <v>358354769.80720818</v>
      </c>
      <c r="C922" s="1666"/>
      <c r="D922" s="1667"/>
      <c r="E922" s="1739" t="e">
        <f>E1053+E1072</f>
        <v>#REF!</v>
      </c>
      <c r="F922" s="1666"/>
      <c r="G922" s="1670"/>
      <c r="H922" s="1739">
        <f ca="1">H1053+H1072</f>
        <v>23069501.570523299</v>
      </c>
      <c r="I922" s="1666"/>
      <c r="J922" s="1670"/>
      <c r="K922" s="1739">
        <f t="shared" ca="1" si="147"/>
        <v>24348207.570523299</v>
      </c>
      <c r="M922" s="1424"/>
      <c r="N922" s="1594" t="s">
        <v>367</v>
      </c>
      <c r="O922" s="1673">
        <f ca="1">('Rate Spread-Staff'!Q27+'Rate Spread-Staff'!Q26)*1000</f>
        <v>24655691.380181629</v>
      </c>
      <c r="P922" s="1674">
        <f>'Rate Spread-Staff'!V27</f>
        <v>5.5400000000000005E-2</v>
      </c>
      <c r="Q922" s="1597"/>
      <c r="R922" s="1589" t="s">
        <v>731</v>
      </c>
      <c r="S922" s="1570"/>
      <c r="T922" s="1570"/>
      <c r="U922" s="1570"/>
      <c r="V922" s="1570"/>
      <c r="W922" s="1570"/>
      <c r="X922" s="1570"/>
      <c r="Y922" s="1570"/>
      <c r="Z922" s="1570"/>
      <c r="AA922" s="1570"/>
      <c r="AB922" s="1570"/>
      <c r="AC922" s="1570"/>
      <c r="AD922" s="1570"/>
      <c r="AE922" s="1570"/>
      <c r="AF922" s="1570"/>
      <c r="AG922" s="1570"/>
      <c r="AH922" s="1570"/>
    </row>
    <row r="923" spans="1:36" ht="15.75" thickTop="1">
      <c r="A923" s="1585"/>
      <c r="B923" s="1680"/>
      <c r="C923" s="1681"/>
      <c r="D923" s="1682"/>
      <c r="E923" s="1636"/>
      <c r="F923" s="1681"/>
      <c r="G923" s="1683"/>
      <c r="H923" s="1636"/>
      <c r="I923" s="1681"/>
      <c r="J923" s="1683"/>
      <c r="K923" s="1636"/>
      <c r="M923" s="1424"/>
      <c r="N923" s="1740" t="s">
        <v>265</v>
      </c>
      <c r="O923" s="1414">
        <f ca="1">O922-N925</f>
        <v>-837.70203553140163</v>
      </c>
      <c r="P923" s="1741"/>
      <c r="Q923" s="1571"/>
      <c r="R923" s="1570"/>
      <c r="S923" s="1570"/>
      <c r="T923" s="1570"/>
      <c r="U923" s="1570"/>
      <c r="V923" s="1570"/>
      <c r="W923" s="1570"/>
      <c r="X923" s="1570"/>
      <c r="Y923" s="1570"/>
      <c r="Z923" s="1570"/>
      <c r="AA923" s="1570"/>
      <c r="AB923" s="1570"/>
      <c r="AC923" s="1570"/>
      <c r="AD923" s="1570"/>
      <c r="AE923" s="1570"/>
      <c r="AF923" s="1570"/>
      <c r="AG923" s="1570"/>
      <c r="AH923" s="1570"/>
    </row>
    <row r="924" spans="1:36">
      <c r="A924" s="1609" t="s">
        <v>479</v>
      </c>
      <c r="B924" s="1585"/>
      <c r="C924" s="1577"/>
      <c r="D924" s="1577"/>
      <c r="E924" s="1585"/>
      <c r="F924" s="1577"/>
      <c r="G924" s="1585"/>
      <c r="H924" s="1585"/>
      <c r="I924" s="1577"/>
      <c r="J924" s="1585"/>
      <c r="M924" s="1570"/>
      <c r="P924" s="1571"/>
      <c r="Q924" s="1571"/>
      <c r="R924" s="1570"/>
      <c r="S924" s="1570"/>
      <c r="T924" s="1570"/>
      <c r="U924" s="1570"/>
      <c r="V924" s="1570"/>
      <c r="W924" s="1570"/>
      <c r="X924" s="1570"/>
      <c r="Y924" s="1570"/>
      <c r="Z924" s="1570"/>
      <c r="AA924" s="1570"/>
      <c r="AB924" s="1570"/>
      <c r="AC924" s="1570"/>
      <c r="AD924" s="1570"/>
      <c r="AE924" s="1570"/>
      <c r="AF924" s="1570"/>
      <c r="AG924" s="1570"/>
      <c r="AH924" s="1570"/>
    </row>
    <row r="925" spans="1:36">
      <c r="A925" s="1600" t="s">
        <v>706</v>
      </c>
      <c r="B925" s="1585"/>
      <c r="C925" s="1577"/>
      <c r="D925" s="1577"/>
      <c r="E925" s="1585"/>
      <c r="F925" s="1577"/>
      <c r="G925" s="1585"/>
      <c r="H925" s="1585"/>
      <c r="I925" s="1577"/>
      <c r="J925" s="1585"/>
      <c r="K925" s="1585"/>
      <c r="M925" s="1570"/>
      <c r="N925" s="1577">
        <f ca="1">K885+K922</f>
        <v>24656529.082217161</v>
      </c>
      <c r="O925" s="1571" t="s">
        <v>731</v>
      </c>
      <c r="P925" s="1604">
        <f ca="1">(N925-(H922+H885))/(H922+H885)</f>
        <v>5.5499295996603325E-2</v>
      </c>
      <c r="Q925" s="1571"/>
      <c r="R925" s="1678"/>
      <c r="S925" s="1570"/>
      <c r="T925" s="1570"/>
      <c r="U925" s="1570"/>
      <c r="V925" s="1570"/>
      <c r="W925" s="1570"/>
      <c r="X925" s="1570"/>
      <c r="Y925" s="1570"/>
      <c r="Z925" s="1570"/>
      <c r="AA925" s="1570"/>
      <c r="AB925" s="1570"/>
      <c r="AC925" s="1570"/>
      <c r="AD925" s="1570"/>
      <c r="AE925" s="1570"/>
      <c r="AF925" s="1570"/>
      <c r="AG925" s="1570"/>
      <c r="AH925" s="1570"/>
    </row>
    <row r="926" spans="1:36">
      <c r="A926" s="1600"/>
      <c r="B926" s="1585"/>
      <c r="C926" s="1577"/>
      <c r="D926" s="1577"/>
      <c r="E926" s="1585"/>
      <c r="F926" s="1577"/>
      <c r="G926" s="1585"/>
      <c r="H926" s="1585"/>
      <c r="I926" s="1577"/>
      <c r="J926" s="1585"/>
      <c r="K926" s="1585"/>
      <c r="M926" s="1570"/>
      <c r="N926" s="1570"/>
      <c r="O926" s="1571"/>
      <c r="P926" s="1571"/>
      <c r="Q926" s="1571"/>
      <c r="R926" s="1570"/>
      <c r="S926" s="1570"/>
      <c r="T926" s="1570"/>
      <c r="U926" s="1570"/>
      <c r="V926" s="1570"/>
      <c r="W926" s="1570"/>
      <c r="X926" s="1570"/>
      <c r="Y926" s="1570"/>
      <c r="Z926" s="1570"/>
      <c r="AA926" s="1570"/>
      <c r="AB926" s="1570"/>
      <c r="AC926" s="1570"/>
      <c r="AD926" s="1570"/>
      <c r="AE926" s="1570"/>
      <c r="AF926" s="1570"/>
      <c r="AG926" s="1570"/>
      <c r="AH926" s="1570"/>
    </row>
    <row r="927" spans="1:36">
      <c r="A927" s="1600" t="s">
        <v>396</v>
      </c>
      <c r="B927" s="1599"/>
      <c r="C927" s="1577"/>
      <c r="D927" s="1577"/>
      <c r="E927" s="1585"/>
      <c r="F927" s="1577"/>
      <c r="G927" s="1585"/>
      <c r="H927" s="1585"/>
      <c r="I927" s="1577"/>
      <c r="J927" s="1585"/>
      <c r="K927" s="1585"/>
      <c r="M927" s="1570"/>
      <c r="N927" s="1570"/>
      <c r="O927" s="1571"/>
      <c r="P927" s="1571"/>
      <c r="Q927" s="1571"/>
      <c r="R927" s="1570"/>
      <c r="S927" s="1570"/>
      <c r="T927" s="1570"/>
      <c r="U927" s="1570"/>
      <c r="V927" s="1570"/>
      <c r="W927" s="1570"/>
      <c r="X927" s="1570"/>
      <c r="Y927" s="1570"/>
      <c r="Z927" s="1570"/>
      <c r="AA927" s="1570"/>
      <c r="AB927" s="1570"/>
      <c r="AC927" s="1570"/>
      <c r="AD927" s="1570"/>
      <c r="AE927" s="1570"/>
      <c r="AF927" s="1570"/>
      <c r="AG927" s="1570"/>
      <c r="AH927" s="1570"/>
    </row>
    <row r="928" spans="1:36">
      <c r="A928" s="1600" t="s">
        <v>474</v>
      </c>
      <c r="B928" s="1599">
        <f t="shared" ref="B928:B933" si="148">B948+B966</f>
        <v>564</v>
      </c>
      <c r="C928" s="1660">
        <v>1215</v>
      </c>
      <c r="D928" s="1660"/>
      <c r="E928" s="1577">
        <f>ROUND(C928*$B928,0)</f>
        <v>685260</v>
      </c>
      <c r="F928" s="1660">
        <v>1386</v>
      </c>
      <c r="G928" s="1574"/>
      <c r="H928" s="1577">
        <f>ROUND(F928*B928,0)</f>
        <v>781704</v>
      </c>
      <c r="I928" s="1660">
        <f>ROUNDUP(F928*(1+$P$922),0)</f>
        <v>1463</v>
      </c>
      <c r="J928" s="1574"/>
      <c r="K928" s="1577">
        <f>ROUND(I928*$B928,0)</f>
        <v>825132</v>
      </c>
      <c r="M928" s="1570"/>
      <c r="N928" s="1570"/>
      <c r="P928" s="1604">
        <f>(I928-F928)/F928</f>
        <v>5.5555555555555552E-2</v>
      </c>
      <c r="Q928" s="1597"/>
      <c r="R928" s="1570"/>
      <c r="S928" s="1570"/>
      <c r="T928" s="1570"/>
      <c r="U928" s="1570"/>
      <c r="V928" s="1570"/>
      <c r="W928" s="1570"/>
      <c r="X928" s="1570"/>
      <c r="Y928" s="1570"/>
      <c r="Z928" s="1570"/>
      <c r="AA928" s="1570"/>
      <c r="AB928" s="1570"/>
      <c r="AC928" s="1570"/>
      <c r="AD928" s="1570"/>
      <c r="AE928" s="1570"/>
      <c r="AF928" s="1570"/>
      <c r="AG928" s="1570"/>
      <c r="AH928" s="1570"/>
    </row>
    <row r="929" spans="1:36">
      <c r="A929" s="1600" t="s">
        <v>475</v>
      </c>
      <c r="B929" s="1599">
        <f t="shared" si="148"/>
        <v>0</v>
      </c>
      <c r="C929" s="1660">
        <v>1465</v>
      </c>
      <c r="D929" s="1660"/>
      <c r="E929" s="1577">
        <f>ROUND(C929*$B929,0)</f>
        <v>0</v>
      </c>
      <c r="F929" s="1660">
        <v>1675</v>
      </c>
      <c r="G929" s="1641"/>
      <c r="H929" s="1577">
        <f>ROUND(F929*B929,0)</f>
        <v>0</v>
      </c>
      <c r="I929" s="1660">
        <f>ROUNDUP(F929*(1+$P$922),0)</f>
        <v>1768</v>
      </c>
      <c r="J929" s="1641"/>
      <c r="K929" s="1577">
        <f>ROUND(I929*$B929,0)</f>
        <v>0</v>
      </c>
      <c r="M929" s="1570"/>
      <c r="N929" s="1570"/>
      <c r="P929" s="1604">
        <f>(I929-F929)/F929</f>
        <v>5.5522388059701493E-2</v>
      </c>
      <c r="Q929" s="1597"/>
      <c r="R929" s="1570"/>
      <c r="S929" s="1570"/>
      <c r="T929" s="1570"/>
      <c r="U929" s="1570"/>
      <c r="V929" s="1570"/>
      <c r="W929" s="1570"/>
      <c r="X929" s="1570"/>
      <c r="Y929" s="1570"/>
      <c r="Z929" s="1570"/>
      <c r="AA929" s="1570"/>
      <c r="AB929" s="1570"/>
      <c r="AC929" s="1570"/>
      <c r="AD929" s="1570"/>
      <c r="AE929" s="1570"/>
      <c r="AF929" s="1570"/>
      <c r="AG929" s="1570"/>
      <c r="AH929" s="1570"/>
    </row>
    <row r="930" spans="1:36">
      <c r="A930" s="1600" t="s">
        <v>397</v>
      </c>
      <c r="B930" s="1599">
        <f t="shared" si="148"/>
        <v>564</v>
      </c>
      <c r="C930" s="1660" t="s">
        <v>31</v>
      </c>
      <c r="D930" s="1660"/>
      <c r="E930" s="1577" t="s">
        <v>31</v>
      </c>
      <c r="F930" s="1660" t="s">
        <v>31</v>
      </c>
      <c r="G930" s="1574"/>
      <c r="H930" s="1577" t="s">
        <v>31</v>
      </c>
      <c r="I930" s="1660" t="s">
        <v>31</v>
      </c>
      <c r="J930" s="1574"/>
      <c r="K930" s="1577" t="s">
        <v>31</v>
      </c>
      <c r="M930" s="1570"/>
      <c r="N930" s="1570"/>
      <c r="P930" s="1742"/>
      <c r="Q930" s="1571"/>
      <c r="R930" s="1570"/>
      <c r="S930" s="1570"/>
      <c r="T930" s="1570"/>
      <c r="U930" s="1570"/>
      <c r="V930" s="1570"/>
      <c r="W930" s="1570"/>
      <c r="X930" s="1570"/>
      <c r="Y930" s="1570"/>
      <c r="Z930" s="1570"/>
      <c r="AA930" s="1570"/>
      <c r="AB930" s="1570"/>
      <c r="AC930" s="1570"/>
      <c r="AD930" s="1570"/>
      <c r="AE930" s="1570"/>
      <c r="AF930" s="1570"/>
      <c r="AG930" s="1570"/>
      <c r="AH930" s="1570"/>
    </row>
    <row r="931" spans="1:36">
      <c r="A931" s="1600" t="s">
        <v>476</v>
      </c>
      <c r="B931" s="1599">
        <f t="shared" si="148"/>
        <v>791768</v>
      </c>
      <c r="C931" s="1660">
        <v>0.92</v>
      </c>
      <c r="D931" s="1660"/>
      <c r="E931" s="1577">
        <f>ROUND(C931*$B931,0)</f>
        <v>728427</v>
      </c>
      <c r="F931" s="1660">
        <v>1.06</v>
      </c>
      <c r="G931" s="1574"/>
      <c r="H931" s="1577">
        <f t="shared" ref="H931:H933" si="149">ROUND(F931*B931,0)</f>
        <v>839274</v>
      </c>
      <c r="I931" s="1660">
        <f>ROUNDUP(F931*(1+$P$922),2)</f>
        <v>1.1200000000000001</v>
      </c>
      <c r="J931" s="1574"/>
      <c r="K931" s="1577">
        <f>ROUND(I931*$B931,0)</f>
        <v>886780</v>
      </c>
      <c r="M931" s="1570"/>
      <c r="N931" s="1570"/>
      <c r="P931" s="1604">
        <f>(I931-F931)/F931</f>
        <v>5.660377358490571E-2</v>
      </c>
      <c r="Q931" s="1597"/>
      <c r="R931" s="1570"/>
      <c r="S931" s="1570"/>
      <c r="T931" s="1570"/>
      <c r="U931" s="1570"/>
      <c r="V931" s="1570"/>
      <c r="W931" s="1570"/>
      <c r="X931" s="1570"/>
      <c r="Y931" s="1570"/>
      <c r="Z931" s="1570"/>
      <c r="AA931" s="1570"/>
      <c r="AB931" s="1570"/>
      <c r="AC931" s="1570"/>
      <c r="AD931" s="1570"/>
      <c r="AE931" s="1570"/>
      <c r="AF931" s="1570"/>
      <c r="AG931" s="1570"/>
      <c r="AH931" s="1570"/>
    </row>
    <row r="932" spans="1:36">
      <c r="A932" s="1600" t="s">
        <v>477</v>
      </c>
      <c r="B932" s="1599">
        <f t="shared" si="148"/>
        <v>0</v>
      </c>
      <c r="C932" s="1660">
        <v>0.84</v>
      </c>
      <c r="D932" s="1660"/>
      <c r="E932" s="1577">
        <f>ROUND(C932*$B932,0)</f>
        <v>0</v>
      </c>
      <c r="F932" s="1660">
        <v>0.96</v>
      </c>
      <c r="G932" s="1574"/>
      <c r="H932" s="1577">
        <f t="shared" si="149"/>
        <v>0</v>
      </c>
      <c r="I932" s="1660">
        <f>ROUNDUP(F932*(1+$P$922),2)</f>
        <v>1.02</v>
      </c>
      <c r="J932" s="1574"/>
      <c r="K932" s="1577">
        <f>ROUND(I932*$B932,0)</f>
        <v>0</v>
      </c>
      <c r="M932" s="1570"/>
      <c r="N932" s="1570"/>
      <c r="P932" s="1604">
        <f>(I932-F932)/F932</f>
        <v>6.2500000000000056E-2</v>
      </c>
      <c r="Q932" s="1597"/>
      <c r="R932" s="1570"/>
      <c r="S932" s="1570"/>
      <c r="T932" s="1570"/>
      <c r="U932" s="1570"/>
      <c r="V932" s="1570"/>
      <c r="W932" s="1570"/>
      <c r="X932" s="1570"/>
      <c r="Y932" s="1570"/>
      <c r="Z932" s="1570"/>
      <c r="AA932" s="1570"/>
      <c r="AB932" s="1570"/>
      <c r="AC932" s="1570"/>
      <c r="AD932" s="1570"/>
      <c r="AE932" s="1570"/>
      <c r="AF932" s="1570"/>
      <c r="AG932" s="1570"/>
      <c r="AH932" s="1570"/>
    </row>
    <row r="933" spans="1:36">
      <c r="A933" s="1600" t="s">
        <v>406</v>
      </c>
      <c r="B933" s="1599">
        <f t="shared" si="148"/>
        <v>648754</v>
      </c>
      <c r="C933" s="1660">
        <v>6.22</v>
      </c>
      <c r="D933" s="1660"/>
      <c r="E933" s="1577">
        <f>ROUND(C933*$B933,0)</f>
        <v>4035250</v>
      </c>
      <c r="F933" s="1660">
        <v>7.12</v>
      </c>
      <c r="G933" s="1574"/>
      <c r="H933" s="1577">
        <f t="shared" si="149"/>
        <v>4619128</v>
      </c>
      <c r="I933" s="1660">
        <f>ROUNDUP(F933*(1+$P$922),2)</f>
        <v>7.52</v>
      </c>
      <c r="J933" s="1574"/>
      <c r="K933" s="1577">
        <f>ROUND(I933*$B933,0)</f>
        <v>4878630</v>
      </c>
      <c r="M933" s="1570"/>
      <c r="N933" s="1570"/>
      <c r="P933" s="1604">
        <f>(I933-F933)/F933</f>
        <v>5.6179775280898799E-2</v>
      </c>
      <c r="Q933" s="1597"/>
      <c r="R933" s="1570"/>
      <c r="S933" s="1570"/>
      <c r="T933" s="1570"/>
      <c r="U933" s="1570"/>
      <c r="V933" s="1570"/>
      <c r="W933" s="1570"/>
      <c r="X933" s="1570"/>
      <c r="Y933" s="1570"/>
      <c r="Z933" s="1570"/>
      <c r="AA933" s="1570"/>
      <c r="AB933" s="1570"/>
      <c r="AC933" s="1570"/>
      <c r="AD933" s="1570"/>
      <c r="AE933" s="1570"/>
      <c r="AF933" s="1570"/>
      <c r="AG933" s="1570"/>
      <c r="AH933" s="1570"/>
    </row>
    <row r="934" spans="1:36">
      <c r="A934" s="1600" t="s">
        <v>429</v>
      </c>
      <c r="B934" s="1599"/>
      <c r="C934" s="1660" t="s">
        <v>31</v>
      </c>
      <c r="D934" s="1660"/>
      <c r="E934" s="1577"/>
      <c r="F934" s="1660" t="s">
        <v>31</v>
      </c>
      <c r="G934" s="1574"/>
      <c r="H934" s="1577"/>
      <c r="I934" s="1660" t="s">
        <v>31</v>
      </c>
      <c r="J934" s="1574"/>
      <c r="K934" s="1577"/>
      <c r="M934" s="1570"/>
      <c r="N934" s="1570"/>
      <c r="P934" s="1742"/>
      <c r="Q934" s="1571"/>
      <c r="R934" s="1570"/>
      <c r="S934" s="1570"/>
      <c r="T934" s="1570"/>
      <c r="U934" s="1570"/>
      <c r="V934" s="1570"/>
      <c r="W934" s="1570"/>
      <c r="X934" s="1570"/>
      <c r="Y934" s="1570"/>
      <c r="Z934" s="1570"/>
      <c r="AA934" s="1570"/>
      <c r="AB934" s="1570"/>
      <c r="AC934" s="1570"/>
      <c r="AD934" s="1570"/>
      <c r="AE934" s="1570"/>
      <c r="AF934" s="1570"/>
      <c r="AG934" s="1570"/>
      <c r="AH934" s="1570"/>
    </row>
    <row r="935" spans="1:36">
      <c r="A935" s="1600" t="s">
        <v>467</v>
      </c>
      <c r="B935" s="1599">
        <f>B955+B973</f>
        <v>292306193</v>
      </c>
      <c r="C935" s="1730">
        <v>3.718</v>
      </c>
      <c r="D935" s="1574" t="s">
        <v>377</v>
      </c>
      <c r="E935" s="1577">
        <f>ROUND(C935/100*$B935,0)</f>
        <v>10867944</v>
      </c>
      <c r="F935" s="1730">
        <v>4.2460000000000004</v>
      </c>
      <c r="G935" s="1574" t="s">
        <v>377</v>
      </c>
      <c r="H935" s="1577">
        <f>ROUND(F935/100*B935,0)</f>
        <v>12411321</v>
      </c>
      <c r="I935" s="1730">
        <f>ROUNDUP(F935*(1+$P$922)-I937,3)</f>
        <v>4.4820000000000002</v>
      </c>
      <c r="J935" s="1574" t="s">
        <v>377</v>
      </c>
      <c r="K935" s="1577">
        <f>ROUND(I935/100*$B935,0)</f>
        <v>13101164</v>
      </c>
      <c r="M935" s="1570"/>
      <c r="N935" s="1570"/>
      <c r="P935" s="1604">
        <f>(I935+I937-F935)/F935</f>
        <v>5.55817239755063E-2</v>
      </c>
      <c r="Q935" s="1597"/>
      <c r="R935" s="1570"/>
      <c r="S935" s="1570"/>
      <c r="T935" s="1570"/>
      <c r="U935" s="1570"/>
      <c r="V935" s="1570"/>
      <c r="W935" s="1570"/>
      <c r="X935" s="1570"/>
      <c r="Y935" s="1570"/>
      <c r="Z935" s="1570"/>
      <c r="AA935" s="1570"/>
      <c r="AB935" s="1570"/>
      <c r="AC935" s="1570"/>
      <c r="AD935" s="1570"/>
      <c r="AE935" s="1570"/>
      <c r="AF935" s="1570"/>
      <c r="AG935" s="1570"/>
      <c r="AH935" s="1570"/>
    </row>
    <row r="936" spans="1:36">
      <c r="A936" s="1600" t="s">
        <v>403</v>
      </c>
      <c r="B936" s="1599">
        <f>B956+B974</f>
        <v>183678</v>
      </c>
      <c r="C936" s="1660">
        <v>0.48</v>
      </c>
      <c r="D936" s="1574"/>
      <c r="E936" s="1577">
        <f>ROUND(C936*$B936,0)</f>
        <v>88165</v>
      </c>
      <c r="F936" s="1660">
        <v>0.55000000000000004</v>
      </c>
      <c r="G936" s="1574"/>
      <c r="H936" s="1577">
        <f>ROUND(F936*B936,0)</f>
        <v>101023</v>
      </c>
      <c r="I936" s="1660">
        <f>ROUNDUP(F936*(1+$P$922),2)</f>
        <v>0.59</v>
      </c>
      <c r="J936" s="1574"/>
      <c r="K936" s="1577">
        <f>ROUND(I936*$B936,0)</f>
        <v>108370</v>
      </c>
      <c r="M936" s="1570"/>
      <c r="N936" s="1570"/>
      <c r="P936" s="1604">
        <f>(I936-F936)/F936</f>
        <v>7.2727272727272585E-2</v>
      </c>
      <c r="Q936" s="1597"/>
      <c r="R936" s="1570"/>
      <c r="S936" s="1570"/>
      <c r="T936" s="1570"/>
      <c r="U936" s="1570"/>
      <c r="V936" s="1570"/>
      <c r="W936" s="1570"/>
      <c r="X936" s="1570"/>
      <c r="Y936" s="1570"/>
      <c r="Z936" s="1570"/>
      <c r="AA936" s="1570"/>
      <c r="AB936" s="1570"/>
      <c r="AC936" s="1570"/>
      <c r="AD936" s="1570"/>
      <c r="AE936" s="1570"/>
      <c r="AF936" s="1570"/>
      <c r="AG936" s="1570"/>
      <c r="AH936" s="1570"/>
    </row>
    <row r="937" spans="1:36" s="1621" customFormat="1">
      <c r="A937" s="1621" t="s">
        <v>938</v>
      </c>
      <c r="B937" s="1648">
        <f>B957+B975</f>
        <v>292306193</v>
      </c>
      <c r="C937" s="1623"/>
      <c r="D937" s="1624"/>
      <c r="E937" s="1625"/>
      <c r="F937" s="1623"/>
      <c r="G937" s="1624"/>
      <c r="H937" s="1625"/>
      <c r="I937" s="1626">
        <v>0</v>
      </c>
      <c r="J937" s="1689" t="s">
        <v>377</v>
      </c>
      <c r="K937" s="1625">
        <f>ROUND(I937/100*$B937,0)</f>
        <v>0</v>
      </c>
      <c r="M937" s="1651"/>
      <c r="N937" s="1651">
        <f>'NPC Spread'!G34</f>
        <v>9034034.1421799418</v>
      </c>
      <c r="O937" s="1652" t="s">
        <v>913</v>
      </c>
      <c r="R937" s="1653"/>
      <c r="S937" s="1653"/>
      <c r="X937" s="1624"/>
      <c r="Y937" s="1624"/>
      <c r="Z937" s="1624"/>
      <c r="AA937" s="1624"/>
      <c r="AB937" s="1624"/>
      <c r="AC937" s="1624"/>
      <c r="AD937" s="1624"/>
      <c r="AE937" s="1624"/>
      <c r="AF937" s="1624"/>
      <c r="AG937" s="1624"/>
      <c r="AH937" s="1624"/>
      <c r="AJ937" s="1651"/>
    </row>
    <row r="938" spans="1:36">
      <c r="A938" s="1569" t="s">
        <v>922</v>
      </c>
      <c r="B938" s="1599"/>
      <c r="C938" s="1584"/>
      <c r="D938" s="1570"/>
      <c r="E938" s="1577"/>
      <c r="F938" s="1730">
        <f>F935</f>
        <v>4.2460000000000004</v>
      </c>
      <c r="G938" s="1574" t="s">
        <v>377</v>
      </c>
      <c r="H938" s="1577"/>
      <c r="I938" s="1389">
        <f>I935+I937</f>
        <v>4.4820000000000002</v>
      </c>
      <c r="J938" s="1574" t="s">
        <v>377</v>
      </c>
      <c r="K938" s="1577"/>
      <c r="M938" s="1578"/>
      <c r="N938" s="1578"/>
      <c r="O938" s="1579"/>
      <c r="P938" s="1604">
        <f>(I938-F938)/F938</f>
        <v>5.55817239755063E-2</v>
      </c>
      <c r="Q938" s="1569"/>
      <c r="R938" s="1580"/>
      <c r="S938" s="1580"/>
      <c r="X938" s="1570"/>
      <c r="Y938" s="1570"/>
      <c r="Z938" s="1570"/>
      <c r="AA938" s="1570"/>
      <c r="AB938" s="1570"/>
      <c r="AC938" s="1570"/>
      <c r="AD938" s="1570"/>
      <c r="AE938" s="1570"/>
      <c r="AF938" s="1570"/>
      <c r="AG938" s="1570"/>
      <c r="AH938" s="1570"/>
      <c r="AJ938" s="1578"/>
    </row>
    <row r="939" spans="1:36">
      <c r="A939" s="1585" t="s">
        <v>384</v>
      </c>
      <c r="B939" s="1599">
        <f>B935</f>
        <v>292306193</v>
      </c>
      <c r="C939" s="1647"/>
      <c r="D939" s="1577"/>
      <c r="E939" s="1577">
        <f>SUM(E928:E936)</f>
        <v>16405046</v>
      </c>
      <c r="F939" s="1647"/>
      <c r="G939" s="1585"/>
      <c r="H939" s="1577">
        <f>SUM(H928:H936)</f>
        <v>18752450</v>
      </c>
      <c r="I939" s="1647"/>
      <c r="J939" s="1585"/>
      <c r="K939" s="1577">
        <f>SUM(K928:K937)</f>
        <v>19800076</v>
      </c>
      <c r="M939" s="1570"/>
      <c r="N939" s="1570"/>
      <c r="O939" s="1571"/>
      <c r="P939" s="1571"/>
      <c r="Q939" s="1571"/>
      <c r="R939" s="1570"/>
      <c r="S939" s="1570"/>
      <c r="T939" s="1570"/>
      <c r="U939" s="1570"/>
      <c r="V939" s="1570"/>
      <c r="W939" s="1570"/>
      <c r="X939" s="1570"/>
      <c r="Y939" s="1570"/>
      <c r="Z939" s="1570"/>
      <c r="AA939" s="1570"/>
      <c r="AB939" s="1570"/>
      <c r="AC939" s="1570"/>
      <c r="AD939" s="1570"/>
      <c r="AE939" s="1570"/>
      <c r="AF939" s="1570"/>
      <c r="AG939" s="1570"/>
      <c r="AH939" s="1570"/>
    </row>
    <row r="940" spans="1:36">
      <c r="A940" s="1585" t="s">
        <v>366</v>
      </c>
      <c r="B940" s="1599">
        <f ca="1">B959+B977</f>
        <v>2651326.442353046</v>
      </c>
      <c r="C940" s="1600"/>
      <c r="D940" s="1600"/>
      <c r="E940" s="1664" t="e">
        <f>E959+E977</f>
        <v>#REF!</v>
      </c>
      <c r="F940" s="1600"/>
      <c r="G940" s="1600"/>
      <c r="H940" s="1663">
        <f ca="1">H959+H977</f>
        <v>169058.49388907425</v>
      </c>
      <c r="I940" s="1600"/>
      <c r="J940" s="1600"/>
      <c r="K940" s="1664">
        <f ca="1">H940</f>
        <v>169058.49388907425</v>
      </c>
      <c r="M940" s="1422"/>
      <c r="N940" s="1422"/>
      <c r="O940" s="1423"/>
      <c r="P940" s="1571"/>
      <c r="Q940" s="1571"/>
      <c r="R940" s="1570"/>
      <c r="S940" s="1570"/>
      <c r="T940" s="1570"/>
      <c r="U940" s="1570"/>
      <c r="V940" s="1570"/>
      <c r="W940" s="1570"/>
      <c r="X940" s="1570"/>
      <c r="Y940" s="1570"/>
      <c r="Z940" s="1570"/>
      <c r="AA940" s="1570"/>
      <c r="AB940" s="1570"/>
      <c r="AC940" s="1570"/>
      <c r="AD940" s="1570"/>
      <c r="AE940" s="1570"/>
      <c r="AF940" s="1570"/>
      <c r="AG940" s="1570"/>
      <c r="AH940" s="1570"/>
    </row>
    <row r="941" spans="1:36" ht="18" customHeight="1" thickBot="1">
      <c r="A941" s="1585" t="s">
        <v>385</v>
      </c>
      <c r="B941" s="1727">
        <f ca="1">SUM(B939)+B940</f>
        <v>294957519.44235307</v>
      </c>
      <c r="C941" s="1666"/>
      <c r="D941" s="1667"/>
      <c r="E941" s="1668" t="e">
        <f>E939+E940</f>
        <v>#REF!</v>
      </c>
      <c r="F941" s="1666"/>
      <c r="G941" s="1670"/>
      <c r="H941" s="1668">
        <f ca="1">H939+H940</f>
        <v>18921508.493889075</v>
      </c>
      <c r="I941" s="1666"/>
      <c r="J941" s="1670"/>
      <c r="K941" s="1668">
        <f ca="1">K939+K940</f>
        <v>19969134.493889075</v>
      </c>
      <c r="M941" s="1424"/>
      <c r="N941" s="1570" t="s">
        <v>31</v>
      </c>
      <c r="O941" s="1571" t="s">
        <v>31</v>
      </c>
      <c r="P941" s="1571"/>
      <c r="Q941" s="1571"/>
      <c r="R941" s="1615" t="s">
        <v>31</v>
      </c>
      <c r="S941" s="1570"/>
      <c r="T941" s="1570"/>
      <c r="U941" s="1570"/>
      <c r="V941" s="1570"/>
      <c r="W941" s="1570"/>
      <c r="X941" s="1570"/>
      <c r="Y941" s="1570"/>
      <c r="Z941" s="1570"/>
      <c r="AA941" s="1570"/>
      <c r="AB941" s="1570"/>
      <c r="AC941" s="1570"/>
      <c r="AD941" s="1570"/>
      <c r="AE941" s="1570"/>
      <c r="AF941" s="1570"/>
      <c r="AG941" s="1570"/>
      <c r="AH941" s="1570"/>
    </row>
    <row r="942" spans="1:36" ht="15.75" thickTop="1">
      <c r="A942" s="1585"/>
      <c r="B942" s="1610"/>
      <c r="C942" s="1660"/>
      <c r="D942" s="1577"/>
      <c r="E942" s="1577"/>
      <c r="F942" s="1660"/>
      <c r="G942" s="1585"/>
      <c r="H942" s="1577" t="s">
        <v>31</v>
      </c>
      <c r="I942" s="1660"/>
      <c r="J942" s="1585"/>
      <c r="K942" s="1710"/>
      <c r="M942" s="1570"/>
      <c r="N942" s="1570"/>
      <c r="O942" s="1571"/>
      <c r="P942" s="1571"/>
      <c r="Q942" s="1571"/>
      <c r="R942" s="1570" t="s">
        <v>31</v>
      </c>
      <c r="S942" s="1570"/>
      <c r="T942" s="1570"/>
      <c r="U942" s="1570"/>
      <c r="V942" s="1570"/>
      <c r="W942" s="1570"/>
      <c r="X942" s="1570"/>
      <c r="Y942" s="1570"/>
      <c r="Z942" s="1570"/>
      <c r="AA942" s="1570"/>
      <c r="AB942" s="1570"/>
      <c r="AC942" s="1570"/>
      <c r="AD942" s="1570"/>
      <c r="AE942" s="1570"/>
      <c r="AF942" s="1570"/>
      <c r="AG942" s="1570"/>
      <c r="AH942" s="1570"/>
    </row>
    <row r="943" spans="1:36" hidden="1">
      <c r="A943" s="1585"/>
      <c r="B943" s="1610"/>
      <c r="C943" s="1660"/>
      <c r="D943" s="1577"/>
      <c r="E943" s="1577"/>
      <c r="F943" s="1660"/>
      <c r="G943" s="1585"/>
      <c r="H943" s="1577"/>
      <c r="I943" s="1660"/>
      <c r="J943" s="1585"/>
      <c r="K943" s="1710"/>
      <c r="M943" s="1570"/>
      <c r="P943" s="1571"/>
      <c r="Q943" s="1571"/>
      <c r="R943" s="1570"/>
      <c r="S943" s="1570"/>
      <c r="T943" s="1570"/>
      <c r="U943" s="1570"/>
      <c r="V943" s="1570"/>
      <c r="W943" s="1570"/>
      <c r="X943" s="1570"/>
      <c r="Y943" s="1570"/>
      <c r="Z943" s="1570"/>
      <c r="AA943" s="1570"/>
      <c r="AB943" s="1570"/>
      <c r="AC943" s="1570"/>
      <c r="AD943" s="1570"/>
      <c r="AE943" s="1570"/>
      <c r="AF943" s="1570"/>
      <c r="AG943" s="1570"/>
      <c r="AH943" s="1570"/>
    </row>
    <row r="944" spans="1:36" hidden="1">
      <c r="A944" s="1609" t="s">
        <v>479</v>
      </c>
      <c r="B944" s="1585"/>
      <c r="C944" s="1577"/>
      <c r="D944" s="1577"/>
      <c r="E944" s="1585"/>
      <c r="F944" s="1577"/>
      <c r="G944" s="1585"/>
      <c r="H944" s="1585"/>
      <c r="I944" s="1577"/>
      <c r="J944" s="1585"/>
      <c r="K944" s="1585"/>
      <c r="M944" s="1570"/>
      <c r="N944" s="1570"/>
      <c r="O944" s="1571"/>
      <c r="P944" s="1571"/>
      <c r="Q944" s="1571"/>
      <c r="R944" s="1570"/>
      <c r="S944" s="1570"/>
      <c r="T944" s="1570"/>
      <c r="U944" s="1570"/>
      <c r="V944" s="1570"/>
      <c r="W944" s="1570"/>
      <c r="X944" s="1570"/>
      <c r="Y944" s="1570"/>
      <c r="Z944" s="1570"/>
      <c r="AA944" s="1570"/>
      <c r="AB944" s="1570"/>
      <c r="AC944" s="1570"/>
      <c r="AD944" s="1570"/>
      <c r="AE944" s="1570"/>
      <c r="AF944" s="1570"/>
      <c r="AG944" s="1570"/>
      <c r="AH944" s="1570"/>
    </row>
    <row r="945" spans="1:36" hidden="1">
      <c r="A945" s="1600" t="s">
        <v>705</v>
      </c>
      <c r="B945" s="1585"/>
      <c r="C945" s="1577"/>
      <c r="D945" s="1577"/>
      <c r="E945" s="1585"/>
      <c r="F945" s="1577"/>
      <c r="G945" s="1585"/>
      <c r="H945" s="1585"/>
      <c r="I945" s="1577"/>
      <c r="J945" s="1585"/>
      <c r="K945" s="1585"/>
      <c r="M945" s="1570"/>
      <c r="N945" s="1570"/>
      <c r="O945" s="1571"/>
      <c r="P945" s="1571"/>
      <c r="Q945" s="1571"/>
      <c r="R945" s="1570"/>
      <c r="S945" s="1570"/>
      <c r="T945" s="1570"/>
      <c r="U945" s="1570"/>
      <c r="V945" s="1570"/>
      <c r="W945" s="1570"/>
      <c r="X945" s="1570"/>
      <c r="Y945" s="1570"/>
      <c r="Z945" s="1570"/>
      <c r="AA945" s="1570"/>
      <c r="AB945" s="1570"/>
      <c r="AC945" s="1570"/>
      <c r="AD945" s="1570"/>
      <c r="AE945" s="1570"/>
      <c r="AF945" s="1570"/>
      <c r="AG945" s="1570"/>
      <c r="AH945" s="1570"/>
    </row>
    <row r="946" spans="1:36" hidden="1">
      <c r="A946" s="1600"/>
      <c r="B946" s="1585"/>
      <c r="C946" s="1577"/>
      <c r="D946" s="1577"/>
      <c r="E946" s="1585"/>
      <c r="F946" s="1577"/>
      <c r="G946" s="1585"/>
      <c r="H946" s="1585"/>
      <c r="I946" s="1577"/>
      <c r="J946" s="1585"/>
      <c r="K946" s="1585"/>
      <c r="M946" s="1570"/>
      <c r="N946" s="1570"/>
      <c r="O946" s="1571"/>
      <c r="P946" s="1571"/>
      <c r="Q946" s="1571"/>
      <c r="R946" s="1570"/>
      <c r="S946" s="1570"/>
      <c r="T946" s="1570"/>
      <c r="U946" s="1570"/>
      <c r="V946" s="1570"/>
      <c r="W946" s="1570"/>
      <c r="X946" s="1570"/>
      <c r="Y946" s="1570"/>
      <c r="Z946" s="1570"/>
      <c r="AA946" s="1570"/>
      <c r="AB946" s="1570"/>
      <c r="AC946" s="1570"/>
      <c r="AD946" s="1570"/>
      <c r="AE946" s="1570"/>
      <c r="AF946" s="1570"/>
      <c r="AG946" s="1570"/>
      <c r="AH946" s="1570"/>
    </row>
    <row r="947" spans="1:36" hidden="1">
      <c r="A947" s="1600" t="s">
        <v>396</v>
      </c>
      <c r="B947" s="1599"/>
      <c r="C947" s="1577"/>
      <c r="D947" s="1577"/>
      <c r="E947" s="1585"/>
      <c r="F947" s="1577"/>
      <c r="G947" s="1585"/>
      <c r="H947" s="1585"/>
      <c r="I947" s="1577"/>
      <c r="J947" s="1585"/>
      <c r="K947" s="1585"/>
      <c r="M947" s="1570"/>
      <c r="N947" s="1570"/>
      <c r="O947" s="1571" t="s">
        <v>31</v>
      </c>
      <c r="P947" s="1571"/>
      <c r="Q947" s="1571"/>
      <c r="R947" s="1570"/>
      <c r="S947" s="1570"/>
      <c r="T947" s="1570"/>
      <c r="U947" s="1570"/>
      <c r="V947" s="1570"/>
      <c r="W947" s="1570"/>
      <c r="X947" s="1570"/>
      <c r="Y947" s="1570"/>
      <c r="Z947" s="1570"/>
      <c r="AA947" s="1570"/>
      <c r="AB947" s="1570"/>
      <c r="AC947" s="1570"/>
      <c r="AD947" s="1570"/>
      <c r="AE947" s="1570"/>
      <c r="AF947" s="1570"/>
      <c r="AG947" s="1570"/>
      <c r="AH947" s="1570"/>
    </row>
    <row r="948" spans="1:36" hidden="1">
      <c r="A948" s="1600" t="s">
        <v>474</v>
      </c>
      <c r="B948" s="1599">
        <v>214</v>
      </c>
      <c r="C948" s="1660">
        <v>1215</v>
      </c>
      <c r="D948" s="1660"/>
      <c r="E948" s="1577">
        <f>ROUND(C948*$B948,0)</f>
        <v>260010</v>
      </c>
      <c r="F948" s="1660">
        <v>1386</v>
      </c>
      <c r="G948" s="1574"/>
      <c r="H948" s="1577">
        <f>ROUND(F948*B948,0)</f>
        <v>296604</v>
      </c>
      <c r="I948" s="1660">
        <f>I928</f>
        <v>1463</v>
      </c>
      <c r="J948" s="1574"/>
      <c r="K948" s="1577">
        <f>ROUND(I948*$B948,0)</f>
        <v>313082</v>
      </c>
      <c r="M948" s="1570"/>
      <c r="N948" s="1570"/>
      <c r="O948" s="1571"/>
      <c r="P948" s="1571"/>
      <c r="Q948" s="1571"/>
      <c r="R948" s="1570"/>
      <c r="S948" s="1570"/>
      <c r="T948" s="1570"/>
      <c r="U948" s="1570"/>
      <c r="V948" s="1570"/>
      <c r="W948" s="1570"/>
      <c r="X948" s="1570"/>
      <c r="Y948" s="1570"/>
      <c r="Z948" s="1570"/>
      <c r="AA948" s="1570"/>
      <c r="AB948" s="1570"/>
      <c r="AC948" s="1570"/>
      <c r="AD948" s="1570"/>
      <c r="AE948" s="1570"/>
      <c r="AF948" s="1570"/>
      <c r="AG948" s="1570"/>
      <c r="AH948" s="1570"/>
    </row>
    <row r="949" spans="1:36" hidden="1">
      <c r="A949" s="1600" t="s">
        <v>475</v>
      </c>
      <c r="B949" s="1599">
        <v>0</v>
      </c>
      <c r="C949" s="1660">
        <v>1465</v>
      </c>
      <c r="D949" s="1660"/>
      <c r="E949" s="1577">
        <f>ROUND(C949*$B949,0)</f>
        <v>0</v>
      </c>
      <c r="F949" s="1660">
        <v>1675</v>
      </c>
      <c r="G949" s="1641"/>
      <c r="H949" s="1577">
        <f>ROUND(F949*B949,0)</f>
        <v>0</v>
      </c>
      <c r="I949" s="1660">
        <f>I929</f>
        <v>1768</v>
      </c>
      <c r="J949" s="1641"/>
      <c r="K949" s="1577">
        <f>ROUND(I949*$B949,0)</f>
        <v>0</v>
      </c>
      <c r="M949" s="1570"/>
      <c r="N949" s="1570"/>
      <c r="O949" s="1571"/>
      <c r="P949" s="1571"/>
      <c r="Q949" s="1571"/>
      <c r="R949" s="1570"/>
      <c r="S949" s="1570"/>
      <c r="T949" s="1570"/>
      <c r="U949" s="1570"/>
      <c r="V949" s="1570"/>
      <c r="W949" s="1570"/>
      <c r="X949" s="1570"/>
      <c r="Y949" s="1570"/>
      <c r="Z949" s="1570"/>
      <c r="AA949" s="1570"/>
      <c r="AB949" s="1570"/>
      <c r="AC949" s="1570"/>
      <c r="AD949" s="1570"/>
      <c r="AE949" s="1570"/>
      <c r="AF949" s="1570"/>
      <c r="AG949" s="1570"/>
      <c r="AH949" s="1570"/>
    </row>
    <row r="950" spans="1:36" hidden="1">
      <c r="A950" s="1600" t="s">
        <v>397</v>
      </c>
      <c r="B950" s="1599">
        <f>SUM(B948:B949)</f>
        <v>214</v>
      </c>
      <c r="C950" s="1660" t="s">
        <v>31</v>
      </c>
      <c r="D950" s="1660"/>
      <c r="E950" s="1577" t="s">
        <v>31</v>
      </c>
      <c r="F950" s="1660" t="s">
        <v>31</v>
      </c>
      <c r="G950" s="1574"/>
      <c r="H950" s="1577" t="s">
        <v>31</v>
      </c>
      <c r="I950" s="1660" t="s">
        <v>31</v>
      </c>
      <c r="J950" s="1574"/>
      <c r="K950" s="1577" t="s">
        <v>31</v>
      </c>
      <c r="M950" s="1570"/>
      <c r="N950" s="1570"/>
      <c r="O950" s="1571"/>
      <c r="P950" s="1571"/>
      <c r="Q950" s="1571"/>
      <c r="R950" s="1570"/>
      <c r="S950" s="1570"/>
      <c r="T950" s="1570"/>
      <c r="U950" s="1570"/>
      <c r="V950" s="1570"/>
      <c r="W950" s="1570"/>
      <c r="X950" s="1570"/>
      <c r="Y950" s="1570"/>
      <c r="Z950" s="1570"/>
      <c r="AA950" s="1570"/>
      <c r="AB950" s="1570"/>
      <c r="AC950" s="1570"/>
      <c r="AD950" s="1570"/>
      <c r="AE950" s="1570"/>
      <c r="AF950" s="1570"/>
      <c r="AG950" s="1570"/>
      <c r="AH950" s="1570"/>
    </row>
    <row r="951" spans="1:36" hidden="1">
      <c r="A951" s="1600" t="s">
        <v>476</v>
      </c>
      <c r="B951" s="1599">
        <f>252258</f>
        <v>252258</v>
      </c>
      <c r="C951" s="1660">
        <v>0.92</v>
      </c>
      <c r="D951" s="1660"/>
      <c r="E951" s="1577">
        <f>ROUND(C951*$B951,0)</f>
        <v>232077</v>
      </c>
      <c r="F951" s="1660">
        <v>1.06</v>
      </c>
      <c r="G951" s="1574"/>
      <c r="H951" s="1577">
        <f t="shared" ref="H951:H953" si="150">ROUND(F951*B951,0)</f>
        <v>267393</v>
      </c>
      <c r="I951" s="1660">
        <f>I931</f>
        <v>1.1200000000000001</v>
      </c>
      <c r="J951" s="1574"/>
      <c r="K951" s="1577">
        <f>ROUND(I951*$B951,0)</f>
        <v>282529</v>
      </c>
      <c r="M951" s="1570"/>
      <c r="N951" s="1570"/>
      <c r="O951" s="1571"/>
      <c r="P951" s="1571"/>
      <c r="Q951" s="1571"/>
      <c r="R951" s="1570"/>
      <c r="S951" s="1570"/>
      <c r="T951" s="1570"/>
      <c r="U951" s="1570"/>
      <c r="V951" s="1570"/>
      <c r="W951" s="1570"/>
      <c r="X951" s="1570"/>
      <c r="Y951" s="1570"/>
      <c r="Z951" s="1570"/>
      <c r="AA951" s="1570"/>
      <c r="AB951" s="1570"/>
      <c r="AC951" s="1570"/>
      <c r="AD951" s="1570"/>
      <c r="AE951" s="1570"/>
      <c r="AF951" s="1570"/>
      <c r="AG951" s="1570"/>
      <c r="AH951" s="1570"/>
    </row>
    <row r="952" spans="1:36" hidden="1">
      <c r="A952" s="1600" t="s">
        <v>477</v>
      </c>
      <c r="B952" s="1599">
        <v>0</v>
      </c>
      <c r="C952" s="1660">
        <v>0.84</v>
      </c>
      <c r="D952" s="1660"/>
      <c r="E952" s="1577">
        <f>ROUND(C952*$B952,0)</f>
        <v>0</v>
      </c>
      <c r="F952" s="1660">
        <v>0.96</v>
      </c>
      <c r="G952" s="1574"/>
      <c r="H952" s="1577">
        <f t="shared" si="150"/>
        <v>0</v>
      </c>
      <c r="I952" s="1660">
        <f>I932</f>
        <v>1.02</v>
      </c>
      <c r="J952" s="1574"/>
      <c r="K952" s="1577">
        <f>ROUND(I952*$B952,0)</f>
        <v>0</v>
      </c>
      <c r="M952" s="1570"/>
      <c r="N952" s="1570"/>
      <c r="O952" s="1571"/>
      <c r="P952" s="1571"/>
      <c r="Q952" s="1571"/>
      <c r="R952" s="1570"/>
      <c r="S952" s="1570"/>
      <c r="T952" s="1570"/>
      <c r="U952" s="1570"/>
      <c r="V952" s="1570"/>
      <c r="W952" s="1570"/>
      <c r="X952" s="1570"/>
      <c r="Y952" s="1570"/>
      <c r="Z952" s="1570"/>
      <c r="AA952" s="1570"/>
      <c r="AB952" s="1570"/>
      <c r="AC952" s="1570"/>
      <c r="AD952" s="1570"/>
      <c r="AE952" s="1570"/>
      <c r="AF952" s="1570"/>
      <c r="AG952" s="1570"/>
      <c r="AH952" s="1570"/>
    </row>
    <row r="953" spans="1:36" hidden="1">
      <c r="A953" s="1600" t="s">
        <v>406</v>
      </c>
      <c r="B953" s="1599">
        <f>181843</f>
        <v>181843</v>
      </c>
      <c r="C953" s="1660">
        <v>6.22</v>
      </c>
      <c r="D953" s="1660"/>
      <c r="E953" s="1577">
        <f>ROUND(C953*$B953,0)</f>
        <v>1131063</v>
      </c>
      <c r="F953" s="1660">
        <v>7.12</v>
      </c>
      <c r="G953" s="1574"/>
      <c r="H953" s="1577">
        <f t="shared" si="150"/>
        <v>1294722</v>
      </c>
      <c r="I953" s="1660">
        <f>I933</f>
        <v>7.52</v>
      </c>
      <c r="J953" s="1574"/>
      <c r="K953" s="1577">
        <f>ROUND(I953*$B953,0)</f>
        <v>1367459</v>
      </c>
      <c r="M953" s="1570"/>
      <c r="N953" s="1570"/>
      <c r="O953" s="1571"/>
      <c r="P953" s="1571"/>
      <c r="Q953" s="1571"/>
      <c r="R953" s="1570"/>
      <c r="S953" s="1570"/>
      <c r="T953" s="1570"/>
      <c r="U953" s="1570"/>
      <c r="V953" s="1570"/>
      <c r="W953" s="1570"/>
      <c r="X953" s="1570"/>
      <c r="Y953" s="1570"/>
      <c r="Z953" s="1570"/>
      <c r="AA953" s="1570"/>
      <c r="AB953" s="1570"/>
      <c r="AC953" s="1570"/>
      <c r="AD953" s="1570"/>
      <c r="AE953" s="1570"/>
      <c r="AF953" s="1570"/>
      <c r="AG953" s="1570"/>
      <c r="AH953" s="1570"/>
    </row>
    <row r="954" spans="1:36" hidden="1">
      <c r="A954" s="1600" t="s">
        <v>429</v>
      </c>
      <c r="B954" s="1599"/>
      <c r="C954" s="1660" t="s">
        <v>31</v>
      </c>
      <c r="D954" s="1660"/>
      <c r="E954" s="1577"/>
      <c r="F954" s="1660" t="s">
        <v>31</v>
      </c>
      <c r="G954" s="1574"/>
      <c r="H954" s="1577"/>
      <c r="I954" s="1660" t="s">
        <v>31</v>
      </c>
      <c r="J954" s="1574"/>
      <c r="K954" s="1577"/>
      <c r="M954" s="1570"/>
      <c r="N954" s="1570"/>
      <c r="O954" s="1571"/>
      <c r="P954" s="1571"/>
      <c r="Q954" s="1571"/>
      <c r="R954" s="1570"/>
      <c r="S954" s="1570"/>
      <c r="T954" s="1570"/>
      <c r="U954" s="1570"/>
      <c r="V954" s="1570"/>
      <c r="W954" s="1570"/>
      <c r="X954" s="1570"/>
      <c r="Y954" s="1570"/>
      <c r="Z954" s="1570"/>
      <c r="AA954" s="1570"/>
      <c r="AB954" s="1570"/>
      <c r="AC954" s="1570"/>
      <c r="AD954" s="1570"/>
      <c r="AE954" s="1570"/>
      <c r="AF954" s="1570"/>
      <c r="AG954" s="1570"/>
      <c r="AH954" s="1570"/>
    </row>
    <row r="955" spans="1:36" hidden="1">
      <c r="A955" s="1600" t="s">
        <v>467</v>
      </c>
      <c r="B955" s="1599">
        <f>83386441</f>
        <v>83386441</v>
      </c>
      <c r="C955" s="1730">
        <v>3.718</v>
      </c>
      <c r="D955" s="1574" t="s">
        <v>377</v>
      </c>
      <c r="E955" s="1577">
        <f>ROUND(C955/100*$B955,0)</f>
        <v>3100308</v>
      </c>
      <c r="F955" s="1730">
        <v>4.2460000000000004</v>
      </c>
      <c r="G955" s="1574" t="s">
        <v>377</v>
      </c>
      <c r="H955" s="1577">
        <f>ROUND(F955/100*B955,0)</f>
        <v>3540588</v>
      </c>
      <c r="I955" s="1730">
        <f>I935</f>
        <v>4.4820000000000002</v>
      </c>
      <c r="J955" s="1574" t="s">
        <v>377</v>
      </c>
      <c r="K955" s="1577">
        <f>ROUND(I955/100*$B955,0)</f>
        <v>3737380</v>
      </c>
      <c r="M955" s="1570"/>
      <c r="N955" s="1570"/>
      <c r="O955" s="1571"/>
      <c r="P955" s="1571"/>
      <c r="Q955" s="1571"/>
      <c r="R955" s="1570"/>
      <c r="S955" s="1570"/>
      <c r="T955" s="1570"/>
      <c r="U955" s="1570"/>
      <c r="V955" s="1570"/>
      <c r="W955" s="1570"/>
      <c r="X955" s="1570"/>
      <c r="Y955" s="1570"/>
      <c r="Z955" s="1570"/>
      <c r="AA955" s="1570"/>
      <c r="AB955" s="1570"/>
      <c r="AC955" s="1570"/>
      <c r="AD955" s="1570"/>
      <c r="AE955" s="1570"/>
      <c r="AF955" s="1570"/>
      <c r="AG955" s="1570"/>
      <c r="AH955" s="1570"/>
    </row>
    <row r="956" spans="1:36" hidden="1">
      <c r="A956" s="1600" t="s">
        <v>403</v>
      </c>
      <c r="B956" s="1599">
        <f>24759</f>
        <v>24759</v>
      </c>
      <c r="C956" s="1660">
        <v>0.48</v>
      </c>
      <c r="D956" s="1574"/>
      <c r="E956" s="1577">
        <f>ROUND(C956*$B956,0)</f>
        <v>11884</v>
      </c>
      <c r="F956" s="1660">
        <v>0.55000000000000004</v>
      </c>
      <c r="G956" s="1574"/>
      <c r="H956" s="1577">
        <f>ROUND(F956*B956,0)</f>
        <v>13617</v>
      </c>
      <c r="I956" s="1660">
        <f>I936</f>
        <v>0.59</v>
      </c>
      <c r="J956" s="1574"/>
      <c r="K956" s="1577">
        <f>ROUND(I956*$B956,0)</f>
        <v>14608</v>
      </c>
      <c r="M956" s="1570"/>
      <c r="N956" s="1570"/>
      <c r="O956" s="1571"/>
      <c r="P956" s="1571"/>
      <c r="Q956" s="1571"/>
      <c r="R956" s="1570"/>
      <c r="S956" s="1570"/>
      <c r="T956" s="1570"/>
      <c r="U956" s="1570"/>
      <c r="V956" s="1570"/>
      <c r="W956" s="1570"/>
      <c r="X956" s="1570"/>
      <c r="Y956" s="1570"/>
      <c r="Z956" s="1570"/>
      <c r="AA956" s="1570"/>
      <c r="AB956" s="1570"/>
      <c r="AC956" s="1570"/>
      <c r="AD956" s="1570"/>
      <c r="AE956" s="1570"/>
      <c r="AF956" s="1570"/>
      <c r="AG956" s="1570"/>
      <c r="AH956" s="1570"/>
    </row>
    <row r="957" spans="1:36" hidden="1">
      <c r="A957" s="1569" t="s">
        <v>938</v>
      </c>
      <c r="B957" s="1575">
        <f>B955</f>
        <v>83386441</v>
      </c>
      <c r="C957" s="1584"/>
      <c r="D957" s="1570"/>
      <c r="E957" s="1577"/>
      <c r="F957" s="1584"/>
      <c r="G957" s="1570"/>
      <c r="H957" s="1577"/>
      <c r="I957" s="1389">
        <f>I937</f>
        <v>0</v>
      </c>
      <c r="J957" s="1574" t="s">
        <v>377</v>
      </c>
      <c r="K957" s="1577">
        <f>ROUND(I957*$B957/100,0)</f>
        <v>0</v>
      </c>
      <c r="M957" s="1578"/>
      <c r="O957" s="1579"/>
      <c r="P957" s="1569"/>
      <c r="Q957" s="1569"/>
      <c r="R957" s="1580"/>
      <c r="S957" s="1580"/>
      <c r="X957" s="1570"/>
      <c r="Y957" s="1570"/>
      <c r="Z957" s="1570"/>
      <c r="AA957" s="1570"/>
      <c r="AB957" s="1570"/>
      <c r="AC957" s="1570"/>
      <c r="AD957" s="1570"/>
      <c r="AE957" s="1570"/>
      <c r="AF957" s="1570"/>
      <c r="AG957" s="1570"/>
      <c r="AH957" s="1570"/>
      <c r="AJ957" s="1578"/>
    </row>
    <row r="958" spans="1:36" hidden="1">
      <c r="A958" s="1585" t="s">
        <v>384</v>
      </c>
      <c r="B958" s="1599">
        <f>B955</f>
        <v>83386441</v>
      </c>
      <c r="C958" s="1647"/>
      <c r="D958" s="1577"/>
      <c r="E958" s="1577">
        <f>SUM(E948:E956)</f>
        <v>4735342</v>
      </c>
      <c r="F958" s="1647"/>
      <c r="G958" s="1585"/>
      <c r="H958" s="1577">
        <f>SUM(H948:H956)</f>
        <v>5412924</v>
      </c>
      <c r="I958" s="1647"/>
      <c r="J958" s="1585"/>
      <c r="K958" s="1577">
        <f>SUM(K948:K957)</f>
        <v>5715058</v>
      </c>
      <c r="M958" s="1570"/>
      <c r="N958" s="1570"/>
      <c r="O958" s="1571"/>
      <c r="P958" s="1597"/>
      <c r="Q958" s="1597"/>
      <c r="R958" s="1570"/>
      <c r="S958" s="1570"/>
      <c r="T958" s="1570"/>
      <c r="U958" s="1570"/>
      <c r="V958" s="1570"/>
      <c r="W958" s="1570"/>
      <c r="X958" s="1570"/>
      <c r="Y958" s="1570"/>
      <c r="Z958" s="1570"/>
      <c r="AA958" s="1570"/>
      <c r="AB958" s="1570"/>
      <c r="AC958" s="1570"/>
      <c r="AD958" s="1570"/>
      <c r="AE958" s="1570"/>
      <c r="AF958" s="1570"/>
      <c r="AG958" s="1570"/>
      <c r="AH958" s="1570"/>
    </row>
    <row r="959" spans="1:36" hidden="1">
      <c r="A959" s="1585" t="s">
        <v>366</v>
      </c>
      <c r="B959" s="1599">
        <f>B958/($B$958+$B$1015)*$B$1052</f>
        <v>-214984.84813304298</v>
      </c>
      <c r="C959" s="1600"/>
      <c r="D959" s="1600"/>
      <c r="E959" s="1732" t="e">
        <f>E958/($E$958+$E$1015)*$E$1052</f>
        <v>#REF!</v>
      </c>
      <c r="F959" s="1600"/>
      <c r="G959" s="1600"/>
      <c r="H959" s="1663">
        <f>H958/($B$958+$B$1015)*$B$1052</f>
        <v>-13955.466022296161</v>
      </c>
      <c r="I959" s="1600"/>
      <c r="J959" s="1600"/>
      <c r="K959" s="1664">
        <f>H959</f>
        <v>-13955.466022296161</v>
      </c>
      <c r="M959" s="1422"/>
      <c r="N959" s="1422"/>
      <c r="O959" s="1597" t="s">
        <v>31</v>
      </c>
      <c r="R959" s="1570"/>
      <c r="S959" s="1570"/>
      <c r="T959" s="1570"/>
      <c r="U959" s="1570"/>
      <c r="V959" s="1570"/>
      <c r="W959" s="1570"/>
      <c r="X959" s="1570"/>
      <c r="Y959" s="1570"/>
      <c r="Z959" s="1570"/>
      <c r="AA959" s="1570"/>
      <c r="AB959" s="1570"/>
      <c r="AC959" s="1570"/>
      <c r="AD959" s="1570"/>
      <c r="AE959" s="1570"/>
      <c r="AF959" s="1570"/>
      <c r="AG959" s="1570"/>
      <c r="AH959" s="1570"/>
    </row>
    <row r="960" spans="1:36" ht="15.75" hidden="1" thickBot="1">
      <c r="A960" s="1585" t="s">
        <v>385</v>
      </c>
      <c r="B960" s="1727">
        <f>SUM(B958)+B959</f>
        <v>83171456.151866958</v>
      </c>
      <c r="C960" s="1666"/>
      <c r="D960" s="1667"/>
      <c r="E960" s="1668" t="e">
        <f>E958+E959</f>
        <v>#REF!</v>
      </c>
      <c r="F960" s="1666"/>
      <c r="G960" s="1670"/>
      <c r="H960" s="1668">
        <f>H958+H959</f>
        <v>5398968.5339777041</v>
      </c>
      <c r="I960" s="1666"/>
      <c r="J960" s="1670"/>
      <c r="K960" s="1668">
        <f>K958+K959</f>
        <v>5701102.5339777041</v>
      </c>
      <c r="M960" s="1424"/>
      <c r="N960" s="1424"/>
      <c r="O960" s="1597" t="s">
        <v>31</v>
      </c>
      <c r="P960" s="1571"/>
      <c r="Q960" s="1571"/>
      <c r="R960" s="1615" t="s">
        <v>31</v>
      </c>
      <c r="S960" s="1570"/>
      <c r="T960" s="1570"/>
      <c r="U960" s="1570"/>
      <c r="V960" s="1570"/>
      <c r="W960" s="1570"/>
      <c r="X960" s="1570"/>
      <c r="Y960" s="1570"/>
      <c r="Z960" s="1570"/>
      <c r="AA960" s="1570"/>
      <c r="AB960" s="1570"/>
      <c r="AC960" s="1570"/>
      <c r="AD960" s="1570"/>
      <c r="AE960" s="1570"/>
      <c r="AF960" s="1570"/>
      <c r="AG960" s="1570"/>
      <c r="AH960" s="1570"/>
    </row>
    <row r="961" spans="1:36" ht="15.75" hidden="1" thickTop="1">
      <c r="A961" s="1585"/>
      <c r="B961" s="1610"/>
      <c r="C961" s="1660"/>
      <c r="D961" s="1577"/>
      <c r="E961" s="1577"/>
      <c r="F961" s="1660"/>
      <c r="G961" s="1585"/>
      <c r="H961" s="1577"/>
      <c r="I961" s="1660"/>
      <c r="J961" s="1585"/>
      <c r="K961" s="1710"/>
      <c r="M961" s="1570"/>
      <c r="N961" s="1570"/>
      <c r="O961" s="1571"/>
      <c r="P961" s="1571"/>
      <c r="Q961" s="1571"/>
      <c r="R961" s="1570"/>
      <c r="S961" s="1570"/>
      <c r="T961" s="1570"/>
      <c r="U961" s="1570"/>
      <c r="V961" s="1570"/>
      <c r="W961" s="1570"/>
      <c r="X961" s="1570"/>
      <c r="Y961" s="1570"/>
      <c r="Z961" s="1570"/>
      <c r="AA961" s="1570"/>
      <c r="AB961" s="1570"/>
      <c r="AC961" s="1570"/>
      <c r="AD961" s="1570"/>
      <c r="AE961" s="1570"/>
      <c r="AF961" s="1570"/>
      <c r="AG961" s="1570"/>
      <c r="AH961" s="1570"/>
    </row>
    <row r="962" spans="1:36" hidden="1">
      <c r="A962" s="1609" t="s">
        <v>479</v>
      </c>
      <c r="B962" s="1585"/>
      <c r="C962" s="1577"/>
      <c r="D962" s="1577"/>
      <c r="E962" s="1585"/>
      <c r="F962" s="1577"/>
      <c r="G962" s="1585"/>
      <c r="H962" s="1585"/>
      <c r="I962" s="1577"/>
      <c r="J962" s="1585"/>
      <c r="K962" s="1585"/>
      <c r="M962" s="1570"/>
      <c r="N962" s="1570"/>
      <c r="O962" s="1571"/>
      <c r="P962" s="1571"/>
      <c r="Q962" s="1571"/>
      <c r="R962" s="1570"/>
      <c r="S962" s="1570"/>
      <c r="T962" s="1570"/>
      <c r="U962" s="1570"/>
      <c r="V962" s="1570"/>
      <c r="W962" s="1570"/>
      <c r="X962" s="1570"/>
      <c r="Y962" s="1570"/>
      <c r="Z962" s="1570"/>
      <c r="AA962" s="1570"/>
      <c r="AB962" s="1570"/>
      <c r="AC962" s="1570"/>
      <c r="AD962" s="1570"/>
      <c r="AE962" s="1570"/>
      <c r="AF962" s="1570"/>
      <c r="AG962" s="1570"/>
      <c r="AH962" s="1570"/>
    </row>
    <row r="963" spans="1:36" hidden="1">
      <c r="A963" s="1600" t="s">
        <v>704</v>
      </c>
      <c r="B963" s="1585"/>
      <c r="C963" s="1577"/>
      <c r="D963" s="1577"/>
      <c r="E963" s="1585"/>
      <c r="F963" s="1577"/>
      <c r="G963" s="1585"/>
      <c r="H963" s="1585"/>
      <c r="I963" s="1577"/>
      <c r="J963" s="1585"/>
      <c r="K963" s="1585"/>
      <c r="M963" s="1570"/>
      <c r="N963" s="1570"/>
      <c r="O963" s="1571"/>
      <c r="P963" s="1571"/>
      <c r="Q963" s="1571"/>
      <c r="R963" s="1570"/>
      <c r="S963" s="1570"/>
      <c r="T963" s="1570"/>
      <c r="U963" s="1570"/>
      <c r="V963" s="1570"/>
      <c r="W963" s="1570"/>
      <c r="X963" s="1570"/>
      <c r="Y963" s="1570"/>
      <c r="Z963" s="1570"/>
      <c r="AA963" s="1570"/>
      <c r="AB963" s="1570"/>
      <c r="AC963" s="1570"/>
      <c r="AD963" s="1570"/>
      <c r="AE963" s="1570"/>
      <c r="AF963" s="1570"/>
      <c r="AG963" s="1570"/>
      <c r="AH963" s="1570"/>
    </row>
    <row r="964" spans="1:36" hidden="1">
      <c r="A964" s="1600"/>
      <c r="B964" s="1585"/>
      <c r="C964" s="1577"/>
      <c r="D964" s="1577"/>
      <c r="E964" s="1585"/>
      <c r="F964" s="1577"/>
      <c r="G964" s="1585"/>
      <c r="H964" s="1585"/>
      <c r="I964" s="1577"/>
      <c r="J964" s="1585"/>
      <c r="K964" s="1585"/>
      <c r="M964" s="1570"/>
      <c r="N964" s="1570"/>
      <c r="O964" s="1571"/>
      <c r="P964" s="1571"/>
      <c r="Q964" s="1571"/>
      <c r="R964" s="1570"/>
      <c r="S964" s="1570"/>
      <c r="T964" s="1570"/>
      <c r="U964" s="1570"/>
      <c r="V964" s="1570"/>
      <c r="W964" s="1570"/>
      <c r="X964" s="1570"/>
      <c r="Y964" s="1570"/>
      <c r="Z964" s="1570"/>
      <c r="AA964" s="1570"/>
      <c r="AB964" s="1570"/>
      <c r="AC964" s="1570"/>
      <c r="AD964" s="1570"/>
      <c r="AE964" s="1570"/>
      <c r="AF964" s="1570"/>
      <c r="AG964" s="1570"/>
      <c r="AH964" s="1570"/>
    </row>
    <row r="965" spans="1:36" hidden="1">
      <c r="A965" s="1600" t="s">
        <v>396</v>
      </c>
      <c r="B965" s="1599"/>
      <c r="C965" s="1577"/>
      <c r="D965" s="1577"/>
      <c r="E965" s="1585"/>
      <c r="F965" s="1577"/>
      <c r="G965" s="1585"/>
      <c r="H965" s="1585"/>
      <c r="I965" s="1577"/>
      <c r="J965" s="1585"/>
      <c r="K965" s="1585"/>
      <c r="M965" s="1570"/>
      <c r="N965" s="1570"/>
      <c r="O965" s="1571"/>
      <c r="P965" s="1571"/>
      <c r="Q965" s="1571"/>
      <c r="R965" s="1570"/>
      <c r="S965" s="1570"/>
      <c r="T965" s="1570"/>
      <c r="U965" s="1570"/>
      <c r="V965" s="1570"/>
      <c r="W965" s="1570"/>
      <c r="X965" s="1570"/>
      <c r="Y965" s="1570"/>
      <c r="Z965" s="1570"/>
      <c r="AA965" s="1570"/>
      <c r="AB965" s="1570"/>
      <c r="AC965" s="1570"/>
      <c r="AD965" s="1570"/>
      <c r="AE965" s="1570"/>
      <c r="AF965" s="1570"/>
      <c r="AG965" s="1570"/>
      <c r="AH965" s="1570"/>
    </row>
    <row r="966" spans="1:36" hidden="1">
      <c r="A966" s="1600" t="s">
        <v>474</v>
      </c>
      <c r="B966" s="1599">
        <f>350</f>
        <v>350</v>
      </c>
      <c r="C966" s="1660">
        <v>1215</v>
      </c>
      <c r="D966" s="1660"/>
      <c r="E966" s="1577">
        <f>ROUND(C966*$B966,0)</f>
        <v>425250</v>
      </c>
      <c r="F966" s="1660">
        <v>1386</v>
      </c>
      <c r="G966" s="1574"/>
      <c r="H966" s="1577">
        <f>ROUND(F966*B966,0)</f>
        <v>485100</v>
      </c>
      <c r="I966" s="1660">
        <f>I928</f>
        <v>1463</v>
      </c>
      <c r="J966" s="1574"/>
      <c r="K966" s="1577">
        <f>ROUND(I966*$B966,0)</f>
        <v>512050</v>
      </c>
      <c r="M966" s="1570"/>
      <c r="N966" s="1570"/>
      <c r="O966" s="1571"/>
      <c r="P966" s="1571"/>
      <c r="Q966" s="1571"/>
      <c r="R966" s="1570"/>
      <c r="S966" s="1570"/>
      <c r="T966" s="1570"/>
      <c r="U966" s="1570"/>
      <c r="V966" s="1570"/>
      <c r="W966" s="1570"/>
      <c r="X966" s="1570"/>
      <c r="Y966" s="1570"/>
      <c r="Z966" s="1570"/>
      <c r="AA966" s="1570"/>
      <c r="AB966" s="1570"/>
      <c r="AC966" s="1570"/>
      <c r="AD966" s="1570"/>
      <c r="AE966" s="1570"/>
      <c r="AF966" s="1570"/>
      <c r="AG966" s="1570"/>
      <c r="AH966" s="1570"/>
    </row>
    <row r="967" spans="1:36" hidden="1">
      <c r="A967" s="1600" t="s">
        <v>475</v>
      </c>
      <c r="B967" s="1599">
        <v>0</v>
      </c>
      <c r="C967" s="1660">
        <v>1465</v>
      </c>
      <c r="D967" s="1660"/>
      <c r="E967" s="1577">
        <f>ROUND(C967*$B967,0)</f>
        <v>0</v>
      </c>
      <c r="F967" s="1660">
        <v>1675</v>
      </c>
      <c r="G967" s="1641"/>
      <c r="H967" s="1577">
        <f>ROUND(F967*B967,0)</f>
        <v>0</v>
      </c>
      <c r="I967" s="1660">
        <f>I929</f>
        <v>1768</v>
      </c>
      <c r="J967" s="1641"/>
      <c r="K967" s="1577">
        <f>ROUND(I967*$B967,0)</f>
        <v>0</v>
      </c>
      <c r="M967" s="1570"/>
      <c r="N967" s="1570"/>
      <c r="O967" s="1571"/>
      <c r="P967" s="1571"/>
      <c r="Q967" s="1571"/>
      <c r="R967" s="1570"/>
      <c r="S967" s="1570"/>
      <c r="T967" s="1570"/>
      <c r="U967" s="1570"/>
      <c r="V967" s="1570"/>
      <c r="W967" s="1570"/>
      <c r="X967" s="1570"/>
      <c r="Y967" s="1570"/>
      <c r="Z967" s="1570"/>
      <c r="AA967" s="1570"/>
      <c r="AB967" s="1570"/>
      <c r="AC967" s="1570"/>
      <c r="AD967" s="1570"/>
      <c r="AE967" s="1570"/>
      <c r="AF967" s="1570"/>
      <c r="AG967" s="1570"/>
      <c r="AH967" s="1570"/>
    </row>
    <row r="968" spans="1:36" hidden="1">
      <c r="A968" s="1600" t="s">
        <v>397</v>
      </c>
      <c r="B968" s="1599">
        <f>SUM(B966:B967)</f>
        <v>350</v>
      </c>
      <c r="C968" s="1660" t="s">
        <v>31</v>
      </c>
      <c r="D968" s="1660"/>
      <c r="E968" s="1577" t="s">
        <v>31</v>
      </c>
      <c r="F968" s="1660" t="s">
        <v>31</v>
      </c>
      <c r="G968" s="1574"/>
      <c r="H968" s="1577" t="s">
        <v>31</v>
      </c>
      <c r="I968" s="1660" t="s">
        <v>31</v>
      </c>
      <c r="J968" s="1574"/>
      <c r="K968" s="1577" t="s">
        <v>31</v>
      </c>
      <c r="M968" s="1570"/>
      <c r="N968" s="1570"/>
      <c r="O968" s="1571"/>
      <c r="P968" s="1571"/>
      <c r="Q968" s="1571"/>
      <c r="R968" s="1570"/>
      <c r="S968" s="1570"/>
      <c r="T968" s="1570"/>
      <c r="U968" s="1570"/>
      <c r="V968" s="1570"/>
      <c r="W968" s="1570"/>
      <c r="X968" s="1570"/>
      <c r="Y968" s="1570"/>
      <c r="Z968" s="1570"/>
      <c r="AA968" s="1570"/>
      <c r="AB968" s="1570"/>
      <c r="AC968" s="1570"/>
      <c r="AD968" s="1570"/>
      <c r="AE968" s="1570"/>
      <c r="AF968" s="1570"/>
      <c r="AG968" s="1570"/>
      <c r="AH968" s="1570"/>
    </row>
    <row r="969" spans="1:36" hidden="1">
      <c r="A969" s="1600" t="s">
        <v>476</v>
      </c>
      <c r="B969" s="1599">
        <f>539510</f>
        <v>539510</v>
      </c>
      <c r="C969" s="1660">
        <v>0.92</v>
      </c>
      <c r="D969" s="1660"/>
      <c r="E969" s="1577">
        <f>ROUND(C969*$B969,0)</f>
        <v>496349</v>
      </c>
      <c r="F969" s="1660">
        <v>1.06</v>
      </c>
      <c r="G969" s="1574"/>
      <c r="H969" s="1577">
        <f t="shared" ref="H969:H971" si="151">ROUND(F969*B969,0)</f>
        <v>571881</v>
      </c>
      <c r="I969" s="1660">
        <f>I931</f>
        <v>1.1200000000000001</v>
      </c>
      <c r="J969" s="1574"/>
      <c r="K969" s="1577">
        <f>ROUND(I969*$B969,0)</f>
        <v>604251</v>
      </c>
      <c r="M969" s="1570"/>
      <c r="N969" s="1570"/>
      <c r="O969" s="1571"/>
      <c r="P969" s="1571"/>
      <c r="Q969" s="1571"/>
      <c r="R969" s="1570"/>
      <c r="S969" s="1570"/>
      <c r="T969" s="1570"/>
      <c r="U969" s="1570"/>
      <c r="V969" s="1570"/>
      <c r="W969" s="1570"/>
      <c r="X969" s="1570"/>
      <c r="Y969" s="1570"/>
      <c r="Z969" s="1570"/>
      <c r="AA969" s="1570"/>
      <c r="AB969" s="1570"/>
      <c r="AC969" s="1570"/>
      <c r="AD969" s="1570"/>
      <c r="AE969" s="1570"/>
      <c r="AF969" s="1570"/>
      <c r="AG969" s="1570"/>
      <c r="AH969" s="1570"/>
    </row>
    <row r="970" spans="1:36" hidden="1">
      <c r="A970" s="1600" t="s">
        <v>477</v>
      </c>
      <c r="B970" s="1599">
        <v>0</v>
      </c>
      <c r="C970" s="1660">
        <v>0.84</v>
      </c>
      <c r="D970" s="1660"/>
      <c r="E970" s="1577">
        <f>ROUND(C970*$B970,0)</f>
        <v>0</v>
      </c>
      <c r="F970" s="1660">
        <v>0.96</v>
      </c>
      <c r="G970" s="1574"/>
      <c r="H970" s="1577">
        <f t="shared" si="151"/>
        <v>0</v>
      </c>
      <c r="I970" s="1660">
        <f>I932</f>
        <v>1.02</v>
      </c>
      <c r="J970" s="1574"/>
      <c r="K970" s="1577">
        <f>ROUND(I970*$B970,0)</f>
        <v>0</v>
      </c>
      <c r="M970" s="1570"/>
      <c r="N970" s="1570"/>
      <c r="O970" s="1571"/>
      <c r="P970" s="1571"/>
      <c r="Q970" s="1571"/>
      <c r="R970" s="1570"/>
      <c r="S970" s="1570"/>
      <c r="T970" s="1570"/>
      <c r="U970" s="1570"/>
      <c r="V970" s="1570"/>
      <c r="W970" s="1570"/>
      <c r="X970" s="1570"/>
      <c r="Y970" s="1570"/>
      <c r="Z970" s="1570"/>
      <c r="AA970" s="1570"/>
      <c r="AB970" s="1570"/>
      <c r="AC970" s="1570"/>
      <c r="AD970" s="1570"/>
      <c r="AE970" s="1570"/>
      <c r="AF970" s="1570"/>
      <c r="AG970" s="1570"/>
      <c r="AH970" s="1570"/>
    </row>
    <row r="971" spans="1:36" hidden="1">
      <c r="A971" s="1600" t="s">
        <v>406</v>
      </c>
      <c r="B971" s="1599">
        <f>466911</f>
        <v>466911</v>
      </c>
      <c r="C971" s="1660">
        <v>6.22</v>
      </c>
      <c r="D971" s="1660"/>
      <c r="E971" s="1577">
        <f>ROUND(C971*$B971,0)</f>
        <v>2904186</v>
      </c>
      <c r="F971" s="1660">
        <v>7.12</v>
      </c>
      <c r="G971" s="1574"/>
      <c r="H971" s="1577">
        <f t="shared" si="151"/>
        <v>3324406</v>
      </c>
      <c r="I971" s="1660">
        <f>I933</f>
        <v>7.52</v>
      </c>
      <c r="J971" s="1574"/>
      <c r="K971" s="1577">
        <f>ROUND(I971*$B971,0)</f>
        <v>3511171</v>
      </c>
      <c r="M971" s="1570"/>
      <c r="N971" s="1570"/>
      <c r="O971" s="1571"/>
      <c r="P971" s="1571"/>
      <c r="Q971" s="1571"/>
      <c r="R971" s="1570"/>
      <c r="S971" s="1570"/>
      <c r="T971" s="1570"/>
      <c r="U971" s="1570"/>
      <c r="V971" s="1570"/>
      <c r="W971" s="1570"/>
      <c r="X971" s="1570"/>
      <c r="Y971" s="1570"/>
      <c r="Z971" s="1570"/>
      <c r="AA971" s="1570"/>
      <c r="AB971" s="1570"/>
      <c r="AC971" s="1570"/>
      <c r="AD971" s="1570"/>
      <c r="AE971" s="1570"/>
      <c r="AF971" s="1570"/>
      <c r="AG971" s="1570"/>
      <c r="AH971" s="1570"/>
    </row>
    <row r="972" spans="1:36" hidden="1">
      <c r="A972" s="1600" t="s">
        <v>429</v>
      </c>
      <c r="B972" s="1599"/>
      <c r="C972" s="1660" t="s">
        <v>31</v>
      </c>
      <c r="D972" s="1660"/>
      <c r="E972" s="1577"/>
      <c r="F972" s="1660" t="s">
        <v>31</v>
      </c>
      <c r="G972" s="1574"/>
      <c r="H972" s="1577"/>
      <c r="I972" s="1660" t="s">
        <v>31</v>
      </c>
      <c r="J972" s="1574"/>
      <c r="K972" s="1577"/>
      <c r="M972" s="1570"/>
      <c r="N972" s="1570"/>
      <c r="O972" s="1571"/>
      <c r="P972" s="1571"/>
      <c r="Q972" s="1571"/>
      <c r="R972" s="1570"/>
      <c r="S972" s="1570"/>
      <c r="T972" s="1570"/>
      <c r="U972" s="1570"/>
      <c r="V972" s="1570"/>
      <c r="W972" s="1570"/>
      <c r="X972" s="1570"/>
      <c r="Y972" s="1570"/>
      <c r="Z972" s="1570"/>
      <c r="AA972" s="1570"/>
      <c r="AB972" s="1570"/>
      <c r="AC972" s="1570"/>
      <c r="AD972" s="1570"/>
      <c r="AE972" s="1570"/>
      <c r="AF972" s="1570"/>
      <c r="AG972" s="1570"/>
      <c r="AH972" s="1570"/>
    </row>
    <row r="973" spans="1:36" hidden="1">
      <c r="A973" s="1600" t="s">
        <v>467</v>
      </c>
      <c r="B973" s="1599">
        <f>208919752</f>
        <v>208919752</v>
      </c>
      <c r="C973" s="1730">
        <v>3.718</v>
      </c>
      <c r="D973" s="1574" t="s">
        <v>377</v>
      </c>
      <c r="E973" s="1577">
        <f>ROUND(C973/100*$B973,0)</f>
        <v>7767636</v>
      </c>
      <c r="F973" s="1730">
        <v>4.2460000000000004</v>
      </c>
      <c r="G973" s="1574" t="s">
        <v>377</v>
      </c>
      <c r="H973" s="1577">
        <f>ROUND(F973/100*B973,0)</f>
        <v>8870733</v>
      </c>
      <c r="I973" s="1730">
        <f>I935</f>
        <v>4.4820000000000002</v>
      </c>
      <c r="J973" s="1574" t="s">
        <v>377</v>
      </c>
      <c r="K973" s="1577">
        <f>ROUND(I973/100*$B973,0)</f>
        <v>9363783</v>
      </c>
      <c r="M973" s="1570"/>
      <c r="N973" s="1570"/>
      <c r="O973" s="1571"/>
      <c r="P973" s="1571"/>
      <c r="Q973" s="1571"/>
      <c r="R973" s="1570"/>
      <c r="S973" s="1570"/>
      <c r="T973" s="1570"/>
      <c r="U973" s="1570"/>
      <c r="V973" s="1570"/>
      <c r="W973" s="1570"/>
      <c r="X973" s="1570"/>
      <c r="Y973" s="1570"/>
      <c r="Z973" s="1570"/>
      <c r="AA973" s="1570"/>
      <c r="AB973" s="1570"/>
      <c r="AC973" s="1570"/>
      <c r="AD973" s="1570"/>
      <c r="AE973" s="1570"/>
      <c r="AF973" s="1570"/>
      <c r="AG973" s="1570"/>
      <c r="AH973" s="1570"/>
    </row>
    <row r="974" spans="1:36" hidden="1">
      <c r="A974" s="1600" t="s">
        <v>403</v>
      </c>
      <c r="B974" s="1599">
        <f>158919</f>
        <v>158919</v>
      </c>
      <c r="C974" s="1660">
        <v>0.48</v>
      </c>
      <c r="D974" s="1574"/>
      <c r="E974" s="1577">
        <f>ROUND(C974*$B974,0)</f>
        <v>76281</v>
      </c>
      <c r="F974" s="1660">
        <v>0.55000000000000004</v>
      </c>
      <c r="G974" s="1574"/>
      <c r="H974" s="1577">
        <f>ROUND(F974*B974,0)</f>
        <v>87405</v>
      </c>
      <c r="I974" s="1660">
        <f>I936</f>
        <v>0.59</v>
      </c>
      <c r="J974" s="1574"/>
      <c r="K974" s="1577">
        <f>ROUND(I974*$B974,0)</f>
        <v>93762</v>
      </c>
      <c r="M974" s="1570"/>
      <c r="N974" s="1570"/>
      <c r="O974" s="1571"/>
      <c r="P974" s="1571"/>
      <c r="Q974" s="1571"/>
      <c r="R974" s="1570"/>
      <c r="S974" s="1570"/>
      <c r="T974" s="1570"/>
      <c r="U974" s="1570"/>
      <c r="V974" s="1570"/>
      <c r="W974" s="1570"/>
      <c r="X974" s="1570"/>
      <c r="Y974" s="1570"/>
      <c r="Z974" s="1570"/>
      <c r="AA974" s="1570"/>
      <c r="AB974" s="1570"/>
      <c r="AC974" s="1570"/>
      <c r="AD974" s="1570"/>
      <c r="AE974" s="1570"/>
      <c r="AF974" s="1570"/>
      <c r="AG974" s="1570"/>
      <c r="AH974" s="1570"/>
    </row>
    <row r="975" spans="1:36" hidden="1">
      <c r="A975" s="1569" t="s">
        <v>938</v>
      </c>
      <c r="B975" s="1575">
        <f>B973</f>
        <v>208919752</v>
      </c>
      <c r="C975" s="1584"/>
      <c r="D975" s="1570"/>
      <c r="E975" s="1577"/>
      <c r="F975" s="1584"/>
      <c r="G975" s="1570"/>
      <c r="H975" s="1577"/>
      <c r="I975" s="1389">
        <f>I937</f>
        <v>0</v>
      </c>
      <c r="J975" s="1574" t="s">
        <v>377</v>
      </c>
      <c r="K975" s="1577">
        <f>ROUND(I975*$B975/100,0)</f>
        <v>0</v>
      </c>
      <c r="M975" s="1578"/>
      <c r="O975" s="1579"/>
      <c r="P975" s="1569"/>
      <c r="Q975" s="1569"/>
      <c r="R975" s="1580"/>
      <c r="S975" s="1580"/>
      <c r="X975" s="1570"/>
      <c r="Y975" s="1570"/>
      <c r="Z975" s="1570"/>
      <c r="AA975" s="1570"/>
      <c r="AB975" s="1570"/>
      <c r="AC975" s="1570"/>
      <c r="AD975" s="1570"/>
      <c r="AE975" s="1570"/>
      <c r="AF975" s="1570"/>
      <c r="AG975" s="1570"/>
      <c r="AH975" s="1570"/>
      <c r="AJ975" s="1578"/>
    </row>
    <row r="976" spans="1:36" hidden="1">
      <c r="A976" s="1585" t="s">
        <v>384</v>
      </c>
      <c r="B976" s="1599">
        <f>B973</f>
        <v>208919752</v>
      </c>
      <c r="C976" s="1647"/>
      <c r="D976" s="1577"/>
      <c r="E976" s="1577">
        <f>SUM(E966:E974)</f>
        <v>11669702</v>
      </c>
      <c r="F976" s="1647"/>
      <c r="G976" s="1585"/>
      <c r="H976" s="1577">
        <f>SUM(H966:H974)</f>
        <v>13339525</v>
      </c>
      <c r="I976" s="1647"/>
      <c r="J976" s="1585"/>
      <c r="K976" s="1577">
        <f>SUM(K966:K975)</f>
        <v>14085017</v>
      </c>
      <c r="M976" s="1570"/>
      <c r="N976" s="1570" t="s">
        <v>31</v>
      </c>
      <c r="O976" s="1571"/>
      <c r="P976" s="1571"/>
      <c r="Q976" s="1571"/>
      <c r="R976" s="1570"/>
      <c r="S976" s="1570"/>
      <c r="T976" s="1570"/>
      <c r="U976" s="1570"/>
      <c r="V976" s="1570"/>
      <c r="W976" s="1570"/>
      <c r="X976" s="1570"/>
      <c r="Y976" s="1570"/>
      <c r="Z976" s="1570"/>
      <c r="AA976" s="1570"/>
      <c r="AB976" s="1570"/>
      <c r="AC976" s="1570"/>
      <c r="AD976" s="1570"/>
      <c r="AE976" s="1570"/>
      <c r="AF976" s="1570"/>
      <c r="AG976" s="1570"/>
      <c r="AH976" s="1570"/>
    </row>
    <row r="977" spans="1:34" hidden="1">
      <c r="A977" s="1585" t="s">
        <v>366</v>
      </c>
      <c r="B977" s="1599">
        <f ca="1">B976/($B$976+$B$1033)*$B$1071</f>
        <v>2866311.290486089</v>
      </c>
      <c r="C977" s="1600"/>
      <c r="D977" s="1600"/>
      <c r="E977" s="1732" t="e">
        <f>E976/($E$976+$E$1033)*$E$1071</f>
        <v>#REF!</v>
      </c>
      <c r="F977" s="1600"/>
      <c r="G977" s="1600"/>
      <c r="H977" s="1663">
        <f ca="1">H976/($B$976+$B$1033)*$B$1071</f>
        <v>183013.95991137042</v>
      </c>
      <c r="I977" s="1600"/>
      <c r="J977" s="1600"/>
      <c r="K977" s="1664">
        <f ca="1">H977</f>
        <v>183013.95991137042</v>
      </c>
      <c r="M977" s="1422"/>
      <c r="N977" s="1422"/>
      <c r="O977" s="1423"/>
      <c r="P977" s="1571"/>
      <c r="Q977" s="1571"/>
      <c r="R977" s="1570"/>
      <c r="S977" s="1570"/>
      <c r="T977" s="1570"/>
      <c r="U977" s="1570"/>
      <c r="V977" s="1570"/>
      <c r="W977" s="1570"/>
      <c r="X977" s="1570"/>
      <c r="Y977" s="1570"/>
      <c r="Z977" s="1570"/>
      <c r="AA977" s="1570"/>
      <c r="AB977" s="1570"/>
      <c r="AC977" s="1570"/>
      <c r="AD977" s="1570"/>
      <c r="AE977" s="1570"/>
      <c r="AF977" s="1570"/>
      <c r="AG977" s="1570"/>
      <c r="AH977" s="1570"/>
    </row>
    <row r="978" spans="1:34" ht="15.75" hidden="1" thickBot="1">
      <c r="A978" s="1585" t="s">
        <v>385</v>
      </c>
      <c r="B978" s="1727">
        <f ca="1">SUM(B976)+B977</f>
        <v>211786063.2904861</v>
      </c>
      <c r="C978" s="1666"/>
      <c r="D978" s="1667"/>
      <c r="E978" s="1668" t="e">
        <f>E976+E977</f>
        <v>#REF!</v>
      </c>
      <c r="F978" s="1666"/>
      <c r="G978" s="1670"/>
      <c r="H978" s="1668">
        <f ca="1">H976+H977</f>
        <v>13522538.959911371</v>
      </c>
      <c r="I978" s="1666"/>
      <c r="J978" s="1670"/>
      <c r="K978" s="1668">
        <f ca="1">K976+K977</f>
        <v>14268030.959911371</v>
      </c>
      <c r="M978" s="1424"/>
      <c r="N978" s="1424"/>
      <c r="O978" s="1597"/>
      <c r="P978" s="1571"/>
      <c r="Q978" s="1571"/>
      <c r="R978" s="1615" t="s">
        <v>31</v>
      </c>
      <c r="S978" s="1570"/>
      <c r="T978" s="1570"/>
      <c r="U978" s="1570"/>
      <c r="V978" s="1570"/>
      <c r="W978" s="1570"/>
      <c r="X978" s="1570"/>
      <c r="Y978" s="1570"/>
      <c r="Z978" s="1570"/>
      <c r="AA978" s="1570"/>
      <c r="AB978" s="1570"/>
      <c r="AC978" s="1570"/>
      <c r="AD978" s="1570"/>
      <c r="AE978" s="1570"/>
      <c r="AF978" s="1570"/>
      <c r="AG978" s="1570"/>
      <c r="AH978" s="1570"/>
    </row>
    <row r="979" spans="1:34" ht="15.75" hidden="1" thickTop="1">
      <c r="A979" s="1585"/>
      <c r="B979" s="1610"/>
      <c r="C979" s="1660"/>
      <c r="D979" s="1577"/>
      <c r="E979" s="1577"/>
      <c r="F979" s="1660"/>
      <c r="G979" s="1585"/>
      <c r="H979" s="1577"/>
      <c r="I979" s="1660"/>
      <c r="J979" s="1585"/>
      <c r="K979" s="1710"/>
      <c r="M979" s="1570"/>
      <c r="O979" s="1571"/>
      <c r="P979" s="1597" t="s">
        <v>31</v>
      </c>
      <c r="Q979" s="1597"/>
      <c r="R979" s="1570"/>
      <c r="S979" s="1570"/>
      <c r="T979" s="1570"/>
      <c r="U979" s="1570"/>
      <c r="V979" s="1570"/>
      <c r="W979" s="1570"/>
      <c r="X979" s="1570"/>
      <c r="Y979" s="1570"/>
      <c r="Z979" s="1570"/>
      <c r="AA979" s="1570"/>
      <c r="AB979" s="1570"/>
      <c r="AC979" s="1570"/>
      <c r="AD979" s="1570"/>
      <c r="AE979" s="1570"/>
      <c r="AF979" s="1570"/>
      <c r="AG979" s="1570"/>
      <c r="AH979" s="1570"/>
    </row>
    <row r="980" spans="1:34">
      <c r="A980" s="1609" t="s">
        <v>479</v>
      </c>
      <c r="B980" s="1585"/>
      <c r="C980" s="1577"/>
      <c r="D980" s="1577"/>
      <c r="E980" s="1585"/>
      <c r="F980" s="1577"/>
      <c r="G980" s="1585"/>
      <c r="H980" s="1585"/>
      <c r="I980" s="1577"/>
      <c r="J980" s="1585"/>
      <c r="K980" s="1585"/>
      <c r="M980" s="1570"/>
      <c r="N980" s="1570"/>
      <c r="O980" s="1571"/>
      <c r="P980" s="1571"/>
      <c r="Q980" s="1571"/>
      <c r="R980" s="1570"/>
      <c r="S980" s="1570"/>
      <c r="T980" s="1570"/>
      <c r="U980" s="1570"/>
      <c r="V980" s="1570"/>
      <c r="W980" s="1570"/>
      <c r="X980" s="1570"/>
      <c r="Y980" s="1570"/>
      <c r="Z980" s="1570"/>
      <c r="AA980" s="1570"/>
      <c r="AB980" s="1570"/>
      <c r="AC980" s="1570"/>
      <c r="AD980" s="1570"/>
      <c r="AE980" s="1570"/>
      <c r="AF980" s="1570"/>
      <c r="AG980" s="1570"/>
      <c r="AH980" s="1570"/>
    </row>
    <row r="981" spans="1:34">
      <c r="A981" s="1600" t="s">
        <v>707</v>
      </c>
      <c r="B981" s="1585"/>
      <c r="C981" s="1577"/>
      <c r="D981" s="1577"/>
      <c r="E981" s="1585"/>
      <c r="F981" s="1577"/>
      <c r="G981" s="1585"/>
      <c r="H981" s="1585"/>
      <c r="I981" s="1577"/>
      <c r="J981" s="1585"/>
      <c r="K981" s="1585"/>
      <c r="M981" s="1570"/>
      <c r="N981" s="1570"/>
      <c r="O981" s="1571"/>
      <c r="P981" s="1571"/>
      <c r="Q981" s="1571"/>
      <c r="R981" s="1570"/>
      <c r="S981" s="1570"/>
      <c r="T981" s="1570"/>
      <c r="U981" s="1570"/>
      <c r="V981" s="1570"/>
      <c r="W981" s="1570"/>
      <c r="X981" s="1570"/>
      <c r="Y981" s="1570"/>
      <c r="Z981" s="1570"/>
      <c r="AA981" s="1570"/>
      <c r="AB981" s="1570"/>
      <c r="AC981" s="1570"/>
      <c r="AD981" s="1570"/>
      <c r="AE981" s="1570"/>
      <c r="AF981" s="1570"/>
      <c r="AG981" s="1570"/>
      <c r="AH981" s="1570"/>
    </row>
    <row r="982" spans="1:34">
      <c r="A982" s="1585" t="s">
        <v>31</v>
      </c>
      <c r="B982" s="1585"/>
      <c r="C982" s="1577"/>
      <c r="D982" s="1577"/>
      <c r="E982" s="1585"/>
      <c r="F982" s="1577"/>
      <c r="G982" s="1585"/>
      <c r="H982" s="1585"/>
      <c r="I982" s="1577"/>
      <c r="J982" s="1585"/>
      <c r="K982" s="1585"/>
      <c r="M982" s="1570"/>
      <c r="N982" s="1570"/>
      <c r="O982" s="1571"/>
      <c r="P982" s="1571"/>
      <c r="Q982" s="1571"/>
      <c r="R982" s="1570"/>
      <c r="S982" s="1570"/>
      <c r="T982" s="1570"/>
      <c r="U982" s="1570"/>
      <c r="V982" s="1570"/>
      <c r="W982" s="1570"/>
      <c r="X982" s="1570"/>
      <c r="Y982" s="1570"/>
      <c r="Z982" s="1570"/>
      <c r="AA982" s="1570"/>
      <c r="AB982" s="1570"/>
      <c r="AC982" s="1570"/>
      <c r="AD982" s="1570"/>
      <c r="AE982" s="1570"/>
      <c r="AF982" s="1570"/>
      <c r="AG982" s="1570"/>
      <c r="AH982" s="1570"/>
    </row>
    <row r="983" spans="1:34">
      <c r="A983" s="1600" t="s">
        <v>396</v>
      </c>
      <c r="B983" s="1599"/>
      <c r="C983" s="1577"/>
      <c r="D983" s="1577"/>
      <c r="E983" s="1585"/>
      <c r="F983" s="1577"/>
      <c r="G983" s="1585"/>
      <c r="H983" s="1585"/>
      <c r="I983" s="1577"/>
      <c r="J983" s="1585"/>
      <c r="K983" s="1585"/>
      <c r="M983" s="1570"/>
      <c r="O983" s="1571"/>
      <c r="P983" s="1571"/>
      <c r="Q983" s="1571"/>
      <c r="R983" s="1570"/>
      <c r="S983" s="1570"/>
      <c r="T983" s="1570"/>
      <c r="U983" s="1570"/>
      <c r="V983" s="1570"/>
      <c r="W983" s="1570"/>
      <c r="X983" s="1570"/>
      <c r="Y983" s="1570"/>
      <c r="Z983" s="1570"/>
      <c r="AA983" s="1570"/>
      <c r="AB983" s="1570"/>
      <c r="AC983" s="1570"/>
      <c r="AD983" s="1570"/>
      <c r="AE983" s="1570"/>
      <c r="AF983" s="1570"/>
      <c r="AG983" s="1570"/>
      <c r="AH983" s="1570"/>
    </row>
    <row r="984" spans="1:34">
      <c r="A984" s="1600" t="s">
        <v>474</v>
      </c>
      <c r="B984" s="1599">
        <f t="shared" ref="B984:B989" si="152">B1005+B1023</f>
        <v>131</v>
      </c>
      <c r="C984" s="1660">
        <v>1245</v>
      </c>
      <c r="D984" s="1660"/>
      <c r="E984" s="1577">
        <f>ROUND(C984*$B984,0)</f>
        <v>163095</v>
      </c>
      <c r="F984" s="1660">
        <v>1419</v>
      </c>
      <c r="G984" s="1574"/>
      <c r="H984" s="1577">
        <f>ROUND(F984*B984,0)</f>
        <v>185889</v>
      </c>
      <c r="I984" s="1660">
        <f>ROUNDUP(F984*(1+$P$922),0)</f>
        <v>1498</v>
      </c>
      <c r="J984" s="1574"/>
      <c r="K984" s="1577">
        <f>ROUND(I984*$B984,0)</f>
        <v>196238</v>
      </c>
      <c r="M984" s="1570"/>
      <c r="N984" s="1570"/>
      <c r="P984" s="1604">
        <f>(I984-F984)/F984</f>
        <v>5.5673009161381251E-2</v>
      </c>
      <c r="Q984" s="1597"/>
      <c r="R984" s="1570"/>
      <c r="S984" s="1570"/>
      <c r="T984" s="1570"/>
      <c r="U984" s="1570"/>
      <c r="V984" s="1570"/>
      <c r="W984" s="1570"/>
      <c r="X984" s="1570"/>
      <c r="Y984" s="1570"/>
      <c r="Z984" s="1570"/>
      <c r="AA984" s="1570"/>
      <c r="AB984" s="1570"/>
      <c r="AC984" s="1570"/>
      <c r="AD984" s="1570"/>
      <c r="AE984" s="1570"/>
      <c r="AF984" s="1570"/>
      <c r="AG984" s="1570"/>
      <c r="AH984" s="1570"/>
    </row>
    <row r="985" spans="1:34">
      <c r="A985" s="1600" t="s">
        <v>475</v>
      </c>
      <c r="B985" s="1599">
        <f t="shared" si="152"/>
        <v>0</v>
      </c>
      <c r="C985" s="1660">
        <v>1490</v>
      </c>
      <c r="D985" s="1660"/>
      <c r="E985" s="1577">
        <f>ROUND(C985*$B985,0)</f>
        <v>0</v>
      </c>
      <c r="F985" s="1660">
        <v>1707</v>
      </c>
      <c r="G985" s="1641"/>
      <c r="H985" s="1577">
        <f>ROUND(F985*B985,0)</f>
        <v>0</v>
      </c>
      <c r="I985" s="1660">
        <f>ROUNDUP(F985*(1+$P$922),0)</f>
        <v>1802</v>
      </c>
      <c r="J985" s="1641"/>
      <c r="K985" s="1577">
        <f>ROUND(I985*$B985,0)</f>
        <v>0</v>
      </c>
      <c r="M985" s="1570"/>
      <c r="N985" s="1570"/>
      <c r="P985" s="1604">
        <f>(I985-F985)/F985</f>
        <v>5.5653192735793791E-2</v>
      </c>
      <c r="Q985" s="1597"/>
      <c r="R985" s="1570"/>
      <c r="S985" s="1570"/>
      <c r="T985" s="1570"/>
      <c r="U985" s="1570"/>
      <c r="V985" s="1570"/>
      <c r="W985" s="1570"/>
      <c r="X985" s="1570"/>
      <c r="Y985" s="1570"/>
      <c r="Z985" s="1570"/>
      <c r="AA985" s="1570"/>
      <c r="AB985" s="1570"/>
      <c r="AC985" s="1570"/>
      <c r="AD985" s="1570"/>
      <c r="AE985" s="1570"/>
      <c r="AF985" s="1570"/>
      <c r="AG985" s="1570"/>
      <c r="AH985" s="1570"/>
    </row>
    <row r="986" spans="1:34">
      <c r="A986" s="1600" t="s">
        <v>397</v>
      </c>
      <c r="B986" s="1599">
        <f t="shared" si="152"/>
        <v>131</v>
      </c>
      <c r="C986" s="1660" t="s">
        <v>31</v>
      </c>
      <c r="D986" s="1660"/>
      <c r="E986" s="1577" t="s">
        <v>31</v>
      </c>
      <c r="F986" s="1660" t="s">
        <v>31</v>
      </c>
      <c r="G986" s="1574"/>
      <c r="H986" s="1577" t="s">
        <v>31</v>
      </c>
      <c r="I986" s="1660" t="s">
        <v>31</v>
      </c>
      <c r="J986" s="1574"/>
      <c r="K986" s="1577" t="s">
        <v>31</v>
      </c>
      <c r="M986" s="1570"/>
      <c r="N986" s="1570"/>
      <c r="P986" s="1742"/>
      <c r="Q986" s="1571"/>
      <c r="R986" s="1570"/>
      <c r="S986" s="1570"/>
      <c r="T986" s="1570"/>
      <c r="U986" s="1570"/>
      <c r="V986" s="1570"/>
      <c r="W986" s="1570"/>
      <c r="X986" s="1570"/>
      <c r="Y986" s="1570"/>
      <c r="Z986" s="1570"/>
      <c r="AA986" s="1570"/>
      <c r="AB986" s="1570"/>
      <c r="AC986" s="1570"/>
      <c r="AD986" s="1570"/>
      <c r="AE986" s="1570"/>
      <c r="AF986" s="1570"/>
      <c r="AG986" s="1570"/>
      <c r="AH986" s="1570"/>
    </row>
    <row r="987" spans="1:34">
      <c r="A987" s="1600" t="s">
        <v>476</v>
      </c>
      <c r="B987" s="1599">
        <f t="shared" si="152"/>
        <v>201885</v>
      </c>
      <c r="C987" s="1660">
        <v>0.45</v>
      </c>
      <c r="D987" s="1660"/>
      <c r="E987" s="1577">
        <f>ROUND(C987*$B987,0)</f>
        <v>90848</v>
      </c>
      <c r="F987" s="1660">
        <v>0.53</v>
      </c>
      <c r="G987" s="1574"/>
      <c r="H987" s="1577">
        <f t="shared" ref="H987:H989" si="153">ROUND(F987*B987,0)</f>
        <v>106999</v>
      </c>
      <c r="I987" s="1660">
        <f>ROUNDUP(F987*(1+$P$922),2)</f>
        <v>0.56000000000000005</v>
      </c>
      <c r="J987" s="1574"/>
      <c r="K987" s="1577">
        <f>ROUND(I987*$B987,0)</f>
        <v>113056</v>
      </c>
      <c r="M987" s="1570"/>
      <c r="P987" s="1604">
        <f>(I987-F987)/F987</f>
        <v>5.660377358490571E-2</v>
      </c>
      <c r="Q987" s="1597"/>
      <c r="R987" s="1570" t="s">
        <v>31</v>
      </c>
      <c r="S987" s="1570"/>
      <c r="T987" s="1570"/>
      <c r="U987" s="1570"/>
      <c r="V987" s="1570"/>
      <c r="W987" s="1570"/>
      <c r="X987" s="1570"/>
      <c r="Y987" s="1570"/>
      <c r="Z987" s="1570"/>
      <c r="AA987" s="1570"/>
      <c r="AB987" s="1570"/>
      <c r="AC987" s="1570"/>
      <c r="AD987" s="1570"/>
      <c r="AE987" s="1570"/>
      <c r="AF987" s="1570"/>
      <c r="AG987" s="1570"/>
      <c r="AH987" s="1570"/>
    </row>
    <row r="988" spans="1:34">
      <c r="A988" s="1600" t="s">
        <v>477</v>
      </c>
      <c r="B988" s="1599">
        <f t="shared" si="152"/>
        <v>0</v>
      </c>
      <c r="C988" s="1660">
        <v>0.38000000000000006</v>
      </c>
      <c r="D988" s="1660"/>
      <c r="E988" s="1577">
        <f>ROUND(C988*$B988,0)</f>
        <v>0</v>
      </c>
      <c r="F988" s="1660">
        <v>0.43</v>
      </c>
      <c r="G988" s="1574"/>
      <c r="H988" s="1577">
        <f t="shared" si="153"/>
        <v>0</v>
      </c>
      <c r="I988" s="1660">
        <f>ROUNDUP(F988*(1+$P$922),2)</f>
        <v>0.46</v>
      </c>
      <c r="J988" s="1574"/>
      <c r="K988" s="1577">
        <f>ROUND(I988*$B988,0)</f>
        <v>0</v>
      </c>
      <c r="M988" s="1570"/>
      <c r="N988" s="1570"/>
      <c r="P988" s="1604">
        <f>(I988-F988)/F988</f>
        <v>6.9767441860465185E-2</v>
      </c>
      <c r="Q988" s="1597"/>
      <c r="R988" s="1570"/>
      <c r="S988" s="1570"/>
      <c r="T988" s="1570"/>
      <c r="U988" s="1570"/>
      <c r="V988" s="1570"/>
      <c r="W988" s="1570"/>
      <c r="X988" s="1570"/>
      <c r="Y988" s="1570"/>
      <c r="Z988" s="1570"/>
      <c r="AA988" s="1570"/>
      <c r="AB988" s="1570"/>
      <c r="AC988" s="1570"/>
      <c r="AD988" s="1570"/>
      <c r="AE988" s="1570"/>
      <c r="AF988" s="1570"/>
      <c r="AG988" s="1570"/>
      <c r="AH988" s="1570"/>
    </row>
    <row r="989" spans="1:34">
      <c r="A989" s="1600" t="s">
        <v>406</v>
      </c>
      <c r="B989" s="1599">
        <f t="shared" si="152"/>
        <v>165661</v>
      </c>
      <c r="C989" s="1660">
        <v>6.12</v>
      </c>
      <c r="D989" s="1660"/>
      <c r="E989" s="1577">
        <f>ROUND(C989*$B989,0)</f>
        <v>1013845</v>
      </c>
      <c r="F989" s="1660">
        <v>6.99</v>
      </c>
      <c r="G989" s="1574"/>
      <c r="H989" s="1577">
        <f t="shared" si="153"/>
        <v>1157970</v>
      </c>
      <c r="I989" s="1660">
        <f>ROUNDUP(F989*(1+$P$933),2)</f>
        <v>7.39</v>
      </c>
      <c r="J989" s="1574"/>
      <c r="K989" s="1577">
        <f>ROUND(I989*$B989,0)</f>
        <v>1224235</v>
      </c>
      <c r="M989" s="1570"/>
      <c r="N989" s="1570"/>
      <c r="P989" s="1604">
        <f>(I989-F989)/F989</f>
        <v>5.722460658082968E-2</v>
      </c>
      <c r="Q989" s="1597"/>
      <c r="R989" s="1570"/>
      <c r="S989" s="1570"/>
      <c r="T989" s="1570"/>
      <c r="U989" s="1570"/>
      <c r="V989" s="1570"/>
      <c r="W989" s="1570"/>
      <c r="X989" s="1570"/>
      <c r="Y989" s="1570"/>
      <c r="Z989" s="1570"/>
      <c r="AA989" s="1570"/>
      <c r="AB989" s="1570"/>
      <c r="AC989" s="1570"/>
      <c r="AD989" s="1570"/>
      <c r="AE989" s="1570"/>
      <c r="AF989" s="1570"/>
      <c r="AG989" s="1570"/>
      <c r="AH989" s="1570"/>
    </row>
    <row r="990" spans="1:34">
      <c r="A990" s="1600" t="s">
        <v>429</v>
      </c>
      <c r="B990" s="1599"/>
      <c r="C990" s="1660" t="s">
        <v>31</v>
      </c>
      <c r="D990" s="1660"/>
      <c r="E990" s="1577"/>
      <c r="F990" s="1660" t="s">
        <v>31</v>
      </c>
      <c r="G990" s="1574"/>
      <c r="H990" s="1577"/>
      <c r="I990" s="1660" t="s">
        <v>31</v>
      </c>
      <c r="J990" s="1574"/>
      <c r="K990" s="1577"/>
      <c r="M990" s="1570"/>
      <c r="N990" s="1570"/>
      <c r="P990" s="1742"/>
      <c r="Q990" s="1571"/>
      <c r="R990" s="1570"/>
      <c r="S990" s="1570"/>
      <c r="T990" s="1570"/>
      <c r="U990" s="1570"/>
      <c r="V990" s="1570"/>
      <c r="W990" s="1570"/>
      <c r="X990" s="1570"/>
      <c r="Y990" s="1570"/>
      <c r="Z990" s="1570"/>
      <c r="AA990" s="1570"/>
      <c r="AB990" s="1570"/>
      <c r="AC990" s="1570"/>
      <c r="AD990" s="1570"/>
      <c r="AE990" s="1570"/>
      <c r="AF990" s="1570"/>
      <c r="AG990" s="1570"/>
      <c r="AH990" s="1570"/>
    </row>
    <row r="991" spans="1:34">
      <c r="A991" s="1600" t="s">
        <v>467</v>
      </c>
      <c r="B991" s="1599">
        <f>B1012+B1030</f>
        <v>63486200</v>
      </c>
      <c r="C991" s="1730">
        <v>3.6669999999999998</v>
      </c>
      <c r="D991" s="1574" t="s">
        <v>377</v>
      </c>
      <c r="E991" s="1577">
        <f>ROUND(C991/100*$B991,0)</f>
        <v>2328039</v>
      </c>
      <c r="F991" s="1730">
        <v>4.1920000000000002</v>
      </c>
      <c r="G991" s="1574" t="s">
        <v>377</v>
      </c>
      <c r="H991" s="1577">
        <f>ROUND(F991/100*B991,0)</f>
        <v>2661342</v>
      </c>
      <c r="I991" s="1730">
        <f>ROUNDUP(F991*(1+$P$935)-I993,3)</f>
        <v>4.4250000000000007</v>
      </c>
      <c r="J991" s="1574" t="s">
        <v>377</v>
      </c>
      <c r="K991" s="1577">
        <f>ROUND(I991/100*$B991,0)</f>
        <v>2809264</v>
      </c>
      <c r="M991" s="1570"/>
      <c r="N991" s="1570"/>
      <c r="P991" s="1604">
        <f>(I991+I993-F991)/F991</f>
        <v>5.5582061068702414E-2</v>
      </c>
      <c r="Q991" s="1597"/>
      <c r="R991" s="1570"/>
      <c r="S991" s="1570"/>
      <c r="T991" s="1570"/>
      <c r="U991" s="1570"/>
      <c r="V991" s="1570"/>
      <c r="W991" s="1570"/>
      <c r="X991" s="1570"/>
      <c r="Y991" s="1570"/>
      <c r="Z991" s="1570"/>
      <c r="AA991" s="1570"/>
      <c r="AB991" s="1570"/>
      <c r="AC991" s="1570"/>
      <c r="AD991" s="1570"/>
      <c r="AE991" s="1570"/>
      <c r="AF991" s="1570"/>
      <c r="AG991" s="1570"/>
      <c r="AH991" s="1570"/>
    </row>
    <row r="992" spans="1:34">
      <c r="A992" s="1600" t="s">
        <v>403</v>
      </c>
      <c r="B992" s="1599">
        <f>B1013+B1031</f>
        <v>16320</v>
      </c>
      <c r="C992" s="1660">
        <v>0.47</v>
      </c>
      <c r="D992" s="1574"/>
      <c r="E992" s="1577">
        <f>ROUND(C992*$B992,0)</f>
        <v>7670</v>
      </c>
      <c r="F992" s="1660">
        <v>0.54</v>
      </c>
      <c r="G992" s="1574"/>
      <c r="H992" s="1577">
        <f>ROUND(F992*B992,0)</f>
        <v>8813</v>
      </c>
      <c r="I992" s="1660">
        <f>ROUNDUP(F992*(1+$P$922),2)</f>
        <v>0.57000000000000006</v>
      </c>
      <c r="J992" s="1574"/>
      <c r="K992" s="1577">
        <f>ROUND(I992*$B992,0)</f>
        <v>9302</v>
      </c>
      <c r="M992" s="1570"/>
      <c r="N992" s="1570"/>
      <c r="P992" s="1604">
        <f>(I992-F992)/F992</f>
        <v>5.5555555555555601E-2</v>
      </c>
      <c r="Q992" s="1597"/>
      <c r="R992" s="1570"/>
      <c r="S992" s="1570"/>
      <c r="T992" s="1570"/>
      <c r="U992" s="1570"/>
      <c r="V992" s="1570"/>
      <c r="W992" s="1570"/>
      <c r="X992" s="1570"/>
      <c r="Y992" s="1570"/>
      <c r="Z992" s="1570"/>
      <c r="AA992" s="1570"/>
      <c r="AB992" s="1570"/>
      <c r="AC992" s="1570"/>
      <c r="AD992" s="1570"/>
      <c r="AE992" s="1570"/>
      <c r="AF992" s="1570"/>
      <c r="AG992" s="1570"/>
      <c r="AH992" s="1570"/>
    </row>
    <row r="993" spans="1:36" s="1621" customFormat="1">
      <c r="A993" s="1621" t="s">
        <v>938</v>
      </c>
      <c r="B993" s="1688">
        <f>B991</f>
        <v>63486200</v>
      </c>
      <c r="C993" s="1623"/>
      <c r="D993" s="1624"/>
      <c r="E993" s="1625"/>
      <c r="F993" s="1623"/>
      <c r="G993" s="1624"/>
      <c r="H993" s="1625"/>
      <c r="I993" s="1626">
        <v>0</v>
      </c>
      <c r="J993" s="1689" t="s">
        <v>377</v>
      </c>
      <c r="K993" s="1625">
        <f>ROUND(I993/100*$B993,0)</f>
        <v>0</v>
      </c>
      <c r="M993" s="1651"/>
      <c r="N993" s="1651">
        <f>'NPC Spread'!G35</f>
        <v>2269627.0376227815</v>
      </c>
      <c r="O993" s="1652" t="s">
        <v>913</v>
      </c>
      <c r="R993" s="1653"/>
      <c r="S993" s="1653"/>
      <c r="X993" s="1624"/>
      <c r="Y993" s="1624"/>
      <c r="Z993" s="1624"/>
      <c r="AA993" s="1624"/>
      <c r="AB993" s="1624"/>
      <c r="AC993" s="1624"/>
      <c r="AD993" s="1624"/>
      <c r="AE993" s="1624"/>
      <c r="AF993" s="1624"/>
      <c r="AG993" s="1624"/>
      <c r="AH993" s="1624"/>
      <c r="AJ993" s="1651"/>
    </row>
    <row r="994" spans="1:36">
      <c r="A994" s="1569" t="s">
        <v>922</v>
      </c>
      <c r="B994" s="1575"/>
      <c r="C994" s="1584"/>
      <c r="D994" s="1570"/>
      <c r="E994" s="1577"/>
      <c r="F994" s="1730">
        <f>F991</f>
        <v>4.1920000000000002</v>
      </c>
      <c r="G994" s="1574" t="s">
        <v>377</v>
      </c>
      <c r="H994" s="1577"/>
      <c r="I994" s="1389">
        <f>I991+I993</f>
        <v>4.4250000000000007</v>
      </c>
      <c r="J994" s="1574" t="s">
        <v>377</v>
      </c>
      <c r="K994" s="1577"/>
      <c r="M994" s="1578"/>
      <c r="N994" s="1578"/>
      <c r="O994" s="1579"/>
      <c r="P994" s="1604">
        <f>(I994-F994)/F994</f>
        <v>5.5582061068702414E-2</v>
      </c>
      <c r="Q994" s="1569"/>
      <c r="R994" s="1580"/>
      <c r="S994" s="1580"/>
      <c r="X994" s="1570"/>
      <c r="Y994" s="1570"/>
      <c r="Z994" s="1570"/>
      <c r="AA994" s="1570"/>
      <c r="AB994" s="1570"/>
      <c r="AC994" s="1570"/>
      <c r="AD994" s="1570"/>
      <c r="AE994" s="1570"/>
      <c r="AF994" s="1570"/>
      <c r="AG994" s="1570"/>
      <c r="AH994" s="1570"/>
      <c r="AJ994" s="1578"/>
    </row>
    <row r="995" spans="1:36">
      <c r="A995" s="1585" t="s">
        <v>384</v>
      </c>
      <c r="B995" s="1599">
        <f>B991</f>
        <v>63486200</v>
      </c>
      <c r="C995" s="1647"/>
      <c r="D995" s="1577"/>
      <c r="E995" s="1577">
        <f>SUM(E984:E992)</f>
        <v>3603497</v>
      </c>
      <c r="F995" s="1647"/>
      <c r="G995" s="1585"/>
      <c r="H995" s="1577">
        <f>SUM(H984:H992)</f>
        <v>4121013</v>
      </c>
      <c r="I995" s="1647"/>
      <c r="J995" s="1585"/>
      <c r="K995" s="1577">
        <f>SUM(K984:K993)</f>
        <v>4352095</v>
      </c>
      <c r="M995" s="1570"/>
      <c r="N995" s="1570"/>
      <c r="O995" s="1571"/>
      <c r="P995" s="1571"/>
      <c r="Q995" s="1571"/>
      <c r="R995" s="1570"/>
      <c r="S995" s="1570"/>
      <c r="T995" s="1570"/>
      <c r="U995" s="1570"/>
      <c r="V995" s="1570"/>
      <c r="W995" s="1570"/>
      <c r="X995" s="1570"/>
      <c r="Y995" s="1570"/>
      <c r="Z995" s="1570"/>
      <c r="AA995" s="1570"/>
      <c r="AB995" s="1570"/>
      <c r="AC995" s="1570"/>
      <c r="AD995" s="1570"/>
      <c r="AE995" s="1570"/>
      <c r="AF995" s="1570"/>
      <c r="AG995" s="1570"/>
      <c r="AH995" s="1570"/>
    </row>
    <row r="996" spans="1:36">
      <c r="A996" s="1585" t="s">
        <v>366</v>
      </c>
      <c r="B996" s="1599">
        <f ca="1">B1016+B1034</f>
        <v>-88949.63514489145</v>
      </c>
      <c r="C996" s="1600"/>
      <c r="D996" s="1600"/>
      <c r="E996" s="1664" t="e">
        <f>E1016+E1034</f>
        <v>#REF!</v>
      </c>
      <c r="F996" s="1600"/>
      <c r="G996" s="1600"/>
      <c r="H996" s="1663">
        <f ca="1">H1016+H1034</f>
        <v>196038.57052329986</v>
      </c>
      <c r="I996" s="1600"/>
      <c r="J996" s="1600"/>
      <c r="K996" s="1664">
        <f ca="1">H996</f>
        <v>196038.57052329986</v>
      </c>
      <c r="M996" s="1422"/>
      <c r="N996" s="1422"/>
      <c r="O996" s="1423"/>
      <c r="P996" s="1571"/>
      <c r="Q996" s="1571"/>
      <c r="R996" s="1570"/>
      <c r="S996" s="1570"/>
      <c r="T996" s="1570"/>
      <c r="U996" s="1570"/>
      <c r="V996" s="1570"/>
      <c r="W996" s="1570"/>
      <c r="X996" s="1570"/>
      <c r="Y996" s="1570"/>
      <c r="Z996" s="1570"/>
      <c r="AA996" s="1570"/>
      <c r="AB996" s="1570"/>
      <c r="AC996" s="1570"/>
      <c r="AD996" s="1570"/>
      <c r="AE996" s="1570"/>
      <c r="AF996" s="1570"/>
      <c r="AG996" s="1570"/>
      <c r="AH996" s="1570"/>
    </row>
    <row r="997" spans="1:36" ht="15.75" thickBot="1">
      <c r="A997" s="1585" t="s">
        <v>385</v>
      </c>
      <c r="B997" s="1727">
        <f ca="1">SUM(B995)+B996</f>
        <v>63397250.364855111</v>
      </c>
      <c r="C997" s="1666"/>
      <c r="D997" s="1667"/>
      <c r="E997" s="1668" t="e">
        <f>E995+E996</f>
        <v>#REF!</v>
      </c>
      <c r="F997" s="1666"/>
      <c r="G997" s="1670"/>
      <c r="H997" s="1668">
        <f ca="1">H995+H996</f>
        <v>4317051.5705233002</v>
      </c>
      <c r="I997" s="1666"/>
      <c r="J997" s="1670"/>
      <c r="K997" s="1668">
        <f ca="1">K995+K996</f>
        <v>4548133.5705233002</v>
      </c>
      <c r="M997" s="1424"/>
      <c r="N997" s="1424" t="s">
        <v>31</v>
      </c>
      <c r="O997" s="1597" t="s">
        <v>31</v>
      </c>
      <c r="P997" s="1598">
        <f ca="1">(K997-H997)/H997</f>
        <v>5.3527736749271429E-2</v>
      </c>
      <c r="Q997" s="1571"/>
      <c r="S997" s="1570"/>
      <c r="T997" s="1570"/>
      <c r="U997" s="1570"/>
      <c r="V997" s="1570"/>
      <c r="W997" s="1570"/>
      <c r="X997" s="1570"/>
      <c r="Y997" s="1570"/>
      <c r="Z997" s="1570"/>
      <c r="AA997" s="1570"/>
      <c r="AB997" s="1570"/>
      <c r="AC997" s="1570"/>
      <c r="AD997" s="1570"/>
      <c r="AE997" s="1570"/>
      <c r="AF997" s="1570"/>
      <c r="AG997" s="1570"/>
      <c r="AH997" s="1570"/>
    </row>
    <row r="998" spans="1:36" ht="15.75" thickTop="1">
      <c r="A998" s="1585"/>
      <c r="B998" s="1610"/>
      <c r="C998" s="1660"/>
      <c r="D998" s="1577"/>
      <c r="E998" s="1577"/>
      <c r="F998" s="1660" t="s">
        <v>31</v>
      </c>
      <c r="G998" s="1585"/>
      <c r="H998" s="1577"/>
      <c r="I998" s="1657" t="s">
        <v>31</v>
      </c>
      <c r="J998" s="1585"/>
      <c r="K998" s="1577" t="s">
        <v>31</v>
      </c>
      <c r="M998" s="1570"/>
      <c r="O998" s="1571"/>
      <c r="P998" s="1597" t="s">
        <v>31</v>
      </c>
      <c r="Q998" s="1597"/>
      <c r="R998" s="1570"/>
      <c r="S998" s="1570"/>
      <c r="T998" s="1570"/>
      <c r="U998" s="1570"/>
      <c r="V998" s="1570"/>
      <c r="W998" s="1570"/>
      <c r="X998" s="1570"/>
      <c r="Y998" s="1570"/>
      <c r="Z998" s="1570"/>
      <c r="AA998" s="1570"/>
      <c r="AB998" s="1570"/>
      <c r="AC998" s="1570"/>
      <c r="AD998" s="1570"/>
      <c r="AE998" s="1570"/>
      <c r="AF998" s="1570"/>
      <c r="AG998" s="1570"/>
      <c r="AH998" s="1570"/>
    </row>
    <row r="999" spans="1:36" hidden="1">
      <c r="A999" s="1585"/>
      <c r="B999" s="1610"/>
      <c r="C999" s="1660"/>
      <c r="D999" s="1577"/>
      <c r="E999" s="1577"/>
      <c r="F999" s="1660" t="s">
        <v>31</v>
      </c>
      <c r="G999" s="1585"/>
      <c r="H999" s="1577"/>
      <c r="I999" s="1657" t="s">
        <v>31</v>
      </c>
      <c r="J999" s="1585"/>
      <c r="K999" s="1577" t="s">
        <v>31</v>
      </c>
      <c r="M999" s="1570"/>
      <c r="N999" s="1570"/>
      <c r="O999" s="1571"/>
      <c r="P999" s="1571"/>
      <c r="Q999" s="1571"/>
      <c r="R999" s="1570"/>
      <c r="S999" s="1570"/>
      <c r="T999" s="1570"/>
      <c r="U999" s="1570"/>
      <c r="V999" s="1570"/>
      <c r="W999" s="1570"/>
      <c r="X999" s="1570"/>
      <c r="Y999" s="1570"/>
      <c r="Z999" s="1570"/>
      <c r="AA999" s="1570"/>
      <c r="AB999" s="1570"/>
      <c r="AC999" s="1570"/>
      <c r="AD999" s="1570"/>
      <c r="AE999" s="1570"/>
      <c r="AF999" s="1570"/>
      <c r="AG999" s="1570"/>
      <c r="AH999" s="1570"/>
    </row>
    <row r="1000" spans="1:36" hidden="1">
      <c r="A1000" s="1585"/>
      <c r="B1000" s="1610"/>
      <c r="C1000" s="1660"/>
      <c r="D1000" s="1577"/>
      <c r="E1000" s="1577"/>
      <c r="F1000" s="1660"/>
      <c r="G1000" s="1585"/>
      <c r="H1000" s="1577"/>
      <c r="I1000" s="1660"/>
      <c r="J1000" s="1585"/>
      <c r="K1000" s="1710"/>
      <c r="M1000" s="1570"/>
      <c r="N1000" s="1570"/>
      <c r="O1000" s="1571"/>
      <c r="P1000" s="1571"/>
      <c r="Q1000" s="1571"/>
      <c r="R1000" s="1570"/>
      <c r="S1000" s="1570"/>
      <c r="T1000" s="1570"/>
      <c r="U1000" s="1570"/>
      <c r="V1000" s="1570"/>
      <c r="W1000" s="1570"/>
      <c r="X1000" s="1570"/>
      <c r="Y1000" s="1570"/>
      <c r="Z1000" s="1570"/>
      <c r="AA1000" s="1570"/>
      <c r="AB1000" s="1570"/>
      <c r="AC1000" s="1570"/>
      <c r="AD1000" s="1570"/>
      <c r="AE1000" s="1570"/>
      <c r="AF1000" s="1570"/>
      <c r="AG1000" s="1570"/>
      <c r="AH1000" s="1570"/>
    </row>
    <row r="1001" spans="1:36" hidden="1">
      <c r="A1001" s="1609" t="s">
        <v>479</v>
      </c>
      <c r="B1001" s="1585"/>
      <c r="C1001" s="1577"/>
      <c r="D1001" s="1577"/>
      <c r="E1001" s="1585"/>
      <c r="F1001" s="1577"/>
      <c r="G1001" s="1585"/>
      <c r="H1001" s="1585"/>
      <c r="I1001" s="1577"/>
      <c r="J1001" s="1585"/>
      <c r="K1001" s="1585"/>
      <c r="M1001" s="1570"/>
      <c r="N1001" s="1570"/>
      <c r="O1001" s="1571"/>
      <c r="P1001" s="1571"/>
      <c r="Q1001" s="1571"/>
      <c r="R1001" s="1570"/>
      <c r="S1001" s="1570"/>
      <c r="T1001" s="1570"/>
      <c r="U1001" s="1570"/>
      <c r="V1001" s="1570"/>
      <c r="W1001" s="1570"/>
      <c r="X1001" s="1570"/>
      <c r="Y1001" s="1570"/>
      <c r="Z1001" s="1570"/>
      <c r="AA1001" s="1570"/>
      <c r="AB1001" s="1570"/>
      <c r="AC1001" s="1570"/>
      <c r="AD1001" s="1570"/>
      <c r="AE1001" s="1570"/>
      <c r="AF1001" s="1570"/>
      <c r="AG1001" s="1570"/>
      <c r="AH1001" s="1570"/>
    </row>
    <row r="1002" spans="1:36" hidden="1">
      <c r="A1002" s="1600" t="s">
        <v>703</v>
      </c>
      <c r="B1002" s="1585"/>
      <c r="C1002" s="1577"/>
      <c r="D1002" s="1577"/>
      <c r="E1002" s="1585"/>
      <c r="F1002" s="1577"/>
      <c r="G1002" s="1585"/>
      <c r="H1002" s="1585"/>
      <c r="I1002" s="1577"/>
      <c r="J1002" s="1585"/>
      <c r="K1002" s="1585"/>
      <c r="M1002" s="1570"/>
      <c r="N1002" s="1570"/>
      <c r="O1002" s="1571"/>
      <c r="P1002" s="1571"/>
      <c r="Q1002" s="1571"/>
      <c r="R1002" s="1570"/>
      <c r="S1002" s="1570"/>
      <c r="T1002" s="1570"/>
      <c r="U1002" s="1570"/>
      <c r="V1002" s="1570"/>
      <c r="W1002" s="1570"/>
      <c r="X1002" s="1570"/>
      <c r="Y1002" s="1570"/>
      <c r="Z1002" s="1570"/>
      <c r="AA1002" s="1570"/>
      <c r="AB1002" s="1570"/>
      <c r="AC1002" s="1570"/>
      <c r="AD1002" s="1570"/>
      <c r="AE1002" s="1570"/>
      <c r="AF1002" s="1570"/>
      <c r="AG1002" s="1570"/>
      <c r="AH1002" s="1570"/>
    </row>
    <row r="1003" spans="1:36" hidden="1">
      <c r="A1003" s="1585" t="s">
        <v>31</v>
      </c>
      <c r="B1003" s="1585"/>
      <c r="C1003" s="1577"/>
      <c r="D1003" s="1577"/>
      <c r="E1003" s="1585"/>
      <c r="F1003" s="1577"/>
      <c r="G1003" s="1585"/>
      <c r="H1003" s="1585"/>
      <c r="I1003" s="1577"/>
      <c r="J1003" s="1585"/>
      <c r="K1003" s="1585"/>
      <c r="M1003" s="1570"/>
      <c r="N1003" s="1570"/>
      <c r="O1003" s="1571"/>
      <c r="P1003" s="1571"/>
      <c r="Q1003" s="1571"/>
      <c r="R1003" s="1570"/>
      <c r="S1003" s="1570"/>
      <c r="T1003" s="1570"/>
      <c r="U1003" s="1570"/>
      <c r="V1003" s="1570"/>
      <c r="W1003" s="1570"/>
      <c r="X1003" s="1570"/>
      <c r="Y1003" s="1570"/>
      <c r="Z1003" s="1570"/>
      <c r="AA1003" s="1570"/>
      <c r="AB1003" s="1570"/>
      <c r="AC1003" s="1570"/>
      <c r="AD1003" s="1570"/>
      <c r="AE1003" s="1570"/>
      <c r="AF1003" s="1570"/>
      <c r="AG1003" s="1570"/>
      <c r="AH1003" s="1570"/>
    </row>
    <row r="1004" spans="1:36" hidden="1">
      <c r="A1004" s="1600" t="s">
        <v>396</v>
      </c>
      <c r="B1004" s="1599"/>
      <c r="C1004" s="1577"/>
      <c r="D1004" s="1577"/>
      <c r="E1004" s="1585"/>
      <c r="F1004" s="1577"/>
      <c r="G1004" s="1585"/>
      <c r="H1004" s="1585"/>
      <c r="I1004" s="1577"/>
      <c r="J1004" s="1585"/>
      <c r="K1004" s="1585"/>
      <c r="M1004" s="1570"/>
      <c r="O1004" s="1571"/>
      <c r="P1004" s="1571"/>
      <c r="Q1004" s="1571"/>
      <c r="R1004" s="1570"/>
      <c r="S1004" s="1570"/>
      <c r="T1004" s="1570"/>
      <c r="U1004" s="1570"/>
      <c r="V1004" s="1570"/>
      <c r="W1004" s="1570"/>
      <c r="X1004" s="1570"/>
      <c r="Y1004" s="1570"/>
      <c r="Z1004" s="1570"/>
      <c r="AA1004" s="1570"/>
      <c r="AB1004" s="1570"/>
      <c r="AC1004" s="1570"/>
      <c r="AD1004" s="1570"/>
      <c r="AE1004" s="1570"/>
      <c r="AF1004" s="1570"/>
      <c r="AG1004" s="1570"/>
      <c r="AH1004" s="1570"/>
    </row>
    <row r="1005" spans="1:36" hidden="1">
      <c r="A1005" s="1600" t="s">
        <v>474</v>
      </c>
      <c r="B1005" s="1599">
        <f>100</f>
        <v>100</v>
      </c>
      <c r="C1005" s="1660">
        <v>1245</v>
      </c>
      <c r="D1005" s="1660"/>
      <c r="E1005" s="1577">
        <f>ROUND(C1005*$B1005,0)</f>
        <v>124500</v>
      </c>
      <c r="F1005" s="1660">
        <v>1419</v>
      </c>
      <c r="G1005" s="1574"/>
      <c r="H1005" s="1577">
        <f>ROUND(F1005*B1005,0)</f>
        <v>141900</v>
      </c>
      <c r="I1005" s="1660">
        <f>I984</f>
        <v>1498</v>
      </c>
      <c r="J1005" s="1574"/>
      <c r="K1005" s="1577">
        <f>ROUND(I1005*$B1005,0)</f>
        <v>149800</v>
      </c>
      <c r="M1005" s="1570"/>
      <c r="N1005" s="1570"/>
      <c r="O1005" s="1571"/>
      <c r="P1005" s="1571"/>
      <c r="Q1005" s="1571"/>
      <c r="R1005" s="1570"/>
      <c r="S1005" s="1570"/>
      <c r="T1005" s="1570"/>
      <c r="U1005" s="1570"/>
      <c r="V1005" s="1570"/>
      <c r="W1005" s="1570"/>
      <c r="X1005" s="1570"/>
      <c r="Y1005" s="1570"/>
      <c r="Z1005" s="1570"/>
      <c r="AA1005" s="1570"/>
      <c r="AB1005" s="1570"/>
      <c r="AC1005" s="1570"/>
      <c r="AD1005" s="1570"/>
      <c r="AE1005" s="1570"/>
      <c r="AF1005" s="1570"/>
      <c r="AG1005" s="1570"/>
      <c r="AH1005" s="1570"/>
    </row>
    <row r="1006" spans="1:36" hidden="1">
      <c r="A1006" s="1600" t="s">
        <v>475</v>
      </c>
      <c r="B1006" s="1599">
        <v>0</v>
      </c>
      <c r="C1006" s="1660">
        <v>1490</v>
      </c>
      <c r="D1006" s="1660"/>
      <c r="E1006" s="1577">
        <f>ROUND(C1006*$B1006,0)</f>
        <v>0</v>
      </c>
      <c r="F1006" s="1660">
        <v>1707</v>
      </c>
      <c r="G1006" s="1641"/>
      <c r="H1006" s="1577">
        <f>ROUND(F1006*B1006,0)</f>
        <v>0</v>
      </c>
      <c r="I1006" s="1660">
        <f>I985</f>
        <v>1802</v>
      </c>
      <c r="J1006" s="1641"/>
      <c r="K1006" s="1577">
        <f>ROUND(I1006*$B1006,0)</f>
        <v>0</v>
      </c>
      <c r="M1006" s="1570"/>
      <c r="N1006" s="1570"/>
      <c r="O1006" s="1571"/>
      <c r="P1006" s="1571"/>
      <c r="Q1006" s="1571"/>
      <c r="R1006" s="1570"/>
      <c r="S1006" s="1570"/>
      <c r="T1006" s="1570"/>
      <c r="U1006" s="1570"/>
      <c r="V1006" s="1570"/>
      <c r="W1006" s="1570"/>
      <c r="X1006" s="1570"/>
      <c r="Y1006" s="1570"/>
      <c r="Z1006" s="1570"/>
      <c r="AA1006" s="1570"/>
      <c r="AB1006" s="1570"/>
      <c r="AC1006" s="1570"/>
      <c r="AD1006" s="1570"/>
      <c r="AE1006" s="1570"/>
      <c r="AF1006" s="1570"/>
      <c r="AG1006" s="1570"/>
      <c r="AH1006" s="1570"/>
    </row>
    <row r="1007" spans="1:36" hidden="1">
      <c r="A1007" s="1600" t="s">
        <v>397</v>
      </c>
      <c r="B1007" s="1599">
        <f>SUM(B1005:B1006)</f>
        <v>100</v>
      </c>
      <c r="C1007" s="1660" t="s">
        <v>31</v>
      </c>
      <c r="D1007" s="1660"/>
      <c r="E1007" s="1577" t="s">
        <v>31</v>
      </c>
      <c r="F1007" s="1660" t="s">
        <v>31</v>
      </c>
      <c r="G1007" s="1574"/>
      <c r="H1007" s="1577" t="s">
        <v>31</v>
      </c>
      <c r="I1007" s="1660" t="s">
        <v>31</v>
      </c>
      <c r="J1007" s="1574"/>
      <c r="K1007" s="1577" t="s">
        <v>31</v>
      </c>
      <c r="M1007" s="1570"/>
      <c r="N1007" s="1570"/>
      <c r="O1007" s="1571"/>
      <c r="P1007" s="1571"/>
      <c r="Q1007" s="1571"/>
      <c r="R1007" s="1570"/>
      <c r="S1007" s="1570"/>
      <c r="T1007" s="1570"/>
      <c r="U1007" s="1570"/>
      <c r="V1007" s="1570"/>
      <c r="W1007" s="1570"/>
      <c r="X1007" s="1570"/>
      <c r="Y1007" s="1570"/>
      <c r="Z1007" s="1570"/>
      <c r="AA1007" s="1570"/>
      <c r="AB1007" s="1570"/>
      <c r="AC1007" s="1570"/>
      <c r="AD1007" s="1570"/>
      <c r="AE1007" s="1570"/>
      <c r="AF1007" s="1570"/>
      <c r="AG1007" s="1570"/>
      <c r="AH1007" s="1570"/>
    </row>
    <row r="1008" spans="1:36" hidden="1">
      <c r="A1008" s="1600" t="s">
        <v>476</v>
      </c>
      <c r="B1008" s="1599">
        <f>176488</f>
        <v>176488</v>
      </c>
      <c r="C1008" s="1660">
        <v>0.45</v>
      </c>
      <c r="D1008" s="1660"/>
      <c r="E1008" s="1577">
        <f>ROUND(C1008*$B1008,0)</f>
        <v>79420</v>
      </c>
      <c r="F1008" s="1660">
        <v>0.53</v>
      </c>
      <c r="G1008" s="1574"/>
      <c r="H1008" s="1577">
        <f t="shared" ref="H1008:H1010" si="154">ROUND(F1008*B1008,0)</f>
        <v>93539</v>
      </c>
      <c r="I1008" s="1660">
        <f>I987</f>
        <v>0.56000000000000005</v>
      </c>
      <c r="J1008" s="1574"/>
      <c r="K1008" s="1577">
        <f>ROUND(I1008*$B1008,0)</f>
        <v>98833</v>
      </c>
      <c r="M1008" s="1570"/>
      <c r="N1008" s="1570" t="s">
        <v>31</v>
      </c>
      <c r="O1008" s="1571"/>
      <c r="P1008" s="1571" t="s">
        <v>31</v>
      </c>
      <c r="Q1008" s="1571"/>
      <c r="R1008" s="1570"/>
      <c r="S1008" s="1570"/>
      <c r="T1008" s="1570"/>
      <c r="U1008" s="1570"/>
      <c r="V1008" s="1570"/>
      <c r="W1008" s="1570"/>
      <c r="X1008" s="1570"/>
      <c r="Y1008" s="1570"/>
      <c r="Z1008" s="1570"/>
      <c r="AA1008" s="1570"/>
      <c r="AB1008" s="1570"/>
      <c r="AC1008" s="1570"/>
      <c r="AD1008" s="1570"/>
      <c r="AE1008" s="1570"/>
      <c r="AF1008" s="1570"/>
      <c r="AG1008" s="1570"/>
      <c r="AH1008" s="1570"/>
    </row>
    <row r="1009" spans="1:36" hidden="1">
      <c r="A1009" s="1600" t="s">
        <v>477</v>
      </c>
      <c r="B1009" s="1599">
        <v>0</v>
      </c>
      <c r="C1009" s="1660">
        <v>0.38000000000000006</v>
      </c>
      <c r="D1009" s="1660"/>
      <c r="E1009" s="1577">
        <f>ROUND(C1009*$B1009,0)</f>
        <v>0</v>
      </c>
      <c r="F1009" s="1660">
        <v>0.43</v>
      </c>
      <c r="G1009" s="1574"/>
      <c r="H1009" s="1577">
        <f t="shared" si="154"/>
        <v>0</v>
      </c>
      <c r="I1009" s="1660">
        <f>I988</f>
        <v>0.46</v>
      </c>
      <c r="J1009" s="1574"/>
      <c r="K1009" s="1577">
        <f>ROUND(I1009*$B1009,0)</f>
        <v>0</v>
      </c>
      <c r="M1009" s="1570"/>
      <c r="N1009" s="1570"/>
      <c r="O1009" s="1571"/>
      <c r="P1009" s="1571"/>
      <c r="Q1009" s="1571"/>
      <c r="R1009" s="1570"/>
      <c r="S1009" s="1570"/>
      <c r="T1009" s="1570"/>
      <c r="U1009" s="1570"/>
      <c r="V1009" s="1570"/>
      <c r="W1009" s="1570"/>
      <c r="X1009" s="1570"/>
      <c r="Y1009" s="1570"/>
      <c r="Z1009" s="1570"/>
      <c r="AA1009" s="1570"/>
      <c r="AB1009" s="1570"/>
      <c r="AC1009" s="1570"/>
      <c r="AD1009" s="1570"/>
      <c r="AE1009" s="1570"/>
      <c r="AF1009" s="1570"/>
      <c r="AG1009" s="1570"/>
      <c r="AH1009" s="1570"/>
    </row>
    <row r="1010" spans="1:36" hidden="1">
      <c r="A1010" s="1600" t="s">
        <v>406</v>
      </c>
      <c r="B1010" s="1599">
        <f>140544</f>
        <v>140544</v>
      </c>
      <c r="C1010" s="1660">
        <v>6.12</v>
      </c>
      <c r="D1010" s="1660"/>
      <c r="E1010" s="1577">
        <f>ROUND(C1010*$B1010,0)</f>
        <v>860129</v>
      </c>
      <c r="F1010" s="1660">
        <v>6.99</v>
      </c>
      <c r="G1010" s="1574"/>
      <c r="H1010" s="1577">
        <f t="shared" si="154"/>
        <v>982403</v>
      </c>
      <c r="I1010" s="1660">
        <f>I989</f>
        <v>7.39</v>
      </c>
      <c r="J1010" s="1574"/>
      <c r="K1010" s="1577">
        <f>ROUND(I1010*$B1010,0)</f>
        <v>1038620</v>
      </c>
      <c r="M1010" s="1570"/>
      <c r="N1010" s="1570"/>
      <c r="O1010" s="1571"/>
      <c r="P1010" s="1571"/>
      <c r="Q1010" s="1571"/>
      <c r="R1010" s="1570"/>
      <c r="S1010" s="1570"/>
      <c r="T1010" s="1570"/>
      <c r="U1010" s="1570"/>
      <c r="V1010" s="1570"/>
      <c r="W1010" s="1570"/>
      <c r="X1010" s="1570"/>
      <c r="Y1010" s="1570"/>
      <c r="Z1010" s="1570"/>
      <c r="AA1010" s="1570"/>
      <c r="AB1010" s="1570"/>
      <c r="AC1010" s="1570"/>
      <c r="AD1010" s="1570"/>
      <c r="AE1010" s="1570"/>
      <c r="AF1010" s="1570"/>
      <c r="AG1010" s="1570"/>
      <c r="AH1010" s="1570"/>
    </row>
    <row r="1011" spans="1:36" hidden="1">
      <c r="A1011" s="1600" t="s">
        <v>429</v>
      </c>
      <c r="B1011" s="1599"/>
      <c r="C1011" s="1660" t="s">
        <v>31</v>
      </c>
      <c r="D1011" s="1660"/>
      <c r="E1011" s="1577"/>
      <c r="F1011" s="1660" t="s">
        <v>31</v>
      </c>
      <c r="G1011" s="1574"/>
      <c r="H1011" s="1577"/>
      <c r="I1011" s="1660" t="s">
        <v>31</v>
      </c>
      <c r="J1011" s="1574"/>
      <c r="K1011" s="1577"/>
      <c r="M1011" s="1570"/>
      <c r="N1011" s="1570"/>
      <c r="O1011" s="1571"/>
      <c r="P1011" s="1571"/>
      <c r="Q1011" s="1571"/>
      <c r="R1011" s="1570"/>
      <c r="S1011" s="1570"/>
      <c r="T1011" s="1570"/>
      <c r="U1011" s="1570"/>
      <c r="V1011" s="1570"/>
      <c r="W1011" s="1570"/>
      <c r="X1011" s="1570"/>
      <c r="Y1011" s="1570"/>
      <c r="Z1011" s="1570"/>
      <c r="AA1011" s="1570"/>
      <c r="AB1011" s="1570"/>
      <c r="AC1011" s="1570"/>
      <c r="AD1011" s="1570"/>
      <c r="AE1011" s="1570"/>
      <c r="AF1011" s="1570"/>
      <c r="AG1011" s="1570"/>
      <c r="AH1011" s="1570"/>
    </row>
    <row r="1012" spans="1:36" hidden="1">
      <c r="A1012" s="1600" t="s">
        <v>467</v>
      </c>
      <c r="B1012" s="1599">
        <f>58901000</f>
        <v>58901000</v>
      </c>
      <c r="C1012" s="1730">
        <v>3.6669999999999998</v>
      </c>
      <c r="D1012" s="1574" t="s">
        <v>377</v>
      </c>
      <c r="E1012" s="1577">
        <f>ROUND(C1012/100*$B1012,0)</f>
        <v>2159900</v>
      </c>
      <c r="F1012" s="1730">
        <v>4.1920000000000002</v>
      </c>
      <c r="G1012" s="1574" t="s">
        <v>377</v>
      </c>
      <c r="H1012" s="1577">
        <f>ROUND(F1012/100*B1012,0)</f>
        <v>2469130</v>
      </c>
      <c r="I1012" s="1730">
        <f>I991</f>
        <v>4.4250000000000007</v>
      </c>
      <c r="J1012" s="1574" t="s">
        <v>377</v>
      </c>
      <c r="K1012" s="1577">
        <f>ROUND(I1012/100*$B1012,0)</f>
        <v>2606369</v>
      </c>
      <c r="M1012" s="1570"/>
      <c r="N1012" s="1570"/>
      <c r="O1012" s="1571"/>
      <c r="P1012" s="1571"/>
      <c r="Q1012" s="1571"/>
      <c r="R1012" s="1570"/>
      <c r="S1012" s="1570"/>
      <c r="T1012" s="1570"/>
      <c r="U1012" s="1570"/>
      <c r="V1012" s="1570"/>
      <c r="W1012" s="1570"/>
      <c r="X1012" s="1570"/>
      <c r="Y1012" s="1570"/>
      <c r="Z1012" s="1570"/>
      <c r="AA1012" s="1570"/>
      <c r="AB1012" s="1570"/>
      <c r="AC1012" s="1570"/>
      <c r="AD1012" s="1570"/>
      <c r="AE1012" s="1570"/>
      <c r="AF1012" s="1570"/>
      <c r="AG1012" s="1570"/>
      <c r="AH1012" s="1570"/>
    </row>
    <row r="1013" spans="1:36" hidden="1">
      <c r="A1013" s="1600" t="s">
        <v>403</v>
      </c>
      <c r="B1013" s="1599">
        <f>12483</f>
        <v>12483</v>
      </c>
      <c r="C1013" s="1660">
        <v>0.47</v>
      </c>
      <c r="D1013" s="1574"/>
      <c r="E1013" s="1577">
        <f>ROUND(C1013*$B1013,0)</f>
        <v>5867</v>
      </c>
      <c r="F1013" s="1660">
        <v>0.54</v>
      </c>
      <c r="G1013" s="1574"/>
      <c r="H1013" s="1577">
        <f>ROUND(F1013*B1013,0)</f>
        <v>6741</v>
      </c>
      <c r="I1013" s="1660">
        <f>I992</f>
        <v>0.57000000000000006</v>
      </c>
      <c r="J1013" s="1574"/>
      <c r="K1013" s="1577">
        <f>ROUND(I1013*$B1013,0)</f>
        <v>7115</v>
      </c>
      <c r="M1013" s="1570"/>
      <c r="N1013" s="1570"/>
      <c r="O1013" s="1571"/>
      <c r="P1013" s="1571"/>
      <c r="Q1013" s="1571"/>
      <c r="R1013" s="1570"/>
      <c r="S1013" s="1570"/>
      <c r="T1013" s="1570"/>
      <c r="U1013" s="1570"/>
      <c r="V1013" s="1570"/>
      <c r="W1013" s="1570"/>
      <c r="X1013" s="1570"/>
      <c r="Y1013" s="1570"/>
      <c r="Z1013" s="1570"/>
      <c r="AA1013" s="1570"/>
      <c r="AB1013" s="1570"/>
      <c r="AC1013" s="1570"/>
      <c r="AD1013" s="1570"/>
      <c r="AE1013" s="1570"/>
      <c r="AF1013" s="1570"/>
      <c r="AG1013" s="1570"/>
      <c r="AH1013" s="1570"/>
    </row>
    <row r="1014" spans="1:36" hidden="1">
      <c r="A1014" s="1569" t="s">
        <v>938</v>
      </c>
      <c r="B1014" s="1575">
        <f>B1012</f>
        <v>58901000</v>
      </c>
      <c r="C1014" s="1584"/>
      <c r="D1014" s="1570"/>
      <c r="E1014" s="1577"/>
      <c r="F1014" s="1584"/>
      <c r="G1014" s="1570"/>
      <c r="H1014" s="1577"/>
      <c r="I1014" s="1389">
        <f>I993</f>
        <v>0</v>
      </c>
      <c r="J1014" s="1574" t="s">
        <v>377</v>
      </c>
      <c r="K1014" s="1577">
        <f>ROUND(I1014/100*$B1014,0)</f>
        <v>0</v>
      </c>
      <c r="M1014" s="1578"/>
      <c r="O1014" s="1579"/>
      <c r="P1014" s="1569"/>
      <c r="Q1014" s="1569"/>
      <c r="R1014" s="1580"/>
      <c r="S1014" s="1580"/>
      <c r="X1014" s="1570"/>
      <c r="Y1014" s="1570"/>
      <c r="Z1014" s="1570"/>
      <c r="AA1014" s="1570"/>
      <c r="AB1014" s="1570"/>
      <c r="AC1014" s="1570"/>
      <c r="AD1014" s="1570"/>
      <c r="AE1014" s="1570"/>
      <c r="AF1014" s="1570"/>
      <c r="AG1014" s="1570"/>
      <c r="AH1014" s="1570"/>
      <c r="AJ1014" s="1578"/>
    </row>
    <row r="1015" spans="1:36" hidden="1">
      <c r="A1015" s="1585" t="s">
        <v>384</v>
      </c>
      <c r="B1015" s="1599">
        <f>B1012</f>
        <v>58901000</v>
      </c>
      <c r="C1015" s="1647"/>
      <c r="D1015" s="1577"/>
      <c r="E1015" s="1577">
        <f>SUM(E1005:E1013)</f>
        <v>3229816</v>
      </c>
      <c r="F1015" s="1647"/>
      <c r="G1015" s="1585"/>
      <c r="H1015" s="1577">
        <f>SUM(H1005:H1013)</f>
        <v>3693713</v>
      </c>
      <c r="I1015" s="1647"/>
      <c r="J1015" s="1585"/>
      <c r="K1015" s="1577">
        <f>SUM(K1005:K1014)</f>
        <v>3900737</v>
      </c>
      <c r="M1015" s="1570"/>
      <c r="N1015" s="1570"/>
      <c r="O1015" s="1571"/>
      <c r="P1015" s="1571"/>
      <c r="Q1015" s="1571"/>
      <c r="R1015" s="1570"/>
      <c r="S1015" s="1570"/>
      <c r="T1015" s="1570"/>
      <c r="U1015" s="1570"/>
      <c r="V1015" s="1570"/>
      <c r="W1015" s="1570"/>
      <c r="X1015" s="1570"/>
      <c r="Y1015" s="1570"/>
      <c r="Z1015" s="1570"/>
      <c r="AA1015" s="1570"/>
      <c r="AB1015" s="1570"/>
      <c r="AC1015" s="1570"/>
      <c r="AD1015" s="1570"/>
      <c r="AE1015" s="1570"/>
      <c r="AF1015" s="1570"/>
      <c r="AG1015" s="1570"/>
      <c r="AH1015" s="1570"/>
    </row>
    <row r="1016" spans="1:36" hidden="1">
      <c r="A1016" s="1585" t="s">
        <v>366</v>
      </c>
      <c r="B1016" s="1599">
        <f>B1015/($B$958+$B$1015)*$B$1052</f>
        <v>-151857.09316799315</v>
      </c>
      <c r="C1016" s="1600"/>
      <c r="D1016" s="1600"/>
      <c r="E1016" s="1732" t="e">
        <f>E1015/($E$958+$E$1015)*$E$1052</f>
        <v>#REF!</v>
      </c>
      <c r="F1016" s="1600"/>
      <c r="G1016" s="1600"/>
      <c r="H1016" s="1664">
        <f ca="1">'Table 3'!E49</f>
        <v>-26603.603302829546</v>
      </c>
      <c r="I1016" s="1600"/>
      <c r="J1016" s="1600"/>
      <c r="K1016" s="1664">
        <f ca="1">H1016</f>
        <v>-26603.603302829546</v>
      </c>
      <c r="M1016" s="1422"/>
      <c r="N1016" s="1422"/>
      <c r="O1016" s="1423"/>
      <c r="P1016" s="1571"/>
      <c r="Q1016" s="1571"/>
      <c r="R1016" s="1570"/>
      <c r="S1016" s="1570"/>
      <c r="T1016" s="1570"/>
      <c r="U1016" s="1570"/>
      <c r="V1016" s="1570"/>
      <c r="W1016" s="1570"/>
      <c r="X1016" s="1570"/>
      <c r="Y1016" s="1570"/>
      <c r="Z1016" s="1570"/>
      <c r="AA1016" s="1570"/>
      <c r="AB1016" s="1570"/>
      <c r="AC1016" s="1570"/>
      <c r="AD1016" s="1570"/>
      <c r="AE1016" s="1570"/>
      <c r="AF1016" s="1570"/>
      <c r="AG1016" s="1570"/>
      <c r="AH1016" s="1570"/>
    </row>
    <row r="1017" spans="1:36" ht="15.75" hidden="1" thickBot="1">
      <c r="A1017" s="1585" t="s">
        <v>385</v>
      </c>
      <c r="B1017" s="1727">
        <f>SUM(B1015)+B1016</f>
        <v>58749142.90683201</v>
      </c>
      <c r="C1017" s="1666"/>
      <c r="D1017" s="1667"/>
      <c r="E1017" s="1668" t="e">
        <f>E1015+E1016</f>
        <v>#REF!</v>
      </c>
      <c r="F1017" s="1666"/>
      <c r="G1017" s="1670"/>
      <c r="H1017" s="1668">
        <f ca="1">H1015+H1016</f>
        <v>3667109.3966971706</v>
      </c>
      <c r="I1017" s="1666"/>
      <c r="J1017" s="1670"/>
      <c r="K1017" s="1668">
        <f ca="1">K1015+K1016</f>
        <v>3874133.3966971706</v>
      </c>
      <c r="M1017" s="1424"/>
      <c r="N1017" s="1424" t="s">
        <v>31</v>
      </c>
      <c r="O1017" s="1597"/>
      <c r="P1017" s="1571"/>
      <c r="Q1017" s="1571"/>
      <c r="R1017" s="1615" t="s">
        <v>31</v>
      </c>
      <c r="S1017" s="1570"/>
      <c r="T1017" s="1570"/>
      <c r="U1017" s="1570"/>
      <c r="V1017" s="1570"/>
      <c r="W1017" s="1570"/>
      <c r="X1017" s="1570"/>
      <c r="Y1017" s="1570"/>
      <c r="Z1017" s="1570"/>
      <c r="AA1017" s="1570"/>
      <c r="AB1017" s="1570"/>
      <c r="AC1017" s="1570"/>
      <c r="AD1017" s="1570"/>
      <c r="AE1017" s="1570"/>
      <c r="AF1017" s="1570"/>
      <c r="AG1017" s="1570"/>
      <c r="AH1017" s="1570"/>
    </row>
    <row r="1018" spans="1:36" hidden="1">
      <c r="A1018" s="1585"/>
      <c r="B1018" s="1610"/>
      <c r="C1018" s="1660"/>
      <c r="D1018" s="1577"/>
      <c r="E1018" s="1577"/>
      <c r="F1018" s="1660" t="s">
        <v>31</v>
      </c>
      <c r="G1018" s="1585"/>
      <c r="H1018" s="1577"/>
      <c r="I1018" s="1657" t="s">
        <v>31</v>
      </c>
      <c r="J1018" s="1585"/>
      <c r="K1018" s="1577" t="s">
        <v>31</v>
      </c>
      <c r="M1018" s="1570"/>
      <c r="N1018" s="1570"/>
      <c r="O1018" s="1571"/>
      <c r="P1018" s="1571"/>
      <c r="Q1018" s="1571"/>
      <c r="R1018" s="1570"/>
      <c r="S1018" s="1570"/>
      <c r="T1018" s="1570"/>
      <c r="U1018" s="1570"/>
      <c r="V1018" s="1570"/>
      <c r="W1018" s="1570"/>
      <c r="X1018" s="1570"/>
      <c r="Y1018" s="1570"/>
      <c r="Z1018" s="1570"/>
      <c r="AA1018" s="1570"/>
      <c r="AB1018" s="1570"/>
      <c r="AC1018" s="1570"/>
      <c r="AD1018" s="1570"/>
      <c r="AE1018" s="1570"/>
      <c r="AF1018" s="1570"/>
      <c r="AG1018" s="1570"/>
      <c r="AH1018" s="1570"/>
    </row>
    <row r="1019" spans="1:36" hidden="1">
      <c r="A1019" s="1609" t="s">
        <v>479</v>
      </c>
      <c r="B1019" s="1585"/>
      <c r="C1019" s="1577"/>
      <c r="D1019" s="1577"/>
      <c r="E1019" s="1585"/>
      <c r="F1019" s="1577"/>
      <c r="G1019" s="1585"/>
      <c r="H1019" s="1585"/>
      <c r="I1019" s="1577"/>
      <c r="J1019" s="1585"/>
      <c r="K1019" s="1585"/>
      <c r="M1019" s="1570"/>
      <c r="N1019" s="1570"/>
      <c r="O1019" s="1571"/>
      <c r="P1019" s="1571"/>
      <c r="Q1019" s="1571"/>
      <c r="R1019" s="1570"/>
      <c r="S1019" s="1570"/>
      <c r="T1019" s="1570"/>
      <c r="U1019" s="1570"/>
      <c r="V1019" s="1570"/>
      <c r="W1019" s="1570"/>
      <c r="X1019" s="1570"/>
      <c r="Y1019" s="1570"/>
      <c r="Z1019" s="1570"/>
      <c r="AA1019" s="1570"/>
      <c r="AB1019" s="1570"/>
      <c r="AC1019" s="1570"/>
      <c r="AD1019" s="1570"/>
      <c r="AE1019" s="1570"/>
      <c r="AF1019" s="1570"/>
      <c r="AG1019" s="1570"/>
      <c r="AH1019" s="1570"/>
    </row>
    <row r="1020" spans="1:36" hidden="1">
      <c r="A1020" s="1600" t="s">
        <v>702</v>
      </c>
      <c r="B1020" s="1585"/>
      <c r="C1020" s="1577"/>
      <c r="D1020" s="1577"/>
      <c r="E1020" s="1585"/>
      <c r="F1020" s="1577"/>
      <c r="G1020" s="1585"/>
      <c r="H1020" s="1585"/>
      <c r="I1020" s="1577"/>
      <c r="J1020" s="1585"/>
      <c r="K1020" s="1585"/>
      <c r="M1020" s="1570"/>
      <c r="N1020" s="1570"/>
      <c r="O1020" s="1571"/>
      <c r="P1020" s="1571"/>
      <c r="Q1020" s="1571"/>
      <c r="R1020" s="1570"/>
      <c r="S1020" s="1570"/>
      <c r="T1020" s="1570"/>
      <c r="U1020" s="1570"/>
      <c r="V1020" s="1570"/>
      <c r="W1020" s="1570"/>
      <c r="X1020" s="1570"/>
      <c r="Y1020" s="1570"/>
      <c r="Z1020" s="1570"/>
      <c r="AA1020" s="1570"/>
      <c r="AB1020" s="1570"/>
      <c r="AC1020" s="1570"/>
      <c r="AD1020" s="1570"/>
      <c r="AE1020" s="1570"/>
      <c r="AF1020" s="1570"/>
      <c r="AG1020" s="1570"/>
      <c r="AH1020" s="1570"/>
    </row>
    <row r="1021" spans="1:36" hidden="1">
      <c r="A1021" s="1585" t="s">
        <v>31</v>
      </c>
      <c r="B1021" s="1585"/>
      <c r="C1021" s="1577"/>
      <c r="D1021" s="1577"/>
      <c r="E1021" s="1585"/>
      <c r="F1021" s="1577"/>
      <c r="G1021" s="1585"/>
      <c r="H1021" s="1585"/>
      <c r="I1021" s="1577"/>
      <c r="J1021" s="1585"/>
      <c r="K1021" s="1585"/>
      <c r="M1021" s="1570"/>
      <c r="N1021" s="1570"/>
      <c r="O1021" s="1571"/>
      <c r="P1021" s="1571"/>
      <c r="Q1021" s="1571"/>
      <c r="R1021" s="1570"/>
      <c r="S1021" s="1570"/>
      <c r="T1021" s="1570"/>
      <c r="U1021" s="1570"/>
      <c r="V1021" s="1570"/>
      <c r="W1021" s="1570"/>
      <c r="X1021" s="1570"/>
      <c r="Y1021" s="1570"/>
      <c r="Z1021" s="1570"/>
      <c r="AA1021" s="1570"/>
      <c r="AB1021" s="1570"/>
      <c r="AC1021" s="1570"/>
      <c r="AD1021" s="1570"/>
      <c r="AE1021" s="1570"/>
      <c r="AF1021" s="1570"/>
      <c r="AG1021" s="1570"/>
      <c r="AH1021" s="1570"/>
    </row>
    <row r="1022" spans="1:36" hidden="1">
      <c r="A1022" s="1600" t="s">
        <v>396</v>
      </c>
      <c r="B1022" s="1599"/>
      <c r="C1022" s="1577"/>
      <c r="D1022" s="1577"/>
      <c r="E1022" s="1585"/>
      <c r="F1022" s="1577"/>
      <c r="G1022" s="1585"/>
      <c r="H1022" s="1585"/>
      <c r="I1022" s="1577"/>
      <c r="J1022" s="1585"/>
      <c r="K1022" s="1585"/>
      <c r="M1022" s="1570"/>
      <c r="O1022" s="1571"/>
      <c r="P1022" s="1571"/>
      <c r="Q1022" s="1571"/>
      <c r="R1022" s="1570"/>
      <c r="S1022" s="1570"/>
      <c r="T1022" s="1570"/>
      <c r="U1022" s="1570"/>
      <c r="V1022" s="1570"/>
      <c r="W1022" s="1570"/>
      <c r="X1022" s="1570"/>
      <c r="Y1022" s="1570"/>
      <c r="Z1022" s="1570"/>
      <c r="AA1022" s="1570"/>
      <c r="AB1022" s="1570"/>
      <c r="AC1022" s="1570"/>
      <c r="AD1022" s="1570"/>
      <c r="AE1022" s="1570"/>
      <c r="AF1022" s="1570"/>
      <c r="AG1022" s="1570"/>
      <c r="AH1022" s="1570"/>
    </row>
    <row r="1023" spans="1:36" hidden="1">
      <c r="A1023" s="1600" t="s">
        <v>474</v>
      </c>
      <c r="B1023" s="1599">
        <f>31</f>
        <v>31</v>
      </c>
      <c r="C1023" s="1660">
        <v>1245</v>
      </c>
      <c r="D1023" s="1660"/>
      <c r="E1023" s="1577">
        <f>ROUND(C1023*$B1023,0)</f>
        <v>38595</v>
      </c>
      <c r="F1023" s="1660">
        <v>1419</v>
      </c>
      <c r="G1023" s="1574"/>
      <c r="H1023" s="1577">
        <f>ROUND(F1023*B1023,0)</f>
        <v>43989</v>
      </c>
      <c r="I1023" s="1660">
        <f>I984</f>
        <v>1498</v>
      </c>
      <c r="J1023" s="1574"/>
      <c r="K1023" s="1577">
        <f>ROUND(I1023*$B1023,0)</f>
        <v>46438</v>
      </c>
      <c r="M1023" s="1570"/>
      <c r="N1023" s="1570"/>
      <c r="O1023" s="1571"/>
      <c r="P1023" s="1571"/>
      <c r="Q1023" s="1571"/>
      <c r="R1023" s="1570"/>
      <c r="S1023" s="1570"/>
      <c r="T1023" s="1570"/>
      <c r="U1023" s="1570"/>
      <c r="V1023" s="1570"/>
      <c r="W1023" s="1570"/>
      <c r="X1023" s="1570"/>
      <c r="Y1023" s="1570"/>
      <c r="Z1023" s="1570"/>
      <c r="AA1023" s="1570"/>
      <c r="AB1023" s="1570"/>
      <c r="AC1023" s="1570"/>
      <c r="AD1023" s="1570"/>
      <c r="AE1023" s="1570"/>
      <c r="AF1023" s="1570"/>
      <c r="AG1023" s="1570"/>
      <c r="AH1023" s="1570"/>
    </row>
    <row r="1024" spans="1:36" hidden="1">
      <c r="A1024" s="1600" t="s">
        <v>475</v>
      </c>
      <c r="B1024" s="1599">
        <v>0</v>
      </c>
      <c r="C1024" s="1660">
        <v>1490</v>
      </c>
      <c r="D1024" s="1660"/>
      <c r="E1024" s="1577">
        <f>ROUND(C1024*$B1024,0)</f>
        <v>0</v>
      </c>
      <c r="F1024" s="1660">
        <v>1707</v>
      </c>
      <c r="G1024" s="1641"/>
      <c r="H1024" s="1577">
        <f>ROUND(F1024*B1024,0)</f>
        <v>0</v>
      </c>
      <c r="I1024" s="1660">
        <f>I985</f>
        <v>1802</v>
      </c>
      <c r="J1024" s="1641"/>
      <c r="K1024" s="1577">
        <f>ROUND(I1024*$B1024,0)</f>
        <v>0</v>
      </c>
      <c r="M1024" s="1570"/>
      <c r="N1024" s="1570"/>
      <c r="O1024" s="1571"/>
      <c r="P1024" s="1571"/>
      <c r="Q1024" s="1571"/>
      <c r="R1024" s="1570"/>
      <c r="S1024" s="1570"/>
      <c r="T1024" s="1570"/>
      <c r="U1024" s="1570"/>
      <c r="V1024" s="1570"/>
      <c r="W1024" s="1570"/>
      <c r="X1024" s="1570"/>
      <c r="Y1024" s="1570"/>
      <c r="Z1024" s="1570"/>
      <c r="AA1024" s="1570"/>
      <c r="AB1024" s="1570"/>
      <c r="AC1024" s="1570"/>
      <c r="AD1024" s="1570"/>
      <c r="AE1024" s="1570"/>
      <c r="AF1024" s="1570"/>
      <c r="AG1024" s="1570"/>
      <c r="AH1024" s="1570"/>
    </row>
    <row r="1025" spans="1:36" hidden="1">
      <c r="A1025" s="1600" t="s">
        <v>397</v>
      </c>
      <c r="B1025" s="1599">
        <f>SUM(B1023:B1024)</f>
        <v>31</v>
      </c>
      <c r="C1025" s="1660" t="s">
        <v>31</v>
      </c>
      <c r="D1025" s="1660"/>
      <c r="E1025" s="1577" t="s">
        <v>31</v>
      </c>
      <c r="F1025" s="1660" t="s">
        <v>31</v>
      </c>
      <c r="G1025" s="1574"/>
      <c r="H1025" s="1577" t="s">
        <v>31</v>
      </c>
      <c r="I1025" s="1660" t="s">
        <v>31</v>
      </c>
      <c r="J1025" s="1574"/>
      <c r="K1025" s="1577" t="s">
        <v>31</v>
      </c>
      <c r="M1025" s="1570"/>
      <c r="N1025" s="1570"/>
      <c r="O1025" s="1571"/>
      <c r="P1025" s="1571"/>
      <c r="Q1025" s="1571"/>
      <c r="R1025" s="1570"/>
      <c r="S1025" s="1570"/>
      <c r="T1025" s="1570"/>
      <c r="U1025" s="1570"/>
      <c r="V1025" s="1570"/>
      <c r="W1025" s="1570"/>
      <c r="X1025" s="1570"/>
      <c r="Y1025" s="1570"/>
      <c r="Z1025" s="1570"/>
      <c r="AA1025" s="1570"/>
      <c r="AB1025" s="1570"/>
      <c r="AC1025" s="1570"/>
      <c r="AD1025" s="1570"/>
      <c r="AE1025" s="1570"/>
      <c r="AF1025" s="1570"/>
      <c r="AG1025" s="1570"/>
      <c r="AH1025" s="1570"/>
    </row>
    <row r="1026" spans="1:36" hidden="1">
      <c r="A1026" s="1600" t="s">
        <v>476</v>
      </c>
      <c r="B1026" s="1599">
        <f>25397</f>
        <v>25397</v>
      </c>
      <c r="C1026" s="1660">
        <v>0.45</v>
      </c>
      <c r="D1026" s="1660"/>
      <c r="E1026" s="1577">
        <f>ROUND(C1026*$B1026,0)</f>
        <v>11429</v>
      </c>
      <c r="F1026" s="1660">
        <v>0.53</v>
      </c>
      <c r="G1026" s="1574"/>
      <c r="H1026" s="1577">
        <f t="shared" ref="H1026:H1028" si="155">ROUND(F1026*B1026,0)</f>
        <v>13460</v>
      </c>
      <c r="I1026" s="1660">
        <f>I987</f>
        <v>0.56000000000000005</v>
      </c>
      <c r="J1026" s="1574"/>
      <c r="K1026" s="1577">
        <f>ROUND(I1026*$B1026,0)</f>
        <v>14222</v>
      </c>
      <c r="M1026" s="1570"/>
      <c r="N1026" s="1570" t="s">
        <v>31</v>
      </c>
      <c r="O1026" s="1571"/>
      <c r="P1026" s="1571" t="s">
        <v>31</v>
      </c>
      <c r="Q1026" s="1571"/>
      <c r="R1026" s="1570"/>
      <c r="S1026" s="1570"/>
      <c r="T1026" s="1570"/>
      <c r="U1026" s="1570"/>
      <c r="V1026" s="1570"/>
      <c r="W1026" s="1570"/>
      <c r="X1026" s="1570"/>
      <c r="Y1026" s="1570"/>
      <c r="Z1026" s="1570"/>
      <c r="AA1026" s="1570"/>
      <c r="AB1026" s="1570"/>
      <c r="AC1026" s="1570"/>
      <c r="AD1026" s="1570"/>
      <c r="AE1026" s="1570"/>
      <c r="AF1026" s="1570"/>
      <c r="AG1026" s="1570"/>
      <c r="AH1026" s="1570"/>
    </row>
    <row r="1027" spans="1:36" hidden="1">
      <c r="A1027" s="1600" t="s">
        <v>477</v>
      </c>
      <c r="B1027" s="1599">
        <v>0</v>
      </c>
      <c r="C1027" s="1660">
        <v>0.38000000000000006</v>
      </c>
      <c r="D1027" s="1660"/>
      <c r="E1027" s="1577">
        <f>ROUND(C1027*$B1027,0)</f>
        <v>0</v>
      </c>
      <c r="F1027" s="1660">
        <v>0.43</v>
      </c>
      <c r="G1027" s="1574"/>
      <c r="H1027" s="1577">
        <f t="shared" si="155"/>
        <v>0</v>
      </c>
      <c r="I1027" s="1660">
        <f>I988</f>
        <v>0.46</v>
      </c>
      <c r="J1027" s="1574"/>
      <c r="K1027" s="1577">
        <f>ROUND(I1027*$B1027,0)</f>
        <v>0</v>
      </c>
      <c r="M1027" s="1570"/>
      <c r="N1027" s="1570"/>
      <c r="O1027" s="1571"/>
      <c r="P1027" s="1571"/>
      <c r="Q1027" s="1571"/>
      <c r="R1027" s="1570"/>
      <c r="S1027" s="1570"/>
      <c r="T1027" s="1570"/>
      <c r="U1027" s="1570"/>
      <c r="V1027" s="1570"/>
      <c r="W1027" s="1570"/>
      <c r="X1027" s="1570"/>
      <c r="Y1027" s="1570"/>
      <c r="Z1027" s="1570"/>
      <c r="AA1027" s="1570"/>
      <c r="AB1027" s="1570"/>
      <c r="AC1027" s="1570"/>
      <c r="AD1027" s="1570"/>
      <c r="AE1027" s="1570"/>
      <c r="AF1027" s="1570"/>
      <c r="AG1027" s="1570"/>
      <c r="AH1027" s="1570"/>
    </row>
    <row r="1028" spans="1:36" hidden="1">
      <c r="A1028" s="1600" t="s">
        <v>406</v>
      </c>
      <c r="B1028" s="1599">
        <f>25117</f>
        <v>25117</v>
      </c>
      <c r="C1028" s="1660">
        <v>6.12</v>
      </c>
      <c r="D1028" s="1660"/>
      <c r="E1028" s="1577">
        <f>ROUND(C1028*$B1028,0)</f>
        <v>153716</v>
      </c>
      <c r="F1028" s="1660">
        <v>6.99</v>
      </c>
      <c r="G1028" s="1574"/>
      <c r="H1028" s="1577">
        <f t="shared" si="155"/>
        <v>175568</v>
      </c>
      <c r="I1028" s="1660">
        <f>I989</f>
        <v>7.39</v>
      </c>
      <c r="J1028" s="1574"/>
      <c r="K1028" s="1577">
        <f>ROUND(I1028*$B1028,0)</f>
        <v>185615</v>
      </c>
      <c r="M1028" s="1570"/>
      <c r="N1028" s="1570"/>
      <c r="O1028" s="1571"/>
      <c r="P1028" s="1571"/>
      <c r="Q1028" s="1571"/>
      <c r="R1028" s="1570"/>
      <c r="S1028" s="1570"/>
      <c r="T1028" s="1570"/>
      <c r="U1028" s="1570"/>
      <c r="V1028" s="1570"/>
      <c r="W1028" s="1570"/>
      <c r="X1028" s="1570"/>
      <c r="Y1028" s="1570"/>
      <c r="Z1028" s="1570"/>
      <c r="AA1028" s="1570"/>
      <c r="AB1028" s="1570"/>
      <c r="AC1028" s="1570"/>
      <c r="AD1028" s="1570"/>
      <c r="AE1028" s="1570"/>
      <c r="AF1028" s="1570"/>
      <c r="AG1028" s="1570"/>
      <c r="AH1028" s="1570"/>
    </row>
    <row r="1029" spans="1:36" hidden="1">
      <c r="A1029" s="1600" t="s">
        <v>429</v>
      </c>
      <c r="B1029" s="1599"/>
      <c r="C1029" s="1660" t="s">
        <v>31</v>
      </c>
      <c r="D1029" s="1660"/>
      <c r="E1029" s="1577"/>
      <c r="F1029" s="1660" t="s">
        <v>31</v>
      </c>
      <c r="G1029" s="1574"/>
      <c r="H1029" s="1577"/>
      <c r="I1029" s="1660" t="s">
        <v>31</v>
      </c>
      <c r="J1029" s="1574"/>
      <c r="K1029" s="1577"/>
      <c r="M1029" s="1570"/>
      <c r="N1029" s="1570"/>
      <c r="O1029" s="1571"/>
      <c r="P1029" s="1571"/>
      <c r="Q1029" s="1571"/>
      <c r="R1029" s="1570"/>
      <c r="S1029" s="1570"/>
      <c r="T1029" s="1570"/>
      <c r="U1029" s="1570"/>
      <c r="V1029" s="1570"/>
      <c r="W1029" s="1570"/>
      <c r="X1029" s="1570"/>
      <c r="Y1029" s="1570"/>
      <c r="Z1029" s="1570"/>
      <c r="AA1029" s="1570"/>
      <c r="AB1029" s="1570"/>
      <c r="AC1029" s="1570"/>
      <c r="AD1029" s="1570"/>
      <c r="AE1029" s="1570"/>
      <c r="AF1029" s="1570"/>
      <c r="AG1029" s="1570"/>
      <c r="AH1029" s="1570"/>
    </row>
    <row r="1030" spans="1:36" hidden="1">
      <c r="A1030" s="1600" t="s">
        <v>467</v>
      </c>
      <c r="B1030" s="1599">
        <f>4585200</f>
        <v>4585200</v>
      </c>
      <c r="C1030" s="1730">
        <v>3.6669999999999998</v>
      </c>
      <c r="D1030" s="1574" t="s">
        <v>377</v>
      </c>
      <c r="E1030" s="1577">
        <f>ROUND(C1030/100*$B1030,0)</f>
        <v>168139</v>
      </c>
      <c r="F1030" s="1730">
        <v>4.1920000000000002</v>
      </c>
      <c r="G1030" s="1574" t="s">
        <v>377</v>
      </c>
      <c r="H1030" s="1577">
        <f>ROUND(F1030/100*B1030,0)</f>
        <v>192212</v>
      </c>
      <c r="I1030" s="1730">
        <f>I991</f>
        <v>4.4250000000000007</v>
      </c>
      <c r="J1030" s="1574" t="s">
        <v>377</v>
      </c>
      <c r="K1030" s="1577">
        <f>ROUND(I1030/100*$B1030,0)</f>
        <v>202895</v>
      </c>
      <c r="M1030" s="1570"/>
      <c r="N1030" s="1570"/>
      <c r="O1030" s="1571"/>
      <c r="P1030" s="1571"/>
      <c r="Q1030" s="1571"/>
      <c r="R1030" s="1570"/>
      <c r="S1030" s="1570"/>
      <c r="T1030" s="1570"/>
      <c r="U1030" s="1570"/>
      <c r="V1030" s="1570"/>
      <c r="W1030" s="1570"/>
      <c r="X1030" s="1570"/>
      <c r="Y1030" s="1570"/>
      <c r="Z1030" s="1570"/>
      <c r="AA1030" s="1570"/>
      <c r="AB1030" s="1570"/>
      <c r="AC1030" s="1570"/>
      <c r="AD1030" s="1570"/>
      <c r="AE1030" s="1570"/>
      <c r="AF1030" s="1570"/>
      <c r="AG1030" s="1570"/>
      <c r="AH1030" s="1570"/>
    </row>
    <row r="1031" spans="1:36" hidden="1">
      <c r="A1031" s="1600" t="s">
        <v>403</v>
      </c>
      <c r="B1031" s="1599">
        <f>3837</f>
        <v>3837</v>
      </c>
      <c r="C1031" s="1660">
        <v>0.47</v>
      </c>
      <c r="D1031" s="1574"/>
      <c r="E1031" s="1577">
        <f>ROUND(C1031*$B1031,0)</f>
        <v>1803</v>
      </c>
      <c r="F1031" s="1660">
        <v>0.54</v>
      </c>
      <c r="G1031" s="1574"/>
      <c r="H1031" s="1577">
        <f>ROUND(F1031*B1031,0)</f>
        <v>2072</v>
      </c>
      <c r="I1031" s="1660">
        <f>I992</f>
        <v>0.57000000000000006</v>
      </c>
      <c r="J1031" s="1574"/>
      <c r="K1031" s="1577">
        <f>ROUND(I1031*$B1031,0)</f>
        <v>2187</v>
      </c>
      <c r="M1031" s="1570"/>
      <c r="N1031" s="1570"/>
      <c r="O1031" s="1571"/>
      <c r="P1031" s="1571"/>
      <c r="Q1031" s="1571"/>
      <c r="R1031" s="1570"/>
      <c r="S1031" s="1570"/>
      <c r="T1031" s="1570"/>
      <c r="U1031" s="1570"/>
      <c r="V1031" s="1570"/>
      <c r="W1031" s="1570"/>
      <c r="X1031" s="1570"/>
      <c r="Y1031" s="1570"/>
      <c r="Z1031" s="1570"/>
      <c r="AA1031" s="1570"/>
      <c r="AB1031" s="1570"/>
      <c r="AC1031" s="1570"/>
      <c r="AD1031" s="1570"/>
      <c r="AE1031" s="1570"/>
      <c r="AF1031" s="1570"/>
      <c r="AG1031" s="1570"/>
      <c r="AH1031" s="1570"/>
    </row>
    <row r="1032" spans="1:36" hidden="1">
      <c r="A1032" s="1569" t="s">
        <v>938</v>
      </c>
      <c r="B1032" s="1575">
        <f>B1030</f>
        <v>4585200</v>
      </c>
      <c r="C1032" s="1584"/>
      <c r="D1032" s="1570"/>
      <c r="E1032" s="1577"/>
      <c r="F1032" s="1584"/>
      <c r="G1032" s="1570"/>
      <c r="H1032" s="1577"/>
      <c r="I1032" s="1389">
        <f>I993</f>
        <v>0</v>
      </c>
      <c r="J1032" s="1574" t="s">
        <v>377</v>
      </c>
      <c r="K1032" s="1577">
        <f>ROUND(I1032/100*$B1032,0)</f>
        <v>0</v>
      </c>
      <c r="M1032" s="1578"/>
      <c r="O1032" s="1579"/>
      <c r="P1032" s="1569"/>
      <c r="Q1032" s="1569"/>
      <c r="R1032" s="1580"/>
      <c r="S1032" s="1580"/>
      <c r="X1032" s="1570"/>
      <c r="Y1032" s="1570"/>
      <c r="Z1032" s="1570"/>
      <c r="AA1032" s="1570"/>
      <c r="AB1032" s="1570"/>
      <c r="AC1032" s="1570"/>
      <c r="AD1032" s="1570"/>
      <c r="AE1032" s="1570"/>
      <c r="AF1032" s="1570"/>
      <c r="AG1032" s="1570"/>
      <c r="AH1032" s="1570"/>
      <c r="AJ1032" s="1578"/>
    </row>
    <row r="1033" spans="1:36" hidden="1">
      <c r="A1033" s="1585" t="s">
        <v>384</v>
      </c>
      <c r="B1033" s="1599">
        <f>B1030</f>
        <v>4585200</v>
      </c>
      <c r="C1033" s="1647"/>
      <c r="D1033" s="1577"/>
      <c r="E1033" s="1577">
        <f>SUM(E1023:E1031)</f>
        <v>373682</v>
      </c>
      <c r="F1033" s="1647"/>
      <c r="G1033" s="1585"/>
      <c r="H1033" s="1577">
        <f>SUM(H1023:H1031)</f>
        <v>427301</v>
      </c>
      <c r="I1033" s="1647"/>
      <c r="J1033" s="1585"/>
      <c r="K1033" s="1577">
        <f>SUM(K1023:K1032)</f>
        <v>451357</v>
      </c>
      <c r="M1033" s="1570"/>
      <c r="N1033" s="1570"/>
      <c r="O1033" s="1571"/>
      <c r="P1033" s="1571"/>
      <c r="Q1033" s="1571"/>
      <c r="R1033" s="1570"/>
      <c r="S1033" s="1570"/>
      <c r="T1033" s="1570"/>
      <c r="U1033" s="1570"/>
      <c r="V1033" s="1570"/>
      <c r="W1033" s="1570"/>
      <c r="X1033" s="1570"/>
      <c r="Y1033" s="1570"/>
      <c r="Z1033" s="1570"/>
      <c r="AA1033" s="1570"/>
      <c r="AB1033" s="1570"/>
      <c r="AC1033" s="1570"/>
      <c r="AD1033" s="1570"/>
      <c r="AE1033" s="1570"/>
      <c r="AF1033" s="1570"/>
      <c r="AG1033" s="1570"/>
      <c r="AH1033" s="1570"/>
    </row>
    <row r="1034" spans="1:36" hidden="1">
      <c r="A1034" s="1585" t="s">
        <v>366</v>
      </c>
      <c r="B1034" s="1599">
        <f ca="1">B1033/($B$976+$B$1033)*$B$1071</f>
        <v>62907.458023101703</v>
      </c>
      <c r="C1034" s="1600"/>
      <c r="D1034" s="1600"/>
      <c r="E1034" s="1732" t="e">
        <f>E1033/($E$976+$E$1033)*$E$1071</f>
        <v>#REF!</v>
      </c>
      <c r="F1034" s="1600"/>
      <c r="G1034" s="1600"/>
      <c r="H1034" s="1664">
        <f ca="1">'Table 3'!E80</f>
        <v>222642.17382612941</v>
      </c>
      <c r="I1034" s="1600"/>
      <c r="J1034" s="1600"/>
      <c r="K1034" s="1664">
        <f ca="1">H1034</f>
        <v>222642.17382612941</v>
      </c>
      <c r="M1034" s="1422"/>
      <c r="N1034" s="1422"/>
      <c r="O1034" s="1423"/>
      <c r="P1034" s="1571"/>
      <c r="Q1034" s="1571"/>
      <c r="R1034" s="1570"/>
      <c r="S1034" s="1570"/>
      <c r="T1034" s="1570"/>
      <c r="U1034" s="1570"/>
      <c r="V1034" s="1570"/>
      <c r="W1034" s="1570"/>
      <c r="X1034" s="1570"/>
      <c r="Y1034" s="1570"/>
      <c r="Z1034" s="1570"/>
      <c r="AA1034" s="1570"/>
      <c r="AB1034" s="1570"/>
      <c r="AC1034" s="1570"/>
      <c r="AD1034" s="1570"/>
      <c r="AE1034" s="1570"/>
      <c r="AF1034" s="1570"/>
      <c r="AG1034" s="1570"/>
      <c r="AH1034" s="1570"/>
    </row>
    <row r="1035" spans="1:36" ht="15.75" hidden="1" thickBot="1">
      <c r="A1035" s="1585" t="s">
        <v>385</v>
      </c>
      <c r="B1035" s="1727">
        <f ca="1">SUM(B1033)+B1034</f>
        <v>4648107.458023102</v>
      </c>
      <c r="C1035" s="1666"/>
      <c r="D1035" s="1667"/>
      <c r="E1035" s="1668" t="e">
        <f>E1033+E1034</f>
        <v>#REF!</v>
      </c>
      <c r="F1035" s="1666"/>
      <c r="G1035" s="1670"/>
      <c r="H1035" s="1668">
        <f ca="1">H1033+H1034</f>
        <v>649943.17382612941</v>
      </c>
      <c r="I1035" s="1666"/>
      <c r="J1035" s="1670"/>
      <c r="K1035" s="1668">
        <f ca="1">K1033+K1034</f>
        <v>673999.17382612941</v>
      </c>
      <c r="M1035" s="1424"/>
      <c r="N1035" s="1424" t="s">
        <v>31</v>
      </c>
      <c r="O1035" s="1597"/>
      <c r="P1035" s="1571"/>
      <c r="Q1035" s="1571"/>
      <c r="R1035" s="1615" t="s">
        <v>31</v>
      </c>
      <c r="S1035" s="1570"/>
      <c r="T1035" s="1570"/>
      <c r="U1035" s="1570"/>
      <c r="V1035" s="1570"/>
      <c r="W1035" s="1570"/>
      <c r="X1035" s="1570"/>
      <c r="Y1035" s="1570"/>
      <c r="Z1035" s="1570"/>
      <c r="AA1035" s="1570"/>
      <c r="AB1035" s="1570"/>
      <c r="AC1035" s="1570"/>
      <c r="AD1035" s="1570"/>
      <c r="AE1035" s="1570"/>
      <c r="AF1035" s="1570"/>
      <c r="AG1035" s="1570"/>
      <c r="AH1035" s="1570"/>
    </row>
    <row r="1036" spans="1:36" hidden="1">
      <c r="A1036" s="1585"/>
      <c r="B1036" s="1610"/>
      <c r="C1036" s="1660"/>
      <c r="D1036" s="1577"/>
      <c r="E1036" s="1577"/>
      <c r="F1036" s="1660" t="s">
        <v>31</v>
      </c>
      <c r="G1036" s="1585"/>
      <c r="H1036" s="1577"/>
      <c r="I1036" s="1657" t="s">
        <v>31</v>
      </c>
      <c r="J1036" s="1585"/>
      <c r="K1036" s="1577" t="s">
        <v>31</v>
      </c>
      <c r="M1036" s="1570"/>
      <c r="N1036" s="1570"/>
      <c r="O1036" s="1571"/>
      <c r="P1036" s="1571"/>
      <c r="Q1036" s="1571"/>
      <c r="R1036" s="1570"/>
      <c r="S1036" s="1570"/>
      <c r="T1036" s="1570"/>
      <c r="U1036" s="1570"/>
      <c r="V1036" s="1570"/>
      <c r="W1036" s="1570"/>
      <c r="X1036" s="1570"/>
      <c r="Y1036" s="1570"/>
      <c r="Z1036" s="1570"/>
      <c r="AA1036" s="1570"/>
      <c r="AB1036" s="1570"/>
      <c r="AC1036" s="1570"/>
      <c r="AD1036" s="1570"/>
      <c r="AE1036" s="1570"/>
      <c r="AF1036" s="1570"/>
      <c r="AG1036" s="1570"/>
      <c r="AH1036" s="1570"/>
    </row>
    <row r="1037" spans="1:36" hidden="1">
      <c r="A1037" s="1609" t="s">
        <v>479</v>
      </c>
      <c r="B1037" s="1585"/>
      <c r="C1037" s="1577"/>
      <c r="D1037" s="1577"/>
      <c r="E1037" s="1585"/>
      <c r="F1037" s="1577"/>
      <c r="G1037" s="1585"/>
      <c r="H1037" s="1585"/>
      <c r="I1037" s="1577"/>
      <c r="J1037" s="1585"/>
      <c r="K1037" s="1585"/>
      <c r="M1037" s="1570"/>
      <c r="N1037" s="1570"/>
      <c r="O1037" s="1571"/>
      <c r="P1037" s="1571"/>
      <c r="Q1037" s="1571"/>
      <c r="R1037" s="1570"/>
      <c r="S1037" s="1570"/>
      <c r="T1037" s="1570"/>
      <c r="U1037" s="1570"/>
      <c r="V1037" s="1570"/>
      <c r="W1037" s="1570"/>
      <c r="X1037" s="1570"/>
      <c r="Y1037" s="1570"/>
      <c r="Z1037" s="1570"/>
      <c r="AA1037" s="1570"/>
      <c r="AB1037" s="1570"/>
      <c r="AC1037" s="1570"/>
      <c r="AD1037" s="1570"/>
      <c r="AE1037" s="1570"/>
      <c r="AF1037" s="1570"/>
      <c r="AG1037" s="1570"/>
      <c r="AH1037" s="1570"/>
    </row>
    <row r="1038" spans="1:36" hidden="1">
      <c r="A1038" s="1600" t="s">
        <v>708</v>
      </c>
      <c r="B1038" s="1585"/>
      <c r="C1038" s="1577"/>
      <c r="D1038" s="1577"/>
      <c r="E1038" s="1585"/>
      <c r="F1038" s="1577"/>
      <c r="G1038" s="1585"/>
      <c r="H1038" s="1585"/>
      <c r="I1038" s="1577"/>
      <c r="J1038" s="1585"/>
      <c r="K1038" s="1585"/>
      <c r="M1038" s="1570"/>
      <c r="N1038" s="1570"/>
      <c r="O1038" s="1571"/>
      <c r="P1038" s="1571"/>
      <c r="Q1038" s="1571"/>
      <c r="R1038" s="1570"/>
      <c r="S1038" s="1570"/>
      <c r="T1038" s="1570"/>
      <c r="U1038" s="1570"/>
      <c r="V1038" s="1570"/>
      <c r="W1038" s="1570"/>
      <c r="X1038" s="1570"/>
      <c r="Y1038" s="1570"/>
      <c r="Z1038" s="1570"/>
      <c r="AA1038" s="1570"/>
      <c r="AB1038" s="1570"/>
      <c r="AC1038" s="1570"/>
      <c r="AD1038" s="1570"/>
      <c r="AE1038" s="1570"/>
      <c r="AF1038" s="1570"/>
      <c r="AG1038" s="1570"/>
      <c r="AH1038" s="1570"/>
    </row>
    <row r="1039" spans="1:36" hidden="1">
      <c r="A1039" s="1600"/>
      <c r="B1039" s="1585"/>
      <c r="C1039" s="1577"/>
      <c r="D1039" s="1577"/>
      <c r="E1039" s="1585"/>
      <c r="F1039" s="1577"/>
      <c r="G1039" s="1585"/>
      <c r="H1039" s="1585"/>
      <c r="I1039" s="1577"/>
      <c r="J1039" s="1585"/>
      <c r="K1039" s="1585"/>
      <c r="M1039" s="1570"/>
      <c r="N1039" s="1570"/>
      <c r="O1039" s="1571"/>
      <c r="P1039" s="1571"/>
      <c r="Q1039" s="1571"/>
      <c r="R1039" s="1570"/>
      <c r="S1039" s="1570"/>
      <c r="T1039" s="1570"/>
      <c r="U1039" s="1570"/>
      <c r="V1039" s="1570"/>
      <c r="W1039" s="1570"/>
      <c r="X1039" s="1570"/>
      <c r="Y1039" s="1570"/>
      <c r="Z1039" s="1570"/>
      <c r="AA1039" s="1570"/>
      <c r="AB1039" s="1570"/>
      <c r="AC1039" s="1570"/>
      <c r="AD1039" s="1570"/>
      <c r="AE1039" s="1570"/>
      <c r="AF1039" s="1570"/>
      <c r="AG1039" s="1570"/>
      <c r="AH1039" s="1570"/>
    </row>
    <row r="1040" spans="1:36" hidden="1">
      <c r="A1040" s="1600" t="s">
        <v>396</v>
      </c>
      <c r="B1040" s="1599"/>
      <c r="C1040" s="1577"/>
      <c r="D1040" s="1577"/>
      <c r="E1040" s="1585"/>
      <c r="F1040" s="1577"/>
      <c r="G1040" s="1585"/>
      <c r="H1040" s="1585"/>
      <c r="I1040" s="1577"/>
      <c r="J1040" s="1585"/>
      <c r="K1040" s="1585"/>
      <c r="M1040" s="1570"/>
      <c r="N1040" s="1570"/>
      <c r="O1040" s="1571"/>
      <c r="P1040" s="1571"/>
      <c r="Q1040" s="1571"/>
      <c r="R1040" s="1570"/>
      <c r="S1040" s="1570"/>
      <c r="T1040" s="1570"/>
      <c r="U1040" s="1570"/>
      <c r="V1040" s="1570"/>
      <c r="W1040" s="1570"/>
      <c r="X1040" s="1570"/>
      <c r="Y1040" s="1570"/>
      <c r="Z1040" s="1570"/>
      <c r="AA1040" s="1570"/>
      <c r="AB1040" s="1570"/>
      <c r="AC1040" s="1570"/>
      <c r="AD1040" s="1570"/>
      <c r="AE1040" s="1570"/>
      <c r="AF1040" s="1570"/>
      <c r="AG1040" s="1570"/>
      <c r="AH1040" s="1570"/>
    </row>
    <row r="1041" spans="1:36" hidden="1">
      <c r="A1041" s="1600" t="s">
        <v>474</v>
      </c>
      <c r="B1041" s="1599">
        <f t="shared" ref="B1041:B1046" si="156">B1005+B948</f>
        <v>314</v>
      </c>
      <c r="C1041" s="1660"/>
      <c r="D1041" s="1660"/>
      <c r="E1041" s="1577">
        <f>E1005+E948</f>
        <v>384510</v>
      </c>
      <c r="F1041" s="1660"/>
      <c r="G1041" s="1574"/>
      <c r="H1041" s="1577">
        <f>H1005+H948</f>
        <v>438504</v>
      </c>
      <c r="I1041" s="1660"/>
      <c r="J1041" s="1574"/>
      <c r="K1041" s="1577">
        <f>K1005+K948</f>
        <v>462882</v>
      </c>
      <c r="M1041" s="1570"/>
      <c r="N1041" s="1570"/>
      <c r="O1041" s="1571"/>
      <c r="P1041" s="1571"/>
      <c r="Q1041" s="1571"/>
      <c r="R1041" s="1570"/>
      <c r="S1041" s="1570"/>
      <c r="T1041" s="1570"/>
      <c r="U1041" s="1570"/>
      <c r="V1041" s="1570"/>
      <c r="W1041" s="1570"/>
      <c r="X1041" s="1570"/>
      <c r="Y1041" s="1570"/>
      <c r="Z1041" s="1570"/>
      <c r="AA1041" s="1570"/>
      <c r="AB1041" s="1570"/>
      <c r="AC1041" s="1570"/>
      <c r="AD1041" s="1570"/>
      <c r="AE1041" s="1570"/>
      <c r="AF1041" s="1570"/>
      <c r="AG1041" s="1570"/>
      <c r="AH1041" s="1570"/>
    </row>
    <row r="1042" spans="1:36" hidden="1">
      <c r="A1042" s="1600" t="s">
        <v>475</v>
      </c>
      <c r="B1042" s="1599">
        <f t="shared" si="156"/>
        <v>0</v>
      </c>
      <c r="C1042" s="1660"/>
      <c r="D1042" s="1660"/>
      <c r="E1042" s="1577">
        <f>E1006+E949</f>
        <v>0</v>
      </c>
      <c r="F1042" s="1660"/>
      <c r="G1042" s="1641"/>
      <c r="H1042" s="1577">
        <f>H1006+H949</f>
        <v>0</v>
      </c>
      <c r="I1042" s="1660"/>
      <c r="J1042" s="1641"/>
      <c r="K1042" s="1577">
        <f>K1006+K949</f>
        <v>0</v>
      </c>
      <c r="M1042" s="1570"/>
      <c r="N1042" s="1570"/>
      <c r="O1042" s="1571"/>
      <c r="P1042" s="1571"/>
      <c r="Q1042" s="1571"/>
      <c r="R1042" s="1570"/>
      <c r="S1042" s="1570"/>
      <c r="T1042" s="1570"/>
      <c r="U1042" s="1570"/>
      <c r="V1042" s="1570"/>
      <c r="W1042" s="1570"/>
      <c r="X1042" s="1570"/>
      <c r="Y1042" s="1570"/>
      <c r="Z1042" s="1570"/>
      <c r="AA1042" s="1570"/>
      <c r="AB1042" s="1570"/>
      <c r="AC1042" s="1570"/>
      <c r="AD1042" s="1570"/>
      <c r="AE1042" s="1570"/>
      <c r="AF1042" s="1570"/>
      <c r="AG1042" s="1570"/>
      <c r="AH1042" s="1570"/>
    </row>
    <row r="1043" spans="1:36" hidden="1">
      <c r="A1043" s="1600" t="s">
        <v>397</v>
      </c>
      <c r="B1043" s="1599">
        <f t="shared" si="156"/>
        <v>314</v>
      </c>
      <c r="C1043" s="1660"/>
      <c r="D1043" s="1660"/>
      <c r="E1043" s="1577" t="s">
        <v>31</v>
      </c>
      <c r="F1043" s="1660"/>
      <c r="G1043" s="1574"/>
      <c r="H1043" s="1577" t="s">
        <v>31</v>
      </c>
      <c r="I1043" s="1660"/>
      <c r="J1043" s="1574"/>
      <c r="K1043" s="1577" t="s">
        <v>31</v>
      </c>
      <c r="M1043" s="1570"/>
      <c r="N1043" s="1570"/>
      <c r="O1043" s="1571"/>
      <c r="P1043" s="1571"/>
      <c r="Q1043" s="1571"/>
      <c r="R1043" s="1570"/>
      <c r="S1043" s="1570"/>
      <c r="T1043" s="1570"/>
      <c r="U1043" s="1570"/>
      <c r="V1043" s="1570"/>
      <c r="W1043" s="1570"/>
      <c r="X1043" s="1570"/>
      <c r="Y1043" s="1570"/>
      <c r="Z1043" s="1570"/>
      <c r="AA1043" s="1570"/>
      <c r="AB1043" s="1570"/>
      <c r="AC1043" s="1570"/>
      <c r="AD1043" s="1570"/>
      <c r="AE1043" s="1570"/>
      <c r="AF1043" s="1570"/>
      <c r="AG1043" s="1570"/>
      <c r="AH1043" s="1570"/>
    </row>
    <row r="1044" spans="1:36" hidden="1">
      <c r="A1044" s="1600" t="s">
        <v>476</v>
      </c>
      <c r="B1044" s="1599">
        <f t="shared" si="156"/>
        <v>428746</v>
      </c>
      <c r="C1044" s="1660"/>
      <c r="D1044" s="1660"/>
      <c r="E1044" s="1577">
        <f>E1008+E951</f>
        <v>311497</v>
      </c>
      <c r="F1044" s="1660"/>
      <c r="G1044" s="1574"/>
      <c r="H1044" s="1577">
        <f>H1008+H951</f>
        <v>360932</v>
      </c>
      <c r="I1044" s="1660"/>
      <c r="J1044" s="1574"/>
      <c r="K1044" s="1577">
        <f>K1008+K951</f>
        <v>381362</v>
      </c>
      <c r="M1044" s="1570"/>
      <c r="N1044" s="1570"/>
      <c r="O1044" s="1571"/>
      <c r="P1044" s="1571"/>
      <c r="Q1044" s="1571"/>
      <c r="R1044" s="1570"/>
      <c r="S1044" s="1570"/>
      <c r="T1044" s="1570"/>
      <c r="U1044" s="1570"/>
      <c r="V1044" s="1570"/>
      <c r="W1044" s="1570"/>
      <c r="X1044" s="1570"/>
      <c r="Y1044" s="1570"/>
      <c r="Z1044" s="1570"/>
      <c r="AA1044" s="1570"/>
      <c r="AB1044" s="1570"/>
      <c r="AC1044" s="1570"/>
      <c r="AD1044" s="1570"/>
      <c r="AE1044" s="1570"/>
      <c r="AF1044" s="1570"/>
      <c r="AG1044" s="1570"/>
      <c r="AH1044" s="1570"/>
    </row>
    <row r="1045" spans="1:36" hidden="1">
      <c r="A1045" s="1600" t="s">
        <v>477</v>
      </c>
      <c r="B1045" s="1599">
        <f t="shared" si="156"/>
        <v>0</v>
      </c>
      <c r="C1045" s="1660"/>
      <c r="D1045" s="1660"/>
      <c r="E1045" s="1577">
        <f>E1009+E952</f>
        <v>0</v>
      </c>
      <c r="F1045" s="1660"/>
      <c r="G1045" s="1574"/>
      <c r="H1045" s="1577">
        <f>H1009+H952</f>
        <v>0</v>
      </c>
      <c r="I1045" s="1660"/>
      <c r="J1045" s="1574"/>
      <c r="K1045" s="1577">
        <f>K1009+K952</f>
        <v>0</v>
      </c>
      <c r="M1045" s="1570"/>
      <c r="N1045" s="1570"/>
      <c r="O1045" s="1571"/>
      <c r="P1045" s="1571"/>
      <c r="Q1045" s="1571"/>
      <c r="R1045" s="1570"/>
      <c r="S1045" s="1570"/>
      <c r="T1045" s="1570"/>
      <c r="U1045" s="1570"/>
      <c r="V1045" s="1570"/>
      <c r="W1045" s="1570"/>
      <c r="X1045" s="1570"/>
      <c r="Y1045" s="1570"/>
      <c r="Z1045" s="1570"/>
      <c r="AA1045" s="1570"/>
      <c r="AB1045" s="1570"/>
      <c r="AC1045" s="1570"/>
      <c r="AD1045" s="1570"/>
      <c r="AE1045" s="1570"/>
      <c r="AF1045" s="1570"/>
      <c r="AG1045" s="1570"/>
      <c r="AH1045" s="1570"/>
    </row>
    <row r="1046" spans="1:36" hidden="1">
      <c r="A1046" s="1600" t="s">
        <v>406</v>
      </c>
      <c r="B1046" s="1599">
        <f t="shared" si="156"/>
        <v>322387</v>
      </c>
      <c r="C1046" s="1660"/>
      <c r="D1046" s="1660"/>
      <c r="E1046" s="1577">
        <f>E1010+E953</f>
        <v>1991192</v>
      </c>
      <c r="F1046" s="1660"/>
      <c r="G1046" s="1574"/>
      <c r="H1046" s="1577">
        <f>H1010+H953</f>
        <v>2277125</v>
      </c>
      <c r="I1046" s="1660"/>
      <c r="J1046" s="1574"/>
      <c r="K1046" s="1577">
        <f>K1010+K953</f>
        <v>2406079</v>
      </c>
      <c r="M1046" s="1570"/>
      <c r="N1046" s="1570"/>
      <c r="O1046" s="1571"/>
      <c r="P1046" s="1571"/>
      <c r="Q1046" s="1571"/>
      <c r="R1046" s="1570"/>
      <c r="S1046" s="1570"/>
      <c r="T1046" s="1570"/>
      <c r="U1046" s="1570"/>
      <c r="V1046" s="1570"/>
      <c r="W1046" s="1570"/>
      <c r="X1046" s="1570"/>
      <c r="Y1046" s="1570"/>
      <c r="Z1046" s="1570"/>
      <c r="AA1046" s="1570"/>
      <c r="AB1046" s="1570"/>
      <c r="AC1046" s="1570"/>
      <c r="AD1046" s="1570"/>
      <c r="AE1046" s="1570"/>
      <c r="AF1046" s="1570"/>
      <c r="AG1046" s="1570"/>
      <c r="AH1046" s="1570"/>
    </row>
    <row r="1047" spans="1:36" hidden="1">
      <c r="A1047" s="1600" t="s">
        <v>429</v>
      </c>
      <c r="B1047" s="1599"/>
      <c r="C1047" s="1660"/>
      <c r="D1047" s="1660"/>
      <c r="E1047" s="1577"/>
      <c r="F1047" s="1660"/>
      <c r="G1047" s="1574"/>
      <c r="H1047" s="1577"/>
      <c r="I1047" s="1660"/>
      <c r="J1047" s="1574"/>
      <c r="K1047" s="1577"/>
      <c r="M1047" s="1570"/>
      <c r="N1047" s="1570"/>
      <c r="O1047" s="1571"/>
      <c r="P1047" s="1571"/>
      <c r="Q1047" s="1571"/>
      <c r="R1047" s="1570"/>
      <c r="S1047" s="1570"/>
      <c r="T1047" s="1570"/>
      <c r="U1047" s="1570"/>
      <c r="V1047" s="1570"/>
      <c r="W1047" s="1570"/>
      <c r="X1047" s="1570"/>
      <c r="Y1047" s="1570"/>
      <c r="Z1047" s="1570"/>
      <c r="AA1047" s="1570"/>
      <c r="AB1047" s="1570"/>
      <c r="AC1047" s="1570"/>
      <c r="AD1047" s="1570"/>
      <c r="AE1047" s="1570"/>
      <c r="AF1047" s="1570"/>
      <c r="AG1047" s="1570"/>
      <c r="AH1047" s="1570"/>
    </row>
    <row r="1048" spans="1:36" hidden="1">
      <c r="A1048" s="1600" t="s">
        <v>467</v>
      </c>
      <c r="B1048" s="1599">
        <f>B1012+B955</f>
        <v>142287441</v>
      </c>
      <c r="C1048" s="1730"/>
      <c r="D1048" s="1574" t="s">
        <v>31</v>
      </c>
      <c r="E1048" s="1577">
        <f>E1012+E955</f>
        <v>5260208</v>
      </c>
      <c r="F1048" s="1730"/>
      <c r="G1048" s="1574"/>
      <c r="H1048" s="1577">
        <f>H1012+H955</f>
        <v>6009718</v>
      </c>
      <c r="I1048" s="1730"/>
      <c r="J1048" s="1574"/>
      <c r="K1048" s="1577">
        <f>K1012+K955</f>
        <v>6343749</v>
      </c>
      <c r="M1048" s="1570"/>
      <c r="N1048" s="1570"/>
      <c r="O1048" s="1571"/>
      <c r="P1048" s="1571"/>
      <c r="Q1048" s="1571"/>
      <c r="R1048" s="1570"/>
      <c r="S1048" s="1570"/>
      <c r="T1048" s="1570"/>
      <c r="U1048" s="1570"/>
      <c r="V1048" s="1570"/>
      <c r="W1048" s="1570"/>
      <c r="X1048" s="1570"/>
      <c r="Y1048" s="1570"/>
      <c r="Z1048" s="1570"/>
      <c r="AA1048" s="1570"/>
      <c r="AB1048" s="1570"/>
      <c r="AC1048" s="1570"/>
      <c r="AD1048" s="1570"/>
      <c r="AE1048" s="1570"/>
      <c r="AF1048" s="1570"/>
      <c r="AG1048" s="1570"/>
      <c r="AH1048" s="1570"/>
    </row>
    <row r="1049" spans="1:36" hidden="1">
      <c r="A1049" s="1600" t="s">
        <v>403</v>
      </c>
      <c r="B1049" s="1599">
        <f>B1013+B956</f>
        <v>37242</v>
      </c>
      <c r="C1049" s="1660"/>
      <c r="D1049" s="1574"/>
      <c r="E1049" s="1577">
        <f>E1013+E956</f>
        <v>17751</v>
      </c>
      <c r="F1049" s="1660"/>
      <c r="G1049" s="1574"/>
      <c r="H1049" s="1577">
        <f>H1013+H956</f>
        <v>20358</v>
      </c>
      <c r="I1049" s="1660"/>
      <c r="J1049" s="1574"/>
      <c r="K1049" s="1577">
        <f>K1013+K956</f>
        <v>21723</v>
      </c>
      <c r="M1049" s="1570"/>
      <c r="N1049" s="1570"/>
      <c r="O1049" s="1571"/>
      <c r="P1049" s="1571"/>
      <c r="Q1049" s="1571"/>
      <c r="R1049" s="1570"/>
      <c r="S1049" s="1570"/>
      <c r="T1049" s="1570"/>
      <c r="U1049" s="1570"/>
      <c r="V1049" s="1570"/>
      <c r="W1049" s="1570"/>
      <c r="X1049" s="1570"/>
      <c r="Y1049" s="1570"/>
      <c r="Z1049" s="1570"/>
      <c r="AA1049" s="1570"/>
      <c r="AB1049" s="1570"/>
      <c r="AC1049" s="1570"/>
      <c r="AD1049" s="1570"/>
      <c r="AE1049" s="1570"/>
      <c r="AF1049" s="1570"/>
      <c r="AG1049" s="1570"/>
      <c r="AH1049" s="1570"/>
    </row>
    <row r="1050" spans="1:36" hidden="1">
      <c r="A1050" s="1569" t="s">
        <v>938</v>
      </c>
      <c r="B1050" s="1599">
        <f>B1014+B957</f>
        <v>142287441</v>
      </c>
      <c r="C1050" s="1584"/>
      <c r="D1050" s="1570"/>
      <c r="E1050" s="1577"/>
      <c r="F1050" s="1584"/>
      <c r="G1050" s="1570"/>
      <c r="H1050" s="1577"/>
      <c r="I1050" s="1576"/>
      <c r="J1050" s="1570"/>
      <c r="K1050" s="1577">
        <f>K1014+K957</f>
        <v>0</v>
      </c>
      <c r="M1050" s="1578"/>
      <c r="O1050" s="1579"/>
      <c r="P1050" s="1569"/>
      <c r="Q1050" s="1569"/>
      <c r="R1050" s="1580"/>
      <c r="S1050" s="1580"/>
      <c r="X1050" s="1570"/>
      <c r="Y1050" s="1570"/>
      <c r="Z1050" s="1570"/>
      <c r="AA1050" s="1570"/>
      <c r="AB1050" s="1570"/>
      <c r="AC1050" s="1570"/>
      <c r="AD1050" s="1570"/>
      <c r="AE1050" s="1570"/>
      <c r="AF1050" s="1570"/>
      <c r="AG1050" s="1570"/>
      <c r="AH1050" s="1570"/>
      <c r="AJ1050" s="1578"/>
    </row>
    <row r="1051" spans="1:36" hidden="1">
      <c r="A1051" s="1585" t="s">
        <v>384</v>
      </c>
      <c r="B1051" s="1599">
        <f>B1015+B958</f>
        <v>142287441</v>
      </c>
      <c r="C1051" s="1647"/>
      <c r="D1051" s="1577"/>
      <c r="E1051" s="1577">
        <f>E1015+E958</f>
        <v>7965158</v>
      </c>
      <c r="F1051" s="1647"/>
      <c r="G1051" s="1585"/>
      <c r="H1051" s="1577">
        <f>H1015+H958</f>
        <v>9106637</v>
      </c>
      <c r="I1051" s="1647"/>
      <c r="J1051" s="1585"/>
      <c r="K1051" s="1577">
        <f>K1015+K958</f>
        <v>9615795</v>
      </c>
      <c r="M1051" s="1570"/>
      <c r="N1051" s="1570"/>
      <c r="O1051" s="1571"/>
      <c r="P1051" s="1571"/>
      <c r="Q1051" s="1571"/>
      <c r="R1051" s="1570"/>
      <c r="S1051" s="1570"/>
      <c r="T1051" s="1570"/>
      <c r="U1051" s="1570"/>
      <c r="V1051" s="1570"/>
      <c r="W1051" s="1570"/>
      <c r="X1051" s="1570"/>
      <c r="Y1051" s="1570"/>
      <c r="Z1051" s="1570"/>
      <c r="AA1051" s="1570"/>
      <c r="AB1051" s="1570"/>
      <c r="AC1051" s="1570"/>
      <c r="AD1051" s="1570"/>
      <c r="AE1051" s="1570"/>
      <c r="AF1051" s="1570"/>
      <c r="AG1051" s="1570"/>
      <c r="AH1051" s="1570"/>
    </row>
    <row r="1052" spans="1:36" hidden="1">
      <c r="A1052" s="1585" t="s">
        <v>366</v>
      </c>
      <c r="B1052" s="1663">
        <f>'Table 2'!H49</f>
        <v>-366841.9413010361</v>
      </c>
      <c r="C1052" s="1600"/>
      <c r="D1052" s="1600"/>
      <c r="E1052" s="1732" t="e">
        <f>#REF!</f>
        <v>#REF!</v>
      </c>
      <c r="F1052" s="1600"/>
      <c r="G1052" s="1600"/>
      <c r="H1052" s="1732">
        <f ca="1">'Table 3'!E49</f>
        <v>-26603.603302829546</v>
      </c>
      <c r="I1052" s="1600"/>
      <c r="J1052" s="1600"/>
      <c r="K1052" s="1732">
        <f ca="1">H1052</f>
        <v>-26603.603302829546</v>
      </c>
      <c r="M1052" s="1422"/>
      <c r="N1052" s="1422"/>
      <c r="O1052" s="1423"/>
      <c r="P1052" s="1571"/>
      <c r="Q1052" s="1571"/>
      <c r="R1052" s="1570"/>
      <c r="S1052" s="1570"/>
      <c r="T1052" s="1570"/>
      <c r="U1052" s="1570"/>
      <c r="V1052" s="1570"/>
      <c r="W1052" s="1570"/>
      <c r="X1052" s="1570"/>
      <c r="Y1052" s="1570"/>
      <c r="Z1052" s="1570"/>
      <c r="AA1052" s="1570"/>
      <c r="AB1052" s="1570"/>
      <c r="AC1052" s="1570"/>
      <c r="AD1052" s="1570"/>
      <c r="AE1052" s="1570"/>
      <c r="AF1052" s="1570"/>
      <c r="AG1052" s="1570"/>
      <c r="AH1052" s="1570"/>
    </row>
    <row r="1053" spans="1:36" ht="15.75" hidden="1" thickBot="1">
      <c r="A1053" s="1585" t="s">
        <v>385</v>
      </c>
      <c r="B1053" s="1738">
        <f>B1051+B1052</f>
        <v>141920599.05869895</v>
      </c>
      <c r="C1053" s="1666"/>
      <c r="D1053" s="1667"/>
      <c r="E1053" s="1739" t="e">
        <f>E1051+E1052</f>
        <v>#REF!</v>
      </c>
      <c r="F1053" s="1666"/>
      <c r="G1053" s="1670"/>
      <c r="H1053" s="1739">
        <f ca="1">H1051+H1052</f>
        <v>9080033.396697171</v>
      </c>
      <c r="I1053" s="1666"/>
      <c r="J1053" s="1670"/>
      <c r="K1053" s="1739">
        <f ca="1">K1051+K1052</f>
        <v>9589191.396697171</v>
      </c>
      <c r="M1053" s="1424"/>
      <c r="N1053" s="1424"/>
      <c r="O1053" s="1597"/>
      <c r="P1053" s="1571"/>
      <c r="Q1053" s="1571"/>
      <c r="R1053" s="1570"/>
      <c r="S1053" s="1570"/>
      <c r="T1053" s="1570"/>
      <c r="U1053" s="1570"/>
      <c r="V1053" s="1570"/>
      <c r="W1053" s="1570"/>
      <c r="X1053" s="1570"/>
      <c r="Y1053" s="1570"/>
      <c r="Z1053" s="1570"/>
      <c r="AA1053" s="1570"/>
      <c r="AB1053" s="1570"/>
      <c r="AC1053" s="1570"/>
      <c r="AD1053" s="1570"/>
      <c r="AE1053" s="1570"/>
      <c r="AF1053" s="1570"/>
      <c r="AG1053" s="1570"/>
      <c r="AH1053" s="1570"/>
    </row>
    <row r="1054" spans="1:36" hidden="1">
      <c r="A1054" s="1585"/>
      <c r="B1054" s="1610"/>
      <c r="C1054" s="1660"/>
      <c r="D1054" s="1577"/>
      <c r="E1054" s="1577"/>
      <c r="F1054" s="1660" t="s">
        <v>31</v>
      </c>
      <c r="G1054" s="1585"/>
      <c r="H1054" s="1577"/>
      <c r="I1054" s="1657" t="s">
        <v>31</v>
      </c>
      <c r="J1054" s="1585"/>
      <c r="K1054" s="1577" t="s">
        <v>31</v>
      </c>
      <c r="M1054" s="1570"/>
      <c r="N1054" s="1570"/>
      <c r="O1054" s="1571"/>
      <c r="P1054" s="1571"/>
      <c r="Q1054" s="1571"/>
      <c r="R1054" s="1570"/>
      <c r="S1054" s="1570"/>
      <c r="T1054" s="1570"/>
      <c r="U1054" s="1570"/>
      <c r="V1054" s="1570"/>
      <c r="W1054" s="1570"/>
      <c r="X1054" s="1570"/>
      <c r="Y1054" s="1570"/>
      <c r="Z1054" s="1570"/>
      <c r="AA1054" s="1570"/>
      <c r="AB1054" s="1570"/>
      <c r="AC1054" s="1570"/>
      <c r="AD1054" s="1570"/>
      <c r="AE1054" s="1570"/>
      <c r="AF1054" s="1570"/>
      <c r="AG1054" s="1570"/>
      <c r="AH1054" s="1570"/>
    </row>
    <row r="1055" spans="1:36" hidden="1">
      <c r="A1055" s="1585"/>
      <c r="B1055" s="1610"/>
      <c r="C1055" s="1660"/>
      <c r="D1055" s="1577"/>
      <c r="E1055" s="1577"/>
      <c r="F1055" s="1660"/>
      <c r="G1055" s="1585"/>
      <c r="H1055" s="1577"/>
      <c r="I1055" s="1660"/>
      <c r="J1055" s="1585"/>
      <c r="K1055" s="1710"/>
      <c r="M1055" s="1570"/>
      <c r="N1055" s="1570"/>
      <c r="O1055" s="1571"/>
      <c r="P1055" s="1571"/>
      <c r="Q1055" s="1571"/>
      <c r="R1055" s="1570"/>
      <c r="S1055" s="1570"/>
      <c r="T1055" s="1570"/>
      <c r="U1055" s="1570"/>
      <c r="V1055" s="1570"/>
      <c r="W1055" s="1570"/>
      <c r="X1055" s="1570"/>
      <c r="Y1055" s="1570"/>
      <c r="Z1055" s="1570"/>
      <c r="AA1055" s="1570"/>
      <c r="AB1055" s="1570"/>
      <c r="AC1055" s="1570"/>
      <c r="AD1055" s="1570"/>
      <c r="AE1055" s="1570"/>
      <c r="AF1055" s="1570"/>
      <c r="AG1055" s="1570"/>
      <c r="AH1055" s="1570"/>
    </row>
    <row r="1056" spans="1:36" hidden="1">
      <c r="A1056" s="1609" t="s">
        <v>479</v>
      </c>
      <c r="B1056" s="1585"/>
      <c r="C1056" s="1577"/>
      <c r="D1056" s="1577"/>
      <c r="E1056" s="1585"/>
      <c r="F1056" s="1577"/>
      <c r="G1056" s="1585"/>
      <c r="H1056" s="1585"/>
      <c r="I1056" s="1577"/>
      <c r="J1056" s="1585"/>
      <c r="K1056" s="1585"/>
      <c r="M1056" s="1570"/>
      <c r="N1056" s="1570"/>
      <c r="O1056" s="1571"/>
      <c r="P1056" s="1571"/>
      <c r="Q1056" s="1571"/>
      <c r="R1056" s="1570"/>
      <c r="S1056" s="1570"/>
      <c r="T1056" s="1570"/>
      <c r="U1056" s="1570"/>
      <c r="V1056" s="1570"/>
      <c r="W1056" s="1570"/>
      <c r="X1056" s="1570"/>
      <c r="Y1056" s="1570"/>
      <c r="Z1056" s="1570"/>
      <c r="AA1056" s="1570"/>
      <c r="AB1056" s="1570"/>
      <c r="AC1056" s="1570"/>
      <c r="AD1056" s="1570"/>
      <c r="AE1056" s="1570"/>
      <c r="AF1056" s="1570"/>
      <c r="AG1056" s="1570"/>
      <c r="AH1056" s="1570"/>
    </row>
    <row r="1057" spans="1:36" hidden="1">
      <c r="A1057" s="1600" t="s">
        <v>709</v>
      </c>
      <c r="B1057" s="1585"/>
      <c r="C1057" s="1577"/>
      <c r="D1057" s="1577"/>
      <c r="E1057" s="1585"/>
      <c r="F1057" s="1577"/>
      <c r="G1057" s="1585"/>
      <c r="H1057" s="1585"/>
      <c r="I1057" s="1577"/>
      <c r="J1057" s="1585"/>
      <c r="K1057" s="1585"/>
      <c r="M1057" s="1570"/>
      <c r="N1057" s="1570"/>
      <c r="O1057" s="1571"/>
      <c r="P1057" s="1571"/>
      <c r="Q1057" s="1571"/>
      <c r="R1057" s="1570"/>
      <c r="S1057" s="1570"/>
      <c r="T1057" s="1570"/>
      <c r="U1057" s="1570"/>
      <c r="V1057" s="1570"/>
      <c r="W1057" s="1570"/>
      <c r="X1057" s="1570"/>
      <c r="Y1057" s="1570"/>
      <c r="Z1057" s="1570"/>
      <c r="AA1057" s="1570"/>
      <c r="AB1057" s="1570"/>
      <c r="AC1057" s="1570"/>
      <c r="AD1057" s="1570"/>
      <c r="AE1057" s="1570"/>
      <c r="AF1057" s="1570"/>
      <c r="AG1057" s="1570"/>
      <c r="AH1057" s="1570"/>
    </row>
    <row r="1058" spans="1:36" hidden="1">
      <c r="A1058" s="1600"/>
      <c r="B1058" s="1585"/>
      <c r="C1058" s="1577"/>
      <c r="D1058" s="1577"/>
      <c r="E1058" s="1585"/>
      <c r="F1058" s="1577"/>
      <c r="G1058" s="1585"/>
      <c r="H1058" s="1585"/>
      <c r="I1058" s="1577"/>
      <c r="J1058" s="1585"/>
      <c r="K1058" s="1585"/>
      <c r="M1058" s="1570"/>
      <c r="N1058" s="1570"/>
      <c r="O1058" s="1571"/>
      <c r="P1058" s="1571"/>
      <c r="Q1058" s="1571"/>
      <c r="R1058" s="1570"/>
      <c r="S1058" s="1570"/>
      <c r="T1058" s="1570"/>
      <c r="U1058" s="1570"/>
      <c r="V1058" s="1570"/>
      <c r="W1058" s="1570"/>
      <c r="X1058" s="1570"/>
      <c r="Y1058" s="1570"/>
      <c r="Z1058" s="1570"/>
      <c r="AA1058" s="1570"/>
      <c r="AB1058" s="1570"/>
      <c r="AC1058" s="1570"/>
      <c r="AD1058" s="1570"/>
      <c r="AE1058" s="1570"/>
      <c r="AF1058" s="1570"/>
      <c r="AG1058" s="1570"/>
      <c r="AH1058" s="1570"/>
    </row>
    <row r="1059" spans="1:36" hidden="1">
      <c r="A1059" s="1600" t="s">
        <v>396</v>
      </c>
      <c r="B1059" s="1599"/>
      <c r="C1059" s="1577"/>
      <c r="D1059" s="1577"/>
      <c r="E1059" s="1585"/>
      <c r="F1059" s="1577"/>
      <c r="G1059" s="1585"/>
      <c r="H1059" s="1585"/>
      <c r="I1059" s="1577"/>
      <c r="J1059" s="1585"/>
      <c r="K1059" s="1585"/>
      <c r="M1059" s="1570"/>
      <c r="N1059" s="1570"/>
      <c r="O1059" s="1571"/>
      <c r="P1059" s="1571"/>
      <c r="Q1059" s="1571"/>
      <c r="R1059" s="1570"/>
      <c r="S1059" s="1570"/>
      <c r="T1059" s="1570"/>
      <c r="U1059" s="1570"/>
      <c r="V1059" s="1570"/>
      <c r="W1059" s="1570"/>
      <c r="X1059" s="1570"/>
      <c r="Y1059" s="1570"/>
      <c r="Z1059" s="1570"/>
      <c r="AA1059" s="1570"/>
      <c r="AB1059" s="1570"/>
      <c r="AC1059" s="1570"/>
      <c r="AD1059" s="1570"/>
      <c r="AE1059" s="1570"/>
      <c r="AF1059" s="1570"/>
      <c r="AG1059" s="1570"/>
      <c r="AH1059" s="1570"/>
    </row>
    <row r="1060" spans="1:36" hidden="1">
      <c r="A1060" s="1600" t="s">
        <v>474</v>
      </c>
      <c r="B1060" s="1599">
        <f t="shared" ref="B1060:B1065" si="157">B1023+B966</f>
        <v>381</v>
      </c>
      <c r="C1060" s="1660"/>
      <c r="D1060" s="1660"/>
      <c r="E1060" s="1577">
        <f>E1023+E966</f>
        <v>463845</v>
      </c>
      <c r="F1060" s="1660"/>
      <c r="G1060" s="1574"/>
      <c r="H1060" s="1577">
        <f>H1023+H966</f>
        <v>529089</v>
      </c>
      <c r="I1060" s="1660"/>
      <c r="J1060" s="1574"/>
      <c r="K1060" s="1577">
        <f>K1023+K966</f>
        <v>558488</v>
      </c>
      <c r="M1060" s="1570"/>
      <c r="N1060" s="1570"/>
      <c r="O1060" s="1571"/>
      <c r="P1060" s="1571"/>
      <c r="Q1060" s="1571"/>
      <c r="R1060" s="1570"/>
      <c r="S1060" s="1570"/>
      <c r="T1060" s="1570"/>
      <c r="U1060" s="1570"/>
      <c r="V1060" s="1570"/>
      <c r="W1060" s="1570"/>
      <c r="X1060" s="1570"/>
      <c r="Y1060" s="1570"/>
      <c r="Z1060" s="1570"/>
      <c r="AA1060" s="1570"/>
      <c r="AB1060" s="1570"/>
      <c r="AC1060" s="1570"/>
      <c r="AD1060" s="1570"/>
      <c r="AE1060" s="1570"/>
      <c r="AF1060" s="1570"/>
      <c r="AG1060" s="1570"/>
      <c r="AH1060" s="1570"/>
    </row>
    <row r="1061" spans="1:36" hidden="1">
      <c r="A1061" s="1600" t="s">
        <v>475</v>
      </c>
      <c r="B1061" s="1599">
        <f t="shared" si="157"/>
        <v>0</v>
      </c>
      <c r="C1061" s="1660"/>
      <c r="D1061" s="1660"/>
      <c r="E1061" s="1577">
        <f>E1024+E967</f>
        <v>0</v>
      </c>
      <c r="F1061" s="1660"/>
      <c r="G1061" s="1641"/>
      <c r="H1061" s="1577">
        <f>H1024+H967</f>
        <v>0</v>
      </c>
      <c r="I1061" s="1660"/>
      <c r="J1061" s="1641"/>
      <c r="K1061" s="1577">
        <f>K1024+K967</f>
        <v>0</v>
      </c>
      <c r="M1061" s="1570"/>
      <c r="N1061" s="1570"/>
      <c r="O1061" s="1571"/>
      <c r="P1061" s="1571"/>
      <c r="Q1061" s="1571"/>
      <c r="R1061" s="1570"/>
      <c r="S1061" s="1570"/>
      <c r="T1061" s="1570"/>
      <c r="U1061" s="1570"/>
      <c r="V1061" s="1570"/>
      <c r="W1061" s="1570"/>
      <c r="X1061" s="1570"/>
      <c r="Y1061" s="1570"/>
      <c r="Z1061" s="1570"/>
      <c r="AA1061" s="1570"/>
      <c r="AB1061" s="1570"/>
      <c r="AC1061" s="1570"/>
      <c r="AD1061" s="1570"/>
      <c r="AE1061" s="1570"/>
      <c r="AF1061" s="1570"/>
      <c r="AG1061" s="1570"/>
      <c r="AH1061" s="1570"/>
    </row>
    <row r="1062" spans="1:36" hidden="1">
      <c r="A1062" s="1600" t="s">
        <v>397</v>
      </c>
      <c r="B1062" s="1599">
        <f t="shared" si="157"/>
        <v>381</v>
      </c>
      <c r="C1062" s="1660"/>
      <c r="D1062" s="1660"/>
      <c r="E1062" s="1577" t="s">
        <v>31</v>
      </c>
      <c r="F1062" s="1660"/>
      <c r="G1062" s="1574"/>
      <c r="H1062" s="1577" t="s">
        <v>31</v>
      </c>
      <c r="I1062" s="1660"/>
      <c r="J1062" s="1574"/>
      <c r="K1062" s="1577" t="s">
        <v>31</v>
      </c>
      <c r="M1062" s="1570"/>
      <c r="N1062" s="1570"/>
      <c r="O1062" s="1571"/>
      <c r="P1062" s="1571"/>
      <c r="Q1062" s="1571"/>
      <c r="R1062" s="1570"/>
      <c r="S1062" s="1570"/>
      <c r="T1062" s="1570"/>
      <c r="U1062" s="1570"/>
      <c r="V1062" s="1570"/>
      <c r="W1062" s="1570"/>
      <c r="X1062" s="1570"/>
      <c r="Y1062" s="1570"/>
      <c r="Z1062" s="1570"/>
      <c r="AA1062" s="1570"/>
      <c r="AB1062" s="1570"/>
      <c r="AC1062" s="1570"/>
      <c r="AD1062" s="1570"/>
      <c r="AE1062" s="1570"/>
      <c r="AF1062" s="1570"/>
      <c r="AG1062" s="1570"/>
      <c r="AH1062" s="1570"/>
    </row>
    <row r="1063" spans="1:36" hidden="1">
      <c r="A1063" s="1600" t="s">
        <v>476</v>
      </c>
      <c r="B1063" s="1599">
        <f t="shared" si="157"/>
        <v>564907</v>
      </c>
      <c r="C1063" s="1660"/>
      <c r="D1063" s="1660"/>
      <c r="E1063" s="1577">
        <f>E1026+E969</f>
        <v>507778</v>
      </c>
      <c r="F1063" s="1660"/>
      <c r="G1063" s="1574"/>
      <c r="H1063" s="1577">
        <f>H1026+H969</f>
        <v>585341</v>
      </c>
      <c r="I1063" s="1660"/>
      <c r="J1063" s="1574"/>
      <c r="K1063" s="1577">
        <f>K1026+K969</f>
        <v>618473</v>
      </c>
      <c r="M1063" s="1570"/>
      <c r="N1063" s="1570"/>
      <c r="O1063" s="1571"/>
      <c r="P1063" s="1571"/>
      <c r="Q1063" s="1571"/>
      <c r="R1063" s="1570"/>
      <c r="S1063" s="1570"/>
      <c r="T1063" s="1570"/>
      <c r="U1063" s="1570"/>
      <c r="V1063" s="1570"/>
      <c r="W1063" s="1570"/>
      <c r="X1063" s="1570"/>
      <c r="Y1063" s="1570"/>
      <c r="Z1063" s="1570"/>
      <c r="AA1063" s="1570"/>
      <c r="AB1063" s="1570"/>
      <c r="AC1063" s="1570"/>
      <c r="AD1063" s="1570"/>
      <c r="AE1063" s="1570"/>
      <c r="AF1063" s="1570"/>
      <c r="AG1063" s="1570"/>
      <c r="AH1063" s="1570"/>
    </row>
    <row r="1064" spans="1:36" hidden="1">
      <c r="A1064" s="1600" t="s">
        <v>477</v>
      </c>
      <c r="B1064" s="1599">
        <f t="shared" si="157"/>
        <v>0</v>
      </c>
      <c r="C1064" s="1660"/>
      <c r="D1064" s="1660"/>
      <c r="E1064" s="1577">
        <f>E1027+E970</f>
        <v>0</v>
      </c>
      <c r="F1064" s="1660"/>
      <c r="G1064" s="1574"/>
      <c r="H1064" s="1577">
        <f>H1027+H970</f>
        <v>0</v>
      </c>
      <c r="I1064" s="1660"/>
      <c r="J1064" s="1574"/>
      <c r="K1064" s="1577">
        <f>K1027+K970</f>
        <v>0</v>
      </c>
      <c r="M1064" s="1570"/>
      <c r="N1064" s="1570"/>
      <c r="O1064" s="1571"/>
      <c r="P1064" s="1571"/>
      <c r="Q1064" s="1571"/>
      <c r="R1064" s="1570"/>
      <c r="S1064" s="1570"/>
      <c r="T1064" s="1570"/>
      <c r="U1064" s="1570"/>
      <c r="V1064" s="1570"/>
      <c r="W1064" s="1570"/>
      <c r="X1064" s="1570"/>
      <c r="Y1064" s="1570"/>
      <c r="Z1064" s="1570"/>
      <c r="AA1064" s="1570"/>
      <c r="AB1064" s="1570"/>
      <c r="AC1064" s="1570"/>
      <c r="AD1064" s="1570"/>
      <c r="AE1064" s="1570"/>
      <c r="AF1064" s="1570"/>
      <c r="AG1064" s="1570"/>
      <c r="AH1064" s="1570"/>
    </row>
    <row r="1065" spans="1:36" hidden="1">
      <c r="A1065" s="1600" t="s">
        <v>406</v>
      </c>
      <c r="B1065" s="1599">
        <f t="shared" si="157"/>
        <v>492028</v>
      </c>
      <c r="C1065" s="1660"/>
      <c r="D1065" s="1660"/>
      <c r="E1065" s="1577">
        <f>E1028+E971</f>
        <v>3057902</v>
      </c>
      <c r="F1065" s="1660"/>
      <c r="G1065" s="1574"/>
      <c r="H1065" s="1577">
        <f>H1028+H971</f>
        <v>3499974</v>
      </c>
      <c r="I1065" s="1660"/>
      <c r="J1065" s="1574"/>
      <c r="K1065" s="1577">
        <f>K1028+K971</f>
        <v>3696786</v>
      </c>
      <c r="M1065" s="1570"/>
      <c r="N1065" s="1570"/>
      <c r="O1065" s="1571"/>
      <c r="P1065" s="1571"/>
      <c r="Q1065" s="1571"/>
      <c r="R1065" s="1570"/>
      <c r="S1065" s="1570"/>
      <c r="T1065" s="1570"/>
      <c r="U1065" s="1570"/>
      <c r="V1065" s="1570"/>
      <c r="W1065" s="1570"/>
      <c r="X1065" s="1570"/>
      <c r="Y1065" s="1570"/>
      <c r="Z1065" s="1570"/>
      <c r="AA1065" s="1570"/>
      <c r="AB1065" s="1570"/>
      <c r="AC1065" s="1570"/>
      <c r="AD1065" s="1570"/>
      <c r="AE1065" s="1570"/>
      <c r="AF1065" s="1570"/>
      <c r="AG1065" s="1570"/>
      <c r="AH1065" s="1570"/>
    </row>
    <row r="1066" spans="1:36" hidden="1">
      <c r="A1066" s="1600" t="s">
        <v>429</v>
      </c>
      <c r="B1066" s="1599"/>
      <c r="C1066" s="1660"/>
      <c r="D1066" s="1660"/>
      <c r="E1066" s="1577"/>
      <c r="F1066" s="1660"/>
      <c r="G1066" s="1574"/>
      <c r="H1066" s="1577"/>
      <c r="I1066" s="1660"/>
      <c r="J1066" s="1574"/>
      <c r="K1066" s="1577"/>
      <c r="M1066" s="1570"/>
      <c r="N1066" s="1570"/>
      <c r="O1066" s="1571"/>
      <c r="P1066" s="1571"/>
      <c r="Q1066" s="1571"/>
      <c r="R1066" s="1570"/>
      <c r="S1066" s="1570"/>
      <c r="T1066" s="1570"/>
      <c r="U1066" s="1570"/>
      <c r="V1066" s="1570"/>
      <c r="W1066" s="1570"/>
      <c r="X1066" s="1570"/>
      <c r="Y1066" s="1570"/>
      <c r="Z1066" s="1570"/>
      <c r="AA1066" s="1570"/>
      <c r="AB1066" s="1570"/>
      <c r="AC1066" s="1570"/>
      <c r="AD1066" s="1570"/>
      <c r="AE1066" s="1570"/>
      <c r="AF1066" s="1570"/>
      <c r="AG1066" s="1570"/>
      <c r="AH1066" s="1570"/>
    </row>
    <row r="1067" spans="1:36" hidden="1">
      <c r="A1067" s="1600" t="s">
        <v>467</v>
      </c>
      <c r="B1067" s="1599">
        <f>B1030+B973</f>
        <v>213504952</v>
      </c>
      <c r="C1067" s="1730"/>
      <c r="D1067" s="1574"/>
      <c r="E1067" s="1577">
        <f>E1030+E973</f>
        <v>7935775</v>
      </c>
      <c r="F1067" s="1730"/>
      <c r="G1067" s="1574"/>
      <c r="H1067" s="1577">
        <f>H1030+H973</f>
        <v>9062945</v>
      </c>
      <c r="I1067" s="1730"/>
      <c r="J1067" s="1574"/>
      <c r="K1067" s="1577">
        <f>K1030+K973</f>
        <v>9566678</v>
      </c>
      <c r="M1067" s="1570"/>
      <c r="N1067" s="1570"/>
      <c r="O1067" s="1571"/>
      <c r="P1067" s="1571"/>
      <c r="Q1067" s="1571"/>
      <c r="R1067" s="1570"/>
      <c r="S1067" s="1570"/>
      <c r="T1067" s="1570"/>
      <c r="U1067" s="1570"/>
      <c r="V1067" s="1570"/>
      <c r="W1067" s="1570"/>
      <c r="X1067" s="1570"/>
      <c r="Y1067" s="1570"/>
      <c r="Z1067" s="1570"/>
      <c r="AA1067" s="1570"/>
      <c r="AB1067" s="1570"/>
      <c r="AC1067" s="1570"/>
      <c r="AD1067" s="1570"/>
      <c r="AE1067" s="1570"/>
      <c r="AF1067" s="1570"/>
      <c r="AG1067" s="1570"/>
      <c r="AH1067" s="1570"/>
    </row>
    <row r="1068" spans="1:36" hidden="1">
      <c r="A1068" s="1600" t="s">
        <v>403</v>
      </c>
      <c r="B1068" s="1599">
        <f>B1031+B974</f>
        <v>162756</v>
      </c>
      <c r="C1068" s="1660"/>
      <c r="D1068" s="1574"/>
      <c r="E1068" s="1577">
        <f>E1031+E974</f>
        <v>78084</v>
      </c>
      <c r="F1068" s="1660"/>
      <c r="G1068" s="1574"/>
      <c r="H1068" s="1577">
        <f>H1031+H974</f>
        <v>89477</v>
      </c>
      <c r="I1068" s="1660"/>
      <c r="J1068" s="1574"/>
      <c r="K1068" s="1577">
        <f>K1031+K974</f>
        <v>95949</v>
      </c>
      <c r="M1068" s="1570"/>
      <c r="N1068" s="1570"/>
      <c r="O1068" s="1571"/>
      <c r="P1068" s="1571"/>
      <c r="Q1068" s="1571"/>
      <c r="R1068" s="1570"/>
      <c r="S1068" s="1570"/>
      <c r="T1068" s="1570"/>
      <c r="U1068" s="1570"/>
      <c r="V1068" s="1570"/>
      <c r="W1068" s="1570"/>
      <c r="X1068" s="1570"/>
      <c r="Y1068" s="1570"/>
      <c r="Z1068" s="1570"/>
      <c r="AA1068" s="1570"/>
      <c r="AB1068" s="1570"/>
      <c r="AC1068" s="1570"/>
      <c r="AD1068" s="1570"/>
      <c r="AE1068" s="1570"/>
      <c r="AF1068" s="1570"/>
      <c r="AG1068" s="1570"/>
      <c r="AH1068" s="1570"/>
    </row>
    <row r="1069" spans="1:36" hidden="1">
      <c r="A1069" s="1569" t="s">
        <v>938</v>
      </c>
      <c r="B1069" s="1599">
        <f>B1032+B975</f>
        <v>213504952</v>
      </c>
      <c r="C1069" s="1584"/>
      <c r="D1069" s="1570"/>
      <c r="E1069" s="1577"/>
      <c r="F1069" s="1584"/>
      <c r="G1069" s="1570"/>
      <c r="H1069" s="1577"/>
      <c r="I1069" s="1576"/>
      <c r="J1069" s="1570"/>
      <c r="K1069" s="1577">
        <f>K1032+K975</f>
        <v>0</v>
      </c>
      <c r="M1069" s="1578"/>
      <c r="O1069" s="1579"/>
      <c r="P1069" s="1569"/>
      <c r="Q1069" s="1569"/>
      <c r="R1069" s="1580"/>
      <c r="S1069" s="1580"/>
      <c r="X1069" s="1570"/>
      <c r="Y1069" s="1570"/>
      <c r="Z1069" s="1570"/>
      <c r="AA1069" s="1570"/>
      <c r="AB1069" s="1570"/>
      <c r="AC1069" s="1570"/>
      <c r="AD1069" s="1570"/>
      <c r="AE1069" s="1570"/>
      <c r="AF1069" s="1570"/>
      <c r="AG1069" s="1570"/>
      <c r="AH1069" s="1570"/>
      <c r="AJ1069" s="1578"/>
    </row>
    <row r="1070" spans="1:36" hidden="1">
      <c r="A1070" s="1585" t="s">
        <v>384</v>
      </c>
      <c r="B1070" s="1680">
        <f>B1033+B976</f>
        <v>213504952</v>
      </c>
      <c r="C1070" s="1647"/>
      <c r="D1070" s="1577"/>
      <c r="E1070" s="1636">
        <f>E1033+E976</f>
        <v>12043384</v>
      </c>
      <c r="F1070" s="1647"/>
      <c r="G1070" s="1585"/>
      <c r="H1070" s="1636">
        <f>H1033+H976</f>
        <v>13766826</v>
      </c>
      <c r="I1070" s="1647"/>
      <c r="J1070" s="1585"/>
      <c r="K1070" s="1636">
        <f>K1033+K976</f>
        <v>14536374</v>
      </c>
      <c r="M1070" s="1570"/>
      <c r="N1070" s="1570"/>
      <c r="O1070" s="1571"/>
      <c r="P1070" s="1571"/>
      <c r="Q1070" s="1571"/>
      <c r="R1070" s="1570"/>
      <c r="S1070" s="1570"/>
      <c r="T1070" s="1570"/>
      <c r="U1070" s="1570"/>
      <c r="V1070" s="1570"/>
      <c r="W1070" s="1570"/>
      <c r="X1070" s="1570"/>
      <c r="Y1070" s="1570"/>
      <c r="Z1070" s="1570"/>
      <c r="AA1070" s="1570"/>
      <c r="AB1070" s="1570"/>
      <c r="AC1070" s="1570"/>
      <c r="AD1070" s="1570"/>
      <c r="AE1070" s="1570"/>
      <c r="AF1070" s="1570"/>
      <c r="AG1070" s="1570"/>
      <c r="AH1070" s="1570"/>
    </row>
    <row r="1071" spans="1:36" hidden="1">
      <c r="A1071" s="1585" t="s">
        <v>366</v>
      </c>
      <c r="B1071" s="1663">
        <f ca="1">'Table 2'!H80</f>
        <v>2929218.748509191</v>
      </c>
      <c r="C1071" s="1600"/>
      <c r="D1071" s="1600"/>
      <c r="E1071" s="1732" t="e">
        <f>#REF!</f>
        <v>#REF!</v>
      </c>
      <c r="F1071" s="1600"/>
      <c r="G1071" s="1600"/>
      <c r="H1071" s="1732">
        <f ca="1">'Table 3'!E80</f>
        <v>222642.17382612941</v>
      </c>
      <c r="I1071" s="1600"/>
      <c r="J1071" s="1600"/>
      <c r="K1071" s="1732">
        <f ca="1">H1071</f>
        <v>222642.17382612941</v>
      </c>
      <c r="M1071" s="1422"/>
      <c r="N1071" s="1422"/>
      <c r="O1071" s="1423"/>
      <c r="P1071" s="1571"/>
      <c r="Q1071" s="1571"/>
      <c r="R1071" s="1570"/>
      <c r="S1071" s="1570"/>
      <c r="T1071" s="1570"/>
      <c r="U1071" s="1570"/>
      <c r="V1071" s="1570"/>
      <c r="W1071" s="1570"/>
      <c r="X1071" s="1570"/>
      <c r="Y1071" s="1570"/>
      <c r="Z1071" s="1570"/>
      <c r="AA1071" s="1570"/>
      <c r="AB1071" s="1570"/>
      <c r="AC1071" s="1570"/>
      <c r="AD1071" s="1570"/>
      <c r="AE1071" s="1570"/>
      <c r="AF1071" s="1570"/>
      <c r="AG1071" s="1570"/>
      <c r="AH1071" s="1570"/>
    </row>
    <row r="1072" spans="1:36" ht="15.75" hidden="1" thickBot="1">
      <c r="A1072" s="1585" t="s">
        <v>385</v>
      </c>
      <c r="B1072" s="1738">
        <f ca="1">B1070+B1071</f>
        <v>216434170.7485092</v>
      </c>
      <c r="C1072" s="1666"/>
      <c r="D1072" s="1667"/>
      <c r="E1072" s="1734" t="e">
        <f>E1070+E1071</f>
        <v>#REF!</v>
      </c>
      <c r="F1072" s="1666"/>
      <c r="G1072" s="1670"/>
      <c r="H1072" s="1734">
        <f ca="1">H1070+H1071</f>
        <v>13989468.17382613</v>
      </c>
      <c r="I1072" s="1666"/>
      <c r="J1072" s="1670"/>
      <c r="K1072" s="1734">
        <f ca="1">K1070+K1071</f>
        <v>14759016.17382613</v>
      </c>
      <c r="M1072" s="1424"/>
      <c r="N1072" s="1424"/>
      <c r="O1072" s="1597"/>
      <c r="P1072" s="1571"/>
      <c r="Q1072" s="1571"/>
      <c r="R1072" s="1570"/>
      <c r="S1072" s="1570"/>
      <c r="T1072" s="1570"/>
      <c r="U1072" s="1570"/>
      <c r="V1072" s="1570"/>
      <c r="W1072" s="1570"/>
      <c r="X1072" s="1570"/>
      <c r="Y1072" s="1570"/>
      <c r="Z1072" s="1570"/>
      <c r="AA1072" s="1570"/>
      <c r="AB1072" s="1570"/>
      <c r="AC1072" s="1570"/>
      <c r="AD1072" s="1570"/>
      <c r="AE1072" s="1570"/>
      <c r="AF1072" s="1570"/>
      <c r="AG1072" s="1570"/>
      <c r="AH1072" s="1570"/>
    </row>
    <row r="1073" spans="1:36">
      <c r="A1073" s="1585"/>
      <c r="B1073" s="1610"/>
      <c r="C1073" s="1660"/>
      <c r="D1073" s="1577"/>
      <c r="E1073" s="1577"/>
      <c r="F1073" s="1660" t="s">
        <v>31</v>
      </c>
      <c r="G1073" s="1585"/>
      <c r="H1073" s="1577"/>
      <c r="I1073" s="1657" t="s">
        <v>31</v>
      </c>
      <c r="J1073" s="1585"/>
      <c r="K1073" s="1577" t="s">
        <v>31</v>
      </c>
      <c r="M1073" s="1570"/>
      <c r="N1073" s="1570"/>
      <c r="O1073" s="1571"/>
      <c r="P1073" s="1571"/>
      <c r="Q1073" s="1571"/>
      <c r="R1073" s="1570"/>
      <c r="S1073" s="1570"/>
      <c r="T1073" s="1570"/>
      <c r="U1073" s="1570"/>
      <c r="V1073" s="1570"/>
      <c r="W1073" s="1570"/>
      <c r="X1073" s="1570"/>
      <c r="Y1073" s="1570"/>
      <c r="Z1073" s="1570"/>
      <c r="AA1073" s="1570"/>
      <c r="AB1073" s="1570"/>
      <c r="AC1073" s="1570"/>
      <c r="AD1073" s="1570"/>
      <c r="AE1073" s="1570"/>
      <c r="AF1073" s="1570"/>
      <c r="AG1073" s="1570"/>
      <c r="AH1073" s="1570"/>
    </row>
    <row r="1074" spans="1:36">
      <c r="A1074" s="1609" t="s">
        <v>479</v>
      </c>
      <c r="B1074" s="1585"/>
      <c r="C1074" s="1577"/>
      <c r="D1074" s="1577"/>
      <c r="E1074" s="1585"/>
      <c r="F1074" s="1577"/>
      <c r="G1074" s="1585"/>
      <c r="H1074" s="1585"/>
      <c r="I1074" s="1577"/>
      <c r="J1074" s="1585"/>
      <c r="K1074" s="1585"/>
      <c r="M1074" s="1570"/>
      <c r="N1074" s="1570"/>
      <c r="O1074" s="1571"/>
      <c r="P1074" s="1571"/>
      <c r="Q1074" s="1571"/>
      <c r="R1074" s="1570"/>
      <c r="S1074" s="1570"/>
      <c r="T1074" s="1570"/>
      <c r="U1074" s="1570"/>
      <c r="V1074" s="1570"/>
      <c r="W1074" s="1570"/>
      <c r="X1074" s="1570"/>
      <c r="Y1074" s="1570"/>
      <c r="Z1074" s="1570"/>
      <c r="AA1074" s="1570"/>
      <c r="AB1074" s="1570"/>
      <c r="AC1074" s="1570"/>
      <c r="AD1074" s="1570"/>
      <c r="AE1074" s="1570"/>
      <c r="AF1074" s="1570"/>
      <c r="AG1074" s="1570"/>
      <c r="AH1074" s="1570"/>
    </row>
    <row r="1075" spans="1:36">
      <c r="A1075" s="1600" t="s">
        <v>676</v>
      </c>
      <c r="B1075" s="1585"/>
      <c r="C1075" s="1577"/>
      <c r="D1075" s="1577"/>
      <c r="E1075" s="1585"/>
      <c r="F1075" s="1577"/>
      <c r="G1075" s="1585"/>
      <c r="H1075" s="1585"/>
      <c r="I1075" s="1577"/>
      <c r="J1075" s="1585"/>
      <c r="K1075" s="1585"/>
      <c r="M1075" s="1570"/>
      <c r="N1075" s="1570"/>
      <c r="O1075" s="1571"/>
      <c r="P1075" s="1571"/>
      <c r="Q1075" s="1571"/>
      <c r="R1075" s="1570"/>
      <c r="S1075" s="1570"/>
      <c r="T1075" s="1570"/>
      <c r="U1075" s="1570"/>
      <c r="V1075" s="1570"/>
      <c r="W1075" s="1570"/>
      <c r="X1075" s="1570"/>
      <c r="Y1075" s="1570"/>
      <c r="Z1075" s="1570"/>
      <c r="AA1075" s="1570"/>
      <c r="AB1075" s="1570"/>
      <c r="AC1075" s="1570"/>
      <c r="AD1075" s="1570"/>
      <c r="AE1075" s="1570"/>
      <c r="AF1075" s="1570"/>
      <c r="AG1075" s="1570"/>
      <c r="AH1075" s="1570"/>
    </row>
    <row r="1076" spans="1:36">
      <c r="A1076" s="1600"/>
      <c r="B1076" s="1585"/>
      <c r="C1076" s="1577"/>
      <c r="D1076" s="1577"/>
      <c r="E1076" s="1585"/>
      <c r="F1076" s="1577"/>
      <c r="G1076" s="1585"/>
      <c r="H1076" s="1585"/>
      <c r="I1076" s="1577"/>
      <c r="J1076" s="1585"/>
      <c r="K1076" s="1585"/>
      <c r="M1076" s="1570"/>
      <c r="N1076" s="1570"/>
      <c r="O1076" s="1571"/>
      <c r="P1076" s="1571"/>
      <c r="Q1076" s="1571"/>
      <c r="R1076" s="1570"/>
      <c r="S1076" s="1570"/>
      <c r="T1076" s="1570"/>
      <c r="U1076" s="1570"/>
      <c r="V1076" s="1570"/>
      <c r="W1076" s="1570"/>
      <c r="X1076" s="1570"/>
      <c r="Y1076" s="1570"/>
      <c r="Z1076" s="1570"/>
      <c r="AA1076" s="1570"/>
      <c r="AB1076" s="1570"/>
      <c r="AC1076" s="1570"/>
      <c r="AD1076" s="1570"/>
      <c r="AE1076" s="1570"/>
      <c r="AF1076" s="1570"/>
      <c r="AG1076" s="1570"/>
      <c r="AH1076" s="1570"/>
    </row>
    <row r="1077" spans="1:36">
      <c r="A1077" s="1600" t="s">
        <v>396</v>
      </c>
      <c r="B1077" s="1599"/>
      <c r="C1077" s="1577"/>
      <c r="D1077" s="1577"/>
      <c r="E1077" s="1585"/>
      <c r="F1077" s="1577"/>
      <c r="G1077" s="1585"/>
      <c r="H1077" s="1585"/>
      <c r="I1077" s="1577"/>
      <c r="J1077" s="1585"/>
      <c r="K1077" s="1585"/>
      <c r="M1077" s="1570"/>
      <c r="N1077" s="1570"/>
      <c r="Z1077" s="1570"/>
      <c r="AA1077" s="1570"/>
      <c r="AB1077" s="1570"/>
      <c r="AC1077" s="1570"/>
      <c r="AD1077" s="1570"/>
      <c r="AE1077" s="1570"/>
      <c r="AF1077" s="1570"/>
      <c r="AG1077" s="1570"/>
      <c r="AH1077" s="1570"/>
    </row>
    <row r="1078" spans="1:36">
      <c r="A1078" s="1600" t="s">
        <v>680</v>
      </c>
      <c r="B1078" s="1599">
        <v>0</v>
      </c>
      <c r="C1078" s="1660" t="s">
        <v>31</v>
      </c>
      <c r="D1078" s="1660"/>
      <c r="E1078" s="1577">
        <f>ROUND(C1078*$B1078,0)</f>
        <v>0</v>
      </c>
      <c r="F1078" s="1660" t="s">
        <v>31</v>
      </c>
      <c r="G1078" s="1574"/>
      <c r="H1078" s="1577">
        <f>ROUND(B1078*F1078,0)</f>
        <v>0</v>
      </c>
      <c r="I1078" s="1660" t="s">
        <v>31</v>
      </c>
      <c r="J1078" s="1574"/>
      <c r="K1078" s="1577">
        <f>ROUND(I1078*$B1078,0)</f>
        <v>0</v>
      </c>
      <c r="M1078" s="1570"/>
      <c r="N1078" s="1570"/>
      <c r="P1078" s="1743"/>
      <c r="Q1078" s="1743"/>
      <c r="S1078" s="1618"/>
      <c r="T1078" s="1616"/>
      <c r="U1078" s="1618"/>
      <c r="V1078" s="1616"/>
      <c r="W1078" s="1618"/>
      <c r="X1078" s="1618"/>
      <c r="Y1078" s="1616"/>
      <c r="Z1078" s="1570"/>
      <c r="AA1078" s="1570"/>
      <c r="AB1078" s="1570"/>
      <c r="AC1078" s="1570"/>
      <c r="AD1078" s="1570"/>
      <c r="AE1078" s="1570"/>
      <c r="AF1078" s="1570"/>
      <c r="AG1078" s="1570"/>
      <c r="AH1078" s="1570"/>
    </row>
    <row r="1079" spans="1:36">
      <c r="A1079" s="1600" t="s">
        <v>681</v>
      </c>
      <c r="B1079" s="1599">
        <v>12</v>
      </c>
      <c r="C1079" s="1660">
        <v>2100</v>
      </c>
      <c r="D1079" s="1660"/>
      <c r="E1079" s="1577">
        <f>ROUND(C1079*$B1079,0)</f>
        <v>25200</v>
      </c>
      <c r="F1079" s="1660">
        <v>2528</v>
      </c>
      <c r="G1079" s="1641"/>
      <c r="H1079" s="1577">
        <f>ROUND(B1079*F1079,0)</f>
        <v>30336</v>
      </c>
      <c r="I1079" s="1660">
        <f>ROUNDDOWN(F1079*(1+$P$1091),0)</f>
        <v>2680</v>
      </c>
      <c r="J1079" s="1641"/>
      <c r="K1079" s="1577">
        <f>ROUND(I1079*$B1079,0)</f>
        <v>32160</v>
      </c>
      <c r="M1079" s="1570"/>
      <c r="N1079" s="1570"/>
      <c r="P1079" s="1604">
        <f>(I1079-F1079)/F1079</f>
        <v>6.0126582278481014E-2</v>
      </c>
      <c r="Q1079" s="1597"/>
      <c r="S1079" s="1618"/>
      <c r="T1079" s="1616"/>
      <c r="U1079" s="1618"/>
      <c r="V1079" s="1616"/>
      <c r="W1079" s="1618"/>
      <c r="X1079" s="1618"/>
      <c r="Y1079" s="1616"/>
      <c r="Z1079" s="1570"/>
      <c r="AA1079" s="1570"/>
      <c r="AB1079" s="1570"/>
      <c r="AC1079" s="1570"/>
      <c r="AD1079" s="1570"/>
      <c r="AE1079" s="1570"/>
      <c r="AF1079" s="1570"/>
      <c r="AG1079" s="1570"/>
      <c r="AH1079" s="1570"/>
    </row>
    <row r="1080" spans="1:36">
      <c r="A1080" s="1600" t="s">
        <v>397</v>
      </c>
      <c r="B1080" s="1599">
        <f>SUM(B1078:B1079)</f>
        <v>12</v>
      </c>
      <c r="C1080" s="1660" t="s">
        <v>31</v>
      </c>
      <c r="D1080" s="1660"/>
      <c r="E1080" s="1577" t="s">
        <v>31</v>
      </c>
      <c r="F1080" s="1660" t="s">
        <v>31</v>
      </c>
      <c r="G1080" s="1574"/>
      <c r="H1080" s="1577" t="s">
        <v>31</v>
      </c>
      <c r="I1080" s="1660" t="s">
        <v>31</v>
      </c>
      <c r="J1080" s="1574"/>
      <c r="K1080" s="1577" t="s">
        <v>31</v>
      </c>
      <c r="M1080" s="1570"/>
      <c r="N1080" s="1570"/>
      <c r="P1080" s="1744"/>
      <c r="S1080" s="1618"/>
      <c r="T1080" s="1616"/>
      <c r="U1080" s="1618"/>
      <c r="V1080" s="1616"/>
      <c r="W1080" s="1618"/>
      <c r="X1080" s="1618"/>
      <c r="Y1080" s="1616"/>
      <c r="Z1080" s="1570"/>
      <c r="AA1080" s="1570"/>
      <c r="AB1080" s="1570"/>
      <c r="AC1080" s="1570"/>
      <c r="AD1080" s="1570"/>
      <c r="AE1080" s="1570"/>
      <c r="AF1080" s="1570"/>
      <c r="AG1080" s="1570"/>
      <c r="AH1080" s="1570"/>
    </row>
    <row r="1081" spans="1:36">
      <c r="A1081" s="1600" t="s">
        <v>476</v>
      </c>
      <c r="B1081" s="1599">
        <v>0</v>
      </c>
      <c r="C1081" s="1660" t="s">
        <v>31</v>
      </c>
      <c r="D1081" s="1660"/>
      <c r="E1081" s="1577">
        <f>ROUND(C1081*$B1081,0)</f>
        <v>0</v>
      </c>
      <c r="F1081" s="1660" t="s">
        <v>31</v>
      </c>
      <c r="G1081" s="1574"/>
      <c r="H1081" s="1577">
        <f t="shared" ref="H1081:H1083" si="158">ROUND(B1081*F1081,0)</f>
        <v>0</v>
      </c>
      <c r="I1081" s="1660" t="s">
        <v>31</v>
      </c>
      <c r="J1081" s="1574"/>
      <c r="K1081" s="1577">
        <f>ROUND(I1081*$B1081,0)</f>
        <v>0</v>
      </c>
      <c r="M1081" s="1570"/>
      <c r="N1081" s="1570"/>
      <c r="P1081" s="1744"/>
      <c r="S1081" s="1618"/>
      <c r="T1081" s="1616"/>
      <c r="U1081" s="1618"/>
      <c r="V1081" s="1616"/>
      <c r="W1081" s="1618"/>
      <c r="X1081" s="1618"/>
      <c r="Y1081" s="1616"/>
      <c r="Z1081" s="1570"/>
      <c r="AA1081" s="1570"/>
      <c r="AB1081" s="1570"/>
      <c r="AC1081" s="1570"/>
      <c r="AD1081" s="1570"/>
      <c r="AE1081" s="1570"/>
      <c r="AF1081" s="1570"/>
      <c r="AG1081" s="1570"/>
      <c r="AH1081" s="1570"/>
    </row>
    <row r="1082" spans="1:36">
      <c r="A1082" s="1600" t="s">
        <v>682</v>
      </c>
      <c r="B1082" s="1599">
        <f>699156</f>
        <v>699156</v>
      </c>
      <c r="C1082" s="1660">
        <v>0.2</v>
      </c>
      <c r="D1082" s="1660"/>
      <c r="E1082" s="1577">
        <f>ROUND(C1082*$B1082,0)</f>
        <v>139831</v>
      </c>
      <c r="F1082" s="1660">
        <v>0.23</v>
      </c>
      <c r="G1082" s="1574"/>
      <c r="H1082" s="1577">
        <f t="shared" si="158"/>
        <v>160806</v>
      </c>
      <c r="I1082" s="1660">
        <f>ROUNDUP(F1082*(1+$P$1091),2)</f>
        <v>0.25</v>
      </c>
      <c r="J1082" s="1574"/>
      <c r="K1082" s="1577">
        <f>ROUND(I1082*$B1082,0)</f>
        <v>174789</v>
      </c>
      <c r="M1082" s="1570"/>
      <c r="N1082" s="1570"/>
      <c r="P1082" s="1604">
        <f>(I1082-F1082)/F1082</f>
        <v>8.6956521739130391E-2</v>
      </c>
      <c r="Q1082" s="1597"/>
      <c r="S1082" s="1618"/>
      <c r="T1082" s="1616"/>
      <c r="U1082" s="1618"/>
      <c r="V1082" s="1616"/>
      <c r="W1082" s="1618"/>
      <c r="X1082" s="1618"/>
      <c r="Y1082" s="1616"/>
      <c r="Z1082" s="1570"/>
      <c r="AA1082" s="1570"/>
      <c r="AB1082" s="1570"/>
      <c r="AC1082" s="1570"/>
      <c r="AD1082" s="1570"/>
      <c r="AE1082" s="1570"/>
      <c r="AF1082" s="1570"/>
      <c r="AG1082" s="1570"/>
      <c r="AH1082" s="1570"/>
    </row>
    <row r="1083" spans="1:36">
      <c r="A1083" s="1600" t="s">
        <v>406</v>
      </c>
      <c r="B1083" s="1599">
        <f>690552</f>
        <v>690552</v>
      </c>
      <c r="C1083" s="1660">
        <v>6.09</v>
      </c>
      <c r="D1083" s="1660"/>
      <c r="E1083" s="1577">
        <f>ROUND(C1083*$B1083,0)</f>
        <v>4205462</v>
      </c>
      <c r="F1083" s="1660">
        <v>6.95</v>
      </c>
      <c r="G1083" s="1574"/>
      <c r="H1083" s="1577">
        <f t="shared" si="158"/>
        <v>4799336</v>
      </c>
      <c r="I1083" s="1660">
        <f>ROUNDUP(F1083*(1+$P$1091),2)</f>
        <v>7.38</v>
      </c>
      <c r="J1083" s="1574"/>
      <c r="K1083" s="1577">
        <f>ROUND(I1083*$B1083,0)</f>
        <v>5096274</v>
      </c>
      <c r="M1083" s="1570"/>
      <c r="N1083" s="1570"/>
      <c r="P1083" s="1604">
        <f>(I1083-F1083)/F1083</f>
        <v>6.1870503597122262E-2</v>
      </c>
      <c r="Q1083" s="1597"/>
      <c r="R1083" s="1571"/>
      <c r="S1083" s="1737"/>
      <c r="T1083" s="1616"/>
      <c r="U1083" s="1737"/>
      <c r="V1083" s="1616"/>
      <c r="W1083" s="1737"/>
      <c r="X1083" s="1571"/>
      <c r="Y1083" s="1616"/>
      <c r="Z1083" s="1570"/>
      <c r="AA1083" s="1570"/>
      <c r="AB1083" s="1570"/>
      <c r="AC1083" s="1570"/>
      <c r="AD1083" s="1570"/>
      <c r="AE1083" s="1570"/>
      <c r="AF1083" s="1570"/>
      <c r="AG1083" s="1570"/>
      <c r="AH1083" s="1570"/>
    </row>
    <row r="1084" spans="1:36">
      <c r="A1084" s="1600" t="s">
        <v>429</v>
      </c>
      <c r="B1084" s="1599" t="s">
        <v>31</v>
      </c>
      <c r="C1084" s="1660" t="s">
        <v>31</v>
      </c>
      <c r="D1084" s="1660"/>
      <c r="E1084" s="1577"/>
      <c r="F1084" s="1660" t="s">
        <v>31</v>
      </c>
      <c r="G1084" s="1574"/>
      <c r="H1084" s="1577"/>
      <c r="I1084" s="1736" t="s">
        <v>31</v>
      </c>
      <c r="J1084" s="1574"/>
      <c r="K1084" s="1577"/>
      <c r="M1084" s="1570"/>
      <c r="N1084" s="1570"/>
      <c r="P1084" s="1744"/>
      <c r="R1084" s="1571"/>
      <c r="S1084" s="1570"/>
      <c r="T1084" s="1570"/>
      <c r="U1084" s="1570"/>
      <c r="V1084" s="1570"/>
      <c r="W1084" s="1570"/>
      <c r="X1084" s="1570"/>
      <c r="Y1084" s="1570"/>
      <c r="Z1084" s="1570"/>
      <c r="AA1084" s="1570"/>
      <c r="AB1084" s="1570"/>
      <c r="AC1084" s="1570"/>
      <c r="AD1084" s="1570"/>
      <c r="AE1084" s="1570"/>
      <c r="AF1084" s="1570"/>
      <c r="AG1084" s="1570"/>
      <c r="AH1084" s="1570"/>
    </row>
    <row r="1085" spans="1:36">
      <c r="A1085" s="1600" t="s">
        <v>467</v>
      </c>
      <c r="B1085" s="1599">
        <f>467514000</f>
        <v>467514000</v>
      </c>
      <c r="C1085" s="1730">
        <v>3.66</v>
      </c>
      <c r="D1085" s="1574" t="s">
        <v>377</v>
      </c>
      <c r="E1085" s="1577">
        <f>ROUND(C1085/100*$B1085,0)</f>
        <v>17111012</v>
      </c>
      <c r="F1085" s="1736">
        <v>4.1870000000000003</v>
      </c>
      <c r="G1085" s="1574" t="s">
        <v>377</v>
      </c>
      <c r="H1085" s="1577">
        <f>ROUND(B1085/100*F1085,0)</f>
        <v>19574811</v>
      </c>
      <c r="I1085" s="1722">
        <f>ROUNDUP(F1085*(1+$P$1091)-I1087,3)+0.035</f>
        <v>4.4760000000000009</v>
      </c>
      <c r="J1085" s="1574" t="s">
        <v>377</v>
      </c>
      <c r="K1085" s="1577">
        <f>ROUND(I1085/100*$B1085,0)</f>
        <v>20925927</v>
      </c>
      <c r="M1085" s="1570"/>
      <c r="N1085" s="1570"/>
      <c r="P1085" s="1604">
        <f>(I1085+I1087-F1085)/F1085</f>
        <v>6.9023166945307038E-2</v>
      </c>
      <c r="Q1085" s="1597"/>
      <c r="R1085" s="1571"/>
      <c r="S1085" s="1570"/>
      <c r="T1085" s="1570"/>
      <c r="U1085" s="1570"/>
      <c r="V1085" s="1570"/>
      <c r="W1085" s="1570"/>
      <c r="X1085" s="1570"/>
      <c r="Y1085" s="1570"/>
      <c r="Z1085" s="1570"/>
      <c r="AA1085" s="1570"/>
      <c r="AB1085" s="1570"/>
      <c r="AC1085" s="1570"/>
      <c r="AD1085" s="1570"/>
      <c r="AE1085" s="1570"/>
      <c r="AF1085" s="1570"/>
      <c r="AG1085" s="1570"/>
      <c r="AH1085" s="1570"/>
    </row>
    <row r="1086" spans="1:36">
      <c r="A1086" s="1600" t="s">
        <v>403</v>
      </c>
      <c r="B1086" s="1599">
        <f>179228</f>
        <v>179228</v>
      </c>
      <c r="C1086" s="1660">
        <v>0.46</v>
      </c>
      <c r="D1086" s="1574"/>
      <c r="E1086" s="1577">
        <f>ROUND(C1086*$B1086,0)</f>
        <v>82445</v>
      </c>
      <c r="F1086" s="1660">
        <v>0.53</v>
      </c>
      <c r="G1086" s="1574"/>
      <c r="H1086" s="1577">
        <f>ROUND(B1086*F1086,0)</f>
        <v>94991</v>
      </c>
      <c r="I1086" s="1660">
        <f>ROUNDUP(F1086*(1+$P$1091),2)+0.02</f>
        <v>0.59000000000000008</v>
      </c>
      <c r="J1086" s="1574"/>
      <c r="K1086" s="1577">
        <f>ROUND(I1086*$B1086,0)</f>
        <v>105745</v>
      </c>
      <c r="M1086" s="1570"/>
      <c r="N1086" s="1570"/>
      <c r="P1086" s="1604">
        <f>(I1086-F1086)/F1086</f>
        <v>0.11320754716981142</v>
      </c>
      <c r="Q1086" s="1597"/>
      <c r="R1086" s="1571"/>
      <c r="S1086" s="1570"/>
      <c r="T1086" s="1570"/>
      <c r="U1086" s="1570"/>
      <c r="V1086" s="1570"/>
      <c r="W1086" s="1570"/>
      <c r="X1086" s="1570"/>
      <c r="Y1086" s="1570"/>
      <c r="Z1086" s="1570"/>
      <c r="AA1086" s="1570"/>
      <c r="AB1086" s="1570"/>
      <c r="AC1086" s="1570"/>
      <c r="AD1086" s="1570"/>
      <c r="AE1086" s="1570"/>
      <c r="AF1086" s="1570"/>
      <c r="AG1086" s="1570"/>
      <c r="AH1086" s="1570"/>
    </row>
    <row r="1087" spans="1:36" s="1621" customFormat="1">
      <c r="A1087" s="1621" t="s">
        <v>938</v>
      </c>
      <c r="B1087" s="1688">
        <f>B1085</f>
        <v>467514000</v>
      </c>
      <c r="C1087" s="1623"/>
      <c r="D1087" s="1624"/>
      <c r="E1087" s="1625"/>
      <c r="F1087" s="1623"/>
      <c r="G1087" s="1624"/>
      <c r="H1087" s="1625"/>
      <c r="I1087" s="1626">
        <v>0</v>
      </c>
      <c r="J1087" s="1689" t="s">
        <v>377</v>
      </c>
      <c r="K1087" s="1689">
        <f>ROUND(I1087*$B1087/100,0)</f>
        <v>0</v>
      </c>
      <c r="M1087" s="1651"/>
      <c r="N1087" s="1651">
        <f>'NPC Spread'!H33</f>
        <v>13975569.883198937</v>
      </c>
      <c r="O1087" s="1652" t="s">
        <v>913</v>
      </c>
      <c r="R1087" s="1653"/>
      <c r="S1087" s="1653"/>
      <c r="X1087" s="1624"/>
      <c r="Y1087" s="1624"/>
      <c r="Z1087" s="1624"/>
      <c r="AA1087" s="1624"/>
      <c r="AB1087" s="1624"/>
      <c r="AC1087" s="1624"/>
      <c r="AD1087" s="1624"/>
      <c r="AE1087" s="1624"/>
      <c r="AF1087" s="1624"/>
      <c r="AG1087" s="1624"/>
      <c r="AH1087" s="1624"/>
      <c r="AJ1087" s="1651"/>
    </row>
    <row r="1088" spans="1:36">
      <c r="A1088" s="1569" t="s">
        <v>922</v>
      </c>
      <c r="B1088" s="1575"/>
      <c r="C1088" s="1584"/>
      <c r="D1088" s="1570"/>
      <c r="E1088" s="1577"/>
      <c r="F1088" s="1736">
        <f>F1085</f>
        <v>4.1870000000000003</v>
      </c>
      <c r="G1088" s="1574" t="s">
        <v>377</v>
      </c>
      <c r="H1088" s="1577"/>
      <c r="I1088" s="1722">
        <f>I1085+I1087</f>
        <v>4.4760000000000009</v>
      </c>
      <c r="J1088" s="1574" t="s">
        <v>377</v>
      </c>
      <c r="K1088" s="1574"/>
      <c r="M1088" s="1578"/>
      <c r="N1088" s="1578"/>
      <c r="O1088" s="1579"/>
      <c r="P1088" s="1604">
        <f>(I1088-F1088)/F1088</f>
        <v>6.9023166945307038E-2</v>
      </c>
      <c r="Q1088" s="1569"/>
      <c r="R1088" s="1580"/>
      <c r="S1088" s="1580"/>
      <c r="X1088" s="1570"/>
      <c r="Y1088" s="1570"/>
      <c r="Z1088" s="1570"/>
      <c r="AA1088" s="1570"/>
      <c r="AB1088" s="1570"/>
      <c r="AC1088" s="1570"/>
      <c r="AD1088" s="1570"/>
      <c r="AE1088" s="1570"/>
      <c r="AF1088" s="1570"/>
      <c r="AG1088" s="1570"/>
      <c r="AH1088" s="1570"/>
      <c r="AJ1088" s="1578"/>
    </row>
    <row r="1089" spans="1:34">
      <c r="A1089" s="1585" t="s">
        <v>384</v>
      </c>
      <c r="B1089" s="1599">
        <f>B1085</f>
        <v>467514000</v>
      </c>
      <c r="C1089" s="1647"/>
      <c r="D1089" s="1577"/>
      <c r="E1089" s="1577">
        <f>SUM(E1078:E1086)</f>
        <v>21563950</v>
      </c>
      <c r="F1089" s="1647"/>
      <c r="G1089" s="1585"/>
      <c r="H1089" s="1577">
        <f>SUM(H1078:H1086)</f>
        <v>24660280</v>
      </c>
      <c r="I1089" s="1647"/>
      <c r="J1089" s="1585"/>
      <c r="K1089" s="1577">
        <f>SUM(K1078:K1087)</f>
        <v>26334895</v>
      </c>
      <c r="M1089" s="1570"/>
      <c r="N1089" s="1570"/>
      <c r="O1089" s="1571"/>
      <c r="P1089" s="1571"/>
      <c r="Q1089" s="1571"/>
      <c r="R1089" s="1570"/>
      <c r="S1089" s="1570"/>
      <c r="T1089" s="1570"/>
      <c r="U1089" s="1570"/>
      <c r="V1089" s="1570"/>
      <c r="W1089" s="1570"/>
      <c r="X1089" s="1570"/>
      <c r="Y1089" s="1570"/>
      <c r="Z1089" s="1570"/>
      <c r="AA1089" s="1570"/>
      <c r="AB1089" s="1570"/>
      <c r="AC1089" s="1570"/>
      <c r="AD1089" s="1570"/>
      <c r="AE1089" s="1570"/>
      <c r="AF1089" s="1570"/>
      <c r="AG1089" s="1570"/>
      <c r="AH1089" s="1570"/>
    </row>
    <row r="1090" spans="1:34">
      <c r="A1090" s="1585" t="s">
        <v>366</v>
      </c>
      <c r="B1090" s="1599">
        <f ca="1">'Table 2'!H81</f>
        <v>6414140.5675242878</v>
      </c>
      <c r="C1090" s="1600"/>
      <c r="D1090" s="1600"/>
      <c r="E1090" s="1664" t="e">
        <f>#REF!</f>
        <v>#REF!</v>
      </c>
      <c r="F1090" s="1600"/>
      <c r="G1090" s="1600"/>
      <c r="H1090" s="1664">
        <f ca="1">'Table 3'!E81</f>
        <v>397954.38596668228</v>
      </c>
      <c r="I1090" s="1600"/>
      <c r="J1090" s="1600"/>
      <c r="K1090" s="1664">
        <f ca="1">H1090</f>
        <v>397954.38596668228</v>
      </c>
      <c r="M1090" s="1422"/>
      <c r="N1090" s="1422"/>
      <c r="O1090" s="1423"/>
      <c r="R1090" s="1570"/>
      <c r="S1090" s="1570"/>
      <c r="T1090" s="1570"/>
      <c r="U1090" s="1570"/>
      <c r="V1090" s="1570"/>
      <c r="W1090" s="1570"/>
      <c r="X1090" s="1570"/>
      <c r="Y1090" s="1570"/>
      <c r="Z1090" s="1570"/>
      <c r="AA1090" s="1570"/>
      <c r="AB1090" s="1570"/>
      <c r="AC1090" s="1570"/>
      <c r="AD1090" s="1570"/>
      <c r="AE1090" s="1570"/>
      <c r="AF1090" s="1570"/>
      <c r="AG1090" s="1570"/>
      <c r="AH1090" s="1570"/>
    </row>
    <row r="1091" spans="1:34" ht="15.75" thickBot="1">
      <c r="A1091" s="1585" t="s">
        <v>385</v>
      </c>
      <c r="B1091" s="1727">
        <f ca="1">SUM(B1089)+B1090</f>
        <v>473928140.56752431</v>
      </c>
      <c r="C1091" s="1666"/>
      <c r="D1091" s="1667"/>
      <c r="E1091" s="1668" t="e">
        <f>E1089+E1090</f>
        <v>#REF!</v>
      </c>
      <c r="F1091" s="1666"/>
      <c r="G1091" s="1670"/>
      <c r="H1091" s="1668">
        <f ca="1">H1089+H1090</f>
        <v>25058234.385966681</v>
      </c>
      <c r="I1091" s="1666"/>
      <c r="J1091" s="1670"/>
      <c r="K1091" s="1668">
        <f ca="1">K1089+K1090</f>
        <v>26732849.385966681</v>
      </c>
      <c r="M1091" s="1424"/>
      <c r="N1091" s="1594" t="s">
        <v>367</v>
      </c>
      <c r="O1091" s="1673">
        <f ca="1">('Rate Spread-Staff'!Q28-('Rate Spread-Staff'!AK49/1000))*1000</f>
        <v>26732362.864920799</v>
      </c>
      <c r="P1091" s="1674">
        <f>'Rate Spread-Staff'!V28</f>
        <v>6.0500000000000005E-2</v>
      </c>
      <c r="Q1091" s="1597"/>
      <c r="R1091" s="1615" t="s">
        <v>31</v>
      </c>
      <c r="S1091" s="1570"/>
      <c r="T1091" s="1570"/>
      <c r="U1091" s="1570"/>
      <c r="V1091" s="1570"/>
      <c r="W1091" s="1570"/>
      <c r="X1091" s="1570"/>
      <c r="Y1091" s="1570"/>
      <c r="Z1091" s="1570"/>
      <c r="AA1091" s="1570"/>
      <c r="AB1091" s="1570"/>
      <c r="AC1091" s="1570"/>
      <c r="AD1091" s="1570"/>
      <c r="AE1091" s="1570"/>
      <c r="AF1091" s="1570"/>
      <c r="AG1091" s="1570"/>
      <c r="AH1091" s="1570"/>
    </row>
    <row r="1092" spans="1:34" ht="15.75" thickTop="1">
      <c r="A1092" s="1585"/>
      <c r="B1092" s="1610"/>
      <c r="C1092" s="1660"/>
      <c r="D1092" s="1577"/>
      <c r="E1092" s="1710" t="s">
        <v>31</v>
      </c>
      <c r="F1092" s="1660" t="s">
        <v>31</v>
      </c>
      <c r="G1092" s="1585"/>
      <c r="H1092" s="1577"/>
      <c r="I1092" s="1657" t="s">
        <v>31</v>
      </c>
      <c r="J1092" s="1585"/>
      <c r="K1092" s="1577" t="s">
        <v>31</v>
      </c>
      <c r="M1092" s="1570"/>
      <c r="N1092" s="1601" t="s">
        <v>265</v>
      </c>
      <c r="O1092" s="1414">
        <f ca="1">O1091-K1091</f>
        <v>-486.52104588225484</v>
      </c>
      <c r="P1092" s="1741"/>
      <c r="Q1092" s="1571"/>
      <c r="R1092" s="1570"/>
      <c r="S1092" s="1570"/>
      <c r="T1092" s="1570"/>
      <c r="U1092" s="1570"/>
      <c r="V1092" s="1570"/>
      <c r="W1092" s="1570"/>
      <c r="X1092" s="1570"/>
      <c r="Y1092" s="1570"/>
      <c r="Z1092" s="1570"/>
      <c r="AA1092" s="1570"/>
      <c r="AB1092" s="1570"/>
      <c r="AC1092" s="1570"/>
      <c r="AD1092" s="1570"/>
      <c r="AE1092" s="1570"/>
      <c r="AF1092" s="1570"/>
      <c r="AG1092" s="1570"/>
      <c r="AH1092" s="1570"/>
    </row>
    <row r="1093" spans="1:34">
      <c r="A1093" s="1609" t="s">
        <v>485</v>
      </c>
      <c r="B1093" s="1585"/>
      <c r="C1093" s="1585"/>
      <c r="D1093" s="1585"/>
      <c r="E1093" s="1577"/>
      <c r="F1093" s="1585"/>
      <c r="G1093" s="1585"/>
      <c r="H1093" s="1577"/>
      <c r="I1093" s="1585"/>
      <c r="J1093" s="1585"/>
      <c r="K1093" s="1585"/>
      <c r="M1093" s="1570"/>
      <c r="N1093" s="1570"/>
      <c r="O1093" s="1571"/>
      <c r="P1093" s="1571"/>
      <c r="Q1093" s="1571"/>
      <c r="R1093" s="1570"/>
      <c r="S1093" s="1570"/>
      <c r="T1093" s="1570"/>
      <c r="U1093" s="1570"/>
      <c r="V1093" s="1570"/>
      <c r="W1093" s="1570"/>
      <c r="X1093" s="1570"/>
      <c r="Y1093" s="1570"/>
      <c r="Z1093" s="1570"/>
      <c r="AA1093" s="1570"/>
      <c r="AB1093" s="1570"/>
      <c r="AC1093" s="1570"/>
      <c r="AD1093" s="1570"/>
      <c r="AE1093" s="1570"/>
      <c r="AF1093" s="1570"/>
      <c r="AG1093" s="1570"/>
      <c r="AH1093" s="1570"/>
    </row>
    <row r="1094" spans="1:34">
      <c r="A1094" s="1585" t="s">
        <v>597</v>
      </c>
      <c r="B1094" s="1585"/>
      <c r="C1094" s="1585"/>
      <c r="D1094" s="1585"/>
      <c r="E1094" s="1577"/>
      <c r="F1094" s="1585"/>
      <c r="G1094" s="1585"/>
      <c r="H1094" s="1577"/>
      <c r="I1094" s="1585"/>
      <c r="J1094" s="1585"/>
      <c r="K1094" s="1585"/>
      <c r="M1094" s="1530"/>
      <c r="N1094" s="1530"/>
      <c r="O1094" s="1530"/>
      <c r="P1094" s="1597">
        <f ca="1">(K1091-H1091)/H1091</f>
        <v>6.6828930331094341E-2</v>
      </c>
      <c r="Q1094" s="1530"/>
      <c r="R1094" s="1530"/>
      <c r="S1094" s="1530"/>
      <c r="T1094" s="1530"/>
      <c r="U1094" s="1530"/>
      <c r="V1094" s="1530"/>
      <c r="W1094" s="1530"/>
      <c r="X1094" s="1530"/>
      <c r="Y1094" s="1530"/>
      <c r="Z1094" s="1530"/>
      <c r="AA1094" s="1530"/>
      <c r="AB1094" s="1530"/>
      <c r="AC1094" s="1530"/>
      <c r="AD1094" s="1570"/>
      <c r="AE1094" s="1570"/>
      <c r="AF1094" s="1570"/>
      <c r="AG1094" s="1570"/>
      <c r="AH1094" s="1570"/>
    </row>
    <row r="1095" spans="1:34">
      <c r="A1095" s="1585" t="s">
        <v>598</v>
      </c>
      <c r="B1095" s="1585"/>
      <c r="C1095" s="1585"/>
      <c r="D1095" s="1585"/>
      <c r="E1095" s="1577"/>
      <c r="F1095" s="1585"/>
      <c r="G1095" s="1585"/>
      <c r="H1095" s="1577"/>
      <c r="I1095" s="1585"/>
      <c r="J1095" s="1585"/>
      <c r="K1095" s="1585"/>
      <c r="M1095" s="1530"/>
      <c r="N1095" s="1530"/>
      <c r="O1095" s="1530"/>
      <c r="P1095" s="1530"/>
      <c r="Q1095" s="1530"/>
      <c r="R1095" s="1530"/>
      <c r="S1095" s="1530"/>
      <c r="T1095" s="1530"/>
      <c r="U1095" s="1530"/>
      <c r="V1095" s="1530"/>
      <c r="W1095" s="1530"/>
      <c r="X1095" s="1530"/>
      <c r="Y1095" s="1530"/>
      <c r="Z1095" s="1530"/>
      <c r="AA1095" s="1530"/>
      <c r="AB1095" s="1530"/>
      <c r="AC1095" s="1530"/>
      <c r="AD1095" s="1570"/>
      <c r="AE1095" s="1570"/>
      <c r="AF1095" s="1570"/>
      <c r="AG1095" s="1570"/>
      <c r="AH1095" s="1570"/>
    </row>
    <row r="1096" spans="1:34">
      <c r="A1096" s="1585" t="s">
        <v>487</v>
      </c>
      <c r="B1096" s="1585"/>
      <c r="C1096" s="1585"/>
      <c r="D1096" s="1585"/>
      <c r="E1096" s="1577"/>
      <c r="F1096" s="1585"/>
      <c r="G1096" s="1585"/>
      <c r="H1096" s="1577"/>
      <c r="I1096" s="1585"/>
      <c r="J1096" s="1585"/>
      <c r="K1096" s="1585"/>
      <c r="M1096" s="1530"/>
      <c r="N1096" s="1530"/>
      <c r="O1096" s="1530"/>
      <c r="P1096" s="1571"/>
      <c r="Q1096" s="1571"/>
      <c r="R1096" s="1532"/>
      <c r="S1096" s="1532"/>
      <c r="T1096" s="1533"/>
      <c r="U1096" s="1533"/>
      <c r="V1096" s="1533"/>
      <c r="W1096" s="1533"/>
      <c r="X1096" s="1606"/>
      <c r="Y1096" s="1534"/>
      <c r="Z1096" s="1530"/>
      <c r="AA1096" s="1530"/>
      <c r="AB1096" s="1530"/>
      <c r="AC1096" s="1530"/>
      <c r="AD1096" s="1570"/>
      <c r="AE1096" s="1570"/>
      <c r="AF1096" s="1570"/>
      <c r="AG1096" s="1570"/>
      <c r="AH1096" s="1570"/>
    </row>
    <row r="1097" spans="1:34">
      <c r="A1097" s="1569" t="s">
        <v>361</v>
      </c>
      <c r="B1097" s="1575">
        <f>14490</f>
        <v>14490</v>
      </c>
      <c r="C1097" s="1576">
        <v>8.0299999999999994</v>
      </c>
      <c r="E1097" s="1577">
        <f t="shared" ref="E1097:E1106" si="159">ROUND(C1097*$B1097,0)</f>
        <v>116355</v>
      </c>
      <c r="F1097" s="1576">
        <v>8.4600000000000009</v>
      </c>
      <c r="H1097" s="1577">
        <f>ROUND(B1097*F1097,0)</f>
        <v>122585</v>
      </c>
      <c r="I1097" s="1576">
        <f>F1097</f>
        <v>8.4600000000000009</v>
      </c>
      <c r="K1097" s="1577">
        <f>ROUND(I1097*$B1097,0)</f>
        <v>122585</v>
      </c>
      <c r="M1097" s="1578" t="e">
        <f>I1097*#REF!</f>
        <v>#REF!</v>
      </c>
      <c r="P1097" s="1606"/>
      <c r="Q1097" s="1606"/>
      <c r="R1097" s="1571"/>
      <c r="S1097" s="1535"/>
      <c r="T1097" s="1535"/>
      <c r="U1097" s="1538"/>
      <c r="V1097" s="1538"/>
      <c r="W1097" s="1538"/>
      <c r="X1097" s="1607"/>
      <c r="Y1097" s="1530"/>
      <c r="Z1097" s="1606"/>
      <c r="AA1097" s="1606"/>
      <c r="AB1097" s="1608"/>
      <c r="AC1097" s="1606"/>
      <c r="AD1097" s="1570"/>
      <c r="AE1097" s="1570"/>
      <c r="AF1097" s="1570"/>
      <c r="AG1097" s="1570"/>
      <c r="AH1097" s="1570"/>
    </row>
    <row r="1098" spans="1:34">
      <c r="A1098" s="1569" t="s">
        <v>488</v>
      </c>
      <c r="B1098" s="1575">
        <f>17008+12</f>
        <v>17020</v>
      </c>
      <c r="C1098" s="1576">
        <v>9.6300000000000008</v>
      </c>
      <c r="E1098" s="1577">
        <f t="shared" si="159"/>
        <v>163903</v>
      </c>
      <c r="F1098" s="1576">
        <v>10.15</v>
      </c>
      <c r="H1098" s="1577">
        <f t="shared" ref="H1098:H1114" si="160">ROUND(B1098*F1098,0)</f>
        <v>172753</v>
      </c>
      <c r="I1098" s="1576">
        <f t="shared" ref="I1098:I1106" si="161">F1098</f>
        <v>10.15</v>
      </c>
      <c r="K1098" s="1577">
        <f t="shared" ref="K1098:K1111" si="162">ROUND(I1098*$B1098,0)</f>
        <v>172753</v>
      </c>
      <c r="M1098" s="1578" t="e">
        <f>I1098*#REF!</f>
        <v>#REF!</v>
      </c>
      <c r="P1098" s="1606"/>
      <c r="Q1098" s="1606"/>
      <c r="R1098" s="1571"/>
      <c r="S1098" s="1535"/>
      <c r="T1098" s="1535"/>
      <c r="U1098" s="1538"/>
      <c r="V1098" s="1538"/>
      <c r="W1098" s="1538"/>
      <c r="X1098" s="1530"/>
      <c r="Y1098" s="1530"/>
      <c r="Z1098" s="1606"/>
      <c r="AA1098" s="1606"/>
      <c r="AB1098" s="1608"/>
      <c r="AC1098" s="1606"/>
      <c r="AD1098" s="1570"/>
      <c r="AE1098" s="1570"/>
      <c r="AF1098" s="1570"/>
      <c r="AG1098" s="1570"/>
      <c r="AH1098" s="1570"/>
    </row>
    <row r="1099" spans="1:34">
      <c r="A1099" s="1569" t="s">
        <v>600</v>
      </c>
      <c r="B1099" s="1575">
        <v>0</v>
      </c>
      <c r="C1099" s="1576">
        <v>30.59</v>
      </c>
      <c r="E1099" s="1577">
        <f t="shared" si="159"/>
        <v>0</v>
      </c>
      <c r="F1099" s="1576">
        <v>32.24</v>
      </c>
      <c r="H1099" s="1577">
        <f t="shared" si="160"/>
        <v>0</v>
      </c>
      <c r="I1099" s="1576">
        <f t="shared" si="161"/>
        <v>32.24</v>
      </c>
      <c r="K1099" s="1577">
        <f t="shared" si="162"/>
        <v>0</v>
      </c>
      <c r="M1099" s="1578" t="e">
        <f>I1099*#REF!</f>
        <v>#REF!</v>
      </c>
      <c r="P1099" s="1606"/>
      <c r="Q1099" s="1606"/>
      <c r="R1099" s="1571"/>
      <c r="S1099" s="1535"/>
      <c r="T1099" s="1535"/>
      <c r="U1099" s="1538"/>
      <c r="V1099" s="1538"/>
      <c r="W1099" s="1538"/>
      <c r="X1099" s="1530"/>
      <c r="Y1099" s="1530"/>
      <c r="Z1099" s="1606"/>
      <c r="AA1099" s="1606"/>
      <c r="AB1099" s="1608"/>
      <c r="AC1099" s="1606"/>
      <c r="AD1099" s="1570"/>
      <c r="AE1099" s="1570"/>
      <c r="AF1099" s="1570"/>
      <c r="AG1099" s="1570"/>
      <c r="AH1099" s="1570"/>
    </row>
    <row r="1100" spans="1:34">
      <c r="A1100" s="1569" t="s">
        <v>601</v>
      </c>
      <c r="B1100" s="1575">
        <v>0</v>
      </c>
      <c r="C1100" s="1576">
        <v>23.79</v>
      </c>
      <c r="E1100" s="1577">
        <f t="shared" si="159"/>
        <v>0</v>
      </c>
      <c r="F1100" s="1576">
        <v>25.07</v>
      </c>
      <c r="H1100" s="1577">
        <f t="shared" si="160"/>
        <v>0</v>
      </c>
      <c r="I1100" s="1576">
        <f t="shared" si="161"/>
        <v>25.07</v>
      </c>
      <c r="K1100" s="1577">
        <f t="shared" si="162"/>
        <v>0</v>
      </c>
      <c r="M1100" s="1578" t="e">
        <f>I1100*#REF!</f>
        <v>#REF!</v>
      </c>
      <c r="P1100" s="1606"/>
      <c r="Q1100" s="1606"/>
      <c r="R1100" s="1571"/>
      <c r="S1100" s="1535"/>
      <c r="T1100" s="1535"/>
      <c r="U1100" s="1538"/>
      <c r="V1100" s="1538"/>
      <c r="W1100" s="1538"/>
      <c r="X1100" s="1530"/>
      <c r="Y1100" s="1530"/>
      <c r="Z1100" s="1606"/>
      <c r="AA1100" s="1606"/>
      <c r="AB1100" s="1608"/>
      <c r="AC1100" s="1606"/>
      <c r="AD1100" s="1570"/>
      <c r="AE1100" s="1570"/>
      <c r="AF1100" s="1570"/>
      <c r="AG1100" s="1570"/>
      <c r="AH1100" s="1570"/>
    </row>
    <row r="1101" spans="1:34">
      <c r="A1101" s="1569" t="s">
        <v>595</v>
      </c>
      <c r="B1101" s="1575">
        <f>612</f>
        <v>612</v>
      </c>
      <c r="C1101" s="1576">
        <v>12.31</v>
      </c>
      <c r="E1101" s="1577">
        <f t="shared" si="159"/>
        <v>7534</v>
      </c>
      <c r="F1101" s="1576">
        <v>12.97</v>
      </c>
      <c r="H1101" s="1577">
        <f t="shared" si="160"/>
        <v>7938</v>
      </c>
      <c r="I1101" s="1576">
        <f t="shared" si="161"/>
        <v>12.97</v>
      </c>
      <c r="K1101" s="1577">
        <f t="shared" si="162"/>
        <v>7938</v>
      </c>
      <c r="M1101" s="1578" t="e">
        <f>I1101*#REF!</f>
        <v>#REF!</v>
      </c>
      <c r="P1101" s="1606"/>
      <c r="Q1101" s="1606"/>
      <c r="R1101" s="1571"/>
      <c r="S1101" s="1535"/>
      <c r="T1101" s="1535"/>
      <c r="U1101" s="1538"/>
      <c r="V1101" s="1538"/>
      <c r="W1101" s="1538"/>
      <c r="X1101" s="1530"/>
      <c r="Y1101" s="1530"/>
      <c r="Z1101" s="1606"/>
      <c r="AA1101" s="1606"/>
      <c r="AB1101" s="1608"/>
      <c r="AC1101" s="1606"/>
      <c r="AD1101" s="1570"/>
      <c r="AE1101" s="1570"/>
      <c r="AF1101" s="1570"/>
      <c r="AG1101" s="1570"/>
      <c r="AH1101" s="1570"/>
    </row>
    <row r="1102" spans="1:34">
      <c r="A1102" s="1569" t="s">
        <v>602</v>
      </c>
      <c r="B1102" s="1575">
        <v>0</v>
      </c>
      <c r="C1102" s="1576">
        <v>31.69</v>
      </c>
      <c r="E1102" s="1577">
        <f t="shared" si="159"/>
        <v>0</v>
      </c>
      <c r="F1102" s="1576">
        <v>33.4</v>
      </c>
      <c r="H1102" s="1577">
        <f t="shared" si="160"/>
        <v>0</v>
      </c>
      <c r="I1102" s="1576">
        <f t="shared" si="161"/>
        <v>33.4</v>
      </c>
      <c r="K1102" s="1577">
        <f t="shared" si="162"/>
        <v>0</v>
      </c>
      <c r="M1102" s="1578" t="e">
        <f>I1102*#REF!</f>
        <v>#REF!</v>
      </c>
      <c r="P1102" s="1606"/>
      <c r="Q1102" s="1606"/>
      <c r="R1102" s="1571"/>
      <c r="S1102" s="1535"/>
      <c r="T1102" s="1535"/>
      <c r="U1102" s="1538"/>
      <c r="V1102" s="1538"/>
      <c r="W1102" s="1538"/>
      <c r="X1102" s="1530"/>
      <c r="Y1102" s="1530"/>
      <c r="Z1102" s="1606"/>
      <c r="AA1102" s="1606"/>
      <c r="AB1102" s="1608"/>
      <c r="AC1102" s="1606"/>
      <c r="AD1102" s="1570"/>
      <c r="AE1102" s="1570"/>
      <c r="AF1102" s="1570"/>
      <c r="AG1102" s="1570"/>
      <c r="AH1102" s="1570"/>
    </row>
    <row r="1103" spans="1:34">
      <c r="A1103" s="1569" t="s">
        <v>603</v>
      </c>
      <c r="B1103" s="1575">
        <v>0</v>
      </c>
      <c r="C1103" s="1576">
        <v>24.93</v>
      </c>
      <c r="E1103" s="1577">
        <f t="shared" si="159"/>
        <v>0</v>
      </c>
      <c r="F1103" s="1576">
        <v>26.27</v>
      </c>
      <c r="H1103" s="1577">
        <f t="shared" si="160"/>
        <v>0</v>
      </c>
      <c r="I1103" s="1576">
        <f t="shared" si="161"/>
        <v>26.27</v>
      </c>
      <c r="K1103" s="1577">
        <f t="shared" si="162"/>
        <v>0</v>
      </c>
      <c r="M1103" s="1578" t="e">
        <f>I1103*#REF!</f>
        <v>#REF!</v>
      </c>
      <c r="P1103" s="1606"/>
      <c r="Q1103" s="1606"/>
      <c r="R1103" s="1571"/>
      <c r="S1103" s="1535"/>
      <c r="T1103" s="1535"/>
      <c r="U1103" s="1538"/>
      <c r="V1103" s="1538"/>
      <c r="W1103" s="1538"/>
      <c r="X1103" s="1530"/>
      <c r="Y1103" s="1530"/>
      <c r="Z1103" s="1606"/>
      <c r="AA1103" s="1606"/>
      <c r="AB1103" s="1608"/>
      <c r="AC1103" s="1606"/>
      <c r="AD1103" s="1570"/>
      <c r="AE1103" s="1570"/>
      <c r="AF1103" s="1570"/>
      <c r="AG1103" s="1570"/>
      <c r="AH1103" s="1570"/>
    </row>
    <row r="1104" spans="1:34">
      <c r="A1104" s="1569" t="s">
        <v>362</v>
      </c>
      <c r="B1104" s="1575">
        <f>18685</f>
        <v>18685</v>
      </c>
      <c r="C1104" s="1576">
        <v>14.05</v>
      </c>
      <c r="E1104" s="1577">
        <f t="shared" si="159"/>
        <v>262524</v>
      </c>
      <c r="F1104" s="1576">
        <v>14.81</v>
      </c>
      <c r="H1104" s="1577">
        <f t="shared" si="160"/>
        <v>276725</v>
      </c>
      <c r="I1104" s="1576">
        <f t="shared" si="161"/>
        <v>14.81</v>
      </c>
      <c r="K1104" s="1577">
        <f t="shared" si="162"/>
        <v>276725</v>
      </c>
      <c r="M1104" s="1578" t="e">
        <f>I1104*#REF!</f>
        <v>#REF!</v>
      </c>
      <c r="P1104" s="1606"/>
      <c r="Q1104" s="1606"/>
      <c r="R1104" s="1571"/>
      <c r="S1104" s="1535"/>
      <c r="T1104" s="1535"/>
      <c r="U1104" s="1538"/>
      <c r="V1104" s="1538"/>
      <c r="W1104" s="1538"/>
      <c r="X1104" s="1530"/>
      <c r="Y1104" s="1530"/>
      <c r="Z1104" s="1606"/>
      <c r="AA1104" s="1606"/>
      <c r="AB1104" s="1608"/>
      <c r="AC1104" s="1606"/>
      <c r="AD1104" s="1570"/>
      <c r="AE1104" s="1570"/>
      <c r="AF1104" s="1570"/>
      <c r="AG1104" s="1570"/>
      <c r="AH1104" s="1570"/>
    </row>
    <row r="1105" spans="1:36">
      <c r="A1105" s="1569" t="s">
        <v>596</v>
      </c>
      <c r="B1105" s="1575">
        <f>1187</f>
        <v>1187</v>
      </c>
      <c r="C1105" s="1576">
        <v>17.829999999999998</v>
      </c>
      <c r="E1105" s="1577">
        <f t="shared" si="159"/>
        <v>21164</v>
      </c>
      <c r="F1105" s="1576">
        <v>18.79</v>
      </c>
      <c r="H1105" s="1577">
        <f t="shared" si="160"/>
        <v>22304</v>
      </c>
      <c r="I1105" s="1576">
        <f t="shared" si="161"/>
        <v>18.79</v>
      </c>
      <c r="K1105" s="1577">
        <f t="shared" si="162"/>
        <v>22304</v>
      </c>
      <c r="M1105" s="1578" t="e">
        <f>I1105*#REF!</f>
        <v>#REF!</v>
      </c>
      <c r="P1105" s="1606"/>
      <c r="Q1105" s="1606"/>
      <c r="R1105" s="1571"/>
      <c r="S1105" s="1535"/>
      <c r="T1105" s="1535"/>
      <c r="U1105" s="1538"/>
      <c r="V1105" s="1538"/>
      <c r="W1105" s="1538"/>
      <c r="X1105" s="1530"/>
      <c r="Y1105" s="1530"/>
      <c r="Z1105" s="1606"/>
      <c r="AA1105" s="1606"/>
      <c r="AB1105" s="1608"/>
      <c r="AC1105" s="1606"/>
      <c r="AD1105" s="1570"/>
      <c r="AE1105" s="1570"/>
      <c r="AF1105" s="1570"/>
      <c r="AG1105" s="1570"/>
      <c r="AH1105" s="1570"/>
    </row>
    <row r="1106" spans="1:36">
      <c r="A1106" s="1569" t="s">
        <v>363</v>
      </c>
      <c r="B1106" s="1575">
        <f>2092</f>
        <v>2092</v>
      </c>
      <c r="C1106" s="1576">
        <v>23.53</v>
      </c>
      <c r="E1106" s="1577">
        <f t="shared" si="159"/>
        <v>49225</v>
      </c>
      <c r="F1106" s="1576">
        <v>24.8</v>
      </c>
      <c r="H1106" s="1577">
        <f t="shared" si="160"/>
        <v>51882</v>
      </c>
      <c r="I1106" s="1576">
        <f t="shared" si="161"/>
        <v>24.8</v>
      </c>
      <c r="K1106" s="1577">
        <f>ROUND(I1106*$B1106,0)</f>
        <v>51882</v>
      </c>
      <c r="M1106" s="1578" t="e">
        <f>I1106*#REF!</f>
        <v>#REF!</v>
      </c>
      <c r="P1106" s="1606"/>
      <c r="Q1106" s="1606"/>
      <c r="R1106" s="1571"/>
      <c r="S1106" s="1535"/>
      <c r="T1106" s="1535"/>
      <c r="U1106" s="1538"/>
      <c r="V1106" s="1538"/>
      <c r="W1106" s="1538"/>
      <c r="X1106" s="1530"/>
      <c r="Y1106" s="1530"/>
      <c r="Z1106" s="1606"/>
      <c r="AA1106" s="1606"/>
      <c r="AB1106" s="1608"/>
      <c r="AC1106" s="1606"/>
      <c r="AD1106" s="1570"/>
      <c r="AE1106" s="1570"/>
      <c r="AF1106" s="1570"/>
      <c r="AG1106" s="1570"/>
      <c r="AH1106" s="1570"/>
    </row>
    <row r="1107" spans="1:36" hidden="1">
      <c r="A1107" s="1569" t="s">
        <v>599</v>
      </c>
      <c r="B1107" s="1575"/>
      <c r="C1107" s="1576"/>
      <c r="E1107" s="1577"/>
      <c r="F1107" s="1576"/>
      <c r="H1107" s="1577"/>
      <c r="I1107" s="1576"/>
      <c r="K1107" s="1577"/>
      <c r="M1107" s="1578"/>
      <c r="P1107" s="1606"/>
      <c r="Q1107" s="1606"/>
      <c r="R1107" s="1571"/>
      <c r="S1107" s="1535"/>
      <c r="T1107" s="1535"/>
      <c r="U1107" s="1538"/>
      <c r="V1107" s="1538"/>
      <c r="W1107" s="1538"/>
      <c r="X1107" s="1530"/>
      <c r="Y1107" s="1530"/>
      <c r="Z1107" s="1606"/>
      <c r="AA1107" s="1606"/>
      <c r="AB1107" s="1608"/>
      <c r="AC1107" s="1606"/>
      <c r="AD1107" s="1570"/>
      <c r="AE1107" s="1570"/>
      <c r="AF1107" s="1570"/>
      <c r="AG1107" s="1570"/>
      <c r="AH1107" s="1570"/>
    </row>
    <row r="1108" spans="1:36" hidden="1">
      <c r="A1108" s="1569" t="s">
        <v>604</v>
      </c>
      <c r="B1108" s="1575">
        <v>0</v>
      </c>
      <c r="C1108" s="1576">
        <v>30.92</v>
      </c>
      <c r="E1108" s="1577">
        <f t="shared" ref="E1108:E1114" si="163">ROUND(C1108*$B1108,0)</f>
        <v>0</v>
      </c>
      <c r="F1108" s="1576">
        <v>30.92</v>
      </c>
      <c r="H1108" s="1577">
        <f t="shared" si="160"/>
        <v>0</v>
      </c>
      <c r="I1108" s="1576">
        <f t="shared" ref="I1108:I1114" si="164">ROUND(F1108+(F1108*$P$1120),2)</f>
        <v>28.45</v>
      </c>
      <c r="K1108" s="1577">
        <f>ROUND(I1108*$B1108,0)</f>
        <v>0</v>
      </c>
      <c r="M1108" s="1578" t="e">
        <f>I1108*#REF!</f>
        <v>#REF!</v>
      </c>
      <c r="P1108" s="1606"/>
      <c r="Q1108" s="1606"/>
      <c r="R1108" s="1571"/>
      <c r="S1108" s="1535"/>
      <c r="T1108" s="1535"/>
      <c r="U1108" s="1538"/>
      <c r="V1108" s="1538"/>
      <c r="W1108" s="1538"/>
      <c r="X1108" s="1530"/>
      <c r="Y1108" s="1530"/>
      <c r="Z1108" s="1606"/>
      <c r="AA1108" s="1606"/>
      <c r="AB1108" s="1608"/>
      <c r="AC1108" s="1606"/>
      <c r="AD1108" s="1570"/>
      <c r="AE1108" s="1570"/>
      <c r="AF1108" s="1570"/>
      <c r="AG1108" s="1570"/>
      <c r="AH1108" s="1570"/>
    </row>
    <row r="1109" spans="1:36" hidden="1">
      <c r="A1109" s="1569" t="s">
        <v>605</v>
      </c>
      <c r="B1109" s="1575">
        <v>0</v>
      </c>
      <c r="C1109" s="1576">
        <v>25.79</v>
      </c>
      <c r="E1109" s="1577">
        <f t="shared" si="163"/>
        <v>0</v>
      </c>
      <c r="F1109" s="1576">
        <v>25.79</v>
      </c>
      <c r="H1109" s="1577">
        <f t="shared" si="160"/>
        <v>0</v>
      </c>
      <c r="I1109" s="1576">
        <f t="shared" si="164"/>
        <v>23.73</v>
      </c>
      <c r="K1109" s="1577">
        <f t="shared" si="162"/>
        <v>0</v>
      </c>
      <c r="M1109" s="1578" t="e">
        <f>I1109*#REF!</f>
        <v>#REF!</v>
      </c>
      <c r="P1109" s="1606"/>
      <c r="Q1109" s="1606"/>
      <c r="R1109" s="1571"/>
      <c r="S1109" s="1535"/>
      <c r="T1109" s="1535"/>
      <c r="U1109" s="1538"/>
      <c r="V1109" s="1538"/>
      <c r="W1109" s="1538"/>
      <c r="X1109" s="1530"/>
      <c r="Y1109" s="1530"/>
      <c r="Z1109" s="1606"/>
      <c r="AA1109" s="1606"/>
      <c r="AB1109" s="1608"/>
      <c r="AC1109" s="1606"/>
      <c r="AD1109" s="1570"/>
      <c r="AE1109" s="1570"/>
      <c r="AF1109" s="1570"/>
      <c r="AG1109" s="1570"/>
      <c r="AH1109" s="1570"/>
    </row>
    <row r="1110" spans="1:36" hidden="1">
      <c r="A1110" s="1569" t="s">
        <v>606</v>
      </c>
      <c r="B1110" s="1575">
        <v>0</v>
      </c>
      <c r="C1110" s="1576">
        <v>23.77</v>
      </c>
      <c r="E1110" s="1577">
        <f t="shared" si="163"/>
        <v>0</v>
      </c>
      <c r="F1110" s="1576">
        <v>23.77</v>
      </c>
      <c r="H1110" s="1577">
        <f t="shared" si="160"/>
        <v>0</v>
      </c>
      <c r="I1110" s="1576">
        <f t="shared" si="164"/>
        <v>21.87</v>
      </c>
      <c r="K1110" s="1577">
        <f>ROUND(I1110*$B1110,0)</f>
        <v>0</v>
      </c>
      <c r="M1110" s="1578" t="e">
        <f>I1110*#REF!</f>
        <v>#REF!</v>
      </c>
      <c r="P1110" s="1606"/>
      <c r="Q1110" s="1606"/>
      <c r="R1110" s="1571"/>
      <c r="S1110" s="1535"/>
      <c r="T1110" s="1535"/>
      <c r="U1110" s="1538"/>
      <c r="V1110" s="1538"/>
      <c r="W1110" s="1538"/>
      <c r="X1110" s="1530"/>
      <c r="Y1110" s="1530"/>
      <c r="Z1110" s="1606"/>
      <c r="AA1110" s="1606"/>
      <c r="AB1110" s="1608"/>
      <c r="AC1110" s="1606"/>
      <c r="AD1110" s="1570"/>
      <c r="AE1110" s="1570"/>
      <c r="AF1110" s="1570"/>
      <c r="AG1110" s="1570"/>
      <c r="AH1110" s="1570"/>
    </row>
    <row r="1111" spans="1:36" hidden="1">
      <c r="A1111" s="1569" t="s">
        <v>607</v>
      </c>
      <c r="B1111" s="1575">
        <v>0</v>
      </c>
      <c r="C1111" s="1576">
        <v>34.74</v>
      </c>
      <c r="E1111" s="1577">
        <f t="shared" si="163"/>
        <v>0</v>
      </c>
      <c r="F1111" s="1576">
        <v>34.74</v>
      </c>
      <c r="H1111" s="1577">
        <f t="shared" si="160"/>
        <v>0</v>
      </c>
      <c r="I1111" s="1576">
        <f t="shared" si="164"/>
        <v>31.97</v>
      </c>
      <c r="K1111" s="1577">
        <f t="shared" si="162"/>
        <v>0</v>
      </c>
      <c r="M1111" s="1578" t="e">
        <f>I1111*#REF!</f>
        <v>#REF!</v>
      </c>
      <c r="P1111" s="1606"/>
      <c r="Q1111" s="1606"/>
      <c r="R1111" s="1571"/>
      <c r="S1111" s="1535"/>
      <c r="T1111" s="1535"/>
      <c r="U1111" s="1538"/>
      <c r="V1111" s="1538"/>
      <c r="W1111" s="1538"/>
      <c r="X1111" s="1530"/>
      <c r="Y1111" s="1530"/>
      <c r="Z1111" s="1606"/>
      <c r="AA1111" s="1606"/>
      <c r="AB1111" s="1608"/>
      <c r="AC1111" s="1606"/>
      <c r="AD1111" s="1570"/>
      <c r="AE1111" s="1570"/>
      <c r="AF1111" s="1570"/>
      <c r="AG1111" s="1570"/>
      <c r="AH1111" s="1570"/>
    </row>
    <row r="1112" spans="1:36" hidden="1">
      <c r="A1112" s="1569" t="s">
        <v>608</v>
      </c>
      <c r="B1112" s="1575">
        <v>0</v>
      </c>
      <c r="C1112" s="1576">
        <v>27.97</v>
      </c>
      <c r="E1112" s="1577">
        <f t="shared" si="163"/>
        <v>0</v>
      </c>
      <c r="F1112" s="1576">
        <v>27.97</v>
      </c>
      <c r="H1112" s="1577">
        <f t="shared" si="160"/>
        <v>0</v>
      </c>
      <c r="I1112" s="1576">
        <f t="shared" si="164"/>
        <v>25.74</v>
      </c>
      <c r="K1112" s="1577">
        <f>ROUND(I1112*$B1112,0)</f>
        <v>0</v>
      </c>
      <c r="M1112" s="1578" t="e">
        <f>I1112*#REF!</f>
        <v>#REF!</v>
      </c>
      <c r="P1112" s="1606"/>
      <c r="Q1112" s="1606"/>
      <c r="R1112" s="1571"/>
      <c r="S1112" s="1535"/>
      <c r="T1112" s="1535"/>
      <c r="U1112" s="1538"/>
      <c r="V1112" s="1538"/>
      <c r="W1112" s="1538"/>
      <c r="X1112" s="1530"/>
      <c r="Y1112" s="1530"/>
      <c r="Z1112" s="1606"/>
      <c r="AA1112" s="1606"/>
      <c r="AB1112" s="1608"/>
      <c r="AC1112" s="1606"/>
      <c r="AD1112" s="1570"/>
      <c r="AE1112" s="1570"/>
      <c r="AF1112" s="1570"/>
      <c r="AG1112" s="1570"/>
      <c r="AH1112" s="1570"/>
    </row>
    <row r="1113" spans="1:36" hidden="1">
      <c r="A1113" s="1569" t="s">
        <v>609</v>
      </c>
      <c r="B1113" s="1575">
        <v>0</v>
      </c>
      <c r="C1113" s="1576">
        <v>27.49</v>
      </c>
      <c r="E1113" s="1577">
        <f t="shared" si="163"/>
        <v>0</v>
      </c>
      <c r="F1113" s="1576">
        <v>27.49</v>
      </c>
      <c r="H1113" s="1577">
        <f t="shared" si="160"/>
        <v>0</v>
      </c>
      <c r="I1113" s="1576">
        <f t="shared" si="164"/>
        <v>25.3</v>
      </c>
      <c r="K1113" s="1577">
        <f>ROUND(I1113*$B1113,0)</f>
        <v>0</v>
      </c>
      <c r="M1113" s="1578" t="e">
        <f>I1113*#REF!</f>
        <v>#REF!</v>
      </c>
      <c r="P1113" s="1606"/>
      <c r="Q1113" s="1606"/>
      <c r="R1113" s="1571"/>
      <c r="S1113" s="1535"/>
      <c r="T1113" s="1535"/>
      <c r="U1113" s="1538"/>
      <c r="V1113" s="1538"/>
      <c r="W1113" s="1538"/>
      <c r="X1113" s="1530"/>
      <c r="Y1113" s="1530"/>
      <c r="Z1113" s="1606"/>
      <c r="AA1113" s="1606"/>
      <c r="AB1113" s="1608"/>
      <c r="AC1113" s="1606"/>
      <c r="AD1113" s="1570"/>
      <c r="AE1113" s="1570"/>
      <c r="AF1113" s="1570"/>
      <c r="AG1113" s="1570"/>
      <c r="AH1113" s="1570"/>
    </row>
    <row r="1114" spans="1:36" hidden="1">
      <c r="A1114" s="1569" t="s">
        <v>610</v>
      </c>
      <c r="B1114" s="1575">
        <v>0</v>
      </c>
      <c r="C1114" s="1576">
        <v>29.93</v>
      </c>
      <c r="E1114" s="1577">
        <f t="shared" si="163"/>
        <v>0</v>
      </c>
      <c r="F1114" s="1576">
        <v>29.93</v>
      </c>
      <c r="H1114" s="1577">
        <f t="shared" si="160"/>
        <v>0</v>
      </c>
      <c r="I1114" s="1576">
        <f t="shared" si="164"/>
        <v>27.54</v>
      </c>
      <c r="K1114" s="1577">
        <f>ROUND(I1114*$B1114,0)</f>
        <v>0</v>
      </c>
      <c r="M1114" s="1578" t="e">
        <f>I1114*#REF!</f>
        <v>#REF!</v>
      </c>
      <c r="P1114" s="1606"/>
      <c r="Q1114" s="1606"/>
      <c r="R1114" s="1571"/>
      <c r="S1114" s="1535"/>
      <c r="T1114" s="1535"/>
      <c r="U1114" s="1538"/>
      <c r="V1114" s="1538"/>
      <c r="W1114" s="1538"/>
      <c r="X1114" s="1530"/>
      <c r="Y1114" s="1530"/>
      <c r="Z1114" s="1606"/>
      <c r="AA1114" s="1606"/>
      <c r="AB1114" s="1608"/>
      <c r="AC1114" s="1606"/>
      <c r="AD1114" s="1570"/>
      <c r="AE1114" s="1570"/>
      <c r="AF1114" s="1570"/>
      <c r="AG1114" s="1570"/>
      <c r="AH1114" s="1570"/>
    </row>
    <row r="1115" spans="1:36">
      <c r="A1115" s="1569" t="s">
        <v>365</v>
      </c>
      <c r="B1115" s="1575">
        <f>163*12</f>
        <v>1956</v>
      </c>
      <c r="C1115" s="1576"/>
      <c r="E1115" s="1577"/>
      <c r="F1115" s="1576"/>
      <c r="H1115" s="1577"/>
      <c r="I1115" s="1576"/>
      <c r="K1115" s="1577"/>
      <c r="P1115" s="1606"/>
      <c r="Q1115" s="1606"/>
      <c r="R1115" s="1571"/>
      <c r="S1115" s="1535"/>
      <c r="T1115" s="1535"/>
      <c r="U1115" s="1538"/>
      <c r="V1115" s="1538"/>
      <c r="W1115" s="1538"/>
      <c r="X1115" s="1530"/>
      <c r="Y1115" s="1530"/>
      <c r="Z1115" s="1606"/>
      <c r="AA1115" s="1606"/>
      <c r="AB1115" s="1606"/>
      <c r="AC1115" s="1606"/>
      <c r="AD1115" s="1570"/>
      <c r="AE1115" s="1570"/>
      <c r="AF1115" s="1570"/>
      <c r="AG1115" s="1570"/>
      <c r="AH1115" s="1570"/>
    </row>
    <row r="1116" spans="1:36" s="1621" customFormat="1">
      <c r="A1116" s="1621" t="s">
        <v>938</v>
      </c>
      <c r="B1116" s="1688">
        <f>B1117</f>
        <v>3331018</v>
      </c>
      <c r="C1116" s="1623"/>
      <c r="D1116" s="1624"/>
      <c r="E1116" s="1625"/>
      <c r="F1116" s="1623"/>
      <c r="G1116" s="1624"/>
      <c r="H1116" s="1625"/>
      <c r="I1116" s="1626">
        <v>0</v>
      </c>
      <c r="J1116" s="1689" t="s">
        <v>377</v>
      </c>
      <c r="K1116" s="1689">
        <f>ROUND(I1116*$B1116/100,0)</f>
        <v>0</v>
      </c>
      <c r="M1116" s="1651"/>
      <c r="N1116" s="1651">
        <f>'NPC Spread'!J38</f>
        <v>76171.367725336429</v>
      </c>
      <c r="O1116" s="1652" t="s">
        <v>913</v>
      </c>
      <c r="R1116" s="1653"/>
      <c r="S1116" s="1653"/>
      <c r="X1116" s="1624"/>
      <c r="Y1116" s="1624"/>
      <c r="Z1116" s="1624"/>
      <c r="AA1116" s="1624"/>
      <c r="AB1116" s="1624"/>
      <c r="AC1116" s="1624"/>
      <c r="AD1116" s="1624"/>
      <c r="AE1116" s="1624"/>
      <c r="AF1116" s="1624"/>
      <c r="AG1116" s="1624"/>
      <c r="AH1116" s="1624"/>
      <c r="AJ1116" s="1651"/>
    </row>
    <row r="1117" spans="1:36">
      <c r="A1117" s="1569" t="s">
        <v>384</v>
      </c>
      <c r="B1117" s="1575">
        <f>3331018</f>
        <v>3331018</v>
      </c>
      <c r="C1117" s="1584"/>
      <c r="D1117" s="1570"/>
      <c r="E1117" s="1588">
        <f>SUM(E1097:E1109)</f>
        <v>620705</v>
      </c>
      <c r="F1117" s="1584"/>
      <c r="G1117" s="1570"/>
      <c r="H1117" s="1588">
        <f>SUM(H1097:H1109)</f>
        <v>654187</v>
      </c>
      <c r="I1117" s="1584"/>
      <c r="J1117" s="1570"/>
      <c r="K1117" s="1588">
        <f>SUM(K1097:K1116)</f>
        <v>654187</v>
      </c>
      <c r="M1117" s="1578" t="e">
        <f>SUM(M1097:M1115)</f>
        <v>#REF!</v>
      </c>
      <c r="P1117" s="1606"/>
      <c r="Q1117" s="1606"/>
      <c r="R1117" s="1745"/>
      <c r="S1117" s="1570"/>
      <c r="T1117" s="1570"/>
      <c r="U1117" s="1423"/>
      <c r="V1117" s="1423"/>
      <c r="W1117" s="1423"/>
      <c r="X1117" s="1530"/>
      <c r="Y1117" s="1530"/>
      <c r="Z1117" s="1531"/>
      <c r="AA1117" s="1530"/>
      <c r="AB1117" s="1530"/>
      <c r="AC1117" s="1530"/>
      <c r="AD1117" s="1570"/>
      <c r="AE1117" s="1570"/>
      <c r="AF1117" s="1570"/>
      <c r="AG1117" s="1570"/>
      <c r="AH1117" s="1570"/>
    </row>
    <row r="1118" spans="1:36">
      <c r="A1118" s="1569" t="s">
        <v>366</v>
      </c>
      <c r="B1118" s="1575">
        <f ca="1">'Table 2'!H124</f>
        <v>-290831.01874098979</v>
      </c>
      <c r="C1118" s="1584"/>
      <c r="D1118" s="1570"/>
      <c r="E1118" s="1588" t="e">
        <f>#REF!</f>
        <v>#REF!</v>
      </c>
      <c r="F1118" s="1584"/>
      <c r="G1118" s="1570"/>
      <c r="H1118" s="1588">
        <f ca="1">'Table 3'!E124</f>
        <v>-53742.020983527946</v>
      </c>
      <c r="I1118" s="1584"/>
      <c r="J1118" s="1570"/>
      <c r="K1118" s="1588">
        <f ca="1">H1118</f>
        <v>-53742.020983527946</v>
      </c>
      <c r="M1118" s="1665"/>
      <c r="N1118" s="1665"/>
      <c r="P1118" s="1423"/>
      <c r="Q1118" s="1423"/>
      <c r="R1118" s="1535"/>
      <c r="S1118" s="1570"/>
      <c r="T1118" s="1570"/>
      <c r="U1118" s="1570"/>
      <c r="V1118" s="1570"/>
      <c r="W1118" s="1570"/>
      <c r="X1118" s="1606"/>
      <c r="Y1118" s="1530"/>
      <c r="Z1118" s="1570"/>
      <c r="AA1118" s="1570"/>
      <c r="AB1118" s="1570"/>
      <c r="AC1118" s="1570"/>
      <c r="AD1118" s="1570"/>
      <c r="AE1118" s="1570"/>
      <c r="AF1118" s="1570"/>
      <c r="AG1118" s="1570"/>
      <c r="AH1118" s="1570"/>
    </row>
    <row r="1119" spans="1:36" ht="15.75" thickBot="1">
      <c r="A1119" s="1569" t="s">
        <v>9</v>
      </c>
      <c r="B1119" s="1591">
        <f ca="1">B1117+B1118</f>
        <v>3040186.9812590103</v>
      </c>
      <c r="C1119" s="1592"/>
      <c r="D1119" s="1592"/>
      <c r="E1119" s="1592" t="e">
        <f>E1117+E1118</f>
        <v>#REF!</v>
      </c>
      <c r="F1119" s="1593"/>
      <c r="G1119" s="1593"/>
      <c r="H1119" s="1592">
        <f ca="1">H1117+H1118</f>
        <v>600444.979016472</v>
      </c>
      <c r="I1119" s="1593"/>
      <c r="J1119" s="1593"/>
      <c r="K1119" s="1592">
        <f ca="1">K1117+K1118</f>
        <v>600444.979016472</v>
      </c>
      <c r="M1119" s="1672"/>
      <c r="N1119" s="1746" t="s">
        <v>412</v>
      </c>
      <c r="O1119" s="1747">
        <f>'Rate Spread-Staff'!Q36*1000</f>
        <v>600444.979016472</v>
      </c>
      <c r="P1119" s="1596">
        <f ca="1">(K1119-H1119)/H1119</f>
        <v>0</v>
      </c>
      <c r="Q1119" s="1597"/>
      <c r="X1119" s="1530"/>
      <c r="Y1119" s="1530"/>
      <c r="Z1119" s="1570"/>
      <c r="AA1119" s="1570"/>
      <c r="AB1119" s="1570"/>
      <c r="AC1119" s="1570"/>
      <c r="AD1119" s="1570"/>
      <c r="AE1119" s="1570"/>
      <c r="AF1119" s="1570"/>
      <c r="AG1119" s="1570"/>
      <c r="AH1119" s="1570"/>
    </row>
    <row r="1120" spans="1:36" ht="15.75" thickTop="1">
      <c r="A1120" s="1585"/>
      <c r="B1120" s="1610"/>
      <c r="C1120" s="1610"/>
      <c r="D1120" s="1610"/>
      <c r="E1120" s="1577"/>
      <c r="F1120" s="1610" t="s">
        <v>31</v>
      </c>
      <c r="G1120" s="1610"/>
      <c r="H1120" s="1577"/>
      <c r="I1120" s="1610" t="s">
        <v>31</v>
      </c>
      <c r="J1120" s="1610"/>
      <c r="K1120" s="1577" t="s">
        <v>31</v>
      </c>
      <c r="M1120" s="1748"/>
      <c r="N1120" s="1749" t="s">
        <v>265</v>
      </c>
      <c r="O1120" s="1414">
        <f ca="1">O1119-K1119</f>
        <v>0</v>
      </c>
      <c r="P1120" s="1728">
        <v>-7.9799999999999996E-2</v>
      </c>
      <c r="Q1120" s="1604"/>
      <c r="S1120" s="1748"/>
      <c r="T1120" s="1748"/>
      <c r="U1120" s="1748"/>
      <c r="V1120" s="1748"/>
      <c r="W1120" s="1748"/>
      <c r="X1120" s="1530"/>
      <c r="Y1120" s="1530"/>
      <c r="Z1120" s="1570"/>
      <c r="AA1120" s="1570"/>
      <c r="AB1120" s="1570"/>
      <c r="AC1120" s="1570"/>
      <c r="AD1120" s="1570"/>
      <c r="AE1120" s="1570"/>
      <c r="AF1120" s="1570"/>
      <c r="AG1120" s="1570"/>
      <c r="AH1120" s="1570"/>
    </row>
    <row r="1121" spans="1:36">
      <c r="A1121" s="1609" t="s">
        <v>489</v>
      </c>
      <c r="B1121" s="1585"/>
      <c r="C1121" s="1585"/>
      <c r="D1121" s="1585"/>
      <c r="E1121" s="1585"/>
      <c r="F1121" s="1585"/>
      <c r="G1121" s="1585"/>
      <c r="H1121" s="1585"/>
      <c r="I1121" s="1585"/>
      <c r="J1121" s="1585"/>
      <c r="K1121" s="1585"/>
      <c r="M1121" s="1530"/>
      <c r="N1121" s="1530"/>
      <c r="O1121" s="1423"/>
      <c r="P1121" s="1530"/>
      <c r="Q1121" s="1530"/>
      <c r="R1121" s="1570"/>
      <c r="S1121" s="1570"/>
      <c r="T1121" s="1570"/>
      <c r="U1121" s="1570"/>
      <c r="V1121" s="1570"/>
      <c r="W1121" s="1570"/>
      <c r="X1121" s="1570"/>
      <c r="Y1121" s="1530"/>
      <c r="Z1121" s="1530"/>
      <c r="AA1121" s="1530"/>
      <c r="AB1121" s="1530"/>
      <c r="AC1121" s="1530"/>
      <c r="AD1121" s="1570"/>
      <c r="AE1121" s="1570"/>
      <c r="AF1121" s="1570"/>
      <c r="AG1121" s="1570"/>
      <c r="AH1121" s="1570"/>
    </row>
    <row r="1122" spans="1:36">
      <c r="A1122" s="1585" t="s">
        <v>490</v>
      </c>
      <c r="B1122" s="1585"/>
      <c r="C1122" s="1585"/>
      <c r="D1122" s="1585"/>
      <c r="E1122" s="1585"/>
      <c r="F1122" s="1585"/>
      <c r="G1122" s="1585"/>
      <c r="H1122" s="1585"/>
      <c r="I1122" s="1585"/>
      <c r="J1122" s="1585"/>
      <c r="K1122" s="1585"/>
      <c r="M1122" s="1570"/>
      <c r="N1122" s="1570"/>
      <c r="O1122" s="1571"/>
      <c r="P1122" s="1571"/>
      <c r="Q1122" s="1571"/>
      <c r="R1122" s="1570"/>
      <c r="S1122" s="1570"/>
      <c r="T1122" s="1570"/>
      <c r="U1122" s="1570"/>
      <c r="V1122" s="1570"/>
      <c r="W1122" s="1570"/>
      <c r="X1122" s="1570"/>
      <c r="Y1122" s="1530"/>
      <c r="Z1122" s="1530"/>
      <c r="AA1122" s="1530"/>
      <c r="AB1122" s="1530"/>
      <c r="AC1122" s="1530"/>
      <c r="AD1122" s="1570"/>
      <c r="AE1122" s="1570"/>
      <c r="AF1122" s="1570"/>
      <c r="AG1122" s="1570"/>
      <c r="AH1122" s="1570"/>
    </row>
    <row r="1123" spans="1:36">
      <c r="A1123" s="1585"/>
      <c r="B1123" s="1585"/>
      <c r="C1123" s="1585"/>
      <c r="D1123" s="1585"/>
      <c r="E1123" s="1585"/>
      <c r="F1123" s="1585"/>
      <c r="G1123" s="1585"/>
      <c r="H1123" s="1585"/>
      <c r="I1123" s="1585"/>
      <c r="J1123" s="1585"/>
      <c r="K1123" s="1585"/>
      <c r="M1123" s="1570"/>
      <c r="N1123" s="1570"/>
      <c r="O1123" s="1571"/>
      <c r="P1123" s="1571" t="s">
        <v>31</v>
      </c>
      <c r="Q1123" s="1571"/>
      <c r="R1123" s="1570"/>
      <c r="S1123" s="1570"/>
      <c r="T1123" s="1570"/>
      <c r="U1123" s="1570"/>
      <c r="V1123" s="1570"/>
      <c r="W1123" s="1570"/>
      <c r="X1123" s="1570"/>
      <c r="Y1123" s="1530"/>
      <c r="Z1123" s="1530"/>
      <c r="AA1123" s="1530"/>
      <c r="AB1123" s="1530"/>
      <c r="AC1123" s="1530"/>
      <c r="AD1123" s="1570"/>
      <c r="AE1123" s="1570"/>
      <c r="AF1123" s="1570"/>
      <c r="AG1123" s="1570"/>
      <c r="AH1123" s="1570"/>
    </row>
    <row r="1124" spans="1:36">
      <c r="A1124" s="1585" t="s">
        <v>491</v>
      </c>
      <c r="B1124" s="1610"/>
      <c r="C1124" s="1614"/>
      <c r="D1124" s="1585"/>
      <c r="E1124" s="1577">
        <v>28343.35</v>
      </c>
      <c r="F1124" s="1614"/>
      <c r="G1124" s="1585"/>
      <c r="H1124" s="1577">
        <f>26253.69</f>
        <v>26253.69</v>
      </c>
      <c r="I1124" s="1614"/>
      <c r="J1124" s="1585"/>
      <c r="K1124" s="1577">
        <f>H1124</f>
        <v>26253.69</v>
      </c>
      <c r="M1124" s="1578">
        <f>K1124</f>
        <v>26253.69</v>
      </c>
      <c r="N1124" s="1570"/>
      <c r="O1124" s="1571"/>
      <c r="P1124" s="1571" t="s">
        <v>31</v>
      </c>
      <c r="Q1124" s="1571"/>
      <c r="R1124" s="1570"/>
      <c r="S1124" s="1570"/>
      <c r="T1124" s="1570"/>
      <c r="U1124" s="1570"/>
      <c r="V1124" s="1570"/>
      <c r="W1124" s="1570"/>
      <c r="X1124" s="1570"/>
      <c r="Y1124" s="1570"/>
      <c r="Z1124" s="1570"/>
      <c r="AA1124" s="1570"/>
      <c r="AB1124" s="1570"/>
      <c r="AC1124" s="1570"/>
      <c r="AD1124" s="1570"/>
      <c r="AE1124" s="1570"/>
      <c r="AF1124" s="1570"/>
      <c r="AG1124" s="1570"/>
      <c r="AH1124" s="1570"/>
    </row>
    <row r="1125" spans="1:36">
      <c r="A1125" s="1585" t="s">
        <v>492</v>
      </c>
      <c r="B1125" s="1575">
        <f>314125</f>
        <v>314125</v>
      </c>
      <c r="C1125" s="1736">
        <v>7.0739999999999998</v>
      </c>
      <c r="D1125" s="1585" t="s">
        <v>377</v>
      </c>
      <c r="E1125" s="1750">
        <f>ROUND(B1125*C1125/100,0)</f>
        <v>22221</v>
      </c>
      <c r="F1125" s="1736">
        <v>7.8140000000000001</v>
      </c>
      <c r="G1125" s="1585" t="s">
        <v>377</v>
      </c>
      <c r="H1125" s="1750">
        <f>ROUND(F1125*B1125/100,0)</f>
        <v>24546</v>
      </c>
      <c r="I1125" s="1736">
        <f>F1125</f>
        <v>7.8140000000000001</v>
      </c>
      <c r="J1125" s="1585" t="s">
        <v>377</v>
      </c>
      <c r="K1125" s="1577">
        <f>ROUND(I1125*$B1125/100,0)</f>
        <v>24546</v>
      </c>
      <c r="M1125" s="1578" t="e">
        <f>(I1125/100)*#REF!</f>
        <v>#REF!</v>
      </c>
      <c r="N1125" s="1570"/>
      <c r="O1125" s="1571"/>
      <c r="P1125" s="1571"/>
      <c r="Q1125" s="1571"/>
      <c r="R1125" s="1570"/>
      <c r="S1125" s="1570"/>
      <c r="T1125" s="1570"/>
      <c r="U1125" s="1570"/>
      <c r="V1125" s="1570"/>
      <c r="W1125" s="1570"/>
      <c r="X1125" s="1570"/>
      <c r="Y1125" s="1570"/>
      <c r="Z1125" s="1570"/>
      <c r="AA1125" s="1570"/>
      <c r="AB1125" s="1570"/>
      <c r="AC1125" s="1570"/>
      <c r="AD1125" s="1570"/>
      <c r="AE1125" s="1570"/>
      <c r="AF1125" s="1570"/>
      <c r="AG1125" s="1570"/>
      <c r="AH1125" s="1570"/>
    </row>
    <row r="1126" spans="1:36">
      <c r="A1126" s="1585" t="s">
        <v>493</v>
      </c>
      <c r="B1126" s="1575">
        <v>0</v>
      </c>
      <c r="C1126" s="1736">
        <v>7.9160000000000004</v>
      </c>
      <c r="D1126" s="1585" t="s">
        <v>377</v>
      </c>
      <c r="E1126" s="1750">
        <f>ROUND(B1126*C1126/100,0)</f>
        <v>0</v>
      </c>
      <c r="F1126" s="1722">
        <v>8.7439999999999998</v>
      </c>
      <c r="G1126" s="1585" t="s">
        <v>377</v>
      </c>
      <c r="H1126" s="1750">
        <f>ROUND(F1126*B1126/100,0)</f>
        <v>0</v>
      </c>
      <c r="I1126" s="1722">
        <f>ROUND(F1126/F1125*I1125,3)</f>
        <v>8.7439999999999998</v>
      </c>
      <c r="J1126" s="1585" t="s">
        <v>377</v>
      </c>
      <c r="K1126" s="1577">
        <f>ROUND(I1126*$B1126/100,0)</f>
        <v>0</v>
      </c>
      <c r="M1126" s="1578" t="e">
        <f>(I1126/100)*#REF!</f>
        <v>#REF!</v>
      </c>
      <c r="N1126" s="1570"/>
      <c r="O1126" s="1571"/>
      <c r="P1126" s="1570"/>
      <c r="Q1126" s="1570"/>
      <c r="R1126" s="1570"/>
      <c r="S1126" s="1570"/>
      <c r="T1126" s="1570"/>
      <c r="U1126" s="1570"/>
      <c r="V1126" s="1570"/>
      <c r="W1126" s="1570"/>
      <c r="X1126" s="1570"/>
      <c r="Y1126" s="1570"/>
      <c r="Z1126" s="1570"/>
      <c r="AA1126" s="1570"/>
      <c r="AB1126" s="1570"/>
      <c r="AC1126" s="1570"/>
      <c r="AD1126" s="1570"/>
      <c r="AE1126" s="1570"/>
      <c r="AF1126" s="1570"/>
      <c r="AG1126" s="1570"/>
      <c r="AH1126" s="1570"/>
    </row>
    <row r="1127" spans="1:36">
      <c r="A1127" s="1585" t="s">
        <v>365</v>
      </c>
      <c r="B1127" s="1575">
        <f>18*12</f>
        <v>216</v>
      </c>
      <c r="C1127" s="1751"/>
      <c r="D1127" s="1585"/>
      <c r="E1127" s="1577"/>
      <c r="F1127" s="1751"/>
      <c r="G1127" s="1585"/>
      <c r="H1127" s="1577"/>
      <c r="I1127" s="1751"/>
      <c r="J1127" s="1585"/>
      <c r="K1127" s="1577"/>
      <c r="M1127" s="1570"/>
      <c r="N1127" s="1570"/>
      <c r="O1127" s="1571"/>
      <c r="P1127" s="1571"/>
      <c r="Q1127" s="1571"/>
      <c r="R1127" s="1570"/>
      <c r="S1127" s="1570"/>
      <c r="T1127" s="1570"/>
      <c r="U1127" s="1570"/>
      <c r="V1127" s="1570"/>
      <c r="W1127" s="1570"/>
      <c r="X1127" s="1570"/>
      <c r="Y1127" s="1570"/>
      <c r="Z1127" s="1570"/>
      <c r="AA1127" s="1570"/>
      <c r="AB1127" s="1570"/>
      <c r="AC1127" s="1570"/>
      <c r="AD1127" s="1570"/>
      <c r="AE1127" s="1570"/>
      <c r="AF1127" s="1570"/>
      <c r="AG1127" s="1570"/>
      <c r="AH1127" s="1570"/>
    </row>
    <row r="1128" spans="1:36" s="1621" customFormat="1">
      <c r="A1128" s="1621" t="s">
        <v>938</v>
      </c>
      <c r="B1128" s="1688">
        <f>B1130</f>
        <v>314125</v>
      </c>
      <c r="C1128" s="1623"/>
      <c r="D1128" s="1624"/>
      <c r="E1128" s="1625"/>
      <c r="F1128" s="1623"/>
      <c r="G1128" s="1624"/>
      <c r="H1128" s="1625"/>
      <c r="I1128" s="1626">
        <v>0</v>
      </c>
      <c r="J1128" s="1689" t="s">
        <v>377</v>
      </c>
      <c r="K1128" s="1689">
        <f>ROUND(I1128*$B1128/100,0)</f>
        <v>0</v>
      </c>
      <c r="M1128" s="1651"/>
      <c r="N1128" s="1651">
        <f>'NPC Spread'!J39</f>
        <v>7183.1887088935891</v>
      </c>
      <c r="O1128" s="1652" t="s">
        <v>913</v>
      </c>
      <c r="R1128" s="1653"/>
      <c r="S1128" s="1653"/>
      <c r="X1128" s="1624"/>
      <c r="Y1128" s="1624"/>
      <c r="Z1128" s="1624"/>
      <c r="AA1128" s="1624"/>
      <c r="AB1128" s="1624"/>
      <c r="AC1128" s="1624"/>
      <c r="AD1128" s="1624"/>
      <c r="AE1128" s="1624"/>
      <c r="AF1128" s="1624"/>
      <c r="AG1128" s="1624"/>
      <c r="AH1128" s="1624"/>
      <c r="AJ1128" s="1651"/>
    </row>
    <row r="1129" spans="1:36">
      <c r="A1129" s="1569" t="s">
        <v>923</v>
      </c>
      <c r="B1129" s="1575"/>
      <c r="C1129" s="1584"/>
      <c r="D1129" s="1570"/>
      <c r="E1129" s="1577"/>
      <c r="F1129" s="1722">
        <f>F1125</f>
        <v>7.8140000000000001</v>
      </c>
      <c r="G1129" s="1585" t="s">
        <v>377</v>
      </c>
      <c r="H1129" s="1577"/>
      <c r="I1129" s="1722">
        <f>I1125+I1128</f>
        <v>7.8140000000000001</v>
      </c>
      <c r="J1129" s="1585" t="s">
        <v>377</v>
      </c>
      <c r="K1129" s="1574"/>
      <c r="M1129" s="1578"/>
      <c r="N1129" s="1578"/>
      <c r="O1129" s="1579"/>
      <c r="P1129" s="1604" t="s">
        <v>31</v>
      </c>
      <c r="Q1129" s="1569"/>
      <c r="R1129" s="1580"/>
      <c r="S1129" s="1580"/>
      <c r="X1129" s="1570"/>
      <c r="Y1129" s="1570"/>
      <c r="Z1129" s="1570"/>
      <c r="AA1129" s="1570"/>
      <c r="AB1129" s="1570"/>
      <c r="AC1129" s="1570"/>
      <c r="AD1129" s="1570"/>
      <c r="AE1129" s="1570"/>
      <c r="AF1129" s="1570"/>
      <c r="AG1129" s="1570"/>
      <c r="AH1129" s="1570"/>
      <c r="AJ1129" s="1578"/>
    </row>
    <row r="1130" spans="1:36">
      <c r="A1130" s="1569" t="s">
        <v>494</v>
      </c>
      <c r="B1130" s="1575">
        <f>SUM(B1125:B1126)</f>
        <v>314125</v>
      </c>
      <c r="C1130" s="1584"/>
      <c r="D1130" s="1570"/>
      <c r="E1130" s="1588">
        <f>SUM(E1124:E1126)</f>
        <v>50564.35</v>
      </c>
      <c r="F1130" s="1584"/>
      <c r="G1130" s="1570"/>
      <c r="H1130" s="1588">
        <f>SUM(H1124:H1126)</f>
        <v>50799.69</v>
      </c>
      <c r="I1130" s="1584"/>
      <c r="J1130" s="1570"/>
      <c r="K1130" s="1588">
        <f>SUM(K1124:K1128)</f>
        <v>50799.69</v>
      </c>
      <c r="M1130" s="1678" t="e">
        <f>SUM(M1124:M1127)</f>
        <v>#REF!</v>
      </c>
      <c r="N1130" s="1570"/>
      <c r="O1130" s="1571"/>
      <c r="P1130" s="1571"/>
      <c r="Q1130" s="1571"/>
      <c r="R1130" s="1570"/>
      <c r="S1130" s="1570"/>
      <c r="T1130" s="1570"/>
      <c r="U1130" s="1570"/>
      <c r="V1130" s="1570"/>
      <c r="W1130" s="1570"/>
      <c r="X1130" s="1570"/>
      <c r="Y1130" s="1570"/>
      <c r="Z1130" s="1570"/>
      <c r="AA1130" s="1570"/>
      <c r="AB1130" s="1570"/>
      <c r="AC1130" s="1570"/>
      <c r="AD1130" s="1570"/>
      <c r="AE1130" s="1570"/>
      <c r="AF1130" s="1570"/>
      <c r="AG1130" s="1570"/>
      <c r="AH1130" s="1570"/>
    </row>
    <row r="1131" spans="1:36">
      <c r="A1131" s="1569" t="s">
        <v>495</v>
      </c>
      <c r="B1131" s="1575">
        <f ca="1">'Table 2'!H121</f>
        <v>-27426.275046401868</v>
      </c>
      <c r="C1131" s="1584"/>
      <c r="D1131" s="1570"/>
      <c r="E1131" s="1588" t="e">
        <f>#REF!</f>
        <v>#REF!</v>
      </c>
      <c r="F1131" s="1584"/>
      <c r="G1131" s="1570"/>
      <c r="H1131" s="1588">
        <f ca="1">'Table 3'!E121</f>
        <v>-4174.4211898859912</v>
      </c>
      <c r="I1131" s="1584"/>
      <c r="J1131" s="1570"/>
      <c r="K1131" s="1588">
        <f ca="1">H1131</f>
        <v>-4174.4211898859912</v>
      </c>
      <c r="M1131" s="1665"/>
      <c r="N1131" s="1665"/>
      <c r="O1131" s="1704"/>
      <c r="P1131" s="1571"/>
      <c r="Q1131" s="1571"/>
      <c r="R1131" s="1570"/>
      <c r="S1131" s="1570"/>
      <c r="T1131" s="1570"/>
      <c r="U1131" s="1570"/>
      <c r="V1131" s="1570"/>
      <c r="W1131" s="1570"/>
      <c r="X1131" s="1570"/>
      <c r="Y1131" s="1570"/>
      <c r="Z1131" s="1570"/>
      <c r="AA1131" s="1570"/>
      <c r="AB1131" s="1570"/>
      <c r="AC1131" s="1570"/>
      <c r="AD1131" s="1570"/>
      <c r="AE1131" s="1570"/>
      <c r="AF1131" s="1570"/>
      <c r="AG1131" s="1570"/>
      <c r="AH1131" s="1570"/>
    </row>
    <row r="1132" spans="1:36" ht="15.75" thickBot="1">
      <c r="A1132" s="1585" t="s">
        <v>9</v>
      </c>
      <c r="B1132" s="1727">
        <f ca="1">B1130+B1131</f>
        <v>286698.72495359811</v>
      </c>
      <c r="C1132" s="1752"/>
      <c r="D1132" s="1753"/>
      <c r="E1132" s="1592" t="e">
        <f>E1130+E1131</f>
        <v>#REF!</v>
      </c>
      <c r="F1132" s="1754"/>
      <c r="G1132" s="1670"/>
      <c r="H1132" s="1592">
        <f ca="1">H1130+H1131</f>
        <v>46625.268810114008</v>
      </c>
      <c r="I1132" s="1754"/>
      <c r="J1132" s="1670"/>
      <c r="K1132" s="1592">
        <f ca="1">K1130+K1131</f>
        <v>46625.268810114008</v>
      </c>
      <c r="M1132" s="1672"/>
      <c r="N1132" s="1746" t="s">
        <v>412</v>
      </c>
      <c r="O1132" s="1673">
        <f>'Rate Spread-Staff'!Q37*1000</f>
        <v>46625.268810114008</v>
      </c>
      <c r="P1132" s="1596">
        <f ca="1">(K1132-H1132)/H1132</f>
        <v>0</v>
      </c>
      <c r="Q1132" s="1604"/>
      <c r="R1132" s="1570"/>
      <c r="S1132" s="1570"/>
      <c r="T1132" s="1570"/>
      <c r="U1132" s="1570"/>
      <c r="V1132" s="1570"/>
      <c r="W1132" s="1570"/>
      <c r="X1132" s="1570"/>
      <c r="Y1132" s="1570"/>
      <c r="Z1132" s="1570"/>
      <c r="AA1132" s="1570"/>
      <c r="AB1132" s="1570"/>
      <c r="AC1132" s="1570"/>
      <c r="AD1132" s="1570"/>
      <c r="AE1132" s="1570"/>
      <c r="AF1132" s="1570"/>
      <c r="AG1132" s="1570"/>
      <c r="AH1132" s="1570"/>
    </row>
    <row r="1133" spans="1:36" ht="15.75" thickTop="1">
      <c r="A1133" s="1585"/>
      <c r="B1133" s="1585"/>
      <c r="C1133" s="1723"/>
      <c r="D1133" s="1585"/>
      <c r="E1133" s="1585"/>
      <c r="F1133" s="1723" t="s">
        <v>31</v>
      </c>
      <c r="G1133" s="1585"/>
      <c r="H1133" s="1585"/>
      <c r="I1133" s="1723" t="s">
        <v>31</v>
      </c>
      <c r="J1133" s="1585"/>
      <c r="K1133" s="1577" t="s">
        <v>31</v>
      </c>
      <c r="M1133" s="1570"/>
      <c r="N1133" s="1749" t="s">
        <v>265</v>
      </c>
      <c r="O1133" s="1602">
        <f ca="1">O1132-K1132</f>
        <v>0</v>
      </c>
      <c r="P1133" s="1728" t="s">
        <v>31</v>
      </c>
      <c r="Q1133" s="1604"/>
      <c r="R1133" s="1570"/>
      <c r="S1133" s="1570"/>
      <c r="T1133" s="1570"/>
      <c r="U1133" s="1570"/>
      <c r="V1133" s="1570"/>
      <c r="W1133" s="1570"/>
      <c r="X1133" s="1570"/>
      <c r="Y1133" s="1570"/>
      <c r="Z1133" s="1570"/>
      <c r="AA1133" s="1570"/>
      <c r="AB1133" s="1570"/>
      <c r="AC1133" s="1570"/>
      <c r="AD1133" s="1570"/>
      <c r="AE1133" s="1570"/>
      <c r="AF1133" s="1570"/>
      <c r="AG1133" s="1570"/>
      <c r="AH1133" s="1570"/>
    </row>
    <row r="1134" spans="1:36">
      <c r="A1134" s="1609" t="s">
        <v>496</v>
      </c>
      <c r="B1134" s="1585"/>
      <c r="C1134" s="1585"/>
      <c r="D1134" s="1585"/>
      <c r="E1134" s="1585"/>
      <c r="F1134" s="1585"/>
      <c r="G1134" s="1585"/>
      <c r="H1134" s="1585"/>
      <c r="I1134" s="1585"/>
      <c r="J1134" s="1585"/>
      <c r="K1134" s="1585"/>
      <c r="M1134" s="1570"/>
      <c r="N1134" s="1570"/>
      <c r="O1134" s="1571"/>
      <c r="P1134" s="1571"/>
      <c r="Q1134" s="1571"/>
      <c r="R1134" s="1570"/>
      <c r="S1134" s="1570"/>
      <c r="T1134" s="1570"/>
      <c r="U1134" s="1570"/>
      <c r="V1134" s="1570"/>
      <c r="W1134" s="1570"/>
      <c r="X1134" s="1570"/>
      <c r="Y1134" s="1570"/>
      <c r="Z1134" s="1570"/>
      <c r="AA1134" s="1570"/>
      <c r="AB1134" s="1570"/>
      <c r="AC1134" s="1570"/>
      <c r="AD1134" s="1570"/>
      <c r="AE1134" s="1570"/>
      <c r="AF1134" s="1570"/>
      <c r="AG1134" s="1570"/>
      <c r="AH1134" s="1570"/>
    </row>
    <row r="1135" spans="1:36">
      <c r="A1135" s="1585" t="s">
        <v>497</v>
      </c>
      <c r="B1135" s="1585"/>
      <c r="C1135" s="1585"/>
      <c r="D1135" s="1585"/>
      <c r="E1135" s="1585"/>
      <c r="F1135" s="1585"/>
      <c r="G1135" s="1585"/>
      <c r="H1135" s="1585"/>
      <c r="I1135" s="1585"/>
      <c r="J1135" s="1585"/>
      <c r="K1135" s="1585"/>
      <c r="M1135" s="1570"/>
      <c r="N1135" s="1570"/>
      <c r="O1135" s="1571"/>
      <c r="P1135" s="1571"/>
      <c r="Q1135" s="1571"/>
      <c r="R1135" s="1570"/>
      <c r="S1135" s="1570"/>
      <c r="T1135" s="1570"/>
      <c r="U1135" s="1570"/>
      <c r="V1135" s="1570"/>
      <c r="W1135" s="1570"/>
      <c r="X1135" s="1570"/>
      <c r="Y1135" s="1570"/>
      <c r="Z1135" s="1570"/>
      <c r="AA1135" s="1570"/>
      <c r="AB1135" s="1570"/>
      <c r="AC1135" s="1570"/>
      <c r="AD1135" s="1570"/>
      <c r="AE1135" s="1570"/>
      <c r="AF1135" s="1570"/>
      <c r="AG1135" s="1570"/>
      <c r="AH1135" s="1570"/>
    </row>
    <row r="1136" spans="1:36">
      <c r="A1136" s="1585"/>
      <c r="B1136" s="1585"/>
      <c r="C1136" s="1723"/>
      <c r="D1136" s="1585"/>
      <c r="E1136" s="1585"/>
      <c r="F1136" s="1723"/>
      <c r="G1136" s="1585"/>
      <c r="H1136" s="1585"/>
      <c r="I1136" s="1723"/>
      <c r="J1136" s="1585"/>
      <c r="K1136" s="1585"/>
      <c r="M1136" s="1570"/>
      <c r="N1136" s="1570"/>
      <c r="O1136" s="1571"/>
      <c r="P1136" s="1571"/>
      <c r="Q1136" s="1571"/>
      <c r="R1136" s="1570"/>
      <c r="S1136" s="1570"/>
      <c r="T1136" s="1570"/>
      <c r="U1136" s="1570"/>
      <c r="V1136" s="1570"/>
      <c r="W1136" s="1570"/>
      <c r="X1136" s="1570"/>
      <c r="Y1136" s="1570"/>
      <c r="Z1136" s="1570"/>
      <c r="AA1136" s="1570"/>
      <c r="AB1136" s="1570"/>
      <c r="AC1136" s="1570"/>
      <c r="AD1136" s="1570"/>
      <c r="AE1136" s="1570"/>
      <c r="AF1136" s="1570"/>
      <c r="AG1136" s="1570"/>
      <c r="AH1136" s="1570"/>
    </row>
    <row r="1137" spans="1:36">
      <c r="A1137" s="1585" t="s">
        <v>491</v>
      </c>
      <c r="B1137" s="1610"/>
      <c r="C1137" s="1614"/>
      <c r="D1137" s="1585"/>
      <c r="E1137" s="1577">
        <f>E1149+E1177</f>
        <v>2385.8499999999995</v>
      </c>
      <c r="F1137" s="1614"/>
      <c r="G1137" s="1585"/>
      <c r="H1137" s="1577">
        <f>H1149+H1177</f>
        <v>2266.75</v>
      </c>
      <c r="I1137" s="1614"/>
      <c r="J1137" s="1585"/>
      <c r="K1137" s="1577">
        <f>E1137</f>
        <v>2385.8499999999995</v>
      </c>
      <c r="M1137" s="1678">
        <f>K1137</f>
        <v>2385.8499999999995</v>
      </c>
      <c r="N1137" s="1570"/>
      <c r="O1137" s="1571"/>
      <c r="P1137" s="1571"/>
      <c r="Q1137" s="1571"/>
      <c r="R1137" s="1570"/>
      <c r="S1137" s="1570"/>
      <c r="T1137" s="1570"/>
      <c r="U1137" s="1570"/>
      <c r="V1137" s="1570"/>
      <c r="W1137" s="1570"/>
      <c r="X1137" s="1570"/>
      <c r="Y1137" s="1570"/>
      <c r="Z1137" s="1570"/>
      <c r="AA1137" s="1570"/>
      <c r="AB1137" s="1570"/>
      <c r="AC1137" s="1570"/>
      <c r="AD1137" s="1570"/>
      <c r="AE1137" s="1570"/>
      <c r="AF1137" s="1570"/>
      <c r="AG1137" s="1570"/>
      <c r="AH1137" s="1570"/>
    </row>
    <row r="1138" spans="1:36">
      <c r="A1138" s="1585" t="s">
        <v>622</v>
      </c>
      <c r="B1138" s="1575">
        <f>B1165+B1178+B1179</f>
        <v>2362099</v>
      </c>
      <c r="C1138" s="1736">
        <v>6.4820000000000002</v>
      </c>
      <c r="D1138" s="1585" t="s">
        <v>377</v>
      </c>
      <c r="E1138" s="1750">
        <f>E1165+E1178+E1179</f>
        <v>153111</v>
      </c>
      <c r="F1138" s="1722" t="s">
        <v>31</v>
      </c>
      <c r="G1138" s="1585" t="s">
        <v>31</v>
      </c>
      <c r="H1138" s="1750">
        <f>H1165+H1179</f>
        <v>161403</v>
      </c>
      <c r="I1138" s="1722" t="s">
        <v>31</v>
      </c>
      <c r="J1138" s="1585" t="s">
        <v>31</v>
      </c>
      <c r="K1138" s="1577">
        <f>K1165+K1179</f>
        <v>161403</v>
      </c>
      <c r="M1138" s="1578" t="e">
        <f>(I1138/100)*#REF!</f>
        <v>#REF!</v>
      </c>
      <c r="N1138" s="1570"/>
      <c r="O1138" s="1571"/>
      <c r="P1138" s="1571"/>
      <c r="Q1138" s="1571"/>
      <c r="R1138" s="1570"/>
      <c r="S1138" s="1570"/>
      <c r="T1138" s="1570"/>
      <c r="U1138" s="1570"/>
      <c r="V1138" s="1570"/>
      <c r="W1138" s="1570"/>
      <c r="X1138" s="1570"/>
      <c r="Y1138" s="1570"/>
      <c r="Z1138" s="1570"/>
      <c r="AA1138" s="1570"/>
      <c r="AB1138" s="1570"/>
      <c r="AC1138" s="1570"/>
      <c r="AD1138" s="1570"/>
      <c r="AE1138" s="1570"/>
      <c r="AF1138" s="1570"/>
      <c r="AG1138" s="1570"/>
      <c r="AH1138" s="1570"/>
    </row>
    <row r="1139" spans="1:36">
      <c r="A1139" s="1585" t="s">
        <v>624</v>
      </c>
      <c r="B1139" s="1575">
        <f>B1166</f>
        <v>2328689</v>
      </c>
      <c r="C1139" s="1600">
        <v>6.4820000000000002</v>
      </c>
      <c r="D1139" s="1585" t="s">
        <v>377</v>
      </c>
      <c r="E1139" s="1750">
        <f>SUM(E1151:E1163)</f>
        <v>150909.94</v>
      </c>
      <c r="F1139" s="1755" t="s">
        <v>31</v>
      </c>
      <c r="G1139" s="1585" t="s">
        <v>31</v>
      </c>
      <c r="H1139" s="1577">
        <f>H1151+H1152+H1153+H1154+H1155+H1156+H1159+H1160+H1161+H1162+H1163</f>
        <v>159055.60000000003</v>
      </c>
      <c r="I1139" s="1755" t="s">
        <v>31</v>
      </c>
      <c r="J1139" s="1585" t="s">
        <v>31</v>
      </c>
      <c r="K1139" s="1577">
        <f>K1151+K1152+K1153+K1154+K1155+K1156+K1159+K1160+K1161+K1162+K1163</f>
        <v>159055.60000000003</v>
      </c>
      <c r="M1139" s="1578" t="e">
        <f>(I1139/100)*#REF!</f>
        <v>#REF!</v>
      </c>
      <c r="N1139" s="1570"/>
      <c r="O1139" s="1571"/>
      <c r="P1139" s="1571" t="s">
        <v>31</v>
      </c>
      <c r="R1139" s="1570"/>
      <c r="S1139" s="1570"/>
      <c r="T1139" s="1570"/>
      <c r="U1139" s="1570"/>
      <c r="V1139" s="1570"/>
      <c r="W1139" s="1570"/>
      <c r="X1139" s="1570"/>
      <c r="Y1139" s="1570"/>
      <c r="Z1139" s="1570"/>
      <c r="AA1139" s="1570"/>
      <c r="AB1139" s="1570"/>
      <c r="AC1139" s="1570"/>
      <c r="AD1139" s="1570"/>
      <c r="AE1139" s="1570"/>
      <c r="AF1139" s="1570"/>
      <c r="AG1139" s="1570"/>
      <c r="AH1139" s="1570"/>
    </row>
    <row r="1140" spans="1:36">
      <c r="A1140" s="1585" t="s">
        <v>365</v>
      </c>
      <c r="B1140" s="1575">
        <f>B1167+B1180</f>
        <v>2640</v>
      </c>
      <c r="C1140" s="1751"/>
      <c r="D1140" s="1585"/>
      <c r="E1140" s="1577"/>
      <c r="F1140" s="1751"/>
      <c r="G1140" s="1585"/>
      <c r="H1140" s="1577"/>
      <c r="I1140" s="1751"/>
      <c r="J1140" s="1585"/>
      <c r="K1140" s="1577"/>
      <c r="M1140" s="1570"/>
      <c r="N1140" s="1570"/>
      <c r="O1140" s="1571"/>
      <c r="P1140" s="1571"/>
      <c r="Q1140" s="1571"/>
      <c r="R1140" s="1570"/>
      <c r="S1140" s="1570"/>
      <c r="T1140" s="1570"/>
      <c r="U1140" s="1570"/>
      <c r="V1140" s="1570"/>
      <c r="W1140" s="1570"/>
      <c r="X1140" s="1570"/>
      <c r="Y1140" s="1570"/>
      <c r="Z1140" s="1570"/>
      <c r="AA1140" s="1570"/>
      <c r="AB1140" s="1570"/>
      <c r="AC1140" s="1570"/>
      <c r="AD1140" s="1570"/>
      <c r="AE1140" s="1570"/>
      <c r="AF1140" s="1570"/>
      <c r="AG1140" s="1570"/>
      <c r="AH1140" s="1570"/>
    </row>
    <row r="1141" spans="1:36" s="1621" customFormat="1">
      <c r="A1141" s="1621" t="s">
        <v>938</v>
      </c>
      <c r="B1141" s="1688">
        <f>B1142</f>
        <v>4690788</v>
      </c>
      <c r="C1141" s="1623"/>
      <c r="D1141" s="1624"/>
      <c r="E1141" s="1625"/>
      <c r="F1141" s="1623"/>
      <c r="G1141" s="1624"/>
      <c r="H1141" s="1625"/>
      <c r="I1141" s="1626">
        <v>0</v>
      </c>
      <c r="J1141" s="1689" t="s">
        <v>377</v>
      </c>
      <c r="K1141" s="1689">
        <f>ROUND(I1141*$B1141/100,0)</f>
        <v>0</v>
      </c>
      <c r="M1141" s="1651"/>
      <c r="N1141" s="1756">
        <f>'NPC Spread'!J40</f>
        <v>107265.62800609166</v>
      </c>
      <c r="O1141" s="1757" t="s">
        <v>913</v>
      </c>
      <c r="R1141" s="1653"/>
      <c r="S1141" s="1653"/>
      <c r="X1141" s="1624"/>
      <c r="Y1141" s="1624"/>
      <c r="Z1141" s="1624"/>
      <c r="AA1141" s="1624"/>
      <c r="AB1141" s="1624"/>
      <c r="AC1141" s="1624"/>
      <c r="AD1141" s="1624"/>
      <c r="AE1141" s="1624"/>
      <c r="AF1141" s="1624"/>
      <c r="AG1141" s="1624"/>
      <c r="AH1141" s="1624"/>
      <c r="AJ1141" s="1651"/>
    </row>
    <row r="1142" spans="1:36">
      <c r="A1142" s="1569" t="s">
        <v>494</v>
      </c>
      <c r="B1142" s="1575">
        <f>B1170+B1182</f>
        <v>4690788</v>
      </c>
      <c r="C1142" s="1584"/>
      <c r="D1142" s="1570"/>
      <c r="E1142" s="1588">
        <f>E1137+E1138+E1139</f>
        <v>306406.79000000004</v>
      </c>
      <c r="F1142" s="1584"/>
      <c r="G1142" s="1570"/>
      <c r="H1142" s="1588">
        <f>H1170+H1182</f>
        <v>322725.35000000003</v>
      </c>
      <c r="I1142" s="1584"/>
      <c r="J1142" s="1570"/>
      <c r="K1142" s="1588">
        <f>K1170+K1182</f>
        <v>322725.35000000003</v>
      </c>
      <c r="M1142" s="1678" t="e">
        <f>SUM(M1137:M1140)</f>
        <v>#REF!</v>
      </c>
      <c r="P1142" s="1571"/>
      <c r="Q1142" s="1571"/>
      <c r="R1142" s="1570"/>
      <c r="S1142" s="1570"/>
      <c r="T1142" s="1570"/>
      <c r="U1142" s="1570"/>
      <c r="V1142" s="1570"/>
      <c r="W1142" s="1570"/>
      <c r="X1142" s="1570"/>
      <c r="Y1142" s="1570"/>
      <c r="Z1142" s="1570"/>
      <c r="AA1142" s="1570"/>
      <c r="AB1142" s="1570"/>
      <c r="AC1142" s="1570"/>
      <c r="AD1142" s="1570"/>
      <c r="AE1142" s="1570"/>
      <c r="AF1142" s="1570"/>
      <c r="AG1142" s="1570"/>
      <c r="AH1142" s="1570"/>
    </row>
    <row r="1143" spans="1:36">
      <c r="A1143" s="1569" t="s">
        <v>495</v>
      </c>
      <c r="B1143" s="1575">
        <f ca="1">B1171+B1183</f>
        <v>-409552.50673556305</v>
      </c>
      <c r="C1143" s="1584"/>
      <c r="D1143" s="1570"/>
      <c r="E1143" s="1588" t="e">
        <f>E1171+E1183</f>
        <v>#REF!</v>
      </c>
      <c r="F1143" s="1584"/>
      <c r="G1143" s="1570"/>
      <c r="H1143" s="1588">
        <f ca="1">H1171+H1183</f>
        <v>-26497.772329804175</v>
      </c>
      <c r="I1143" s="1584"/>
      <c r="J1143" s="1570"/>
      <c r="K1143" s="1588">
        <f ca="1">H1143</f>
        <v>-26497.772329804175</v>
      </c>
      <c r="M1143" s="1665"/>
      <c r="N1143" s="1665"/>
      <c r="O1143" s="1704"/>
      <c r="P1143" s="1571"/>
      <c r="Q1143" s="1571"/>
      <c r="R1143" s="1570"/>
      <c r="S1143" s="1570"/>
      <c r="T1143" s="1570"/>
      <c r="U1143" s="1570"/>
      <c r="V1143" s="1570"/>
      <c r="W1143" s="1570"/>
      <c r="X1143" s="1570"/>
      <c r="Y1143" s="1570"/>
      <c r="Z1143" s="1570"/>
      <c r="AA1143" s="1570"/>
      <c r="AB1143" s="1570"/>
      <c r="AC1143" s="1570"/>
      <c r="AD1143" s="1570"/>
      <c r="AE1143" s="1570"/>
      <c r="AF1143" s="1570"/>
      <c r="AG1143" s="1570"/>
      <c r="AH1143" s="1570"/>
    </row>
    <row r="1144" spans="1:36" ht="15.75" thickBot="1">
      <c r="A1144" s="1585" t="s">
        <v>9</v>
      </c>
      <c r="B1144" s="1727">
        <f ca="1">B1142+B1143</f>
        <v>4281235.4932644367</v>
      </c>
      <c r="C1144" s="1752"/>
      <c r="D1144" s="1753"/>
      <c r="E1144" s="1592" t="e">
        <f>E1142+E1143</f>
        <v>#REF!</v>
      </c>
      <c r="F1144" s="1754"/>
      <c r="G1144" s="1670"/>
      <c r="H1144" s="1592">
        <f ca="1">H1142+H1143</f>
        <v>296227.57767019584</v>
      </c>
      <c r="I1144" s="1754"/>
      <c r="J1144" s="1670"/>
      <c r="K1144" s="1592">
        <f ca="1">K1142+K1143</f>
        <v>296227.57767019584</v>
      </c>
      <c r="M1144" s="1672"/>
      <c r="N1144" s="1746" t="s">
        <v>412</v>
      </c>
      <c r="O1144" s="1673">
        <f>'Rate Spread-Staff'!Q38*1000</f>
        <v>296227.57767019584</v>
      </c>
      <c r="P1144" s="1596">
        <f ca="1">(K1144-H1144)/H1144</f>
        <v>0</v>
      </c>
      <c r="Q1144" s="1604"/>
      <c r="R1144" s="1570"/>
      <c r="S1144" s="1570"/>
      <c r="T1144" s="1570"/>
      <c r="U1144" s="1570"/>
      <c r="V1144" s="1570"/>
      <c r="W1144" s="1570"/>
      <c r="X1144" s="1570"/>
      <c r="Y1144" s="1570"/>
      <c r="Z1144" s="1570"/>
      <c r="AA1144" s="1570"/>
      <c r="AB1144" s="1570"/>
      <c r="AC1144" s="1570"/>
      <c r="AD1144" s="1570"/>
      <c r="AE1144" s="1570"/>
      <c r="AF1144" s="1570"/>
      <c r="AG1144" s="1570"/>
      <c r="AH1144" s="1570"/>
    </row>
    <row r="1145" spans="1:36" ht="15.75" thickTop="1">
      <c r="A1145" s="1585"/>
      <c r="B1145" s="1720"/>
      <c r="C1145" s="1758"/>
      <c r="D1145" s="1683"/>
      <c r="E1145" s="1636"/>
      <c r="F1145" s="1758" t="s">
        <v>31</v>
      </c>
      <c r="G1145" s="1683"/>
      <c r="H1145" s="1636"/>
      <c r="I1145" s="1758" t="s">
        <v>31</v>
      </c>
      <c r="J1145" s="1683"/>
      <c r="K1145" s="1636" t="s">
        <v>31</v>
      </c>
      <c r="M1145" s="1570"/>
      <c r="N1145" s="1749" t="s">
        <v>265</v>
      </c>
      <c r="O1145" s="1602">
        <f ca="1">O1144-K1144</f>
        <v>0</v>
      </c>
      <c r="P1145" s="1741"/>
      <c r="Q1145" s="1571"/>
      <c r="R1145" s="1570"/>
      <c r="S1145" s="1570"/>
      <c r="T1145" s="1570"/>
      <c r="U1145" s="1570"/>
      <c r="V1145" s="1570"/>
      <c r="W1145" s="1570"/>
      <c r="X1145" s="1570"/>
      <c r="Y1145" s="1570"/>
      <c r="Z1145" s="1570"/>
      <c r="AA1145" s="1570"/>
      <c r="AB1145" s="1570"/>
      <c r="AC1145" s="1570"/>
      <c r="AD1145" s="1570"/>
      <c r="AE1145" s="1570"/>
      <c r="AF1145" s="1570"/>
      <c r="AG1145" s="1570"/>
      <c r="AH1145" s="1570"/>
    </row>
    <row r="1146" spans="1:36">
      <c r="A1146" s="1609" t="s">
        <v>500</v>
      </c>
      <c r="B1146" s="1585"/>
      <c r="C1146" s="1585"/>
      <c r="D1146" s="1585"/>
      <c r="E1146" s="1585"/>
      <c r="F1146" s="1585"/>
      <c r="G1146" s="1585"/>
      <c r="H1146" s="1585"/>
      <c r="I1146" s="1585"/>
      <c r="J1146" s="1585"/>
      <c r="K1146" s="1585"/>
      <c r="M1146" s="1678"/>
      <c r="N1146" s="1678"/>
      <c r="O1146" s="1571"/>
      <c r="P1146" s="1571"/>
      <c r="Q1146" s="1571"/>
      <c r="R1146" s="1570"/>
      <c r="S1146" s="1570"/>
      <c r="T1146" s="1570"/>
      <c r="U1146" s="1570"/>
      <c r="V1146" s="1570"/>
      <c r="W1146" s="1570"/>
      <c r="X1146" s="1570"/>
      <c r="Y1146" s="1570"/>
      <c r="Z1146" s="1570"/>
      <c r="AA1146" s="1570"/>
      <c r="AB1146" s="1570"/>
      <c r="AC1146" s="1570"/>
      <c r="AD1146" s="1570"/>
      <c r="AE1146" s="1570"/>
      <c r="AF1146" s="1570"/>
      <c r="AG1146" s="1570"/>
      <c r="AH1146" s="1570"/>
    </row>
    <row r="1147" spans="1:36">
      <c r="A1147" s="1585" t="s">
        <v>501</v>
      </c>
      <c r="B1147" s="1585"/>
      <c r="C1147" s="1585"/>
      <c r="D1147" s="1585"/>
      <c r="E1147" s="1585"/>
      <c r="F1147" s="1585"/>
      <c r="G1147" s="1585"/>
      <c r="H1147" s="1585"/>
      <c r="I1147" s="1585"/>
      <c r="J1147" s="1585"/>
      <c r="K1147" s="1585"/>
      <c r="M1147" s="1570"/>
      <c r="N1147" s="1570"/>
      <c r="O1147" s="1571"/>
      <c r="P1147" s="1571"/>
      <c r="Q1147" s="1571"/>
      <c r="R1147" s="1570"/>
      <c r="S1147" s="1570"/>
      <c r="T1147" s="1570"/>
      <c r="U1147" s="1570"/>
      <c r="V1147" s="1570"/>
      <c r="W1147" s="1570"/>
      <c r="X1147" s="1570"/>
      <c r="Y1147" s="1570"/>
      <c r="Z1147" s="1570"/>
      <c r="AA1147" s="1570"/>
      <c r="AB1147" s="1570"/>
      <c r="AC1147" s="1570"/>
      <c r="AD1147" s="1570"/>
      <c r="AE1147" s="1570"/>
      <c r="AF1147" s="1570"/>
      <c r="AG1147" s="1570"/>
      <c r="AH1147" s="1570"/>
    </row>
    <row r="1148" spans="1:36">
      <c r="A1148" s="1585"/>
      <c r="B1148" s="1585"/>
      <c r="C1148" s="1723"/>
      <c r="D1148" s="1585"/>
      <c r="E1148" s="1585"/>
      <c r="F1148" s="1723"/>
      <c r="G1148" s="1585"/>
      <c r="H1148" s="1585"/>
      <c r="I1148" s="1723"/>
      <c r="J1148" s="1585"/>
      <c r="K1148" s="1585"/>
      <c r="M1148" s="1570"/>
      <c r="N1148" s="1570"/>
      <c r="O1148" s="1571"/>
      <c r="P1148" s="1571"/>
      <c r="Q1148" s="1571"/>
      <c r="R1148" s="1570"/>
      <c r="S1148" s="1570"/>
      <c r="T1148" s="1570"/>
      <c r="U1148" s="1570"/>
      <c r="V1148" s="1570"/>
      <c r="W1148" s="1570"/>
      <c r="X1148" s="1570"/>
      <c r="Y1148" s="1570"/>
      <c r="Z1148" s="1570"/>
      <c r="AA1148" s="1570"/>
      <c r="AB1148" s="1570"/>
      <c r="AC1148" s="1570"/>
      <c r="AD1148" s="1570"/>
      <c r="AE1148" s="1570"/>
      <c r="AF1148" s="1570"/>
      <c r="AG1148" s="1570"/>
      <c r="AH1148" s="1570"/>
    </row>
    <row r="1149" spans="1:36">
      <c r="A1149" s="1585" t="s">
        <v>491</v>
      </c>
      <c r="B1149" s="1610"/>
      <c r="C1149" s="1614"/>
      <c r="D1149" s="1585"/>
      <c r="E1149" s="1577">
        <f>4.1+2026.19+86.47+232.2+36.89</f>
        <v>2385.8499999999995</v>
      </c>
      <c r="F1149" s="1614"/>
      <c r="G1149" s="1585"/>
      <c r="H1149" s="1577">
        <f>2266.75</f>
        <v>2266.75</v>
      </c>
      <c r="I1149" s="1614"/>
      <c r="J1149" s="1585"/>
      <c r="K1149" s="1577">
        <f>H1149</f>
        <v>2266.75</v>
      </c>
      <c r="M1149" s="1570"/>
      <c r="N1149" s="1570"/>
      <c r="O1149" s="1571"/>
      <c r="P1149" s="1571"/>
      <c r="Q1149" s="1571"/>
      <c r="R1149" s="1570"/>
      <c r="S1149" s="1570"/>
      <c r="T1149" s="1570"/>
      <c r="U1149" s="1570"/>
      <c r="V1149" s="1570"/>
      <c r="W1149" s="1570"/>
      <c r="X1149" s="1570"/>
      <c r="Y1149" s="1570"/>
      <c r="Z1149" s="1570"/>
      <c r="AA1149" s="1570"/>
      <c r="AB1149" s="1570"/>
      <c r="AC1149" s="1570"/>
      <c r="AD1149" s="1570"/>
      <c r="AE1149" s="1570"/>
      <c r="AF1149" s="1570"/>
      <c r="AG1149" s="1570"/>
      <c r="AH1149" s="1570"/>
    </row>
    <row r="1150" spans="1:36">
      <c r="A1150" s="1585" t="s">
        <v>598</v>
      </c>
      <c r="B1150" s="1610"/>
      <c r="C1150" s="1614"/>
      <c r="D1150" s="1585"/>
      <c r="E1150" s="1577"/>
      <c r="F1150" s="1614"/>
      <c r="G1150" s="1585"/>
      <c r="H1150" s="1577"/>
      <c r="I1150" s="1614"/>
      <c r="J1150" s="1585"/>
      <c r="K1150" s="1577"/>
      <c r="M1150" s="1570"/>
      <c r="N1150" s="1570"/>
      <c r="R1150" s="1678">
        <f ca="1">O1144-K1144</f>
        <v>0</v>
      </c>
      <c r="S1150" s="1571"/>
      <c r="T1150" s="1570"/>
      <c r="U1150" s="1570"/>
      <c r="V1150" s="1570"/>
      <c r="W1150" s="1570"/>
      <c r="X1150" s="1570"/>
      <c r="Y1150" s="1570"/>
      <c r="Z1150" s="1570"/>
      <c r="AA1150" s="1570"/>
      <c r="AB1150" s="1570"/>
      <c r="AC1150" s="1570"/>
      <c r="AD1150" s="1570"/>
      <c r="AE1150" s="1570"/>
      <c r="AF1150" s="1570"/>
      <c r="AG1150" s="1570"/>
      <c r="AH1150" s="1570"/>
    </row>
    <row r="1151" spans="1:36">
      <c r="A1151" s="1569" t="s">
        <v>611</v>
      </c>
      <c r="B1151" s="1610">
        <f>4248+50</f>
        <v>4298</v>
      </c>
      <c r="C1151" s="1614">
        <v>2.0099999999999998</v>
      </c>
      <c r="D1151" s="1585"/>
      <c r="E1151" s="1577">
        <f t="shared" ref="E1151:E1156" si="165">C1151*B1151</f>
        <v>8638.98</v>
      </c>
      <c r="F1151" s="1614">
        <v>2.12</v>
      </c>
      <c r="G1151" s="1585"/>
      <c r="H1151" s="1577">
        <f>B1151*F1151</f>
        <v>9111.76</v>
      </c>
      <c r="I1151" s="1614">
        <f>F1151</f>
        <v>2.12</v>
      </c>
      <c r="J1151" s="1585"/>
      <c r="K1151" s="1577">
        <f t="shared" ref="K1151:K1156" si="166">I1151*$B1151</f>
        <v>9111.76</v>
      </c>
      <c r="M1151" s="1570"/>
      <c r="N1151" s="1570"/>
      <c r="R1151" s="1571">
        <v>31</v>
      </c>
      <c r="S1151" s="1759">
        <f t="shared" ref="S1151:S1156" si="167">C1151/R1151</f>
        <v>6.4838709677419351E-2</v>
      </c>
      <c r="T1151" s="1570"/>
      <c r="U1151" s="1570"/>
      <c r="V1151" s="1570" t="s">
        <v>31</v>
      </c>
      <c r="W1151" s="1570"/>
      <c r="X1151" s="1570"/>
      <c r="Y1151" s="1570"/>
      <c r="Z1151" s="1570"/>
      <c r="AA1151" s="1570"/>
      <c r="AB1151" s="1570"/>
      <c r="AC1151" s="1570"/>
      <c r="AD1151" s="1570"/>
      <c r="AE1151" s="1570"/>
      <c r="AF1151" s="1570"/>
      <c r="AG1151" s="1570"/>
      <c r="AH1151" s="1570"/>
    </row>
    <row r="1152" spans="1:36">
      <c r="A1152" s="1569" t="s">
        <v>612</v>
      </c>
      <c r="B1152" s="1610">
        <f>8156</f>
        <v>8156</v>
      </c>
      <c r="C1152" s="1614">
        <v>2.85</v>
      </c>
      <c r="D1152" s="1585"/>
      <c r="E1152" s="1577">
        <f t="shared" si="165"/>
        <v>23244.600000000002</v>
      </c>
      <c r="F1152" s="1614">
        <v>3</v>
      </c>
      <c r="G1152" s="1585"/>
      <c r="H1152" s="1577">
        <f t="shared" ref="H1152:H1156" si="168">B1152*F1152</f>
        <v>24468</v>
      </c>
      <c r="I1152" s="1614">
        <f t="shared" ref="I1152:I1156" si="169">F1152</f>
        <v>3</v>
      </c>
      <c r="J1152" s="1585"/>
      <c r="K1152" s="1577">
        <f t="shared" si="166"/>
        <v>24468</v>
      </c>
      <c r="M1152" s="1570"/>
      <c r="N1152" s="1570"/>
      <c r="R1152" s="1571">
        <v>44</v>
      </c>
      <c r="S1152" s="1759">
        <f t="shared" si="167"/>
        <v>6.4772727272727273E-2</v>
      </c>
      <c r="T1152" s="1570"/>
      <c r="U1152" s="1570"/>
      <c r="V1152" s="1570"/>
      <c r="W1152" s="1570"/>
      <c r="X1152" s="1570"/>
      <c r="Y1152" s="1570"/>
      <c r="Z1152" s="1570"/>
      <c r="AA1152" s="1570"/>
      <c r="AB1152" s="1570"/>
      <c r="AC1152" s="1570"/>
      <c r="AD1152" s="1570"/>
      <c r="AE1152" s="1570"/>
      <c r="AF1152" s="1570"/>
      <c r="AG1152" s="1570"/>
      <c r="AH1152" s="1570"/>
    </row>
    <row r="1153" spans="1:36">
      <c r="A1153" s="1569" t="s">
        <v>613</v>
      </c>
      <c r="B1153" s="1610">
        <f>84</f>
        <v>84</v>
      </c>
      <c r="C1153" s="1614">
        <v>4.1399999999999997</v>
      </c>
      <c r="D1153" s="1585"/>
      <c r="E1153" s="1577">
        <f t="shared" si="165"/>
        <v>347.76</v>
      </c>
      <c r="F1153" s="1614">
        <v>4.3600000000000003</v>
      </c>
      <c r="G1153" s="1585"/>
      <c r="H1153" s="1577">
        <f t="shared" si="168"/>
        <v>366.24</v>
      </c>
      <c r="I1153" s="1614">
        <f t="shared" si="169"/>
        <v>4.3600000000000003</v>
      </c>
      <c r="J1153" s="1585"/>
      <c r="K1153" s="1577">
        <f t="shared" si="166"/>
        <v>366.24</v>
      </c>
      <c r="M1153" s="1570"/>
      <c r="N1153" s="1570"/>
      <c r="R1153" s="1571">
        <v>64</v>
      </c>
      <c r="S1153" s="1759">
        <f t="shared" si="167"/>
        <v>6.4687499999999995E-2</v>
      </c>
      <c r="T1153" s="1570"/>
      <c r="U1153" s="1570"/>
      <c r="V1153" s="1570"/>
      <c r="W1153" s="1570"/>
      <c r="X1153" s="1570"/>
      <c r="Y1153" s="1570"/>
      <c r="Z1153" s="1570"/>
      <c r="AA1153" s="1570"/>
      <c r="AB1153" s="1570"/>
      <c r="AC1153" s="1570"/>
      <c r="AD1153" s="1570"/>
      <c r="AE1153" s="1570"/>
      <c r="AF1153" s="1570"/>
      <c r="AG1153" s="1570"/>
      <c r="AH1153" s="1570"/>
    </row>
    <row r="1154" spans="1:36">
      <c r="A1154" s="1569" t="s">
        <v>614</v>
      </c>
      <c r="B1154" s="1610">
        <f>11718</f>
        <v>11718</v>
      </c>
      <c r="C1154" s="1614">
        <v>5.51</v>
      </c>
      <c r="D1154" s="1585"/>
      <c r="E1154" s="1577">
        <f t="shared" si="165"/>
        <v>64566.18</v>
      </c>
      <c r="F1154" s="1614">
        <v>5.81</v>
      </c>
      <c r="G1154" s="1585"/>
      <c r="H1154" s="1577">
        <f t="shared" si="168"/>
        <v>68081.58</v>
      </c>
      <c r="I1154" s="1614">
        <f t="shared" si="169"/>
        <v>5.81</v>
      </c>
      <c r="J1154" s="1585"/>
      <c r="K1154" s="1577">
        <f t="shared" si="166"/>
        <v>68081.58</v>
      </c>
      <c r="M1154" s="1570"/>
      <c r="N1154" s="1570"/>
      <c r="R1154" s="1571">
        <v>85</v>
      </c>
      <c r="S1154" s="1759">
        <f t="shared" si="167"/>
        <v>6.4823529411764697E-2</v>
      </c>
      <c r="T1154" s="1570"/>
      <c r="U1154" s="1570"/>
      <c r="V1154" s="1570"/>
      <c r="W1154" s="1570"/>
      <c r="X1154" s="1570"/>
      <c r="Y1154" s="1570"/>
      <c r="Z1154" s="1570"/>
      <c r="AA1154" s="1570"/>
      <c r="AB1154" s="1570"/>
      <c r="AC1154" s="1570"/>
      <c r="AD1154" s="1570"/>
      <c r="AE1154" s="1570"/>
      <c r="AF1154" s="1570"/>
      <c r="AG1154" s="1570"/>
      <c r="AH1154" s="1570"/>
    </row>
    <row r="1155" spans="1:36">
      <c r="A1155" s="1569" t="s">
        <v>615</v>
      </c>
      <c r="B1155" s="1610">
        <f>4625</f>
        <v>4625</v>
      </c>
      <c r="C1155" s="1614">
        <v>7.46</v>
      </c>
      <c r="D1155" s="1585"/>
      <c r="E1155" s="1577">
        <f t="shared" si="165"/>
        <v>34502.5</v>
      </c>
      <c r="F1155" s="1614">
        <v>7.86</v>
      </c>
      <c r="G1155" s="1585"/>
      <c r="H1155" s="1577">
        <f t="shared" si="168"/>
        <v>36352.5</v>
      </c>
      <c r="I1155" s="1614">
        <f t="shared" si="169"/>
        <v>7.86</v>
      </c>
      <c r="J1155" s="1585"/>
      <c r="K1155" s="1577">
        <f t="shared" si="166"/>
        <v>36352.5</v>
      </c>
      <c r="M1155" s="1570"/>
      <c r="N1155" s="1570"/>
      <c r="R1155" s="1571">
        <v>115</v>
      </c>
      <c r="S1155" s="1759">
        <f t="shared" si="167"/>
        <v>6.4869565217391303E-2</v>
      </c>
      <c r="T1155" s="1570"/>
      <c r="U1155" s="1570"/>
      <c r="V1155" s="1570"/>
      <c r="W1155" s="1570"/>
      <c r="X1155" s="1570"/>
      <c r="Y1155" s="1570"/>
      <c r="Z1155" s="1570"/>
      <c r="AA1155" s="1570"/>
      <c r="AB1155" s="1570"/>
      <c r="AC1155" s="1570"/>
      <c r="AD1155" s="1570"/>
      <c r="AE1155" s="1570"/>
      <c r="AF1155" s="1570"/>
      <c r="AG1155" s="1570"/>
      <c r="AH1155" s="1570"/>
    </row>
    <row r="1156" spans="1:36">
      <c r="A1156" s="1569" t="s">
        <v>616</v>
      </c>
      <c r="B1156" s="1610">
        <f>1716</f>
        <v>1716</v>
      </c>
      <c r="C1156" s="1614">
        <v>11.41</v>
      </c>
      <c r="D1156" s="1585"/>
      <c r="E1156" s="1577">
        <f t="shared" si="165"/>
        <v>19579.560000000001</v>
      </c>
      <c r="F1156" s="1614">
        <v>12.03</v>
      </c>
      <c r="G1156" s="1585"/>
      <c r="H1156" s="1577">
        <f t="shared" si="168"/>
        <v>20643.48</v>
      </c>
      <c r="I1156" s="1614">
        <f t="shared" si="169"/>
        <v>12.03</v>
      </c>
      <c r="J1156" s="1585"/>
      <c r="K1156" s="1577">
        <f t="shared" si="166"/>
        <v>20643.48</v>
      </c>
      <c r="M1156" s="1570"/>
      <c r="P1156" s="1604" t="s">
        <v>31</v>
      </c>
      <c r="Q1156" s="1597"/>
      <c r="R1156" s="1571">
        <v>176</v>
      </c>
      <c r="S1156" s="1759">
        <f t="shared" si="167"/>
        <v>6.4829545454545459E-2</v>
      </c>
      <c r="T1156" s="1570"/>
      <c r="U1156" s="1570"/>
      <c r="V1156" s="1570"/>
      <c r="W1156" s="1570"/>
      <c r="X1156" s="1570"/>
      <c r="Y1156" s="1570"/>
      <c r="Z1156" s="1570"/>
      <c r="AA1156" s="1570"/>
      <c r="AB1156" s="1570"/>
      <c r="AC1156" s="1570"/>
      <c r="AD1156" s="1570"/>
      <c r="AE1156" s="1570"/>
      <c r="AF1156" s="1570"/>
      <c r="AG1156" s="1570"/>
      <c r="AH1156" s="1570"/>
    </row>
    <row r="1157" spans="1:36">
      <c r="B1157" s="1610"/>
      <c r="C1157" s="1614"/>
      <c r="D1157" s="1585"/>
      <c r="E1157" s="1577"/>
      <c r="F1157" s="1614"/>
      <c r="G1157" s="1585"/>
      <c r="H1157" s="1577"/>
      <c r="I1157" s="1614"/>
      <c r="J1157" s="1585"/>
      <c r="K1157" s="1577"/>
      <c r="M1157" s="1570"/>
      <c r="N1157" s="1570"/>
      <c r="R1157" s="1571"/>
      <c r="S1157" s="1571"/>
      <c r="T1157" s="1570"/>
      <c r="U1157" s="1570"/>
      <c r="V1157" s="1570"/>
      <c r="W1157" s="1570"/>
      <c r="X1157" s="1570"/>
      <c r="Y1157" s="1570"/>
      <c r="Z1157" s="1570"/>
      <c r="AA1157" s="1570"/>
      <c r="AB1157" s="1570"/>
      <c r="AC1157" s="1570"/>
      <c r="AD1157" s="1570"/>
      <c r="AE1157" s="1570"/>
      <c r="AF1157" s="1570"/>
      <c r="AG1157" s="1570"/>
      <c r="AH1157" s="1570"/>
    </row>
    <row r="1158" spans="1:36">
      <c r="A1158" s="1569" t="s">
        <v>599</v>
      </c>
      <c r="B1158" s="1610"/>
      <c r="C1158" s="1614" t="s">
        <v>31</v>
      </c>
      <c r="D1158" s="1585"/>
      <c r="E1158" s="1577"/>
      <c r="F1158" s="1614" t="s">
        <v>31</v>
      </c>
      <c r="G1158" s="1585"/>
      <c r="H1158" s="1577"/>
      <c r="I1158" s="1614" t="s">
        <v>31</v>
      </c>
      <c r="J1158" s="1585"/>
      <c r="K1158" s="1577"/>
      <c r="M1158" s="1570"/>
      <c r="N1158" s="1570"/>
      <c r="R1158" s="1571"/>
      <c r="S1158" s="1571"/>
      <c r="T1158" s="1570"/>
      <c r="U1158" s="1570"/>
      <c r="V1158" s="1570"/>
      <c r="W1158" s="1570"/>
      <c r="X1158" s="1570"/>
      <c r="Y1158" s="1570"/>
      <c r="Z1158" s="1570"/>
      <c r="AA1158" s="1570"/>
      <c r="AB1158" s="1570"/>
      <c r="AC1158" s="1570"/>
      <c r="AD1158" s="1570"/>
      <c r="AE1158" s="1570"/>
      <c r="AF1158" s="1570"/>
      <c r="AG1158" s="1570"/>
      <c r="AH1158" s="1570"/>
    </row>
    <row r="1159" spans="1:36">
      <c r="A1159" s="1569" t="s">
        <v>617</v>
      </c>
      <c r="B1159" s="1610">
        <v>12</v>
      </c>
      <c r="C1159" s="1614">
        <v>2.5299999999999998</v>
      </c>
      <c r="D1159" s="1585"/>
      <c r="E1159" s="1577">
        <f>C1159*B1159</f>
        <v>30.36</v>
      </c>
      <c r="F1159" s="1614">
        <v>2.67</v>
      </c>
      <c r="G1159" s="1585"/>
      <c r="H1159" s="1577">
        <f t="shared" ref="H1159:H1163" si="170">B1159*F1159</f>
        <v>32.04</v>
      </c>
      <c r="I1159" s="1614">
        <f>F1159</f>
        <v>2.67</v>
      </c>
      <c r="J1159" s="1585"/>
      <c r="K1159" s="1577">
        <f>I1159*$B1159</f>
        <v>32.04</v>
      </c>
      <c r="M1159" s="1570"/>
      <c r="N1159" s="1570"/>
      <c r="R1159" s="1571">
        <v>39</v>
      </c>
      <c r="S1159" s="1759">
        <f>C1159/R1159</f>
        <v>6.4871794871794869E-2</v>
      </c>
      <c r="T1159" s="1570"/>
      <c r="U1159" s="1570"/>
      <c r="V1159" s="1570"/>
      <c r="W1159" s="1570"/>
      <c r="X1159" s="1570"/>
      <c r="Y1159" s="1570"/>
      <c r="Z1159" s="1570"/>
      <c r="AA1159" s="1570"/>
      <c r="AB1159" s="1570"/>
      <c r="AC1159" s="1570"/>
      <c r="AD1159" s="1570"/>
      <c r="AE1159" s="1570"/>
      <c r="AF1159" s="1570"/>
      <c r="AG1159" s="1570"/>
      <c r="AH1159" s="1570"/>
    </row>
    <row r="1160" spans="1:36">
      <c r="A1160" s="1569" t="s">
        <v>618</v>
      </c>
      <c r="B1160" s="1610">
        <v>0</v>
      </c>
      <c r="C1160" s="1614">
        <v>4.41</v>
      </c>
      <c r="D1160" s="1585"/>
      <c r="E1160" s="1577">
        <f>C1160*B1160</f>
        <v>0</v>
      </c>
      <c r="F1160" s="1614">
        <v>4.6500000000000004</v>
      </c>
      <c r="G1160" s="1585"/>
      <c r="H1160" s="1577">
        <f t="shared" si="170"/>
        <v>0</v>
      </c>
      <c r="I1160" s="1614">
        <f t="shared" ref="I1160:I1163" si="171">F1160</f>
        <v>4.6500000000000004</v>
      </c>
      <c r="J1160" s="1585"/>
      <c r="K1160" s="1577">
        <f>I1160*$B1160</f>
        <v>0</v>
      </c>
      <c r="M1160" s="1570"/>
      <c r="N1160" s="1570"/>
      <c r="R1160" s="1571">
        <v>68</v>
      </c>
      <c r="S1160" s="1759">
        <f>C1160/R1160</f>
        <v>6.4852941176470585E-2</v>
      </c>
      <c r="T1160" s="1570"/>
      <c r="U1160" s="1570"/>
      <c r="V1160" s="1570"/>
      <c r="W1160" s="1570"/>
      <c r="X1160" s="1570"/>
      <c r="Y1160" s="1570"/>
      <c r="Z1160" s="1570"/>
      <c r="AA1160" s="1570"/>
      <c r="AB1160" s="1570"/>
      <c r="AC1160" s="1570"/>
      <c r="AD1160" s="1570"/>
      <c r="AE1160" s="1570"/>
      <c r="AF1160" s="1570"/>
      <c r="AG1160" s="1570"/>
      <c r="AH1160" s="1570"/>
    </row>
    <row r="1161" spans="1:36">
      <c r="A1161" s="1569" t="s">
        <v>619</v>
      </c>
      <c r="B1161" s="1610">
        <v>0</v>
      </c>
      <c r="C1161" s="1614">
        <v>6.1</v>
      </c>
      <c r="D1161" s="1585"/>
      <c r="E1161" s="1577">
        <f>C1161*B1161</f>
        <v>0</v>
      </c>
      <c r="F1161" s="1614">
        <v>6.43</v>
      </c>
      <c r="G1161" s="1585"/>
      <c r="H1161" s="1577">
        <f t="shared" si="170"/>
        <v>0</v>
      </c>
      <c r="I1161" s="1614">
        <f t="shared" si="171"/>
        <v>6.43</v>
      </c>
      <c r="J1161" s="1585"/>
      <c r="K1161" s="1577">
        <f>I1161*$B1161</f>
        <v>0</v>
      </c>
      <c r="M1161" s="1570"/>
      <c r="N1161" s="1570" t="s">
        <v>31</v>
      </c>
      <c r="R1161" s="1571">
        <v>94</v>
      </c>
      <c r="S1161" s="1759">
        <f>C1161/R1161</f>
        <v>6.4893617021276592E-2</v>
      </c>
      <c r="T1161" s="1570"/>
      <c r="U1161" s="1570"/>
      <c r="V1161" s="1570"/>
      <c r="W1161" s="1570"/>
      <c r="X1161" s="1570"/>
      <c r="Y1161" s="1570"/>
      <c r="Z1161" s="1570"/>
      <c r="AA1161" s="1570"/>
      <c r="AB1161" s="1570"/>
      <c r="AC1161" s="1570"/>
      <c r="AD1161" s="1570"/>
      <c r="AE1161" s="1570"/>
      <c r="AF1161" s="1570"/>
      <c r="AG1161" s="1570"/>
      <c r="AH1161" s="1570"/>
    </row>
    <row r="1162" spans="1:36">
      <c r="A1162" s="1569" t="s">
        <v>620</v>
      </c>
      <c r="B1162" s="1610">
        <v>0</v>
      </c>
      <c r="C1162" s="1614">
        <v>9.66</v>
      </c>
      <c r="D1162" s="1585"/>
      <c r="E1162" s="1577">
        <f>C1162*B1162</f>
        <v>0</v>
      </c>
      <c r="F1162" s="1614">
        <v>10.18</v>
      </c>
      <c r="G1162" s="1585"/>
      <c r="H1162" s="1577">
        <f t="shared" si="170"/>
        <v>0</v>
      </c>
      <c r="I1162" s="1614">
        <f t="shared" si="171"/>
        <v>10.18</v>
      </c>
      <c r="J1162" s="1585"/>
      <c r="K1162" s="1577">
        <f>I1162*$B1162</f>
        <v>0</v>
      </c>
      <c r="M1162" s="1570"/>
      <c r="N1162" s="1570"/>
      <c r="R1162" s="1571">
        <v>149</v>
      </c>
      <c r="S1162" s="1759">
        <f>C1162/R1162</f>
        <v>6.4832214765100676E-2</v>
      </c>
      <c r="T1162" s="1570"/>
      <c r="U1162" s="1570"/>
      <c r="V1162" s="1570"/>
      <c r="W1162" s="1570"/>
      <c r="X1162" s="1570"/>
      <c r="Y1162" s="1570"/>
      <c r="Z1162" s="1570"/>
      <c r="AA1162" s="1570"/>
      <c r="AB1162" s="1570"/>
      <c r="AC1162" s="1570"/>
      <c r="AD1162" s="1570"/>
      <c r="AE1162" s="1570"/>
      <c r="AF1162" s="1570"/>
      <c r="AG1162" s="1570"/>
      <c r="AH1162" s="1570"/>
    </row>
    <row r="1163" spans="1:36">
      <c r="A1163" s="1569" t="s">
        <v>621</v>
      </c>
      <c r="B1163" s="1610">
        <v>0</v>
      </c>
      <c r="C1163" s="1614">
        <v>22.95</v>
      </c>
      <c r="D1163" s="1585"/>
      <c r="E1163" s="1577">
        <f>C1163*B1163</f>
        <v>0</v>
      </c>
      <c r="F1163" s="1614">
        <v>24.19</v>
      </c>
      <c r="G1163" s="1585"/>
      <c r="H1163" s="1577">
        <f t="shared" si="170"/>
        <v>0</v>
      </c>
      <c r="I1163" s="1614">
        <f t="shared" si="171"/>
        <v>24.19</v>
      </c>
      <c r="J1163" s="1585"/>
      <c r="K1163" s="1577">
        <f>I1163*$B1163</f>
        <v>0</v>
      </c>
      <c r="M1163" s="1570"/>
      <c r="N1163" s="1570"/>
      <c r="R1163" s="1571">
        <v>354</v>
      </c>
      <c r="S1163" s="1759">
        <f>C1163/R1163</f>
        <v>6.4830508474576276E-2</v>
      </c>
      <c r="T1163" s="1570" t="s">
        <v>31</v>
      </c>
      <c r="U1163" s="1570"/>
      <c r="V1163" s="1570"/>
      <c r="W1163" s="1570"/>
      <c r="X1163" s="1570"/>
      <c r="Y1163" s="1570"/>
      <c r="Z1163" s="1570"/>
      <c r="AA1163" s="1570"/>
      <c r="AB1163" s="1570"/>
      <c r="AC1163" s="1570"/>
      <c r="AD1163" s="1570"/>
      <c r="AE1163" s="1570"/>
      <c r="AF1163" s="1570"/>
      <c r="AG1163" s="1570"/>
      <c r="AH1163" s="1570"/>
    </row>
    <row r="1164" spans="1:36">
      <c r="A1164" s="1585"/>
      <c r="B1164" s="1610"/>
      <c r="C1164" s="1614"/>
      <c r="D1164" s="1585"/>
      <c r="E1164" s="1577"/>
      <c r="F1164" s="1614"/>
      <c r="G1164" s="1585"/>
      <c r="H1164" s="1577"/>
      <c r="I1164" s="1614"/>
      <c r="J1164" s="1585"/>
      <c r="K1164" s="1577"/>
      <c r="M1164" s="1570"/>
      <c r="N1164" s="1570"/>
      <c r="R1164" s="1571"/>
      <c r="S1164" s="1571"/>
      <c r="T1164" s="1570"/>
      <c r="U1164" s="1570"/>
      <c r="V1164" s="1570"/>
      <c r="W1164" s="1570"/>
      <c r="X1164" s="1570"/>
      <c r="Y1164" s="1570"/>
      <c r="Z1164" s="1570"/>
      <c r="AA1164" s="1570"/>
      <c r="AB1164" s="1570"/>
      <c r="AC1164" s="1570"/>
      <c r="AD1164" s="1570"/>
      <c r="AE1164" s="1570"/>
      <c r="AF1164" s="1570"/>
      <c r="AG1164" s="1570"/>
      <c r="AH1164" s="1570"/>
    </row>
    <row r="1165" spans="1:36">
      <c r="A1165" s="1585" t="s">
        <v>622</v>
      </c>
      <c r="B1165" s="1575">
        <f>423620+327074+2484+134160+80496+7032+118656+4944+127+39284+45855+2520+2448+6318</f>
        <v>1195018</v>
      </c>
      <c r="C1165" s="1736">
        <v>6.4820000000000002</v>
      </c>
      <c r="D1165" s="1585" t="s">
        <v>377</v>
      </c>
      <c r="E1165" s="1750">
        <f>ROUND(B1165*C1165/100,0)</f>
        <v>77461</v>
      </c>
      <c r="F1165" s="1722">
        <v>6.8330000000000002</v>
      </c>
      <c r="G1165" s="1585" t="s">
        <v>377</v>
      </c>
      <c r="H1165" s="1750">
        <f>ROUND(F1165*B1165/100,0)</f>
        <v>81656</v>
      </c>
      <c r="I1165" s="1722">
        <f>F1165</f>
        <v>6.8330000000000002</v>
      </c>
      <c r="J1165" s="1585" t="s">
        <v>377</v>
      </c>
      <c r="K1165" s="1577">
        <f>ROUND(I1165*B1165/100,0)</f>
        <v>81656</v>
      </c>
      <c r="M1165" s="1570"/>
      <c r="N1165" s="1570"/>
      <c r="R1165" s="1571"/>
      <c r="S1165" s="1571"/>
      <c r="T1165" s="1570"/>
      <c r="U1165" s="1570"/>
      <c r="V1165" s="1570"/>
      <c r="W1165" s="1570"/>
      <c r="X1165" s="1570"/>
      <c r="Y1165" s="1570"/>
      <c r="Z1165" s="1570"/>
      <c r="AA1165" s="1570"/>
      <c r="AB1165" s="1570"/>
      <c r="AC1165" s="1570"/>
      <c r="AD1165" s="1570"/>
      <c r="AE1165" s="1570"/>
      <c r="AF1165" s="1570"/>
      <c r="AG1165" s="1570"/>
      <c r="AH1165" s="1570"/>
    </row>
    <row r="1166" spans="1:36">
      <c r="A1166" s="1585" t="s">
        <v>623</v>
      </c>
      <c r="B1166" s="1575">
        <f>3523707-B1165</f>
        <v>2328689</v>
      </c>
      <c r="C1166" s="1600" t="s">
        <v>31</v>
      </c>
      <c r="D1166" s="1585" t="s">
        <v>31</v>
      </c>
      <c r="E1166" s="1750" t="s">
        <v>31</v>
      </c>
      <c r="F1166" s="1600">
        <v>0</v>
      </c>
      <c r="G1166" s="1585" t="s">
        <v>377</v>
      </c>
      <c r="H1166" s="1750">
        <f>ROUND(F1166*B1166/100,0)</f>
        <v>0</v>
      </c>
      <c r="I1166" s="1600">
        <v>0</v>
      </c>
      <c r="J1166" s="1585" t="s">
        <v>377</v>
      </c>
      <c r="K1166" s="1577">
        <v>0</v>
      </c>
      <c r="M1166" s="1570"/>
      <c r="N1166" s="1570"/>
      <c r="R1166" s="1571"/>
      <c r="S1166" s="1571">
        <v>211950</v>
      </c>
      <c r="T1166" s="1577">
        <f>B1166*0.06146</f>
        <v>143121.22594</v>
      </c>
      <c r="U1166" s="1577"/>
      <c r="V1166" s="1570"/>
      <c r="W1166" s="1570"/>
      <c r="X1166" s="1570"/>
      <c r="Y1166" s="1570"/>
      <c r="Z1166" s="1570"/>
      <c r="AA1166" s="1570"/>
      <c r="AB1166" s="1570"/>
      <c r="AC1166" s="1570"/>
      <c r="AD1166" s="1570"/>
      <c r="AE1166" s="1570"/>
      <c r="AF1166" s="1570"/>
      <c r="AG1166" s="1570"/>
      <c r="AH1166" s="1570"/>
    </row>
    <row r="1167" spans="1:36">
      <c r="A1167" s="1585" t="s">
        <v>365</v>
      </c>
      <c r="B1167" s="1575">
        <f>1439</f>
        <v>1439</v>
      </c>
      <c r="C1167" s="1751"/>
      <c r="D1167" s="1585"/>
      <c r="E1167" s="1577"/>
      <c r="F1167" s="1751"/>
      <c r="G1167" s="1585"/>
      <c r="H1167" s="1577"/>
      <c r="I1167" s="1751"/>
      <c r="J1167" s="1585"/>
      <c r="K1167" s="1577"/>
      <c r="M1167" s="1570"/>
      <c r="N1167" s="1570"/>
      <c r="O1167" s="1571"/>
      <c r="P1167" s="1571"/>
      <c r="Q1167" s="1571"/>
      <c r="R1167" s="1570"/>
      <c r="S1167" s="1570"/>
      <c r="T1167" s="1570"/>
      <c r="U1167" s="1570"/>
      <c r="V1167" s="1570"/>
      <c r="W1167" s="1570"/>
      <c r="X1167" s="1570"/>
      <c r="Y1167" s="1570"/>
      <c r="Z1167" s="1570"/>
      <c r="AA1167" s="1570"/>
      <c r="AB1167" s="1570"/>
      <c r="AC1167" s="1570"/>
      <c r="AD1167" s="1570"/>
      <c r="AE1167" s="1570"/>
      <c r="AF1167" s="1570"/>
      <c r="AG1167" s="1570"/>
      <c r="AH1167" s="1570"/>
    </row>
    <row r="1168" spans="1:36" s="1621" customFormat="1">
      <c r="A1168" s="1621" t="s">
        <v>938</v>
      </c>
      <c r="B1168" s="1688">
        <f>B1170</f>
        <v>3523707</v>
      </c>
      <c r="C1168" s="1623"/>
      <c r="D1168" s="1624"/>
      <c r="E1168" s="1625"/>
      <c r="F1168" s="1623"/>
      <c r="G1168" s="1624"/>
      <c r="H1168" s="1625"/>
      <c r="I1168" s="1626">
        <v>0</v>
      </c>
      <c r="J1168" s="1627" t="s">
        <v>377</v>
      </c>
      <c r="K1168" s="1689">
        <f>ROUND(I1168*$B1168/100,0)</f>
        <v>0</v>
      </c>
      <c r="M1168" s="1651"/>
      <c r="O1168" s="1652"/>
      <c r="R1168" s="1653"/>
      <c r="S1168" s="1653"/>
      <c r="X1168" s="1624"/>
      <c r="Y1168" s="1624"/>
      <c r="Z1168" s="1624"/>
      <c r="AA1168" s="1624"/>
      <c r="AB1168" s="1624"/>
      <c r="AC1168" s="1624"/>
      <c r="AD1168" s="1624"/>
      <c r="AE1168" s="1624"/>
      <c r="AF1168" s="1624"/>
      <c r="AG1168" s="1624"/>
      <c r="AH1168" s="1624"/>
      <c r="AJ1168" s="1651"/>
    </row>
    <row r="1169" spans="1:36">
      <c r="A1169" s="1569" t="s">
        <v>914</v>
      </c>
      <c r="B1169" s="1575"/>
      <c r="C1169" s="1584"/>
      <c r="D1169" s="1570"/>
      <c r="E1169" s="1577"/>
      <c r="F1169" s="1722">
        <f>F1165</f>
        <v>6.8330000000000002</v>
      </c>
      <c r="G1169" s="1585" t="s">
        <v>377</v>
      </c>
      <c r="H1169" s="1577"/>
      <c r="I1169" s="1722">
        <f>I1165+I1168</f>
        <v>6.8330000000000002</v>
      </c>
      <c r="J1169" s="1585" t="s">
        <v>377</v>
      </c>
      <c r="K1169" s="1574"/>
      <c r="M1169" s="1578"/>
      <c r="O1169" s="1579"/>
      <c r="P1169" s="1604" t="s">
        <v>31</v>
      </c>
      <c r="Q1169" s="1569"/>
      <c r="R1169" s="1580"/>
      <c r="S1169" s="1580"/>
      <c r="X1169" s="1570"/>
      <c r="Y1169" s="1570"/>
      <c r="Z1169" s="1570"/>
      <c r="AA1169" s="1570"/>
      <c r="AB1169" s="1570"/>
      <c r="AC1169" s="1570"/>
      <c r="AD1169" s="1570"/>
      <c r="AE1169" s="1570"/>
      <c r="AF1169" s="1570"/>
      <c r="AG1169" s="1570"/>
      <c r="AH1169" s="1570"/>
      <c r="AJ1169" s="1578"/>
    </row>
    <row r="1170" spans="1:36">
      <c r="A1170" s="1569" t="s">
        <v>494</v>
      </c>
      <c r="B1170" s="1575">
        <f>B1165+B1166</f>
        <v>3523707</v>
      </c>
      <c r="C1170" s="1584"/>
      <c r="D1170" s="1570"/>
      <c r="E1170" s="1588">
        <f>SUM(E1149:E1166)</f>
        <v>230756.78999999998</v>
      </c>
      <c r="F1170" s="1584"/>
      <c r="G1170" s="1570"/>
      <c r="H1170" s="1588">
        <f>SUM(H1149:H1166)</f>
        <v>242978.35000000003</v>
      </c>
      <c r="I1170" s="1584"/>
      <c r="J1170" s="1570"/>
      <c r="K1170" s="1588">
        <f>SUM(K1149:K1168)</f>
        <v>242978.35000000003</v>
      </c>
      <c r="M1170" s="1570"/>
      <c r="N1170" s="1570"/>
      <c r="O1170" s="1571"/>
      <c r="P1170" s="1571"/>
      <c r="Q1170" s="1571"/>
      <c r="R1170" s="1570"/>
      <c r="S1170" s="1570"/>
      <c r="T1170" s="1570"/>
      <c r="U1170" s="1570"/>
      <c r="V1170" s="1570"/>
      <c r="W1170" s="1570"/>
      <c r="X1170" s="1570"/>
      <c r="Y1170" s="1570"/>
      <c r="Z1170" s="1570"/>
      <c r="AA1170" s="1570"/>
      <c r="AB1170" s="1570"/>
      <c r="AC1170" s="1570"/>
      <c r="AD1170" s="1570"/>
      <c r="AE1170" s="1570"/>
      <c r="AF1170" s="1570"/>
      <c r="AG1170" s="1570"/>
      <c r="AH1170" s="1570"/>
    </row>
    <row r="1171" spans="1:36">
      <c r="A1171" s="1569" t="s">
        <v>495</v>
      </c>
      <c r="B1171" s="1575">
        <f ca="1">'Table 2'!H122</f>
        <v>-307654.71277995309</v>
      </c>
      <c r="C1171" s="1584"/>
      <c r="D1171" s="1570"/>
      <c r="E1171" s="1588" t="e">
        <f>#REF!</f>
        <v>#REF!</v>
      </c>
      <c r="F1171" s="1584"/>
      <c r="G1171" s="1570"/>
      <c r="H1171" s="1588">
        <f ca="1">'Table 3'!E122</f>
        <v>-19944.378113311941</v>
      </c>
      <c r="I1171" s="1584"/>
      <c r="J1171" s="1570"/>
      <c r="K1171" s="1588">
        <f ca="1">H1171</f>
        <v>-19944.378113311941</v>
      </c>
      <c r="M1171" s="1422"/>
      <c r="N1171" s="1422"/>
      <c r="O1171" s="1423"/>
      <c r="P1171" s="1571"/>
      <c r="Q1171" s="1571"/>
      <c r="R1171" s="1570"/>
      <c r="S1171" s="1570"/>
      <c r="T1171" s="1570"/>
      <c r="U1171" s="1570"/>
      <c r="V1171" s="1570"/>
      <c r="W1171" s="1570"/>
      <c r="X1171" s="1570"/>
      <c r="Y1171" s="1570"/>
      <c r="Z1171" s="1570"/>
      <c r="AA1171" s="1570"/>
      <c r="AB1171" s="1570"/>
      <c r="AC1171" s="1570"/>
      <c r="AD1171" s="1570"/>
      <c r="AE1171" s="1570"/>
      <c r="AF1171" s="1570"/>
      <c r="AG1171" s="1570"/>
      <c r="AH1171" s="1570"/>
    </row>
    <row r="1172" spans="1:36" ht="15.75" thickBot="1">
      <c r="A1172" s="1585" t="s">
        <v>9</v>
      </c>
      <c r="B1172" s="1727">
        <f ca="1">B1170+B1171</f>
        <v>3216052.2872200469</v>
      </c>
      <c r="C1172" s="1752"/>
      <c r="D1172" s="1753"/>
      <c r="E1172" s="1592" t="e">
        <f>E1170+E1171</f>
        <v>#REF!</v>
      </c>
      <c r="F1172" s="1754"/>
      <c r="G1172" s="1670"/>
      <c r="H1172" s="1592">
        <f ca="1">H1170+H1171</f>
        <v>223033.97188668809</v>
      </c>
      <c r="I1172" s="1754"/>
      <c r="J1172" s="1670"/>
      <c r="K1172" s="1592">
        <f ca="1">K1170+K1171</f>
        <v>223033.97188668809</v>
      </c>
      <c r="M1172" s="1424"/>
      <c r="N1172" s="1424"/>
      <c r="O1172" s="1597"/>
      <c r="P1172" s="1571"/>
      <c r="Q1172" s="1571"/>
      <c r="R1172" s="1570"/>
      <c r="S1172" s="1570"/>
      <c r="T1172" s="1570"/>
      <c r="U1172" s="1570"/>
      <c r="V1172" s="1570"/>
      <c r="W1172" s="1570"/>
      <c r="X1172" s="1570"/>
      <c r="Y1172" s="1570"/>
      <c r="Z1172" s="1570"/>
      <c r="AA1172" s="1570"/>
      <c r="AB1172" s="1570"/>
      <c r="AC1172" s="1570"/>
      <c r="AD1172" s="1570"/>
      <c r="AE1172" s="1570"/>
      <c r="AF1172" s="1570"/>
      <c r="AG1172" s="1570"/>
      <c r="AH1172" s="1570"/>
    </row>
    <row r="1173" spans="1:36" ht="15.75" thickTop="1">
      <c r="A1173" s="1585"/>
      <c r="B1173" s="1720"/>
      <c r="C1173" s="1758"/>
      <c r="D1173" s="1683"/>
      <c r="E1173" s="1636"/>
      <c r="F1173" s="1758" t="s">
        <v>31</v>
      </c>
      <c r="G1173" s="1683"/>
      <c r="H1173" s="1636"/>
      <c r="I1173" s="1758" t="s">
        <v>31</v>
      </c>
      <c r="J1173" s="1683"/>
      <c r="K1173" s="1636" t="s">
        <v>31</v>
      </c>
      <c r="M1173" s="1570"/>
      <c r="N1173" s="1570"/>
      <c r="O1173" s="1571"/>
      <c r="P1173" s="1571" t="s">
        <v>31</v>
      </c>
      <c r="Q1173" s="1571"/>
      <c r="R1173" s="1570"/>
      <c r="S1173" s="1570"/>
      <c r="T1173" s="1570"/>
      <c r="U1173" s="1570"/>
      <c r="V1173" s="1570"/>
      <c r="W1173" s="1570"/>
      <c r="X1173" s="1570"/>
      <c r="Y1173" s="1570"/>
      <c r="Z1173" s="1570"/>
      <c r="AA1173" s="1570"/>
      <c r="AB1173" s="1570"/>
      <c r="AC1173" s="1570"/>
      <c r="AD1173" s="1570"/>
      <c r="AE1173" s="1570"/>
      <c r="AF1173" s="1570"/>
      <c r="AG1173" s="1570"/>
      <c r="AH1173" s="1570"/>
    </row>
    <row r="1174" spans="1:36">
      <c r="A1174" s="1609" t="s">
        <v>502</v>
      </c>
      <c r="B1174" s="1585"/>
      <c r="C1174" s="1585"/>
      <c r="D1174" s="1585"/>
      <c r="E1174" s="1585"/>
      <c r="F1174" s="1585"/>
      <c r="G1174" s="1585"/>
      <c r="H1174" s="1585"/>
      <c r="I1174" s="1585"/>
      <c r="J1174" s="1585"/>
      <c r="K1174" s="1585"/>
      <c r="M1174" s="1570"/>
      <c r="N1174" s="1570"/>
      <c r="O1174" s="1571"/>
      <c r="P1174" s="1571"/>
      <c r="Q1174" s="1571"/>
      <c r="R1174" s="1570"/>
      <c r="S1174" s="1570"/>
      <c r="T1174" s="1570"/>
      <c r="U1174" s="1570"/>
      <c r="V1174" s="1570"/>
      <c r="W1174" s="1570"/>
      <c r="X1174" s="1570"/>
      <c r="Y1174" s="1570"/>
      <c r="Z1174" s="1570"/>
      <c r="AA1174" s="1570"/>
      <c r="AB1174" s="1570"/>
      <c r="AC1174" s="1570"/>
      <c r="AD1174" s="1570"/>
      <c r="AE1174" s="1570"/>
      <c r="AF1174" s="1570"/>
      <c r="AG1174" s="1570"/>
      <c r="AH1174" s="1570"/>
    </row>
    <row r="1175" spans="1:36">
      <c r="A1175" s="1585" t="s">
        <v>503</v>
      </c>
      <c r="B1175" s="1585"/>
      <c r="C1175" s="1585"/>
      <c r="D1175" s="1585"/>
      <c r="E1175" s="1585"/>
      <c r="F1175" s="1585"/>
      <c r="G1175" s="1585"/>
      <c r="H1175" s="1585"/>
      <c r="I1175" s="1585"/>
      <c r="J1175" s="1585"/>
      <c r="K1175" s="1585"/>
      <c r="M1175" s="1570"/>
      <c r="N1175" s="1570"/>
      <c r="O1175" s="1571"/>
      <c r="P1175" s="1571"/>
      <c r="Q1175" s="1571"/>
      <c r="R1175" s="1570"/>
      <c r="S1175" s="1570"/>
      <c r="T1175" s="1570"/>
      <c r="U1175" s="1570"/>
      <c r="V1175" s="1570"/>
      <c r="W1175" s="1570"/>
      <c r="X1175" s="1570"/>
      <c r="Y1175" s="1570"/>
      <c r="Z1175" s="1570"/>
      <c r="AA1175" s="1570"/>
      <c r="AB1175" s="1570"/>
      <c r="AC1175" s="1570"/>
      <c r="AD1175" s="1570"/>
      <c r="AE1175" s="1570"/>
      <c r="AF1175" s="1570"/>
      <c r="AG1175" s="1570"/>
      <c r="AH1175" s="1570"/>
    </row>
    <row r="1176" spans="1:36">
      <c r="A1176" s="1585"/>
      <c r="B1176" s="1585"/>
      <c r="C1176" s="1723"/>
      <c r="D1176" s="1585"/>
      <c r="E1176" s="1585"/>
      <c r="F1176" s="1723"/>
      <c r="G1176" s="1585"/>
      <c r="H1176" s="1585"/>
      <c r="I1176" s="1723"/>
      <c r="J1176" s="1585"/>
      <c r="K1176" s="1585"/>
      <c r="M1176" s="1570"/>
      <c r="N1176" s="1570"/>
      <c r="O1176" s="1571"/>
      <c r="P1176" s="1571"/>
      <c r="Q1176" s="1571"/>
      <c r="R1176" s="1570"/>
      <c r="S1176" s="1570"/>
      <c r="T1176" s="1570"/>
      <c r="U1176" s="1570"/>
      <c r="V1176" s="1570"/>
      <c r="W1176" s="1570"/>
      <c r="X1176" s="1570"/>
      <c r="Y1176" s="1570"/>
      <c r="Z1176" s="1570"/>
      <c r="AA1176" s="1570"/>
      <c r="AB1176" s="1570"/>
      <c r="AC1176" s="1570"/>
      <c r="AD1176" s="1570"/>
      <c r="AE1176" s="1570"/>
      <c r="AF1176" s="1570"/>
      <c r="AG1176" s="1570"/>
      <c r="AH1176" s="1570"/>
    </row>
    <row r="1177" spans="1:36">
      <c r="A1177" s="1585" t="s">
        <v>491</v>
      </c>
      <c r="B1177" s="1610"/>
      <c r="C1177" s="1614"/>
      <c r="D1177" s="1585"/>
      <c r="E1177" s="1577">
        <v>0</v>
      </c>
      <c r="F1177" s="1614"/>
      <c r="G1177" s="1585"/>
      <c r="H1177" s="1577">
        <v>0</v>
      </c>
      <c r="I1177" s="1614"/>
      <c r="J1177" s="1585"/>
      <c r="K1177" s="1577">
        <f>E1177</f>
        <v>0</v>
      </c>
      <c r="M1177" s="1570"/>
      <c r="N1177" s="1570"/>
      <c r="O1177" s="1571"/>
      <c r="P1177" s="1571"/>
      <c r="Q1177" s="1571"/>
      <c r="R1177" s="1570"/>
      <c r="S1177" s="1570"/>
      <c r="T1177" s="1570"/>
      <c r="U1177" s="1570"/>
      <c r="V1177" s="1570"/>
      <c r="W1177" s="1570"/>
      <c r="X1177" s="1570"/>
      <c r="Y1177" s="1570"/>
      <c r="Z1177" s="1570"/>
      <c r="AA1177" s="1570"/>
      <c r="AB1177" s="1570"/>
      <c r="AC1177" s="1570"/>
      <c r="AD1177" s="1570"/>
      <c r="AE1177" s="1570"/>
      <c r="AF1177" s="1570"/>
      <c r="AG1177" s="1570"/>
      <c r="AH1177" s="1570"/>
    </row>
    <row r="1178" spans="1:36">
      <c r="A1178" s="1585" t="s">
        <v>498</v>
      </c>
      <c r="B1178" s="1575">
        <v>0</v>
      </c>
      <c r="C1178" s="1736">
        <v>6.4820000000000002</v>
      </c>
      <c r="D1178" s="1585" t="s">
        <v>377</v>
      </c>
      <c r="E1178" s="1750">
        <f>ROUND(B1178*C1178/100,0)</f>
        <v>0</v>
      </c>
      <c r="F1178" s="1722">
        <v>6.8330000000000002</v>
      </c>
      <c r="G1178" s="1585" t="s">
        <v>377</v>
      </c>
      <c r="H1178" s="1750">
        <f>ROUND(F1178*B1178/100,0)</f>
        <v>0</v>
      </c>
      <c r="I1178" s="1722">
        <f>I1165</f>
        <v>6.8330000000000002</v>
      </c>
      <c r="J1178" s="1585" t="s">
        <v>377</v>
      </c>
      <c r="K1178" s="1577">
        <f>ROUND(B1178*I1178/100,0)</f>
        <v>0</v>
      </c>
      <c r="M1178" s="1570"/>
      <c r="N1178" s="1570"/>
      <c r="O1178" s="1571"/>
      <c r="P1178" s="1571"/>
      <c r="Q1178" s="1571"/>
      <c r="R1178" s="1570"/>
      <c r="S1178" s="1570"/>
      <c r="T1178" s="1570"/>
      <c r="U1178" s="1570"/>
      <c r="V1178" s="1570"/>
      <c r="W1178" s="1570"/>
      <c r="X1178" s="1570"/>
      <c r="Y1178" s="1570"/>
      <c r="Z1178" s="1570"/>
      <c r="AA1178" s="1570"/>
      <c r="AB1178" s="1570"/>
      <c r="AC1178" s="1570"/>
      <c r="AD1178" s="1570"/>
      <c r="AE1178" s="1570"/>
      <c r="AF1178" s="1570"/>
      <c r="AG1178" s="1570"/>
      <c r="AH1178" s="1570"/>
    </row>
    <row r="1179" spans="1:36">
      <c r="A1179" s="1585" t="s">
        <v>499</v>
      </c>
      <c r="B1179" s="1575">
        <f>1167081</f>
        <v>1167081</v>
      </c>
      <c r="C1179" s="1600">
        <v>6.4820000000000002</v>
      </c>
      <c r="D1179" s="1585" t="s">
        <v>377</v>
      </c>
      <c r="E1179" s="1750">
        <f>ROUND(B1179*C1179/100,0)</f>
        <v>75650</v>
      </c>
      <c r="F1179" s="1755">
        <v>6.8330000000000002</v>
      </c>
      <c r="G1179" s="1585" t="s">
        <v>377</v>
      </c>
      <c r="H1179" s="1750">
        <f>ROUND(F1179*B1179/100,0)</f>
        <v>79747</v>
      </c>
      <c r="I1179" s="1755">
        <f>I1178</f>
        <v>6.8330000000000002</v>
      </c>
      <c r="J1179" s="1585" t="s">
        <v>377</v>
      </c>
      <c r="K1179" s="1577">
        <f>ROUND(I1179*$B1179/100,0)</f>
        <v>79747</v>
      </c>
      <c r="M1179" s="1570"/>
      <c r="N1179" s="1570"/>
      <c r="O1179" s="1571"/>
      <c r="P1179" s="1571"/>
      <c r="Q1179" s="1571"/>
      <c r="R1179" s="1570"/>
      <c r="S1179" s="1570"/>
      <c r="T1179" s="1570"/>
      <c r="U1179" s="1570"/>
      <c r="V1179" s="1570"/>
      <c r="W1179" s="1570"/>
      <c r="X1179" s="1570"/>
      <c r="Y1179" s="1570"/>
      <c r="Z1179" s="1570"/>
      <c r="AA1179" s="1570"/>
      <c r="AB1179" s="1570"/>
      <c r="AC1179" s="1570"/>
      <c r="AD1179" s="1570"/>
      <c r="AE1179" s="1570"/>
      <c r="AF1179" s="1570"/>
      <c r="AG1179" s="1570"/>
      <c r="AH1179" s="1570"/>
    </row>
    <row r="1180" spans="1:36">
      <c r="A1180" s="1585" t="s">
        <v>365</v>
      </c>
      <c r="B1180" s="1575">
        <f>1201</f>
        <v>1201</v>
      </c>
      <c r="C1180" s="1751"/>
      <c r="D1180" s="1585"/>
      <c r="E1180" s="1577"/>
      <c r="F1180" s="1751"/>
      <c r="G1180" s="1585"/>
      <c r="H1180" s="1577"/>
      <c r="I1180" s="1751"/>
      <c r="J1180" s="1585"/>
      <c r="K1180" s="1577"/>
      <c r="M1180" s="1570"/>
      <c r="N1180" s="1570"/>
      <c r="O1180" s="1571"/>
      <c r="P1180" s="1571"/>
      <c r="Q1180" s="1571"/>
      <c r="R1180" s="1570"/>
      <c r="S1180" s="1570"/>
      <c r="T1180" s="1570"/>
      <c r="U1180" s="1570"/>
      <c r="V1180" s="1570"/>
      <c r="W1180" s="1570"/>
      <c r="X1180" s="1570"/>
      <c r="Y1180" s="1570"/>
      <c r="Z1180" s="1570"/>
      <c r="AA1180" s="1570"/>
      <c r="AB1180" s="1570"/>
      <c r="AC1180" s="1570"/>
      <c r="AD1180" s="1570"/>
      <c r="AE1180" s="1570"/>
      <c r="AF1180" s="1570"/>
      <c r="AG1180" s="1570"/>
      <c r="AH1180" s="1570"/>
    </row>
    <row r="1181" spans="1:36" s="1621" customFormat="1">
      <c r="A1181" s="1621" t="s">
        <v>938</v>
      </c>
      <c r="B1181" s="1688">
        <f>B1182</f>
        <v>1167081</v>
      </c>
      <c r="C1181" s="1623"/>
      <c r="D1181" s="1624"/>
      <c r="E1181" s="1625"/>
      <c r="F1181" s="1623"/>
      <c r="G1181" s="1624"/>
      <c r="H1181" s="1625"/>
      <c r="I1181" s="1626">
        <v>0</v>
      </c>
      <c r="J1181" s="1627" t="s">
        <v>377</v>
      </c>
      <c r="K1181" s="1689">
        <f>ROUND(I1181*$B1181/100,0)</f>
        <v>0</v>
      </c>
      <c r="M1181" s="1651"/>
      <c r="O1181" s="1652"/>
      <c r="R1181" s="1653"/>
      <c r="S1181" s="1653"/>
      <c r="X1181" s="1624"/>
      <c r="Y1181" s="1624"/>
      <c r="Z1181" s="1624"/>
      <c r="AA1181" s="1624"/>
      <c r="AB1181" s="1624"/>
      <c r="AC1181" s="1624"/>
      <c r="AD1181" s="1624"/>
      <c r="AE1181" s="1624"/>
      <c r="AF1181" s="1624"/>
      <c r="AG1181" s="1624"/>
      <c r="AH1181" s="1624"/>
      <c r="AJ1181" s="1651"/>
    </row>
    <row r="1182" spans="1:36">
      <c r="A1182" s="1569" t="s">
        <v>494</v>
      </c>
      <c r="B1182" s="1575">
        <f>B1178+B1179</f>
        <v>1167081</v>
      </c>
      <c r="C1182" s="1584"/>
      <c r="D1182" s="1570"/>
      <c r="E1182" s="1588">
        <f>SUM(E1177:E1179)</f>
        <v>75650</v>
      </c>
      <c r="F1182" s="1584"/>
      <c r="G1182" s="1570"/>
      <c r="H1182" s="1588">
        <f>SUM(H1177:H1179)</f>
        <v>79747</v>
      </c>
      <c r="I1182" s="1584"/>
      <c r="J1182" s="1570"/>
      <c r="K1182" s="1588">
        <f>SUM(K1177:K1181)</f>
        <v>79747</v>
      </c>
      <c r="M1182" s="1570"/>
      <c r="N1182" s="1570"/>
      <c r="O1182" s="1571"/>
      <c r="P1182" s="1571"/>
      <c r="Q1182" s="1571"/>
      <c r="R1182" s="1570"/>
      <c r="S1182" s="1570"/>
      <c r="T1182" s="1570"/>
      <c r="U1182" s="1570"/>
      <c r="V1182" s="1570"/>
      <c r="W1182" s="1570"/>
      <c r="X1182" s="1570"/>
      <c r="Y1182" s="1570"/>
      <c r="Z1182" s="1570"/>
      <c r="AA1182" s="1570"/>
      <c r="AB1182" s="1570"/>
      <c r="AC1182" s="1570"/>
      <c r="AD1182" s="1570"/>
      <c r="AE1182" s="1570"/>
      <c r="AF1182" s="1570"/>
      <c r="AG1182" s="1570"/>
      <c r="AH1182" s="1570"/>
    </row>
    <row r="1183" spans="1:36">
      <c r="A1183" s="1569" t="s">
        <v>495</v>
      </c>
      <c r="B1183" s="1575">
        <f ca="1">'Table 2'!H123</f>
        <v>-101897.79395560994</v>
      </c>
      <c r="C1183" s="1584"/>
      <c r="D1183" s="1570"/>
      <c r="E1183" s="1588" t="e">
        <f>#REF!</f>
        <v>#REF!</v>
      </c>
      <c r="F1183" s="1584"/>
      <c r="G1183" s="1570"/>
      <c r="H1183" s="1588">
        <f ca="1">'Table 3'!E123</f>
        <v>-6553.3942164922319</v>
      </c>
      <c r="I1183" s="1584"/>
      <c r="J1183" s="1570"/>
      <c r="K1183" s="1588">
        <f ca="1">H1183</f>
        <v>-6553.3942164922319</v>
      </c>
      <c r="M1183" s="1422"/>
      <c r="N1183" s="1422"/>
      <c r="O1183" s="1423"/>
      <c r="P1183" s="1571"/>
      <c r="Q1183" s="1571"/>
      <c r="R1183" s="1570"/>
      <c r="S1183" s="1570"/>
      <c r="T1183" s="1570"/>
      <c r="U1183" s="1570"/>
      <c r="V1183" s="1570"/>
      <c r="W1183" s="1570"/>
      <c r="X1183" s="1570"/>
      <c r="Y1183" s="1570"/>
      <c r="Z1183" s="1570"/>
      <c r="AA1183" s="1570"/>
      <c r="AB1183" s="1570"/>
      <c r="AC1183" s="1570"/>
      <c r="AD1183" s="1570"/>
      <c r="AE1183" s="1570"/>
      <c r="AF1183" s="1570"/>
      <c r="AG1183" s="1570"/>
      <c r="AH1183" s="1570"/>
    </row>
    <row r="1184" spans="1:36" ht="15.75" thickBot="1">
      <c r="A1184" s="1585" t="s">
        <v>9</v>
      </c>
      <c r="B1184" s="1727">
        <f ca="1">B1182+B1183</f>
        <v>1065183.2060443901</v>
      </c>
      <c r="C1184" s="1752"/>
      <c r="D1184" s="1753"/>
      <c r="E1184" s="1592" t="e">
        <f>E1182+E1183</f>
        <v>#REF!</v>
      </c>
      <c r="F1184" s="1754"/>
      <c r="G1184" s="1670"/>
      <c r="H1184" s="1592">
        <f ca="1">H1182+H1183</f>
        <v>73193.605783507766</v>
      </c>
      <c r="I1184" s="1754"/>
      <c r="J1184" s="1670"/>
      <c r="K1184" s="1592">
        <f ca="1">K1182+K1183</f>
        <v>73193.605783507766</v>
      </c>
      <c r="M1184" s="1424"/>
      <c r="N1184" s="1424"/>
      <c r="O1184" s="1597"/>
      <c r="P1184" s="1571"/>
      <c r="Q1184" s="1571"/>
      <c r="R1184" s="1570"/>
      <c r="S1184" s="1570"/>
      <c r="T1184" s="1570"/>
      <c r="U1184" s="1570"/>
      <c r="V1184" s="1570"/>
      <c r="W1184" s="1570"/>
      <c r="X1184" s="1570"/>
      <c r="Y1184" s="1570"/>
      <c r="Z1184" s="1570"/>
      <c r="AA1184" s="1570"/>
      <c r="AB1184" s="1570"/>
      <c r="AC1184" s="1570"/>
      <c r="AD1184" s="1570"/>
      <c r="AE1184" s="1570"/>
      <c r="AF1184" s="1570"/>
      <c r="AG1184" s="1570"/>
      <c r="AH1184" s="1570"/>
    </row>
    <row r="1185" spans="1:36" ht="15.75" thickTop="1">
      <c r="A1185" s="1585"/>
      <c r="B1185" s="1720"/>
      <c r="C1185" s="1758"/>
      <c r="D1185" s="1683"/>
      <c r="E1185" s="1636"/>
      <c r="F1185" s="1758" t="s">
        <v>31</v>
      </c>
      <c r="G1185" s="1683"/>
      <c r="H1185" s="1636"/>
      <c r="I1185" s="1758" t="s">
        <v>31</v>
      </c>
      <c r="J1185" s="1683"/>
      <c r="K1185" s="1636" t="s">
        <v>31</v>
      </c>
      <c r="M1185" s="1570"/>
      <c r="N1185" s="1570"/>
      <c r="O1185" s="1571"/>
      <c r="P1185" s="1571"/>
      <c r="Q1185" s="1571"/>
      <c r="R1185" s="1570"/>
      <c r="S1185" s="1570"/>
      <c r="T1185" s="1570"/>
      <c r="U1185" s="1570"/>
      <c r="V1185" s="1570"/>
      <c r="W1185" s="1570"/>
      <c r="X1185" s="1570"/>
      <c r="Y1185" s="1570"/>
      <c r="Z1185" s="1570"/>
      <c r="AA1185" s="1570"/>
      <c r="AB1185" s="1570"/>
      <c r="AC1185" s="1570"/>
      <c r="AD1185" s="1570"/>
      <c r="AE1185" s="1570"/>
      <c r="AF1185" s="1570"/>
      <c r="AG1185" s="1570"/>
      <c r="AH1185" s="1570"/>
    </row>
    <row r="1186" spans="1:36">
      <c r="A1186" s="1609" t="s">
        <v>504</v>
      </c>
      <c r="B1186" s="1585"/>
      <c r="C1186" s="1585"/>
      <c r="D1186" s="1585"/>
      <c r="E1186" s="1585"/>
      <c r="F1186" s="1585"/>
      <c r="G1186" s="1585"/>
      <c r="H1186" s="1585"/>
      <c r="I1186" s="1585"/>
      <c r="J1186" s="1585"/>
      <c r="K1186" s="1585" t="s">
        <v>31</v>
      </c>
      <c r="M1186" s="1570"/>
      <c r="N1186" s="1570"/>
      <c r="O1186" s="1571"/>
      <c r="P1186" s="1571"/>
      <c r="Q1186" s="1571"/>
      <c r="R1186" s="1570"/>
      <c r="S1186" s="1570"/>
      <c r="T1186" s="1570"/>
      <c r="U1186" s="1570"/>
      <c r="V1186" s="1570"/>
      <c r="W1186" s="1570"/>
      <c r="X1186" s="1570"/>
      <c r="Y1186" s="1570"/>
      <c r="Z1186" s="1570"/>
      <c r="AA1186" s="1570"/>
      <c r="AB1186" s="1570"/>
      <c r="AC1186" s="1570"/>
      <c r="AD1186" s="1570"/>
      <c r="AE1186" s="1570"/>
      <c r="AF1186" s="1570"/>
      <c r="AG1186" s="1570"/>
      <c r="AH1186" s="1570"/>
    </row>
    <row r="1187" spans="1:36">
      <c r="A1187" s="1585" t="s">
        <v>194</v>
      </c>
      <c r="B1187" s="1585"/>
      <c r="C1187" s="1585"/>
      <c r="D1187" s="1585"/>
      <c r="E1187" s="1585"/>
      <c r="F1187" s="1585"/>
      <c r="G1187" s="1585"/>
      <c r="H1187" s="1585"/>
      <c r="I1187" s="1585"/>
      <c r="J1187" s="1585"/>
      <c r="K1187" s="1585"/>
      <c r="M1187" s="1570"/>
      <c r="N1187" s="1570"/>
      <c r="O1187" s="1571"/>
      <c r="P1187" s="1571"/>
      <c r="Q1187" s="1571"/>
      <c r="R1187" s="1570"/>
      <c r="S1187" s="1570"/>
      <c r="T1187" s="1570"/>
      <c r="U1187" s="1570"/>
      <c r="V1187" s="1570"/>
      <c r="W1187" s="1570"/>
      <c r="X1187" s="1570"/>
      <c r="Y1187" s="1570"/>
      <c r="Z1187" s="1570"/>
      <c r="AA1187" s="1570"/>
      <c r="AB1187" s="1570"/>
      <c r="AC1187" s="1570"/>
      <c r="AD1187" s="1570"/>
      <c r="AE1187" s="1570"/>
      <c r="AF1187" s="1570"/>
      <c r="AG1187" s="1570"/>
      <c r="AH1187" s="1570"/>
    </row>
    <row r="1188" spans="1:36">
      <c r="A1188" s="1585"/>
      <c r="B1188" s="1585"/>
      <c r="C1188" s="1585"/>
      <c r="D1188" s="1585"/>
      <c r="E1188" s="1585"/>
      <c r="F1188" s="1585"/>
      <c r="G1188" s="1585"/>
      <c r="H1188" s="1585"/>
      <c r="I1188" s="1585"/>
      <c r="J1188" s="1585"/>
      <c r="K1188" s="1585"/>
      <c r="M1188" s="1570"/>
      <c r="N1188" s="1570"/>
      <c r="O1188" s="1571"/>
      <c r="P1188" s="1571"/>
      <c r="Q1188" s="1571"/>
      <c r="R1188" s="1570"/>
      <c r="S1188" s="1570"/>
      <c r="T1188" s="1570"/>
      <c r="U1188" s="1570"/>
      <c r="V1188" s="1570"/>
      <c r="W1188" s="1570"/>
      <c r="X1188" s="1570"/>
      <c r="Y1188" s="1570"/>
      <c r="Z1188" s="1570"/>
      <c r="AA1188" s="1570"/>
      <c r="AB1188" s="1570"/>
      <c r="AC1188" s="1570"/>
      <c r="AD1188" s="1570"/>
      <c r="AE1188" s="1570"/>
      <c r="AF1188" s="1570"/>
      <c r="AG1188" s="1570"/>
      <c r="AH1188" s="1570"/>
    </row>
    <row r="1189" spans="1:36">
      <c r="A1189" s="1585" t="s">
        <v>505</v>
      </c>
      <c r="B1189" s="1610">
        <f>177</f>
        <v>177</v>
      </c>
      <c r="C1189" s="1614">
        <v>3.5</v>
      </c>
      <c r="D1189" s="1585"/>
      <c r="E1189" s="1577">
        <f>ROUND(C1189*B1189,0)</f>
        <v>620</v>
      </c>
      <c r="F1189" s="1614">
        <v>3.75</v>
      </c>
      <c r="G1189" s="1585"/>
      <c r="H1189" s="1577">
        <f>ROUND(B1189*F1189,0)</f>
        <v>664</v>
      </c>
      <c r="I1189" s="1614">
        <f>F1189</f>
        <v>3.75</v>
      </c>
      <c r="J1189" s="1585"/>
      <c r="K1189" s="1577">
        <f>ROUND(I1189*$B1189,0)</f>
        <v>664</v>
      </c>
      <c r="M1189" s="1578" t="e">
        <f>I1189*#REF!</f>
        <v>#REF!</v>
      </c>
      <c r="N1189" s="1570"/>
      <c r="O1189" s="1760"/>
      <c r="P1189" s="1760"/>
      <c r="Q1189" s="1760"/>
      <c r="R1189" s="1570"/>
      <c r="S1189" s="1570"/>
      <c r="T1189" s="1570"/>
      <c r="U1189" s="1570"/>
      <c r="V1189" s="1570"/>
      <c r="W1189" s="1570"/>
      <c r="X1189" s="1570"/>
      <c r="Y1189" s="1570"/>
      <c r="Z1189" s="1570"/>
      <c r="AA1189" s="1570"/>
      <c r="AB1189" s="1570"/>
      <c r="AC1189" s="1570"/>
      <c r="AD1189" s="1570"/>
      <c r="AE1189" s="1570"/>
      <c r="AF1189" s="1570"/>
      <c r="AG1189" s="1570"/>
      <c r="AH1189" s="1570"/>
    </row>
    <row r="1190" spans="1:36">
      <c r="A1190" s="1585" t="s">
        <v>506</v>
      </c>
      <c r="B1190" s="1610">
        <f>172</f>
        <v>172</v>
      </c>
      <c r="C1190" s="1614">
        <v>6.5</v>
      </c>
      <c r="D1190" s="1585"/>
      <c r="E1190" s="1577">
        <f>ROUND(C1190*B1190,0)</f>
        <v>1118</v>
      </c>
      <c r="F1190" s="1614">
        <v>6.75</v>
      </c>
      <c r="G1190" s="1585"/>
      <c r="H1190" s="1577">
        <f>ROUND(B1190*F1190,0)</f>
        <v>1161</v>
      </c>
      <c r="I1190" s="1614">
        <f>F1190</f>
        <v>6.75</v>
      </c>
      <c r="J1190" s="1585"/>
      <c r="K1190" s="1577">
        <f>ROUND(I1190*$B1190,0)</f>
        <v>1161</v>
      </c>
      <c r="M1190" s="1578" t="e">
        <f>I1190*#REF!</f>
        <v>#REF!</v>
      </c>
      <c r="N1190" s="1570"/>
      <c r="O1190" s="1760"/>
      <c r="P1190" s="1760"/>
      <c r="Q1190" s="1760"/>
      <c r="R1190" s="1570"/>
      <c r="S1190" s="1570"/>
      <c r="T1190" s="1570"/>
      <c r="U1190" s="1570"/>
      <c r="V1190" s="1570"/>
      <c r="W1190" s="1570"/>
      <c r="X1190" s="1570"/>
      <c r="Y1190" s="1570"/>
      <c r="Z1190" s="1570"/>
      <c r="AA1190" s="1570"/>
      <c r="AB1190" s="1570"/>
      <c r="AC1190" s="1570"/>
      <c r="AD1190" s="1570"/>
      <c r="AE1190" s="1570"/>
      <c r="AF1190" s="1570"/>
      <c r="AG1190" s="1570"/>
      <c r="AH1190" s="1570"/>
    </row>
    <row r="1191" spans="1:36">
      <c r="A1191" s="1585" t="s">
        <v>507</v>
      </c>
      <c r="B1191" s="1610">
        <f>SUM(B1189:B1190)</f>
        <v>349</v>
      </c>
      <c r="C1191" s="1628"/>
      <c r="D1191" s="1585"/>
      <c r="E1191" s="1750"/>
      <c r="F1191" s="1628"/>
      <c r="G1191" s="1585"/>
      <c r="H1191" s="1750"/>
      <c r="I1191" s="1628"/>
      <c r="J1191" s="1585"/>
      <c r="K1191" s="1577"/>
      <c r="M1191" s="1570"/>
      <c r="N1191" s="1570"/>
      <c r="O1191" s="1760"/>
      <c r="P1191" s="1760"/>
      <c r="Q1191" s="1760"/>
      <c r="R1191" s="1570"/>
      <c r="S1191" s="1570"/>
      <c r="T1191" s="1570"/>
      <c r="U1191" s="1570"/>
      <c r="V1191" s="1570"/>
      <c r="W1191" s="1570"/>
      <c r="X1191" s="1570"/>
      <c r="Y1191" s="1570"/>
      <c r="Z1191" s="1570"/>
      <c r="AA1191" s="1570"/>
      <c r="AB1191" s="1570"/>
      <c r="AC1191" s="1570"/>
      <c r="AD1191" s="1570"/>
      <c r="AE1191" s="1570"/>
      <c r="AF1191" s="1570"/>
      <c r="AG1191" s="1570"/>
      <c r="AH1191" s="1570"/>
    </row>
    <row r="1192" spans="1:36">
      <c r="A1192" s="1585" t="s">
        <v>467</v>
      </c>
      <c r="B1192" s="1610">
        <f>77267+205979</f>
        <v>283246</v>
      </c>
      <c r="C1192" s="1697">
        <v>7.7190000000000003</v>
      </c>
      <c r="D1192" s="1585" t="s">
        <v>377</v>
      </c>
      <c r="E1192" s="1750">
        <f>ROUND(B1192*C1192/100,0)</f>
        <v>21864</v>
      </c>
      <c r="F1192" s="1697">
        <v>8.1110000000000007</v>
      </c>
      <c r="G1192" s="1577" t="s">
        <v>377</v>
      </c>
      <c r="H1192" s="1750">
        <f>ROUND(F1192*B1192/100,0)</f>
        <v>22974</v>
      </c>
      <c r="I1192" s="1697">
        <f>F1192</f>
        <v>8.1110000000000007</v>
      </c>
      <c r="J1192" s="1577" t="s">
        <v>377</v>
      </c>
      <c r="K1192" s="1577">
        <f>ROUND(I1192*$B1192/100,0)</f>
        <v>22974</v>
      </c>
      <c r="M1192" s="1578" t="e">
        <f>(I1192/100)*#REF!</f>
        <v>#REF!</v>
      </c>
      <c r="N1192" s="1570"/>
      <c r="O1192" s="1760"/>
      <c r="P1192" s="1760"/>
      <c r="Q1192" s="1760"/>
      <c r="R1192" s="1570"/>
      <c r="S1192" s="1570"/>
      <c r="T1192" s="1570"/>
      <c r="U1192" s="1570"/>
      <c r="V1192" s="1570"/>
      <c r="W1192" s="1570"/>
      <c r="X1192" s="1570"/>
      <c r="Y1192" s="1570"/>
      <c r="Z1192" s="1570"/>
      <c r="AA1192" s="1570"/>
      <c r="AB1192" s="1570"/>
      <c r="AC1192" s="1570"/>
      <c r="AD1192" s="1570"/>
      <c r="AE1192" s="1570"/>
      <c r="AF1192" s="1570"/>
      <c r="AG1192" s="1570"/>
      <c r="AH1192" s="1570"/>
    </row>
    <row r="1193" spans="1:36" s="1621" customFormat="1">
      <c r="A1193" s="1621" t="s">
        <v>938</v>
      </c>
      <c r="B1193" s="1688">
        <f>B1195</f>
        <v>283246</v>
      </c>
      <c r="C1193" s="1623"/>
      <c r="D1193" s="1624"/>
      <c r="E1193" s="1625"/>
      <c r="F1193" s="1623"/>
      <c r="G1193" s="1624"/>
      <c r="H1193" s="1625"/>
      <c r="I1193" s="1626">
        <v>0</v>
      </c>
      <c r="J1193" s="1689" t="s">
        <v>377</v>
      </c>
      <c r="K1193" s="1689">
        <f>ROUND(I1193*$B1193/100,0)</f>
        <v>0</v>
      </c>
      <c r="M1193" s="1651"/>
      <c r="N1193" s="1651">
        <f>'NPC Spread'!J41</f>
        <v>6477.0695393212054</v>
      </c>
      <c r="O1193" s="1652" t="s">
        <v>913</v>
      </c>
      <c r="R1193" s="1653"/>
      <c r="S1193" s="1653"/>
      <c r="X1193" s="1624"/>
      <c r="Y1193" s="1624"/>
      <c r="Z1193" s="1624"/>
      <c r="AA1193" s="1624"/>
      <c r="AB1193" s="1624"/>
      <c r="AC1193" s="1624"/>
      <c r="AD1193" s="1624"/>
      <c r="AE1193" s="1624"/>
      <c r="AF1193" s="1624"/>
      <c r="AG1193" s="1624"/>
      <c r="AH1193" s="1624"/>
      <c r="AJ1193" s="1651"/>
    </row>
    <row r="1194" spans="1:36">
      <c r="A1194" s="1569" t="s">
        <v>923</v>
      </c>
      <c r="B1194" s="1575"/>
      <c r="C1194" s="1584"/>
      <c r="D1194" s="1570"/>
      <c r="E1194" s="1577"/>
      <c r="F1194" s="1697">
        <f>F1192</f>
        <v>8.1110000000000007</v>
      </c>
      <c r="G1194" s="1577" t="s">
        <v>377</v>
      </c>
      <c r="H1194" s="1577"/>
      <c r="I1194" s="1697">
        <f>I1192+I1193</f>
        <v>8.1110000000000007</v>
      </c>
      <c r="J1194" s="1577" t="s">
        <v>377</v>
      </c>
      <c r="K1194" s="1574"/>
      <c r="M1194" s="1578"/>
      <c r="N1194" s="1578"/>
      <c r="O1194" s="1579"/>
      <c r="Q1194" s="1569"/>
      <c r="R1194" s="1580"/>
      <c r="S1194" s="1580"/>
      <c r="X1194" s="1570"/>
      <c r="Y1194" s="1570"/>
      <c r="Z1194" s="1570"/>
      <c r="AA1194" s="1570"/>
      <c r="AB1194" s="1570"/>
      <c r="AC1194" s="1570"/>
      <c r="AD1194" s="1570"/>
      <c r="AE1194" s="1570"/>
      <c r="AF1194" s="1570"/>
      <c r="AG1194" s="1570"/>
      <c r="AH1194" s="1570"/>
      <c r="AJ1194" s="1578"/>
    </row>
    <row r="1195" spans="1:36">
      <c r="A1195" s="1585" t="s">
        <v>384</v>
      </c>
      <c r="B1195" s="1599">
        <f>SUM(B1192)</f>
        <v>283246</v>
      </c>
      <c r="C1195" s="1610"/>
      <c r="D1195" s="1610"/>
      <c r="E1195" s="1750">
        <f>SUM(E1189:E1192)</f>
        <v>23602</v>
      </c>
      <c r="F1195" s="1610"/>
      <c r="G1195" s="1577"/>
      <c r="H1195" s="1750">
        <f>SUM(H1189:H1192)</f>
        <v>24799</v>
      </c>
      <c r="I1195" s="1610"/>
      <c r="J1195" s="1577"/>
      <c r="K1195" s="1750">
        <f>SUM(K1189:K1193)</f>
        <v>24799</v>
      </c>
      <c r="M1195" s="1678" t="e">
        <f>SUM(M1189:M1192)</f>
        <v>#REF!</v>
      </c>
      <c r="N1195" s="1570"/>
      <c r="O1195" s="1571"/>
      <c r="P1195" s="1571"/>
      <c r="Q1195" s="1571"/>
      <c r="R1195" s="1570"/>
      <c r="S1195" s="1570"/>
      <c r="T1195" s="1570"/>
      <c r="U1195" s="1570"/>
      <c r="V1195" s="1570"/>
      <c r="W1195" s="1570"/>
      <c r="X1195" s="1570"/>
      <c r="Y1195" s="1570"/>
      <c r="Z1195" s="1570"/>
      <c r="AA1195" s="1570"/>
      <c r="AB1195" s="1570"/>
      <c r="AC1195" s="1570"/>
      <c r="AD1195" s="1570"/>
      <c r="AE1195" s="1570"/>
      <c r="AF1195" s="1570"/>
      <c r="AG1195" s="1570"/>
      <c r="AH1195" s="1570"/>
    </row>
    <row r="1196" spans="1:36">
      <c r="A1196" s="1585" t="s">
        <v>366</v>
      </c>
      <c r="B1196" s="1679">
        <f>'Table 2'!H53</f>
        <v>-730.25779208267056</v>
      </c>
      <c r="C1196" s="1761"/>
      <c r="D1196" s="1761"/>
      <c r="E1196" s="1762" t="e">
        <f>#REF!</f>
        <v>#REF!</v>
      </c>
      <c r="F1196" s="1763"/>
      <c r="G1196" s="1763"/>
      <c r="H1196" s="1762">
        <f ca="1">'Table 3'!E53</f>
        <v>-73.380560007788219</v>
      </c>
      <c r="I1196" s="1763"/>
      <c r="J1196" s="1763"/>
      <c r="K1196" s="1762">
        <f ca="1">H1196</f>
        <v>-73.380560007788219</v>
      </c>
      <c r="M1196" s="1665"/>
      <c r="N1196" s="1665"/>
      <c r="O1196" s="1704"/>
      <c r="P1196" s="1571"/>
      <c r="Q1196" s="1571"/>
      <c r="R1196" s="1570"/>
      <c r="S1196" s="1570"/>
      <c r="T1196" s="1570"/>
      <c r="U1196" s="1570"/>
      <c r="V1196" s="1570"/>
      <c r="W1196" s="1570"/>
      <c r="X1196" s="1570"/>
      <c r="Y1196" s="1570"/>
      <c r="Z1196" s="1570"/>
      <c r="AA1196" s="1570"/>
      <c r="AB1196" s="1570"/>
      <c r="AC1196" s="1570"/>
      <c r="AD1196" s="1570"/>
      <c r="AE1196" s="1570"/>
      <c r="AF1196" s="1570"/>
      <c r="AG1196" s="1570"/>
      <c r="AH1196" s="1570"/>
    </row>
    <row r="1197" spans="1:36" ht="15.75" thickBot="1">
      <c r="A1197" s="1585" t="s">
        <v>385</v>
      </c>
      <c r="B1197" s="1694">
        <f>B1195+B1196</f>
        <v>282515.74220791733</v>
      </c>
      <c r="C1197" s="1670"/>
      <c r="D1197" s="1670"/>
      <c r="E1197" s="1593" t="e">
        <f>E1195+E1196</f>
        <v>#REF!</v>
      </c>
      <c r="F1197" s="1670"/>
      <c r="G1197" s="1670"/>
      <c r="H1197" s="1593">
        <f ca="1">H1195+H1196</f>
        <v>24725.619439992213</v>
      </c>
      <c r="I1197" s="1670"/>
      <c r="J1197" s="1670"/>
      <c r="K1197" s="1593">
        <f ca="1">K1195+K1196</f>
        <v>24725.619439992213</v>
      </c>
      <c r="M1197" s="1672"/>
      <c r="N1197" s="1746" t="s">
        <v>412</v>
      </c>
      <c r="O1197" s="1673">
        <f>'Rate Spread-Staff'!Q29*1000</f>
        <v>24725.619439992213</v>
      </c>
      <c r="P1197" s="1596">
        <f>(I1194-F1194)/F1194</f>
        <v>0</v>
      </c>
      <c r="Q1197" s="1571"/>
      <c r="R1197" s="1570"/>
      <c r="S1197" s="1570"/>
      <c r="T1197" s="1570"/>
      <c r="U1197" s="1570"/>
      <c r="V1197" s="1570"/>
      <c r="W1197" s="1570"/>
      <c r="X1197" s="1570"/>
      <c r="Y1197" s="1570"/>
      <c r="Z1197" s="1570"/>
      <c r="AA1197" s="1570"/>
      <c r="AB1197" s="1570"/>
      <c r="AC1197" s="1570"/>
      <c r="AD1197" s="1570"/>
      <c r="AE1197" s="1570"/>
      <c r="AF1197" s="1570"/>
      <c r="AG1197" s="1570"/>
      <c r="AH1197" s="1570"/>
    </row>
    <row r="1198" spans="1:36" ht="15.75" thickTop="1">
      <c r="A1198" s="1585"/>
      <c r="B1198" s="1585"/>
      <c r="C1198" s="1585"/>
      <c r="D1198" s="1585"/>
      <c r="E1198" s="1585"/>
      <c r="F1198" s="1585" t="s">
        <v>31</v>
      </c>
      <c r="G1198" s="1585"/>
      <c r="H1198" s="1585"/>
      <c r="I1198" s="1585" t="s">
        <v>31</v>
      </c>
      <c r="J1198" s="1585"/>
      <c r="K1198" s="1577" t="s">
        <v>31</v>
      </c>
      <c r="M1198" s="1570"/>
      <c r="N1198" s="1749" t="s">
        <v>265</v>
      </c>
      <c r="O1198" s="1602">
        <f ca="1">O1197-K1197</f>
        <v>0</v>
      </c>
      <c r="P1198" s="1675" t="s">
        <v>31</v>
      </c>
      <c r="Q1198" s="1605"/>
      <c r="R1198" s="1570"/>
      <c r="S1198" s="1570"/>
      <c r="T1198" s="1570"/>
      <c r="U1198" s="1570"/>
      <c r="V1198" s="1570"/>
      <c r="W1198" s="1570"/>
      <c r="X1198" s="1570"/>
      <c r="Y1198" s="1570"/>
      <c r="Z1198" s="1570"/>
      <c r="AA1198" s="1570"/>
      <c r="AB1198" s="1570"/>
      <c r="AC1198" s="1570"/>
      <c r="AD1198" s="1570"/>
      <c r="AE1198" s="1570"/>
      <c r="AF1198" s="1570"/>
      <c r="AG1198" s="1570"/>
      <c r="AH1198" s="1570"/>
    </row>
    <row r="1199" spans="1:36">
      <c r="A1199" s="1573" t="s">
        <v>508</v>
      </c>
      <c r="B1199" s="1619"/>
      <c r="C1199" s="1619"/>
      <c r="D1199" s="1619"/>
      <c r="E1199" s="1619"/>
      <c r="F1199" s="1619"/>
      <c r="G1199" s="1619"/>
      <c r="H1199" s="1619"/>
      <c r="I1199" s="1619"/>
      <c r="J1199" s="1619"/>
      <c r="K1199" s="1619"/>
      <c r="M1199" s="1570"/>
      <c r="N1199" s="1570"/>
      <c r="O1199" s="1571"/>
      <c r="P1199" s="1571"/>
      <c r="Q1199" s="1571"/>
      <c r="R1199" s="1570"/>
      <c r="S1199" s="1570"/>
      <c r="T1199" s="1570"/>
      <c r="U1199" s="1570"/>
      <c r="V1199" s="1570"/>
      <c r="W1199" s="1570"/>
      <c r="X1199" s="1570"/>
      <c r="Y1199" s="1570"/>
      <c r="Z1199" s="1570"/>
      <c r="AA1199" s="1570"/>
      <c r="AB1199" s="1570"/>
      <c r="AC1199" s="1570"/>
      <c r="AD1199" s="1570"/>
      <c r="AE1199" s="1570"/>
      <c r="AF1199" s="1570"/>
      <c r="AG1199" s="1570"/>
      <c r="AH1199" s="1570"/>
    </row>
    <row r="1200" spans="1:36">
      <c r="A1200" s="1619" t="s">
        <v>509</v>
      </c>
      <c r="B1200" s="1619"/>
      <c r="C1200" s="1619"/>
      <c r="D1200" s="1619"/>
      <c r="E1200" s="1619"/>
      <c r="F1200" s="1619"/>
      <c r="G1200" s="1619"/>
      <c r="H1200" s="1619"/>
      <c r="I1200" s="1619"/>
      <c r="J1200" s="1619"/>
      <c r="K1200" s="1619"/>
      <c r="M1200" s="1530"/>
      <c r="N1200" s="1530"/>
      <c r="O1200" s="1530"/>
      <c r="P1200" s="1530"/>
      <c r="Q1200" s="1530"/>
      <c r="R1200" s="1530"/>
      <c r="S1200" s="1530"/>
      <c r="T1200" s="1530"/>
      <c r="U1200" s="1530"/>
      <c r="V1200" s="1530"/>
      <c r="W1200" s="1530"/>
      <c r="X1200" s="1530"/>
      <c r="Y1200" s="1530"/>
      <c r="Z1200" s="1530"/>
      <c r="AA1200" s="1530"/>
      <c r="AB1200" s="1530"/>
      <c r="AC1200" s="1530"/>
      <c r="AD1200" s="1570"/>
      <c r="AE1200" s="1570"/>
      <c r="AF1200" s="1570"/>
      <c r="AG1200" s="1570"/>
      <c r="AH1200" s="1570"/>
    </row>
    <row r="1201" spans="1:34">
      <c r="A1201" s="1764" t="s">
        <v>510</v>
      </c>
      <c r="B1201" s="1619"/>
      <c r="C1201" s="1619"/>
      <c r="D1201" s="1619"/>
      <c r="E1201" s="1619"/>
      <c r="F1201" s="1619"/>
      <c r="G1201" s="1619"/>
      <c r="H1201" s="1619"/>
      <c r="I1201" s="1619"/>
      <c r="J1201" s="1619"/>
      <c r="K1201" s="1619"/>
      <c r="M1201" s="1530"/>
      <c r="N1201" s="1530"/>
      <c r="O1201" s="1530"/>
      <c r="P1201" s="1530"/>
      <c r="Q1201" s="1530"/>
      <c r="R1201" s="1530"/>
      <c r="S1201" s="1530"/>
      <c r="T1201" s="1530"/>
      <c r="U1201" s="1530"/>
      <c r="V1201" s="1530"/>
      <c r="W1201" s="1530"/>
      <c r="X1201" s="1530"/>
      <c r="Y1201" s="1530"/>
      <c r="Z1201" s="1530"/>
      <c r="AA1201" s="1530"/>
      <c r="AB1201" s="1530"/>
      <c r="AC1201" s="1530"/>
      <c r="AD1201" s="1570"/>
      <c r="AE1201" s="1570"/>
      <c r="AF1201" s="1570"/>
      <c r="AG1201" s="1570"/>
      <c r="AH1201" s="1570"/>
    </row>
    <row r="1202" spans="1:34">
      <c r="A1202" s="1569" t="s">
        <v>511</v>
      </c>
      <c r="E1202" s="1574"/>
      <c r="H1202" s="1574"/>
      <c r="M1202" s="1530"/>
      <c r="N1202" s="1530"/>
      <c r="O1202" s="1530"/>
      <c r="P1202" s="1571"/>
      <c r="Q1202" s="1571"/>
      <c r="R1202" s="1532"/>
      <c r="S1202" s="1532"/>
      <c r="T1202" s="1533"/>
      <c r="U1202" s="1533"/>
      <c r="V1202" s="1533"/>
      <c r="W1202" s="1533"/>
      <c r="X1202" s="1765"/>
      <c r="Y1202" s="1534"/>
      <c r="Z1202" s="1530"/>
      <c r="AA1202" s="1530"/>
      <c r="AB1202" s="1530"/>
      <c r="AC1202" s="1530"/>
      <c r="AD1202" s="1570"/>
      <c r="AE1202" s="1570"/>
      <c r="AF1202" s="1570"/>
      <c r="AG1202" s="1570"/>
      <c r="AH1202" s="1570"/>
    </row>
    <row r="1203" spans="1:34">
      <c r="A1203" s="1569" t="s">
        <v>357</v>
      </c>
      <c r="B1203" s="1575">
        <f>12985</f>
        <v>12985</v>
      </c>
      <c r="C1203" s="1576">
        <v>9.25</v>
      </c>
      <c r="E1203" s="1577">
        <f>ROUND(C1203*$B1203,0)</f>
        <v>120111</v>
      </c>
      <c r="F1203" s="1576">
        <v>9.75</v>
      </c>
      <c r="H1203" s="1577">
        <f>ROUND(B1203*F1203,0)</f>
        <v>126604</v>
      </c>
      <c r="I1203" s="1576">
        <f>F1203</f>
        <v>9.75</v>
      </c>
      <c r="K1203" s="1577">
        <f>ROUND(I1203*$B1203,0)</f>
        <v>126604</v>
      </c>
      <c r="M1203" s="1578" t="e">
        <f>I1203*#REF!</f>
        <v>#REF!</v>
      </c>
      <c r="N1203" s="1570"/>
      <c r="O1203" s="1606"/>
      <c r="P1203" s="1571"/>
      <c r="Q1203" s="1571"/>
      <c r="R1203" s="1535"/>
      <c r="S1203" s="1535"/>
      <c r="T1203" s="1538"/>
      <c r="U1203" s="1538"/>
      <c r="V1203" s="1538"/>
      <c r="W1203" s="1538"/>
      <c r="X1203" s="1607"/>
      <c r="Y1203" s="1530"/>
      <c r="Z1203" s="1606"/>
      <c r="AA1203" s="1606"/>
      <c r="AB1203" s="1766"/>
      <c r="AC1203" s="1606"/>
      <c r="AD1203" s="1570"/>
      <c r="AE1203" s="1570"/>
      <c r="AF1203" s="1570"/>
      <c r="AG1203" s="1570"/>
      <c r="AH1203" s="1570"/>
    </row>
    <row r="1204" spans="1:34">
      <c r="A1204" s="1569" t="s">
        <v>358</v>
      </c>
      <c r="B1204" s="1575">
        <f>1930</f>
        <v>1930</v>
      </c>
      <c r="C1204" s="1576">
        <v>16.940000000000001</v>
      </c>
      <c r="E1204" s="1577">
        <f>ROUND(C1204*$B1204,0)</f>
        <v>32694</v>
      </c>
      <c r="F1204" s="1576">
        <v>17.850000000000001</v>
      </c>
      <c r="H1204" s="1577">
        <f t="shared" ref="H1204:H1208" si="172">ROUND(B1204*F1204,0)</f>
        <v>34451</v>
      </c>
      <c r="I1204" s="1576">
        <f t="shared" ref="I1204:I1226" si="173">F1204</f>
        <v>17.850000000000001</v>
      </c>
      <c r="K1204" s="1577">
        <f>ROUND(I1204*$B1204,0)</f>
        <v>34451</v>
      </c>
      <c r="M1204" s="1578" t="e">
        <f>I1204*#REF!</f>
        <v>#REF!</v>
      </c>
      <c r="N1204" s="1570"/>
      <c r="O1204" s="1606"/>
      <c r="P1204" s="1571"/>
      <c r="Q1204" s="1571"/>
      <c r="R1204" s="1535"/>
      <c r="S1204" s="1535"/>
      <c r="T1204" s="1538"/>
      <c r="U1204" s="1538"/>
      <c r="V1204" s="1538"/>
      <c r="W1204" s="1538"/>
      <c r="X1204" s="1530"/>
      <c r="Y1204" s="1530"/>
      <c r="Z1204" s="1606"/>
      <c r="AA1204" s="1606"/>
      <c r="AB1204" s="1766"/>
      <c r="AC1204" s="1606"/>
      <c r="AD1204" s="1570"/>
      <c r="AE1204" s="1570"/>
      <c r="AF1204" s="1570"/>
      <c r="AG1204" s="1570"/>
      <c r="AH1204" s="1570"/>
    </row>
    <row r="1205" spans="1:34">
      <c r="A1205" s="1569" t="s">
        <v>359</v>
      </c>
      <c r="B1205" s="1575">
        <v>0</v>
      </c>
      <c r="C1205" s="1576">
        <v>34.25</v>
      </c>
      <c r="E1205" s="1577">
        <f>ROUND(C1205*$B1205,0)</f>
        <v>0</v>
      </c>
      <c r="F1205" s="1576">
        <v>36.1</v>
      </c>
      <c r="H1205" s="1577">
        <f t="shared" si="172"/>
        <v>0</v>
      </c>
      <c r="I1205" s="1576">
        <f t="shared" si="173"/>
        <v>36.1</v>
      </c>
      <c r="K1205" s="1577">
        <f>ROUND(I1205*$B1205,0)</f>
        <v>0</v>
      </c>
      <c r="M1205" s="1578" t="e">
        <f>I1205*#REF!</f>
        <v>#REF!</v>
      </c>
      <c r="N1205" s="1570"/>
      <c r="O1205" s="1606"/>
      <c r="P1205" s="1571"/>
      <c r="Q1205" s="1571"/>
      <c r="R1205" s="1535"/>
      <c r="S1205" s="1535"/>
      <c r="T1205" s="1538"/>
      <c r="U1205" s="1538"/>
      <c r="V1205" s="1538"/>
      <c r="W1205" s="1538"/>
      <c r="X1205" s="1530"/>
      <c r="Y1205" s="1530"/>
      <c r="Z1205" s="1606"/>
      <c r="AA1205" s="1606"/>
      <c r="AB1205" s="1766"/>
      <c r="AC1205" s="1606"/>
      <c r="AD1205" s="1570"/>
      <c r="AE1205" s="1570"/>
      <c r="AF1205" s="1570"/>
      <c r="AG1205" s="1570"/>
      <c r="AH1205" s="1570"/>
    </row>
    <row r="1206" spans="1:34">
      <c r="A1206" s="1569" t="s">
        <v>512</v>
      </c>
      <c r="B1206" s="1575"/>
      <c r="C1206" s="1583"/>
      <c r="E1206" s="1574"/>
      <c r="F1206" s="1583"/>
      <c r="H1206" s="1574"/>
      <c r="I1206" s="1576"/>
      <c r="N1206" s="1570"/>
      <c r="O1206" s="1606"/>
      <c r="P1206" s="1571"/>
      <c r="Q1206" s="1571"/>
      <c r="R1206" s="1570"/>
      <c r="S1206" s="1570"/>
      <c r="T1206" s="1423"/>
      <c r="U1206" s="1423"/>
      <c r="V1206" s="1423"/>
      <c r="W1206" s="1423"/>
      <c r="X1206" s="1530"/>
      <c r="Y1206" s="1530"/>
      <c r="Z1206" s="1606"/>
      <c r="AA1206" s="1606"/>
      <c r="AB1206" s="1766"/>
      <c r="AC1206" s="1606"/>
      <c r="AD1206" s="1570"/>
      <c r="AE1206" s="1570"/>
      <c r="AF1206" s="1570"/>
      <c r="AG1206" s="1570"/>
      <c r="AH1206" s="1570"/>
    </row>
    <row r="1207" spans="1:34">
      <c r="A1207" s="1569" t="s">
        <v>357</v>
      </c>
      <c r="B1207" s="1575">
        <f>4846</f>
        <v>4846</v>
      </c>
      <c r="C1207" s="1576">
        <v>8.68</v>
      </c>
      <c r="E1207" s="1577">
        <f>ROUND(C1207*$B1207,0)</f>
        <v>42063</v>
      </c>
      <c r="F1207" s="1576">
        <v>9.15</v>
      </c>
      <c r="H1207" s="1577">
        <f t="shared" si="172"/>
        <v>44341</v>
      </c>
      <c r="I1207" s="1576">
        <f t="shared" si="173"/>
        <v>9.15</v>
      </c>
      <c r="K1207" s="1577">
        <f>ROUND(I1207*$B1207,0)</f>
        <v>44341</v>
      </c>
      <c r="M1207" s="1578" t="e">
        <f>I1207*#REF!</f>
        <v>#REF!</v>
      </c>
      <c r="N1207" s="1570"/>
      <c r="O1207" s="1606"/>
      <c r="P1207" s="1571"/>
      <c r="Q1207" s="1571"/>
      <c r="R1207" s="1535"/>
      <c r="S1207" s="1535"/>
      <c r="T1207" s="1538"/>
      <c r="U1207" s="1538"/>
      <c r="V1207" s="1538"/>
      <c r="W1207" s="1538"/>
      <c r="X1207" s="1570"/>
      <c r="Y1207" s="1570"/>
      <c r="Z1207" s="1606"/>
      <c r="AA1207" s="1606"/>
      <c r="AB1207" s="1766"/>
      <c r="AC1207" s="1606"/>
      <c r="AD1207" s="1570"/>
      <c r="AE1207" s="1570"/>
      <c r="AF1207" s="1570"/>
      <c r="AG1207" s="1570"/>
      <c r="AH1207" s="1570"/>
    </row>
    <row r="1208" spans="1:34">
      <c r="A1208" s="1569" t="s">
        <v>358</v>
      </c>
      <c r="B1208" s="1575">
        <v>0</v>
      </c>
      <c r="C1208" s="1576">
        <v>15.8</v>
      </c>
      <c r="E1208" s="1577">
        <f>ROUND(C1208*$B1208,0)</f>
        <v>0</v>
      </c>
      <c r="F1208" s="1576">
        <v>16.649999999999999</v>
      </c>
      <c r="H1208" s="1577">
        <f t="shared" si="172"/>
        <v>0</v>
      </c>
      <c r="I1208" s="1576">
        <f t="shared" si="173"/>
        <v>16.649999999999999</v>
      </c>
      <c r="K1208" s="1577">
        <f>ROUND(I1208*$B1208,0)</f>
        <v>0</v>
      </c>
      <c r="M1208" s="1578" t="e">
        <f>I1208*#REF!</f>
        <v>#REF!</v>
      </c>
      <c r="N1208" s="1570"/>
      <c r="O1208" s="1606"/>
      <c r="P1208" s="1571"/>
      <c r="Q1208" s="1571"/>
      <c r="R1208" s="1535"/>
      <c r="S1208" s="1535"/>
      <c r="T1208" s="1538"/>
      <c r="U1208" s="1538"/>
      <c r="V1208" s="1538"/>
      <c r="W1208" s="1538"/>
      <c r="X1208" s="1570"/>
      <c r="Y1208" s="1570"/>
      <c r="Z1208" s="1606"/>
      <c r="AA1208" s="1606"/>
      <c r="AB1208" s="1766"/>
      <c r="AC1208" s="1606"/>
      <c r="AD1208" s="1570"/>
      <c r="AE1208" s="1570"/>
      <c r="AF1208" s="1570"/>
      <c r="AG1208" s="1570"/>
      <c r="AH1208" s="1570"/>
    </row>
    <row r="1209" spans="1:34">
      <c r="A1209" s="1764" t="s">
        <v>513</v>
      </c>
      <c r="B1209" s="1575"/>
      <c r="C1209" s="1576"/>
      <c r="E1209" s="1577"/>
      <c r="F1209" s="1576"/>
      <c r="H1209" s="1577"/>
      <c r="I1209" s="1576"/>
      <c r="K1209" s="1577"/>
      <c r="N1209" s="1570"/>
      <c r="O1209" s="1606"/>
      <c r="P1209" s="1571"/>
      <c r="Q1209" s="1571"/>
      <c r="R1209" s="1570"/>
      <c r="S1209" s="1570"/>
      <c r="T1209" s="1570"/>
      <c r="U1209" s="1570"/>
      <c r="V1209" s="1570"/>
      <c r="W1209" s="1570"/>
      <c r="X1209" s="1570"/>
      <c r="Y1209" s="1570"/>
      <c r="Z1209" s="1570"/>
      <c r="AA1209" s="1570"/>
      <c r="AB1209" s="1766"/>
      <c r="AC1209" s="1570"/>
      <c r="AD1209" s="1570"/>
      <c r="AE1209" s="1570"/>
      <c r="AF1209" s="1570"/>
      <c r="AG1209" s="1570"/>
      <c r="AH1209" s="1570"/>
    </row>
    <row r="1210" spans="1:34">
      <c r="A1210" s="1569" t="s">
        <v>511</v>
      </c>
      <c r="B1210" s="1575"/>
      <c r="C1210" s="1583"/>
      <c r="E1210" s="1574"/>
      <c r="F1210" s="1583"/>
      <c r="H1210" s="1574"/>
      <c r="I1210" s="1576"/>
      <c r="N1210" s="1570"/>
      <c r="O1210" s="1571"/>
      <c r="P1210" s="1571"/>
      <c r="Q1210" s="1571"/>
      <c r="R1210" s="1570"/>
      <c r="S1210" s="1570"/>
      <c r="T1210" s="1570"/>
      <c r="U1210" s="1570"/>
      <c r="V1210" s="1570"/>
      <c r="W1210" s="1570"/>
      <c r="X1210" s="1570"/>
      <c r="Y1210" s="1570"/>
      <c r="Z1210" s="1570"/>
      <c r="AA1210" s="1570"/>
      <c r="AB1210" s="1766"/>
      <c r="AC1210" s="1570"/>
      <c r="AD1210" s="1570"/>
      <c r="AE1210" s="1570"/>
      <c r="AF1210" s="1570"/>
      <c r="AG1210" s="1570"/>
      <c r="AH1210" s="1570"/>
    </row>
    <row r="1211" spans="1:34">
      <c r="A1211" s="1569" t="s">
        <v>357</v>
      </c>
      <c r="B1211" s="1575">
        <f>480</f>
        <v>480</v>
      </c>
      <c r="C1211" s="1576">
        <v>12.09</v>
      </c>
      <c r="E1211" s="1577">
        <f>ROUND(C1211*$B1211,0)</f>
        <v>5803</v>
      </c>
      <c r="F1211" s="1576">
        <v>12.74</v>
      </c>
      <c r="H1211" s="1577">
        <f t="shared" ref="H1211:H1213" si="174">ROUND(B1211*F1211,0)</f>
        <v>6115</v>
      </c>
      <c r="I1211" s="1576">
        <f t="shared" si="173"/>
        <v>12.74</v>
      </c>
      <c r="K1211" s="1577">
        <f>ROUND(I1211*$B1211,0)</f>
        <v>6115</v>
      </c>
      <c r="M1211" s="1578" t="e">
        <f>I1211*#REF!</f>
        <v>#REF!</v>
      </c>
      <c r="N1211" s="1570"/>
      <c r="O1211" s="1606"/>
      <c r="P1211" s="1571"/>
      <c r="Q1211" s="1571"/>
      <c r="R1211" s="1535"/>
      <c r="S1211" s="1535"/>
      <c r="T1211" s="1538"/>
      <c r="U1211" s="1538"/>
      <c r="V1211" s="1538"/>
      <c r="W1211" s="1538"/>
      <c r="X1211" s="1570"/>
      <c r="Y1211" s="1570"/>
      <c r="Z1211" s="1606"/>
      <c r="AA1211" s="1606"/>
      <c r="AB1211" s="1766"/>
      <c r="AC1211" s="1606"/>
      <c r="AD1211" s="1570"/>
      <c r="AE1211" s="1570"/>
      <c r="AF1211" s="1570"/>
      <c r="AG1211" s="1570"/>
      <c r="AH1211" s="1570"/>
    </row>
    <row r="1212" spans="1:34">
      <c r="A1212" s="1569" t="s">
        <v>358</v>
      </c>
      <c r="B1212" s="1575">
        <f>348</f>
        <v>348</v>
      </c>
      <c r="C1212" s="1576">
        <v>20.290000000000003</v>
      </c>
      <c r="E1212" s="1577">
        <f>ROUND(C1212*$B1212,0)</f>
        <v>7061</v>
      </c>
      <c r="F1212" s="1576">
        <v>21.39</v>
      </c>
      <c r="H1212" s="1577">
        <f t="shared" si="174"/>
        <v>7444</v>
      </c>
      <c r="I1212" s="1576">
        <f t="shared" si="173"/>
        <v>21.39</v>
      </c>
      <c r="K1212" s="1577">
        <f>ROUND(I1212*$B1212,0)</f>
        <v>7444</v>
      </c>
      <c r="M1212" s="1578" t="e">
        <f>I1212*#REF!</f>
        <v>#REF!</v>
      </c>
      <c r="N1212" s="1570"/>
      <c r="O1212" s="1606"/>
      <c r="P1212" s="1571"/>
      <c r="Q1212" s="1571"/>
      <c r="R1212" s="1535"/>
      <c r="S1212" s="1535"/>
      <c r="T1212" s="1538"/>
      <c r="U1212" s="1538"/>
      <c r="V1212" s="1538"/>
      <c r="W1212" s="1538"/>
      <c r="X1212" s="1767"/>
      <c r="Y1212" s="1767"/>
      <c r="Z1212" s="1606"/>
      <c r="AA1212" s="1606"/>
      <c r="AB1212" s="1766"/>
      <c r="AC1212" s="1606"/>
      <c r="AD1212" s="1570"/>
      <c r="AE1212" s="1570"/>
      <c r="AF1212" s="1570"/>
      <c r="AG1212" s="1570"/>
      <c r="AH1212" s="1570"/>
    </row>
    <row r="1213" spans="1:34">
      <c r="A1213" s="1569" t="s">
        <v>359</v>
      </c>
      <c r="B1213" s="1575">
        <v>0</v>
      </c>
      <c r="C1213" s="1576">
        <v>37.64</v>
      </c>
      <c r="E1213" s="1577">
        <f>ROUND(C1213*$B1213,0)</f>
        <v>0</v>
      </c>
      <c r="F1213" s="1576">
        <v>39.67</v>
      </c>
      <c r="H1213" s="1577">
        <f t="shared" si="174"/>
        <v>0</v>
      </c>
      <c r="I1213" s="1576">
        <f t="shared" si="173"/>
        <v>39.67</v>
      </c>
      <c r="K1213" s="1577">
        <f>ROUND(I1213*$B1213,0)</f>
        <v>0</v>
      </c>
      <c r="M1213" s="1578" t="e">
        <f>I1213*#REF!</f>
        <v>#REF!</v>
      </c>
      <c r="N1213" s="1570"/>
      <c r="O1213" s="1606"/>
      <c r="P1213" s="1571"/>
      <c r="Q1213" s="1571"/>
      <c r="R1213" s="1535"/>
      <c r="S1213" s="1535"/>
      <c r="T1213" s="1538"/>
      <c r="U1213" s="1538"/>
      <c r="V1213" s="1538"/>
      <c r="W1213" s="1538"/>
      <c r="X1213" s="1767"/>
      <c r="Y1213" s="1767"/>
      <c r="Z1213" s="1606"/>
      <c r="AA1213" s="1606"/>
      <c r="AB1213" s="1766"/>
      <c r="AC1213" s="1606"/>
      <c r="AD1213" s="1570"/>
      <c r="AE1213" s="1570"/>
      <c r="AF1213" s="1570"/>
      <c r="AG1213" s="1570"/>
      <c r="AH1213" s="1570"/>
    </row>
    <row r="1214" spans="1:34">
      <c r="A1214" s="1569" t="s">
        <v>512</v>
      </c>
      <c r="B1214" s="1575"/>
      <c r="C1214" s="1583"/>
      <c r="E1214" s="1574"/>
      <c r="F1214" s="1583"/>
      <c r="H1214" s="1574"/>
      <c r="I1214" s="1576"/>
      <c r="M1214" s="1570"/>
      <c r="N1214" s="1570"/>
      <c r="O1214" s="1570"/>
      <c r="P1214" s="1768"/>
      <c r="Q1214" s="1768"/>
      <c r="R1214" s="1768"/>
      <c r="S1214" s="1768"/>
      <c r="T1214" s="1769"/>
      <c r="U1214" s="1769"/>
      <c r="V1214" s="1769"/>
      <c r="W1214" s="1769"/>
      <c r="X1214" s="1767"/>
      <c r="Y1214" s="1767"/>
      <c r="Z1214" s="1597"/>
      <c r="AA1214" s="1570"/>
      <c r="AB1214" s="1766"/>
      <c r="AC1214" s="1570"/>
      <c r="AD1214" s="1570"/>
      <c r="AE1214" s="1570"/>
      <c r="AF1214" s="1570"/>
      <c r="AG1214" s="1570"/>
      <c r="AH1214" s="1570"/>
    </row>
    <row r="1215" spans="1:34">
      <c r="A1215" s="1569" t="s">
        <v>357</v>
      </c>
      <c r="B1215" s="1575">
        <v>0</v>
      </c>
      <c r="C1215" s="1576">
        <v>11.44</v>
      </c>
      <c r="E1215" s="1577">
        <f>ROUND(C1215*$B1215,0)</f>
        <v>0</v>
      </c>
      <c r="F1215" s="1576">
        <v>12.06</v>
      </c>
      <c r="H1215" s="1577">
        <f t="shared" ref="H1215:H1216" si="175">ROUND(B1215*F1215,0)</f>
        <v>0</v>
      </c>
      <c r="I1215" s="1576">
        <f t="shared" si="173"/>
        <v>12.06</v>
      </c>
      <c r="K1215" s="1577">
        <f>ROUND(I1215*$B1215,0)</f>
        <v>0</v>
      </c>
      <c r="M1215" s="1578" t="e">
        <f>I1215*#REF!</f>
        <v>#REF!</v>
      </c>
      <c r="N1215" s="1570"/>
      <c r="O1215" s="1606"/>
      <c r="P1215" s="1571"/>
      <c r="Q1215" s="1571"/>
      <c r="R1215" s="1535"/>
      <c r="S1215" s="1535"/>
      <c r="T1215" s="1538"/>
      <c r="U1215" s="1538"/>
      <c r="V1215" s="1538"/>
      <c r="W1215" s="1538"/>
      <c r="X1215" s="1767"/>
      <c r="Y1215" s="1767"/>
      <c r="Z1215" s="1606"/>
      <c r="AA1215" s="1606"/>
      <c r="AB1215" s="1766"/>
      <c r="AC1215" s="1606"/>
      <c r="AD1215" s="1570"/>
      <c r="AE1215" s="1570"/>
      <c r="AF1215" s="1570"/>
      <c r="AG1215" s="1570"/>
      <c r="AH1215" s="1570"/>
    </row>
    <row r="1216" spans="1:34">
      <c r="A1216" s="1569" t="s">
        <v>358</v>
      </c>
      <c r="B1216" s="1575">
        <v>0</v>
      </c>
      <c r="C1216" s="1576">
        <v>19.18</v>
      </c>
      <c r="E1216" s="1577">
        <f>ROUND(C1216*$B1216,0)</f>
        <v>0</v>
      </c>
      <c r="F1216" s="1576">
        <v>20.22</v>
      </c>
      <c r="H1216" s="1577">
        <f t="shared" si="175"/>
        <v>0</v>
      </c>
      <c r="I1216" s="1576">
        <f t="shared" si="173"/>
        <v>20.22</v>
      </c>
      <c r="K1216" s="1577">
        <f>ROUND(I1216*$B1216,0)</f>
        <v>0</v>
      </c>
      <c r="M1216" s="1578" t="e">
        <f>I1216*#REF!</f>
        <v>#REF!</v>
      </c>
      <c r="N1216" s="1570"/>
      <c r="O1216" s="1606"/>
      <c r="P1216" s="1571"/>
      <c r="Q1216" s="1571"/>
      <c r="R1216" s="1535"/>
      <c r="S1216" s="1535"/>
      <c r="T1216" s="1538"/>
      <c r="U1216" s="1538"/>
      <c r="V1216" s="1538"/>
      <c r="W1216" s="1538"/>
      <c r="X1216" s="1767"/>
      <c r="Y1216" s="1767"/>
      <c r="Z1216" s="1606"/>
      <c r="AA1216" s="1606"/>
      <c r="AB1216" s="1766"/>
      <c r="AC1216" s="1606"/>
      <c r="AD1216" s="1570"/>
      <c r="AE1216" s="1570"/>
      <c r="AF1216" s="1570"/>
      <c r="AG1216" s="1570"/>
      <c r="AH1216" s="1570"/>
    </row>
    <row r="1217" spans="1:36">
      <c r="A1217" s="1764" t="s">
        <v>514</v>
      </c>
      <c r="B1217" s="1575"/>
      <c r="C1217" s="1583"/>
      <c r="D1217" s="1619"/>
      <c r="E1217" s="1619"/>
      <c r="F1217" s="1583"/>
      <c r="G1217" s="1619"/>
      <c r="H1217" s="1619"/>
      <c r="I1217" s="1576"/>
      <c r="J1217" s="1619"/>
      <c r="K1217" s="1619"/>
      <c r="M1217" s="1570"/>
      <c r="N1217" s="1570"/>
      <c r="O1217" s="1570"/>
      <c r="P1217" s="1768"/>
      <c r="Q1217" s="1768"/>
      <c r="R1217" s="1768"/>
      <c r="S1217" s="1768"/>
      <c r="T1217" s="1769"/>
      <c r="U1217" s="1769"/>
      <c r="V1217" s="1769"/>
      <c r="W1217" s="1769"/>
      <c r="X1217" s="1767"/>
      <c r="Y1217" s="1767"/>
      <c r="Z1217" s="1597"/>
      <c r="AA1217" s="1570"/>
      <c r="AB1217" s="1766"/>
      <c r="AC1217" s="1570"/>
      <c r="AD1217" s="1570"/>
      <c r="AE1217" s="1570"/>
      <c r="AF1217" s="1570"/>
      <c r="AG1217" s="1570"/>
      <c r="AH1217" s="1570"/>
    </row>
    <row r="1218" spans="1:36">
      <c r="A1218" s="1569" t="s">
        <v>511</v>
      </c>
      <c r="B1218" s="1575"/>
      <c r="C1218" s="1583"/>
      <c r="E1218" s="1574"/>
      <c r="F1218" s="1583"/>
      <c r="H1218" s="1574"/>
      <c r="I1218" s="1576"/>
      <c r="M1218" s="1570"/>
      <c r="N1218" s="1570"/>
      <c r="O1218" s="1570"/>
      <c r="P1218" s="1768"/>
      <c r="Q1218" s="1768"/>
      <c r="R1218" s="1768"/>
      <c r="S1218" s="1768"/>
      <c r="T1218" s="1769"/>
      <c r="U1218" s="1769"/>
      <c r="V1218" s="1769"/>
      <c r="W1218" s="1769"/>
      <c r="X1218" s="1767"/>
      <c r="Y1218" s="1767"/>
      <c r="Z1218" s="1597"/>
      <c r="AA1218" s="1570"/>
      <c r="AB1218" s="1766"/>
      <c r="AC1218" s="1570"/>
      <c r="AD1218" s="1570"/>
      <c r="AE1218" s="1570"/>
      <c r="AF1218" s="1570"/>
      <c r="AG1218" s="1570"/>
      <c r="AH1218" s="1570"/>
    </row>
    <row r="1219" spans="1:36">
      <c r="A1219" s="1569" t="s">
        <v>357</v>
      </c>
      <c r="B1219" s="1575">
        <v>0</v>
      </c>
      <c r="C1219" s="1576">
        <v>12.08</v>
      </c>
      <c r="E1219" s="1577">
        <f>ROUND(C1219*$B1219,0)</f>
        <v>0</v>
      </c>
      <c r="F1219" s="1576">
        <v>12.73</v>
      </c>
      <c r="H1219" s="1577">
        <f t="shared" ref="H1219:H1221" si="176">ROUND(B1219*F1219,0)</f>
        <v>0</v>
      </c>
      <c r="I1219" s="1576">
        <f t="shared" si="173"/>
        <v>12.73</v>
      </c>
      <c r="K1219" s="1577">
        <f>ROUND(I1219*$B1219,0)</f>
        <v>0</v>
      </c>
      <c r="M1219" s="1578" t="e">
        <f>I1219*#REF!</f>
        <v>#REF!</v>
      </c>
      <c r="N1219" s="1570"/>
      <c r="O1219" s="1606"/>
      <c r="P1219" s="1571"/>
      <c r="Q1219" s="1571"/>
      <c r="R1219" s="1535"/>
      <c r="S1219" s="1535"/>
      <c r="T1219" s="1538"/>
      <c r="U1219" s="1538"/>
      <c r="V1219" s="1538"/>
      <c r="W1219" s="1538"/>
      <c r="X1219" s="1767"/>
      <c r="Y1219" s="1767"/>
      <c r="Z1219" s="1606"/>
      <c r="AA1219" s="1606"/>
      <c r="AB1219" s="1766"/>
      <c r="AC1219" s="1606"/>
      <c r="AD1219" s="1570"/>
      <c r="AE1219" s="1570"/>
      <c r="AF1219" s="1570"/>
      <c r="AG1219" s="1570"/>
      <c r="AH1219" s="1570"/>
    </row>
    <row r="1220" spans="1:36">
      <c r="A1220" s="1569" t="s">
        <v>358</v>
      </c>
      <c r="B1220" s="1575">
        <v>0</v>
      </c>
      <c r="C1220" s="1576">
        <v>19.64</v>
      </c>
      <c r="E1220" s="1577">
        <f>ROUND(C1220*$B1220,0)</f>
        <v>0</v>
      </c>
      <c r="F1220" s="1576">
        <v>20.7</v>
      </c>
      <c r="H1220" s="1577">
        <f t="shared" si="176"/>
        <v>0</v>
      </c>
      <c r="I1220" s="1576">
        <f t="shared" si="173"/>
        <v>20.7</v>
      </c>
      <c r="K1220" s="1577">
        <f>ROUND(I1220*$B1220,0)</f>
        <v>0</v>
      </c>
      <c r="M1220" s="1578" t="e">
        <f>I1220*#REF!</f>
        <v>#REF!</v>
      </c>
      <c r="N1220" s="1570"/>
      <c r="O1220" s="1606"/>
      <c r="P1220" s="1571"/>
      <c r="Q1220" s="1571"/>
      <c r="R1220" s="1535"/>
      <c r="S1220" s="1535"/>
      <c r="T1220" s="1538"/>
      <c r="U1220" s="1538"/>
      <c r="V1220" s="1538"/>
      <c r="W1220" s="1538"/>
      <c r="X1220" s="1767"/>
      <c r="Y1220" s="1767"/>
      <c r="Z1220" s="1606"/>
      <c r="AA1220" s="1606"/>
      <c r="AB1220" s="1766"/>
      <c r="AC1220" s="1606"/>
      <c r="AD1220" s="1570"/>
      <c r="AE1220" s="1570"/>
      <c r="AF1220" s="1570"/>
      <c r="AG1220" s="1570"/>
      <c r="AH1220" s="1570"/>
    </row>
    <row r="1221" spans="1:36">
      <c r="A1221" s="1569" t="s">
        <v>359</v>
      </c>
      <c r="B1221" s="1575">
        <v>0</v>
      </c>
      <c r="C1221" s="1576">
        <v>36.99</v>
      </c>
      <c r="E1221" s="1577">
        <f>ROUND(C1221*$B1221,0)</f>
        <v>0</v>
      </c>
      <c r="F1221" s="1576">
        <v>38.99</v>
      </c>
      <c r="H1221" s="1577">
        <f t="shared" si="176"/>
        <v>0</v>
      </c>
      <c r="I1221" s="1576">
        <f t="shared" si="173"/>
        <v>38.99</v>
      </c>
      <c r="K1221" s="1577">
        <f>ROUND(I1221*$B1221,0)</f>
        <v>0</v>
      </c>
      <c r="M1221" s="1578" t="e">
        <f>I1221*#REF!</f>
        <v>#REF!</v>
      </c>
      <c r="N1221" s="1570"/>
      <c r="O1221" s="1606"/>
      <c r="P1221" s="1571"/>
      <c r="Q1221" s="1571"/>
      <c r="R1221" s="1535"/>
      <c r="S1221" s="1535"/>
      <c r="T1221" s="1538"/>
      <c r="U1221" s="1538"/>
      <c r="V1221" s="1538"/>
      <c r="W1221" s="1538"/>
      <c r="X1221" s="1767"/>
      <c r="Y1221" s="1767"/>
      <c r="Z1221" s="1606"/>
      <c r="AA1221" s="1606"/>
      <c r="AB1221" s="1766"/>
      <c r="AC1221" s="1606"/>
      <c r="AD1221" s="1570"/>
      <c r="AE1221" s="1570"/>
      <c r="AF1221" s="1570"/>
      <c r="AG1221" s="1570"/>
      <c r="AH1221" s="1570"/>
    </row>
    <row r="1222" spans="1:36">
      <c r="A1222" s="1569" t="s">
        <v>512</v>
      </c>
      <c r="B1222" s="1575"/>
      <c r="C1222" s="1583"/>
      <c r="E1222" s="1574"/>
      <c r="F1222" s="1583"/>
      <c r="H1222" s="1574"/>
      <c r="I1222" s="1576"/>
      <c r="M1222" s="1570"/>
      <c r="N1222" s="1570"/>
      <c r="O1222" s="1570"/>
      <c r="P1222" s="1768"/>
      <c r="Q1222" s="1768"/>
      <c r="R1222" s="1768"/>
      <c r="S1222" s="1768"/>
      <c r="T1222" s="1769"/>
      <c r="U1222" s="1769"/>
      <c r="V1222" s="1769"/>
      <c r="W1222" s="1769"/>
      <c r="X1222" s="1767"/>
      <c r="Y1222" s="1767"/>
      <c r="Z1222" s="1597"/>
      <c r="AA1222" s="1570"/>
      <c r="AB1222" s="1766"/>
      <c r="AC1222" s="1570"/>
      <c r="AD1222" s="1570"/>
      <c r="AE1222" s="1570"/>
      <c r="AF1222" s="1570"/>
      <c r="AG1222" s="1570"/>
      <c r="AH1222" s="1570"/>
    </row>
    <row r="1223" spans="1:36">
      <c r="A1223" s="1569" t="s">
        <v>357</v>
      </c>
      <c r="B1223" s="1575">
        <v>0</v>
      </c>
      <c r="C1223" s="1576">
        <v>11.44</v>
      </c>
      <c r="E1223" s="1577">
        <f>ROUND(C1223*$B1223,0)</f>
        <v>0</v>
      </c>
      <c r="F1223" s="1576">
        <v>12.06</v>
      </c>
      <c r="H1223" s="1577">
        <f t="shared" ref="H1223:H1224" si="177">ROUND(B1223*F1223,0)</f>
        <v>0</v>
      </c>
      <c r="I1223" s="1576">
        <f t="shared" si="173"/>
        <v>12.06</v>
      </c>
      <c r="K1223" s="1577">
        <f>ROUND(I1223*$B1223,0)</f>
        <v>0</v>
      </c>
      <c r="M1223" s="1578" t="e">
        <f>I1223*#REF!</f>
        <v>#REF!</v>
      </c>
      <c r="N1223" s="1570"/>
      <c r="O1223" s="1606"/>
      <c r="P1223" s="1571"/>
      <c r="Q1223" s="1571"/>
      <c r="R1223" s="1535"/>
      <c r="S1223" s="1535"/>
      <c r="T1223" s="1538"/>
      <c r="U1223" s="1538"/>
      <c r="V1223" s="1538"/>
      <c r="W1223" s="1538"/>
      <c r="X1223" s="1767"/>
      <c r="Y1223" s="1767"/>
      <c r="Z1223" s="1606"/>
      <c r="AA1223" s="1606"/>
      <c r="AB1223" s="1766"/>
      <c r="AC1223" s="1606"/>
      <c r="AD1223" s="1570"/>
      <c r="AE1223" s="1570"/>
      <c r="AF1223" s="1570"/>
      <c r="AG1223" s="1570"/>
      <c r="AH1223" s="1570"/>
    </row>
    <row r="1224" spans="1:36">
      <c r="A1224" s="1569" t="s">
        <v>358</v>
      </c>
      <c r="B1224" s="1575">
        <v>0</v>
      </c>
      <c r="C1224" s="1576">
        <v>18.53</v>
      </c>
      <c r="E1224" s="1577">
        <f>ROUND(C1224*$B1224,0)</f>
        <v>0</v>
      </c>
      <c r="F1224" s="1576">
        <v>19.53</v>
      </c>
      <c r="H1224" s="1577">
        <f t="shared" si="177"/>
        <v>0</v>
      </c>
      <c r="I1224" s="1576">
        <f t="shared" si="173"/>
        <v>19.53</v>
      </c>
      <c r="K1224" s="1577">
        <f>ROUND(I1224*$B1224,0)</f>
        <v>0</v>
      </c>
      <c r="M1224" s="1578" t="e">
        <f>I1224*#REF!</f>
        <v>#REF!</v>
      </c>
      <c r="N1224" s="1570"/>
      <c r="O1224" s="1606"/>
      <c r="P1224" s="1571"/>
      <c r="Q1224" s="1571"/>
      <c r="R1224" s="1535"/>
      <c r="S1224" s="1535"/>
      <c r="T1224" s="1538"/>
      <c r="U1224" s="1538"/>
      <c r="V1224" s="1538"/>
      <c r="W1224" s="1538"/>
      <c r="X1224" s="1767"/>
      <c r="Y1224" s="1767"/>
      <c r="Z1224" s="1606"/>
      <c r="AA1224" s="1606"/>
      <c r="AB1224" s="1766"/>
      <c r="AC1224" s="1606"/>
      <c r="AD1224" s="1570"/>
      <c r="AE1224" s="1570"/>
      <c r="AF1224" s="1570"/>
      <c r="AG1224" s="1570"/>
      <c r="AH1224" s="1570"/>
    </row>
    <row r="1225" spans="1:36">
      <c r="A1225" s="1764" t="s">
        <v>515</v>
      </c>
      <c r="B1225" s="1575"/>
      <c r="C1225" s="1583"/>
      <c r="D1225" s="1619"/>
      <c r="E1225" s="1619"/>
      <c r="F1225" s="1583"/>
      <c r="G1225" s="1619"/>
      <c r="H1225" s="1619"/>
      <c r="I1225" s="1576"/>
      <c r="J1225" s="1619"/>
      <c r="K1225" s="1619"/>
      <c r="M1225" s="1570"/>
      <c r="N1225" s="1570"/>
      <c r="O1225" s="1570"/>
      <c r="P1225" s="1768"/>
      <c r="Q1225" s="1768"/>
      <c r="R1225" s="1768"/>
      <c r="S1225" s="1768"/>
      <c r="T1225" s="1769"/>
      <c r="U1225" s="1769"/>
      <c r="V1225" s="1769"/>
      <c r="W1225" s="1769"/>
      <c r="X1225" s="1767"/>
      <c r="Y1225" s="1767"/>
      <c r="Z1225" s="1597"/>
      <c r="AA1225" s="1570"/>
      <c r="AB1225" s="1766"/>
      <c r="AC1225" s="1570"/>
      <c r="AD1225" s="1570"/>
      <c r="AE1225" s="1570"/>
      <c r="AF1225" s="1570"/>
      <c r="AG1225" s="1570"/>
      <c r="AH1225" s="1570"/>
    </row>
    <row r="1226" spans="1:36">
      <c r="A1226" s="1569" t="s">
        <v>357</v>
      </c>
      <c r="B1226" s="1575">
        <f>444</f>
        <v>444</v>
      </c>
      <c r="C1226" s="1576">
        <v>9.67</v>
      </c>
      <c r="E1226" s="1577">
        <f>ROUND(C1226*$B1226,0)</f>
        <v>4293</v>
      </c>
      <c r="F1226" s="1576">
        <v>10.19</v>
      </c>
      <c r="H1226" s="1577">
        <f t="shared" ref="H1226:H1228" si="178">ROUND(B1226*F1226,0)</f>
        <v>4524</v>
      </c>
      <c r="I1226" s="1576">
        <f t="shared" si="173"/>
        <v>10.19</v>
      </c>
      <c r="K1226" s="1577">
        <f>ROUND(I1226*$B1226,0)</f>
        <v>4524</v>
      </c>
      <c r="M1226" s="1578" t="e">
        <f>I1226*#REF!</f>
        <v>#REF!</v>
      </c>
      <c r="N1226" s="1570"/>
      <c r="O1226" s="1606"/>
      <c r="P1226" s="1571"/>
      <c r="Q1226" s="1571"/>
      <c r="R1226" s="1535"/>
      <c r="S1226" s="1535"/>
      <c r="T1226" s="1538"/>
      <c r="U1226" s="1538"/>
      <c r="V1226" s="1538"/>
      <c r="W1226" s="1538"/>
      <c r="X1226" s="1767"/>
      <c r="Y1226" s="1767"/>
      <c r="Z1226" s="1606"/>
      <c r="AA1226" s="1606"/>
      <c r="AB1226" s="1766"/>
      <c r="AC1226" s="1606"/>
      <c r="AD1226" s="1570"/>
      <c r="AE1226" s="1570"/>
      <c r="AF1226" s="1570"/>
      <c r="AG1226" s="1570"/>
      <c r="AH1226" s="1570"/>
    </row>
    <row r="1227" spans="1:36">
      <c r="A1227" s="1569" t="s">
        <v>358</v>
      </c>
      <c r="B1227" s="1575">
        <f>828</f>
        <v>828</v>
      </c>
      <c r="C1227" s="1576">
        <v>16.93</v>
      </c>
      <c r="E1227" s="1577">
        <f>ROUND(C1227*$B1227,0)</f>
        <v>14018</v>
      </c>
      <c r="F1227" s="1576">
        <v>17.84</v>
      </c>
      <c r="H1227" s="1577">
        <f t="shared" si="178"/>
        <v>14772</v>
      </c>
      <c r="I1227" s="1576">
        <f>F1227</f>
        <v>17.84</v>
      </c>
      <c r="K1227" s="1577">
        <f>ROUND(I1227*$B1227,0)</f>
        <v>14772</v>
      </c>
      <c r="M1227" s="1578" t="e">
        <f>I1227*#REF!</f>
        <v>#REF!</v>
      </c>
      <c r="N1227" s="1570"/>
      <c r="O1227" s="1606"/>
      <c r="P1227" s="1571"/>
      <c r="Q1227" s="1571"/>
      <c r="R1227" s="1535"/>
      <c r="S1227" s="1535"/>
      <c r="T1227" s="1538"/>
      <c r="U1227" s="1538"/>
      <c r="V1227" s="1538"/>
      <c r="W1227" s="1538"/>
      <c r="X1227" s="1767"/>
      <c r="Y1227" s="1767"/>
      <c r="Z1227" s="1606"/>
      <c r="AA1227" s="1606"/>
      <c r="AB1227" s="1766"/>
      <c r="AC1227" s="1606"/>
      <c r="AD1227" s="1570"/>
      <c r="AE1227" s="1570"/>
      <c r="AF1227" s="1570"/>
      <c r="AG1227" s="1570"/>
      <c r="AH1227" s="1570"/>
    </row>
    <row r="1228" spans="1:36">
      <c r="A1228" s="1569" t="s">
        <v>359</v>
      </c>
      <c r="B1228" s="1575">
        <v>0</v>
      </c>
      <c r="C1228" s="1576">
        <v>36.159999999999997</v>
      </c>
      <c r="E1228" s="1577">
        <f>ROUND(C1228*$B1228,0)</f>
        <v>0</v>
      </c>
      <c r="F1228" s="1576">
        <v>38.11</v>
      </c>
      <c r="H1228" s="1577">
        <f t="shared" si="178"/>
        <v>0</v>
      </c>
      <c r="I1228" s="1576">
        <f>F1228</f>
        <v>38.11</v>
      </c>
      <c r="K1228" s="1577">
        <f>ROUND(I1228*$B1228,0)</f>
        <v>0</v>
      </c>
      <c r="M1228" s="1578" t="e">
        <f>I1228*#REF!</f>
        <v>#REF!</v>
      </c>
      <c r="N1228" s="1570"/>
      <c r="O1228" s="1606"/>
      <c r="P1228" s="1571"/>
      <c r="Q1228" s="1571"/>
      <c r="R1228" s="1535"/>
      <c r="S1228" s="1535"/>
      <c r="T1228" s="1538"/>
      <c r="U1228" s="1538"/>
      <c r="V1228" s="1538"/>
      <c r="W1228" s="1538"/>
      <c r="X1228" s="1767"/>
      <c r="Y1228" s="1767"/>
      <c r="Z1228" s="1606"/>
      <c r="AA1228" s="1606"/>
      <c r="AB1228" s="1766"/>
      <c r="AC1228" s="1606"/>
      <c r="AD1228" s="1570"/>
      <c r="AE1228" s="1570"/>
      <c r="AF1228" s="1570"/>
      <c r="AG1228" s="1570"/>
      <c r="AH1228" s="1570"/>
    </row>
    <row r="1229" spans="1:36">
      <c r="A1229" s="1770" t="s">
        <v>516</v>
      </c>
      <c r="B1229" s="1575"/>
      <c r="C1229" s="1576"/>
      <c r="E1229" s="1577"/>
      <c r="F1229" s="1576"/>
      <c r="H1229" s="1577"/>
      <c r="I1229" s="1576"/>
      <c r="K1229" s="1577"/>
      <c r="M1229" s="1570"/>
      <c r="N1229" s="1570"/>
      <c r="O1229" s="1570"/>
      <c r="P1229" s="1768"/>
      <c r="Q1229" s="1768"/>
      <c r="R1229" s="1768"/>
      <c r="S1229" s="1768"/>
      <c r="T1229" s="1771"/>
      <c r="U1229" s="1771"/>
      <c r="V1229" s="1771"/>
      <c r="W1229" s="1771"/>
      <c r="X1229" s="1767"/>
      <c r="Y1229" s="1767"/>
      <c r="Z1229" s="1597"/>
      <c r="AA1229" s="1570"/>
      <c r="AB1229" s="1766"/>
      <c r="AC1229" s="1570"/>
      <c r="AD1229" s="1570"/>
      <c r="AE1229" s="1570"/>
      <c r="AF1229" s="1570"/>
      <c r="AG1229" s="1570"/>
      <c r="AH1229" s="1570"/>
    </row>
    <row r="1230" spans="1:36">
      <c r="A1230" s="1569" t="s">
        <v>517</v>
      </c>
      <c r="B1230" s="1575">
        <v>0</v>
      </c>
      <c r="C1230" s="1576">
        <v>34.700000000000003</v>
      </c>
      <c r="E1230" s="1577">
        <f>ROUND(C1230*$B1230,0)</f>
        <v>0</v>
      </c>
      <c r="F1230" s="1576">
        <v>36.57</v>
      </c>
      <c r="H1230" s="1577">
        <f t="shared" ref="H1230" si="179">ROUND(B1230*F1230,0)</f>
        <v>0</v>
      </c>
      <c r="I1230" s="1576">
        <f>F1230</f>
        <v>36.57</v>
      </c>
      <c r="K1230" s="1577">
        <f>ROUND(I1230*$B1230,0)</f>
        <v>0</v>
      </c>
      <c r="M1230" s="1578" t="e">
        <f>I1230*#REF!</f>
        <v>#REF!</v>
      </c>
      <c r="N1230" s="1570"/>
      <c r="O1230" s="1606"/>
      <c r="P1230" s="1571"/>
      <c r="Q1230" s="1571"/>
      <c r="R1230" s="1535"/>
      <c r="S1230" s="1535"/>
      <c r="T1230" s="1538"/>
      <c r="U1230" s="1538"/>
      <c r="V1230" s="1538"/>
      <c r="W1230" s="1538"/>
      <c r="X1230" s="1767"/>
      <c r="Y1230" s="1767"/>
      <c r="Z1230" s="1606"/>
      <c r="AA1230" s="1606"/>
      <c r="AB1230" s="1766"/>
      <c r="AC1230" s="1606"/>
      <c r="AD1230" s="1570"/>
      <c r="AE1230" s="1570"/>
      <c r="AF1230" s="1570"/>
      <c r="AG1230" s="1570"/>
      <c r="AH1230" s="1570"/>
    </row>
    <row r="1231" spans="1:36">
      <c r="A1231" s="1569" t="s">
        <v>365</v>
      </c>
      <c r="B1231" s="1575">
        <f>493</f>
        <v>493</v>
      </c>
      <c r="C1231" s="1772"/>
      <c r="E1231" s="1577"/>
      <c r="F1231" s="1772"/>
      <c r="H1231" s="1577"/>
      <c r="I1231" s="1772"/>
      <c r="K1231" s="1577"/>
      <c r="N1231" s="1570"/>
      <c r="O1231" s="1606"/>
      <c r="P1231" s="1773"/>
      <c r="Q1231" s="1773"/>
      <c r="R1231" s="1570"/>
      <c r="S1231" s="1570"/>
      <c r="T1231" s="1423"/>
      <c r="U1231" s="1423"/>
      <c r="V1231" s="1423"/>
      <c r="W1231" s="1423"/>
      <c r="X1231" s="1530"/>
      <c r="Y1231" s="1530"/>
      <c r="Z1231" s="1606"/>
      <c r="AA1231" s="1606"/>
      <c r="AB1231" s="1606"/>
      <c r="AC1231" s="1606"/>
      <c r="AD1231" s="1570"/>
      <c r="AE1231" s="1570"/>
      <c r="AF1231" s="1570"/>
      <c r="AG1231" s="1570"/>
      <c r="AH1231" s="1570"/>
    </row>
    <row r="1232" spans="1:36" s="1621" customFormat="1">
      <c r="A1232" s="1621" t="s">
        <v>938</v>
      </c>
      <c r="B1232" s="1688">
        <f>B1233</f>
        <v>1960718</v>
      </c>
      <c r="C1232" s="1623"/>
      <c r="D1232" s="1624"/>
      <c r="E1232" s="1625"/>
      <c r="F1232" s="1623"/>
      <c r="G1232" s="1624"/>
      <c r="H1232" s="1625"/>
      <c r="I1232" s="1626">
        <v>0</v>
      </c>
      <c r="J1232" s="1689" t="s">
        <v>377</v>
      </c>
      <c r="K1232" s="1689">
        <f>ROUND(I1232*$B1232/100,0)</f>
        <v>0</v>
      </c>
      <c r="M1232" s="1651"/>
      <c r="N1232" s="1651">
        <f>'NPC Spread'!J42</f>
        <v>44836.314839393301</v>
      </c>
      <c r="O1232" s="1652" t="s">
        <v>913</v>
      </c>
      <c r="R1232" s="1653"/>
      <c r="S1232" s="1653"/>
      <c r="X1232" s="1624"/>
      <c r="Y1232" s="1624"/>
      <c r="Z1232" s="1624"/>
      <c r="AA1232" s="1624"/>
      <c r="AB1232" s="1624"/>
      <c r="AC1232" s="1624"/>
      <c r="AD1232" s="1624"/>
      <c r="AE1232" s="1624"/>
      <c r="AF1232" s="1624"/>
      <c r="AG1232" s="1624"/>
      <c r="AH1232" s="1624"/>
      <c r="AJ1232" s="1651"/>
    </row>
    <row r="1233" spans="1:34">
      <c r="A1233" s="1569" t="s">
        <v>384</v>
      </c>
      <c r="B1233" s="1575">
        <f>1960718</f>
        <v>1960718</v>
      </c>
      <c r="C1233" s="1584"/>
      <c r="D1233" s="1570"/>
      <c r="E1233" s="1588">
        <f>SUM(E1203:E1230)</f>
        <v>226043</v>
      </c>
      <c r="F1233" s="1584"/>
      <c r="G1233" s="1570"/>
      <c r="H1233" s="1588">
        <f>SUM(H1203:H1230)</f>
        <v>238251</v>
      </c>
      <c r="I1233" s="1584"/>
      <c r="J1233" s="1570"/>
      <c r="K1233" s="1588">
        <f>SUM(K1203:K1232)</f>
        <v>238251</v>
      </c>
      <c r="M1233" s="1578" t="e">
        <f>SUM(M1203:M1231)</f>
        <v>#REF!</v>
      </c>
      <c r="N1233" s="1570"/>
      <c r="O1233" s="1606"/>
      <c r="P1233" s="1774"/>
      <c r="Q1233" s="1774"/>
      <c r="R1233" s="1570"/>
      <c r="S1233" s="1570"/>
      <c r="T1233" s="1423"/>
      <c r="U1233" s="1423"/>
      <c r="V1233" s="1423"/>
      <c r="W1233" s="1423"/>
      <c r="X1233" s="1530"/>
      <c r="Y1233" s="1530"/>
      <c r="Z1233" s="1531"/>
      <c r="AA1233" s="1530"/>
      <c r="AB1233" s="1530"/>
      <c r="AC1233" s="1530"/>
      <c r="AD1233" s="1570"/>
      <c r="AE1233" s="1570"/>
      <c r="AF1233" s="1570"/>
      <c r="AG1233" s="1570"/>
      <c r="AH1233" s="1570"/>
    </row>
    <row r="1234" spans="1:34">
      <c r="A1234" s="1569" t="s">
        <v>366</v>
      </c>
      <c r="B1234" s="1575">
        <f ca="1">'Table 2'!H125</f>
        <v>-171190.19947704519</v>
      </c>
      <c r="C1234" s="1584"/>
      <c r="D1234" s="1570"/>
      <c r="E1234" s="1588" t="e">
        <f>#REF!</f>
        <v>#REF!</v>
      </c>
      <c r="F1234" s="1584"/>
      <c r="G1234" s="1570"/>
      <c r="H1234" s="1588">
        <f ca="1">'Table 3'!E125</f>
        <v>-19585.785496781922</v>
      </c>
      <c r="I1234" s="1584"/>
      <c r="J1234" s="1570"/>
      <c r="K1234" s="1588">
        <f ca="1">H1234</f>
        <v>-19585.785496781922</v>
      </c>
      <c r="M1234" s="1665"/>
      <c r="N1234" s="1422"/>
      <c r="O1234" s="1423"/>
      <c r="P1234" s="1530"/>
      <c r="Q1234" s="1530"/>
      <c r="R1234" s="1530"/>
      <c r="S1234" s="1530"/>
      <c r="T1234" s="1538"/>
      <c r="U1234" s="1538"/>
      <c r="V1234" s="1538"/>
      <c r="W1234" s="1538"/>
      <c r="X1234" s="1606"/>
      <c r="Y1234" s="1530"/>
      <c r="Z1234" s="1570"/>
      <c r="AA1234" s="1570"/>
      <c r="AB1234" s="1570"/>
      <c r="AC1234" s="1570"/>
      <c r="AD1234" s="1570"/>
      <c r="AE1234" s="1570"/>
      <c r="AF1234" s="1570"/>
      <c r="AG1234" s="1570"/>
      <c r="AH1234" s="1570"/>
    </row>
    <row r="1235" spans="1:34" ht="15.75" thickBot="1">
      <c r="A1235" s="1569" t="s">
        <v>9</v>
      </c>
      <c r="B1235" s="1591">
        <f ca="1">B1233+B1234</f>
        <v>1789527.8005229549</v>
      </c>
      <c r="C1235" s="1592"/>
      <c r="D1235" s="1592"/>
      <c r="E1235" s="1592" t="e">
        <f>E1233+E1234</f>
        <v>#REF!</v>
      </c>
      <c r="F1235" s="1593"/>
      <c r="G1235" s="1593"/>
      <c r="H1235" s="1592">
        <f ca="1">H1233+H1234</f>
        <v>218665.21450321807</v>
      </c>
      <c r="I1235" s="1593"/>
      <c r="J1235" s="1593"/>
      <c r="K1235" s="1592">
        <f ca="1">K1233+K1234</f>
        <v>218665.21450321807</v>
      </c>
      <c r="M1235" s="1672"/>
      <c r="N1235" s="1746" t="s">
        <v>412</v>
      </c>
      <c r="O1235" s="1673">
        <f>'Rate Spread-Staff'!Q39*1000</f>
        <v>218665.21450321807</v>
      </c>
      <c r="P1235" s="1596">
        <f ca="1">(K1235-H1235)/H1235</f>
        <v>0</v>
      </c>
      <c r="Q1235" s="1598"/>
      <c r="R1235" s="1530"/>
      <c r="S1235" s="1530"/>
      <c r="T1235" s="1530"/>
      <c r="U1235" s="1530"/>
      <c r="V1235" s="1530"/>
      <c r="W1235" s="1530"/>
      <c r="X1235" s="1530"/>
      <c r="Y1235" s="1530"/>
      <c r="Z1235" s="1570"/>
      <c r="AA1235" s="1570"/>
      <c r="AB1235" s="1570"/>
      <c r="AC1235" s="1570"/>
      <c r="AD1235" s="1570"/>
      <c r="AE1235" s="1570"/>
      <c r="AF1235" s="1570"/>
      <c r="AG1235" s="1570"/>
      <c r="AH1235" s="1570"/>
    </row>
    <row r="1236" spans="1:34" ht="15.75" thickTop="1">
      <c r="B1236" s="1775" t="s">
        <v>31</v>
      </c>
      <c r="C1236" s="1599"/>
      <c r="D1236" s="1599"/>
      <c r="E1236" s="1574"/>
      <c r="F1236" s="1599"/>
      <c r="G1236" s="1599"/>
      <c r="H1236" s="1574"/>
      <c r="I1236" s="1599" t="s">
        <v>31</v>
      </c>
      <c r="J1236" s="1599"/>
      <c r="K1236" s="1577" t="s">
        <v>31</v>
      </c>
      <c r="M1236" s="1748"/>
      <c r="N1236" s="1749" t="s">
        <v>265</v>
      </c>
      <c r="O1236" s="1602">
        <f ca="1">O1235-K1235</f>
        <v>0</v>
      </c>
      <c r="P1236" s="1728">
        <v>-0.15129999999999999</v>
      </c>
      <c r="Q1236" s="1662"/>
      <c r="R1236" s="1530"/>
      <c r="S1236" s="1530"/>
      <c r="T1236" s="1530"/>
      <c r="U1236" s="1530"/>
      <c r="V1236" s="1530"/>
      <c r="W1236" s="1530"/>
      <c r="X1236" s="1530"/>
      <c r="Y1236" s="1530"/>
      <c r="Z1236" s="1570"/>
      <c r="AA1236" s="1570"/>
      <c r="AB1236" s="1570"/>
      <c r="AC1236" s="1570"/>
      <c r="AD1236" s="1570"/>
      <c r="AE1236" s="1570"/>
      <c r="AF1236" s="1570"/>
      <c r="AG1236" s="1570"/>
      <c r="AH1236" s="1570"/>
    </row>
    <row r="1237" spans="1:34" ht="19.899999999999999" customHeight="1" thickBot="1">
      <c r="A1237" s="1683" t="s">
        <v>518</v>
      </c>
      <c r="B1237" s="1776">
        <f ca="1">B23+B94+B196+B587+B627+B757+B885+B903+B1119+B1132+B1144+B1197+B1235</f>
        <v>4000612315.4745193</v>
      </c>
      <c r="C1237" s="1777"/>
      <c r="D1237" s="1778"/>
      <c r="E1237" s="1778" t="e">
        <f>E23+E94+E196+E587+E627+E757+E885+E903+E1119+E1132+E1144+E1197+E1235</f>
        <v>#REF!</v>
      </c>
      <c r="F1237" s="1777"/>
      <c r="G1237" s="1778"/>
      <c r="H1237" s="1778">
        <f ca="1">H23+H94+H196+H587+H627+H757+H885+H903+H1119+H1132+H1144+H1197+H1235</f>
        <v>303518156.1400001</v>
      </c>
      <c r="I1237" s="1777"/>
      <c r="J1237" s="1778"/>
      <c r="K1237" s="1778">
        <f ca="1">K23+'Pages 2-3, Res Schedules'!K25+K196+K587+K627+K757+K885+K903+K1119+K1132+K1144+K1197+K1235</f>
        <v>318138239.04000008</v>
      </c>
      <c r="M1237" s="1570"/>
      <c r="O1237" s="1569"/>
      <c r="P1237" s="1571"/>
      <c r="Q1237" s="1571"/>
      <c r="R1237" s="1570"/>
      <c r="S1237" s="1570"/>
      <c r="T1237" s="1570"/>
      <c r="U1237" s="1570"/>
      <c r="V1237" s="1570"/>
      <c r="W1237" s="1570"/>
      <c r="X1237" s="1570"/>
      <c r="Y1237" s="1570"/>
      <c r="Z1237" s="1570"/>
      <c r="AA1237" s="1570"/>
      <c r="AB1237" s="1570"/>
      <c r="AC1237" s="1570"/>
    </row>
    <row r="1238" spans="1:34" ht="16.5" thickTop="1" thickBot="1">
      <c r="A1238" s="1585"/>
      <c r="B1238" s="1776"/>
      <c r="C1238" s="1660"/>
      <c r="D1238" s="1577"/>
      <c r="E1238" s="1577"/>
      <c r="F1238" s="1660"/>
      <c r="G1238" s="1585"/>
      <c r="H1238" s="1577"/>
      <c r="I1238" s="1657" t="s">
        <v>31</v>
      </c>
      <c r="J1238" s="1585"/>
      <c r="K1238" s="1577" t="s">
        <v>31</v>
      </c>
      <c r="M1238" s="1570"/>
      <c r="P1238" s="1779" t="s">
        <v>31</v>
      </c>
      <c r="Q1238" s="1779"/>
      <c r="R1238" s="1570"/>
      <c r="S1238" s="1570"/>
      <c r="T1238" s="1570"/>
      <c r="U1238" s="1570"/>
      <c r="V1238" s="1570"/>
      <c r="W1238" s="1570"/>
      <c r="X1238" s="1570"/>
      <c r="Y1238" s="1570"/>
      <c r="Z1238" s="1570"/>
      <c r="AA1238" s="1570"/>
      <c r="AB1238" s="1570"/>
      <c r="AC1238" s="1570"/>
    </row>
    <row r="1239" spans="1:34" ht="15.75" thickTop="1">
      <c r="A1239" s="1585" t="s">
        <v>34</v>
      </c>
      <c r="B1239" s="1780"/>
      <c r="C1239" s="1781"/>
      <c r="D1239" s="1782"/>
      <c r="E1239" s="1782" t="e">
        <f>#REF!+#REF!+#REF!+#REF!+#REF!</f>
        <v>#REF!</v>
      </c>
      <c r="F1239" s="1781"/>
      <c r="G1239" s="1783"/>
      <c r="H1239" s="1782">
        <f ca="1">'Table 3'!D24+'Table 3'!D56+'Table 3'!D87+'Table 3'!D105+'Table 3'!D129</f>
        <v>545052.17999999993</v>
      </c>
      <c r="I1239" s="1784"/>
      <c r="J1239" s="1783"/>
      <c r="K1239" s="1785">
        <f ca="1">H1239</f>
        <v>545052.17999999993</v>
      </c>
      <c r="M1239" s="1570"/>
      <c r="N1239" s="1594" t="s">
        <v>412</v>
      </c>
      <c r="O1239" s="1786">
        <f ca="1">O23+'Pages 2-3, Res Schedules'!O25+O196+O627+O757+O922+O1091+O1119+O1132+O1144+O1197+O1235</f>
        <v>318137797.14000005</v>
      </c>
      <c r="R1239" s="1570"/>
      <c r="S1239" s="1570"/>
      <c r="T1239" s="1570"/>
      <c r="U1239" s="1570"/>
      <c r="V1239" s="1570"/>
      <c r="W1239" s="1570"/>
      <c r="X1239" s="1570"/>
      <c r="Y1239" s="1570"/>
      <c r="Z1239" s="1570"/>
      <c r="AA1239" s="1570"/>
      <c r="AB1239" s="1570"/>
      <c r="AC1239" s="1570"/>
    </row>
    <row r="1240" spans="1:34" ht="19.899999999999999" customHeight="1" thickBot="1">
      <c r="A1240" s="1787" t="s">
        <v>519</v>
      </c>
      <c r="B1240" s="1788">
        <f ca="1">B1237+B1239</f>
        <v>4000612315.4745193</v>
      </c>
      <c r="C1240" s="1789"/>
      <c r="D1240" s="1790"/>
      <c r="E1240" s="1791" t="e">
        <f>E1237+E1239</f>
        <v>#REF!</v>
      </c>
      <c r="F1240" s="1789"/>
      <c r="G1240" s="1790"/>
      <c r="H1240" s="1791">
        <f ca="1">H1237+H1239</f>
        <v>304063208.32000011</v>
      </c>
      <c r="I1240" s="1792"/>
      <c r="J1240" s="1790"/>
      <c r="K1240" s="1791">
        <f ca="1">K1237+K1239</f>
        <v>318683291.22000009</v>
      </c>
      <c r="M1240" s="1570"/>
      <c r="N1240" s="1601" t="s">
        <v>265</v>
      </c>
      <c r="O1240" s="1793">
        <f ca="1">O1239-K1237</f>
        <v>-441.90000003576279</v>
      </c>
      <c r="P1240" s="1569"/>
      <c r="Q1240" s="1569"/>
      <c r="R1240" s="1570"/>
      <c r="S1240" s="1570"/>
      <c r="T1240" s="1570"/>
      <c r="U1240" s="1570"/>
      <c r="V1240" s="1570"/>
      <c r="W1240" s="1570"/>
      <c r="X1240" s="1570"/>
      <c r="Y1240" s="1570"/>
      <c r="Z1240" s="1570"/>
      <c r="AA1240" s="1570"/>
      <c r="AB1240" s="1570"/>
      <c r="AC1240" s="1570"/>
    </row>
    <row r="1241" spans="1:34" ht="15.75" thickTop="1">
      <c r="B1241" s="1720"/>
      <c r="C1241" s="1586"/>
      <c r="F1241" s="1586"/>
      <c r="G1241" s="1586"/>
      <c r="H1241" s="1794"/>
      <c r="K1241" s="1575"/>
      <c r="M1241" s="1570"/>
      <c r="N1241" s="1570"/>
      <c r="O1241" s="1571"/>
      <c r="P1241" s="1571"/>
      <c r="Q1241" s="1571"/>
      <c r="R1241" s="1570"/>
      <c r="S1241" s="1570"/>
      <c r="T1241" s="1570"/>
      <c r="U1241" s="1570"/>
      <c r="V1241" s="1570"/>
      <c r="W1241" s="1570"/>
      <c r="X1241" s="1570"/>
      <c r="Y1241" s="1570"/>
      <c r="Z1241" s="1570"/>
      <c r="AA1241" s="1570"/>
      <c r="AB1241" s="1570"/>
      <c r="AC1241" s="1570"/>
    </row>
    <row r="1242" spans="1:34">
      <c r="A1242" s="1585"/>
      <c r="M1242" s="1570"/>
      <c r="N1242" s="1570"/>
      <c r="O1242" s="1571"/>
      <c r="P1242" s="1571"/>
      <c r="Q1242" s="1571"/>
      <c r="R1242" s="1570"/>
      <c r="S1242" s="1570"/>
      <c r="T1242" s="1570"/>
      <c r="U1242" s="1570"/>
      <c r="V1242" s="1570"/>
      <c r="W1242" s="1570"/>
      <c r="X1242" s="1570"/>
      <c r="Y1242" s="1570"/>
      <c r="Z1242" s="1570"/>
      <c r="AA1242" s="1570"/>
      <c r="AB1242" s="1570"/>
      <c r="AC1242" s="1570"/>
    </row>
    <row r="1243" spans="1:34">
      <c r="A1243" s="1585" t="s">
        <v>170</v>
      </c>
      <c r="B1243" s="1575">
        <f ca="1">'Table 2'!M140</f>
        <v>4000612315.4745183</v>
      </c>
      <c r="E1243" s="1578" t="e">
        <f>#REF!</f>
        <v>#REF!</v>
      </c>
      <c r="H1243" s="1578">
        <f ca="1">'Table 3'!P140</f>
        <v>304063208.36000001</v>
      </c>
      <c r="M1243" s="1570"/>
      <c r="N1243" s="1570"/>
      <c r="O1243" s="1571"/>
      <c r="P1243" s="1571"/>
      <c r="Q1243" s="1571"/>
      <c r="R1243" s="1570"/>
      <c r="S1243" s="1570"/>
      <c r="T1243" s="1570"/>
      <c r="U1243" s="1570"/>
      <c r="V1243" s="1570"/>
      <c r="W1243" s="1570"/>
      <c r="X1243" s="1570"/>
      <c r="Y1243" s="1570"/>
      <c r="Z1243" s="1570"/>
      <c r="AA1243" s="1570"/>
      <c r="AB1243" s="1570"/>
      <c r="AC1243" s="1570"/>
    </row>
    <row r="1244" spans="1:34">
      <c r="B1244" s="1575">
        <f ca="1">'Table 1 - kWh'!F21</f>
        <v>4000612315.4745183</v>
      </c>
      <c r="E1244" s="1578" t="e">
        <f>#REF!</f>
        <v>#REF!</v>
      </c>
      <c r="H1244" s="1578">
        <f ca="1">'Table 1-Revenues'!J21</f>
        <v>304063208.36000001</v>
      </c>
      <c r="M1244" s="1570"/>
      <c r="N1244" s="1570"/>
      <c r="O1244" s="1571"/>
      <c r="P1244" s="1571"/>
      <c r="Q1244" s="1571"/>
      <c r="R1244" s="1570"/>
      <c r="S1244" s="1570"/>
      <c r="T1244" s="1570"/>
      <c r="U1244" s="1570"/>
      <c r="V1244" s="1570"/>
      <c r="W1244" s="1570"/>
      <c r="X1244" s="1570"/>
      <c r="Y1244" s="1570"/>
      <c r="Z1244" s="1570"/>
      <c r="AA1244" s="1570"/>
      <c r="AB1244" s="1570"/>
      <c r="AC1244" s="1570"/>
    </row>
    <row r="1245" spans="1:34">
      <c r="M1245" s="1570"/>
      <c r="N1245" s="1570"/>
      <c r="O1245" s="1571"/>
      <c r="P1245" s="1571"/>
      <c r="Q1245" s="1571"/>
      <c r="R1245" s="1570"/>
      <c r="S1245" s="1570"/>
      <c r="T1245" s="1570"/>
      <c r="U1245" s="1570"/>
      <c r="V1245" s="1570"/>
      <c r="W1245" s="1570"/>
      <c r="X1245" s="1570"/>
      <c r="Y1245" s="1570"/>
      <c r="Z1245" s="1570"/>
      <c r="AA1245" s="1570"/>
      <c r="AB1245" s="1570"/>
      <c r="AC1245" s="1570"/>
    </row>
    <row r="1246" spans="1:34">
      <c r="B1246" s="1575">
        <f ca="1">B1240-B1244</f>
        <v>0</v>
      </c>
      <c r="E1246" s="1575" t="e">
        <f>E1240-E1244</f>
        <v>#REF!</v>
      </c>
      <c r="H1246" s="1575">
        <f ca="1">H1240-H1244</f>
        <v>-3.9999902248382568E-2</v>
      </c>
      <c r="M1246" s="1570"/>
      <c r="N1246" s="1570"/>
      <c r="O1246" s="1571"/>
      <c r="P1246" s="1571"/>
      <c r="Q1246" s="1571"/>
      <c r="R1246" s="1570"/>
      <c r="S1246" s="1570"/>
      <c r="T1246" s="1570"/>
      <c r="U1246" s="1570"/>
      <c r="V1246" s="1570"/>
      <c r="W1246" s="1570"/>
      <c r="X1246" s="1570"/>
      <c r="Y1246" s="1570"/>
      <c r="Z1246" s="1570"/>
      <c r="AA1246" s="1570"/>
      <c r="AB1246" s="1570"/>
      <c r="AC1246" s="1570"/>
    </row>
    <row r="1247" spans="1:34">
      <c r="M1247" s="1570"/>
      <c r="N1247" s="1570"/>
      <c r="O1247" s="1571"/>
      <c r="P1247" s="1571"/>
      <c r="Q1247" s="1571"/>
      <c r="R1247" s="1570"/>
      <c r="S1247" s="1570"/>
      <c r="T1247" s="1570"/>
      <c r="U1247" s="1570"/>
      <c r="V1247" s="1570"/>
      <c r="W1247" s="1570"/>
      <c r="X1247" s="1570"/>
      <c r="Y1247" s="1570"/>
      <c r="Z1247" s="1570"/>
      <c r="AA1247" s="1570"/>
      <c r="AB1247" s="1570"/>
      <c r="AC1247" s="1570"/>
    </row>
    <row r="1249" spans="2:3">
      <c r="B1249" s="1575">
        <f>B20+B82+B168+B596+B714+B871+B893+B1115+B1127+B1140+B1191+B1231</f>
        <v>1530682.1666666595</v>
      </c>
    </row>
    <row r="1250" spans="2:3">
      <c r="B1250" s="1575">
        <f>((B20+B82+B206+B344+B596+B871+B893+B1115+B1127+B1140+B1191+B1231)/12)+B449+B714</f>
        <v>132380.34516742709</v>
      </c>
    </row>
    <row r="1251" spans="2:3">
      <c r="B1251" s="1575">
        <f>'Table 2'!F140</f>
        <v>132378.51388888832</v>
      </c>
      <c r="C1251" s="1589" t="s">
        <v>31</v>
      </c>
    </row>
    <row r="1252" spans="2:3">
      <c r="B1252" s="1575">
        <f>B1250-B1251</f>
        <v>1.8312785387679469</v>
      </c>
    </row>
  </sheetData>
  <mergeCells count="4">
    <mergeCell ref="A1:K1"/>
    <mergeCell ref="A2:K2"/>
    <mergeCell ref="A3:K3"/>
    <mergeCell ref="A4:K4"/>
  </mergeCells>
  <phoneticPr fontId="0" type="noConversion"/>
  <printOptions horizontalCentered="1"/>
  <pageMargins left="0.75" right="0.25" top="0.25" bottom="0.6" header="0.5" footer="0.2"/>
  <pageSetup scale="77" fitToHeight="8" orientation="portrait" r:id="rId1"/>
  <headerFooter alignWithMargins="0">
    <oddFooter>&amp;LTestimony of Christopher T. Mickelson
Docket UE-130043&amp;RExhibit No. ___ (CTM-11)
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AB115"/>
  <sheetViews>
    <sheetView view="pageBreakPreview" zoomScaleNormal="100" zoomScaleSheetLayoutView="100" workbookViewId="0">
      <pane xSplit="1" ySplit="5" topLeftCell="B6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ColWidth="8" defaultRowHeight="12.75"/>
  <cols>
    <col min="1" max="1" width="13.25" style="121" customWidth="1"/>
    <col min="2" max="2" width="6.625" style="121" customWidth="1"/>
    <col min="3" max="3" width="13.875" style="143" customWidth="1"/>
    <col min="4" max="4" width="1.625" style="122" customWidth="1"/>
    <col min="5" max="5" width="13.375" style="122" customWidth="1"/>
    <col min="6" max="6" width="1.375" style="122" customWidth="1"/>
    <col min="7" max="7" width="11.375" style="122" bestFit="1" customWidth="1"/>
    <col min="8" max="8" width="1.625" style="122" customWidth="1"/>
    <col min="9" max="9" width="14.375" style="122" customWidth="1"/>
    <col min="10" max="10" width="1.625" style="122" customWidth="1"/>
    <col min="11" max="11" width="14.625" style="122" customWidth="1"/>
    <col min="12" max="12" width="2.75" style="122" customWidth="1"/>
    <col min="13" max="13" width="7" style="121" customWidth="1"/>
    <col min="14" max="14" width="11.375" style="121" customWidth="1"/>
    <col min="15" max="15" width="7.875" style="121" bestFit="1" customWidth="1"/>
    <col min="16" max="16" width="14.25" style="121" customWidth="1"/>
    <col min="17" max="17" width="8.75" style="121" customWidth="1"/>
    <col min="18" max="18" width="12.5" style="121" customWidth="1"/>
    <col min="19" max="19" width="4.125" style="121" hidden="1" customWidth="1"/>
    <col min="20" max="20" width="14.75" style="121" hidden="1" customWidth="1"/>
    <col min="21" max="21" width="12.125" style="121" hidden="1" customWidth="1"/>
    <col min="22" max="22" width="12" style="121" hidden="1" customWidth="1"/>
    <col min="23" max="23" width="4.125" style="121" customWidth="1"/>
    <col min="24" max="24" width="12.375" style="121" customWidth="1"/>
    <col min="25" max="25" width="4.5" style="121" customWidth="1"/>
    <col min="26" max="26" width="9" style="121" customWidth="1"/>
    <col min="27" max="27" width="12.625" style="121" customWidth="1"/>
    <col min="28" max="28" width="14.125" style="121" bestFit="1" customWidth="1"/>
    <col min="29" max="16384" width="8" style="121"/>
  </cols>
  <sheetData>
    <row r="1" spans="1:28" ht="15.75">
      <c r="A1" s="117" t="s">
        <v>256</v>
      </c>
      <c r="B1" s="118"/>
      <c r="C1" s="750"/>
      <c r="D1" s="119"/>
      <c r="E1" s="119"/>
      <c r="F1" s="119"/>
      <c r="G1" s="119"/>
      <c r="H1" s="119"/>
      <c r="I1" s="119"/>
      <c r="J1" s="119"/>
    </row>
    <row r="2" spans="1:28" ht="15.75">
      <c r="A2" s="117"/>
    </row>
    <row r="3" spans="1:28">
      <c r="C3" s="750" t="s">
        <v>1</v>
      </c>
      <c r="O3" s="123" t="s">
        <v>257</v>
      </c>
      <c r="P3" s="146" t="s">
        <v>31</v>
      </c>
      <c r="R3" s="123" t="s">
        <v>728</v>
      </c>
      <c r="T3" s="146" t="s">
        <v>294</v>
      </c>
    </row>
    <row r="4" spans="1:28">
      <c r="K4" s="122" t="s">
        <v>700</v>
      </c>
      <c r="M4" s="123" t="s">
        <v>258</v>
      </c>
      <c r="N4" s="146" t="s">
        <v>265</v>
      </c>
      <c r="O4" s="123" t="s">
        <v>259</v>
      </c>
      <c r="P4" s="146" t="s">
        <v>587</v>
      </c>
      <c r="Q4" s="123" t="s">
        <v>258</v>
      </c>
      <c r="R4" s="146" t="s">
        <v>265</v>
      </c>
      <c r="S4" s="123"/>
      <c r="T4" s="123" t="s">
        <v>199</v>
      </c>
      <c r="U4" s="123" t="s">
        <v>258</v>
      </c>
      <c r="V4" s="146" t="s">
        <v>265</v>
      </c>
      <c r="W4" s="123"/>
      <c r="X4" s="146" t="s">
        <v>9</v>
      </c>
      <c r="Z4" s="121" t="s">
        <v>859</v>
      </c>
    </row>
    <row r="5" spans="1:28">
      <c r="A5" s="121" t="s">
        <v>260</v>
      </c>
      <c r="C5" s="751">
        <v>305</v>
      </c>
      <c r="E5" s="125" t="s">
        <v>812</v>
      </c>
      <c r="F5" s="125"/>
      <c r="G5" s="125" t="s">
        <v>261</v>
      </c>
      <c r="H5" s="125"/>
      <c r="I5" s="125" t="s">
        <v>262</v>
      </c>
      <c r="J5" s="125"/>
      <c r="K5" s="125" t="s">
        <v>263</v>
      </c>
      <c r="L5" s="125"/>
      <c r="M5" s="123" t="s">
        <v>31</v>
      </c>
      <c r="N5" s="146" t="s">
        <v>295</v>
      </c>
      <c r="O5" s="123" t="s">
        <v>266</v>
      </c>
      <c r="P5" s="123" t="s">
        <v>1</v>
      </c>
      <c r="Q5" s="146" t="s">
        <v>296</v>
      </c>
      <c r="R5" s="146" t="s">
        <v>297</v>
      </c>
      <c r="S5" s="123"/>
      <c r="T5" s="123" t="s">
        <v>1</v>
      </c>
      <c r="U5" s="146" t="s">
        <v>298</v>
      </c>
      <c r="V5" s="146" t="s">
        <v>299</v>
      </c>
      <c r="W5" s="123"/>
      <c r="X5" s="146" t="s">
        <v>44</v>
      </c>
    </row>
    <row r="6" spans="1:28" s="130" customFormat="1">
      <c r="A6" s="130" t="s">
        <v>267</v>
      </c>
      <c r="C6" s="143"/>
      <c r="D6" s="127"/>
      <c r="E6" s="128"/>
      <c r="F6" s="128"/>
      <c r="G6" s="128"/>
      <c r="H6" s="128"/>
      <c r="I6" s="128"/>
      <c r="J6" s="128"/>
      <c r="K6" s="128"/>
      <c r="L6" s="128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</row>
    <row r="7" spans="1:28" s="743" customFormat="1">
      <c r="A7" s="743" t="s">
        <v>268</v>
      </c>
      <c r="C7" s="752">
        <f>VLOOKUP(A7,'305 Inputs'!$E$116:$I$142,5,FALSE)</f>
        <v>131784572.25</v>
      </c>
      <c r="D7" s="746"/>
      <c r="E7" s="753">
        <f>'SBC-Hydro'!G7+'SBC-Hydro'!K7</f>
        <v>-4593926.1500000004</v>
      </c>
      <c r="F7" s="752"/>
      <c r="G7" s="753">
        <f>-19965.71+25825.44</f>
        <v>5859.73</v>
      </c>
      <c r="H7" s="752"/>
      <c r="I7" s="752">
        <f t="shared" ref="I7:I13" si="0">C7+E7+G7</f>
        <v>127196505.83</v>
      </c>
      <c r="J7" s="752"/>
      <c r="K7" s="753">
        <f>127310921.760444+29</f>
        <v>127310950.760444</v>
      </c>
      <c r="L7" s="752"/>
      <c r="M7" s="775">
        <f t="shared" ref="M7:M14" si="1">ROUND(K7/I7*100,3)-100</f>
        <v>9.0000000000003411E-2</v>
      </c>
      <c r="N7" s="754">
        <f t="shared" ref="N7:N14" si="2">K7-I7</f>
        <v>114444.93044400215</v>
      </c>
      <c r="O7" s="748">
        <f t="shared" ref="O7:O14" si="3">IF(ABS(M7)&lt;=0.5,0,IF(I7&gt;K7,(I7*0.995)-K7,(I7*1.005)-K7))</f>
        <v>0</v>
      </c>
      <c r="P7" s="753">
        <f>'Pages 4-11, All Other Schedules'!H107-K11-Temperature!G22*1000</f>
        <v>129186960.568885</v>
      </c>
      <c r="Q7" s="755">
        <f t="shared" ref="Q7:Q14" si="4">((P7-I7)/I7)*100</f>
        <v>1.5648658946223508</v>
      </c>
      <c r="R7" s="754">
        <f t="shared" ref="R7:R14" si="5">P7-K7</f>
        <v>1876009.8084409982</v>
      </c>
      <c r="S7" s="749"/>
      <c r="T7" s="753" t="e">
        <f>'Pages 4-11, All Other Schedules'!E107-#REF!*1000</f>
        <v>#REF!</v>
      </c>
      <c r="U7" s="749" t="e">
        <f t="shared" ref="U7:U14" si="6">((T7-P7)/P7)*100</f>
        <v>#REF!</v>
      </c>
      <c r="V7" s="754" t="e">
        <f t="shared" ref="V7:V14" si="7">T7-P7</f>
        <v>#REF!</v>
      </c>
      <c r="W7" s="749"/>
      <c r="X7" s="754">
        <f t="shared" ref="X7:X13" si="8">G7+N7+R7</f>
        <v>1996314.4688850003</v>
      </c>
      <c r="Y7" s="743" t="str">
        <f>IF(ABS(O7)&lt;1, "OK", "NOPE")</f>
        <v>OK</v>
      </c>
      <c r="Z7" s="754" t="s">
        <v>31</v>
      </c>
      <c r="AA7" s="779"/>
    </row>
    <row r="8" spans="1:28" s="743" customFormat="1">
      <c r="A8" s="743" t="s">
        <v>269</v>
      </c>
      <c r="C8" s="752">
        <f>VLOOKUP(A8,'305 Inputs'!$E$116:$I$142,5,FALSE)</f>
        <v>5397763.5499999998</v>
      </c>
      <c r="D8" s="746"/>
      <c r="E8" s="753">
        <f>'SBC-Hydro'!G8+'SBC-Hydro'!K8</f>
        <v>-188950.77</v>
      </c>
      <c r="F8" s="752"/>
      <c r="G8" s="753">
        <f>-898.49+-1279.56</f>
        <v>-2178.0500000000002</v>
      </c>
      <c r="H8" s="752"/>
      <c r="I8" s="752">
        <f t="shared" si="0"/>
        <v>5206634.7300000004</v>
      </c>
      <c r="J8" s="752"/>
      <c r="K8" s="753">
        <v>5206929.0000350298</v>
      </c>
      <c r="L8" s="752"/>
      <c r="M8" s="743">
        <f t="shared" si="1"/>
        <v>6.0000000000002274E-3</v>
      </c>
      <c r="N8" s="754">
        <f t="shared" si="2"/>
        <v>294.27003502938896</v>
      </c>
      <c r="O8" s="748">
        <f t="shared" si="3"/>
        <v>0</v>
      </c>
      <c r="P8" s="753">
        <f>'Pages 4-11, All Other Schedules'!H122-Temperature!G40*1000</f>
        <v>5284000.3600000003</v>
      </c>
      <c r="Q8" s="755">
        <f t="shared" si="4"/>
        <v>1.4859046968328404</v>
      </c>
      <c r="R8" s="754">
        <f t="shared" si="5"/>
        <v>77071.359964970499</v>
      </c>
      <c r="S8" s="749"/>
      <c r="T8" s="753">
        <f>'Pages 4-11, All Other Schedules'!E122</f>
        <v>4635674</v>
      </c>
      <c r="U8" s="749">
        <f t="shared" si="6"/>
        <v>-12.269612335908326</v>
      </c>
      <c r="V8" s="754">
        <f t="shared" si="7"/>
        <v>-648326.36000000034</v>
      </c>
      <c r="W8" s="749"/>
      <c r="X8" s="754">
        <f t="shared" si="8"/>
        <v>75187.579999999885</v>
      </c>
      <c r="AA8" s="779"/>
    </row>
    <row r="9" spans="1:28" s="743" customFormat="1">
      <c r="A9" s="743" t="s">
        <v>270</v>
      </c>
      <c r="B9" s="754"/>
      <c r="C9" s="752">
        <f>VLOOKUP(A9,'305 Inputs'!$E$116:$I$142,5,FALSE)</f>
        <v>208307.71</v>
      </c>
      <c r="D9" s="746"/>
      <c r="E9" s="753">
        <f>'SBC-Hydro'!G9+'SBC-Hydro'!K9</f>
        <v>-6615.7999999999993</v>
      </c>
      <c r="F9" s="752"/>
      <c r="G9" s="753">
        <f>14.31</f>
        <v>14.31</v>
      </c>
      <c r="H9" s="752"/>
      <c r="I9" s="752">
        <f t="shared" si="0"/>
        <v>201706.22</v>
      </c>
      <c r="J9" s="752"/>
      <c r="K9" s="753">
        <v>201796.460705</v>
      </c>
      <c r="L9" s="752"/>
      <c r="M9" s="743">
        <f t="shared" si="1"/>
        <v>4.5000000000001705E-2</v>
      </c>
      <c r="N9" s="754">
        <f t="shared" si="2"/>
        <v>90.2407050000038</v>
      </c>
      <c r="O9" s="748">
        <f t="shared" si="3"/>
        <v>0</v>
      </c>
      <c r="P9" s="753">
        <f>'Pages 4-11, All Other Schedules'!H137-Temperature!G58*1000</f>
        <v>204701.97</v>
      </c>
      <c r="Q9" s="755">
        <f t="shared" si="4"/>
        <v>1.4852045712819368</v>
      </c>
      <c r="R9" s="754">
        <f t="shared" si="5"/>
        <v>2905.5092949999962</v>
      </c>
      <c r="S9" s="749"/>
      <c r="T9" s="753">
        <f>'Pages 4-11, All Other Schedules'!E137</f>
        <v>179760</v>
      </c>
      <c r="U9" s="749">
        <f t="shared" si="6"/>
        <v>-12.184528561205347</v>
      </c>
      <c r="V9" s="754">
        <f t="shared" si="7"/>
        <v>-24941.97</v>
      </c>
      <c r="W9" s="749"/>
      <c r="X9" s="754">
        <f t="shared" si="8"/>
        <v>3010.06</v>
      </c>
      <c r="AA9" s="779"/>
    </row>
    <row r="10" spans="1:28" s="743" customFormat="1">
      <c r="A10" s="743" t="s">
        <v>271</v>
      </c>
      <c r="B10" s="964"/>
      <c r="C10" s="752">
        <f>VLOOKUP(A10,'305 Inputs'!$E$116:$I$142,5,FALSE)</f>
        <v>40020.43</v>
      </c>
      <c r="D10" s="746"/>
      <c r="E10" s="753">
        <f>'SBC-Hydro'!G10+'SBC-Hydro'!K10</f>
        <v>-1292.77</v>
      </c>
      <c r="F10" s="752"/>
      <c r="G10" s="753">
        <v>0</v>
      </c>
      <c r="H10" s="752"/>
      <c r="I10" s="752">
        <f t="shared" si="0"/>
        <v>38727.660000000003</v>
      </c>
      <c r="J10" s="752"/>
      <c r="K10" s="753">
        <v>38729.271739999996</v>
      </c>
      <c r="L10" s="752"/>
      <c r="M10" s="743">
        <f t="shared" si="1"/>
        <v>4.0000000000048885E-3</v>
      </c>
      <c r="N10" s="754">
        <f t="shared" si="2"/>
        <v>1.6117399999930058</v>
      </c>
      <c r="O10" s="748">
        <f t="shared" si="3"/>
        <v>0</v>
      </c>
      <c r="P10" s="753">
        <f>'Pages 4-11, All Other Schedules'!H152</f>
        <v>39288</v>
      </c>
      <c r="Q10" s="755">
        <f t="shared" si="4"/>
        <v>1.4468728552151007</v>
      </c>
      <c r="R10" s="754">
        <f t="shared" si="5"/>
        <v>558.7282600000035</v>
      </c>
      <c r="S10" s="749"/>
      <c r="T10" s="753">
        <f>'Pages 4-11, All Other Schedules'!E152</f>
        <v>34542</v>
      </c>
      <c r="U10" s="749">
        <f t="shared" si="6"/>
        <v>-12.080024434941967</v>
      </c>
      <c r="V10" s="754">
        <f t="shared" si="7"/>
        <v>-4746</v>
      </c>
      <c r="W10" s="749"/>
      <c r="X10" s="754">
        <f t="shared" si="8"/>
        <v>560.33999999999651</v>
      </c>
      <c r="Y10" s="749"/>
      <c r="AA10" s="779"/>
    </row>
    <row r="11" spans="1:28" s="743" customFormat="1">
      <c r="A11" s="743" t="s">
        <v>252</v>
      </c>
      <c r="C11" s="752">
        <f>VLOOKUP(A11,'305 Inputs'!$E$116:$I$142,5,FALSE)</f>
        <v>59251.360000000001</v>
      </c>
      <c r="D11" s="746"/>
      <c r="E11" s="753">
        <f>'SBC-Hydro'!G11+'SBC-Hydro'!K11</f>
        <v>-1903.1399999999999</v>
      </c>
      <c r="F11" s="752"/>
      <c r="G11" s="753">
        <f>-1814.7+70.76</f>
        <v>-1743.94</v>
      </c>
      <c r="H11" s="752"/>
      <c r="I11" s="752">
        <f>C11+E11+G11</f>
        <v>55604.28</v>
      </c>
      <c r="J11" s="752"/>
      <c r="K11" s="753">
        <v>55614.801115000002</v>
      </c>
      <c r="L11" s="752"/>
      <c r="M11" s="743">
        <f>ROUND(K11/I11*100,3)-100</f>
        <v>1.9000000000005457E-2</v>
      </c>
      <c r="N11" s="754">
        <f>K11-I11</f>
        <v>10.521115000003192</v>
      </c>
      <c r="O11" s="748">
        <f>IF(ABS(M11)&lt;=0.5,0,IF(I11&gt;K11,(I11*0.995)-K11,(I11*1.005)-K11))</f>
        <v>0</v>
      </c>
      <c r="P11" s="753">
        <f>K11</f>
        <v>55614.801115000002</v>
      </c>
      <c r="Q11" s="755">
        <f>((P11-I11)/I11)*100</f>
        <v>1.8921412164680834E-2</v>
      </c>
      <c r="R11" s="754">
        <f>P11-K11</f>
        <v>0</v>
      </c>
      <c r="S11" s="749"/>
      <c r="T11" s="753">
        <f>'Pages 4-11, All Other Schedules'!E39</f>
        <v>149347</v>
      </c>
      <c r="U11" s="749">
        <f>((T11-P11)/P11)*100</f>
        <v>168.53822544682131</v>
      </c>
      <c r="V11" s="754">
        <f>T11-P11</f>
        <v>93732.198884999991</v>
      </c>
      <c r="W11" s="749"/>
      <c r="X11" s="754">
        <f>G11+N11+R11</f>
        <v>-1733.4188849999969</v>
      </c>
      <c r="AA11" s="779"/>
    </row>
    <row r="12" spans="1:28" s="743" customFormat="1">
      <c r="A12" s="743" t="s">
        <v>272</v>
      </c>
      <c r="C12" s="752">
        <f>VLOOKUP(A12,'305 Inputs'!$E$116:$I$142,5,FALSE)</f>
        <v>159693.47</v>
      </c>
      <c r="D12" s="746"/>
      <c r="E12" s="753">
        <f>'SBC-Hydro'!G12+'SBC-Hydro'!K12</f>
        <v>-3477.7200000000003</v>
      </c>
      <c r="F12" s="752"/>
      <c r="G12" s="753">
        <f>-147.16--752.96</f>
        <v>605.80000000000007</v>
      </c>
      <c r="H12" s="752"/>
      <c r="I12" s="752">
        <f t="shared" si="0"/>
        <v>156821.54999999999</v>
      </c>
      <c r="J12" s="752"/>
      <c r="K12" s="753">
        <v>156877.14000000001</v>
      </c>
      <c r="L12" s="752"/>
      <c r="M12" s="743">
        <f t="shared" ref="M12" si="9">ROUND(K12/I12*100,3)-100</f>
        <v>3.4999999999996589E-2</v>
      </c>
      <c r="N12" s="754">
        <f t="shared" ref="N12:N13" si="10">K12-I12</f>
        <v>55.590000000025611</v>
      </c>
      <c r="O12" s="748">
        <f t="shared" ref="O12:O13" si="11">IF(ABS(M12)&lt;=0.5,0,IF(I12&gt;K12,(I12*0.995)-K12,(I12*1.005)-K12))</f>
        <v>0</v>
      </c>
      <c r="P12" s="753">
        <f>'Pages 4-11, All Other Schedules'!H39</f>
        <v>156872.52000000002</v>
      </c>
      <c r="Q12" s="755">
        <f t="shared" ref="Q12" si="12">((P12-I12)/I12)*100</f>
        <v>3.2501910611156613E-2</v>
      </c>
      <c r="R12" s="754">
        <f t="shared" ref="R12:R13" si="13">P12-K12</f>
        <v>-4.6199999999953434</v>
      </c>
      <c r="S12" s="749"/>
      <c r="T12" s="753">
        <f>'Pages 4-11, All Other Schedules'!E38</f>
        <v>0</v>
      </c>
      <c r="U12" s="749">
        <f t="shared" ref="U12" si="14">((T12-P12)/P12)*100</f>
        <v>-100</v>
      </c>
      <c r="V12" s="754">
        <f t="shared" ref="V12:V13" si="15">T12-P12</f>
        <v>-156872.52000000002</v>
      </c>
      <c r="W12" s="749"/>
      <c r="X12" s="754">
        <f t="shared" si="8"/>
        <v>656.77000000003034</v>
      </c>
      <c r="AA12" s="779"/>
    </row>
    <row r="13" spans="1:28" s="743" customFormat="1">
      <c r="A13" s="743" t="s">
        <v>763</v>
      </c>
      <c r="C13" s="752">
        <f>VLOOKUP(A13,'305 Inputs'!$E$116:$I$142,5,FALSE)</f>
        <v>120901</v>
      </c>
      <c r="D13" s="746"/>
      <c r="E13" s="753">
        <f>'SBC-Hydro'!G13+'SBC-Hydro'!K13</f>
        <v>-3011.6</v>
      </c>
      <c r="F13" s="752"/>
      <c r="G13" s="753">
        <f>-17.84+316.39</f>
        <v>298.55</v>
      </c>
      <c r="H13" s="752"/>
      <c r="I13" s="752">
        <f t="shared" si="0"/>
        <v>118187.95</v>
      </c>
      <c r="J13" s="752"/>
      <c r="K13" s="753">
        <f>118188.1</f>
        <v>118188.1</v>
      </c>
      <c r="L13" s="752"/>
      <c r="M13" s="775">
        <f>ROUND(K13/I13*100,3)-100</f>
        <v>0</v>
      </c>
      <c r="N13" s="754">
        <f t="shared" si="10"/>
        <v>0.15000000000873115</v>
      </c>
      <c r="O13" s="748">
        <f t="shared" si="11"/>
        <v>0</v>
      </c>
      <c r="P13" s="753">
        <f>'Pages 4-11, All Other Schedules'!H263-K21-Temperature!V75*1000</f>
        <v>272494.58</v>
      </c>
      <c r="Q13" s="755">
        <f>((P13-I13)/I13)*100</f>
        <v>130.56037438672894</v>
      </c>
      <c r="R13" s="754">
        <f t="shared" si="13"/>
        <v>154306.48000000001</v>
      </c>
      <c r="S13" s="749"/>
      <c r="T13" s="753">
        <v>31869846</v>
      </c>
      <c r="U13" s="749">
        <f>((T13-P13)/P13)*100</f>
        <v>11595.588954466544</v>
      </c>
      <c r="V13" s="754">
        <f t="shared" si="15"/>
        <v>31597351.420000002</v>
      </c>
      <c r="W13" s="749"/>
      <c r="X13" s="754">
        <f t="shared" si="8"/>
        <v>154605.18000000002</v>
      </c>
      <c r="Y13" s="992" t="s">
        <v>31</v>
      </c>
      <c r="Z13" s="1119">
        <f>'Schedule 24 BD'!$J$36-'Schedule 24 BD'!$I$36</f>
        <v>150511.02000000002</v>
      </c>
      <c r="AA13" s="1120" t="s">
        <v>860</v>
      </c>
      <c r="AB13" s="749"/>
    </row>
    <row r="14" spans="1:28" s="130" customFormat="1">
      <c r="A14" s="130" t="s">
        <v>273</v>
      </c>
      <c r="C14" s="139">
        <f>SUM(C7:C13)</f>
        <v>137770509.77000004</v>
      </c>
      <c r="D14" s="127"/>
      <c r="E14" s="139">
        <f>SUM(E7:E13)</f>
        <v>-4799177.9499999983</v>
      </c>
      <c r="F14" s="139"/>
      <c r="G14" s="139">
        <f>SUM(G7:G13)</f>
        <v>2856.3999999999996</v>
      </c>
      <c r="H14" s="139"/>
      <c r="I14" s="139">
        <f>SUM(I7:I13)</f>
        <v>132974188.22</v>
      </c>
      <c r="J14" s="139"/>
      <c r="K14" s="139">
        <f>SUM(K7:K13)</f>
        <v>133089085.53403904</v>
      </c>
      <c r="L14" s="139"/>
      <c r="M14" s="130">
        <f t="shared" si="1"/>
        <v>8.5999999999998522E-2</v>
      </c>
      <c r="N14" s="148">
        <f t="shared" si="2"/>
        <v>114897.31403903663</v>
      </c>
      <c r="O14" s="134">
        <f t="shared" si="3"/>
        <v>0</v>
      </c>
      <c r="P14" s="132">
        <f>SUM(P7:P13)</f>
        <v>135199932.80000004</v>
      </c>
      <c r="Q14" s="756">
        <f t="shared" si="4"/>
        <v>1.6738170089954942</v>
      </c>
      <c r="R14" s="148">
        <f t="shared" si="5"/>
        <v>2110847.2659610063</v>
      </c>
      <c r="S14" s="135"/>
      <c r="T14" s="132" t="e">
        <f>SUM(T7:T12)</f>
        <v>#REF!</v>
      </c>
      <c r="U14" s="135" t="e">
        <f t="shared" si="6"/>
        <v>#REF!</v>
      </c>
      <c r="V14" s="148" t="e">
        <f t="shared" si="7"/>
        <v>#REF!</v>
      </c>
      <c r="W14" s="135"/>
      <c r="X14" s="148">
        <f>SUM(X7:X13)</f>
        <v>2228600.9800000004</v>
      </c>
      <c r="Y14" s="135"/>
      <c r="AA14" s="135"/>
    </row>
    <row r="15" spans="1:28" s="130" customFormat="1">
      <c r="C15" s="139"/>
      <c r="D15" s="127"/>
      <c r="E15" s="139"/>
      <c r="F15" s="139"/>
      <c r="G15" s="139"/>
      <c r="H15" s="139"/>
      <c r="I15" s="139"/>
      <c r="J15" s="139"/>
      <c r="K15" s="139"/>
      <c r="L15" s="139"/>
      <c r="N15" s="135"/>
      <c r="O15" s="134"/>
      <c r="P15" s="134"/>
      <c r="Q15" s="135"/>
      <c r="R15" s="135"/>
      <c r="S15" s="135"/>
      <c r="T15" s="134"/>
      <c r="U15" s="135"/>
      <c r="V15" s="135"/>
      <c r="W15" s="135"/>
      <c r="X15" s="135"/>
      <c r="Y15" s="135"/>
      <c r="AA15" s="135"/>
    </row>
    <row r="16" spans="1:28" s="130" customFormat="1">
      <c r="C16" s="139"/>
      <c r="D16" s="127"/>
      <c r="E16" s="142" t="s">
        <v>31</v>
      </c>
      <c r="F16" s="142"/>
      <c r="G16" s="139"/>
      <c r="H16" s="139"/>
      <c r="I16" s="139"/>
      <c r="J16" s="139"/>
      <c r="K16" s="139"/>
      <c r="L16" s="139"/>
      <c r="N16" s="135"/>
      <c r="O16" s="134"/>
      <c r="P16" s="134"/>
      <c r="Q16" s="135"/>
      <c r="R16" s="135"/>
      <c r="S16" s="135"/>
      <c r="T16" s="134"/>
      <c r="U16" s="135"/>
      <c r="V16" s="135"/>
      <c r="W16" s="135"/>
      <c r="X16" s="135"/>
      <c r="Y16" s="135"/>
      <c r="AA16" s="135"/>
    </row>
    <row r="17" spans="1:28" s="130" customFormat="1">
      <c r="A17" s="130" t="s">
        <v>274</v>
      </c>
      <c r="C17" s="139"/>
      <c r="D17" s="127"/>
      <c r="E17" s="139"/>
      <c r="F17" s="139"/>
      <c r="G17" s="139"/>
      <c r="H17" s="139"/>
      <c r="I17" s="139"/>
      <c r="J17" s="139"/>
      <c r="K17" s="139"/>
      <c r="L17" s="139"/>
      <c r="N17" s="135"/>
      <c r="O17" s="134"/>
      <c r="P17" s="134"/>
      <c r="Q17" s="135"/>
      <c r="R17" s="135"/>
      <c r="S17" s="135"/>
      <c r="T17" s="134"/>
      <c r="U17" s="135"/>
      <c r="V17" s="135"/>
      <c r="W17" s="135"/>
      <c r="X17" s="135"/>
      <c r="Y17" s="135"/>
      <c r="AA17" s="135"/>
    </row>
    <row r="18" spans="1:28" s="743" customFormat="1">
      <c r="A18" s="743" t="s">
        <v>51</v>
      </c>
      <c r="C18" s="752">
        <f>VLOOKUP(A18,'305 Inputs'!$E$7:$I$43,5,FALSE)+'305 Inputs'!I29</f>
        <v>44660322.850000001</v>
      </c>
      <c r="D18" s="746"/>
      <c r="E18" s="753">
        <f>'SBC-Hydro'!G18+'SBC-Hydro'!K18</f>
        <v>-1559894.1099999999</v>
      </c>
      <c r="F18" s="752"/>
      <c r="G18" s="753">
        <f>-25242.43+48538.03</f>
        <v>23295.599999999999</v>
      </c>
      <c r="H18" s="752"/>
      <c r="I18" s="752">
        <f t="shared" ref="I18:I27" si="16">C18+E18+G18</f>
        <v>43123724.340000004</v>
      </c>
      <c r="J18" s="752"/>
      <c r="K18" s="753">
        <f>43141477.34</f>
        <v>43141477.340000004</v>
      </c>
      <c r="L18" s="752"/>
      <c r="M18" s="775">
        <f>ROUND(K18/I18*100,3)-100</f>
        <v>4.0999999999996817E-2</v>
      </c>
      <c r="N18" s="754">
        <f t="shared" ref="N18:N28" si="17">K18-I18</f>
        <v>17753</v>
      </c>
      <c r="O18" s="748">
        <f t="shared" ref="O18:O28" si="18">IF(ABS(M18)&lt;=0.5,0,IF(I18&gt;K18,(I18*0.995)-K18,(I18*1.005)-K18))</f>
        <v>0</v>
      </c>
      <c r="P18" s="753">
        <f>'Pages 4-11, All Other Schedules'!H298-K26-Temperature!I75*1000</f>
        <v>43598275.219999999</v>
      </c>
      <c r="Q18" s="755">
        <f>((P18-I18)/I18)*100</f>
        <v>1.100440389282006</v>
      </c>
      <c r="R18" s="754">
        <f t="shared" ref="R18:R28" si="19">P18-K18</f>
        <v>456797.87999999523</v>
      </c>
      <c r="S18" s="749"/>
      <c r="T18" s="753">
        <v>31869846</v>
      </c>
      <c r="U18" s="749">
        <f>((T18-P18)/P18)*100</f>
        <v>-26.901131204887147</v>
      </c>
      <c r="V18" s="754">
        <f t="shared" ref="V18:V28" si="20">T18-P18</f>
        <v>-11728429.219999999</v>
      </c>
      <c r="W18" s="749"/>
      <c r="X18" s="754">
        <f t="shared" ref="X18:X23" si="21">G18+N18+R18</f>
        <v>497846.47999999521</v>
      </c>
      <c r="Y18" s="992" t="s">
        <v>31</v>
      </c>
      <c r="Z18" s="1119">
        <f>-Z13</f>
        <v>-150511.02000000002</v>
      </c>
      <c r="AA18" s="779"/>
      <c r="AB18" s="749"/>
    </row>
    <row r="19" spans="1:28" s="743" customFormat="1">
      <c r="A19" s="743" t="s">
        <v>52</v>
      </c>
      <c r="C19" s="752">
        <f>VLOOKUP(A19,'305 Inputs'!$E$7:$I$43,5,FALSE)+'305 Inputs'!I37</f>
        <v>158370.43000000002</v>
      </c>
      <c r="D19" s="746"/>
      <c r="E19" s="753">
        <f>'SBC-Hydro'!G19+'SBC-Hydro'!K19</f>
        <v>-3790.02</v>
      </c>
      <c r="F19" s="752"/>
      <c r="G19" s="753">
        <f>112.02</f>
        <v>112.02</v>
      </c>
      <c r="H19" s="752"/>
      <c r="I19" s="752">
        <f t="shared" si="16"/>
        <v>154692.43000000002</v>
      </c>
      <c r="J19" s="752"/>
      <c r="K19" s="753">
        <f>137091.397065582+17645.31</f>
        <v>154736.70706558198</v>
      </c>
      <c r="L19" s="752"/>
      <c r="M19" s="775">
        <f>ROUND(K19/I19*100,3)-100</f>
        <v>2.8999999999996362E-2</v>
      </c>
      <c r="N19" s="754">
        <f t="shared" si="17"/>
        <v>44.277065581962233</v>
      </c>
      <c r="O19" s="748">
        <f t="shared" si="18"/>
        <v>0</v>
      </c>
      <c r="P19" s="753">
        <f>'Pages 4-11, All Other Schedules'!H402</f>
        <v>156864</v>
      </c>
      <c r="Q19" s="755">
        <f>((P19-I19)/I19)*100</f>
        <v>1.4037984922726843</v>
      </c>
      <c r="R19" s="754">
        <f t="shared" si="19"/>
        <v>2127.2929344180156</v>
      </c>
      <c r="S19" s="749"/>
      <c r="T19" s="753">
        <v>139779</v>
      </c>
      <c r="U19" s="749">
        <f>((T19-P19)/P19)*100</f>
        <v>-10.891600367197062</v>
      </c>
      <c r="V19" s="754">
        <f t="shared" si="20"/>
        <v>-17085</v>
      </c>
      <c r="W19" s="749"/>
      <c r="X19" s="754">
        <f t="shared" si="21"/>
        <v>2283.5899999999779</v>
      </c>
      <c r="AA19" s="779"/>
    </row>
    <row r="20" spans="1:28" s="743" customFormat="1">
      <c r="A20" s="966" t="s">
        <v>300</v>
      </c>
      <c r="C20" s="752">
        <f>VLOOKUP(A20,'305 Inputs'!$E$7:$I$43,5,FALSE)</f>
        <v>102482.64</v>
      </c>
      <c r="D20" s="746"/>
      <c r="E20" s="753">
        <f>'SBC-Hydro'!G20+'SBC-Hydro'!K20</f>
        <v>-1038.72</v>
      </c>
      <c r="F20" s="752"/>
      <c r="G20" s="753">
        <f>--7.08+235.2</f>
        <v>242.28</v>
      </c>
      <c r="H20" s="752"/>
      <c r="I20" s="752">
        <f t="shared" si="16"/>
        <v>101686.2</v>
      </c>
      <c r="J20" s="752"/>
      <c r="K20" s="753">
        <f>101329.13910954+518.51</f>
        <v>101847.64910954</v>
      </c>
      <c r="L20" s="752"/>
      <c r="M20" s="775">
        <f>ROUND(K20/I20*100,3)-100</f>
        <v>0.15900000000000603</v>
      </c>
      <c r="N20" s="754">
        <f t="shared" si="17"/>
        <v>161.44910954000079</v>
      </c>
      <c r="O20" s="748">
        <f t="shared" si="18"/>
        <v>0</v>
      </c>
      <c r="P20" s="753">
        <f>'Pages 4-11, All Other Schedules'!H508</f>
        <v>119617</v>
      </c>
      <c r="Q20" s="755">
        <f>((P20-I20)/I20)*100</f>
        <v>17.633464521242807</v>
      </c>
      <c r="R20" s="754">
        <f t="shared" si="19"/>
        <v>17769.350890460002</v>
      </c>
      <c r="S20" s="749"/>
      <c r="T20" s="753">
        <v>112893</v>
      </c>
      <c r="U20" s="749">
        <f>((T20-P20)/P20)*100</f>
        <v>-5.6212745679961884</v>
      </c>
      <c r="V20" s="754">
        <f t="shared" si="20"/>
        <v>-6724</v>
      </c>
      <c r="W20" s="749"/>
      <c r="X20" s="754">
        <f t="shared" si="21"/>
        <v>18173.080000000002</v>
      </c>
      <c r="AA20" s="779"/>
    </row>
    <row r="21" spans="1:28" s="130" customFormat="1">
      <c r="A21" s="130" t="s">
        <v>275</v>
      </c>
      <c r="C21" s="139">
        <v>0</v>
      </c>
      <c r="D21" s="127"/>
      <c r="E21" s="147">
        <v>0</v>
      </c>
      <c r="F21" s="139"/>
      <c r="G21" s="147">
        <v>0</v>
      </c>
      <c r="H21" s="139"/>
      <c r="I21" s="139">
        <f t="shared" si="16"/>
        <v>0</v>
      </c>
      <c r="J21" s="139"/>
      <c r="K21" s="147">
        <v>0</v>
      </c>
      <c r="L21" s="139"/>
      <c r="M21" s="149">
        <v>0</v>
      </c>
      <c r="N21" s="148">
        <f t="shared" si="17"/>
        <v>0</v>
      </c>
      <c r="O21" s="134">
        <f t="shared" si="18"/>
        <v>0</v>
      </c>
      <c r="P21" s="147">
        <v>0</v>
      </c>
      <c r="Q21" s="756">
        <v>0</v>
      </c>
      <c r="R21" s="148">
        <f t="shared" si="19"/>
        <v>0</v>
      </c>
      <c r="S21" s="135"/>
      <c r="T21" s="147">
        <v>0</v>
      </c>
      <c r="U21" s="135">
        <v>0</v>
      </c>
      <c r="V21" s="148">
        <f t="shared" si="20"/>
        <v>0</v>
      </c>
      <c r="W21" s="135"/>
      <c r="X21" s="148">
        <f>G21+N21</f>
        <v>0</v>
      </c>
      <c r="AA21" s="961"/>
    </row>
    <row r="22" spans="1:28" s="743" customFormat="1">
      <c r="A22" s="743" t="s">
        <v>53</v>
      </c>
      <c r="C22" s="752">
        <f>VLOOKUP(A22,'305 Inputs'!$E$7:$I$43,5,FALSE)+'305 Inputs'!I33</f>
        <v>54272654.799999997</v>
      </c>
      <c r="D22" s="746"/>
      <c r="E22" s="753">
        <f>'SBC-Hydro'!G22+'SBC-Hydro'!K22</f>
        <v>-1872833.75</v>
      </c>
      <c r="F22" s="752"/>
      <c r="G22" s="753">
        <f>3743.97+569.78+49009.53+37979.81-66500.46-74171.54-4196.58--65713.19--62643.58--3069.42</f>
        <v>77860.7</v>
      </c>
      <c r="H22" s="752"/>
      <c r="I22" s="752">
        <f t="shared" si="16"/>
        <v>52477681.75</v>
      </c>
      <c r="J22" s="752"/>
      <c r="K22" s="753">
        <f>28270.01+3128977.44+2263996.92+248745.78+860647.81+337658.02+20360114.23+25259767.58</f>
        <v>52488177.789999999</v>
      </c>
      <c r="L22" s="752"/>
      <c r="M22" s="775">
        <f t="shared" ref="M22:M28" si="22">ROUND(K22/I22*100,3)-100</f>
        <v>1.9999999999996021E-2</v>
      </c>
      <c r="N22" s="754">
        <f t="shared" si="17"/>
        <v>10496.039999999106</v>
      </c>
      <c r="O22" s="748">
        <f t="shared" si="18"/>
        <v>0</v>
      </c>
      <c r="P22" s="753">
        <f>'Pages 4-11, All Other Schedules'!H663+121750-K27</f>
        <v>53235069.630000003</v>
      </c>
      <c r="Q22" s="755">
        <f t="shared" ref="Q22:Q28" si="23">((P22-I22)/I22)*100</f>
        <v>1.4432571233008071</v>
      </c>
      <c r="R22" s="963">
        <f>P22-K22</f>
        <v>746891.84000000358</v>
      </c>
      <c r="S22" s="749"/>
      <c r="T22" s="753">
        <f>'Pages 4-11, All Other Schedules'!E663</f>
        <v>46496821</v>
      </c>
      <c r="U22" s="749">
        <f t="shared" ref="U22:U28" si="24">((T22-P22)/P22)*100</f>
        <v>-12.657536989869438</v>
      </c>
      <c r="V22" s="754">
        <f t="shared" si="20"/>
        <v>-6738248.6300000027</v>
      </c>
      <c r="W22" s="749"/>
      <c r="X22" s="754">
        <f t="shared" si="21"/>
        <v>835248.58000000264</v>
      </c>
      <c r="Z22" s="1119">
        <v>0</v>
      </c>
      <c r="AA22" s="779" t="s">
        <v>866</v>
      </c>
    </row>
    <row r="23" spans="1:28" s="743" customFormat="1">
      <c r="A23" s="743" t="s">
        <v>54</v>
      </c>
      <c r="C23" s="752">
        <f>VLOOKUP(A23,'305 Inputs'!$E$7:$I$43,5,FALSE)</f>
        <v>9243532.3200000003</v>
      </c>
      <c r="D23" s="746"/>
      <c r="E23" s="753">
        <f>'SBC-Hydro'!G23+'SBC-Hydro'!K23</f>
        <v>-288606.8</v>
      </c>
      <c r="F23" s="752"/>
      <c r="G23" s="753">
        <f>85561.67-47425.29</f>
        <v>38136.379999999997</v>
      </c>
      <c r="H23" s="752"/>
      <c r="I23" s="752">
        <f t="shared" si="16"/>
        <v>8993061.9000000004</v>
      </c>
      <c r="J23" s="752"/>
      <c r="K23" s="753">
        <f>3640763.68+5336750.71</f>
        <v>8977514.3900000006</v>
      </c>
      <c r="L23" s="752"/>
      <c r="M23" s="775">
        <f t="shared" si="22"/>
        <v>-0.17300000000000182</v>
      </c>
      <c r="N23" s="754">
        <f t="shared" si="17"/>
        <v>-15547.509999999776</v>
      </c>
      <c r="O23" s="748">
        <f t="shared" si="18"/>
        <v>0</v>
      </c>
      <c r="P23" s="753">
        <f>'Pages 4-11, All Other Schedules'!H1051</f>
        <v>9106637</v>
      </c>
      <c r="Q23" s="755">
        <f t="shared" si="23"/>
        <v>1.2629191399205162</v>
      </c>
      <c r="R23" s="754">
        <f t="shared" si="19"/>
        <v>129122.6099999994</v>
      </c>
      <c r="S23" s="749"/>
      <c r="T23" s="753">
        <v>7698008</v>
      </c>
      <c r="U23" s="749">
        <f t="shared" si="24"/>
        <v>-15.468158003882223</v>
      </c>
      <c r="V23" s="754">
        <f t="shared" si="20"/>
        <v>-1408629</v>
      </c>
      <c r="W23" s="749"/>
      <c r="X23" s="754">
        <f t="shared" si="21"/>
        <v>151711.47999999963</v>
      </c>
      <c r="AA23" s="779"/>
    </row>
    <row r="24" spans="1:28" s="743" customFormat="1">
      <c r="A24" s="743" t="s">
        <v>55</v>
      </c>
      <c r="C24" s="752">
        <f>VLOOKUP(A24,'305 Inputs'!$E$7:$I$43,5,FALSE)+'305 Inputs'!I35</f>
        <v>314843.56</v>
      </c>
      <c r="D24" s="746"/>
      <c r="E24" s="753">
        <f>'SBC-Hydro'!G24+'SBC-Hydro'!K24</f>
        <v>-7194.26</v>
      </c>
      <c r="F24" s="752"/>
      <c r="G24" s="753">
        <f>263.65+67.22-159.36-26.8</f>
        <v>144.70999999999998</v>
      </c>
      <c r="H24" s="752"/>
      <c r="I24" s="752">
        <f t="shared" si="16"/>
        <v>307794.01</v>
      </c>
      <c r="J24" s="752"/>
      <c r="K24" s="753">
        <f>221821.62+85922.89</f>
        <v>307744.51</v>
      </c>
      <c r="L24" s="752"/>
      <c r="M24" s="775">
        <f t="shared" si="22"/>
        <v>-1.6000000000005343E-2</v>
      </c>
      <c r="N24" s="754">
        <f t="shared" si="17"/>
        <v>-49.5</v>
      </c>
      <c r="O24" s="748">
        <f t="shared" si="18"/>
        <v>0</v>
      </c>
      <c r="P24" s="753">
        <f>'Pages 4-11, All Other Schedules'!H57</f>
        <v>307753.92000000004</v>
      </c>
      <c r="Q24" s="755">
        <f t="shared" si="23"/>
        <v>-1.3024944832411588E-2</v>
      </c>
      <c r="R24" s="754">
        <f t="shared" si="19"/>
        <v>9.4100000000325963</v>
      </c>
      <c r="S24" s="749"/>
      <c r="T24" s="753">
        <v>296573</v>
      </c>
      <c r="U24" s="749">
        <f t="shared" si="24"/>
        <v>-3.6330715137600977</v>
      </c>
      <c r="V24" s="754">
        <f t="shared" si="20"/>
        <v>-11180.920000000042</v>
      </c>
      <c r="W24" s="749"/>
      <c r="X24" s="754">
        <f>G24+N24+R24</f>
        <v>104.62000000003258</v>
      </c>
      <c r="AA24" s="779"/>
    </row>
    <row r="25" spans="1:28" s="743" customFormat="1">
      <c r="A25" s="743" t="s">
        <v>56</v>
      </c>
      <c r="C25" s="752">
        <f>VLOOKUP(A25,'305 Inputs'!$E$7:$I$43,5,FALSE)</f>
        <v>25692.84</v>
      </c>
      <c r="D25" s="746"/>
      <c r="E25" s="753">
        <f>'SBC-Hydro'!G25+'SBC-Hydro'!K25</f>
        <v>-970.06000000000006</v>
      </c>
      <c r="F25" s="752"/>
      <c r="G25" s="753">
        <f>7.5+7.76+60.9</f>
        <v>76.16</v>
      </c>
      <c r="H25" s="752"/>
      <c r="I25" s="752">
        <f t="shared" si="16"/>
        <v>24798.94</v>
      </c>
      <c r="J25" s="752"/>
      <c r="K25" s="753">
        <f>6930.76+17867.74</f>
        <v>24798.5</v>
      </c>
      <c r="L25" s="752"/>
      <c r="M25" s="775">
        <f t="shared" si="22"/>
        <v>-1.9999999999953388E-3</v>
      </c>
      <c r="N25" s="754">
        <f t="shared" si="17"/>
        <v>-0.43999999999869033</v>
      </c>
      <c r="O25" s="748">
        <f t="shared" si="18"/>
        <v>0</v>
      </c>
      <c r="P25" s="753">
        <f>'Pages 4-11, All Other Schedules'!H1195</f>
        <v>24799</v>
      </c>
      <c r="Q25" s="755">
        <f t="shared" si="23"/>
        <v>2.4194582510909609E-4</v>
      </c>
      <c r="R25" s="754">
        <f t="shared" si="19"/>
        <v>0.5</v>
      </c>
      <c r="S25" s="749"/>
      <c r="T25" s="753">
        <v>18590</v>
      </c>
      <c r="U25" s="749">
        <f t="shared" si="24"/>
        <v>-25.037299891124643</v>
      </c>
      <c r="V25" s="754">
        <f t="shared" si="20"/>
        <v>-6209</v>
      </c>
      <c r="W25" s="749"/>
      <c r="X25" s="754">
        <f>G25+N25+R25</f>
        <v>76.220000000001306</v>
      </c>
      <c r="AA25" s="779"/>
    </row>
    <row r="26" spans="1:28" s="743" customFormat="1">
      <c r="A26" s="743" t="s">
        <v>220</v>
      </c>
      <c r="C26" s="752">
        <f>VLOOKUP(A26,'305 Inputs'!$E$7:$I$43,5,FALSE)</f>
        <v>37584.519999999997</v>
      </c>
      <c r="D26" s="746"/>
      <c r="E26" s="753">
        <f>'SBC-Hydro'!G26+'SBC-Hydro'!K26</f>
        <v>-1373.1399999999999</v>
      </c>
      <c r="F26" s="752"/>
      <c r="G26" s="753">
        <f>--1939.25</f>
        <v>1939.25</v>
      </c>
      <c r="H26" s="752"/>
      <c r="I26" s="752">
        <f t="shared" ref="I26" si="25">C26+E26+G26</f>
        <v>38150.629999999997</v>
      </c>
      <c r="J26" s="752"/>
      <c r="K26" s="753">
        <f>38150.75</f>
        <v>38150.75</v>
      </c>
      <c r="L26" s="752"/>
      <c r="M26" s="775">
        <f t="shared" ref="M26" si="26">ROUND(K26/I26*100,3)-100</f>
        <v>0</v>
      </c>
      <c r="N26" s="754">
        <f t="shared" ref="N26" si="27">K26-I26</f>
        <v>0.12000000000261934</v>
      </c>
      <c r="O26" s="748">
        <f t="shared" ref="O26" si="28">IF(ABS(M26)&lt;=0.5,0,IF(I26&gt;K26,(I26*0.995)-K26,(I26*1.005)-K26))</f>
        <v>0</v>
      </c>
      <c r="P26" s="753">
        <f>K26</f>
        <v>38150.75</v>
      </c>
      <c r="Q26" s="755">
        <f t="shared" ref="Q26" si="29">((P26-I26)/I26)*100</f>
        <v>3.1454264320830184E-4</v>
      </c>
      <c r="R26" s="754">
        <f t="shared" ref="R26" si="30">P26-K26</f>
        <v>0</v>
      </c>
      <c r="S26" s="749"/>
      <c r="T26" s="753">
        <v>515</v>
      </c>
      <c r="U26" s="749">
        <f t="shared" ref="U26" si="31">((T26-P26)/P26)*100</f>
        <v>-98.650092068963261</v>
      </c>
      <c r="V26" s="754">
        <f t="shared" ref="V26" si="32">T26-P26</f>
        <v>-37635.75</v>
      </c>
      <c r="W26" s="749"/>
      <c r="X26" s="754">
        <f>G26+N26+R26</f>
        <v>1939.3700000000026</v>
      </c>
    </row>
    <row r="27" spans="1:28" s="743" customFormat="1">
      <c r="A27" s="743" t="s">
        <v>699</v>
      </c>
      <c r="C27" s="752">
        <f>VLOOKUP(A27,'305 Inputs'!$E$7:$I$43,5,FALSE)</f>
        <v>11103.2</v>
      </c>
      <c r="D27" s="746"/>
      <c r="E27" s="753">
        <f>'SBC-Hydro'!G27+'SBC-Hydro'!K27</f>
        <v>-248.17999999999998</v>
      </c>
      <c r="F27" s="752"/>
      <c r="G27" s="753">
        <v>0</v>
      </c>
      <c r="H27" s="752"/>
      <c r="I27" s="752">
        <f t="shared" si="16"/>
        <v>10855.02</v>
      </c>
      <c r="J27" s="752"/>
      <c r="K27" s="753">
        <f>10876.37</f>
        <v>10876.37</v>
      </c>
      <c r="L27" s="752"/>
      <c r="M27" s="775">
        <f t="shared" si="22"/>
        <v>0.19700000000000273</v>
      </c>
      <c r="N27" s="754">
        <f t="shared" si="17"/>
        <v>21.350000000000364</v>
      </c>
      <c r="O27" s="748">
        <f t="shared" si="18"/>
        <v>0</v>
      </c>
      <c r="P27" s="753">
        <f>K27</f>
        <v>10876.37</v>
      </c>
      <c r="Q27" s="755">
        <f t="shared" si="23"/>
        <v>0.19668319358232747</v>
      </c>
      <c r="R27" s="754">
        <f t="shared" si="19"/>
        <v>0</v>
      </c>
      <c r="S27" s="749"/>
      <c r="T27" s="753">
        <v>515</v>
      </c>
      <c r="U27" s="749">
        <f t="shared" si="24"/>
        <v>-95.264964321736016</v>
      </c>
      <c r="V27" s="754">
        <f t="shared" si="20"/>
        <v>-10361.370000000001</v>
      </c>
      <c r="W27" s="749"/>
      <c r="X27" s="754">
        <f>G27+N27+R27</f>
        <v>21.350000000000364</v>
      </c>
    </row>
    <row r="28" spans="1:28" s="130" customFormat="1">
      <c r="A28" s="130" t="s">
        <v>276</v>
      </c>
      <c r="C28" s="139">
        <f>SUM(C18:C27)</f>
        <v>108826587.16</v>
      </c>
      <c r="D28" s="127"/>
      <c r="E28" s="139">
        <f>SUM(E18:E27)</f>
        <v>-3735949.0399999996</v>
      </c>
      <c r="F28" s="139"/>
      <c r="G28" s="139">
        <f>SUM(G18:G27)</f>
        <v>141807.09999999998</v>
      </c>
      <c r="H28" s="139"/>
      <c r="I28" s="139">
        <f>SUM(I18:I27)</f>
        <v>105232445.22</v>
      </c>
      <c r="J28" s="139"/>
      <c r="K28" s="139">
        <f>SUM(K18:K27)</f>
        <v>105245324.00617513</v>
      </c>
      <c r="L28" s="139"/>
      <c r="M28" s="149">
        <f t="shared" si="22"/>
        <v>1.2000000000000455E-2</v>
      </c>
      <c r="N28" s="148">
        <f t="shared" si="17"/>
        <v>12878.786175131798</v>
      </c>
      <c r="O28" s="134">
        <f t="shared" si="18"/>
        <v>0</v>
      </c>
      <c r="P28" s="139">
        <f>SUM(P18:P27)</f>
        <v>106598042.89</v>
      </c>
      <c r="Q28" s="756">
        <f t="shared" si="23"/>
        <v>1.2976964159153288</v>
      </c>
      <c r="R28" s="148">
        <f t="shared" si="19"/>
        <v>1352718.88382487</v>
      </c>
      <c r="S28" s="135"/>
      <c r="T28" s="139">
        <f>SUM(T18:T27)</f>
        <v>86633540</v>
      </c>
      <c r="U28" s="135">
        <f t="shared" si="24"/>
        <v>-18.728770574710875</v>
      </c>
      <c r="V28" s="148">
        <f t="shared" si="20"/>
        <v>-19964502.890000001</v>
      </c>
      <c r="W28" s="135"/>
      <c r="X28" s="148">
        <f>SUM(X18:X27)</f>
        <v>1507404.7699999979</v>
      </c>
      <c r="Z28" s="148" t="s">
        <v>31</v>
      </c>
    </row>
    <row r="29" spans="1:28" s="130" customFormat="1">
      <c r="C29" s="139"/>
      <c r="D29" s="127"/>
      <c r="E29" s="139"/>
      <c r="F29" s="139"/>
      <c r="G29" s="139"/>
      <c r="H29" s="139"/>
      <c r="I29" s="139" t="s">
        <v>31</v>
      </c>
      <c r="J29" s="139"/>
      <c r="K29" s="139"/>
      <c r="L29" s="139"/>
      <c r="O29" s="134"/>
      <c r="Q29" s="135"/>
      <c r="R29" s="135"/>
      <c r="S29" s="135"/>
      <c r="U29" s="135"/>
      <c r="V29" s="135"/>
      <c r="W29" s="135"/>
      <c r="X29" s="135"/>
      <c r="Z29" s="130" t="s">
        <v>31</v>
      </c>
    </row>
    <row r="30" spans="1:28" s="130" customFormat="1">
      <c r="C30" s="139"/>
      <c r="D30" s="127"/>
      <c r="E30" s="139"/>
      <c r="F30" s="139"/>
      <c r="G30" s="139"/>
      <c r="H30" s="139"/>
      <c r="I30" s="139"/>
      <c r="J30" s="139"/>
      <c r="K30" s="139"/>
      <c r="L30" s="139"/>
      <c r="N30" s="131"/>
      <c r="O30" s="134"/>
      <c r="Q30" s="135"/>
      <c r="R30" s="135"/>
      <c r="S30" s="135"/>
      <c r="U30" s="135"/>
      <c r="V30" s="135"/>
      <c r="W30" s="135"/>
      <c r="X30" s="135"/>
    </row>
    <row r="31" spans="1:28" s="130" customFormat="1">
      <c r="A31" s="130" t="s">
        <v>277</v>
      </c>
      <c r="C31" s="139"/>
      <c r="D31" s="127"/>
      <c r="E31" s="139"/>
      <c r="F31" s="139"/>
      <c r="G31" s="139"/>
      <c r="H31" s="139"/>
      <c r="I31" s="139"/>
      <c r="J31" s="139"/>
      <c r="K31" s="139"/>
      <c r="L31" s="139"/>
      <c r="N31" s="131"/>
      <c r="O31" s="134"/>
      <c r="Q31" s="135"/>
      <c r="R31" s="135"/>
      <c r="S31" s="135"/>
      <c r="U31" s="135"/>
      <c r="V31" s="135"/>
      <c r="W31" s="135"/>
      <c r="X31" s="135"/>
    </row>
    <row r="32" spans="1:28" s="743" customFormat="1">
      <c r="A32" s="743" t="s">
        <v>51</v>
      </c>
      <c r="C32" s="752">
        <f>VLOOKUP(A32,'305 Inputs'!$E$51:$I$71,5,FALSE)+'305 Inputs'!I64</f>
        <v>1522764.55</v>
      </c>
      <c r="D32" s="746"/>
      <c r="E32" s="753">
        <f>'SBC-Hydro'!G32+'SBC-Hydro'!K32</f>
        <v>-52036.25</v>
      </c>
      <c r="F32" s="752"/>
      <c r="G32" s="753">
        <f>-135.44+4809.24</f>
        <v>4673.8</v>
      </c>
      <c r="H32" s="752"/>
      <c r="I32" s="752">
        <f t="shared" ref="I32:I40" si="33">C32+E32+G32</f>
        <v>1475402.1</v>
      </c>
      <c r="J32" s="752"/>
      <c r="K32" s="753">
        <f>1475487.08</f>
        <v>1475487.08</v>
      </c>
      <c r="L32" s="752"/>
      <c r="M32" s="775">
        <f t="shared" ref="M32:M41" si="34">ROUND(K32/I32*100,3)-100</f>
        <v>6.0000000000002274E-3</v>
      </c>
      <c r="N32" s="754">
        <f t="shared" ref="N32:N40" si="35">K32-I32</f>
        <v>84.979999999981374</v>
      </c>
      <c r="O32" s="748">
        <f t="shared" ref="O32:O41" si="36">IF(ABS(M32)&lt;=0.5,0,IF(I32&gt;K32,(I32*0.995)-K32,(I32*1.005)-K32))</f>
        <v>0</v>
      </c>
      <c r="P32" s="753">
        <f>'Pages 4-11, All Other Schedules'!H332</f>
        <v>1496512</v>
      </c>
      <c r="Q32" s="755">
        <f t="shared" ref="Q32:Q41" si="37">((P32-I32)/I32)*100</f>
        <v>1.4307896132179767</v>
      </c>
      <c r="R32" s="754">
        <f t="shared" ref="R32:R41" si="38">P32-K32</f>
        <v>21024.919999999925</v>
      </c>
      <c r="S32" s="749"/>
      <c r="T32" s="753">
        <v>1418240</v>
      </c>
      <c r="U32" s="749">
        <f t="shared" ref="U32:U41" si="39">((T32-P32)/P32)*100</f>
        <v>-5.2302955138348377</v>
      </c>
      <c r="V32" s="754">
        <f t="shared" ref="V32:V41" si="40">T32-P32</f>
        <v>-78272</v>
      </c>
      <c r="W32" s="749"/>
      <c r="X32" s="754">
        <f t="shared" ref="X32:X39" si="41">G32+N32+R32</f>
        <v>25783.699999999906</v>
      </c>
      <c r="Y32" s="991" t="s">
        <v>31</v>
      </c>
      <c r="Z32" s="748"/>
      <c r="AA32" s="779"/>
    </row>
    <row r="33" spans="1:27" s="743" customFormat="1">
      <c r="A33" s="743" t="s">
        <v>52</v>
      </c>
      <c r="C33" s="752">
        <f>VLOOKUP(A33,'305 Inputs'!$E$51:$I$71,5,FALSE)</f>
        <v>7749.11</v>
      </c>
      <c r="D33" s="746"/>
      <c r="E33" s="753">
        <f>'SBC-Hydro'!G33+'SBC-Hydro'!K33</f>
        <v>-99.089999999999989</v>
      </c>
      <c r="F33" s="752"/>
      <c r="G33" s="753">
        <v>0</v>
      </c>
      <c r="H33" s="752"/>
      <c r="I33" s="752">
        <f t="shared" si="33"/>
        <v>7650.0199999999995</v>
      </c>
      <c r="J33" s="752"/>
      <c r="K33" s="753">
        <v>7651.4015341860504</v>
      </c>
      <c r="L33" s="752"/>
      <c r="M33" s="775">
        <f t="shared" si="34"/>
        <v>1.8000000000000682E-2</v>
      </c>
      <c r="N33" s="754">
        <f t="shared" si="35"/>
        <v>1.3815341860508852</v>
      </c>
      <c r="O33" s="748">
        <f t="shared" si="36"/>
        <v>0</v>
      </c>
      <c r="P33" s="753">
        <f>'Pages 4-11, All Other Schedules'!H437</f>
        <v>7747</v>
      </c>
      <c r="Q33" s="755">
        <f t="shared" si="37"/>
        <v>1.2677091040284925</v>
      </c>
      <c r="R33" s="754">
        <f t="shared" si="38"/>
        <v>95.598465813949588</v>
      </c>
      <c r="S33" s="749"/>
      <c r="T33" s="753">
        <v>6139</v>
      </c>
      <c r="U33" s="749">
        <f t="shared" si="39"/>
        <v>-20.756421840712534</v>
      </c>
      <c r="V33" s="754">
        <f t="shared" si="40"/>
        <v>-1608</v>
      </c>
      <c r="W33" s="749"/>
      <c r="X33" s="754">
        <f t="shared" si="41"/>
        <v>96.980000000000473</v>
      </c>
      <c r="AA33" s="779"/>
    </row>
    <row r="34" spans="1:27" s="743" customFormat="1">
      <c r="A34" s="966" t="s">
        <v>300</v>
      </c>
      <c r="C34" s="752">
        <f>VLOOKUP(A34,'305 Inputs'!$E$51:$I$71,5,FALSE)</f>
        <v>2317.81</v>
      </c>
      <c r="D34" s="746"/>
      <c r="E34" s="753">
        <f>'SBC-Hydro'!G34+'SBC-Hydro'!K34</f>
        <v>-17.739999999999998</v>
      </c>
      <c r="F34" s="752"/>
      <c r="G34" s="753">
        <f>0</f>
        <v>0</v>
      </c>
      <c r="H34" s="752"/>
      <c r="I34" s="752">
        <f t="shared" si="33"/>
        <v>2300.0700000000002</v>
      </c>
      <c r="J34" s="752"/>
      <c r="K34" s="753">
        <v>2294.1456400000002</v>
      </c>
      <c r="L34" s="752"/>
      <c r="M34" s="775">
        <f t="shared" si="34"/>
        <v>-0.25799999999999557</v>
      </c>
      <c r="N34" s="754">
        <f t="shared" si="35"/>
        <v>-5.9243599999999788</v>
      </c>
      <c r="O34" s="748">
        <f t="shared" si="36"/>
        <v>0</v>
      </c>
      <c r="P34" s="753">
        <f>'Pages 4-11, All Other Schedules'!H543</f>
        <v>2367</v>
      </c>
      <c r="Q34" s="755">
        <f t="shared" si="37"/>
        <v>2.9099114374779824</v>
      </c>
      <c r="R34" s="754">
        <f t="shared" si="38"/>
        <v>72.854359999999815</v>
      </c>
      <c r="S34" s="749"/>
      <c r="T34" s="753">
        <v>1696</v>
      </c>
      <c r="U34" s="749">
        <f t="shared" si="39"/>
        <v>-28.348119983100972</v>
      </c>
      <c r="V34" s="754">
        <f t="shared" si="40"/>
        <v>-671</v>
      </c>
      <c r="W34" s="749"/>
      <c r="X34" s="754">
        <f t="shared" si="41"/>
        <v>66.929999999999836</v>
      </c>
      <c r="AA34" s="779"/>
    </row>
    <row r="35" spans="1:27" s="743" customFormat="1">
      <c r="A35" s="743" t="s">
        <v>53</v>
      </c>
      <c r="C35" s="752">
        <f>VLOOKUP(A35,'305 Inputs'!$E$51:$I$71,5,FALSE)+'305 Inputs'!I68</f>
        <v>8310358.9799999995</v>
      </c>
      <c r="D35" s="746"/>
      <c r="E35" s="753">
        <f>'SBC-Hydro'!G35+'SBC-Hydro'!K35</f>
        <v>-272233.57</v>
      </c>
      <c r="F35" s="752"/>
      <c r="G35" s="753">
        <f>1407.08+847.63+2846.66+28168.09--671.28-4876.86</f>
        <v>29063.879999999997</v>
      </c>
      <c r="H35" s="752"/>
      <c r="I35" s="752">
        <f t="shared" si="33"/>
        <v>8067189.2899999991</v>
      </c>
      <c r="J35" s="752"/>
      <c r="K35" s="753">
        <f>363724.95+18891.82+601.84+21785.52+88077.42+65276.33+2340130.39+5182293</f>
        <v>8080781.2699999996</v>
      </c>
      <c r="L35" s="752"/>
      <c r="M35" s="775">
        <f t="shared" si="34"/>
        <v>0.16800000000000637</v>
      </c>
      <c r="N35" s="754">
        <f t="shared" si="35"/>
        <v>13591.980000000447</v>
      </c>
      <c r="O35" s="748">
        <f t="shared" si="36"/>
        <v>0</v>
      </c>
      <c r="P35" s="753">
        <f>'Pages 4-11, All Other Schedules'!H701</f>
        <v>8196036</v>
      </c>
      <c r="Q35" s="755">
        <f t="shared" si="37"/>
        <v>1.5971697870002615</v>
      </c>
      <c r="R35" s="963">
        <f t="shared" si="38"/>
        <v>115254.73000000045</v>
      </c>
      <c r="S35" s="749"/>
      <c r="T35" s="753">
        <v>8131326</v>
      </c>
      <c r="U35" s="749">
        <f t="shared" si="39"/>
        <v>-0.78952801085793189</v>
      </c>
      <c r="V35" s="754">
        <f t="shared" si="40"/>
        <v>-64710</v>
      </c>
      <c r="W35" s="749"/>
      <c r="X35" s="754">
        <f t="shared" si="41"/>
        <v>157910.5900000009</v>
      </c>
      <c r="AA35" s="779"/>
    </row>
    <row r="36" spans="1:27" s="743" customFormat="1">
      <c r="A36" s="743" t="s">
        <v>167</v>
      </c>
      <c r="C36" s="752">
        <f>VLOOKUP(A36,'305 Inputs'!$E$51:$I$71,5,FALSE)</f>
        <v>283827.84999999998</v>
      </c>
      <c r="D36" s="746"/>
      <c r="E36" s="753">
        <f>'SBC-Hydro'!G36+'SBC-Hydro'!K36</f>
        <v>-3464.9300000000003</v>
      </c>
      <c r="F36" s="752"/>
      <c r="G36" s="753">
        <f>19785.12-18127.05</f>
        <v>1658.0699999999997</v>
      </c>
      <c r="H36" s="752"/>
      <c r="I36" s="752">
        <f t="shared" si="33"/>
        <v>282020.99</v>
      </c>
      <c r="J36" s="752"/>
      <c r="K36" s="753">
        <f>281755.39</f>
        <v>281755.39</v>
      </c>
      <c r="L36" s="752"/>
      <c r="M36" s="775">
        <f t="shared" si="34"/>
        <v>-9.3999999999994088E-2</v>
      </c>
      <c r="N36" s="754">
        <f t="shared" si="35"/>
        <v>-265.59999999997672</v>
      </c>
      <c r="O36" s="748">
        <f t="shared" si="36"/>
        <v>0</v>
      </c>
      <c r="P36" s="753">
        <f>'Pages 4-11, All Other Schedules'!H883</f>
        <v>285941</v>
      </c>
      <c r="Q36" s="755">
        <f t="shared" si="37"/>
        <v>1.389971008895476</v>
      </c>
      <c r="R36" s="754">
        <f t="shared" si="38"/>
        <v>4185.609999999986</v>
      </c>
      <c r="S36" s="749"/>
      <c r="T36" s="753">
        <v>858176</v>
      </c>
      <c r="U36" s="749">
        <f t="shared" si="39"/>
        <v>200.12345204080563</v>
      </c>
      <c r="V36" s="754">
        <f t="shared" si="40"/>
        <v>572235</v>
      </c>
      <c r="W36" s="749"/>
      <c r="X36" s="754">
        <f t="shared" si="41"/>
        <v>5578.080000000009</v>
      </c>
      <c r="AA36" s="779"/>
    </row>
    <row r="37" spans="1:27" s="743" customFormat="1">
      <c r="A37" s="743" t="s">
        <v>54</v>
      </c>
      <c r="C37" s="752">
        <f>VLOOKUP(A37,'305 Inputs'!$E$51:$I$71,5,FALSE)-C38</f>
        <v>14028679.640000001</v>
      </c>
      <c r="D37" s="746"/>
      <c r="E37" s="753">
        <f>'SBC-Hydro'!G37+'SBC-Hydro'!K37</f>
        <v>-430876.11</v>
      </c>
      <c r="F37" s="752"/>
      <c r="G37" s="753">
        <f>-637.66</f>
        <v>-637.66</v>
      </c>
      <c r="H37" s="752"/>
      <c r="I37" s="752">
        <f>C37+E37+G37</f>
        <v>13597165.870000001</v>
      </c>
      <c r="J37" s="752"/>
      <c r="K37" s="753">
        <f>422117.35+13153691.05</f>
        <v>13575808.4</v>
      </c>
      <c r="L37" s="752"/>
      <c r="M37" s="775">
        <f>ROUND(K37/I37*100,3)-100</f>
        <v>-0.15699999999999648</v>
      </c>
      <c r="N37" s="754">
        <f>K37-I37</f>
        <v>-21357.470000000671</v>
      </c>
      <c r="O37" s="748">
        <f>IF(ABS(M37)&lt;=0.5,0,IF(I37&gt;K37,(I37*0.995)-K37,(I37*1.005)-K37))</f>
        <v>0</v>
      </c>
      <c r="P37" s="753">
        <f>'Pages 4-11, All Other Schedules'!H1070</f>
        <v>13766826</v>
      </c>
      <c r="Q37" s="755">
        <f>((P37-I37)/I37)*100</f>
        <v>1.2477609791782216</v>
      </c>
      <c r="R37" s="963">
        <f t="shared" si="38"/>
        <v>191017.59999999963</v>
      </c>
      <c r="S37" s="749"/>
      <c r="T37" s="753">
        <v>-225839</v>
      </c>
      <c r="U37" s="749">
        <f>((T37-P37)/P37)*100</f>
        <v>-101.64045801116394</v>
      </c>
      <c r="V37" s="754">
        <f>T37-P37</f>
        <v>-13992665</v>
      </c>
      <c r="W37" s="749"/>
      <c r="X37" s="754">
        <f t="shared" si="41"/>
        <v>169022.46999999895</v>
      </c>
      <c r="AA37" s="779"/>
    </row>
    <row r="38" spans="1:27" s="743" customFormat="1">
      <c r="A38" s="966" t="s">
        <v>593</v>
      </c>
      <c r="C38" s="752">
        <f>25255341.08</f>
        <v>25255341.079999998</v>
      </c>
      <c r="D38" s="746"/>
      <c r="E38" s="753">
        <f>'SBC-Hydro'!G38+'SBC-Hydro'!K38</f>
        <v>-953728.56</v>
      </c>
      <c r="F38" s="752"/>
      <c r="G38" s="753">
        <v>0</v>
      </c>
      <c r="H38" s="752"/>
      <c r="I38" s="752">
        <f t="shared" si="33"/>
        <v>24301612.52</v>
      </c>
      <c r="J38" s="752"/>
      <c r="K38" s="753">
        <f>24301612.52</f>
        <v>24301612.52</v>
      </c>
      <c r="L38" s="752"/>
      <c r="M38" s="775">
        <f t="shared" si="34"/>
        <v>0</v>
      </c>
      <c r="N38" s="754">
        <f t="shared" si="35"/>
        <v>0</v>
      </c>
      <c r="O38" s="748">
        <f t="shared" si="36"/>
        <v>0</v>
      </c>
      <c r="P38" s="753">
        <f>'Pages 4-11, All Other Schedules'!H1089</f>
        <v>24660280</v>
      </c>
      <c r="Q38" s="755">
        <f t="shared" si="37"/>
        <v>1.4758999210641701</v>
      </c>
      <c r="R38" s="963">
        <f t="shared" si="38"/>
        <v>358667.48000000045</v>
      </c>
      <c r="S38" s="749"/>
      <c r="T38" s="753">
        <v>29509698</v>
      </c>
      <c r="U38" s="749">
        <f t="shared" si="39"/>
        <v>19.664894315879625</v>
      </c>
      <c r="V38" s="754">
        <f t="shared" si="40"/>
        <v>4849418</v>
      </c>
      <c r="W38" s="749"/>
      <c r="X38" s="754">
        <f t="shared" si="41"/>
        <v>358667.48000000045</v>
      </c>
      <c r="AA38" s="779"/>
    </row>
    <row r="39" spans="1:27" s="743" customFormat="1">
      <c r="A39" s="743" t="s">
        <v>60</v>
      </c>
      <c r="B39" s="743" t="s">
        <v>31</v>
      </c>
      <c r="C39" s="752">
        <v>0</v>
      </c>
      <c r="D39" s="746"/>
      <c r="E39" s="753">
        <f>'SBC-Hydro'!G39+'SBC-Hydro'!K39</f>
        <v>0</v>
      </c>
      <c r="F39" s="752"/>
      <c r="G39" s="753">
        <v>0</v>
      </c>
      <c r="H39" s="752"/>
      <c r="I39" s="752">
        <v>0</v>
      </c>
      <c r="J39" s="752"/>
      <c r="K39" s="753">
        <v>0</v>
      </c>
      <c r="L39" s="752"/>
      <c r="M39" s="775" t="e">
        <f t="shared" si="34"/>
        <v>#DIV/0!</v>
      </c>
      <c r="N39" s="754">
        <f t="shared" si="35"/>
        <v>0</v>
      </c>
      <c r="O39" s="748" t="e">
        <f t="shared" si="36"/>
        <v>#DIV/0!</v>
      </c>
      <c r="P39" s="753">
        <f>K39</f>
        <v>0</v>
      </c>
      <c r="Q39" s="755" t="e">
        <f t="shared" si="37"/>
        <v>#DIV/0!</v>
      </c>
      <c r="R39" s="754">
        <f t="shared" si="38"/>
        <v>0</v>
      </c>
      <c r="S39" s="749"/>
      <c r="T39" s="753">
        <v>2372611</v>
      </c>
      <c r="U39" s="749" t="e">
        <f t="shared" si="39"/>
        <v>#DIV/0!</v>
      </c>
      <c r="V39" s="754">
        <f t="shared" si="40"/>
        <v>2372611</v>
      </c>
      <c r="W39" s="749"/>
      <c r="X39" s="754">
        <f t="shared" si="41"/>
        <v>0</v>
      </c>
      <c r="AA39" s="779"/>
    </row>
    <row r="40" spans="1:27" s="743" customFormat="1">
      <c r="A40" s="743" t="s">
        <v>55</v>
      </c>
      <c r="C40" s="752">
        <f>VLOOKUP(A40,'305 Inputs'!$E$51:$I$71,5,FALSE)+'305 Inputs'!I70</f>
        <v>20053.04</v>
      </c>
      <c r="D40" s="746"/>
      <c r="E40" s="753">
        <f>'SBC-Hydro'!G40+'SBC-Hydro'!K40</f>
        <v>-484.1</v>
      </c>
      <c r="F40" s="752"/>
      <c r="G40" s="753">
        <f>38.57+140.63-5.86</f>
        <v>173.33999999999997</v>
      </c>
      <c r="H40" s="752"/>
      <c r="I40" s="752">
        <f t="shared" si="33"/>
        <v>19742.280000000002</v>
      </c>
      <c r="J40" s="752"/>
      <c r="K40" s="753">
        <f>15454.2+4282.05</f>
        <v>19736.25</v>
      </c>
      <c r="L40" s="752"/>
      <c r="M40" s="775">
        <f t="shared" si="34"/>
        <v>-3.1000000000005912E-2</v>
      </c>
      <c r="N40" s="754">
        <f t="shared" si="35"/>
        <v>-6.0300000000024738</v>
      </c>
      <c r="O40" s="748">
        <f t="shared" si="36"/>
        <v>0</v>
      </c>
      <c r="P40" s="753">
        <f>'Pages 4-11, All Other Schedules'!H75</f>
        <v>19733.66</v>
      </c>
      <c r="Q40" s="755">
        <f t="shared" si="37"/>
        <v>-4.3662636737006155E-2</v>
      </c>
      <c r="R40" s="754">
        <f t="shared" si="38"/>
        <v>-2.5900000000001455</v>
      </c>
      <c r="S40" s="749"/>
      <c r="T40" s="753">
        <v>19177</v>
      </c>
      <c r="U40" s="749">
        <f t="shared" si="39"/>
        <v>-2.8208654654027678</v>
      </c>
      <c r="V40" s="754">
        <f t="shared" si="40"/>
        <v>-556.65999999999985</v>
      </c>
      <c r="W40" s="749"/>
      <c r="X40" s="754">
        <f>G40+N40+R40</f>
        <v>164.71999999999736</v>
      </c>
      <c r="AA40" s="779"/>
    </row>
    <row r="41" spans="1:27" s="130" customFormat="1">
      <c r="A41" s="130" t="s">
        <v>278</v>
      </c>
      <c r="C41" s="139">
        <f>SUM(C32:C40)</f>
        <v>49431092.059999995</v>
      </c>
      <c r="D41" s="127"/>
      <c r="E41" s="139">
        <f>SUM(E32:E40)</f>
        <v>-1712940.35</v>
      </c>
      <c r="F41" s="139"/>
      <c r="G41" s="139">
        <f>SUM(G32:G40)</f>
        <v>34931.429999999993</v>
      </c>
      <c r="H41" s="139"/>
      <c r="I41" s="139">
        <f>SUM(I32:I40)</f>
        <v>47753083.140000001</v>
      </c>
      <c r="J41" s="139"/>
      <c r="K41" s="139">
        <f>SUM(K32:K40)</f>
        <v>47745126.457174182</v>
      </c>
      <c r="L41" s="139"/>
      <c r="M41" s="149">
        <f t="shared" si="34"/>
        <v>-1.6999999999995907E-2</v>
      </c>
      <c r="N41" s="148">
        <f>SUM(N32:N40)</f>
        <v>-7956.6828258141704</v>
      </c>
      <c r="O41" s="134">
        <f t="shared" si="36"/>
        <v>0</v>
      </c>
      <c r="P41" s="139">
        <f>SUM(P32:P40)</f>
        <v>48435442.659999996</v>
      </c>
      <c r="Q41" s="756">
        <f t="shared" si="37"/>
        <v>1.4289329088961433</v>
      </c>
      <c r="R41" s="148">
        <f t="shared" si="38"/>
        <v>690316.20282581449</v>
      </c>
      <c r="S41" s="135"/>
      <c r="T41" s="139">
        <f>SUM(T32:T40)</f>
        <v>42091224</v>
      </c>
      <c r="U41" s="135">
        <f t="shared" si="39"/>
        <v>-13.098298088311507</v>
      </c>
      <c r="V41" s="148">
        <f t="shared" si="40"/>
        <v>-6344218.6599999964</v>
      </c>
      <c r="W41" s="135"/>
      <c r="X41" s="148">
        <f>SUM(X32:X40)</f>
        <v>717290.95000000019</v>
      </c>
    </row>
    <row r="42" spans="1:27" s="130" customFormat="1">
      <c r="C42" s="139"/>
      <c r="D42" s="127"/>
      <c r="E42" s="139"/>
      <c r="F42" s="139"/>
      <c r="G42" s="139"/>
      <c r="H42" s="139"/>
      <c r="I42" s="139"/>
      <c r="J42" s="139"/>
      <c r="K42" s="139"/>
      <c r="L42" s="139"/>
      <c r="N42" s="132"/>
      <c r="O42" s="134"/>
      <c r="Q42" s="135"/>
      <c r="R42" s="135"/>
      <c r="S42" s="135"/>
      <c r="U42" s="135"/>
      <c r="V42" s="135"/>
      <c r="W42" s="135"/>
      <c r="X42" s="135"/>
    </row>
    <row r="43" spans="1:27" s="130" customFormat="1">
      <c r="C43" s="139"/>
      <c r="D43" s="127"/>
      <c r="E43" s="139"/>
      <c r="F43" s="139"/>
      <c r="G43" s="139"/>
      <c r="H43" s="139"/>
      <c r="I43" s="139"/>
      <c r="J43" s="139"/>
      <c r="K43" s="139"/>
      <c r="L43" s="139"/>
      <c r="N43" s="132"/>
      <c r="O43" s="134"/>
      <c r="Q43" s="135"/>
      <c r="R43" s="135"/>
      <c r="S43" s="135"/>
      <c r="U43" s="135"/>
      <c r="V43" s="135"/>
      <c r="W43" s="135"/>
      <c r="X43" s="135"/>
    </row>
    <row r="44" spans="1:27" s="130" customFormat="1" ht="12.75" customHeight="1">
      <c r="A44" s="130" t="s">
        <v>279</v>
      </c>
      <c r="C44" s="139"/>
      <c r="D44" s="127"/>
      <c r="E44" s="139"/>
      <c r="F44" s="139"/>
      <c r="G44" s="139"/>
      <c r="H44" s="139"/>
      <c r="I44" s="139"/>
      <c r="J44" s="139"/>
      <c r="K44" s="139"/>
      <c r="L44" s="139"/>
      <c r="N44" s="132"/>
      <c r="O44" s="134"/>
      <c r="Q44" s="135"/>
      <c r="R44" s="135"/>
      <c r="S44" s="135"/>
      <c r="U44" s="135"/>
      <c r="V44" s="135"/>
      <c r="W44" s="135"/>
      <c r="X44" s="135"/>
    </row>
    <row r="45" spans="1:27" s="743" customFormat="1" ht="11.25" customHeight="1">
      <c r="A45" s="743" t="s">
        <v>58</v>
      </c>
      <c r="C45" s="752">
        <f>VLOOKUP(A45,'305 Inputs'!$E$77:$I$94,5,FALSE)</f>
        <v>11905721.35</v>
      </c>
      <c r="D45" s="746"/>
      <c r="E45" s="753">
        <f>'SBC-Hydro'!G45+'SBC-Hydro'!K45</f>
        <v>-410726.68</v>
      </c>
      <c r="F45" s="752"/>
      <c r="G45" s="967">
        <f>1060.83+62749.16+46631-2301.58-17926.17-6235.98</f>
        <v>83977.260000000009</v>
      </c>
      <c r="H45" s="752"/>
      <c r="I45" s="752">
        <f>C45+E45+G45</f>
        <v>11578971.93</v>
      </c>
      <c r="J45" s="752"/>
      <c r="K45" s="753">
        <f>237+2839.39+466629.47+6901800.1+4171143.98</f>
        <v>11542649.939999999</v>
      </c>
      <c r="L45" s="752"/>
      <c r="M45" s="775">
        <f>ROUND(K45/I45*100,3)-100</f>
        <v>-0.31399999999999295</v>
      </c>
      <c r="N45" s="754">
        <f>K45-I45</f>
        <v>-36321.990000000224</v>
      </c>
      <c r="O45" s="748">
        <f>IF(ABS(M45)&lt;=0.5,0,IF(I45&gt;K45,(I45*0.995)-K45,(I45*1.005)-K45))</f>
        <v>0</v>
      </c>
      <c r="P45" s="753">
        <f>'Pages 4-11, All Other Schedules'!H808-Temperature!D92*1000</f>
        <v>11712764.779999999</v>
      </c>
      <c r="Q45" s="755">
        <f>((P45-I45)/I45)*100</f>
        <v>1.1554812535071033</v>
      </c>
      <c r="R45" s="754">
        <f>P45-K45</f>
        <v>170114.83999999985</v>
      </c>
      <c r="S45" s="749"/>
      <c r="T45" s="753">
        <v>8839304</v>
      </c>
      <c r="U45" s="749">
        <f>((T45-P45)/P45)*100</f>
        <v>-24.532728471646124</v>
      </c>
      <c r="V45" s="754">
        <f>T45-P45</f>
        <v>-2873460.7799999993</v>
      </c>
      <c r="W45" s="749"/>
      <c r="X45" s="754">
        <f>G45+N45+R45</f>
        <v>217770.10999999964</v>
      </c>
      <c r="AA45" s="779"/>
    </row>
    <row r="46" spans="1:27" s="743" customFormat="1">
      <c r="A46" s="743" t="s">
        <v>59</v>
      </c>
      <c r="C46" s="752">
        <f>VLOOKUP(A46,'305 Inputs'!$E$77:$I$94,5,FALSE)</f>
        <v>429129.75</v>
      </c>
      <c r="D46" s="746"/>
      <c r="E46" s="753">
        <f>'SBC-Hydro'!G46+'SBC-Hydro'!K46</f>
        <v>-15044.62</v>
      </c>
      <c r="F46" s="752"/>
      <c r="G46" s="967">
        <f>698.53+4777.7+1314.52-428.41-57.91</f>
        <v>6304.43</v>
      </c>
      <c r="H46" s="752"/>
      <c r="I46" s="752">
        <f>C46+E46+G46</f>
        <v>420389.56</v>
      </c>
      <c r="J46" s="752"/>
      <c r="K46" s="753">
        <f>34287.84+236870.62+150559.07</f>
        <v>421717.52999999997</v>
      </c>
      <c r="L46" s="752"/>
      <c r="M46" s="775">
        <f>ROUND(K46/I46*100,3)-100</f>
        <v>0.3160000000000025</v>
      </c>
      <c r="N46" s="754">
        <f>K46-I46</f>
        <v>1327.9699999999721</v>
      </c>
      <c r="O46" s="748">
        <f>IF(ABS(M46)&lt;=0.5,0,IF(I46&gt;K46,(I46*0.995)-K46,(I46*1.005)-K46))</f>
        <v>0</v>
      </c>
      <c r="P46" s="753">
        <f>'Pages 4-11, All Other Schedules'!H861</f>
        <v>427909</v>
      </c>
      <c r="Q46" s="755">
        <f>((P46-I46)/I46)*100</f>
        <v>1.7886838103210752</v>
      </c>
      <c r="R46" s="754">
        <f>P46-K46</f>
        <v>6191.4700000000303</v>
      </c>
      <c r="S46" s="749"/>
      <c r="T46" s="753">
        <v>1173033</v>
      </c>
      <c r="U46" s="749">
        <f>((T46-P46)/P46)*100</f>
        <v>174.13141579167532</v>
      </c>
      <c r="V46" s="754">
        <f>T46-P46</f>
        <v>745124</v>
      </c>
      <c r="W46" s="749"/>
      <c r="X46" s="754">
        <f>G46+N46+R46</f>
        <v>13823.870000000003</v>
      </c>
      <c r="AA46" s="779"/>
    </row>
    <row r="47" spans="1:27" s="130" customFormat="1">
      <c r="A47" s="130" t="s">
        <v>280</v>
      </c>
      <c r="C47" s="139">
        <f>SUM(C45:C46)</f>
        <v>12334851.1</v>
      </c>
      <c r="D47" s="127"/>
      <c r="E47" s="139">
        <f>SUM(E45:E46)</f>
        <v>-425771.3</v>
      </c>
      <c r="F47" s="139"/>
      <c r="G47" s="139">
        <f>SUM(G45:G46)</f>
        <v>90281.69</v>
      </c>
      <c r="H47" s="139"/>
      <c r="I47" s="139">
        <f>SUM(I45:I46)</f>
        <v>11999361.49</v>
      </c>
      <c r="J47" s="139"/>
      <c r="K47" s="139">
        <f>SUM(K45:K46)</f>
        <v>11964367.469999999</v>
      </c>
      <c r="L47" s="139"/>
      <c r="M47" s="149">
        <f>ROUND(K47/I47*100,3)-100</f>
        <v>-0.29200000000000159</v>
      </c>
      <c r="N47" s="148">
        <f>SUM(N45:N46)</f>
        <v>-34994.020000000251</v>
      </c>
      <c r="O47" s="134">
        <f>IF(ABS(M47)&lt;=0.5,0,IF(I47&gt;K47,(I47*0.995)-K47,(I47*1.005)-K47))</f>
        <v>0</v>
      </c>
      <c r="P47" s="139">
        <f>SUM(P45:P46)</f>
        <v>12140673.779999999</v>
      </c>
      <c r="Q47" s="756">
        <f>((P47-I47)/I47)*100</f>
        <v>1.1776650792441381</v>
      </c>
      <c r="R47" s="148">
        <f>P47-K47</f>
        <v>176306.31000000052</v>
      </c>
      <c r="S47" s="135"/>
      <c r="T47" s="139">
        <f>SUM(T45:T46)</f>
        <v>10012337</v>
      </c>
      <c r="U47" s="135">
        <f>((T47-P47)/P47)*100</f>
        <v>-17.530631483617704</v>
      </c>
      <c r="V47" s="148">
        <f>T47-P47</f>
        <v>-2128336.7799999993</v>
      </c>
      <c r="W47" s="135"/>
      <c r="X47" s="148">
        <f>SUM(X45:X46)</f>
        <v>231593.97999999963</v>
      </c>
    </row>
    <row r="48" spans="1:27" s="130" customFormat="1">
      <c r="C48" s="139"/>
      <c r="D48" s="127"/>
      <c r="E48" s="139"/>
      <c r="F48" s="139"/>
      <c r="G48" s="139"/>
      <c r="H48" s="139"/>
      <c r="I48" s="139"/>
      <c r="J48" s="139"/>
      <c r="K48" s="139"/>
      <c r="L48" s="139"/>
      <c r="N48" s="132"/>
      <c r="O48" s="134"/>
      <c r="Q48" s="135"/>
      <c r="R48" s="135"/>
      <c r="S48" s="135"/>
      <c r="U48" s="135"/>
      <c r="V48" s="135"/>
      <c r="W48" s="135"/>
      <c r="X48" s="135"/>
    </row>
    <row r="49" spans="1:27" s="130" customFormat="1">
      <c r="C49" s="139"/>
      <c r="D49" s="127"/>
      <c r="E49" s="139"/>
      <c r="F49" s="139"/>
      <c r="G49" s="139"/>
      <c r="H49" s="139"/>
      <c r="I49" s="139"/>
      <c r="J49" s="139"/>
      <c r="K49" s="139"/>
      <c r="L49" s="139"/>
      <c r="N49" s="132"/>
      <c r="O49" s="134"/>
      <c r="Q49" s="135"/>
      <c r="R49" s="135"/>
      <c r="S49" s="135"/>
      <c r="U49" s="135"/>
      <c r="V49" s="135"/>
      <c r="W49" s="135"/>
      <c r="X49" s="135"/>
    </row>
    <row r="50" spans="1:27" s="130" customFormat="1">
      <c r="A50" s="130" t="s">
        <v>281</v>
      </c>
      <c r="C50" s="139"/>
      <c r="D50" s="127"/>
      <c r="E50" s="139"/>
      <c r="F50" s="139"/>
      <c r="G50" s="139"/>
      <c r="H50" s="139"/>
      <c r="I50" s="139"/>
      <c r="J50" s="139"/>
      <c r="K50" s="139"/>
      <c r="L50" s="139"/>
      <c r="N50" s="132"/>
      <c r="O50" s="134"/>
      <c r="Q50" s="135"/>
      <c r="R50" s="135"/>
      <c r="S50" s="135"/>
      <c r="U50" s="135"/>
      <c r="V50" s="135"/>
      <c r="W50" s="135"/>
      <c r="X50" s="135"/>
    </row>
    <row r="51" spans="1:27" s="743" customFormat="1">
      <c r="A51" s="743" t="s">
        <v>61</v>
      </c>
      <c r="C51" s="752">
        <f>VLOOKUP(A51,'305 Inputs'!$E$101:$I$110,5,FALSE)</f>
        <v>52215.519999999997</v>
      </c>
      <c r="D51" s="746"/>
      <c r="E51" s="753">
        <f>'SBC-Hydro'!G51+'SBC-Hydro'!K51</f>
        <v>-1026.55</v>
      </c>
      <c r="F51" s="752"/>
      <c r="G51" s="753">
        <f>-395.19</f>
        <v>-395.19</v>
      </c>
      <c r="H51" s="752"/>
      <c r="I51" s="752">
        <f>C51+E51+G51</f>
        <v>50793.779999999992</v>
      </c>
      <c r="J51" s="752"/>
      <c r="K51" s="753">
        <f>50799.39</f>
        <v>50799.39</v>
      </c>
      <c r="L51" s="752"/>
      <c r="M51" s="775">
        <f t="shared" ref="M51:M56" si="42">ROUND(K51/I51*100,3)-100</f>
        <v>1.099999999999568E-2</v>
      </c>
      <c r="N51" s="754">
        <f t="shared" ref="N51:N55" si="43">K51-I51</f>
        <v>5.610000000007858</v>
      </c>
      <c r="O51" s="748">
        <f t="shared" ref="O51:O56" si="44">IF(ABS(M51)&lt;=0.5,0,IF(I51&gt;K51,(I51*0.995)-K51,(I51*1.005)-K51))</f>
        <v>0</v>
      </c>
      <c r="P51" s="753">
        <f>'Pages 4-11, All Other Schedules'!H1130</f>
        <v>50799.69</v>
      </c>
      <c r="Q51" s="755">
        <f t="shared" ref="Q51:Q56" si="45">((P51-I51)/I51)*100</f>
        <v>1.1635282902770319E-2</v>
      </c>
      <c r="R51" s="754">
        <f t="shared" ref="R51:R56" si="46">P51-K51</f>
        <v>0.30000000000291038</v>
      </c>
      <c r="S51" s="749"/>
      <c r="T51" s="753">
        <v>59948.32</v>
      </c>
      <c r="U51" s="749">
        <f t="shared" ref="U51:U56" si="47">((T51-P51)/P51)*100</f>
        <v>18.009224072036652</v>
      </c>
      <c r="V51" s="754">
        <f t="shared" ref="V51:V56" si="48">T51-P51</f>
        <v>9148.6299999999974</v>
      </c>
      <c r="W51" s="749"/>
      <c r="X51" s="754">
        <f>G51+N51+R51</f>
        <v>-389.27999999998923</v>
      </c>
      <c r="AA51" s="779"/>
    </row>
    <row r="52" spans="1:27" s="743" customFormat="1">
      <c r="A52" s="743" t="s">
        <v>62</v>
      </c>
      <c r="C52" s="752">
        <f>VLOOKUP(A52,'305 Inputs'!$E$101:$I$110,5,FALSE)</f>
        <v>236133.27</v>
      </c>
      <c r="D52" s="746"/>
      <c r="E52" s="753">
        <f>'SBC-Hydro'!G52+'SBC-Hydro'!K52</f>
        <v>-9410.16</v>
      </c>
      <c r="F52" s="752"/>
      <c r="G52" s="753">
        <f>16014.21--16.82</f>
        <v>16031.029999999999</v>
      </c>
      <c r="H52" s="752"/>
      <c r="I52" s="752">
        <f>C52+E52+G52</f>
        <v>242754.13999999998</v>
      </c>
      <c r="J52" s="752"/>
      <c r="K52" s="753">
        <f>240774.87+2266.75</f>
        <v>243041.62</v>
      </c>
      <c r="L52" s="752"/>
      <c r="M52" s="775">
        <f t="shared" si="42"/>
        <v>0.117999999999995</v>
      </c>
      <c r="N52" s="754">
        <f t="shared" si="43"/>
        <v>287.48000000001048</v>
      </c>
      <c r="O52" s="748">
        <f t="shared" si="44"/>
        <v>0</v>
      </c>
      <c r="P52" s="753">
        <f>'Pages 4-11, All Other Schedules'!H1170</f>
        <v>242978.35000000003</v>
      </c>
      <c r="Q52" s="755">
        <f t="shared" si="45"/>
        <v>9.2360937696078046E-2</v>
      </c>
      <c r="R52" s="963">
        <f t="shared" si="46"/>
        <v>-63.269999999960419</v>
      </c>
      <c r="S52" s="749"/>
      <c r="T52" s="753">
        <v>213189.22</v>
      </c>
      <c r="U52" s="749">
        <f t="shared" si="47"/>
        <v>-12.259993534403387</v>
      </c>
      <c r="V52" s="754">
        <f t="shared" si="48"/>
        <v>-29789.130000000034</v>
      </c>
      <c r="W52" s="749"/>
      <c r="X52" s="754">
        <f>G52+N52+R52</f>
        <v>16255.240000000049</v>
      </c>
      <c r="AA52" s="779"/>
    </row>
    <row r="53" spans="1:27" s="743" customFormat="1">
      <c r="A53" s="743" t="s">
        <v>63</v>
      </c>
      <c r="C53" s="752">
        <f>VLOOKUP(A53,'305 Inputs'!$E$101:$I$110,5,FALSE)</f>
        <v>82892.25</v>
      </c>
      <c r="D53" s="746"/>
      <c r="E53" s="753">
        <f>'SBC-Hydro'!G53+'SBC-Hydro'!K53</f>
        <v>-3150.08</v>
      </c>
      <c r="F53" s="752"/>
      <c r="G53" s="753">
        <f>75.97-71.46</f>
        <v>4.5100000000000051</v>
      </c>
      <c r="H53" s="752"/>
      <c r="I53" s="752">
        <f>C53+E53+G53</f>
        <v>79746.679999999993</v>
      </c>
      <c r="J53" s="752"/>
      <c r="K53" s="753">
        <v>79746.64</v>
      </c>
      <c r="L53" s="752"/>
      <c r="M53" s="775">
        <f t="shared" si="42"/>
        <v>0</v>
      </c>
      <c r="N53" s="754">
        <f t="shared" si="43"/>
        <v>-3.9999999993597157E-2</v>
      </c>
      <c r="O53" s="748">
        <f t="shared" si="44"/>
        <v>0</v>
      </c>
      <c r="P53" s="753">
        <f>'Pages 4-11, All Other Schedules'!H1182</f>
        <v>79747</v>
      </c>
      <c r="Q53" s="755">
        <f t="shared" si="45"/>
        <v>4.0127062343784715E-4</v>
      </c>
      <c r="R53" s="754">
        <f t="shared" si="46"/>
        <v>0.36000000000058208</v>
      </c>
      <c r="S53" s="749"/>
      <c r="T53" s="753">
        <v>62311</v>
      </c>
      <c r="U53" s="749">
        <f t="shared" si="47"/>
        <v>-21.864145359700053</v>
      </c>
      <c r="V53" s="754">
        <f t="shared" si="48"/>
        <v>-17436</v>
      </c>
      <c r="W53" s="749"/>
      <c r="X53" s="754">
        <f>G53+N53+R53</f>
        <v>4.83000000000699</v>
      </c>
      <c r="AA53" s="779"/>
    </row>
    <row r="54" spans="1:27" s="743" customFormat="1">
      <c r="A54" s="743" t="s">
        <v>64</v>
      </c>
      <c r="C54" s="752">
        <f>VLOOKUP(A54,'305 Inputs'!$E$101:$I$110,5,FALSE)</f>
        <v>663184.49</v>
      </c>
      <c r="D54" s="746"/>
      <c r="E54" s="753">
        <f>'SBC-Hydro'!G54+'SBC-Hydro'!K54</f>
        <v>-12137.93</v>
      </c>
      <c r="F54" s="752"/>
      <c r="G54" s="753">
        <f>6531.47-3207.93</f>
        <v>3323.5400000000004</v>
      </c>
      <c r="H54" s="752"/>
      <c r="I54" s="752">
        <f>C54+E54+G54</f>
        <v>654370.1</v>
      </c>
      <c r="J54" s="752"/>
      <c r="K54" s="753">
        <f>654198.22</f>
        <v>654198.22</v>
      </c>
      <c r="L54" s="752"/>
      <c r="M54" s="775">
        <f t="shared" si="42"/>
        <v>-2.5999999999996248E-2</v>
      </c>
      <c r="N54" s="754">
        <f t="shared" si="43"/>
        <v>-171.88000000000466</v>
      </c>
      <c r="O54" s="748">
        <f t="shared" si="44"/>
        <v>0</v>
      </c>
      <c r="P54" s="753">
        <f>'Pages 4-11, All Other Schedules'!H1117</f>
        <v>654187</v>
      </c>
      <c r="Q54" s="755">
        <f t="shared" si="45"/>
        <v>-2.7981107327485887E-2</v>
      </c>
      <c r="R54" s="754">
        <f t="shared" si="46"/>
        <v>-11.21999999997206</v>
      </c>
      <c r="S54" s="749"/>
      <c r="T54" s="753">
        <v>516157</v>
      </c>
      <c r="U54" s="749">
        <f t="shared" si="47"/>
        <v>-21.099471557826739</v>
      </c>
      <c r="V54" s="754">
        <f t="shared" si="48"/>
        <v>-138030</v>
      </c>
      <c r="W54" s="749"/>
      <c r="X54" s="754">
        <f>G54+N54+R54</f>
        <v>3140.4400000000237</v>
      </c>
      <c r="AA54" s="779"/>
    </row>
    <row r="55" spans="1:27" s="743" customFormat="1">
      <c r="A55" s="743" t="s">
        <v>65</v>
      </c>
      <c r="C55" s="752">
        <f>VLOOKUP(A55,'305 Inputs'!$E$101:$I$110,5,FALSE)</f>
        <v>244490.19</v>
      </c>
      <c r="D55" s="746"/>
      <c r="E55" s="753">
        <f>'SBC-Hydro'!G55+'SBC-Hydro'!K55</f>
        <v>-6014.5300000000007</v>
      </c>
      <c r="F55" s="752"/>
      <c r="G55" s="753">
        <f>-262.51-15.79+127.65</f>
        <v>-150.65</v>
      </c>
      <c r="H55" s="752"/>
      <c r="I55" s="752">
        <f>C55+E55+G55</f>
        <v>238325.01</v>
      </c>
      <c r="J55" s="752"/>
      <c r="K55" s="753">
        <f>238250.04</f>
        <v>238250.04</v>
      </c>
      <c r="L55" s="752"/>
      <c r="M55" s="775">
        <f t="shared" si="42"/>
        <v>-3.1000000000005912E-2</v>
      </c>
      <c r="N55" s="754">
        <f t="shared" si="43"/>
        <v>-74.970000000001164</v>
      </c>
      <c r="O55" s="748">
        <f t="shared" si="44"/>
        <v>0</v>
      </c>
      <c r="P55" s="753">
        <f>'Pages 4-11, All Other Schedules'!H1233</f>
        <v>238251</v>
      </c>
      <c r="Q55" s="755">
        <f t="shared" si="45"/>
        <v>-3.105423136246142E-2</v>
      </c>
      <c r="R55" s="754">
        <f t="shared" si="46"/>
        <v>0.95999999999185093</v>
      </c>
      <c r="S55" s="749"/>
      <c r="T55" s="753">
        <v>233013</v>
      </c>
      <c r="U55" s="749">
        <f t="shared" si="47"/>
        <v>-2.1985217270861406</v>
      </c>
      <c r="V55" s="754">
        <f t="shared" si="48"/>
        <v>-5238</v>
      </c>
      <c r="W55" s="749"/>
      <c r="X55" s="754">
        <f>G55+N55+R55</f>
        <v>-224.66000000000932</v>
      </c>
      <c r="AA55" s="779"/>
    </row>
    <row r="56" spans="1:27">
      <c r="A56" s="121" t="s">
        <v>282</v>
      </c>
      <c r="C56" s="139">
        <f>SUM(C51:C55)</f>
        <v>1278915.72</v>
      </c>
      <c r="D56" s="127"/>
      <c r="E56" s="147">
        <f>SUM(E51:E55)</f>
        <v>-31739.25</v>
      </c>
      <c r="F56" s="139"/>
      <c r="G56" s="139">
        <f>SUM(G51:G55)</f>
        <v>18813.239999999998</v>
      </c>
      <c r="H56" s="139"/>
      <c r="I56" s="139">
        <f>SUM(I51:I55)</f>
        <v>1265989.71</v>
      </c>
      <c r="J56" s="139"/>
      <c r="K56" s="139">
        <f>SUM(K51:K55)</f>
        <v>1266035.9099999999</v>
      </c>
      <c r="L56" s="139"/>
      <c r="M56" s="149">
        <f t="shared" si="42"/>
        <v>4.0000000000048885E-3</v>
      </c>
      <c r="N56" s="148">
        <f>SUM(N51:N55)</f>
        <v>46.200000000018917</v>
      </c>
      <c r="O56" s="134">
        <f t="shared" si="44"/>
        <v>0</v>
      </c>
      <c r="P56" s="139">
        <f>SUM(P51:P55)</f>
        <v>1265963.04</v>
      </c>
      <c r="Q56" s="756">
        <f t="shared" si="45"/>
        <v>-2.1066521938733211E-3</v>
      </c>
      <c r="R56" s="148">
        <f t="shared" si="46"/>
        <v>-72.869999999878928</v>
      </c>
      <c r="S56" s="135"/>
      <c r="T56" s="139">
        <f>SUM(T51:T55)</f>
        <v>1084618.54</v>
      </c>
      <c r="U56" s="135">
        <f t="shared" si="47"/>
        <v>-14.324628308264039</v>
      </c>
      <c r="V56" s="148">
        <f t="shared" si="48"/>
        <v>-181344.5</v>
      </c>
      <c r="W56" s="135"/>
      <c r="X56" s="148">
        <f>SUM(X51:X55)</f>
        <v>18786.57000000008</v>
      </c>
      <c r="Y56" s="130"/>
    </row>
    <row r="57" spans="1:27">
      <c r="D57" s="127"/>
      <c r="E57" s="139"/>
      <c r="F57" s="139"/>
      <c r="G57" s="139"/>
      <c r="H57" s="139"/>
      <c r="I57" s="139"/>
      <c r="J57" s="139"/>
      <c r="K57" s="139"/>
      <c r="L57" s="139"/>
      <c r="M57" s="149"/>
      <c r="N57" s="130"/>
      <c r="O57" s="134"/>
      <c r="P57" s="130"/>
      <c r="Q57" s="756"/>
      <c r="R57" s="130"/>
      <c r="S57" s="130"/>
      <c r="T57" s="130"/>
      <c r="U57" s="130"/>
      <c r="V57" s="130"/>
      <c r="W57" s="130"/>
      <c r="X57" s="130"/>
      <c r="Y57" s="130"/>
    </row>
    <row r="58" spans="1:27">
      <c r="A58" s="121" t="s">
        <v>283</v>
      </c>
      <c r="C58" s="139">
        <f>C56+C47+C41+C28+C14</f>
        <v>309641955.81000006</v>
      </c>
      <c r="D58" s="127"/>
      <c r="E58" s="1112">
        <f>E56+E47+E41+E28+E14</f>
        <v>-10705577.889999997</v>
      </c>
      <c r="F58" s="139"/>
      <c r="G58" s="139">
        <f>G56+G47+G41+G28+G14</f>
        <v>288689.86</v>
      </c>
      <c r="H58" s="139"/>
      <c r="I58" s="139">
        <f>I56+I47+I41+I28+I14</f>
        <v>299225067.77999997</v>
      </c>
      <c r="J58" s="139"/>
      <c r="K58" s="139">
        <f>K56+K47+K41+K28+K14</f>
        <v>299309939.37738836</v>
      </c>
      <c r="L58" s="139"/>
      <c r="M58" s="149">
        <f>ROUND(K58/I58*100,3)-100</f>
        <v>2.8000000000005798E-2</v>
      </c>
      <c r="N58" s="139">
        <f>N56+N47+N41+N28+N14</f>
        <v>84871.597388354028</v>
      </c>
      <c r="O58" s="134">
        <f>IF(ABS(M58)&lt;=0.5,0,IF(I58&gt;K58,(I58*0.995)-K58,(I58*1.005)-K58))</f>
        <v>0</v>
      </c>
      <c r="P58" s="139">
        <f>P56+P47+P41+P28+P14</f>
        <v>303640055.17000008</v>
      </c>
      <c r="Q58" s="756">
        <f>((P58-I58)/I58)*100</f>
        <v>1.4754737705485783</v>
      </c>
      <c r="R58" s="148">
        <f>P58-K58</f>
        <v>4330115.7926117182</v>
      </c>
      <c r="S58" s="135"/>
      <c r="T58" s="139" t="e">
        <f>T56+T47+T41+T28+T14</f>
        <v>#REF!</v>
      </c>
      <c r="U58" s="135" t="e">
        <f>((T58-P58)/P58)*100</f>
        <v>#REF!</v>
      </c>
      <c r="V58" s="148" t="e">
        <f>T58-P58</f>
        <v>#REF!</v>
      </c>
      <c r="W58" s="135"/>
      <c r="X58" s="139">
        <f>X56+X47+X41+X28+X14</f>
        <v>4703677.2499999981</v>
      </c>
      <c r="Y58" s="130"/>
      <c r="AA58" s="780"/>
    </row>
    <row r="59" spans="1:27">
      <c r="D59" s="127"/>
      <c r="E59" s="139"/>
      <c r="F59" s="139"/>
      <c r="G59" s="139"/>
      <c r="H59" s="139"/>
      <c r="I59" s="139"/>
      <c r="J59" s="139"/>
      <c r="K59" s="139"/>
      <c r="L59" s="139"/>
      <c r="M59" s="130"/>
      <c r="N59" s="148" t="s">
        <v>31</v>
      </c>
      <c r="O59" s="134"/>
      <c r="P59" s="130"/>
      <c r="Q59" s="130"/>
      <c r="R59" s="148" t="s">
        <v>31</v>
      </c>
      <c r="S59" s="130"/>
      <c r="T59" s="130"/>
      <c r="U59" s="130"/>
      <c r="V59" s="130"/>
      <c r="W59" s="130"/>
      <c r="X59" s="130"/>
      <c r="Y59" s="130"/>
    </row>
    <row r="60" spans="1:27">
      <c r="D60" s="127"/>
      <c r="E60" s="139"/>
      <c r="F60" s="139"/>
      <c r="G60" s="139"/>
      <c r="H60" s="139"/>
      <c r="I60" s="139"/>
      <c r="J60" s="139"/>
      <c r="K60" s="139"/>
      <c r="L60" s="139"/>
      <c r="M60" s="130"/>
      <c r="N60" s="130"/>
      <c r="O60" s="134"/>
      <c r="P60" s="130"/>
      <c r="Q60" s="130"/>
      <c r="R60" s="130"/>
      <c r="S60" s="130"/>
      <c r="T60" s="130"/>
      <c r="U60" s="130"/>
      <c r="V60" s="130"/>
      <c r="W60" s="130"/>
      <c r="X60" s="130"/>
      <c r="Y60" s="130"/>
    </row>
    <row r="61" spans="1:27">
      <c r="D61" s="127"/>
      <c r="E61" s="139"/>
      <c r="F61" s="139"/>
      <c r="G61" s="139"/>
      <c r="H61" s="139"/>
      <c r="I61" s="139"/>
      <c r="J61" s="139"/>
      <c r="K61" s="139"/>
      <c r="L61" s="139"/>
      <c r="M61" s="130"/>
      <c r="N61" s="130"/>
      <c r="O61" s="134"/>
      <c r="P61" s="130"/>
      <c r="Q61" s="130"/>
      <c r="R61" s="130"/>
      <c r="S61" s="130"/>
      <c r="T61" s="130"/>
      <c r="U61" s="130"/>
      <c r="V61" s="130"/>
      <c r="W61" s="130"/>
      <c r="X61" s="130"/>
      <c r="Y61" s="130"/>
    </row>
    <row r="62" spans="1:27">
      <c r="A62" s="121" t="s">
        <v>284</v>
      </c>
      <c r="C62" s="138"/>
      <c r="D62" s="127"/>
      <c r="E62" s="139"/>
      <c r="F62" s="139"/>
      <c r="G62" s="139"/>
      <c r="H62" s="139"/>
      <c r="I62" s="139"/>
      <c r="J62" s="139"/>
      <c r="K62" s="139"/>
      <c r="L62" s="139"/>
      <c r="M62" s="130"/>
      <c r="N62" s="130"/>
      <c r="O62" s="134"/>
      <c r="P62" s="130"/>
      <c r="Q62" s="130"/>
      <c r="R62" s="130"/>
      <c r="S62" s="130"/>
      <c r="T62" s="130"/>
      <c r="U62" s="130"/>
      <c r="V62" s="130"/>
      <c r="W62" s="130"/>
      <c r="X62" s="130"/>
      <c r="Y62" s="130"/>
    </row>
    <row r="63" spans="1:27">
      <c r="A63" s="121" t="s">
        <v>272</v>
      </c>
      <c r="C63" s="139">
        <f>SUMIF($A$6:$A$56,$A63,C$6:C$56)</f>
        <v>159693.47</v>
      </c>
      <c r="D63" s="139"/>
      <c r="E63" s="139">
        <f>SUMIF($A$6:$A$56,$A63,E$6:E$56)</f>
        <v>-3477.7200000000003</v>
      </c>
      <c r="F63" s="139"/>
      <c r="G63" s="139">
        <f>SUMIF($A$6:$A$56,$A63,G$6:G$56)</f>
        <v>605.80000000000007</v>
      </c>
      <c r="H63" s="139"/>
      <c r="I63" s="139">
        <f>SUMIF($A$6:$A$56,$A63,I$6:I$56)</f>
        <v>156821.54999999999</v>
      </c>
      <c r="J63" s="139"/>
      <c r="K63" s="139">
        <f>SUMIF($A$6:$A$56,$A63,K$6:K$56)</f>
        <v>156877.14000000001</v>
      </c>
      <c r="L63" s="139"/>
      <c r="M63" s="149">
        <f>ROUND(K63/I63*100,3)-100</f>
        <v>3.4999999999996589E-2</v>
      </c>
      <c r="N63" s="148">
        <f>K63-I63</f>
        <v>55.590000000025611</v>
      </c>
      <c r="O63" s="134">
        <f>IF(ABS(M63)&lt;=0.5,0,IF(I63&gt;K63,(I63*0.995)-K63,(I63*1.005)-K63))</f>
        <v>0</v>
      </c>
      <c r="P63" s="139">
        <f>SUMIF($A$6:$A$56,$A63,P$6:P$56)</f>
        <v>156872.52000000002</v>
      </c>
      <c r="Q63" s="135">
        <f>((P63-I63)/I63)*100</f>
        <v>3.2501910611156613E-2</v>
      </c>
      <c r="R63" s="148">
        <f>P63-K63</f>
        <v>-4.6199999999953434</v>
      </c>
      <c r="S63" s="135"/>
      <c r="T63" s="139">
        <f>SUMIF($A$6:$A$56,$A63,T$6:T$56)</f>
        <v>0</v>
      </c>
      <c r="U63" s="135">
        <f>((T63-P63)/P63)*100</f>
        <v>-100</v>
      </c>
      <c r="V63" s="148">
        <f>T63-P63</f>
        <v>-156872.52000000002</v>
      </c>
      <c r="W63" s="135"/>
      <c r="X63" s="148">
        <f>G63+N63</f>
        <v>661.39000000002568</v>
      </c>
      <c r="Y63" s="130"/>
    </row>
    <row r="64" spans="1:27">
      <c r="A64" s="121" t="s">
        <v>55</v>
      </c>
      <c r="C64" s="139">
        <f>SUMIF($A$6:$A$56,$A64,C$6:C$56)</f>
        <v>334896.59999999998</v>
      </c>
      <c r="D64" s="139"/>
      <c r="E64" s="139">
        <f>SUMIF($A$6:$A$56,$A64,E$6:E$56)</f>
        <v>-7678.3600000000006</v>
      </c>
      <c r="F64" s="139"/>
      <c r="G64" s="139">
        <f>SUMIF($A$6:$A$56,$A64,G$6:G$56)</f>
        <v>318.04999999999995</v>
      </c>
      <c r="H64" s="139"/>
      <c r="I64" s="139">
        <f>SUMIF($A$6:$A$56,$A64,I$6:I$56)</f>
        <v>327536.29000000004</v>
      </c>
      <c r="J64" s="139"/>
      <c r="K64" s="139">
        <f>SUMIF($A$6:$A$56,$A64,K$6:K$56)</f>
        <v>327480.76</v>
      </c>
      <c r="L64" s="139"/>
      <c r="M64" s="149">
        <f>ROUND(K64/I64*100,3)-100</f>
        <v>-1.6999999999995907E-2</v>
      </c>
      <c r="N64" s="148">
        <f>K64-I64</f>
        <v>-55.53000000002794</v>
      </c>
      <c r="O64" s="134">
        <f>IF(ABS(M64)&lt;=0.5,0,IF(I64&gt;K64,(I64*0.995)-K64,(I64*1.005)-K64))</f>
        <v>0</v>
      </c>
      <c r="P64" s="139">
        <f>SUMIF($A$6:$A$56,$A64,P$6:P$56)</f>
        <v>327487.58</v>
      </c>
      <c r="Q64" s="135">
        <f>((P64-I64)/I64)*100</f>
        <v>-1.4871634529419914E-2</v>
      </c>
      <c r="R64" s="148">
        <f>P64-K64</f>
        <v>6.8200000000069849</v>
      </c>
      <c r="S64" s="135"/>
      <c r="T64" s="139">
        <f>SUMIF($A$6:$A$56,$A64,T$6:T$56)</f>
        <v>315750</v>
      </c>
      <c r="U64" s="135">
        <f>((T64-P64)/P64)*100</f>
        <v>-3.5841298164651056</v>
      </c>
      <c r="V64" s="148">
        <f>T64-P64</f>
        <v>-11737.580000000016</v>
      </c>
      <c r="W64" s="135"/>
      <c r="X64" s="148">
        <f>G64+N64</f>
        <v>262.51999999997201</v>
      </c>
      <c r="Y64" s="130"/>
    </row>
    <row r="65" spans="1:25">
      <c r="A65" s="121" t="s">
        <v>285</v>
      </c>
      <c r="C65" s="142">
        <f>SUM(C63:C64)</f>
        <v>494590.06999999995</v>
      </c>
      <c r="D65" s="142"/>
      <c r="E65" s="142">
        <f>SUM(E63:E64)</f>
        <v>-11156.080000000002</v>
      </c>
      <c r="F65" s="142"/>
      <c r="G65" s="142">
        <f>SUM(G63:G64)</f>
        <v>923.85</v>
      </c>
      <c r="H65" s="142"/>
      <c r="I65" s="142">
        <f>SUM(I63:I64)</f>
        <v>484357.84</v>
      </c>
      <c r="J65" s="142"/>
      <c r="K65" s="142">
        <f>SUM(K63:K64)</f>
        <v>484357.9</v>
      </c>
      <c r="L65" s="142"/>
      <c r="M65" s="149">
        <f>ROUND(K65/I65*100,3)-100</f>
        <v>0</v>
      </c>
      <c r="N65" s="148">
        <f>K65-I65</f>
        <v>5.9999999997671694E-2</v>
      </c>
      <c r="O65" s="134">
        <f>IF(ABS(M65)&lt;=0.5,0,IF(I65&gt;K65,(I65*0.995)-K65,(I65*1.005)-K65))</f>
        <v>0</v>
      </c>
      <c r="P65" s="142">
        <f>SUM(P63:P64)</f>
        <v>484360.10000000003</v>
      </c>
      <c r="Q65" s="135">
        <f>((P65-I65)/I65)*100</f>
        <v>4.6659717534649857E-4</v>
      </c>
      <c r="R65" s="148">
        <f>P65-K65</f>
        <v>2.2000000000116415</v>
      </c>
      <c r="S65" s="135"/>
      <c r="T65" s="142">
        <f>SUM(T63:T64)</f>
        <v>315750</v>
      </c>
      <c r="U65" s="135">
        <f>((T65-P65)/P65)*100</f>
        <v>-34.810897924911657</v>
      </c>
      <c r="V65" s="148">
        <f>T65-P65</f>
        <v>-168610.10000000003</v>
      </c>
      <c r="W65" s="135"/>
      <c r="X65" s="148">
        <f>SUM(X63:X64)</f>
        <v>923.90999999999769</v>
      </c>
      <c r="Y65" s="130"/>
    </row>
    <row r="66" spans="1:25"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49"/>
      <c r="N66" s="148"/>
      <c r="O66" s="134"/>
      <c r="P66" s="138"/>
      <c r="Q66" s="135"/>
      <c r="R66" s="135"/>
      <c r="S66" s="135"/>
      <c r="T66" s="138"/>
      <c r="U66" s="135"/>
      <c r="V66" s="135"/>
      <c r="W66" s="135"/>
      <c r="X66" s="135"/>
      <c r="Y66" s="130"/>
    </row>
    <row r="67" spans="1:25">
      <c r="A67" s="121" t="s">
        <v>268</v>
      </c>
      <c r="C67" s="139">
        <f>SUMIF($A$6:$A$56,$A67,C$6:C$56)</f>
        <v>131784572.25</v>
      </c>
      <c r="D67" s="139"/>
      <c r="E67" s="139">
        <f>SUMIF($A$6:$A$56,$A67,E$6:E$56)</f>
        <v>-4593926.1500000004</v>
      </c>
      <c r="F67" s="139"/>
      <c r="G67" s="139">
        <f>SUMIF($A$6:$A$56,$A67,G$6:G$56)</f>
        <v>5859.73</v>
      </c>
      <c r="H67" s="139"/>
      <c r="I67" s="139">
        <f>SUMIF($A$6:$A$56,$A67,I$6:I$56)</f>
        <v>127196505.83</v>
      </c>
      <c r="J67" s="139"/>
      <c r="K67" s="139">
        <f>SUMIF($A$6:$A$56,$A67,K$6:K$56)</f>
        <v>127310950.760444</v>
      </c>
      <c r="L67" s="139"/>
      <c r="M67" s="149">
        <f>ROUND(K67/I67*100,3)-100</f>
        <v>9.0000000000003411E-2</v>
      </c>
      <c r="N67" s="148">
        <f>K67-I67</f>
        <v>114444.93044400215</v>
      </c>
      <c r="O67" s="134">
        <f>IF(ABS(M67)&lt;=0.5,0,IF(I67&gt;K67,(I67*0.995)-K67,(I67*1.005)-K67))</f>
        <v>0</v>
      </c>
      <c r="P67" s="139">
        <f>SUMIF($A$6:$A$56,$A67,P$6:P$56)</f>
        <v>129186960.568885</v>
      </c>
      <c r="Q67" s="135">
        <f>((P67-I67)/I67)*100</f>
        <v>1.5648658946223508</v>
      </c>
      <c r="R67" s="148">
        <f>P67-K67</f>
        <v>1876009.8084409982</v>
      </c>
      <c r="S67" s="135"/>
      <c r="T67" s="139" t="e">
        <f>SUMIF($A$6:$A$56,$A67,T$6:T$56)</f>
        <v>#REF!</v>
      </c>
      <c r="U67" s="135" t="e">
        <f>((T67-P67)/P67)*100</f>
        <v>#REF!</v>
      </c>
      <c r="V67" s="148" t="e">
        <f>T67-P67</f>
        <v>#REF!</v>
      </c>
      <c r="W67" s="135"/>
      <c r="X67" s="148">
        <f>G67+N67</f>
        <v>120304.66044400215</v>
      </c>
      <c r="Y67" s="130"/>
    </row>
    <row r="68" spans="1:25">
      <c r="A68" s="121" t="s">
        <v>269</v>
      </c>
      <c r="C68" s="139">
        <f>SUMIF($A$6:$A$56,$A68,C$6:C$56)</f>
        <v>5397763.5499999998</v>
      </c>
      <c r="D68" s="139"/>
      <c r="E68" s="139">
        <f>SUMIF($A$6:$A$56,$A68,E$6:E$56)</f>
        <v>-188950.77</v>
      </c>
      <c r="F68" s="139"/>
      <c r="G68" s="139">
        <f>SUMIF($A$6:$A$56,$A68,G$6:G$56)</f>
        <v>-2178.0500000000002</v>
      </c>
      <c r="H68" s="139"/>
      <c r="I68" s="139">
        <f>SUMIF($A$6:$A$56,$A68,I$6:I$56)</f>
        <v>5206634.7300000004</v>
      </c>
      <c r="J68" s="139"/>
      <c r="K68" s="139">
        <f>SUMIF($A$6:$A$56,$A68,K$6:K$56)</f>
        <v>5206929.0000350298</v>
      </c>
      <c r="L68" s="139"/>
      <c r="M68" s="149">
        <f>ROUND(K68/I68*100,3)-100</f>
        <v>6.0000000000002274E-3</v>
      </c>
      <c r="N68" s="148">
        <f>K68-I68</f>
        <v>294.27003502938896</v>
      </c>
      <c r="O68" s="134">
        <f>IF(ABS(M68)&lt;=0.5,0,IF(I68&gt;K68,(I68*0.995)-K68,(I68*1.005)-K68))</f>
        <v>0</v>
      </c>
      <c r="P68" s="139">
        <f>SUMIF($A$6:$A$56,$A68,P$6:P$56)</f>
        <v>5284000.3600000003</v>
      </c>
      <c r="Q68" s="135">
        <f>((P68-I68)/I68)*100</f>
        <v>1.4859046968328404</v>
      </c>
      <c r="R68" s="148">
        <f>P68-K68</f>
        <v>77071.359964970499</v>
      </c>
      <c r="S68" s="135"/>
      <c r="T68" s="139">
        <f>SUMIF($A$6:$A$56,$A68,T$6:T$56)</f>
        <v>4635674</v>
      </c>
      <c r="U68" s="135">
        <f>((T68-P68)/P68)*100</f>
        <v>-12.269612335908326</v>
      </c>
      <c r="V68" s="148">
        <f>T68-P68</f>
        <v>-648326.36000000034</v>
      </c>
      <c r="W68" s="135"/>
      <c r="X68" s="148">
        <f>G68+N68</f>
        <v>-1883.7799649706112</v>
      </c>
      <c r="Y68" s="130"/>
    </row>
    <row r="69" spans="1:25">
      <c r="A69" s="121" t="s">
        <v>286</v>
      </c>
      <c r="C69" s="142">
        <f>SUM(C67:C68)</f>
        <v>137182335.80000001</v>
      </c>
      <c r="D69" s="142"/>
      <c r="E69" s="142">
        <f>SUM(E67:E68)</f>
        <v>-4782876.92</v>
      </c>
      <c r="F69" s="142"/>
      <c r="G69" s="142">
        <f>SUM(G67:G68)</f>
        <v>3681.6799999999994</v>
      </c>
      <c r="H69" s="142"/>
      <c r="I69" s="142">
        <f>SUM(I67:I68)</f>
        <v>132403140.56</v>
      </c>
      <c r="J69" s="142"/>
      <c r="K69" s="142">
        <f>SUM(K67:K68)</f>
        <v>132517879.76047903</v>
      </c>
      <c r="L69" s="142"/>
      <c r="M69" s="149">
        <f>ROUND(K69/I69*100,3)-100</f>
        <v>8.7000000000003297E-2</v>
      </c>
      <c r="N69" s="148">
        <f>K69-I69</f>
        <v>114739.20047903061</v>
      </c>
      <c r="O69" s="134">
        <f>IF(ABS(M69)&lt;=0.5,0,IF(I69&gt;K69,(I69*0.995)-K69,(I69*1.005)-K69))</f>
        <v>0</v>
      </c>
      <c r="P69" s="142">
        <f>SUM(P67:P68)</f>
        <v>134470960.92888501</v>
      </c>
      <c r="Q69" s="135">
        <f>((P69-I69)/I69)*100</f>
        <v>1.5617608163515986</v>
      </c>
      <c r="R69" s="148">
        <f>P69-K69</f>
        <v>1953081.1684059799</v>
      </c>
      <c r="S69" s="135"/>
      <c r="T69" s="142" t="e">
        <f>SUM(T67:T68)</f>
        <v>#REF!</v>
      </c>
      <c r="U69" s="135" t="e">
        <f>((T69-P69)/P69)*100</f>
        <v>#REF!</v>
      </c>
      <c r="V69" s="148" t="e">
        <f>T69-P69</f>
        <v>#REF!</v>
      </c>
      <c r="W69" s="135"/>
      <c r="X69" s="148">
        <f>SUM(X67:X68)</f>
        <v>118420.88047903153</v>
      </c>
      <c r="Y69" s="130"/>
    </row>
    <row r="70" spans="1:25"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9"/>
      <c r="N70" s="148"/>
      <c r="O70" s="134"/>
      <c r="P70" s="142"/>
      <c r="Q70" s="135"/>
      <c r="R70" s="148"/>
      <c r="S70" s="135"/>
      <c r="T70" s="142"/>
      <c r="U70" s="135"/>
      <c r="V70" s="148"/>
      <c r="W70" s="135"/>
      <c r="X70" s="148"/>
      <c r="Y70" s="130"/>
    </row>
    <row r="71" spans="1:25">
      <c r="A71" s="130" t="s">
        <v>252</v>
      </c>
      <c r="C71" s="139">
        <f>SUMIF($A$6:$A$56,$A71,C$6:C$56)</f>
        <v>59251.360000000001</v>
      </c>
      <c r="D71" s="139"/>
      <c r="E71" s="139">
        <f>SUMIF($A$6:$A$56,$A71,E$6:E$56)</f>
        <v>-1903.1399999999999</v>
      </c>
      <c r="F71" s="139"/>
      <c r="G71" s="139">
        <f>SUMIF($A$6:$A$56,$A71,G$6:G$56)</f>
        <v>-1743.94</v>
      </c>
      <c r="H71" s="139"/>
      <c r="I71" s="139">
        <f>SUMIF($A$6:$A$56,$A71,I$6:I$56)</f>
        <v>55604.28</v>
      </c>
      <c r="J71" s="139"/>
      <c r="K71" s="139">
        <f>SUMIF($A$6:$A$56,$A71,K$6:K$56)</f>
        <v>55614.801115000002</v>
      </c>
      <c r="L71" s="139"/>
      <c r="M71" s="149">
        <f>ROUND(K71/I71*100,3)-100</f>
        <v>1.9000000000005457E-2</v>
      </c>
      <c r="N71" s="148">
        <f>K71-I71</f>
        <v>10.521115000003192</v>
      </c>
      <c r="O71" s="134">
        <f>IF(ABS(M71)&lt;=0.5,0,IF(I71&gt;K71,(I71*0.995)-K71,(I71*1.005)-K71))</f>
        <v>0</v>
      </c>
      <c r="P71" s="139">
        <f>SUMIF($A$6:$A$56,$A71,P$6:P$56)</f>
        <v>55614.801115000002</v>
      </c>
      <c r="Q71" s="135">
        <f>((P71-I71)/I71)*100</f>
        <v>1.8921412164680834E-2</v>
      </c>
      <c r="R71" s="148">
        <f>P71-K71</f>
        <v>0</v>
      </c>
      <c r="S71" s="135"/>
      <c r="T71" s="139">
        <f>SUMIF($A$6:$A$56,$A71,T$6:T$56)</f>
        <v>149347</v>
      </c>
      <c r="U71" s="135">
        <f>((T71-P71)/P71)*100</f>
        <v>168.53822544682131</v>
      </c>
      <c r="V71" s="148">
        <f>T71-P71</f>
        <v>93732.198884999991</v>
      </c>
      <c r="W71" s="135"/>
      <c r="X71" s="148">
        <f>G71+N71</f>
        <v>-1733.4188849999969</v>
      </c>
      <c r="Y71" s="130"/>
    </row>
    <row r="72" spans="1:25"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49"/>
      <c r="N72" s="148"/>
      <c r="O72" s="134"/>
      <c r="P72" s="138"/>
      <c r="Q72" s="135"/>
      <c r="R72" s="135"/>
      <c r="S72" s="135"/>
      <c r="T72" s="138"/>
      <c r="U72" s="135"/>
      <c r="V72" s="135"/>
      <c r="W72" s="135"/>
      <c r="X72" s="135"/>
      <c r="Y72" s="130"/>
    </row>
    <row r="73" spans="1:25">
      <c r="A73" s="121" t="s">
        <v>270</v>
      </c>
      <c r="C73" s="139">
        <f>SUMIF($A$6:$A$56,$A73,C$6:C$56)</f>
        <v>208307.71</v>
      </c>
      <c r="D73" s="139"/>
      <c r="E73" s="139">
        <f>SUMIF($A$6:$A$56,$A73,E$6:E$56)</f>
        <v>-6615.7999999999993</v>
      </c>
      <c r="F73" s="139"/>
      <c r="G73" s="139">
        <f>SUMIF($A$6:$A$56,$A73,G$6:G$56)</f>
        <v>14.31</v>
      </c>
      <c r="H73" s="139"/>
      <c r="I73" s="139">
        <f>SUMIF($A$6:$A$56,$A73,I$6:I$56)</f>
        <v>201706.22</v>
      </c>
      <c r="J73" s="139"/>
      <c r="K73" s="139">
        <f>SUMIF($A$6:$A$56,$A73,K$6:K$56)</f>
        <v>201796.460705</v>
      </c>
      <c r="L73" s="139"/>
      <c r="M73" s="149">
        <f>ROUND(K73/I73*100,3)-100</f>
        <v>4.5000000000001705E-2</v>
      </c>
      <c r="N73" s="148">
        <f>K73-I73</f>
        <v>90.2407050000038</v>
      </c>
      <c r="O73" s="134">
        <f>IF(ABS(M73)&lt;=0.5,0,IF(I73&gt;K73,(I73*0.995)-K73,(I73*1.005)-K73))</f>
        <v>0</v>
      </c>
      <c r="P73" s="139">
        <f>SUMIF($A$6:$A$56,$A73,P$6:P$56)</f>
        <v>204701.97</v>
      </c>
      <c r="Q73" s="135">
        <f>((P73-I73)/I73)*100</f>
        <v>1.4852045712819368</v>
      </c>
      <c r="R73" s="148">
        <f>P73-K73</f>
        <v>2905.5092949999962</v>
      </c>
      <c r="S73" s="135"/>
      <c r="T73" s="139">
        <f>SUMIF($A$6:$A$56,$A73,T$6:T$56)</f>
        <v>179760</v>
      </c>
      <c r="U73" s="135">
        <f>((T73-P73)/P73)*100</f>
        <v>-12.184528561205347</v>
      </c>
      <c r="V73" s="148">
        <f>T73-P73</f>
        <v>-24941.97</v>
      </c>
      <c r="W73" s="135"/>
      <c r="X73" s="148">
        <f>G73+N73</f>
        <v>104.5507050000038</v>
      </c>
      <c r="Y73" s="130"/>
    </row>
    <row r="74" spans="1:25">
      <c r="A74" s="121" t="s">
        <v>271</v>
      </c>
      <c r="C74" s="139">
        <f>SUMIF($A$6:$A$56,$A74,C$6:C$56)</f>
        <v>40020.43</v>
      </c>
      <c r="D74" s="139"/>
      <c r="E74" s="139">
        <f>SUMIF($A$6:$A$56,$A74,E$6:E$56)</f>
        <v>-1292.77</v>
      </c>
      <c r="F74" s="139"/>
      <c r="G74" s="139">
        <f>SUMIF($A$6:$A$56,$A74,G$6:G$56)</f>
        <v>0</v>
      </c>
      <c r="H74" s="139"/>
      <c r="I74" s="139">
        <f>SUMIF($A$6:$A$56,$A74,I$6:I$56)</f>
        <v>38727.660000000003</v>
      </c>
      <c r="J74" s="139"/>
      <c r="K74" s="139">
        <f>SUMIF($A$6:$A$56,$A74,K$6:K$56)</f>
        <v>38729.271739999996</v>
      </c>
      <c r="L74" s="139"/>
      <c r="M74" s="149">
        <f>ROUND(K74/I74*100,3)-100</f>
        <v>4.0000000000048885E-3</v>
      </c>
      <c r="N74" s="148">
        <f>K74-I74</f>
        <v>1.6117399999930058</v>
      </c>
      <c r="O74" s="134">
        <f>IF(ABS(M74)&lt;=0.5,0,IF(I74&gt;K74,(I74*0.995)-K74,(I74*1.005)-K74))</f>
        <v>0</v>
      </c>
      <c r="P74" s="139">
        <f>SUMIF($A$6:$A$56,$A74,P$6:P$56)</f>
        <v>39288</v>
      </c>
      <c r="Q74" s="135">
        <f>((P74-I74)/I74)*100</f>
        <v>1.4468728552151007</v>
      </c>
      <c r="R74" s="148">
        <f>P74-K74</f>
        <v>558.7282600000035</v>
      </c>
      <c r="S74" s="135"/>
      <c r="T74" s="139">
        <f>SUMIF($A$6:$A$56,$A74,T$6:T$56)</f>
        <v>34542</v>
      </c>
      <c r="U74" s="135">
        <f>((T74-P74)/P74)*100</f>
        <v>-12.080024434941967</v>
      </c>
      <c r="V74" s="148">
        <f>T74-P74</f>
        <v>-4746</v>
      </c>
      <c r="W74" s="135"/>
      <c r="X74" s="148">
        <f>G74+N74</f>
        <v>1.6117399999930058</v>
      </c>
      <c r="Y74" s="130"/>
    </row>
    <row r="75" spans="1:25">
      <c r="A75" s="121" t="s">
        <v>287</v>
      </c>
      <c r="C75" s="142">
        <f>SUM(C73:C74)</f>
        <v>248328.13999999998</v>
      </c>
      <c r="D75" s="142"/>
      <c r="E75" s="142">
        <f>SUM(E73:E74)</f>
        <v>-7908.57</v>
      </c>
      <c r="F75" s="142"/>
      <c r="G75" s="142">
        <f>SUM(G73:G74)</f>
        <v>14.31</v>
      </c>
      <c r="H75" s="142"/>
      <c r="I75" s="142">
        <f>SUM(I73:I74)</f>
        <v>240433.88</v>
      </c>
      <c r="J75" s="142"/>
      <c r="K75" s="142">
        <f>SUM(K73:K74)</f>
        <v>240525.732445</v>
      </c>
      <c r="L75" s="142"/>
      <c r="M75" s="149">
        <f>ROUND(K75/I75*100,3)-100</f>
        <v>3.7999999999996703E-2</v>
      </c>
      <c r="N75" s="148">
        <f>K75-I75</f>
        <v>91.852444999996806</v>
      </c>
      <c r="O75" s="134">
        <f>IF(ABS(M75)&lt;=0.5,0,IF(I75&gt;K75,(I75*0.995)-K75,(I75*1.005)-K75))</f>
        <v>0</v>
      </c>
      <c r="P75" s="142">
        <f>SUM(P73:P74)</f>
        <v>243989.97</v>
      </c>
      <c r="Q75" s="135">
        <f>((P75-I75)/I75)*100</f>
        <v>1.479030326341694</v>
      </c>
      <c r="R75" s="148">
        <f>P75-K75</f>
        <v>3464.2375549999997</v>
      </c>
      <c r="S75" s="135"/>
      <c r="T75" s="142">
        <f>SUM(T73:T74)</f>
        <v>214302</v>
      </c>
      <c r="U75" s="135">
        <f>((T75-P75)/P75)*100</f>
        <v>-12.167700991971104</v>
      </c>
      <c r="V75" s="148">
        <f>T75-P75</f>
        <v>-29687.97</v>
      </c>
      <c r="W75" s="135"/>
      <c r="X75" s="148">
        <f>SUM(X73:X74)</f>
        <v>106.16244499999681</v>
      </c>
      <c r="Y75" s="130"/>
    </row>
    <row r="76" spans="1:25">
      <c r="C76" s="138"/>
      <c r="D76" s="127"/>
      <c r="E76" s="139"/>
      <c r="F76" s="139"/>
      <c r="G76" s="139"/>
      <c r="H76" s="139"/>
      <c r="I76" s="139"/>
      <c r="J76" s="139"/>
      <c r="K76" s="139"/>
      <c r="L76" s="139"/>
      <c r="M76" s="149"/>
      <c r="N76" s="148"/>
      <c r="O76" s="134"/>
      <c r="P76" s="139"/>
      <c r="Q76" s="135"/>
      <c r="R76" s="135"/>
      <c r="S76" s="135"/>
      <c r="T76" s="139"/>
      <c r="U76" s="135"/>
      <c r="V76" s="135"/>
      <c r="W76" s="135"/>
      <c r="X76" s="135"/>
      <c r="Y76" s="130"/>
    </row>
    <row r="77" spans="1:25">
      <c r="A77" s="121" t="s">
        <v>51</v>
      </c>
      <c r="C77" s="139">
        <f>SUMIF($A$6:$A$56,$A77,C$6:C$56)</f>
        <v>46183087.399999999</v>
      </c>
      <c r="D77" s="127"/>
      <c r="E77" s="139">
        <f>SUMIF($A$6:$A$56,$A77,E$6:E$56)</f>
        <v>-1611930.3599999999</v>
      </c>
      <c r="F77" s="139"/>
      <c r="G77" s="139">
        <f>SUMIF($A$6:$A$56,$A77,G$6:G$56)</f>
        <v>27969.399999999998</v>
      </c>
      <c r="H77" s="139"/>
      <c r="I77" s="139">
        <f>SUMIF($A$6:$A$56,$A77,I$6:I$56)</f>
        <v>44599126.440000005</v>
      </c>
      <c r="J77" s="139"/>
      <c r="K77" s="139">
        <f>SUMIF($A$6:$A$56,$A77,K$6:K$56)</f>
        <v>44616964.420000002</v>
      </c>
      <c r="L77" s="139"/>
      <c r="M77" s="149">
        <f>ROUND(K77/I77*100,3)-100</f>
        <v>4.0000000000006253E-2</v>
      </c>
      <c r="N77" s="148">
        <f>K77-I77</f>
        <v>17837.979999996722</v>
      </c>
      <c r="O77" s="134">
        <f>IF(ABS(M77)&lt;=0.5,0,IF(I77&gt;K77,(I77*0.995)-K77,(I77*1.005)-K77))</f>
        <v>0</v>
      </c>
      <c r="P77" s="139">
        <f>SUMIF($A$6:$A$56,$A77,P$6:P$56)</f>
        <v>45094787.219999999</v>
      </c>
      <c r="Q77" s="135">
        <f>((P77-I77)/I77)*100</f>
        <v>1.1113688082362219</v>
      </c>
      <c r="R77" s="148">
        <f>P77-K77</f>
        <v>477822.79999999702</v>
      </c>
      <c r="S77" s="135"/>
      <c r="T77" s="139">
        <f>SUMIF($A$6:$A$56,$A77,T$6:T$56)</f>
        <v>33288086</v>
      </c>
      <c r="U77" s="135">
        <f>((T77-P77)/P77)*100</f>
        <v>-26.181964585839328</v>
      </c>
      <c r="V77" s="148">
        <f>T77-P77</f>
        <v>-11806701.219999999</v>
      </c>
      <c r="W77" s="135"/>
      <c r="X77" s="148">
        <f>G77+N77</f>
        <v>45807.379999996716</v>
      </c>
      <c r="Y77" s="130"/>
    </row>
    <row r="78" spans="1:25">
      <c r="A78" s="121" t="s">
        <v>52</v>
      </c>
      <c r="C78" s="139">
        <f>SUMIF($A$6:$A$56,$A78,C$6:C$56)</f>
        <v>166119.54</v>
      </c>
      <c r="D78" s="127"/>
      <c r="E78" s="139">
        <f>SUMIF($A$6:$A$56,$A78,E$6:E$56)</f>
        <v>-3889.11</v>
      </c>
      <c r="F78" s="139"/>
      <c r="G78" s="139">
        <f>SUMIF($A$6:$A$56,$A78,G$6:G$56)</f>
        <v>112.02</v>
      </c>
      <c r="H78" s="127"/>
      <c r="I78" s="139">
        <f>SUMIF($A$6:$A$56,$A78,I$6:I$56)</f>
        <v>162342.45000000001</v>
      </c>
      <c r="J78" s="127"/>
      <c r="K78" s="139">
        <f>SUMIF($A$6:$A$56,$A78,K$6:K$56)</f>
        <v>162388.10859976802</v>
      </c>
      <c r="L78" s="143"/>
      <c r="M78" s="149">
        <f>ROUND(K78/I78*100,3)-100</f>
        <v>2.8000000000005798E-2</v>
      </c>
      <c r="N78" s="148">
        <f>K78-I78</f>
        <v>45.658599768008571</v>
      </c>
      <c r="O78" s="134">
        <f>IF(ABS(M78)&lt;=0.5,0,IF(I78&gt;K78,(I78*0.995)-K78,(I78*1.005)-K78))</f>
        <v>0</v>
      </c>
      <c r="P78" s="139">
        <f>SUMIF($A$6:$A$56,$A78,P$6:P$56)</f>
        <v>164611</v>
      </c>
      <c r="Q78" s="135">
        <f>((P78-I78)/I78)*100</f>
        <v>1.3973855883042225</v>
      </c>
      <c r="R78" s="148">
        <f>P78-K78</f>
        <v>2222.8914002319798</v>
      </c>
      <c r="S78" s="135"/>
      <c r="T78" s="139">
        <f>SUMIF($A$6:$A$56,$A78,T$6:T$56)</f>
        <v>145918</v>
      </c>
      <c r="U78" s="135">
        <f>((T78-P78)/P78)*100</f>
        <v>-11.355863216917459</v>
      </c>
      <c r="V78" s="148">
        <f>T78-P78</f>
        <v>-18693</v>
      </c>
      <c r="W78" s="135"/>
      <c r="X78" s="148">
        <f>G78+N78</f>
        <v>157.67859976800855</v>
      </c>
      <c r="Y78" s="130"/>
    </row>
    <row r="79" spans="1:25">
      <c r="A79" s="141" t="s">
        <v>300</v>
      </c>
      <c r="C79" s="139">
        <f>SUMIF($A$6:$A$56,$A79,C$6:C$56)</f>
        <v>104800.45</v>
      </c>
      <c r="D79" s="127"/>
      <c r="E79" s="139">
        <f>SUMIF($A$6:$A$56,$A79,E$6:E$56)</f>
        <v>-1056.46</v>
      </c>
      <c r="F79" s="139"/>
      <c r="G79" s="139">
        <f>SUMIF($A$6:$A$56,$A79,G$6:G$56)</f>
        <v>242.28</v>
      </c>
      <c r="H79" s="127"/>
      <c r="I79" s="139">
        <f>SUMIF($A$6:$A$56,$A79,I$6:I$56)</f>
        <v>103986.27</v>
      </c>
      <c r="J79" s="127"/>
      <c r="K79" s="139">
        <f>SUMIF($A$6:$A$56,$A79,K$6:K$56)</f>
        <v>104141.79474954</v>
      </c>
      <c r="L79" s="143"/>
      <c r="M79" s="149">
        <f>ROUND(K79/I79*100,3)-100</f>
        <v>0.15000000000000568</v>
      </c>
      <c r="N79" s="148">
        <f>K79-I79</f>
        <v>155.52474953999626</v>
      </c>
      <c r="O79" s="134">
        <f>IF(ABS(M79)&lt;=0.5,0,IF(I79&gt;K79,(I79*0.995)-K79,(I79*1.005)-K79))</f>
        <v>0</v>
      </c>
      <c r="P79" s="139">
        <f>SUMIF($A$6:$A$56,$A79,P$6:P$56)</f>
        <v>121984</v>
      </c>
      <c r="Q79" s="135">
        <f>((P79-I79)/I79)*100</f>
        <v>17.307794577110993</v>
      </c>
      <c r="R79" s="148">
        <f>P79-K79</f>
        <v>17842.20525046</v>
      </c>
      <c r="S79" s="135"/>
      <c r="T79" s="139">
        <f>SUMIF($A$6:$A$56,$A79,T$6:T$56)</f>
        <v>114589</v>
      </c>
      <c r="U79" s="135">
        <f>((T79-P79)/P79)*100</f>
        <v>-6.062270461699895</v>
      </c>
      <c r="V79" s="148">
        <f>T79-P79</f>
        <v>-7395</v>
      </c>
      <c r="W79" s="135"/>
      <c r="X79" s="148">
        <f>G79+N79</f>
        <v>397.80474953999624</v>
      </c>
      <c r="Y79" s="130"/>
    </row>
    <row r="80" spans="1:25">
      <c r="A80" s="130" t="s">
        <v>763</v>
      </c>
      <c r="C80" s="139">
        <f>SUMIF($A$6:$A$56,$A80,C$6:C$56)</f>
        <v>120901</v>
      </c>
      <c r="D80" s="127"/>
      <c r="E80" s="139">
        <f>SUMIF($A$6:$A$56,$A80,E$6:E$56)</f>
        <v>-3011.6</v>
      </c>
      <c r="F80" s="139"/>
      <c r="G80" s="139">
        <f>SUMIF($A$6:$A$56,$A80,G$6:G$56)</f>
        <v>298.55</v>
      </c>
      <c r="H80" s="127"/>
      <c r="I80" s="139">
        <f>SUMIF($A$6:$A$56,$A80,I$6:I$56)</f>
        <v>118187.95</v>
      </c>
      <c r="J80" s="127"/>
      <c r="K80" s="139">
        <f>SUMIF($A$6:$A$56,$A80,K$6:K$56)</f>
        <v>118188.1</v>
      </c>
      <c r="L80" s="143"/>
      <c r="M80" s="149">
        <f>ROUND(K80/I80*100,3)-100</f>
        <v>0</v>
      </c>
      <c r="N80" s="148">
        <f>K80-I80</f>
        <v>0.15000000000873115</v>
      </c>
      <c r="O80" s="134">
        <f>IF(ABS(M80)&lt;=0.5,0,IF(I80&gt;K80,(I80*0.995)-K80,(I80*1.005)-K80))</f>
        <v>0</v>
      </c>
      <c r="P80" s="139">
        <f>SUMIF($A$6:$A$56,$A80,P$6:P$56)</f>
        <v>272494.58</v>
      </c>
      <c r="Q80" s="135">
        <f>((P80-I80)/I80)*100</f>
        <v>130.56037438672894</v>
      </c>
      <c r="R80" s="148">
        <f>P80-K80</f>
        <v>154306.48000000001</v>
      </c>
      <c r="S80" s="135"/>
      <c r="T80" s="139">
        <f>SUMIF($A$6:$A$56,$A80,T$6:T$56)</f>
        <v>31869846</v>
      </c>
      <c r="U80" s="135">
        <f>((T80-P80)/P80)*100</f>
        <v>11595.588954466544</v>
      </c>
      <c r="V80" s="148">
        <f>T80-P80</f>
        <v>31597351.420000002</v>
      </c>
      <c r="W80" s="135"/>
      <c r="X80" s="148">
        <f>G80+N80</f>
        <v>298.70000000000874</v>
      </c>
      <c r="Y80" s="130"/>
    </row>
    <row r="81" spans="1:25">
      <c r="A81" s="121" t="s">
        <v>288</v>
      </c>
      <c r="C81" s="139">
        <f>SUM(C77:C80)</f>
        <v>46574908.390000001</v>
      </c>
      <c r="D81" s="139"/>
      <c r="E81" s="139">
        <f>SUM(E77:E80)</f>
        <v>-1619887.53</v>
      </c>
      <c r="F81" s="139"/>
      <c r="G81" s="139">
        <f>SUM(G77:G80)</f>
        <v>28622.249999999996</v>
      </c>
      <c r="H81" s="139"/>
      <c r="I81" s="139">
        <f>SUM(I77:I80)</f>
        <v>44983643.110000014</v>
      </c>
      <c r="J81" s="139"/>
      <c r="K81" s="139">
        <f>SUM(K77:K80)</f>
        <v>45001682.423349313</v>
      </c>
      <c r="L81" s="139"/>
      <c r="M81" s="149">
        <f>ROUND(K81/I81*100,3)-100</f>
        <v>4.0000000000006253E-2</v>
      </c>
      <c r="N81" s="148">
        <f>K81-I81</f>
        <v>18039.313349299133</v>
      </c>
      <c r="O81" s="134">
        <f>IF(ABS(M81)&lt;=0.5,0,IF(I81&gt;K81,(I81*0.995)-K81,(I81*1.005)-K81))</f>
        <v>0</v>
      </c>
      <c r="P81" s="139">
        <f>SUM(P77:P80)</f>
        <v>45653876.799999997</v>
      </c>
      <c r="Q81" s="135">
        <f>((P81-I81)/I81)*100</f>
        <v>1.489949776546639</v>
      </c>
      <c r="R81" s="148">
        <f>P81-K81</f>
        <v>652194.37665068358</v>
      </c>
      <c r="S81" s="135"/>
      <c r="T81" s="139">
        <f>SUM(T77:T79)</f>
        <v>33548593</v>
      </c>
      <c r="U81" s="135">
        <f>((T81-P81)/P81)*100</f>
        <v>-26.515346885064528</v>
      </c>
      <c r="V81" s="148">
        <f>T81-P81</f>
        <v>-12105283.799999997</v>
      </c>
      <c r="W81" s="135"/>
      <c r="X81" s="148">
        <f>SUM(X77:X80)</f>
        <v>46661.563349304728</v>
      </c>
      <c r="Y81" s="130"/>
    </row>
    <row r="82" spans="1:25">
      <c r="D82" s="127"/>
      <c r="E82" s="127"/>
      <c r="F82" s="127"/>
      <c r="G82" s="127"/>
      <c r="H82" s="127"/>
      <c r="I82" s="127"/>
      <c r="J82" s="127"/>
      <c r="K82" s="132"/>
      <c r="L82" s="132"/>
      <c r="M82" s="149"/>
      <c r="N82" s="148"/>
      <c r="O82" s="134"/>
      <c r="P82" s="132"/>
      <c r="Q82" s="135"/>
      <c r="R82" s="135"/>
      <c r="S82" s="135"/>
      <c r="T82" s="127"/>
      <c r="U82" s="135"/>
      <c r="V82" s="135"/>
      <c r="W82" s="135"/>
      <c r="X82" s="135"/>
      <c r="Y82" s="130"/>
    </row>
    <row r="83" spans="1:25">
      <c r="A83" s="121" t="s">
        <v>53</v>
      </c>
      <c r="C83" s="139">
        <f>SUMIF($A$6:$A$56,$A83,C$6:C$56)</f>
        <v>62583013.779999994</v>
      </c>
      <c r="D83" s="139"/>
      <c r="E83" s="139">
        <f>SUMIF($A$6:$A$56,$A83,E$6:E$56)</f>
        <v>-2145067.3199999998</v>
      </c>
      <c r="F83" s="139"/>
      <c r="G83" s="139">
        <f>SUMIF($A$6:$A$56,$A83,G$6:G$56)</f>
        <v>106924.57999999999</v>
      </c>
      <c r="H83" s="139"/>
      <c r="I83" s="139">
        <f>SUMIF($A$6:$A$56,$A83,I$6:I$56)</f>
        <v>60544871.039999999</v>
      </c>
      <c r="J83" s="139"/>
      <c r="K83" s="139">
        <f>SUMIF($A$6:$A$56,$A83,K$6:K$56)</f>
        <v>60568959.060000002</v>
      </c>
      <c r="L83" s="139"/>
      <c r="M83" s="149">
        <f>ROUND(K83/I83*100,3)-100</f>
        <v>4.0000000000006253E-2</v>
      </c>
      <c r="N83" s="148">
        <f>K83-I83</f>
        <v>24088.020000003278</v>
      </c>
      <c r="O83" s="134">
        <f>IF(ABS(M83)&lt;=0.5,0,IF(I83&gt;K83,(I83*0.995)-K83,(I83*1.005)-K83))</f>
        <v>0</v>
      </c>
      <c r="P83" s="139">
        <f>SUMIF($A$6:$A$56,$A83,P$6:P$56)</f>
        <v>61431105.630000003</v>
      </c>
      <c r="Q83" s="135">
        <f>((P83-I83)/I83)*100</f>
        <v>1.4637649313258883</v>
      </c>
      <c r="R83" s="148">
        <f>P83-K83</f>
        <v>862146.5700000003</v>
      </c>
      <c r="S83" s="135"/>
      <c r="T83" s="139">
        <f>SUMIF($A$6:$A$56,$A83,T$6:T$56)</f>
        <v>54628147</v>
      </c>
      <c r="U83" s="135">
        <f>((T83-P83)/P83)*100</f>
        <v>-11.074126959352274</v>
      </c>
      <c r="V83" s="148">
        <f>T83-P83</f>
        <v>-6802958.6300000027</v>
      </c>
      <c r="W83" s="135"/>
      <c r="X83" s="148">
        <f>G83+N83</f>
        <v>131012.60000000327</v>
      </c>
      <c r="Y83" s="130"/>
    </row>
    <row r="84" spans="1:25">
      <c r="A84" s="121" t="s">
        <v>289</v>
      </c>
      <c r="C84" s="139">
        <f>SUM(C83:C83)</f>
        <v>62583013.779999994</v>
      </c>
      <c r="D84" s="139"/>
      <c r="E84" s="139">
        <f>SUM(E83:E83)</f>
        <v>-2145067.3199999998</v>
      </c>
      <c r="F84" s="139"/>
      <c r="G84" s="139">
        <f>SUM(G83:G83)</f>
        <v>106924.57999999999</v>
      </c>
      <c r="H84" s="139"/>
      <c r="I84" s="139">
        <f>SUM(I83:I83)</f>
        <v>60544871.039999999</v>
      </c>
      <c r="J84" s="139"/>
      <c r="K84" s="139">
        <f>SUM(K83:K83)</f>
        <v>60568959.060000002</v>
      </c>
      <c r="L84" s="139"/>
      <c r="M84" s="149">
        <f>ROUND(K84/I84*100,3)-100</f>
        <v>4.0000000000006253E-2</v>
      </c>
      <c r="N84" s="148">
        <f>K84-I84</f>
        <v>24088.020000003278</v>
      </c>
      <c r="O84" s="134">
        <f>IF(ABS(M84)&lt;=0.5,0,IF(I84&gt;K84,(I84*0.995)-K84,(I84*1.005)-K84))</f>
        <v>0</v>
      </c>
      <c r="P84" s="139">
        <f>SUM(P83:P83)</f>
        <v>61431105.630000003</v>
      </c>
      <c r="Q84" s="135">
        <f>((P84-I84)/I84)*100</f>
        <v>1.4637649313258883</v>
      </c>
      <c r="R84" s="148">
        <f>P84-K84</f>
        <v>862146.5700000003</v>
      </c>
      <c r="S84" s="135"/>
      <c r="T84" s="139">
        <f>SUM(T83:T83)</f>
        <v>54628147</v>
      </c>
      <c r="U84" s="135">
        <f>((T84-P84)/P84)*100</f>
        <v>-11.074126959352274</v>
      </c>
      <c r="V84" s="148">
        <f>T84-P84</f>
        <v>-6802958.6300000027</v>
      </c>
      <c r="W84" s="135"/>
      <c r="X84" s="148">
        <f>SUM(X83)</f>
        <v>131012.60000000327</v>
      </c>
      <c r="Y84" s="130"/>
    </row>
    <row r="85" spans="1:25"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9"/>
      <c r="N85" s="148"/>
      <c r="O85" s="134"/>
      <c r="P85" s="139"/>
      <c r="Q85" s="135"/>
      <c r="R85" s="135"/>
      <c r="S85" s="135"/>
      <c r="T85" s="139"/>
      <c r="U85" s="135"/>
      <c r="V85" s="135"/>
      <c r="W85" s="135"/>
      <c r="X85" s="135"/>
      <c r="Y85" s="130"/>
    </row>
    <row r="86" spans="1:25">
      <c r="A86" s="130" t="s">
        <v>220</v>
      </c>
      <c r="C86" s="139">
        <f>SUMIF($A$6:$A$56,$A86,C$6:C$56)</f>
        <v>37584.519999999997</v>
      </c>
      <c r="D86" s="139"/>
      <c r="E86" s="139">
        <f>SUMIF($A$6:$A$56,$A86,E$6:E$56)</f>
        <v>-1373.1399999999999</v>
      </c>
      <c r="F86" s="139"/>
      <c r="G86" s="139">
        <f>SUMIF($A$6:$A$56,$A86,G$6:G$56)</f>
        <v>1939.25</v>
      </c>
      <c r="H86" s="139"/>
      <c r="I86" s="139">
        <f>SUMIF($A$6:$A$56,$A86,I$6:I$56)</f>
        <v>38150.629999999997</v>
      </c>
      <c r="J86" s="139"/>
      <c r="K86" s="139">
        <f>SUMIF($A$6:$A$56,$A86,K$6:K$56)</f>
        <v>38150.75</v>
      </c>
      <c r="L86" s="139"/>
      <c r="M86" s="149">
        <f>ROUND(K86/I86*100,3)-100</f>
        <v>0</v>
      </c>
      <c r="N86" s="148">
        <f>K86-I86</f>
        <v>0.12000000000261934</v>
      </c>
      <c r="O86" s="134">
        <f>IF(ABS(M86)&lt;=0.5,0,IF(I86&gt;K86,(I86*0.995)-K86,(I86*1.005)-K86))</f>
        <v>0</v>
      </c>
      <c r="P86" s="139">
        <f>SUMIF($A$6:$A$56,$A86,P$6:P$56)</f>
        <v>38150.75</v>
      </c>
      <c r="Q86" s="135">
        <f>((P86-I86)/I86)*100</f>
        <v>3.1454264320830184E-4</v>
      </c>
      <c r="R86" s="148">
        <f>P86-K86</f>
        <v>0</v>
      </c>
      <c r="S86" s="135"/>
      <c r="T86" s="139">
        <f>SUMIF($A$6:$A$56,$A86,T$6:T$56)</f>
        <v>515</v>
      </c>
      <c r="U86" s="135">
        <f>((T86-P86)/P86)*100</f>
        <v>-98.650092068963261</v>
      </c>
      <c r="V86" s="148">
        <f>T86-P86</f>
        <v>-37635.75</v>
      </c>
      <c r="W86" s="135"/>
      <c r="X86" s="148">
        <f>G86+N86</f>
        <v>1939.3700000000026</v>
      </c>
      <c r="Y86" s="130"/>
    </row>
    <row r="87" spans="1:25">
      <c r="A87" s="130" t="s">
        <v>699</v>
      </c>
      <c r="C87" s="139">
        <f>SUMIF($A$6:$A$56,$A87,C$6:C$56)</f>
        <v>11103.2</v>
      </c>
      <c r="D87" s="139"/>
      <c r="E87" s="139">
        <f>SUMIF($A$6:$A$56,$A87,E$6:E$56)</f>
        <v>-248.17999999999998</v>
      </c>
      <c r="F87" s="139"/>
      <c r="G87" s="139">
        <f>SUMIF($A$6:$A$56,$A87,G$6:G$56)</f>
        <v>0</v>
      </c>
      <c r="H87" s="139"/>
      <c r="I87" s="139">
        <f>SUMIF($A$6:$A$56,$A87,I$6:I$56)</f>
        <v>10855.02</v>
      </c>
      <c r="J87" s="139"/>
      <c r="K87" s="139">
        <f>SUMIF($A$6:$A$56,$A87,K$6:K$56)</f>
        <v>10876.37</v>
      </c>
      <c r="L87" s="139"/>
      <c r="M87" s="149">
        <f>ROUND(K87/I87*100,3)-100</f>
        <v>0.19700000000000273</v>
      </c>
      <c r="N87" s="148">
        <f>K87-I87</f>
        <v>21.350000000000364</v>
      </c>
      <c r="O87" s="134">
        <f>IF(ABS(M87)&lt;=0.5,0,IF(I87&gt;K87,(I87*0.995)-K87,(I87*1.005)-K87))</f>
        <v>0</v>
      </c>
      <c r="P87" s="139">
        <f>SUMIF($A$6:$A$56,$A87,P$6:P$56)</f>
        <v>10876.37</v>
      </c>
      <c r="Q87" s="135">
        <f>((P87-I87)/I87)*100</f>
        <v>0.19668319358232747</v>
      </c>
      <c r="R87" s="148">
        <f>P87-K87</f>
        <v>0</v>
      </c>
      <c r="S87" s="135"/>
      <c r="T87" s="139">
        <f>SUMIF($A$6:$A$56,$A87,T$6:T$56)</f>
        <v>515</v>
      </c>
      <c r="U87" s="135">
        <f>((T87-P87)/P87)*100</f>
        <v>-95.264964321736016</v>
      </c>
      <c r="V87" s="148">
        <f>T87-P87</f>
        <v>-10361.370000000001</v>
      </c>
      <c r="W87" s="135"/>
      <c r="X87" s="148">
        <f>G87+N87</f>
        <v>21.350000000000364</v>
      </c>
      <c r="Y87" s="130"/>
    </row>
    <row r="88" spans="1:25">
      <c r="D88" s="143"/>
      <c r="E88" s="143"/>
      <c r="F88" s="143"/>
      <c r="G88" s="143"/>
      <c r="H88" s="143"/>
      <c r="I88" s="143"/>
      <c r="J88" s="143"/>
      <c r="K88" s="143"/>
      <c r="L88" s="143"/>
      <c r="M88" s="149"/>
      <c r="N88" s="148"/>
      <c r="O88" s="134"/>
      <c r="P88" s="143"/>
      <c r="Q88" s="135"/>
      <c r="R88" s="135"/>
      <c r="S88" s="135"/>
      <c r="T88" s="143"/>
      <c r="U88" s="135"/>
      <c r="V88" s="135"/>
      <c r="W88" s="135"/>
      <c r="X88" s="135"/>
      <c r="Y88" s="130"/>
    </row>
    <row r="89" spans="1:25">
      <c r="A89" s="121" t="s">
        <v>58</v>
      </c>
      <c r="C89" s="139">
        <f>SUMIF($A$6:$A$56,$A89,C$6:C$56)</f>
        <v>11905721.35</v>
      </c>
      <c r="D89" s="139"/>
      <c r="E89" s="139">
        <f>SUMIF($A$6:$A$56,$A89,E$6:E$56)</f>
        <v>-410726.68</v>
      </c>
      <c r="F89" s="139"/>
      <c r="G89" s="139">
        <f>SUMIF($A$6:$A$56,$A89,G$6:G$56)</f>
        <v>83977.260000000009</v>
      </c>
      <c r="H89" s="139"/>
      <c r="I89" s="139">
        <f>SUMIF($A$6:$A$56,$A89,I$6:I$56)</f>
        <v>11578971.93</v>
      </c>
      <c r="J89" s="139"/>
      <c r="K89" s="139">
        <f>SUMIF($A$6:$A$56,$A89,K$6:K$56)</f>
        <v>11542649.939999999</v>
      </c>
      <c r="L89" s="139"/>
      <c r="M89" s="149">
        <f>ROUND(K89/I89*100,3)-100</f>
        <v>-0.31399999999999295</v>
      </c>
      <c r="N89" s="148">
        <f>K89-I89</f>
        <v>-36321.990000000224</v>
      </c>
      <c r="O89" s="134">
        <f>IF(ABS(M89)&lt;=0.5,0,IF(I89&gt;K89,(I89*0.995)-K89,(I89*1.005)-K89))</f>
        <v>0</v>
      </c>
      <c r="P89" s="139">
        <f>SUMIF($A$6:$A$56,$A89,P$6:P$56)</f>
        <v>11712764.779999999</v>
      </c>
      <c r="Q89" s="135">
        <f>((P89-I89)/I89)*100</f>
        <v>1.1554812535071033</v>
      </c>
      <c r="R89" s="148">
        <f>P89-K89</f>
        <v>170114.83999999985</v>
      </c>
      <c r="S89" s="135"/>
      <c r="T89" s="139">
        <f>SUMIF($A$6:$A$56,$A89,T$6:T$56)</f>
        <v>8839304</v>
      </c>
      <c r="U89" s="135">
        <f>((T89-P89)/P89)*100</f>
        <v>-24.532728471646124</v>
      </c>
      <c r="V89" s="148">
        <f>T89-P89</f>
        <v>-2873460.7799999993</v>
      </c>
      <c r="W89" s="135"/>
      <c r="X89" s="148">
        <f>G89+N89</f>
        <v>47655.269999999786</v>
      </c>
      <c r="Y89" s="130"/>
    </row>
    <row r="90" spans="1:25">
      <c r="A90" s="121" t="s">
        <v>59</v>
      </c>
      <c r="C90" s="139">
        <f>SUMIF($A$6:$A$56,$A90,C$6:C$56)</f>
        <v>429129.75</v>
      </c>
      <c r="D90" s="139"/>
      <c r="E90" s="139">
        <f>SUMIF($A$6:$A$56,$A90,E$6:E$56)</f>
        <v>-15044.62</v>
      </c>
      <c r="F90" s="139"/>
      <c r="G90" s="139">
        <f>SUMIF($A$6:$A$56,$A90,G$6:G$56)</f>
        <v>6304.43</v>
      </c>
      <c r="H90" s="139"/>
      <c r="I90" s="139">
        <f>SUMIF($A$6:$A$56,$A90,I$6:I$56)</f>
        <v>420389.56</v>
      </c>
      <c r="J90" s="139"/>
      <c r="K90" s="139">
        <f>SUMIF($A$6:$A$56,$A90,K$6:K$56)</f>
        <v>421717.52999999997</v>
      </c>
      <c r="L90" s="139"/>
      <c r="M90" s="149">
        <f>ROUND(K90/I90*100,3)-100</f>
        <v>0.3160000000000025</v>
      </c>
      <c r="N90" s="148">
        <f>K90-I90</f>
        <v>1327.9699999999721</v>
      </c>
      <c r="O90" s="134">
        <f>IF(ABS(M90)&lt;=0.5,0,IF(I90&gt;K90,(I90*0.995)-K90,(I90*1.005)-K90))</f>
        <v>0</v>
      </c>
      <c r="P90" s="139">
        <f>SUMIF($A$6:$A$56,$A90,P$6:P$56)</f>
        <v>427909</v>
      </c>
      <c r="Q90" s="135">
        <f>((P90-I90)/I90)*100</f>
        <v>1.7886838103210752</v>
      </c>
      <c r="R90" s="148">
        <f>P90-K90</f>
        <v>6191.4700000000303</v>
      </c>
      <c r="S90" s="135"/>
      <c r="T90" s="139">
        <f>SUMIF($A$6:$A$56,$A90,T$6:T$56)</f>
        <v>1173033</v>
      </c>
      <c r="U90" s="135">
        <f>((T90-P90)/P90)*100</f>
        <v>174.13141579167532</v>
      </c>
      <c r="V90" s="148">
        <f>T90-P90</f>
        <v>745124</v>
      </c>
      <c r="W90" s="135"/>
      <c r="X90" s="148">
        <f>G90+N90</f>
        <v>7632.3999999999724</v>
      </c>
      <c r="Y90" s="130"/>
    </row>
    <row r="91" spans="1:25">
      <c r="A91" s="121" t="s">
        <v>290</v>
      </c>
      <c r="C91" s="139">
        <f>SUM(C89:C90)</f>
        <v>12334851.1</v>
      </c>
      <c r="D91" s="139"/>
      <c r="E91" s="139">
        <f>SUM(E89:E90)</f>
        <v>-425771.3</v>
      </c>
      <c r="F91" s="139"/>
      <c r="G91" s="139">
        <f>SUM(G89:G90)</f>
        <v>90281.69</v>
      </c>
      <c r="H91" s="139"/>
      <c r="I91" s="139">
        <f>SUM(I89:I90)</f>
        <v>11999361.49</v>
      </c>
      <c r="J91" s="139"/>
      <c r="K91" s="139">
        <f>SUM(K89:K90)</f>
        <v>11964367.469999999</v>
      </c>
      <c r="L91" s="139"/>
      <c r="M91" s="149">
        <f>ROUND(K91/I91*100,3)-100</f>
        <v>-0.29200000000000159</v>
      </c>
      <c r="N91" s="148">
        <f>K91-I91</f>
        <v>-34994.020000001416</v>
      </c>
      <c r="O91" s="134">
        <f>IF(ABS(M91)&lt;=0.5,0,IF(I91&gt;K91,(I91*0.995)-K91,(I91*1.005)-K91))</f>
        <v>0</v>
      </c>
      <c r="P91" s="139">
        <f>SUM(P89:P90)</f>
        <v>12140673.779999999</v>
      </c>
      <c r="Q91" s="135">
        <f>((P91-I91)/I91)*100</f>
        <v>1.1776650792441381</v>
      </c>
      <c r="R91" s="148">
        <f>P91-K91</f>
        <v>176306.31000000052</v>
      </c>
      <c r="S91" s="135"/>
      <c r="T91" s="139">
        <f>SUM(T89:T90)</f>
        <v>10012337</v>
      </c>
      <c r="U91" s="135">
        <f>((T91-P91)/P91)*100</f>
        <v>-17.530631483617704</v>
      </c>
      <c r="V91" s="148">
        <f>T91-P91</f>
        <v>-2128336.7799999993</v>
      </c>
      <c r="W91" s="135"/>
      <c r="X91" s="148">
        <f>SUM(X89:X90)</f>
        <v>55287.669999999758</v>
      </c>
      <c r="Y91" s="130"/>
    </row>
    <row r="92" spans="1:25">
      <c r="D92" s="143"/>
      <c r="E92" s="143"/>
      <c r="F92" s="143"/>
      <c r="G92" s="143"/>
      <c r="H92" s="143"/>
      <c r="I92" s="143"/>
      <c r="J92" s="143"/>
      <c r="K92" s="143"/>
      <c r="L92" s="143"/>
      <c r="M92" s="149"/>
      <c r="N92" s="148"/>
      <c r="O92" s="134"/>
      <c r="P92" s="143"/>
      <c r="Q92" s="135"/>
      <c r="R92" s="135"/>
      <c r="S92" s="135"/>
      <c r="T92" s="143"/>
      <c r="U92" s="135"/>
      <c r="V92" s="135"/>
      <c r="W92" s="135"/>
      <c r="X92" s="135"/>
      <c r="Y92" s="130"/>
    </row>
    <row r="93" spans="1:25">
      <c r="A93" s="121" t="s">
        <v>167</v>
      </c>
      <c r="C93" s="139">
        <f>SUMIF($A$6:$A$56,$A93,C$6:C$56)</f>
        <v>283827.84999999998</v>
      </c>
      <c r="D93" s="139"/>
      <c r="E93" s="139">
        <f>SUMIF($A$6:$A$56,$A93,E$6:E$56)</f>
        <v>-3464.9300000000003</v>
      </c>
      <c r="F93" s="139"/>
      <c r="G93" s="139">
        <f>SUMIF($A$6:$A$56,$A93,G$6:G$56)</f>
        <v>1658.0699999999997</v>
      </c>
      <c r="H93" s="139"/>
      <c r="I93" s="139">
        <f>SUMIF($A$6:$A$56,$A93,I$6:I$56)</f>
        <v>282020.99</v>
      </c>
      <c r="J93" s="139"/>
      <c r="K93" s="139">
        <f>SUMIF($A$6:$A$56,$A93,K$6:K$56)</f>
        <v>281755.39</v>
      </c>
      <c r="L93" s="139"/>
      <c r="M93" s="149">
        <f>ROUND(K93/I93*100,3)-100</f>
        <v>-9.3999999999994088E-2</v>
      </c>
      <c r="N93" s="148">
        <f>K93-I93</f>
        <v>-265.59999999997672</v>
      </c>
      <c r="O93" s="134">
        <f>IF(ABS(M93)&lt;=0.5,0,IF(I93&gt;K93,(I93*0.995)-K93,(I93*1.005)-K93))</f>
        <v>0</v>
      </c>
      <c r="P93" s="139">
        <f>SUMIF($A$6:$A$56,$A93,P$6:P$56)</f>
        <v>285941</v>
      </c>
      <c r="Q93" s="135">
        <f>((P93-I93)/I93)*100</f>
        <v>1.389971008895476</v>
      </c>
      <c r="R93" s="148">
        <f>P93-K93</f>
        <v>4185.609999999986</v>
      </c>
      <c r="S93" s="135"/>
      <c r="T93" s="139">
        <f>SUMIF($A$6:$A$56,$A93,T$6:T$56)</f>
        <v>858176</v>
      </c>
      <c r="U93" s="135">
        <f>((T93-P93)/P93)*100</f>
        <v>200.12345204080563</v>
      </c>
      <c r="V93" s="148">
        <f>T93-P93</f>
        <v>572235</v>
      </c>
      <c r="W93" s="135"/>
      <c r="X93" s="148">
        <f>G93+N93</f>
        <v>1392.470000000023</v>
      </c>
      <c r="Y93" s="130"/>
    </row>
    <row r="94" spans="1:25">
      <c r="D94" s="143"/>
      <c r="E94" s="143"/>
      <c r="F94" s="143"/>
      <c r="G94" s="143"/>
      <c r="H94" s="143"/>
      <c r="I94" s="143"/>
      <c r="J94" s="143"/>
      <c r="K94" s="143"/>
      <c r="L94" s="143"/>
      <c r="M94" s="149"/>
      <c r="N94" s="148"/>
      <c r="O94" s="134"/>
      <c r="P94" s="143"/>
      <c r="Q94" s="135"/>
      <c r="R94" s="135"/>
      <c r="S94" s="135"/>
      <c r="T94" s="143"/>
      <c r="U94" s="135"/>
      <c r="V94" s="135"/>
      <c r="W94" s="135"/>
      <c r="X94" s="135"/>
      <c r="Y94" s="130"/>
    </row>
    <row r="95" spans="1:25">
      <c r="A95" s="121" t="s">
        <v>54</v>
      </c>
      <c r="C95" s="139">
        <f>SUMIF($A$6:$A$56,$A95,C$6:C$56)</f>
        <v>23272211.960000001</v>
      </c>
      <c r="D95" s="139"/>
      <c r="E95" s="139">
        <f>SUMIF($A$6:$A$56,$A95,E$6:E$56)</f>
        <v>-719482.90999999992</v>
      </c>
      <c r="F95" s="139"/>
      <c r="G95" s="139">
        <f>SUMIF($A$6:$A$56,$A95,G$6:G$56)</f>
        <v>37498.719999999994</v>
      </c>
      <c r="H95" s="139"/>
      <c r="I95" s="139">
        <f>SUMIF($A$6:$A$56,$A95,I$6:I$56)</f>
        <v>22590227.770000003</v>
      </c>
      <c r="J95" s="139"/>
      <c r="K95" s="139">
        <f>SUMIF($A$6:$A$56,$A95,K$6:K$56)</f>
        <v>22553322.789999999</v>
      </c>
      <c r="L95" s="139"/>
      <c r="M95" s="149">
        <f>ROUND(K95/I95*100,3)-100</f>
        <v>-0.1629999999999967</v>
      </c>
      <c r="N95" s="148">
        <f>K95-I95</f>
        <v>-36904.980000004172</v>
      </c>
      <c r="O95" s="134">
        <f>IF(ABS(M95)&lt;=0.5,0,IF(I95&gt;K95,(I95*0.995)-K95,(I95*1.005)-K95))</f>
        <v>0</v>
      </c>
      <c r="P95" s="139">
        <f>SUMIF($A$6:$A$56,$A95,P$6:P$56)</f>
        <v>22873463</v>
      </c>
      <c r="Q95" s="135">
        <f>((P95-I95)/I95)*100</f>
        <v>1.2537953706519742</v>
      </c>
      <c r="R95" s="148">
        <f>P95-K95</f>
        <v>320140.21000000089</v>
      </c>
      <c r="S95" s="135"/>
      <c r="T95" s="139">
        <f>SUMIF($A$6:$A$56,$A95,T$6:T$56)</f>
        <v>7472169</v>
      </c>
      <c r="U95" s="135">
        <f>((T95-P95)/P95)*100</f>
        <v>-67.332585363221995</v>
      </c>
      <c r="V95" s="148">
        <f>T95-P95</f>
        <v>-15401294</v>
      </c>
      <c r="W95" s="135"/>
      <c r="X95" s="148">
        <f>G95+N95</f>
        <v>593.73999999582156</v>
      </c>
      <c r="Y95" s="130"/>
    </row>
    <row r="96" spans="1:25">
      <c r="A96" s="121" t="s">
        <v>60</v>
      </c>
      <c r="C96" s="139">
        <f>SUMIF($A$6:$A$56,$A96,C$6:C$56)</f>
        <v>0</v>
      </c>
      <c r="D96" s="139"/>
      <c r="E96" s="139">
        <f>SUMIF($A$6:$A$56,$A96,E$6:E$56)</f>
        <v>0</v>
      </c>
      <c r="F96" s="139"/>
      <c r="G96" s="139">
        <f>SUMIF($A$6:$A$56,$A96,G$6:G$56)</f>
        <v>0</v>
      </c>
      <c r="H96" s="139"/>
      <c r="I96" s="139">
        <f>SUMIF($A$6:$A$56,$A96,I$6:I$56)</f>
        <v>0</v>
      </c>
      <c r="J96" s="139"/>
      <c r="K96" s="139">
        <f>SUMIF($A$6:$A$56,$A96,K$6:K$56)</f>
        <v>0</v>
      </c>
      <c r="L96" s="139"/>
      <c r="M96" s="149" t="e">
        <f>ROUND(K96/I96*100,3)-100</f>
        <v>#DIV/0!</v>
      </c>
      <c r="N96" s="148">
        <f>K96-I96</f>
        <v>0</v>
      </c>
      <c r="O96" s="134" t="e">
        <f>IF(ABS(M96)&lt;=0.5,0,IF(I96&gt;K96,(I96*0.995)-K96,(I96*1.005)-K96))</f>
        <v>#DIV/0!</v>
      </c>
      <c r="P96" s="139">
        <f>SUMIF($A$6:$A$56,$A96,P$6:P$56)</f>
        <v>0</v>
      </c>
      <c r="Q96" s="135" t="e">
        <f>((P96-I96)/I96)*100</f>
        <v>#DIV/0!</v>
      </c>
      <c r="R96" s="148">
        <f>P96-K96</f>
        <v>0</v>
      </c>
      <c r="S96" s="135"/>
      <c r="T96" s="139">
        <f>SUMIF($A$6:$A$56,$A96,T$6:T$56)</f>
        <v>2372611</v>
      </c>
      <c r="U96" s="135" t="e">
        <f>((T96-P96)/P96)*100</f>
        <v>#DIV/0!</v>
      </c>
      <c r="V96" s="148">
        <f>T96-P96</f>
        <v>2372611</v>
      </c>
      <c r="W96" s="135"/>
      <c r="X96" s="148">
        <f>G96+N96</f>
        <v>0</v>
      </c>
      <c r="Y96" s="130"/>
    </row>
    <row r="97" spans="1:25">
      <c r="A97" s="121" t="s">
        <v>593</v>
      </c>
      <c r="C97" s="139">
        <f>SUMIF($A$6:$A$56,$A97,C$6:C$56)</f>
        <v>25255341.079999998</v>
      </c>
      <c r="D97" s="139"/>
      <c r="E97" s="139">
        <f>SUMIF($A$6:$A$56,$A97,E$6:E$56)</f>
        <v>-953728.56</v>
      </c>
      <c r="F97" s="139"/>
      <c r="G97" s="139">
        <f>SUMIF($A$6:$A$56,$A97,G$6:G$56)</f>
        <v>0</v>
      </c>
      <c r="H97" s="139"/>
      <c r="I97" s="139">
        <f>SUMIF($A$6:$A$56,$A97,I$6:I$56)</f>
        <v>24301612.52</v>
      </c>
      <c r="J97" s="139"/>
      <c r="K97" s="139">
        <f>SUMIF($A$6:$A$56,$A97,K$6:K$56)</f>
        <v>24301612.52</v>
      </c>
      <c r="L97" s="139"/>
      <c r="M97" s="149">
        <f>ROUND(K97/I97*100,3)-100</f>
        <v>0</v>
      </c>
      <c r="N97" s="148">
        <f>K97-I97</f>
        <v>0</v>
      </c>
      <c r="O97" s="134">
        <f>IF(ABS(M97)&lt;=0.5,0,IF(I97&gt;K97,(I97*0.995)-K97,(I97*1.005)-K97))</f>
        <v>0</v>
      </c>
      <c r="P97" s="139">
        <f>SUMIF($A$6:$A$56,$A97,P$6:P$56)</f>
        <v>24660280</v>
      </c>
      <c r="Q97" s="135">
        <f>((P97-I97)/I97)*100</f>
        <v>1.4758999210641701</v>
      </c>
      <c r="R97" s="148">
        <f>P97-K97</f>
        <v>358667.48000000045</v>
      </c>
      <c r="S97" s="135"/>
      <c r="T97" s="139">
        <f>SUMIF($A$6:$A$56,$A97,T$6:T$56)</f>
        <v>29509698</v>
      </c>
      <c r="U97" s="135">
        <f>((T97-P97)/P97)*100</f>
        <v>19.664894315879625</v>
      </c>
      <c r="V97" s="148">
        <f>T97-P97</f>
        <v>4849418</v>
      </c>
      <c r="W97" s="135"/>
      <c r="X97" s="148">
        <f>G97+N97</f>
        <v>0</v>
      </c>
      <c r="Y97" s="130"/>
    </row>
    <row r="98" spans="1:25">
      <c r="A98" s="121" t="s">
        <v>291</v>
      </c>
      <c r="C98" s="139">
        <f>SUM(C95:C97)</f>
        <v>48527553.039999999</v>
      </c>
      <c r="D98" s="139"/>
      <c r="E98" s="139">
        <f>SUM(E95:E97)</f>
        <v>-1673211.47</v>
      </c>
      <c r="F98" s="139"/>
      <c r="G98" s="139">
        <f>SUM(G95:G97)</f>
        <v>37498.719999999994</v>
      </c>
      <c r="H98" s="139"/>
      <c r="I98" s="139">
        <f>SUM(I95:I97)</f>
        <v>46891840.290000007</v>
      </c>
      <c r="J98" s="139"/>
      <c r="K98" s="139">
        <f>SUM(K95:K97)</f>
        <v>46854935.310000002</v>
      </c>
      <c r="L98" s="139"/>
      <c r="M98" s="149">
        <f>ROUND(K98/I98*100,3)-100</f>
        <v>-7.899999999999352E-2</v>
      </c>
      <c r="N98" s="148">
        <f>K98-I98</f>
        <v>-36904.980000004172</v>
      </c>
      <c r="O98" s="134">
        <f>IF(ABS(M98)&lt;=0.5,0,IF(I98&gt;K98,(I98*0.995)-K98,(I98*1.005)-K98))</f>
        <v>0</v>
      </c>
      <c r="P98" s="139">
        <f>SUM(P95:P97)</f>
        <v>47533743</v>
      </c>
      <c r="Q98" s="135">
        <f>((P98-I98)/I98)*100</f>
        <v>1.3689006574068783</v>
      </c>
      <c r="R98" s="148">
        <f>P98-K98</f>
        <v>678807.68999999762</v>
      </c>
      <c r="S98" s="135"/>
      <c r="T98" s="139">
        <f>SUM(T95:T97)</f>
        <v>39354478</v>
      </c>
      <c r="U98" s="135">
        <f>((T98-P98)/P98)*100</f>
        <v>-17.207281572587288</v>
      </c>
      <c r="V98" s="148">
        <f>T98-P98</f>
        <v>-8179265</v>
      </c>
      <c r="W98" s="135"/>
      <c r="X98" s="148">
        <f>SUM(X95:X97)</f>
        <v>593.73999999582156</v>
      </c>
      <c r="Y98" s="130"/>
    </row>
    <row r="99" spans="1:25">
      <c r="D99" s="143"/>
      <c r="E99" s="143"/>
      <c r="F99" s="143"/>
      <c r="G99" s="143"/>
      <c r="H99" s="143"/>
      <c r="I99" s="143"/>
      <c r="J99" s="143"/>
      <c r="K99" s="143"/>
      <c r="L99" s="143"/>
      <c r="M99" s="149"/>
      <c r="N99" s="148"/>
      <c r="O99" s="134"/>
      <c r="P99" s="143"/>
      <c r="Q99" s="135"/>
      <c r="R99" s="135"/>
      <c r="S99" s="135"/>
      <c r="T99" s="143"/>
      <c r="U99" s="135"/>
      <c r="V99" s="135"/>
      <c r="W99" s="135"/>
      <c r="X99" s="135"/>
      <c r="Y99" s="130"/>
    </row>
    <row r="100" spans="1:25">
      <c r="A100" s="121" t="s">
        <v>64</v>
      </c>
      <c r="C100" s="139">
        <f>SUMIF($A$6:$A$56,$A100,C$6:C$56)</f>
        <v>663184.49</v>
      </c>
      <c r="D100" s="139"/>
      <c r="E100" s="139">
        <f>SUMIF($A$6:$A$56,$A100,E$6:E$56)</f>
        <v>-12137.93</v>
      </c>
      <c r="F100" s="139"/>
      <c r="G100" s="139">
        <f>SUMIF($A$6:$A$56,$A100,G$6:G$56)</f>
        <v>3323.5400000000004</v>
      </c>
      <c r="H100" s="139"/>
      <c r="I100" s="139">
        <f>SUMIF($A$6:$A$56,$A100,I$6:I$56)</f>
        <v>654370.1</v>
      </c>
      <c r="J100" s="139"/>
      <c r="K100" s="139">
        <f>SUMIF($A$6:$A$56,$A100,K$6:K$56)</f>
        <v>654198.22</v>
      </c>
      <c r="L100" s="139"/>
      <c r="M100" s="149">
        <f>ROUND(K100/I100*100,3)-100</f>
        <v>-2.5999999999996248E-2</v>
      </c>
      <c r="N100" s="148">
        <f>K100-I100</f>
        <v>-171.88000000000466</v>
      </c>
      <c r="O100" s="134">
        <f>IF(ABS(M100)&lt;=0.5,0,IF(I100&gt;K100,(I100*0.995)-K100,(I100*1.005)-K100))</f>
        <v>0</v>
      </c>
      <c r="P100" s="139">
        <f>SUMIF($A$6:$A$56,$A100,P$6:P$56)</f>
        <v>654187</v>
      </c>
      <c r="Q100" s="135">
        <f>((P100-I100)/I100)*100</f>
        <v>-2.7981107327485887E-2</v>
      </c>
      <c r="R100" s="148">
        <f>P100-K100</f>
        <v>-11.21999999997206</v>
      </c>
      <c r="S100" s="135"/>
      <c r="T100" s="139">
        <f>SUMIF($A$6:$A$56,$A100,T$6:T$56)</f>
        <v>516157</v>
      </c>
      <c r="U100" s="135">
        <f>((T100-P100)/P100)*100</f>
        <v>-21.099471557826739</v>
      </c>
      <c r="V100" s="148">
        <f>T100-P100</f>
        <v>-138030</v>
      </c>
      <c r="W100" s="135"/>
      <c r="X100" s="148">
        <f>G100+N100</f>
        <v>3151.6599999999958</v>
      </c>
      <c r="Y100" s="130"/>
    </row>
    <row r="101" spans="1:25">
      <c r="D101" s="143"/>
      <c r="E101" s="143"/>
      <c r="F101" s="143"/>
      <c r="G101" s="143"/>
      <c r="H101" s="143"/>
      <c r="I101" s="143"/>
      <c r="J101" s="143"/>
      <c r="K101" s="143"/>
      <c r="L101" s="143"/>
      <c r="M101" s="149"/>
      <c r="N101" s="148"/>
      <c r="O101" s="134"/>
      <c r="P101" s="143"/>
      <c r="Q101" s="135"/>
      <c r="R101" s="135"/>
      <c r="S101" s="135"/>
      <c r="T101" s="143"/>
      <c r="U101" s="135"/>
      <c r="V101" s="135"/>
      <c r="W101" s="135"/>
      <c r="X101" s="135"/>
      <c r="Y101" s="130"/>
    </row>
    <row r="102" spans="1:25">
      <c r="A102" s="121" t="s">
        <v>61</v>
      </c>
      <c r="C102" s="139">
        <f>SUMIF($A$6:$A$56,$A102,C$6:C$56)</f>
        <v>52215.519999999997</v>
      </c>
      <c r="D102" s="139"/>
      <c r="E102" s="139">
        <f>SUMIF($A$6:$A$56,$A102,E$6:E$56)</f>
        <v>-1026.55</v>
      </c>
      <c r="F102" s="139"/>
      <c r="G102" s="139">
        <f>SUMIF($A$6:$A$56,$A102,G$6:G$56)</f>
        <v>-395.19</v>
      </c>
      <c r="H102" s="139"/>
      <c r="I102" s="139">
        <f>SUMIF($A$6:$A$56,$A102,I$6:I$56)</f>
        <v>50793.779999999992</v>
      </c>
      <c r="J102" s="139"/>
      <c r="K102" s="139">
        <f>SUMIF($A$6:$A$56,$A102,K$6:K$56)</f>
        <v>50799.39</v>
      </c>
      <c r="L102" s="139"/>
      <c r="M102" s="149">
        <f>ROUND(K102/I102*100,3)-100</f>
        <v>1.099999999999568E-2</v>
      </c>
      <c r="N102" s="148">
        <f>K102-I102</f>
        <v>5.610000000007858</v>
      </c>
      <c r="O102" s="134">
        <f>IF(ABS(M102)&lt;=0.5,0,IF(I102&gt;K102,(I102*0.995)-K102,(I102*1.005)-K102))</f>
        <v>0</v>
      </c>
      <c r="P102" s="139">
        <f>SUMIF($A$6:$A$56,$A102,P$6:P$56)</f>
        <v>50799.69</v>
      </c>
      <c r="Q102" s="135">
        <f>((P102-I102)/I102)*100</f>
        <v>1.1635282902770319E-2</v>
      </c>
      <c r="R102" s="148">
        <f>P102-K102</f>
        <v>0.30000000000291038</v>
      </c>
      <c r="S102" s="135"/>
      <c r="T102" s="139">
        <f>SUMIF($A$6:$A$56,$A102,T$6:T$56)</f>
        <v>59948.32</v>
      </c>
      <c r="U102" s="135">
        <f>((T102-P102)/P102)*100</f>
        <v>18.009224072036652</v>
      </c>
      <c r="V102" s="148">
        <f>T102-P102</f>
        <v>9148.6299999999974</v>
      </c>
      <c r="W102" s="135"/>
      <c r="X102" s="148">
        <f>G102+N102</f>
        <v>-389.57999999999214</v>
      </c>
      <c r="Y102" s="130"/>
    </row>
    <row r="103" spans="1:25">
      <c r="D103" s="143"/>
      <c r="E103" s="143"/>
      <c r="F103" s="143"/>
      <c r="G103" s="143"/>
      <c r="H103" s="143"/>
      <c r="I103" s="143"/>
      <c r="J103" s="143"/>
      <c r="K103" s="143"/>
      <c r="L103" s="143"/>
      <c r="M103" s="149"/>
      <c r="N103" s="148"/>
      <c r="O103" s="134"/>
      <c r="P103" s="143"/>
      <c r="Q103" s="135"/>
      <c r="R103" s="135"/>
      <c r="S103" s="135"/>
      <c r="T103" s="143"/>
      <c r="U103" s="135"/>
      <c r="V103" s="135"/>
      <c r="W103" s="135"/>
      <c r="X103" s="135"/>
      <c r="Y103" s="130"/>
    </row>
    <row r="104" spans="1:25">
      <c r="A104" s="121" t="s">
        <v>62</v>
      </c>
      <c r="C104" s="139">
        <f>SUMIF($A$6:$A$56,$A104,C$6:C$56)</f>
        <v>236133.27</v>
      </c>
      <c r="D104" s="139"/>
      <c r="E104" s="139">
        <f>SUMIF($A$6:$A$56,$A104,E$6:E$56)</f>
        <v>-9410.16</v>
      </c>
      <c r="F104" s="139"/>
      <c r="G104" s="139">
        <f>SUMIF($A$6:$A$56,$A104,G$6:G$56)</f>
        <v>16031.029999999999</v>
      </c>
      <c r="H104" s="139"/>
      <c r="I104" s="139">
        <f>SUMIF($A$6:$A$56,$A104,I$6:I$56)</f>
        <v>242754.13999999998</v>
      </c>
      <c r="J104" s="139"/>
      <c r="K104" s="139">
        <f>SUMIF($A$6:$A$56,$A104,K$6:K$56)</f>
        <v>243041.62</v>
      </c>
      <c r="L104" s="139"/>
      <c r="M104" s="149">
        <f>ROUND(K104/I104*100,3)-100</f>
        <v>0.117999999999995</v>
      </c>
      <c r="N104" s="148">
        <f>K104-I104</f>
        <v>287.48000000001048</v>
      </c>
      <c r="O104" s="134">
        <f>IF(ABS(M104)&lt;=0.5,0,IF(I104&gt;K104,(I104*0.995)-K104,(I104*1.005)-K104))</f>
        <v>0</v>
      </c>
      <c r="P104" s="139">
        <f>SUMIF($A$6:$A$56,$A104,P$6:P$56)</f>
        <v>242978.35000000003</v>
      </c>
      <c r="Q104" s="135">
        <f>((P104-I104)/I104)*100</f>
        <v>9.2360937696078046E-2</v>
      </c>
      <c r="R104" s="148">
        <f>P104-K104</f>
        <v>-63.269999999960419</v>
      </c>
      <c r="S104" s="135"/>
      <c r="T104" s="139">
        <f>SUMIF($A$6:$A$56,$A104,T$6:T$56)</f>
        <v>213189.22</v>
      </c>
      <c r="U104" s="135">
        <f>((T104-P104)/P104)*100</f>
        <v>-12.259993534403387</v>
      </c>
      <c r="V104" s="148">
        <f>T104-P104</f>
        <v>-29789.130000000034</v>
      </c>
      <c r="W104" s="135"/>
      <c r="X104" s="148">
        <f>G104+N104</f>
        <v>16318.510000000009</v>
      </c>
      <c r="Y104" s="130"/>
    </row>
    <row r="105" spans="1:25">
      <c r="A105" s="121" t="s">
        <v>63</v>
      </c>
      <c r="C105" s="139">
        <f>SUMIF($A$6:$A$56,$A105,C$6:C$56)</f>
        <v>82892.25</v>
      </c>
      <c r="D105" s="139"/>
      <c r="E105" s="139">
        <f>SUMIF($A$6:$A$56,$A105,E$6:E$56)</f>
        <v>-3150.08</v>
      </c>
      <c r="F105" s="139"/>
      <c r="G105" s="139">
        <f>SUMIF($A$6:$A$56,$A105,G$6:G$56)</f>
        <v>4.5100000000000051</v>
      </c>
      <c r="H105" s="139"/>
      <c r="I105" s="139">
        <f>SUMIF($A$6:$A$56,$A105,I$6:I$56)</f>
        <v>79746.679999999993</v>
      </c>
      <c r="J105" s="139"/>
      <c r="K105" s="139">
        <f>SUMIF($A$6:$A$56,$A105,K$6:K$56)</f>
        <v>79746.64</v>
      </c>
      <c r="L105" s="139"/>
      <c r="M105" s="149">
        <f>ROUND(K105/I105*100,3)-100</f>
        <v>0</v>
      </c>
      <c r="N105" s="148">
        <f>K105-I105</f>
        <v>-3.9999999993597157E-2</v>
      </c>
      <c r="O105" s="134">
        <f>IF(ABS(M105)&lt;=0.5,0,IF(I105&gt;K105,(I105*0.995)-K105,(I105*1.005)-K105))</f>
        <v>0</v>
      </c>
      <c r="P105" s="139">
        <f>SUMIF($A$6:$A$56,$A105,P$6:P$56)</f>
        <v>79747</v>
      </c>
      <c r="Q105" s="135">
        <f>((P105-I105)/I105)*100</f>
        <v>4.0127062343784715E-4</v>
      </c>
      <c r="R105" s="148">
        <f>P105-K105</f>
        <v>0.36000000000058208</v>
      </c>
      <c r="S105" s="135"/>
      <c r="T105" s="139">
        <f>SUMIF($A$6:$A$56,$A105,T$6:T$56)</f>
        <v>62311</v>
      </c>
      <c r="U105" s="135">
        <f>((T105-P105)/P105)*100</f>
        <v>-21.864145359700053</v>
      </c>
      <c r="V105" s="148">
        <f>T105-P105</f>
        <v>-17436</v>
      </c>
      <c r="W105" s="135"/>
      <c r="X105" s="148">
        <f>G105+N105</f>
        <v>4.470000000006408</v>
      </c>
      <c r="Y105" s="130"/>
    </row>
    <row r="106" spans="1:25">
      <c r="A106" s="121" t="s">
        <v>292</v>
      </c>
      <c r="C106" s="139">
        <f>SUM(C104:C105)</f>
        <v>319025.52</v>
      </c>
      <c r="D106" s="139"/>
      <c r="E106" s="139">
        <f>SUM(E104:E105)</f>
        <v>-12560.24</v>
      </c>
      <c r="F106" s="139"/>
      <c r="G106" s="139">
        <f>SUM(G104:G105)</f>
        <v>16035.539999999999</v>
      </c>
      <c r="H106" s="139"/>
      <c r="I106" s="139">
        <f>SUM(I104:I105)</f>
        <v>322500.81999999995</v>
      </c>
      <c r="J106" s="139"/>
      <c r="K106" s="139">
        <f>SUM(K104:K105)</f>
        <v>322788.26</v>
      </c>
      <c r="L106" s="139"/>
      <c r="M106" s="149">
        <f>ROUND(K106/I106*100,3)-100</f>
        <v>8.8999999999998636E-2</v>
      </c>
      <c r="N106" s="148">
        <f>K106-I106</f>
        <v>287.44000000006054</v>
      </c>
      <c r="O106" s="134">
        <f>IF(ABS(M106)&lt;=0.5,0,IF(I106&gt;K106,(I106*0.995)-K106,(I106*1.005)-K106))</f>
        <v>0</v>
      </c>
      <c r="P106" s="139">
        <f>SUM(P104:P105)</f>
        <v>322725.35000000003</v>
      </c>
      <c r="Q106" s="135">
        <f>((P106-I106)/I106)*100</f>
        <v>6.9621528404202562E-2</v>
      </c>
      <c r="R106" s="148">
        <f>P106-K106</f>
        <v>-62.909999999974389</v>
      </c>
      <c r="S106" s="135"/>
      <c r="T106" s="139">
        <f>SUM(T104:T105)</f>
        <v>275500.21999999997</v>
      </c>
      <c r="U106" s="135">
        <f>((T106-P106)/P106)*100</f>
        <v>-14.633226054290455</v>
      </c>
      <c r="V106" s="148">
        <f>T106-P106</f>
        <v>-47225.130000000063</v>
      </c>
      <c r="W106" s="135"/>
      <c r="X106" s="148">
        <f>SUM(X104:X105)</f>
        <v>16322.980000000016</v>
      </c>
      <c r="Y106" s="130"/>
    </row>
    <row r="107" spans="1:25">
      <c r="D107" s="143"/>
      <c r="E107" s="143"/>
      <c r="F107" s="143"/>
      <c r="G107" s="143"/>
      <c r="H107" s="143"/>
      <c r="I107" s="143"/>
      <c r="J107" s="143"/>
      <c r="K107" s="143"/>
      <c r="L107" s="143"/>
      <c r="M107" s="149"/>
      <c r="N107" s="148"/>
      <c r="O107" s="134"/>
      <c r="P107" s="143"/>
      <c r="Q107" s="135"/>
      <c r="R107" s="135"/>
      <c r="S107" s="135"/>
      <c r="T107" s="143"/>
      <c r="U107" s="135"/>
      <c r="V107" s="135"/>
      <c r="W107" s="135"/>
      <c r="X107" s="135"/>
      <c r="Y107" s="130"/>
    </row>
    <row r="108" spans="1:25">
      <c r="A108" s="121" t="s">
        <v>56</v>
      </c>
      <c r="C108" s="139">
        <f>SUMIF($A$6:$A$56,$A108,C$6:C$56)</f>
        <v>25692.84</v>
      </c>
      <c r="D108" s="139"/>
      <c r="E108" s="139">
        <f>SUMIF($A$6:$A$56,$A108,E$6:E$56)</f>
        <v>-970.06000000000006</v>
      </c>
      <c r="F108" s="139"/>
      <c r="G108" s="139">
        <f>SUMIF($A$6:$A$56,$A108,G$6:G$56)</f>
        <v>76.16</v>
      </c>
      <c r="H108" s="139"/>
      <c r="I108" s="139">
        <f>SUMIF($A$6:$A$56,$A108,I$6:I$56)</f>
        <v>24798.94</v>
      </c>
      <c r="J108" s="139"/>
      <c r="K108" s="139">
        <f>SUMIF($A$6:$A$56,$A108,K$6:K$56)</f>
        <v>24798.5</v>
      </c>
      <c r="L108" s="139"/>
      <c r="M108" s="149">
        <f>ROUND(K108/I108*100,3)-100</f>
        <v>-1.9999999999953388E-3</v>
      </c>
      <c r="N108" s="148">
        <f>K108-I108</f>
        <v>-0.43999999999869033</v>
      </c>
      <c r="O108" s="134">
        <f>IF(ABS(M108)&lt;=0.5,0,IF(I108&gt;K108,(I108*0.995)-K108,(I108*1.005)-K108))</f>
        <v>0</v>
      </c>
      <c r="P108" s="139">
        <f>SUMIF($A$6:$A$56,$A108,P$6:P$56)</f>
        <v>24799</v>
      </c>
      <c r="Q108" s="135">
        <f>((P108-I108)/I108)*100</f>
        <v>2.4194582510909609E-4</v>
      </c>
      <c r="R108" s="148">
        <f>P108-K108</f>
        <v>0.5</v>
      </c>
      <c r="S108" s="135"/>
      <c r="T108" s="139">
        <f>SUMIF($A$6:$A$56,$A108,T$6:T$56)</f>
        <v>18590</v>
      </c>
      <c r="U108" s="135">
        <f>((T108-P108)/P108)*100</f>
        <v>-25.037299891124643</v>
      </c>
      <c r="V108" s="148">
        <f>T108-P108</f>
        <v>-6209</v>
      </c>
      <c r="W108" s="135"/>
      <c r="X108" s="148">
        <f>G108+N108</f>
        <v>75.720000000001306</v>
      </c>
      <c r="Y108" s="130"/>
    </row>
    <row r="109" spans="1:25">
      <c r="D109" s="143"/>
      <c r="E109" s="143"/>
      <c r="F109" s="143"/>
      <c r="G109" s="143"/>
      <c r="H109" s="143"/>
      <c r="I109" s="143"/>
      <c r="J109" s="143"/>
      <c r="K109" s="143"/>
      <c r="L109" s="143"/>
      <c r="M109" s="149"/>
      <c r="N109" s="148"/>
      <c r="O109" s="134"/>
      <c r="P109" s="143"/>
      <c r="Q109" s="135"/>
      <c r="R109" s="135"/>
      <c r="S109" s="135"/>
      <c r="T109" s="143"/>
      <c r="U109" s="135"/>
      <c r="V109" s="135"/>
      <c r="W109" s="135"/>
      <c r="X109" s="135"/>
      <c r="Y109" s="130"/>
    </row>
    <row r="110" spans="1:25">
      <c r="A110" s="121" t="s">
        <v>65</v>
      </c>
      <c r="C110" s="139">
        <f>SUMIF($A$6:$A$56,$A110,C$6:C$56)</f>
        <v>244490.19</v>
      </c>
      <c r="D110" s="139"/>
      <c r="E110" s="139">
        <f>SUMIF($A$6:$A$56,$A110,E$6:E$56)</f>
        <v>-6014.5300000000007</v>
      </c>
      <c r="F110" s="139"/>
      <c r="G110" s="139">
        <f>SUMIF($A$6:$A$56,$A110,G$6:G$56)</f>
        <v>-150.65</v>
      </c>
      <c r="H110" s="139"/>
      <c r="I110" s="139">
        <f>SUMIF($A$6:$A$56,$A110,I$6:I$56)</f>
        <v>238325.01</v>
      </c>
      <c r="J110" s="139"/>
      <c r="K110" s="139">
        <f>SUMIF($A$6:$A$56,$A110,K$6:K$56)</f>
        <v>238250.04</v>
      </c>
      <c r="L110" s="139"/>
      <c r="M110" s="149">
        <f>ROUND(K110/I110*100,3)-100</f>
        <v>-3.1000000000005912E-2</v>
      </c>
      <c r="N110" s="148">
        <f>K110-I110</f>
        <v>-74.970000000001164</v>
      </c>
      <c r="O110" s="134">
        <f>IF(ABS(M110)&lt;=0.5,0,IF(I110&gt;K110,(I110*0.995)-K110,(I110*1.005)-K110))</f>
        <v>0</v>
      </c>
      <c r="P110" s="139">
        <f>SUMIF($A$6:$A$56,$A110,P$6:P$56)</f>
        <v>238251</v>
      </c>
      <c r="Q110" s="135">
        <f>((P110-I110)/I110)*100</f>
        <v>-3.105423136246142E-2</v>
      </c>
      <c r="R110" s="148">
        <f>P110-K110</f>
        <v>0.95999999999185093</v>
      </c>
      <c r="S110" s="135"/>
      <c r="T110" s="139">
        <f>SUMIF($A$6:$A$56,$A110,T$6:T$56)</f>
        <v>233013</v>
      </c>
      <c r="U110" s="135">
        <f>((T110-P110)/P110)*100</f>
        <v>-2.1985217270861406</v>
      </c>
      <c r="V110" s="148">
        <f>T110-P110</f>
        <v>-5238</v>
      </c>
      <c r="W110" s="135"/>
      <c r="X110" s="148">
        <f>G110+N110</f>
        <v>-225.62000000000117</v>
      </c>
      <c r="Y110" s="130"/>
    </row>
    <row r="111" spans="1:25">
      <c r="D111" s="127"/>
      <c r="E111" s="127"/>
      <c r="F111" s="127"/>
      <c r="G111" s="127"/>
      <c r="H111" s="127"/>
      <c r="I111" s="127"/>
      <c r="J111" s="127"/>
      <c r="K111" s="127"/>
      <c r="L111" s="127"/>
      <c r="M111" s="149"/>
      <c r="N111" s="148"/>
      <c r="O111" s="134"/>
      <c r="P111" s="127"/>
      <c r="Q111" s="135"/>
      <c r="R111" s="135"/>
      <c r="S111" s="135"/>
      <c r="T111" s="127"/>
      <c r="U111" s="135"/>
      <c r="V111" s="135"/>
      <c r="W111" s="135"/>
      <c r="X111" s="135"/>
      <c r="Y111" s="130"/>
    </row>
    <row r="112" spans="1:25">
      <c r="A112" s="121" t="s">
        <v>283</v>
      </c>
      <c r="C112" s="139">
        <f>C110+C108+C106+C102+C100+C98+C93+C91+C87+C86+C84+C81+C75+C71+C69+C65</f>
        <v>309641955.81</v>
      </c>
      <c r="D112" s="139"/>
      <c r="E112" s="139">
        <f>E110+E108+E106+E102+E100+E98+E93+E91+E87+E86+E84+E81+E75+E71+E69+E65</f>
        <v>-10705577.890000001</v>
      </c>
      <c r="F112" s="139"/>
      <c r="G112" s="139">
        <f>G110+G108+G106+G102+G100+G98+G93+G91+G87+G86+G84+G81+G75+G71+G69+G65</f>
        <v>288689.85999999993</v>
      </c>
      <c r="H112" s="139"/>
      <c r="I112" s="139">
        <f>I110+I108+I106+I102+I100+I98+I93+I91+I87+I86+I84+I81+I75+I71+I69+I65</f>
        <v>299225067.78000003</v>
      </c>
      <c r="J112" s="139"/>
      <c r="K112" s="139">
        <f>K110+K108+K106+K102+K100+K98+K93+K91+K86+K87+K84+K81+K75+K71+K69+K65</f>
        <v>299309939.37738836</v>
      </c>
      <c r="L112" s="139"/>
      <c r="M112" s="149">
        <f>ROUND(K112/I112*100,3)-100</f>
        <v>2.8000000000005798E-2</v>
      </c>
      <c r="N112" s="139">
        <f>N110+N108+N106+N102+N100+N98+N93+N91+N87+N86+N84+N81+N75+N71+N69+N65</f>
        <v>84871.597388327529</v>
      </c>
      <c r="O112" s="134">
        <f>IF(ABS(M112)&lt;=0.5,0,IF(I112&gt;K112,(I112*0.995)-K112,(I112*1.005)-K112))</f>
        <v>0</v>
      </c>
      <c r="P112" s="139">
        <f>P110+P108+P106+P102+P100+P98+P93+P91+P87+P86+P84+P81+P75+P71+P69+P65</f>
        <v>303640055.17000008</v>
      </c>
      <c r="Q112" s="135">
        <f>((P112-I112)/I112)*100</f>
        <v>1.4754737705485581</v>
      </c>
      <c r="R112" s="139">
        <f>R110+R108+R106+R102+R100+R98+R93+R91+R87+R84+R81+R75+R71+R69+R65</f>
        <v>4330115.7926116623</v>
      </c>
      <c r="S112" s="135"/>
      <c r="T112" s="139" t="e">
        <f>T110+T108+T106+T102+T100+T98+T93+T91+T84+T87+T81+T75+T69+T65</f>
        <v>#REF!</v>
      </c>
      <c r="U112" s="135" t="e">
        <f>((T112-P112)/P112)*100</f>
        <v>#REF!</v>
      </c>
      <c r="V112" s="139" t="e">
        <f>V110+V108+V106+V102+V100+V98+V93+V91+V84+V87+V81+V75+V69+V65</f>
        <v>#REF!</v>
      </c>
      <c r="W112" s="135"/>
      <c r="X112" s="139">
        <f>X110+X108+X106+X102+X100+X98+X93+X91+X84+X87+X81+X75+X71+X69+X65</f>
        <v>371622.08738833509</v>
      </c>
      <c r="Y112" s="130"/>
    </row>
    <row r="113" spans="9:24">
      <c r="P113" s="150"/>
      <c r="R113" s="150"/>
      <c r="T113" s="150"/>
      <c r="U113" s="150"/>
      <c r="V113" s="150"/>
      <c r="W113" s="150"/>
      <c r="X113" s="150"/>
    </row>
    <row r="115" spans="9:24">
      <c r="I115" s="140" t="s">
        <v>31</v>
      </c>
    </row>
  </sheetData>
  <phoneticPr fontId="38" type="noConversion"/>
  <printOptions horizontalCentered="1"/>
  <pageMargins left="0.25" right="0.25" top="0.5" bottom="0.3" header="0.5" footer="0.25"/>
  <pageSetup scale="53" fitToHeight="2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61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5"/>
  <sheetViews>
    <sheetView view="pageBreakPreview" zoomScaleNormal="100" zoomScaleSheetLayoutView="100" workbookViewId="0">
      <pane xSplit="1" ySplit="5" topLeftCell="B6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ColWidth="8" defaultRowHeight="12.75"/>
  <cols>
    <col min="1" max="1" width="13.25" style="121" customWidth="1"/>
    <col min="2" max="2" width="10.5" style="121" customWidth="1"/>
    <col min="3" max="3" width="14.875" style="143" bestFit="1" customWidth="1"/>
    <col min="4" max="4" width="1.625" style="122" customWidth="1"/>
    <col min="5" max="5" width="15.5" style="122" hidden="1" customWidth="1"/>
    <col min="6" max="6" width="1.75" style="122" hidden="1" customWidth="1"/>
    <col min="7" max="7" width="15.5" style="122" customWidth="1"/>
    <col min="8" max="8" width="1.75" style="122" customWidth="1"/>
    <col min="9" max="9" width="15.5" style="122" hidden="1" customWidth="1"/>
    <col min="10" max="10" width="1.75" style="122" hidden="1" customWidth="1"/>
    <col min="11" max="11" width="15.5" style="122" customWidth="1"/>
    <col min="12" max="12" width="1.375" style="122" customWidth="1"/>
    <col min="13" max="13" width="13.5" style="122" bestFit="1" customWidth="1"/>
    <col min="14" max="14" width="1.625" style="122" customWidth="1"/>
    <col min="15" max="15" width="14.875" style="122" bestFit="1" customWidth="1"/>
    <col min="16" max="16" width="1.625" style="122" customWidth="1"/>
    <col min="17" max="17" width="14.75" style="122" bestFit="1" customWidth="1"/>
    <col min="18" max="18" width="6" style="122" customWidth="1"/>
    <col min="19" max="19" width="9.75" style="121" bestFit="1" customWidth="1"/>
    <col min="20" max="20" width="14.125" style="121" bestFit="1" customWidth="1"/>
    <col min="21" max="21" width="14" style="121" bestFit="1" customWidth="1"/>
    <col min="22" max="22" width="14.75" style="121" bestFit="1" customWidth="1"/>
    <col min="23" max="23" width="11.625" style="121" customWidth="1"/>
    <col min="24" max="24" width="15.125" style="121" bestFit="1" customWidth="1"/>
    <col min="25" max="25" width="4.125" style="121" hidden="1" customWidth="1"/>
    <col min="26" max="26" width="14.75" style="121" hidden="1" customWidth="1"/>
    <col min="27" max="27" width="12.125" style="121" hidden="1" customWidth="1"/>
    <col min="28" max="28" width="12" style="121" hidden="1" customWidth="1"/>
    <col min="29" max="29" width="4.125" style="121" customWidth="1"/>
    <col min="30" max="30" width="13" style="121" bestFit="1" customWidth="1"/>
    <col min="31" max="31" width="16.375" style="121" customWidth="1"/>
    <col min="32" max="32" width="13.5" style="121" customWidth="1"/>
    <col min="33" max="33" width="14.25" style="121" bestFit="1" customWidth="1"/>
    <col min="34" max="34" width="14.125" style="121" bestFit="1" customWidth="1"/>
    <col min="35" max="16384" width="8" style="121"/>
  </cols>
  <sheetData>
    <row r="1" spans="1:34" ht="15.75">
      <c r="A1" s="117" t="s">
        <v>256</v>
      </c>
      <c r="B1" s="118"/>
      <c r="C1" s="750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</row>
    <row r="2" spans="1:34" ht="15.75">
      <c r="A2" s="117"/>
    </row>
    <row r="3" spans="1:34">
      <c r="C3" s="750" t="s">
        <v>1</v>
      </c>
      <c r="U3" s="123" t="s">
        <v>257</v>
      </c>
      <c r="V3" s="146" t="s">
        <v>31</v>
      </c>
      <c r="X3" s="123" t="s">
        <v>728</v>
      </c>
      <c r="Z3" s="146" t="s">
        <v>294</v>
      </c>
    </row>
    <row r="4" spans="1:34">
      <c r="K4" s="122" t="s">
        <v>31</v>
      </c>
      <c r="Q4" s="122" t="s">
        <v>700</v>
      </c>
      <c r="S4" s="123" t="s">
        <v>258</v>
      </c>
      <c r="T4" s="146" t="s">
        <v>265</v>
      </c>
      <c r="U4" s="123" t="s">
        <v>259</v>
      </c>
      <c r="V4" s="146" t="s">
        <v>587</v>
      </c>
      <c r="W4" s="123" t="s">
        <v>258</v>
      </c>
      <c r="X4" s="146" t="s">
        <v>265</v>
      </c>
      <c r="Y4" s="123"/>
      <c r="Z4" s="123" t="s">
        <v>199</v>
      </c>
      <c r="AA4" s="123" t="s">
        <v>258</v>
      </c>
      <c r="AB4" s="146" t="s">
        <v>265</v>
      </c>
      <c r="AC4" s="123"/>
      <c r="AD4" s="146" t="s">
        <v>9</v>
      </c>
    </row>
    <row r="5" spans="1:34">
      <c r="A5" s="121" t="s">
        <v>260</v>
      </c>
      <c r="C5" s="751">
        <v>305</v>
      </c>
      <c r="E5" s="125" t="s">
        <v>812</v>
      </c>
      <c r="F5" s="125"/>
      <c r="G5" s="125" t="s">
        <v>202</v>
      </c>
      <c r="H5" s="125"/>
      <c r="I5" s="125" t="s">
        <v>312</v>
      </c>
      <c r="J5" s="125"/>
      <c r="K5" s="125" t="s">
        <v>312</v>
      </c>
      <c r="L5" s="125"/>
      <c r="M5" s="125" t="s">
        <v>261</v>
      </c>
      <c r="N5" s="125"/>
      <c r="O5" s="125" t="s">
        <v>262</v>
      </c>
      <c r="P5" s="125"/>
      <c r="Q5" s="125" t="s">
        <v>263</v>
      </c>
      <c r="R5" s="125"/>
      <c r="S5" s="123" t="s">
        <v>31</v>
      </c>
      <c r="T5" s="146" t="s">
        <v>295</v>
      </c>
      <c r="U5" s="123" t="s">
        <v>266</v>
      </c>
      <c r="V5" s="123" t="s">
        <v>1</v>
      </c>
      <c r="W5" s="146" t="s">
        <v>296</v>
      </c>
      <c r="X5" s="146" t="s">
        <v>297</v>
      </c>
      <c r="Y5" s="123"/>
      <c r="Z5" s="123" t="s">
        <v>1</v>
      </c>
      <c r="AA5" s="146" t="s">
        <v>298</v>
      </c>
      <c r="AB5" s="146" t="s">
        <v>299</v>
      </c>
      <c r="AC5" s="123"/>
      <c r="AD5" s="146" t="s">
        <v>44</v>
      </c>
    </row>
    <row r="6" spans="1:34" s="130" customFormat="1">
      <c r="A6" s="130" t="s">
        <v>267</v>
      </c>
      <c r="C6" s="143"/>
      <c r="D6" s="127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</row>
    <row r="7" spans="1:34" s="743" customFormat="1">
      <c r="A7" s="743" t="s">
        <v>268</v>
      </c>
      <c r="C7" s="752">
        <f>VLOOKUP(A7,'305 Inputs'!$E$116:$I$142,5,FALSE)</f>
        <v>131784572.25</v>
      </c>
      <c r="D7" s="746"/>
      <c r="E7" s="753">
        <f>-0.74-3768547.56-0.16-796541.39</f>
        <v>-4565089.8500000006</v>
      </c>
      <c r="F7" s="753"/>
      <c r="G7" s="753">
        <f>-0.74-3768547.56</f>
        <v>-3768548.3000000003</v>
      </c>
      <c r="H7" s="753"/>
      <c r="I7" s="753">
        <f>-0.16-796541.39</f>
        <v>-796541.55</v>
      </c>
      <c r="J7" s="753"/>
      <c r="K7" s="753">
        <f>-'WA HDS Revenue'!D39</f>
        <v>-825377.85</v>
      </c>
      <c r="L7" s="752"/>
      <c r="M7" s="753">
        <f>-19965.71+25825.44</f>
        <v>5859.73</v>
      </c>
      <c r="N7" s="752"/>
      <c r="O7" s="752">
        <f>C7+G7+K7+M7</f>
        <v>127196505.83000001</v>
      </c>
      <c r="P7" s="752"/>
      <c r="Q7" s="753">
        <f>127310921.760444+29</f>
        <v>127310950.760444</v>
      </c>
      <c r="R7" s="752"/>
      <c r="S7" s="743">
        <f t="shared" ref="S7:S14" si="0">ROUND(Q7/O7*100,3)-100</f>
        <v>9.0000000000003411E-2</v>
      </c>
      <c r="T7" s="754">
        <f t="shared" ref="T7:T14" si="1">Q7-O7</f>
        <v>114444.93044398725</v>
      </c>
      <c r="U7" s="748">
        <f t="shared" ref="U7:U14" si="2">IF(ABS(S7)&lt;=0.5,0,IF(O7&gt;Q7,(O7*0.995)-Q7,(O7*1.005)-Q7))</f>
        <v>0</v>
      </c>
      <c r="V7" s="753">
        <f>'Pages 4-11, All Other Schedules'!H107-Q11-Temperature!G22*1000</f>
        <v>129186960.568885</v>
      </c>
      <c r="W7" s="755">
        <f t="shared" ref="W7:W14" si="3">((V7-O7)/O7)*100</f>
        <v>1.564865894622339</v>
      </c>
      <c r="X7" s="754">
        <f t="shared" ref="X7:X14" si="4">V7-Q7</f>
        <v>1876009.8084409982</v>
      </c>
      <c r="Y7" s="749"/>
      <c r="Z7" s="753" t="e">
        <f>'Pages 4-11, All Other Schedules'!E107-#REF!*1000</f>
        <v>#REF!</v>
      </c>
      <c r="AA7" s="749" t="e">
        <f t="shared" ref="AA7:AA14" si="5">((Z7-V7)/V7)*100</f>
        <v>#REF!</v>
      </c>
      <c r="AB7" s="754" t="e">
        <f t="shared" ref="AB7:AB14" si="6">Z7-V7</f>
        <v>#REF!</v>
      </c>
      <c r="AC7" s="749"/>
      <c r="AD7" s="754">
        <f t="shared" ref="AD7:AD13" si="7">M7+T7+X7</f>
        <v>1996314.4688849854</v>
      </c>
      <c r="AE7" s="743" t="str">
        <f>IF(ABS(U7)&lt;1, "OK", "NOPE")</f>
        <v>OK</v>
      </c>
      <c r="AF7" s="754">
        <v>-2248573.5099999998</v>
      </c>
      <c r="AG7" s="779"/>
    </row>
    <row r="8" spans="1:34" s="743" customFormat="1">
      <c r="A8" s="743" t="s">
        <v>269</v>
      </c>
      <c r="C8" s="752">
        <f>VLOOKUP(A8,'305 Inputs'!$E$116:$I$142,5,FALSE)</f>
        <v>5397763.5499999998</v>
      </c>
      <c r="D8" s="746"/>
      <c r="E8" s="753">
        <f>-154923.68-32826.58</f>
        <v>-187750.26</v>
      </c>
      <c r="F8" s="753"/>
      <c r="G8" s="753">
        <f>-154923.68</f>
        <v>-154923.68</v>
      </c>
      <c r="H8" s="753"/>
      <c r="I8" s="753">
        <f>-32826.58</f>
        <v>-32826.58</v>
      </c>
      <c r="J8" s="753"/>
      <c r="K8" s="753">
        <f>-'WA HDS Revenue'!D40</f>
        <v>-34027.089999999997</v>
      </c>
      <c r="L8" s="752"/>
      <c r="M8" s="753">
        <f>-898.49+-1279.56</f>
        <v>-2178.0500000000002</v>
      </c>
      <c r="N8" s="752"/>
      <c r="O8" s="752">
        <f t="shared" ref="O8:O13" si="8">C8+G8+K8+M8</f>
        <v>5206634.7300000004</v>
      </c>
      <c r="P8" s="752"/>
      <c r="Q8" s="753">
        <v>5206929.0000350298</v>
      </c>
      <c r="R8" s="752"/>
      <c r="S8" s="743">
        <f t="shared" si="0"/>
        <v>6.0000000000002274E-3</v>
      </c>
      <c r="T8" s="754">
        <f t="shared" si="1"/>
        <v>294.27003502938896</v>
      </c>
      <c r="U8" s="748">
        <f t="shared" si="2"/>
        <v>0</v>
      </c>
      <c r="V8" s="753">
        <f>'Pages 4-11, All Other Schedules'!H122-Temperature!G40*1000</f>
        <v>5284000.3600000003</v>
      </c>
      <c r="W8" s="755">
        <f t="shared" si="3"/>
        <v>1.4859046968328404</v>
      </c>
      <c r="X8" s="754">
        <f t="shared" si="4"/>
        <v>77071.359964970499</v>
      </c>
      <c r="Y8" s="749"/>
      <c r="Z8" s="753">
        <f>'Pages 4-11, All Other Schedules'!E122</f>
        <v>4635674</v>
      </c>
      <c r="AA8" s="749">
        <f t="shared" si="5"/>
        <v>-12.269612335908326</v>
      </c>
      <c r="AB8" s="754">
        <f t="shared" si="6"/>
        <v>-648326.36000000034</v>
      </c>
      <c r="AC8" s="749"/>
      <c r="AD8" s="754">
        <f t="shared" si="7"/>
        <v>75187.579999999885</v>
      </c>
      <c r="AG8" s="779"/>
    </row>
    <row r="9" spans="1:34" s="743" customFormat="1">
      <c r="A9" s="743" t="s">
        <v>270</v>
      </c>
      <c r="B9" s="754"/>
      <c r="C9" s="752">
        <f>VLOOKUP(A9,'305 Inputs'!$E$116:$I$142,5,FALSE)</f>
        <v>208307.71</v>
      </c>
      <c r="D9" s="746"/>
      <c r="E9" s="753">
        <f>-5429.78-1177.22</f>
        <v>-6607</v>
      </c>
      <c r="F9" s="753"/>
      <c r="G9" s="753">
        <f>-5429.78</f>
        <v>-5429.78</v>
      </c>
      <c r="H9" s="753"/>
      <c r="I9" s="753">
        <f>-1177.22</f>
        <v>-1177.22</v>
      </c>
      <c r="J9" s="753"/>
      <c r="K9" s="753">
        <f>-'WA HDS Revenue'!D41</f>
        <v>-1186.02</v>
      </c>
      <c r="L9" s="752"/>
      <c r="M9" s="753">
        <f>14.31</f>
        <v>14.31</v>
      </c>
      <c r="N9" s="752"/>
      <c r="O9" s="752">
        <f t="shared" si="8"/>
        <v>201706.22</v>
      </c>
      <c r="P9" s="752"/>
      <c r="Q9" s="753">
        <v>201796.460705</v>
      </c>
      <c r="R9" s="752"/>
      <c r="S9" s="743">
        <f t="shared" si="0"/>
        <v>4.5000000000001705E-2</v>
      </c>
      <c r="T9" s="754">
        <f t="shared" si="1"/>
        <v>90.2407050000038</v>
      </c>
      <c r="U9" s="748">
        <f t="shared" si="2"/>
        <v>0</v>
      </c>
      <c r="V9" s="753">
        <f>'Pages 4-11, All Other Schedules'!H137-Temperature!G58*1000</f>
        <v>204701.97</v>
      </c>
      <c r="W9" s="755">
        <f t="shared" si="3"/>
        <v>1.4852045712819368</v>
      </c>
      <c r="X9" s="754">
        <f t="shared" si="4"/>
        <v>2905.5092949999962</v>
      </c>
      <c r="Y9" s="749"/>
      <c r="Z9" s="753">
        <f>'Pages 4-11, All Other Schedules'!E137</f>
        <v>179760</v>
      </c>
      <c r="AA9" s="749">
        <f t="shared" si="5"/>
        <v>-12.184528561205347</v>
      </c>
      <c r="AB9" s="754">
        <f t="shared" si="6"/>
        <v>-24941.97</v>
      </c>
      <c r="AC9" s="749"/>
      <c r="AD9" s="754">
        <f t="shared" si="7"/>
        <v>3010.06</v>
      </c>
      <c r="AG9" s="779"/>
    </row>
    <row r="10" spans="1:34" s="743" customFormat="1">
      <c r="A10" s="743" t="s">
        <v>271</v>
      </c>
      <c r="B10" s="964"/>
      <c r="C10" s="752">
        <f>VLOOKUP(A10,'305 Inputs'!$E$116:$I$142,5,FALSE)</f>
        <v>40020.43</v>
      </c>
      <c r="D10" s="746"/>
      <c r="E10" s="753">
        <f>-1061.77-229.67</f>
        <v>-1291.44</v>
      </c>
      <c r="F10" s="753"/>
      <c r="G10" s="753">
        <f>-1061.77</f>
        <v>-1061.77</v>
      </c>
      <c r="H10" s="753"/>
      <c r="I10" s="753">
        <f>-229.67</f>
        <v>-229.67</v>
      </c>
      <c r="J10" s="753"/>
      <c r="K10" s="753">
        <f>-'WA HDS Revenue'!D42</f>
        <v>-231</v>
      </c>
      <c r="L10" s="752"/>
      <c r="M10" s="753">
        <v>0</v>
      </c>
      <c r="N10" s="752"/>
      <c r="O10" s="752">
        <f t="shared" si="8"/>
        <v>38727.660000000003</v>
      </c>
      <c r="P10" s="752"/>
      <c r="Q10" s="753">
        <v>38729.271739999996</v>
      </c>
      <c r="R10" s="752"/>
      <c r="S10" s="743">
        <f t="shared" si="0"/>
        <v>4.0000000000048885E-3</v>
      </c>
      <c r="T10" s="754">
        <f t="shared" si="1"/>
        <v>1.6117399999930058</v>
      </c>
      <c r="U10" s="748">
        <f t="shared" si="2"/>
        <v>0</v>
      </c>
      <c r="V10" s="753">
        <f>'Pages 4-11, All Other Schedules'!H152</f>
        <v>39288</v>
      </c>
      <c r="W10" s="755">
        <f t="shared" si="3"/>
        <v>1.4468728552151007</v>
      </c>
      <c r="X10" s="754">
        <f t="shared" si="4"/>
        <v>558.7282600000035</v>
      </c>
      <c r="Y10" s="749"/>
      <c r="Z10" s="753">
        <f>'Pages 4-11, All Other Schedules'!E152</f>
        <v>34542</v>
      </c>
      <c r="AA10" s="749">
        <f t="shared" si="5"/>
        <v>-12.080024434941967</v>
      </c>
      <c r="AB10" s="754">
        <f t="shared" si="6"/>
        <v>-4746</v>
      </c>
      <c r="AC10" s="749"/>
      <c r="AD10" s="754">
        <f t="shared" si="7"/>
        <v>560.33999999999651</v>
      </c>
      <c r="AE10" s="749"/>
      <c r="AG10" s="779"/>
    </row>
    <row r="11" spans="1:34" s="743" customFormat="1">
      <c r="A11" s="743" t="s">
        <v>252</v>
      </c>
      <c r="C11" s="752">
        <f>VLOOKUP(A11,'305 Inputs'!$E$116:$I$142,5,FALSE)</f>
        <v>59251.360000000001</v>
      </c>
      <c r="D11" s="746"/>
      <c r="E11" s="753">
        <f>-1553.1-348.77</f>
        <v>-1901.87</v>
      </c>
      <c r="F11" s="753"/>
      <c r="G11" s="753">
        <f>-1553.1</f>
        <v>-1553.1</v>
      </c>
      <c r="H11" s="753"/>
      <c r="I11" s="753">
        <f>-348.77</f>
        <v>-348.77</v>
      </c>
      <c r="J11" s="753"/>
      <c r="K11" s="753">
        <f>-'WA HDS Revenue'!D36</f>
        <v>-350.04</v>
      </c>
      <c r="L11" s="752"/>
      <c r="M11" s="753">
        <f>-1814.7+70.76</f>
        <v>-1743.94</v>
      </c>
      <c r="N11" s="752"/>
      <c r="O11" s="752">
        <f t="shared" si="8"/>
        <v>55604.28</v>
      </c>
      <c r="P11" s="752"/>
      <c r="Q11" s="753">
        <v>55614.801115000002</v>
      </c>
      <c r="R11" s="752"/>
      <c r="S11" s="743">
        <f>ROUND(Q11/O11*100,3)-100</f>
        <v>1.9000000000005457E-2</v>
      </c>
      <c r="T11" s="754">
        <f>Q11-O11</f>
        <v>10.521115000003192</v>
      </c>
      <c r="U11" s="748">
        <f>IF(ABS(S11)&lt;=0.5,0,IF(O11&gt;Q11,(O11*0.995)-Q11,(O11*1.005)-Q11))</f>
        <v>0</v>
      </c>
      <c r="V11" s="753">
        <f>Q11</f>
        <v>55614.801115000002</v>
      </c>
      <c r="W11" s="755">
        <f>((V11-O11)/O11)*100</f>
        <v>1.8921412164680834E-2</v>
      </c>
      <c r="X11" s="754">
        <f>V11-Q11</f>
        <v>0</v>
      </c>
      <c r="Y11" s="749"/>
      <c r="Z11" s="753">
        <f>'Pages 4-11, All Other Schedules'!E39</f>
        <v>149347</v>
      </c>
      <c r="AA11" s="749">
        <f>((Z11-V11)/V11)*100</f>
        <v>168.53822544682131</v>
      </c>
      <c r="AB11" s="754">
        <f>Z11-V11</f>
        <v>93732.198884999991</v>
      </c>
      <c r="AC11" s="749"/>
      <c r="AD11" s="754">
        <f>M11+T11+X11</f>
        <v>-1733.4188849999969</v>
      </c>
      <c r="AG11" s="779"/>
    </row>
    <row r="12" spans="1:34" s="743" customFormat="1">
      <c r="A12" s="743" t="s">
        <v>272</v>
      </c>
      <c r="C12" s="752">
        <f>VLOOKUP(A12,'305 Inputs'!$E$116:$I$142,5,FALSE)</f>
        <v>159693.47</v>
      </c>
      <c r="D12" s="746"/>
      <c r="E12" s="753">
        <f>-2390.28-1032.73</f>
        <v>-3423.01</v>
      </c>
      <c r="F12" s="753"/>
      <c r="G12" s="753">
        <f>-2390.28</f>
        <v>-2390.2800000000002</v>
      </c>
      <c r="H12" s="753"/>
      <c r="I12" s="753">
        <f>-1032.73</f>
        <v>-1032.73</v>
      </c>
      <c r="J12" s="753"/>
      <c r="K12" s="753">
        <f>-'WA HDS Revenue'!D38</f>
        <v>-1087.44</v>
      </c>
      <c r="L12" s="752"/>
      <c r="M12" s="753">
        <f>-147.16--752.96</f>
        <v>605.80000000000007</v>
      </c>
      <c r="N12" s="752"/>
      <c r="O12" s="752">
        <f t="shared" si="8"/>
        <v>156821.54999999999</v>
      </c>
      <c r="P12" s="752"/>
      <c r="Q12" s="753">
        <v>156877.14000000001</v>
      </c>
      <c r="R12" s="752"/>
      <c r="S12" s="743">
        <f t="shared" ref="S12" si="9">ROUND(Q12/O12*100,3)-100</f>
        <v>3.4999999999996589E-2</v>
      </c>
      <c r="T12" s="754">
        <f t="shared" ref="T12:T13" si="10">Q12-O12</f>
        <v>55.590000000025611</v>
      </c>
      <c r="U12" s="748">
        <f t="shared" ref="U12:U13" si="11">IF(ABS(S12)&lt;=0.5,0,IF(O12&gt;Q12,(O12*0.995)-Q12,(O12*1.005)-Q12))</f>
        <v>0</v>
      </c>
      <c r="V12" s="753">
        <f>'Pages 4-11, All Other Schedules'!H39</f>
        <v>156872.52000000002</v>
      </c>
      <c r="W12" s="755">
        <f t="shared" ref="W12" si="12">((V12-O12)/O12)*100</f>
        <v>3.2501910611156613E-2</v>
      </c>
      <c r="X12" s="754">
        <f t="shared" ref="X12:X13" si="13">V12-Q12</f>
        <v>-4.6199999999953434</v>
      </c>
      <c r="Y12" s="749"/>
      <c r="Z12" s="753">
        <f>'Pages 4-11, All Other Schedules'!E38</f>
        <v>0</v>
      </c>
      <c r="AA12" s="749">
        <f t="shared" ref="AA12" si="14">((Z12-V12)/V12)*100</f>
        <v>-100</v>
      </c>
      <c r="AB12" s="754">
        <f t="shared" ref="AB12:AB13" si="15">Z12-V12</f>
        <v>-156872.52000000002</v>
      </c>
      <c r="AC12" s="749"/>
      <c r="AD12" s="754">
        <f t="shared" si="7"/>
        <v>656.77000000003034</v>
      </c>
      <c r="AG12" s="779"/>
    </row>
    <row r="13" spans="1:34" s="743" customFormat="1">
      <c r="A13" s="743" t="s">
        <v>763</v>
      </c>
      <c r="C13" s="752">
        <f>VLOOKUP(A13,'305 Inputs'!$E$116:$I$142,5,FALSE)</f>
        <v>120901</v>
      </c>
      <c r="D13" s="746"/>
      <c r="E13" s="753">
        <f>-3017.09</f>
        <v>-3017.09</v>
      </c>
      <c r="F13" s="753"/>
      <c r="G13" s="753">
        <f>-2284.06-217.71-2.19</f>
        <v>-2503.96</v>
      </c>
      <c r="H13" s="753"/>
      <c r="I13" s="753">
        <f>-0.46-468.77-43.9</f>
        <v>-513.13</v>
      </c>
      <c r="J13" s="753"/>
      <c r="K13" s="753">
        <f>-'WA HDS Revenue'!D34+-'WA HDS Revenue'!D35+-'WA HDS Revenue'!D37+-'WA HDS Revenue'!D43</f>
        <v>-507.64000000000004</v>
      </c>
      <c r="L13" s="752"/>
      <c r="M13" s="753">
        <f>-17.84+316.39</f>
        <v>298.55</v>
      </c>
      <c r="N13" s="752"/>
      <c r="O13" s="752">
        <f t="shared" si="8"/>
        <v>118187.95</v>
      </c>
      <c r="P13" s="752"/>
      <c r="Q13" s="753">
        <f>118188.1</f>
        <v>118188.1</v>
      </c>
      <c r="R13" s="752"/>
      <c r="S13" s="775">
        <f>ROUND(Q13/O13*100,3)-100</f>
        <v>0</v>
      </c>
      <c r="T13" s="754">
        <f t="shared" si="10"/>
        <v>0.15000000000873115</v>
      </c>
      <c r="U13" s="748">
        <f t="shared" si="11"/>
        <v>0</v>
      </c>
      <c r="V13" s="753">
        <f>'Pages 4-11, All Other Schedules'!H263-Q21-Temperature!V75*1000</f>
        <v>272494.58</v>
      </c>
      <c r="W13" s="755">
        <f>((V13-O13)/O13)*100</f>
        <v>130.56037438672894</v>
      </c>
      <c r="X13" s="754">
        <f t="shared" si="13"/>
        <v>154306.48000000001</v>
      </c>
      <c r="Y13" s="749"/>
      <c r="Z13" s="753">
        <v>31869846</v>
      </c>
      <c r="AA13" s="749">
        <f>((Z13-V13)/V13)*100</f>
        <v>11595.588954466544</v>
      </c>
      <c r="AB13" s="754">
        <f t="shared" si="15"/>
        <v>31597351.420000002</v>
      </c>
      <c r="AC13" s="749"/>
      <c r="AD13" s="754">
        <f t="shared" si="7"/>
        <v>154605.18000000002</v>
      </c>
      <c r="AE13" s="992" t="s">
        <v>31</v>
      </c>
      <c r="AF13" s="749"/>
      <c r="AG13" s="779"/>
      <c r="AH13" s="749"/>
    </row>
    <row r="14" spans="1:34" s="130" customFormat="1">
      <c r="A14" s="130" t="s">
        <v>273</v>
      </c>
      <c r="C14" s="139">
        <f>SUM(C7:C13)</f>
        <v>137770509.77000004</v>
      </c>
      <c r="D14" s="127"/>
      <c r="E14" s="139">
        <f>SUM(E7:E13)</f>
        <v>-4769080.5200000005</v>
      </c>
      <c r="F14" s="139"/>
      <c r="G14" s="139">
        <f>SUM(G7:G13)</f>
        <v>-3936410.87</v>
      </c>
      <c r="H14" s="139"/>
      <c r="I14" s="139">
        <f>SUM(I7:I13)</f>
        <v>-832669.65</v>
      </c>
      <c r="J14" s="139"/>
      <c r="K14" s="139">
        <f>SUM(K7:K13)</f>
        <v>-862767.08</v>
      </c>
      <c r="L14" s="139"/>
      <c r="M14" s="139">
        <f>SUM(M7:M13)</f>
        <v>2856.3999999999996</v>
      </c>
      <c r="N14" s="139"/>
      <c r="O14" s="139">
        <f>SUM(O7:O13)</f>
        <v>132974188.22000001</v>
      </c>
      <c r="P14" s="139"/>
      <c r="Q14" s="139">
        <f>SUM(Q7:Q13)</f>
        <v>133089085.53403904</v>
      </c>
      <c r="R14" s="139"/>
      <c r="S14" s="130">
        <f t="shared" si="0"/>
        <v>8.5999999999998522E-2</v>
      </c>
      <c r="T14" s="148">
        <f t="shared" si="1"/>
        <v>114897.31403902173</v>
      </c>
      <c r="U14" s="134">
        <f t="shared" si="2"/>
        <v>0</v>
      </c>
      <c r="V14" s="132">
        <f>SUM(V7:V13)</f>
        <v>135199932.80000004</v>
      </c>
      <c r="W14" s="756">
        <f t="shared" si="3"/>
        <v>1.6738170089954829</v>
      </c>
      <c r="X14" s="148">
        <f t="shared" si="4"/>
        <v>2110847.2659610063</v>
      </c>
      <c r="Y14" s="135"/>
      <c r="Z14" s="132" t="e">
        <f>SUM(Z7:Z12)</f>
        <v>#REF!</v>
      </c>
      <c r="AA14" s="135" t="e">
        <f t="shared" si="5"/>
        <v>#REF!</v>
      </c>
      <c r="AB14" s="148" t="e">
        <f t="shared" si="6"/>
        <v>#REF!</v>
      </c>
      <c r="AC14" s="135"/>
      <c r="AD14" s="148">
        <f>SUM(AD7:AD13)</f>
        <v>2228600.9799999855</v>
      </c>
      <c r="AE14" s="135"/>
      <c r="AG14" s="135"/>
    </row>
    <row r="15" spans="1:34" s="130" customFormat="1">
      <c r="C15" s="139"/>
      <c r="D15" s="127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T15" s="135"/>
      <c r="U15" s="134"/>
      <c r="V15" s="134"/>
      <c r="W15" s="135"/>
      <c r="X15" s="135"/>
      <c r="Y15" s="135"/>
      <c r="Z15" s="134"/>
      <c r="AA15" s="135"/>
      <c r="AB15" s="135"/>
      <c r="AC15" s="135"/>
      <c r="AD15" s="135"/>
      <c r="AE15" s="135"/>
      <c r="AG15" s="135"/>
    </row>
    <row r="16" spans="1:34" s="130" customFormat="1">
      <c r="C16" s="139"/>
      <c r="D16" s="127"/>
      <c r="E16" s="142" t="s">
        <v>31</v>
      </c>
      <c r="F16" s="142"/>
      <c r="G16" s="142" t="s">
        <v>31</v>
      </c>
      <c r="H16" s="142"/>
      <c r="I16" s="142" t="s">
        <v>31</v>
      </c>
      <c r="J16" s="142"/>
      <c r="K16" s="142" t="s">
        <v>31</v>
      </c>
      <c r="L16" s="142"/>
      <c r="M16" s="139"/>
      <c r="N16" s="139"/>
      <c r="O16" s="139"/>
      <c r="P16" s="139"/>
      <c r="Q16" s="139"/>
      <c r="R16" s="139"/>
      <c r="T16" s="135"/>
      <c r="U16" s="134"/>
      <c r="V16" s="134"/>
      <c r="W16" s="135"/>
      <c r="X16" s="135"/>
      <c r="Y16" s="135"/>
      <c r="Z16" s="134"/>
      <c r="AA16" s="135"/>
      <c r="AB16" s="135"/>
      <c r="AC16" s="135"/>
      <c r="AD16" s="135"/>
      <c r="AE16" s="135"/>
      <c r="AG16" s="135"/>
    </row>
    <row r="17" spans="1:34" s="130" customFormat="1">
      <c r="A17" s="130" t="s">
        <v>274</v>
      </c>
      <c r="C17" s="139"/>
      <c r="D17" s="127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T17" s="135"/>
      <c r="U17" s="134"/>
      <c r="V17" s="134"/>
      <c r="W17" s="135"/>
      <c r="X17" s="135"/>
      <c r="Y17" s="135"/>
      <c r="Z17" s="134"/>
      <c r="AA17" s="135"/>
      <c r="AB17" s="135"/>
      <c r="AC17" s="135"/>
      <c r="AD17" s="135"/>
      <c r="AE17" s="135"/>
      <c r="AG17" s="135"/>
    </row>
    <row r="18" spans="1:34" s="743" customFormat="1">
      <c r="A18" s="743" t="s">
        <v>51</v>
      </c>
      <c r="C18" s="752">
        <f>VLOOKUP(A18,'305 Inputs'!$E$7:$I$43,5,FALSE)+'305 Inputs'!I29</f>
        <v>44660322.850000001</v>
      </c>
      <c r="D18" s="746"/>
      <c r="E18" s="753">
        <f>-1556689.2</f>
        <v>-1556689.2</v>
      </c>
      <c r="F18" s="753"/>
      <c r="G18" s="753">
        <f>-1280177.72</f>
        <v>-1280177.72</v>
      </c>
      <c r="H18" s="753"/>
      <c r="I18" s="753">
        <f>-276511.48</f>
        <v>-276511.48</v>
      </c>
      <c r="J18" s="753"/>
      <c r="K18" s="753">
        <f>-'WA HDS Revenue'!D3+-'WA HDS Revenue'!D6+-'WA HDS Revenue'!D16+-'WA HDS Revenue'!D2</f>
        <v>-279716.39</v>
      </c>
      <c r="L18" s="752"/>
      <c r="M18" s="753">
        <f>-25242.43+48538.03</f>
        <v>23295.599999999999</v>
      </c>
      <c r="N18" s="752"/>
      <c r="O18" s="752">
        <f>C18+G18+K18+M18</f>
        <v>43123724.340000004</v>
      </c>
      <c r="P18" s="752"/>
      <c r="Q18" s="753">
        <f>43141477.34</f>
        <v>43141477.340000004</v>
      </c>
      <c r="R18" s="752"/>
      <c r="S18" s="775">
        <f>ROUND(Q18/O18*100,3)-100</f>
        <v>4.0999999999996817E-2</v>
      </c>
      <c r="T18" s="754">
        <f t="shared" ref="T18:T28" si="16">Q18-O18</f>
        <v>17753</v>
      </c>
      <c r="U18" s="748">
        <f t="shared" ref="U18:U28" si="17">IF(ABS(S18)&lt;=0.5,0,IF(O18&gt;Q18,(O18*0.995)-Q18,(O18*1.005)-Q18))</f>
        <v>0</v>
      </c>
      <c r="V18" s="753">
        <f>'Pages 4-11, All Other Schedules'!H298-Q26-Temperature!I75*1000</f>
        <v>43598275.219999999</v>
      </c>
      <c r="W18" s="755">
        <f>((V18-O18)/O18)*100</f>
        <v>1.100440389282006</v>
      </c>
      <c r="X18" s="754">
        <f t="shared" ref="X18:X28" si="18">V18-Q18</f>
        <v>456797.87999999523</v>
      </c>
      <c r="Y18" s="749"/>
      <c r="Z18" s="753">
        <v>31869846</v>
      </c>
      <c r="AA18" s="749">
        <f>((Z18-V18)/V18)*100</f>
        <v>-26.901131204887147</v>
      </c>
      <c r="AB18" s="754">
        <f t="shared" ref="AB18:AB28" si="19">Z18-V18</f>
        <v>-11728429.219999999</v>
      </c>
      <c r="AC18" s="749"/>
      <c r="AD18" s="754">
        <f t="shared" ref="AD18:AD23" si="20">M18+T18+X18</f>
        <v>497846.47999999521</v>
      </c>
      <c r="AE18" s="992" t="s">
        <v>31</v>
      </c>
      <c r="AF18" s="749"/>
      <c r="AG18" s="779"/>
      <c r="AH18" s="749"/>
    </row>
    <row r="19" spans="1:34" s="743" customFormat="1">
      <c r="A19" s="743" t="s">
        <v>52</v>
      </c>
      <c r="C19" s="752">
        <f>VLOOKUP(A19,'305 Inputs'!$E$7:$I$43,5,FALSE)+'305 Inputs'!I37</f>
        <v>158370.43000000002</v>
      </c>
      <c r="D19" s="746"/>
      <c r="E19" s="753">
        <f>-378-81.2-2731.44-587.58</f>
        <v>-3778.22</v>
      </c>
      <c r="F19" s="753"/>
      <c r="G19" s="753">
        <f>-378-2731.44</f>
        <v>-3109.44</v>
      </c>
      <c r="H19" s="753"/>
      <c r="I19" s="753">
        <f>-81.2-587.58</f>
        <v>-668.78000000000009</v>
      </c>
      <c r="J19" s="753"/>
      <c r="K19" s="753">
        <f>-'WA HDS Revenue'!D7+-'WA HDS Revenue'!D4</f>
        <v>-680.57999999999993</v>
      </c>
      <c r="L19" s="752"/>
      <c r="M19" s="753">
        <f>1329.86+15.46-1268.39-15.22</f>
        <v>61.709999999999837</v>
      </c>
      <c r="N19" s="752"/>
      <c r="O19" s="752">
        <f>C19+G19+K19+M19</f>
        <v>154642.12000000002</v>
      </c>
      <c r="P19" s="752"/>
      <c r="Q19" s="753">
        <f>15665.03+121743.42</f>
        <v>137408.45000000001</v>
      </c>
      <c r="R19" s="752"/>
      <c r="S19" s="775">
        <f>ROUND(Q19/O19*100,3)-100</f>
        <v>-11.144000000000005</v>
      </c>
      <c r="T19" s="754">
        <f t="shared" si="16"/>
        <v>-17233.670000000013</v>
      </c>
      <c r="U19" s="748">
        <f t="shared" si="17"/>
        <v>16460.459400000022</v>
      </c>
      <c r="V19" s="753">
        <f>'Pages 4-11, All Other Schedules'!H402</f>
        <v>156864</v>
      </c>
      <c r="W19" s="755">
        <f>((V19-O19)/O19)*100</f>
        <v>1.4367883730512587</v>
      </c>
      <c r="X19" s="754">
        <f t="shared" si="18"/>
        <v>19455.549999999988</v>
      </c>
      <c r="Y19" s="749"/>
      <c r="Z19" s="753">
        <v>139779</v>
      </c>
      <c r="AA19" s="749">
        <f>((Z19-V19)/V19)*100</f>
        <v>-10.891600367197062</v>
      </c>
      <c r="AB19" s="754">
        <f t="shared" si="19"/>
        <v>-17085</v>
      </c>
      <c r="AC19" s="749"/>
      <c r="AD19" s="754">
        <f t="shared" si="20"/>
        <v>2283.5899999999747</v>
      </c>
      <c r="AG19" s="779"/>
    </row>
    <row r="20" spans="1:34" s="743" customFormat="1">
      <c r="A20" s="966" t="s">
        <v>300</v>
      </c>
      <c r="C20" s="752">
        <f>VLOOKUP(A20,'305 Inputs'!$E$7:$I$43,5,FALSE)</f>
        <v>102482.64</v>
      </c>
      <c r="D20" s="746"/>
      <c r="E20" s="753">
        <f>-10.79-849.97-2.25-169.99</f>
        <v>-1033</v>
      </c>
      <c r="F20" s="753"/>
      <c r="G20" s="753">
        <f>-10.79-849.97</f>
        <v>-860.76</v>
      </c>
      <c r="H20" s="753"/>
      <c r="I20" s="753">
        <f>-2.25-169.99</f>
        <v>-172.24</v>
      </c>
      <c r="J20" s="753"/>
      <c r="K20" s="753">
        <f>-'WA HDS Revenue'!D5</f>
        <v>-177.96</v>
      </c>
      <c r="L20" s="752"/>
      <c r="M20" s="753">
        <f>-815.69--1073.39</f>
        <v>257.70000000000005</v>
      </c>
      <c r="N20" s="752"/>
      <c r="O20" s="752">
        <f>C20+G20+K20+M20</f>
        <v>101701.62</v>
      </c>
      <c r="P20" s="752"/>
      <c r="Q20" s="753">
        <f>508.72+113137.44</f>
        <v>113646.16</v>
      </c>
      <c r="R20" s="752"/>
      <c r="S20" s="775">
        <f>ROUND(Q20/O20*100,3)-100</f>
        <v>11.745000000000005</v>
      </c>
      <c r="T20" s="754">
        <f t="shared" si="16"/>
        <v>11944.540000000008</v>
      </c>
      <c r="U20" s="748">
        <f t="shared" si="17"/>
        <v>-11436.031900000016</v>
      </c>
      <c r="V20" s="753">
        <f>'Pages 4-11, All Other Schedules'!H508</f>
        <v>119617</v>
      </c>
      <c r="W20" s="755">
        <f>((V20-O20)/O20)*100</f>
        <v>17.615628934917659</v>
      </c>
      <c r="X20" s="754">
        <f t="shared" si="18"/>
        <v>5970.8399999999965</v>
      </c>
      <c r="Y20" s="749"/>
      <c r="Z20" s="753">
        <v>112893</v>
      </c>
      <c r="AA20" s="749">
        <f>((Z20-V20)/V20)*100</f>
        <v>-5.6212745679961884</v>
      </c>
      <c r="AB20" s="754">
        <f t="shared" si="19"/>
        <v>-6724</v>
      </c>
      <c r="AC20" s="749"/>
      <c r="AD20" s="754">
        <f t="shared" si="20"/>
        <v>18173.080000000005</v>
      </c>
      <c r="AG20" s="779"/>
    </row>
    <row r="21" spans="1:34" s="130" customFormat="1">
      <c r="A21" s="130" t="s">
        <v>275</v>
      </c>
      <c r="C21" s="139">
        <v>0</v>
      </c>
      <c r="D21" s="127"/>
      <c r="E21" s="147">
        <v>0</v>
      </c>
      <c r="F21" s="147"/>
      <c r="G21" s="147">
        <v>0</v>
      </c>
      <c r="H21" s="147"/>
      <c r="I21" s="147">
        <v>0</v>
      </c>
      <c r="J21" s="147"/>
      <c r="K21" s="147">
        <v>0</v>
      </c>
      <c r="L21" s="139"/>
      <c r="M21" s="147">
        <v>0</v>
      </c>
      <c r="N21" s="139"/>
      <c r="O21" s="139">
        <f t="shared" ref="O21" si="21">C21+E21+M21</f>
        <v>0</v>
      </c>
      <c r="P21" s="139"/>
      <c r="Q21" s="147">
        <v>0</v>
      </c>
      <c r="R21" s="139"/>
      <c r="S21" s="149">
        <v>0</v>
      </c>
      <c r="T21" s="148">
        <f t="shared" si="16"/>
        <v>0</v>
      </c>
      <c r="U21" s="134">
        <f t="shared" si="17"/>
        <v>0</v>
      </c>
      <c r="V21" s="147">
        <v>0</v>
      </c>
      <c r="W21" s="756">
        <v>0</v>
      </c>
      <c r="X21" s="148">
        <f t="shared" si="18"/>
        <v>0</v>
      </c>
      <c r="Y21" s="135"/>
      <c r="Z21" s="147">
        <v>0</v>
      </c>
      <c r="AA21" s="135">
        <v>0</v>
      </c>
      <c r="AB21" s="148">
        <f t="shared" si="19"/>
        <v>0</v>
      </c>
      <c r="AC21" s="135"/>
      <c r="AD21" s="148">
        <f>M21+T21</f>
        <v>0</v>
      </c>
      <c r="AG21" s="961"/>
    </row>
    <row r="22" spans="1:34" s="743" customFormat="1">
      <c r="A22" s="743" t="s">
        <v>53</v>
      </c>
      <c r="C22" s="752">
        <f>VLOOKUP(A22,'305 Inputs'!$E$7:$I$43,5,FALSE)+'305 Inputs'!I33</f>
        <v>54272654.799999997</v>
      </c>
      <c r="D22" s="746"/>
      <c r="E22" s="753">
        <f>-633.1-88901.25-71636.38-7521.06-25466.37-8039.07-561723.76-772337.54-139.81-18680.45-15042.9-1591.57-5308.65-1625.5-117003.93-160605.9</f>
        <v>-1856257.2399999998</v>
      </c>
      <c r="F22" s="753"/>
      <c r="G22" s="753">
        <f>-633.1-88901.25-71636.38-7521.06-25466.37-8039.07-561723.76-772337.54</f>
        <v>-1536258.53</v>
      </c>
      <c r="H22" s="753"/>
      <c r="I22" s="753">
        <f>-139.81-18680.45-15042.9-1591.57-5308.65-1625.5-117003.93-160605.9</f>
        <v>-319998.70999999996</v>
      </c>
      <c r="J22" s="753"/>
      <c r="K22" s="753">
        <f>-'WA HDS Revenue'!D8+-'WA HDS Revenue'!D9</f>
        <v>-336575.22000000003</v>
      </c>
      <c r="L22" s="752"/>
      <c r="M22" s="753">
        <f>3743.97+569.78+49009.53+37979.81-66500.46-74171.54-4196.58--65713.19--62643.58--3069.42</f>
        <v>77860.7</v>
      </c>
      <c r="N22" s="752"/>
      <c r="O22" s="752">
        <f t="shared" ref="O22:O27" si="22">C22+G22+K22+M22</f>
        <v>52477681.75</v>
      </c>
      <c r="P22" s="752"/>
      <c r="Q22" s="753">
        <f>28270.01+3128977.44+2263996.92+248745.78+860647.81+337658.02+20360114.23+25259767.58</f>
        <v>52488177.789999999</v>
      </c>
      <c r="R22" s="752"/>
      <c r="S22" s="775">
        <f t="shared" ref="S22:S28" si="23">ROUND(Q22/O22*100,3)-100</f>
        <v>1.9999999999996021E-2</v>
      </c>
      <c r="T22" s="754">
        <f t="shared" si="16"/>
        <v>10496.039999999106</v>
      </c>
      <c r="U22" s="748">
        <f t="shared" si="17"/>
        <v>0</v>
      </c>
      <c r="V22" s="753">
        <f>'Pages 4-11, All Other Schedules'!H663-Q27</f>
        <v>53113319.630000003</v>
      </c>
      <c r="W22" s="755">
        <f t="shared" ref="W22:W28" si="24">((V22-O22)/O22)*100</f>
        <v>1.2112537345459296</v>
      </c>
      <c r="X22" s="963">
        <f t="shared" si="18"/>
        <v>625141.84000000358</v>
      </c>
      <c r="Y22" s="749"/>
      <c r="Z22" s="753">
        <f>'Pages 4-11, All Other Schedules'!E663</f>
        <v>46496821</v>
      </c>
      <c r="AA22" s="749">
        <f t="shared" ref="AA22:AA28" si="25">((Z22-V22)/V22)*100</f>
        <v>-12.457324595962186</v>
      </c>
      <c r="AB22" s="754">
        <f t="shared" si="19"/>
        <v>-6616498.6300000027</v>
      </c>
      <c r="AC22" s="749"/>
      <c r="AD22" s="754">
        <f t="shared" si="20"/>
        <v>713498.58000000264</v>
      </c>
      <c r="AG22" s="779"/>
    </row>
    <row r="23" spans="1:34" s="743" customFormat="1">
      <c r="A23" s="743" t="s">
        <v>54</v>
      </c>
      <c r="C23" s="752">
        <f>VLOOKUP(A23,'305 Inputs'!$E$7:$I$43,5,FALSE)</f>
        <v>9243532.3200000003</v>
      </c>
      <c r="D23" s="746"/>
      <c r="E23" s="753">
        <f>-97775.68-138421.48-21533.11-30538.97</f>
        <v>-288269.24</v>
      </c>
      <c r="F23" s="753"/>
      <c r="G23" s="753">
        <f>-97775.68-138421.48</f>
        <v>-236197.16</v>
      </c>
      <c r="H23" s="753"/>
      <c r="I23" s="753">
        <f>-21533.11-30538.97</f>
        <v>-52072.08</v>
      </c>
      <c r="J23" s="753"/>
      <c r="K23" s="753">
        <f>-'WA HDS Revenue'!D10</f>
        <v>-52409.64</v>
      </c>
      <c r="L23" s="752"/>
      <c r="M23" s="753">
        <f>85561.67-47425.29</f>
        <v>38136.379999999997</v>
      </c>
      <c r="N23" s="752"/>
      <c r="O23" s="752">
        <f t="shared" si="22"/>
        <v>8993061.9000000004</v>
      </c>
      <c r="P23" s="752"/>
      <c r="Q23" s="753">
        <f>3640763.68+5336750.71</f>
        <v>8977514.3900000006</v>
      </c>
      <c r="R23" s="752"/>
      <c r="S23" s="775">
        <f t="shared" si="23"/>
        <v>-0.17300000000000182</v>
      </c>
      <c r="T23" s="754">
        <f t="shared" si="16"/>
        <v>-15547.509999999776</v>
      </c>
      <c r="U23" s="748">
        <f t="shared" si="17"/>
        <v>0</v>
      </c>
      <c r="V23" s="753">
        <f>'Pages 4-11, All Other Schedules'!H1051</f>
        <v>9106637</v>
      </c>
      <c r="W23" s="755">
        <f t="shared" si="24"/>
        <v>1.2629191399205162</v>
      </c>
      <c r="X23" s="754">
        <f t="shared" si="18"/>
        <v>129122.6099999994</v>
      </c>
      <c r="Y23" s="749"/>
      <c r="Z23" s="753">
        <v>7698008</v>
      </c>
      <c r="AA23" s="749">
        <f t="shared" si="25"/>
        <v>-15.468158003882223</v>
      </c>
      <c r="AB23" s="754">
        <f t="shared" si="19"/>
        <v>-1408629</v>
      </c>
      <c r="AC23" s="749"/>
      <c r="AD23" s="754">
        <f t="shared" si="20"/>
        <v>151711.47999999963</v>
      </c>
      <c r="AG23" s="779"/>
    </row>
    <row r="24" spans="1:34" s="743" customFormat="1">
      <c r="A24" s="743" t="s">
        <v>55</v>
      </c>
      <c r="C24" s="752">
        <f>VLOOKUP(A24,'305 Inputs'!$E$7:$I$43,5,FALSE)+'305 Inputs'!I35</f>
        <v>314843.56</v>
      </c>
      <c r="D24" s="746"/>
      <c r="E24" s="753">
        <f>-3617.72-1309.7-1590.27-569.98</f>
        <v>-7087.67</v>
      </c>
      <c r="F24" s="753"/>
      <c r="G24" s="753">
        <f>-3617.72-1309.7</f>
        <v>-4927.42</v>
      </c>
      <c r="H24" s="753"/>
      <c r="I24" s="753">
        <f>-1590.27-569.98</f>
        <v>-2160.25</v>
      </c>
      <c r="J24" s="753"/>
      <c r="K24" s="753">
        <f>-'WA HDS Revenue'!D13+-'WA HDS Revenue'!D14</f>
        <v>-2266.84</v>
      </c>
      <c r="L24" s="752"/>
      <c r="M24" s="753">
        <f>263.65+67.22-159.36-26.8</f>
        <v>144.70999999999998</v>
      </c>
      <c r="N24" s="752"/>
      <c r="O24" s="752">
        <f t="shared" si="22"/>
        <v>307794.01</v>
      </c>
      <c r="P24" s="752"/>
      <c r="Q24" s="753">
        <f>221821.62+85922.89</f>
        <v>307744.51</v>
      </c>
      <c r="R24" s="752"/>
      <c r="S24" s="775">
        <f t="shared" si="23"/>
        <v>-1.6000000000005343E-2</v>
      </c>
      <c r="T24" s="754">
        <f t="shared" si="16"/>
        <v>-49.5</v>
      </c>
      <c r="U24" s="748">
        <f t="shared" si="17"/>
        <v>0</v>
      </c>
      <c r="V24" s="753">
        <f>'Pages 4-11, All Other Schedules'!H57</f>
        <v>307753.92000000004</v>
      </c>
      <c r="W24" s="755">
        <f t="shared" si="24"/>
        <v>-1.3024944832411588E-2</v>
      </c>
      <c r="X24" s="754">
        <f t="shared" si="18"/>
        <v>9.4100000000325963</v>
      </c>
      <c r="Y24" s="749"/>
      <c r="Z24" s="753">
        <v>296573</v>
      </c>
      <c r="AA24" s="749">
        <f t="shared" si="25"/>
        <v>-3.6330715137600977</v>
      </c>
      <c r="AB24" s="754">
        <f t="shared" si="19"/>
        <v>-11180.920000000042</v>
      </c>
      <c r="AC24" s="749"/>
      <c r="AD24" s="754">
        <f>M24+T24+X24</f>
        <v>104.62000000003258</v>
      </c>
      <c r="AG24" s="779"/>
    </row>
    <row r="25" spans="1:34" s="743" customFormat="1">
      <c r="A25" s="743" t="s">
        <v>56</v>
      </c>
      <c r="C25" s="752">
        <f>VLOOKUP(A25,'305 Inputs'!$E$7:$I$43,5,FALSE)</f>
        <v>25692.84</v>
      </c>
      <c r="D25" s="746"/>
      <c r="E25" s="753">
        <f>-214.8-572.66-50.08-125.02</f>
        <v>-962.56000000000006</v>
      </c>
      <c r="F25" s="753"/>
      <c r="G25" s="753">
        <f>-214.8-572.66</f>
        <v>-787.46</v>
      </c>
      <c r="H25" s="753"/>
      <c r="I25" s="753">
        <f>-50.08-125.02</f>
        <v>-175.1</v>
      </c>
      <c r="J25" s="753"/>
      <c r="K25" s="753">
        <f>-'WA HDS Revenue'!D15</f>
        <v>-182.6</v>
      </c>
      <c r="L25" s="752"/>
      <c r="M25" s="753">
        <f>7.5+7.76+60.9</f>
        <v>76.16</v>
      </c>
      <c r="N25" s="752"/>
      <c r="O25" s="752">
        <f t="shared" si="22"/>
        <v>24798.940000000002</v>
      </c>
      <c r="P25" s="752"/>
      <c r="Q25" s="753">
        <f>6930.76+17867.74</f>
        <v>24798.5</v>
      </c>
      <c r="R25" s="752"/>
      <c r="S25" s="775">
        <f t="shared" si="23"/>
        <v>-1.9999999999953388E-3</v>
      </c>
      <c r="T25" s="754">
        <f t="shared" si="16"/>
        <v>-0.44000000000232831</v>
      </c>
      <c r="U25" s="748">
        <f t="shared" si="17"/>
        <v>0</v>
      </c>
      <c r="V25" s="753">
        <f>'Pages 4-11, All Other Schedules'!H1195</f>
        <v>24799</v>
      </c>
      <c r="W25" s="755">
        <f t="shared" si="24"/>
        <v>2.4194582509442616E-4</v>
      </c>
      <c r="X25" s="754">
        <f t="shared" si="18"/>
        <v>0.5</v>
      </c>
      <c r="Y25" s="749"/>
      <c r="Z25" s="753">
        <v>18590</v>
      </c>
      <c r="AA25" s="749">
        <f t="shared" si="25"/>
        <v>-25.037299891124643</v>
      </c>
      <c r="AB25" s="754">
        <f t="shared" si="19"/>
        <v>-6209</v>
      </c>
      <c r="AC25" s="749"/>
      <c r="AD25" s="754">
        <f>M25+T25+X25</f>
        <v>76.219999999997668</v>
      </c>
      <c r="AG25" s="779"/>
    </row>
    <row r="26" spans="1:34" s="743" customFormat="1">
      <c r="A26" s="743" t="s">
        <v>220</v>
      </c>
      <c r="C26" s="752">
        <f>VLOOKUP(A26,'305 Inputs'!$E$7:$I$43,5,FALSE)</f>
        <v>37584.519999999997</v>
      </c>
      <c r="D26" s="746"/>
      <c r="E26" s="753">
        <f>-1368.32</f>
        <v>-1368.32</v>
      </c>
      <c r="F26" s="753"/>
      <c r="G26" s="753">
        <f>-1123.1</f>
        <v>-1123.0999999999999</v>
      </c>
      <c r="H26" s="753"/>
      <c r="I26" s="753">
        <f>-245.22</f>
        <v>-245.22</v>
      </c>
      <c r="J26" s="753"/>
      <c r="K26" s="753">
        <f>-'WA HDS Revenue'!D11</f>
        <v>-250.04</v>
      </c>
      <c r="L26" s="752"/>
      <c r="M26" s="753">
        <f>--1939.25</f>
        <v>1939.25</v>
      </c>
      <c r="N26" s="752"/>
      <c r="O26" s="752">
        <f t="shared" si="22"/>
        <v>38150.629999999997</v>
      </c>
      <c r="P26" s="752"/>
      <c r="Q26" s="753">
        <f>38150.75</f>
        <v>38150.75</v>
      </c>
      <c r="R26" s="752"/>
      <c r="S26" s="775">
        <f t="shared" si="23"/>
        <v>0</v>
      </c>
      <c r="T26" s="754">
        <f t="shared" si="16"/>
        <v>0.12000000000261934</v>
      </c>
      <c r="U26" s="748">
        <f t="shared" si="17"/>
        <v>0</v>
      </c>
      <c r="V26" s="753">
        <f>Q26</f>
        <v>38150.75</v>
      </c>
      <c r="W26" s="755">
        <f t="shared" si="24"/>
        <v>3.1454264320830184E-4</v>
      </c>
      <c r="X26" s="754">
        <f t="shared" si="18"/>
        <v>0</v>
      </c>
      <c r="Y26" s="749"/>
      <c r="Z26" s="753">
        <v>515</v>
      </c>
      <c r="AA26" s="749">
        <f t="shared" si="25"/>
        <v>-98.650092068963261</v>
      </c>
      <c r="AB26" s="754">
        <f t="shared" si="19"/>
        <v>-37635.75</v>
      </c>
      <c r="AC26" s="749"/>
      <c r="AD26" s="754">
        <f>M26+T26+X26</f>
        <v>1939.3700000000026</v>
      </c>
    </row>
    <row r="27" spans="1:34" s="743" customFormat="1">
      <c r="A27" s="743" t="s">
        <v>699</v>
      </c>
      <c r="C27" s="752">
        <f>VLOOKUP(A27,'305 Inputs'!$E$7:$I$43,5,FALSE)</f>
        <v>11103.2</v>
      </c>
      <c r="D27" s="746"/>
      <c r="E27" s="753">
        <f>-202.7-43.97</f>
        <v>-246.67</v>
      </c>
      <c r="F27" s="753"/>
      <c r="G27" s="753">
        <f>-202.7</f>
        <v>-202.7</v>
      </c>
      <c r="H27" s="753"/>
      <c r="I27" s="753">
        <f>-43.97</f>
        <v>-43.97</v>
      </c>
      <c r="J27" s="753"/>
      <c r="K27" s="753">
        <f>-'WA HDS Revenue'!D12</f>
        <v>-45.48</v>
      </c>
      <c r="L27" s="752"/>
      <c r="M27" s="753">
        <v>0</v>
      </c>
      <c r="N27" s="752"/>
      <c r="O27" s="752">
        <f t="shared" si="22"/>
        <v>10855.02</v>
      </c>
      <c r="P27" s="752"/>
      <c r="Q27" s="753">
        <f>10876.37</f>
        <v>10876.37</v>
      </c>
      <c r="R27" s="752"/>
      <c r="S27" s="775">
        <f t="shared" si="23"/>
        <v>0.19700000000000273</v>
      </c>
      <c r="T27" s="754">
        <f t="shared" si="16"/>
        <v>21.350000000000364</v>
      </c>
      <c r="U27" s="748">
        <f t="shared" si="17"/>
        <v>0</v>
      </c>
      <c r="V27" s="753">
        <f>Q27</f>
        <v>10876.37</v>
      </c>
      <c r="W27" s="755">
        <f t="shared" si="24"/>
        <v>0.19668319358232747</v>
      </c>
      <c r="X27" s="754">
        <f t="shared" si="18"/>
        <v>0</v>
      </c>
      <c r="Y27" s="749"/>
      <c r="Z27" s="753">
        <v>515</v>
      </c>
      <c r="AA27" s="749">
        <f t="shared" si="25"/>
        <v>-95.264964321736016</v>
      </c>
      <c r="AB27" s="754">
        <f t="shared" si="19"/>
        <v>-10361.370000000001</v>
      </c>
      <c r="AC27" s="749"/>
      <c r="AD27" s="754">
        <f>M27+T27+X27</f>
        <v>21.350000000000364</v>
      </c>
    </row>
    <row r="28" spans="1:34" s="130" customFormat="1">
      <c r="A28" s="130" t="s">
        <v>276</v>
      </c>
      <c r="C28" s="139">
        <f>SUM(C18:C27)</f>
        <v>108826587.16</v>
      </c>
      <c r="D28" s="127"/>
      <c r="E28" s="139">
        <f>SUM(E18:E27)</f>
        <v>-3715692.1199999992</v>
      </c>
      <c r="F28" s="139"/>
      <c r="G28" s="139">
        <f>SUM(G18:G27)</f>
        <v>-3063644.2900000005</v>
      </c>
      <c r="H28" s="139"/>
      <c r="I28" s="139">
        <f>SUM(I18:I27)</f>
        <v>-652047.82999999984</v>
      </c>
      <c r="J28" s="139"/>
      <c r="K28" s="139">
        <f>SUM(K18:K27)</f>
        <v>-672304.75000000012</v>
      </c>
      <c r="L28" s="139"/>
      <c r="M28" s="139">
        <f>SUM(M18:M27)</f>
        <v>141772.21</v>
      </c>
      <c r="N28" s="139"/>
      <c r="O28" s="139">
        <f>SUM(O18:O27)</f>
        <v>105232410.33</v>
      </c>
      <c r="P28" s="139"/>
      <c r="Q28" s="139">
        <f>SUM(Q18:Q27)</f>
        <v>105239794.26000002</v>
      </c>
      <c r="R28" s="139"/>
      <c r="S28" s="149">
        <f t="shared" si="23"/>
        <v>7.0000000000050022E-3</v>
      </c>
      <c r="T28" s="148">
        <f t="shared" si="16"/>
        <v>7383.9300000220537</v>
      </c>
      <c r="U28" s="134">
        <f t="shared" si="17"/>
        <v>0</v>
      </c>
      <c r="V28" s="139">
        <f>SUM(V18:V27)</f>
        <v>106476292.89</v>
      </c>
      <c r="W28" s="756">
        <f t="shared" si="24"/>
        <v>1.1820337062500907</v>
      </c>
      <c r="X28" s="148">
        <f t="shared" si="18"/>
        <v>1236498.6299999803</v>
      </c>
      <c r="Y28" s="135"/>
      <c r="Z28" s="139">
        <f>SUM(Z18:Z27)</f>
        <v>86633540</v>
      </c>
      <c r="AA28" s="135">
        <f t="shared" si="25"/>
        <v>-18.635841229464503</v>
      </c>
      <c r="AB28" s="148">
        <f t="shared" si="19"/>
        <v>-19842752.890000001</v>
      </c>
      <c r="AC28" s="135"/>
      <c r="AD28" s="148">
        <f>SUM(AD18:AD27)</f>
        <v>1385654.7699999979</v>
      </c>
      <c r="AF28" s="148" t="s">
        <v>31</v>
      </c>
    </row>
    <row r="29" spans="1:34" s="130" customFormat="1">
      <c r="C29" s="139"/>
      <c r="D29" s="127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 t="s">
        <v>31</v>
      </c>
      <c r="P29" s="139"/>
      <c r="Q29" s="139"/>
      <c r="R29" s="139"/>
      <c r="U29" s="134"/>
      <c r="W29" s="135"/>
      <c r="X29" s="135"/>
      <c r="Y29" s="135"/>
      <c r="AA29" s="135"/>
      <c r="AB29" s="135"/>
      <c r="AC29" s="135"/>
      <c r="AD29" s="135"/>
      <c r="AF29" s="130" t="s">
        <v>31</v>
      </c>
    </row>
    <row r="30" spans="1:34" s="130" customFormat="1">
      <c r="C30" s="139"/>
      <c r="D30" s="127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T30" s="131"/>
      <c r="U30" s="134"/>
      <c r="W30" s="135"/>
      <c r="X30" s="135"/>
      <c r="Y30" s="135"/>
      <c r="AA30" s="135"/>
      <c r="AB30" s="135"/>
      <c r="AC30" s="135"/>
      <c r="AD30" s="135"/>
    </row>
    <row r="31" spans="1:34" s="130" customFormat="1">
      <c r="A31" s="130" t="s">
        <v>277</v>
      </c>
      <c r="C31" s="139"/>
      <c r="D31" s="127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T31" s="131"/>
      <c r="U31" s="134"/>
      <c r="W31" s="135"/>
      <c r="X31" s="135"/>
      <c r="Y31" s="135"/>
      <c r="AA31" s="135"/>
      <c r="AB31" s="135"/>
      <c r="AC31" s="135"/>
      <c r="AD31" s="135"/>
    </row>
    <row r="32" spans="1:34" s="743" customFormat="1">
      <c r="A32" s="743" t="s">
        <v>51</v>
      </c>
      <c r="C32" s="752">
        <f>VLOOKUP(A32,'305 Inputs'!$E$51:$I$71,5,FALSE)+'305 Inputs'!I64</f>
        <v>1522764.55</v>
      </c>
      <c r="D32" s="746"/>
      <c r="E32" s="753">
        <f>-51924.27</f>
        <v>-51924.27</v>
      </c>
      <c r="F32" s="753"/>
      <c r="G32" s="753">
        <f>-42679.24</f>
        <v>-42679.24</v>
      </c>
      <c r="H32" s="753"/>
      <c r="I32" s="753">
        <f>-9245.03</f>
        <v>-9245.0300000000007</v>
      </c>
      <c r="J32" s="753"/>
      <c r="K32" s="753">
        <f>-'WA HDS Revenue'!D17+-'WA HDS Revenue'!D19</f>
        <v>-9357.01</v>
      </c>
      <c r="L32" s="752"/>
      <c r="M32" s="753">
        <f>-135.44+4809.24</f>
        <v>4673.8</v>
      </c>
      <c r="N32" s="752"/>
      <c r="O32" s="752">
        <f>C32+G32+K32+M32</f>
        <v>1475402.1</v>
      </c>
      <c r="P32" s="752"/>
      <c r="Q32" s="753">
        <f>1475487.08</f>
        <v>1475487.08</v>
      </c>
      <c r="R32" s="752"/>
      <c r="S32" s="775">
        <f t="shared" ref="S32:S41" si="26">ROUND(Q32/O32*100,3)-100</f>
        <v>6.0000000000002274E-3</v>
      </c>
      <c r="T32" s="754">
        <f t="shared" ref="T32:T40" si="27">Q32-O32</f>
        <v>84.979999999981374</v>
      </c>
      <c r="U32" s="748">
        <f t="shared" ref="U32:U41" si="28">IF(ABS(S32)&lt;=0.5,0,IF(O32&gt;Q32,(O32*0.995)-Q32,(O32*1.005)-Q32))</f>
        <v>0</v>
      </c>
      <c r="V32" s="753">
        <f>'Pages 4-11, All Other Schedules'!H332</f>
        <v>1496512</v>
      </c>
      <c r="W32" s="755">
        <f t="shared" ref="W32:W41" si="29">((V32-O32)/O32)*100</f>
        <v>1.4307896132179767</v>
      </c>
      <c r="X32" s="754">
        <f t="shared" ref="X32:X41" si="30">V32-Q32</f>
        <v>21024.919999999925</v>
      </c>
      <c r="Y32" s="749"/>
      <c r="Z32" s="753">
        <v>1418240</v>
      </c>
      <c r="AA32" s="749">
        <f t="shared" ref="AA32:AA41" si="31">((Z32-V32)/V32)*100</f>
        <v>-5.2302955138348377</v>
      </c>
      <c r="AB32" s="754">
        <f t="shared" ref="AB32:AB41" si="32">Z32-V32</f>
        <v>-78272</v>
      </c>
      <c r="AC32" s="749"/>
      <c r="AD32" s="754">
        <f t="shared" ref="AD32:AD39" si="33">M32+T32+X32</f>
        <v>25783.699999999906</v>
      </c>
      <c r="AE32" s="991">
        <f>(O32-Q32)/O32</f>
        <v>-5.7597857560309403E-5</v>
      </c>
      <c r="AF32" s="748"/>
      <c r="AG32" s="779"/>
    </row>
    <row r="33" spans="1:33" s="743" customFormat="1">
      <c r="A33" s="743" t="s">
        <v>52</v>
      </c>
      <c r="C33" s="752">
        <f>VLOOKUP(A33,'305 Inputs'!$E$51:$I$71,5,FALSE)</f>
        <v>7749.11</v>
      </c>
      <c r="D33" s="746"/>
      <c r="E33" s="753">
        <f>-81.6-17.49</f>
        <v>-99.089999999999989</v>
      </c>
      <c r="F33" s="753"/>
      <c r="G33" s="753">
        <f>-81.6</f>
        <v>-81.599999999999994</v>
      </c>
      <c r="H33" s="753"/>
      <c r="I33" s="753">
        <f>-17.49</f>
        <v>-17.489999999999998</v>
      </c>
      <c r="J33" s="753"/>
      <c r="K33" s="753">
        <f>-'WA HDS Revenue'!D20</f>
        <v>-17.489999999999998</v>
      </c>
      <c r="L33" s="752"/>
      <c r="M33" s="753">
        <v>0</v>
      </c>
      <c r="N33" s="752"/>
      <c r="O33" s="752">
        <f t="shared" ref="O33:O34" si="34">C33+G33+K33+M33</f>
        <v>7650.0199999999995</v>
      </c>
      <c r="P33" s="752"/>
      <c r="Q33" s="753">
        <f>6789.59</f>
        <v>6789.59</v>
      </c>
      <c r="R33" s="752"/>
      <c r="S33" s="775">
        <f t="shared" si="26"/>
        <v>-11.247</v>
      </c>
      <c r="T33" s="754">
        <f t="shared" si="27"/>
        <v>-860.42999999999938</v>
      </c>
      <c r="U33" s="748">
        <f t="shared" si="28"/>
        <v>822.17989999999918</v>
      </c>
      <c r="V33" s="753">
        <f>'Pages 4-11, All Other Schedules'!H437</f>
        <v>7747</v>
      </c>
      <c r="W33" s="755">
        <f t="shared" si="29"/>
        <v>1.2677091040284925</v>
      </c>
      <c r="X33" s="754">
        <f t="shared" si="30"/>
        <v>957.40999999999985</v>
      </c>
      <c r="Y33" s="749"/>
      <c r="Z33" s="753">
        <v>6139</v>
      </c>
      <c r="AA33" s="749">
        <f t="shared" si="31"/>
        <v>-20.756421840712534</v>
      </c>
      <c r="AB33" s="754">
        <f t="shared" si="32"/>
        <v>-1608</v>
      </c>
      <c r="AC33" s="749"/>
      <c r="AD33" s="754">
        <f t="shared" si="33"/>
        <v>96.980000000000473</v>
      </c>
      <c r="AG33" s="779"/>
    </row>
    <row r="34" spans="1:33" s="743" customFormat="1">
      <c r="A34" s="966" t="s">
        <v>300</v>
      </c>
      <c r="C34" s="752">
        <f>VLOOKUP(A34,'305 Inputs'!$E$51:$I$71,5,FALSE)</f>
        <v>2317.81</v>
      </c>
      <c r="D34" s="746"/>
      <c r="E34" s="753">
        <f>-14.86-2.99</f>
        <v>-17.850000000000001</v>
      </c>
      <c r="F34" s="753"/>
      <c r="G34" s="753">
        <f>-14.86</f>
        <v>-14.86</v>
      </c>
      <c r="H34" s="753"/>
      <c r="I34" s="753">
        <f>-2.99</f>
        <v>-2.99</v>
      </c>
      <c r="J34" s="753"/>
      <c r="K34" s="753">
        <f>-'WA HDS Revenue'!D18</f>
        <v>-2.88</v>
      </c>
      <c r="L34" s="752"/>
      <c r="M34" s="753">
        <f>0</f>
        <v>0</v>
      </c>
      <c r="N34" s="752"/>
      <c r="O34" s="752">
        <f t="shared" si="34"/>
        <v>2300.0699999999997</v>
      </c>
      <c r="P34" s="752"/>
      <c r="Q34" s="753">
        <f>2244.77</f>
        <v>2244.77</v>
      </c>
      <c r="R34" s="752"/>
      <c r="S34" s="775">
        <f t="shared" si="26"/>
        <v>-2.4039999999999964</v>
      </c>
      <c r="T34" s="754">
        <f t="shared" si="27"/>
        <v>-55.299999999999727</v>
      </c>
      <c r="U34" s="748">
        <f t="shared" si="28"/>
        <v>43.799649999999929</v>
      </c>
      <c r="V34" s="753">
        <f>'Pages 4-11, All Other Schedules'!H543</f>
        <v>2367</v>
      </c>
      <c r="W34" s="755">
        <f t="shared" si="29"/>
        <v>2.9099114374780028</v>
      </c>
      <c r="X34" s="754">
        <f t="shared" si="30"/>
        <v>122.23000000000002</v>
      </c>
      <c r="Y34" s="749"/>
      <c r="Z34" s="753">
        <v>1696</v>
      </c>
      <c r="AA34" s="749">
        <f t="shared" si="31"/>
        <v>-28.348119983100972</v>
      </c>
      <c r="AB34" s="754">
        <f t="shared" si="32"/>
        <v>-671</v>
      </c>
      <c r="AC34" s="749"/>
      <c r="AD34" s="754">
        <f t="shared" si="33"/>
        <v>66.930000000000291</v>
      </c>
      <c r="AG34" s="779"/>
    </row>
    <row r="35" spans="1:33" s="743" customFormat="1">
      <c r="A35" s="743" t="s">
        <v>53</v>
      </c>
      <c r="C35" s="752">
        <f>VLOOKUP(A35,'305 Inputs'!$E$51:$I$71,5,FALSE)+'305 Inputs'!I68</f>
        <v>8310358.9799999995</v>
      </c>
      <c r="D35" s="746"/>
      <c r="E35" s="753">
        <f>-6414.06-306.5-25.7-607.11-2771.13-1525.67-61783.78-150134.12-1392.35-64.61-136.89-624.87-305.2-12906.44-31421.39</f>
        <v>-270419.82</v>
      </c>
      <c r="F35" s="753"/>
      <c r="G35" s="753">
        <f>-6414.06-306.5-25.7-607.11-2771.13-1525.67-61783.78-150134.12</f>
        <v>-223568.07</v>
      </c>
      <c r="H35" s="753"/>
      <c r="I35" s="753">
        <f>-1392.35-64.61-136.89-624.87-305.2-12906.44-31421.39</f>
        <v>-46851.75</v>
      </c>
      <c r="J35" s="753"/>
      <c r="K35" s="753">
        <f>-'WA HDS Revenue'!D22+-'WA HDS Revenue'!D21</f>
        <v>-48665.5</v>
      </c>
      <c r="L35" s="752"/>
      <c r="M35" s="753">
        <f>1407.08+847.63+2846.66+28168.09--671.28-4876.86</f>
        <v>29063.879999999997</v>
      </c>
      <c r="N35" s="752"/>
      <c r="O35" s="752">
        <f t="shared" ref="O35:O40" si="35">C35+G35+K35+M35</f>
        <v>8067189.2899999991</v>
      </c>
      <c r="P35" s="752"/>
      <c r="Q35" s="753">
        <f>363724.95+18891.82+601.84+21785.52+88077.42+65276.33+2340130.39+5182293</f>
        <v>8080781.2699999996</v>
      </c>
      <c r="R35" s="752"/>
      <c r="S35" s="775">
        <f t="shared" si="26"/>
        <v>0.16800000000000637</v>
      </c>
      <c r="T35" s="754">
        <f t="shared" si="27"/>
        <v>13591.980000000447</v>
      </c>
      <c r="U35" s="748">
        <f t="shared" si="28"/>
        <v>0</v>
      </c>
      <c r="V35" s="753">
        <f>'Pages 4-11, All Other Schedules'!H701</f>
        <v>8196036</v>
      </c>
      <c r="W35" s="755">
        <f t="shared" si="29"/>
        <v>1.5971697870002615</v>
      </c>
      <c r="X35" s="963">
        <f t="shared" si="30"/>
        <v>115254.73000000045</v>
      </c>
      <c r="Y35" s="749"/>
      <c r="Z35" s="753">
        <v>8131326</v>
      </c>
      <c r="AA35" s="749">
        <f t="shared" si="31"/>
        <v>-0.78952801085793189</v>
      </c>
      <c r="AB35" s="754">
        <f t="shared" si="32"/>
        <v>-64710</v>
      </c>
      <c r="AC35" s="749"/>
      <c r="AD35" s="754">
        <f t="shared" si="33"/>
        <v>157910.5900000009</v>
      </c>
      <c r="AG35" s="779"/>
    </row>
    <row r="36" spans="1:33" s="743" customFormat="1">
      <c r="A36" s="743" t="s">
        <v>167</v>
      </c>
      <c r="C36" s="752">
        <f>VLOOKUP(A36,'305 Inputs'!$E$51:$I$71,5,FALSE)</f>
        <v>283827.84999999998</v>
      </c>
      <c r="D36" s="746"/>
      <c r="E36" s="753">
        <f>-2821.05-568.26</f>
        <v>-3389.3100000000004</v>
      </c>
      <c r="F36" s="753"/>
      <c r="G36" s="753">
        <f>-2821.05</f>
        <v>-2821.05</v>
      </c>
      <c r="H36" s="753"/>
      <c r="I36" s="753">
        <f>-568.26</f>
        <v>-568.26</v>
      </c>
      <c r="J36" s="753"/>
      <c r="K36" s="753">
        <f>-'WA HDS Revenue'!D26</f>
        <v>-643.88</v>
      </c>
      <c r="L36" s="752"/>
      <c r="M36" s="753">
        <f>19785.12-18127.05</f>
        <v>1658.0699999999997</v>
      </c>
      <c r="N36" s="752"/>
      <c r="O36" s="752">
        <f t="shared" si="35"/>
        <v>282020.99</v>
      </c>
      <c r="P36" s="752"/>
      <c r="Q36" s="753">
        <f>281755.39</f>
        <v>281755.39</v>
      </c>
      <c r="R36" s="752"/>
      <c r="S36" s="775">
        <f t="shared" si="26"/>
        <v>-9.3999999999994088E-2</v>
      </c>
      <c r="T36" s="754">
        <f t="shared" si="27"/>
        <v>-265.59999999997672</v>
      </c>
      <c r="U36" s="748">
        <f t="shared" si="28"/>
        <v>0</v>
      </c>
      <c r="V36" s="753">
        <f>'Pages 4-11, All Other Schedules'!H883</f>
        <v>285941</v>
      </c>
      <c r="W36" s="755">
        <f t="shared" si="29"/>
        <v>1.389971008895476</v>
      </c>
      <c r="X36" s="754">
        <f t="shared" si="30"/>
        <v>4185.609999999986</v>
      </c>
      <c r="Y36" s="749"/>
      <c r="Z36" s="753">
        <v>858176</v>
      </c>
      <c r="AA36" s="749">
        <f t="shared" si="31"/>
        <v>200.12345204080563</v>
      </c>
      <c r="AB36" s="754">
        <f t="shared" si="32"/>
        <v>572235</v>
      </c>
      <c r="AC36" s="749"/>
      <c r="AD36" s="754">
        <f t="shared" si="33"/>
        <v>5578.080000000009</v>
      </c>
      <c r="AG36" s="779"/>
    </row>
    <row r="37" spans="1:33" s="743" customFormat="1">
      <c r="A37" s="743" t="s">
        <v>54</v>
      </c>
      <c r="C37" s="752">
        <f>VLOOKUP(A37,'305 Inputs'!$E$51:$I$71,5,FALSE)-C38</f>
        <v>14028679.640000001</v>
      </c>
      <c r="D37" s="746"/>
      <c r="E37" s="753">
        <f>-7611.42-346806.84-1610.59-76073.43</f>
        <v>-432102.28</v>
      </c>
      <c r="F37" s="753"/>
      <c r="G37" s="753">
        <f>-7611.42-346806.84</f>
        <v>-354418.26</v>
      </c>
      <c r="H37" s="753"/>
      <c r="I37" s="753">
        <f>-1610.59-76073.43</f>
        <v>-77684.01999999999</v>
      </c>
      <c r="J37" s="753"/>
      <c r="K37" s="753">
        <f>-'WA HDS Revenue'!D23+'Ded Fac Hydro Revenue'!D2</f>
        <v>-76457.850000000006</v>
      </c>
      <c r="L37" s="752"/>
      <c r="M37" s="753">
        <f>-637.66</f>
        <v>-637.66</v>
      </c>
      <c r="N37" s="752"/>
      <c r="O37" s="752">
        <f t="shared" si="35"/>
        <v>13597165.870000001</v>
      </c>
      <c r="P37" s="752"/>
      <c r="Q37" s="753">
        <f>422117.35+13153691.05</f>
        <v>13575808.4</v>
      </c>
      <c r="R37" s="752"/>
      <c r="S37" s="775">
        <f>ROUND(Q37/O37*100,3)-100</f>
        <v>-0.15699999999999648</v>
      </c>
      <c r="T37" s="754">
        <f>Q37-O37</f>
        <v>-21357.470000000671</v>
      </c>
      <c r="U37" s="748">
        <f>IF(ABS(S37)&lt;=0.5,0,IF(O37&gt;Q37,(O37*0.995)-Q37,(O37*1.005)-Q37))</f>
        <v>0</v>
      </c>
      <c r="V37" s="753">
        <f>'Pages 4-11, All Other Schedules'!H1070</f>
        <v>13766826</v>
      </c>
      <c r="W37" s="755">
        <f>((V37-O37)/O37)*100</f>
        <v>1.2477609791782216</v>
      </c>
      <c r="X37" s="963">
        <f t="shared" si="30"/>
        <v>191017.59999999963</v>
      </c>
      <c r="Y37" s="749"/>
      <c r="Z37" s="753">
        <v>-225839</v>
      </c>
      <c r="AA37" s="749">
        <f>((Z37-V37)/V37)*100</f>
        <v>-101.64045801116394</v>
      </c>
      <c r="AB37" s="754">
        <f>Z37-V37</f>
        <v>-13992665</v>
      </c>
      <c r="AC37" s="749"/>
      <c r="AD37" s="754">
        <f t="shared" si="33"/>
        <v>169022.46999999895</v>
      </c>
      <c r="AG37" s="779"/>
    </row>
    <row r="38" spans="1:33" s="743" customFormat="1">
      <c r="A38" s="966" t="s">
        <v>593</v>
      </c>
      <c r="C38" s="752">
        <f>25255341.08</f>
        <v>25255341.079999998</v>
      </c>
      <c r="D38" s="746"/>
      <c r="E38" s="753">
        <f>-776073.24-177655.32</f>
        <v>-953728.56</v>
      </c>
      <c r="F38" s="753"/>
      <c r="G38" s="753">
        <f>-776073.24</f>
        <v>-776073.24</v>
      </c>
      <c r="H38" s="753"/>
      <c r="I38" s="753">
        <f>-177655.32</f>
        <v>-177655.32</v>
      </c>
      <c r="J38" s="753"/>
      <c r="K38" s="753">
        <f>-'Ded Fac Hydro Revenue'!D2</f>
        <v>-177655.32</v>
      </c>
      <c r="L38" s="752"/>
      <c r="M38" s="753">
        <v>0</v>
      </c>
      <c r="N38" s="752"/>
      <c r="O38" s="752">
        <f t="shared" si="35"/>
        <v>24301612.52</v>
      </c>
      <c r="P38" s="752"/>
      <c r="Q38" s="753">
        <f>24301612.52</f>
        <v>24301612.52</v>
      </c>
      <c r="R38" s="752"/>
      <c r="S38" s="775">
        <f t="shared" si="26"/>
        <v>0</v>
      </c>
      <c r="T38" s="754">
        <f t="shared" si="27"/>
        <v>0</v>
      </c>
      <c r="U38" s="748">
        <f t="shared" si="28"/>
        <v>0</v>
      </c>
      <c r="V38" s="753">
        <f>'Pages 4-11, All Other Schedules'!H1089</f>
        <v>24660280</v>
      </c>
      <c r="W38" s="755">
        <f t="shared" si="29"/>
        <v>1.4758999210641701</v>
      </c>
      <c r="X38" s="963">
        <f t="shared" si="30"/>
        <v>358667.48000000045</v>
      </c>
      <c r="Y38" s="749"/>
      <c r="Z38" s="753">
        <v>29509698</v>
      </c>
      <c r="AA38" s="749">
        <f t="shared" si="31"/>
        <v>19.664894315879625</v>
      </c>
      <c r="AB38" s="754">
        <f t="shared" si="32"/>
        <v>4849418</v>
      </c>
      <c r="AC38" s="749"/>
      <c r="AD38" s="754">
        <f t="shared" si="33"/>
        <v>358667.48000000045</v>
      </c>
      <c r="AG38" s="779"/>
    </row>
    <row r="39" spans="1:33" s="743" customFormat="1">
      <c r="A39" s="743" t="s">
        <v>60</v>
      </c>
      <c r="B39" s="743" t="s">
        <v>31</v>
      </c>
      <c r="C39" s="752">
        <v>0</v>
      </c>
      <c r="D39" s="746"/>
      <c r="E39" s="753">
        <v>0</v>
      </c>
      <c r="F39" s="753"/>
      <c r="G39" s="753">
        <v>0</v>
      </c>
      <c r="H39" s="753"/>
      <c r="I39" s="753">
        <v>0</v>
      </c>
      <c r="J39" s="753"/>
      <c r="K39" s="753">
        <v>0</v>
      </c>
      <c r="L39" s="752"/>
      <c r="M39" s="753">
        <v>0</v>
      </c>
      <c r="N39" s="752"/>
      <c r="O39" s="752">
        <f t="shared" si="35"/>
        <v>0</v>
      </c>
      <c r="P39" s="752"/>
      <c r="Q39" s="753">
        <v>0</v>
      </c>
      <c r="R39" s="752"/>
      <c r="S39" s="775" t="e">
        <f t="shared" si="26"/>
        <v>#DIV/0!</v>
      </c>
      <c r="T39" s="754">
        <f t="shared" si="27"/>
        <v>0</v>
      </c>
      <c r="U39" s="748" t="e">
        <f t="shared" si="28"/>
        <v>#DIV/0!</v>
      </c>
      <c r="V39" s="753">
        <f>Q39</f>
        <v>0</v>
      </c>
      <c r="W39" s="755" t="e">
        <f t="shared" si="29"/>
        <v>#DIV/0!</v>
      </c>
      <c r="X39" s="754">
        <f t="shared" si="30"/>
        <v>0</v>
      </c>
      <c r="Y39" s="749"/>
      <c r="Z39" s="753">
        <v>2372611</v>
      </c>
      <c r="AA39" s="749" t="e">
        <f t="shared" si="31"/>
        <v>#DIV/0!</v>
      </c>
      <c r="AB39" s="754">
        <f t="shared" si="32"/>
        <v>2372611</v>
      </c>
      <c r="AC39" s="749"/>
      <c r="AD39" s="754">
        <f t="shared" si="33"/>
        <v>0</v>
      </c>
      <c r="AG39" s="779"/>
    </row>
    <row r="40" spans="1:33" s="743" customFormat="1">
      <c r="A40" s="743" t="s">
        <v>55</v>
      </c>
      <c r="C40" s="752">
        <f>VLOOKUP(A40,'305 Inputs'!$E$51:$I$71,5,FALSE)+'305 Inputs'!I70</f>
        <v>20053.04</v>
      </c>
      <c r="D40" s="746"/>
      <c r="E40" s="753">
        <f>-264.87-64.73-116.85-28.44</f>
        <v>-474.89000000000004</v>
      </c>
      <c r="F40" s="753"/>
      <c r="G40" s="753">
        <f>-264.87-64.73</f>
        <v>-329.6</v>
      </c>
      <c r="H40" s="753"/>
      <c r="I40" s="753">
        <f>-116.85-28.44</f>
        <v>-145.29</v>
      </c>
      <c r="J40" s="753"/>
      <c r="K40" s="753">
        <f>-'WA HDS Revenue'!D24+-'WA HDS Revenue'!D25</f>
        <v>-154.5</v>
      </c>
      <c r="L40" s="752"/>
      <c r="M40" s="753">
        <f>38.57+140.63-5.86</f>
        <v>173.33999999999997</v>
      </c>
      <c r="N40" s="752"/>
      <c r="O40" s="752">
        <f t="shared" si="35"/>
        <v>19742.280000000002</v>
      </c>
      <c r="P40" s="752"/>
      <c r="Q40" s="753">
        <f>15454.2+4282.05</f>
        <v>19736.25</v>
      </c>
      <c r="R40" s="752"/>
      <c r="S40" s="775">
        <f t="shared" si="26"/>
        <v>-3.1000000000005912E-2</v>
      </c>
      <c r="T40" s="754">
        <f t="shared" si="27"/>
        <v>-6.0300000000024738</v>
      </c>
      <c r="U40" s="748">
        <f t="shared" si="28"/>
        <v>0</v>
      </c>
      <c r="V40" s="753">
        <f>'Pages 4-11, All Other Schedules'!H75</f>
        <v>19733.66</v>
      </c>
      <c r="W40" s="755">
        <f t="shared" si="29"/>
        <v>-4.3662636737006155E-2</v>
      </c>
      <c r="X40" s="754">
        <f t="shared" si="30"/>
        <v>-2.5900000000001455</v>
      </c>
      <c r="Y40" s="749"/>
      <c r="Z40" s="753">
        <v>19177</v>
      </c>
      <c r="AA40" s="749">
        <f t="shared" si="31"/>
        <v>-2.8208654654027678</v>
      </c>
      <c r="AB40" s="754">
        <f t="shared" si="32"/>
        <v>-556.65999999999985</v>
      </c>
      <c r="AC40" s="749"/>
      <c r="AD40" s="754">
        <f>M40+T40+X40</f>
        <v>164.71999999999736</v>
      </c>
      <c r="AG40" s="779"/>
    </row>
    <row r="41" spans="1:33" s="130" customFormat="1">
      <c r="A41" s="130" t="s">
        <v>278</v>
      </c>
      <c r="C41" s="139">
        <f>SUM(C32:C40)</f>
        <v>49431092.059999995</v>
      </c>
      <c r="D41" s="127"/>
      <c r="E41" s="139">
        <f>SUM(E32:E40)</f>
        <v>-1712156.07</v>
      </c>
      <c r="F41" s="139"/>
      <c r="G41" s="139">
        <f>SUM(G32:G40)</f>
        <v>-1399985.9200000002</v>
      </c>
      <c r="H41" s="139"/>
      <c r="I41" s="139">
        <f>SUM(I32:I40)</f>
        <v>-312170.14999999997</v>
      </c>
      <c r="J41" s="139"/>
      <c r="K41" s="139">
        <f>SUM(K32:K40)</f>
        <v>-312954.43</v>
      </c>
      <c r="L41" s="139"/>
      <c r="M41" s="139">
        <f>SUM(M32:M40)</f>
        <v>34931.429999999993</v>
      </c>
      <c r="N41" s="139"/>
      <c r="O41" s="139">
        <f>SUM(O32:O40)</f>
        <v>47753083.140000001</v>
      </c>
      <c r="P41" s="139"/>
      <c r="Q41" s="139">
        <f>SUM(Q32:Q40)</f>
        <v>47744215.269999996</v>
      </c>
      <c r="R41" s="139"/>
      <c r="S41" s="149">
        <f t="shared" si="26"/>
        <v>-1.9000000000005457E-2</v>
      </c>
      <c r="T41" s="148">
        <f>SUM(T32:T40)</f>
        <v>-8867.8700000002209</v>
      </c>
      <c r="U41" s="134">
        <f t="shared" si="28"/>
        <v>0</v>
      </c>
      <c r="V41" s="139">
        <f>SUM(V32:V40)</f>
        <v>48435442.659999996</v>
      </c>
      <c r="W41" s="756">
        <f t="shared" si="29"/>
        <v>1.4289329088961433</v>
      </c>
      <c r="X41" s="148">
        <f t="shared" si="30"/>
        <v>691227.3900000006</v>
      </c>
      <c r="Y41" s="135"/>
      <c r="Z41" s="139">
        <f>SUM(Z32:Z40)</f>
        <v>42091224</v>
      </c>
      <c r="AA41" s="135">
        <f t="shared" si="31"/>
        <v>-13.098298088311507</v>
      </c>
      <c r="AB41" s="148">
        <f t="shared" si="32"/>
        <v>-6344218.6599999964</v>
      </c>
      <c r="AC41" s="135"/>
      <c r="AD41" s="148">
        <f>SUM(AD32:AD40)</f>
        <v>717290.95000000019</v>
      </c>
    </row>
    <row r="42" spans="1:33" s="130" customFormat="1">
      <c r="C42" s="139"/>
      <c r="D42" s="127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T42" s="132"/>
      <c r="U42" s="134"/>
      <c r="W42" s="135"/>
      <c r="X42" s="135"/>
      <c r="Y42" s="135"/>
      <c r="AA42" s="135"/>
      <c r="AB42" s="135"/>
      <c r="AC42" s="135"/>
      <c r="AD42" s="135"/>
    </row>
    <row r="43" spans="1:33" s="130" customFormat="1">
      <c r="C43" s="139"/>
      <c r="D43" s="127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T43" s="132"/>
      <c r="U43" s="134"/>
      <c r="W43" s="135"/>
      <c r="X43" s="135"/>
      <c r="Y43" s="135"/>
      <c r="AA43" s="135"/>
      <c r="AB43" s="135"/>
      <c r="AC43" s="135"/>
      <c r="AD43" s="135"/>
    </row>
    <row r="44" spans="1:33" s="130" customFormat="1" ht="12.75" customHeight="1">
      <c r="A44" s="130" t="s">
        <v>279</v>
      </c>
      <c r="C44" s="139"/>
      <c r="D44" s="127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T44" s="132"/>
      <c r="U44" s="134"/>
      <c r="W44" s="135"/>
      <c r="X44" s="135"/>
      <c r="Y44" s="135"/>
      <c r="AA44" s="135"/>
      <c r="AB44" s="135"/>
      <c r="AC44" s="135"/>
      <c r="AD44" s="135"/>
    </row>
    <row r="45" spans="1:33" s="743" customFormat="1" ht="11.25" customHeight="1">
      <c r="A45" s="743" t="s">
        <v>58</v>
      </c>
      <c r="C45" s="752">
        <f>VLOOKUP(A45,'305 Inputs'!$E$77:$I$94,5,FALSE)</f>
        <v>11905721.35</v>
      </c>
      <c r="D45" s="746"/>
      <c r="E45" s="753">
        <f>-56.13-13140.95-203430.41-123487.68-12.45-2912.76-45105.37-27381.86</f>
        <v>-415527.61</v>
      </c>
      <c r="F45" s="753"/>
      <c r="G45" s="753">
        <f>-56.13-13140.95-203430.41-123487.68</f>
        <v>-340115.17</v>
      </c>
      <c r="H45" s="753"/>
      <c r="I45" s="753">
        <f>-12.45-2912.76-45105.37-27381.86</f>
        <v>-75412.44</v>
      </c>
      <c r="J45" s="753"/>
      <c r="K45" s="753">
        <f>-'WA HDS Revenue'!D27</f>
        <v>-70611.509999999995</v>
      </c>
      <c r="L45" s="752"/>
      <c r="M45" s="967">
        <f>1060.83+62749.16+46631-2301.58-17926.17-6235.98</f>
        <v>83977.260000000009</v>
      </c>
      <c r="N45" s="752"/>
      <c r="O45" s="752">
        <f t="shared" ref="O45:O46" si="36">C45+G45+K45+M45</f>
        <v>11578971.93</v>
      </c>
      <c r="P45" s="752"/>
      <c r="Q45" s="753">
        <f>237+2839.39+466629.47+6901800.1+4171143.98</f>
        <v>11542649.939999999</v>
      </c>
      <c r="R45" s="752"/>
      <c r="S45" s="775">
        <f>ROUND(Q45/O45*100,3)-100</f>
        <v>-0.31399999999999295</v>
      </c>
      <c r="T45" s="754">
        <f>Q45-O45</f>
        <v>-36321.990000000224</v>
      </c>
      <c r="U45" s="748">
        <f>IF(ABS(S45)&lt;=0.5,0,IF(O45&gt;Q45,(O45*0.995)-Q45,(O45*1.005)-Q45))</f>
        <v>0</v>
      </c>
      <c r="V45" s="753">
        <f>'Pages 4-11, All Other Schedules'!H808-Temperature!D92*1000</f>
        <v>11712764.779999999</v>
      </c>
      <c r="W45" s="755">
        <f>((V45-O45)/O45)*100</f>
        <v>1.1554812535071033</v>
      </c>
      <c r="X45" s="754">
        <f>V45-Q45</f>
        <v>170114.83999999985</v>
      </c>
      <c r="Y45" s="749"/>
      <c r="Z45" s="753">
        <v>8839304</v>
      </c>
      <c r="AA45" s="749">
        <f>((Z45-V45)/V45)*100</f>
        <v>-24.532728471646124</v>
      </c>
      <c r="AB45" s="754">
        <f>Z45-V45</f>
        <v>-2873460.7799999993</v>
      </c>
      <c r="AC45" s="749"/>
      <c r="AD45" s="754">
        <f>M45+T45+X45</f>
        <v>217770.10999999964</v>
      </c>
      <c r="AG45" s="779"/>
    </row>
    <row r="46" spans="1:33" s="743" customFormat="1">
      <c r="A46" s="743" t="s">
        <v>59</v>
      </c>
      <c r="C46" s="752">
        <f>VLOOKUP(A46,'305 Inputs'!$E$77:$I$94,5,FALSE)</f>
        <v>429129.75</v>
      </c>
      <c r="D46" s="746"/>
      <c r="E46" s="753">
        <f>-971.73-7001.72-4450.23-215.32-1552.37-986.77</f>
        <v>-15178.14</v>
      </c>
      <c r="F46" s="753"/>
      <c r="G46" s="753">
        <f>-971.73-7001.72-4450.23</f>
        <v>-12423.68</v>
      </c>
      <c r="H46" s="753"/>
      <c r="I46" s="753">
        <f>-215.32-1552.37-986.77</f>
        <v>-2754.46</v>
      </c>
      <c r="J46" s="753"/>
      <c r="K46" s="753">
        <f>-'WA HDS Revenue'!D28</f>
        <v>-2620.94</v>
      </c>
      <c r="L46" s="752"/>
      <c r="M46" s="967">
        <f>698.53+4777.7+1314.52-428.41-57.91</f>
        <v>6304.43</v>
      </c>
      <c r="N46" s="752"/>
      <c r="O46" s="752">
        <f t="shared" si="36"/>
        <v>420389.56</v>
      </c>
      <c r="P46" s="752"/>
      <c r="Q46" s="753">
        <f>34287.84+234723+149046.03</f>
        <v>418056.87</v>
      </c>
      <c r="R46" s="752"/>
      <c r="S46" s="775">
        <f>ROUND(Q46/O46*100,3)-100</f>
        <v>-0.55500000000000682</v>
      </c>
      <c r="T46" s="754">
        <f>Q46-O46</f>
        <v>-2332.6900000000023</v>
      </c>
      <c r="U46" s="748">
        <f>IF(ABS(S46)&lt;=0.5,0,IF(O46&gt;Q46,(O46*0.995)-Q46,(O46*1.005)-Q46))</f>
        <v>230.74219999997877</v>
      </c>
      <c r="V46" s="753">
        <f>'Pages 4-11, All Other Schedules'!H861</f>
        <v>427909</v>
      </c>
      <c r="W46" s="755">
        <f>((V46-O46)/O46)*100</f>
        <v>1.7886838103210752</v>
      </c>
      <c r="X46" s="754">
        <f>V46-Q46</f>
        <v>9852.1300000000047</v>
      </c>
      <c r="Y46" s="749"/>
      <c r="Z46" s="753">
        <v>1173033</v>
      </c>
      <c r="AA46" s="749">
        <f>((Z46-V46)/V46)*100</f>
        <v>174.13141579167532</v>
      </c>
      <c r="AB46" s="754">
        <f>Z46-V46</f>
        <v>745124</v>
      </c>
      <c r="AC46" s="749"/>
      <c r="AD46" s="754">
        <f>M46+T46+X46</f>
        <v>13823.870000000003</v>
      </c>
      <c r="AG46" s="779"/>
    </row>
    <row r="47" spans="1:33" s="130" customFormat="1">
      <c r="A47" s="130" t="s">
        <v>280</v>
      </c>
      <c r="C47" s="139">
        <f>SUM(C45:C46)</f>
        <v>12334851.1</v>
      </c>
      <c r="D47" s="127"/>
      <c r="E47" s="139">
        <f>SUM(E45:E46)</f>
        <v>-430705.75</v>
      </c>
      <c r="F47" s="139"/>
      <c r="G47" s="139">
        <f>SUM(G45:G46)</f>
        <v>-352538.85</v>
      </c>
      <c r="H47" s="139"/>
      <c r="I47" s="139">
        <f>SUM(I45:I46)</f>
        <v>-78166.900000000009</v>
      </c>
      <c r="J47" s="139"/>
      <c r="K47" s="139">
        <f>SUM(K45:K46)</f>
        <v>-73232.45</v>
      </c>
      <c r="L47" s="139"/>
      <c r="M47" s="139">
        <f>SUM(M45:M46)</f>
        <v>90281.69</v>
      </c>
      <c r="N47" s="139"/>
      <c r="O47" s="139">
        <f>SUM(O45:O46)</f>
        <v>11999361.49</v>
      </c>
      <c r="P47" s="139"/>
      <c r="Q47" s="139">
        <f>SUM(Q45:Q46)</f>
        <v>11960706.809999999</v>
      </c>
      <c r="R47" s="139"/>
      <c r="S47" s="149">
        <f>ROUND(Q47/O47*100,3)-100</f>
        <v>-0.32200000000000273</v>
      </c>
      <c r="T47" s="148">
        <f>SUM(T45:T46)</f>
        <v>-38654.680000000226</v>
      </c>
      <c r="U47" s="134">
        <f>IF(ABS(S47)&lt;=0.5,0,IF(O47&gt;Q47,(O47*0.995)-Q47,(O47*1.005)-Q47))</f>
        <v>0</v>
      </c>
      <c r="V47" s="139">
        <f>SUM(V45:V46)</f>
        <v>12140673.779999999</v>
      </c>
      <c r="W47" s="756">
        <f>((V47-O47)/O47)*100</f>
        <v>1.1776650792441381</v>
      </c>
      <c r="X47" s="148">
        <f>V47-Q47</f>
        <v>179966.97000000067</v>
      </c>
      <c r="Y47" s="135"/>
      <c r="Z47" s="139">
        <f>SUM(Z45:Z46)</f>
        <v>10012337</v>
      </c>
      <c r="AA47" s="135">
        <f>((Z47-V47)/V47)*100</f>
        <v>-17.530631483617704</v>
      </c>
      <c r="AB47" s="148">
        <f>Z47-V47</f>
        <v>-2128336.7799999993</v>
      </c>
      <c r="AC47" s="135"/>
      <c r="AD47" s="148">
        <f>SUM(AD45:AD46)</f>
        <v>231593.97999999963</v>
      </c>
    </row>
    <row r="48" spans="1:33" s="130" customFormat="1">
      <c r="C48" s="139"/>
      <c r="D48" s="127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T48" s="132"/>
      <c r="U48" s="134"/>
      <c r="W48" s="135"/>
      <c r="X48" s="135"/>
      <c r="Y48" s="135"/>
      <c r="AA48" s="135"/>
      <c r="AB48" s="135"/>
      <c r="AC48" s="135"/>
      <c r="AD48" s="135"/>
    </row>
    <row r="49" spans="1:33" s="130" customFormat="1">
      <c r="C49" s="139"/>
      <c r="D49" s="127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T49" s="132"/>
      <c r="U49" s="134"/>
      <c r="W49" s="135"/>
      <c r="X49" s="135"/>
      <c r="Y49" s="135"/>
      <c r="AA49" s="135"/>
      <c r="AB49" s="135"/>
      <c r="AC49" s="135"/>
      <c r="AD49" s="135"/>
    </row>
    <row r="50" spans="1:33" s="130" customFormat="1">
      <c r="A50" s="130" t="s">
        <v>281</v>
      </c>
      <c r="C50" s="139"/>
      <c r="D50" s="127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T50" s="132"/>
      <c r="U50" s="134"/>
      <c r="W50" s="135"/>
      <c r="X50" s="135"/>
      <c r="Y50" s="135"/>
      <c r="AA50" s="135"/>
      <c r="AB50" s="135"/>
      <c r="AC50" s="135"/>
      <c r="AD50" s="135"/>
    </row>
    <row r="51" spans="1:33" s="743" customFormat="1">
      <c r="A51" s="743" t="s">
        <v>61</v>
      </c>
      <c r="C51" s="752">
        <f>VLOOKUP(A51,'305 Inputs'!$E$101:$I$110,5,FALSE)</f>
        <v>52215.519999999997</v>
      </c>
      <c r="D51" s="746"/>
      <c r="E51" s="753">
        <f>-687.97-318.62</f>
        <v>-1006.59</v>
      </c>
      <c r="F51" s="753"/>
      <c r="G51" s="753">
        <f>-687.97</f>
        <v>-687.97</v>
      </c>
      <c r="H51" s="753"/>
      <c r="I51" s="753">
        <f>-318.62</f>
        <v>-318.62</v>
      </c>
      <c r="J51" s="753"/>
      <c r="K51" s="753">
        <f>-'WA HDS Revenue'!D29</f>
        <v>-338.58</v>
      </c>
      <c r="L51" s="752"/>
      <c r="M51" s="753">
        <f>-395.19</f>
        <v>-395.19</v>
      </c>
      <c r="N51" s="752"/>
      <c r="O51" s="752">
        <f t="shared" ref="O51:O55" si="37">C51+G51+K51+M51</f>
        <v>50793.779999999992</v>
      </c>
      <c r="P51" s="752"/>
      <c r="Q51" s="753">
        <f>50799.39</f>
        <v>50799.39</v>
      </c>
      <c r="R51" s="752"/>
      <c r="S51" s="775">
        <f t="shared" ref="S51:S56" si="38">ROUND(Q51/O51*100,3)-100</f>
        <v>1.099999999999568E-2</v>
      </c>
      <c r="T51" s="754">
        <f t="shared" ref="T51:T55" si="39">Q51-O51</f>
        <v>5.610000000007858</v>
      </c>
      <c r="U51" s="748">
        <f t="shared" ref="U51:U56" si="40">IF(ABS(S51)&lt;=0.5,0,IF(O51&gt;Q51,(O51*0.995)-Q51,(O51*1.005)-Q51))</f>
        <v>0</v>
      </c>
      <c r="V51" s="753">
        <f>'Pages 4-11, All Other Schedules'!H1130</f>
        <v>50799.69</v>
      </c>
      <c r="W51" s="755">
        <f t="shared" ref="W51:W56" si="41">((V51-O51)/O51)*100</f>
        <v>1.1635282902770319E-2</v>
      </c>
      <c r="X51" s="754">
        <f t="shared" ref="X51:X56" si="42">V51-Q51</f>
        <v>0.30000000000291038</v>
      </c>
      <c r="Y51" s="749"/>
      <c r="Z51" s="753">
        <v>59948.32</v>
      </c>
      <c r="AA51" s="749">
        <f t="shared" ref="AA51:AA56" si="43">((Z51-V51)/V51)*100</f>
        <v>18.009224072036652</v>
      </c>
      <c r="AB51" s="754">
        <f t="shared" ref="AB51:AB56" si="44">Z51-V51</f>
        <v>9148.6299999999974</v>
      </c>
      <c r="AC51" s="749"/>
      <c r="AD51" s="754">
        <f>M51+T51+X51</f>
        <v>-389.27999999998923</v>
      </c>
      <c r="AG51" s="779"/>
    </row>
    <row r="52" spans="1:33" s="743" customFormat="1">
      <c r="A52" s="743" t="s">
        <v>62</v>
      </c>
      <c r="C52" s="752">
        <f>VLOOKUP(A52,'305 Inputs'!$E$101:$I$110,5,FALSE)</f>
        <v>236133.27</v>
      </c>
      <c r="D52" s="746"/>
      <c r="E52" s="753">
        <f>-7717.05-1678.89</f>
        <v>-9395.94</v>
      </c>
      <c r="F52" s="753"/>
      <c r="G52" s="753">
        <f>-7717.05</f>
        <v>-7717.05</v>
      </c>
      <c r="H52" s="753"/>
      <c r="I52" s="753">
        <f>-1678.89</f>
        <v>-1678.89</v>
      </c>
      <c r="J52" s="753"/>
      <c r="K52" s="753">
        <f>-'WA HDS Revenue'!D30</f>
        <v>-1693.11</v>
      </c>
      <c r="L52" s="752"/>
      <c r="M52" s="753">
        <f>16014.21--16.82</f>
        <v>16031.029999999999</v>
      </c>
      <c r="N52" s="752"/>
      <c r="O52" s="752">
        <f t="shared" si="37"/>
        <v>242754.14</v>
      </c>
      <c r="P52" s="752"/>
      <c r="Q52" s="753">
        <f>240774.87+2266.75</f>
        <v>243041.62</v>
      </c>
      <c r="R52" s="752"/>
      <c r="S52" s="775">
        <f t="shared" si="38"/>
        <v>0.117999999999995</v>
      </c>
      <c r="T52" s="754">
        <f t="shared" si="39"/>
        <v>287.47999999998137</v>
      </c>
      <c r="U52" s="748">
        <f t="shared" si="40"/>
        <v>0</v>
      </c>
      <c r="V52" s="753">
        <f>'Pages 4-11, All Other Schedules'!H1170</f>
        <v>242978.35000000003</v>
      </c>
      <c r="W52" s="755">
        <f t="shared" si="41"/>
        <v>9.2360937696066042E-2</v>
      </c>
      <c r="X52" s="963">
        <f t="shared" si="42"/>
        <v>-63.269999999960419</v>
      </c>
      <c r="Y52" s="749"/>
      <c r="Z52" s="753">
        <v>213189.22</v>
      </c>
      <c r="AA52" s="749">
        <f t="shared" si="43"/>
        <v>-12.259993534403387</v>
      </c>
      <c r="AB52" s="754">
        <f t="shared" si="44"/>
        <v>-29789.130000000034</v>
      </c>
      <c r="AC52" s="749"/>
      <c r="AD52" s="754">
        <f>M52+T52+X52</f>
        <v>16255.24000000002</v>
      </c>
      <c r="AG52" s="779"/>
    </row>
    <row r="53" spans="1:33" s="743" customFormat="1">
      <c r="A53" s="743" t="s">
        <v>63</v>
      </c>
      <c r="C53" s="752">
        <f>VLOOKUP(A53,'305 Inputs'!$E$101:$I$110,5,FALSE)</f>
        <v>82892.25</v>
      </c>
      <c r="D53" s="746"/>
      <c r="E53" s="753">
        <f>-2555.9-568.73</f>
        <v>-3124.63</v>
      </c>
      <c r="F53" s="753"/>
      <c r="G53" s="753">
        <f>-2555.9</f>
        <v>-2555.9</v>
      </c>
      <c r="H53" s="753"/>
      <c r="I53" s="753">
        <f>-568.73</f>
        <v>-568.73</v>
      </c>
      <c r="J53" s="753"/>
      <c r="K53" s="753">
        <f>-'WA HDS Revenue'!D31</f>
        <v>-594.17999999999995</v>
      </c>
      <c r="L53" s="752"/>
      <c r="M53" s="753">
        <f>75.97-71.46</f>
        <v>4.5100000000000051</v>
      </c>
      <c r="N53" s="752"/>
      <c r="O53" s="752">
        <f t="shared" si="37"/>
        <v>79746.680000000008</v>
      </c>
      <c r="P53" s="752"/>
      <c r="Q53" s="753">
        <v>79746.64</v>
      </c>
      <c r="R53" s="752"/>
      <c r="S53" s="775">
        <f t="shared" si="38"/>
        <v>0</v>
      </c>
      <c r="T53" s="754">
        <f t="shared" si="39"/>
        <v>-4.0000000008149073E-2</v>
      </c>
      <c r="U53" s="748">
        <f t="shared" si="40"/>
        <v>0</v>
      </c>
      <c r="V53" s="753">
        <f>'Pages 4-11, All Other Schedules'!H1182</f>
        <v>79747</v>
      </c>
      <c r="W53" s="755">
        <f t="shared" si="41"/>
        <v>4.0127062341959943E-4</v>
      </c>
      <c r="X53" s="754">
        <f t="shared" si="42"/>
        <v>0.36000000000058208</v>
      </c>
      <c r="Y53" s="749"/>
      <c r="Z53" s="753">
        <v>62311</v>
      </c>
      <c r="AA53" s="749">
        <f t="shared" si="43"/>
        <v>-21.864145359700053</v>
      </c>
      <c r="AB53" s="754">
        <f t="shared" si="44"/>
        <v>-17436</v>
      </c>
      <c r="AC53" s="749"/>
      <c r="AD53" s="754">
        <f>M53+T53+X53</f>
        <v>4.8299999999924381</v>
      </c>
      <c r="AG53" s="779"/>
    </row>
    <row r="54" spans="1:33" s="743" customFormat="1">
      <c r="A54" s="743" t="s">
        <v>64</v>
      </c>
      <c r="C54" s="752">
        <f>VLOOKUP(A54,'305 Inputs'!$E$101:$I$110,5,FALSE)</f>
        <v>663184.49</v>
      </c>
      <c r="D54" s="746"/>
      <c r="E54" s="753">
        <f>-7295.51-5030.07</f>
        <v>-12325.58</v>
      </c>
      <c r="F54" s="753"/>
      <c r="G54" s="753">
        <f>-7295.51</f>
        <v>-7295.51</v>
      </c>
      <c r="H54" s="753"/>
      <c r="I54" s="753">
        <f>-5030.07</f>
        <v>-5030.07</v>
      </c>
      <c r="J54" s="753"/>
      <c r="K54" s="753">
        <f>-'WA HDS Revenue'!D32</f>
        <v>-4842.42</v>
      </c>
      <c r="L54" s="752"/>
      <c r="M54" s="753">
        <f>6531.47-3207.93</f>
        <v>3323.5400000000004</v>
      </c>
      <c r="N54" s="752"/>
      <c r="O54" s="752">
        <f t="shared" si="37"/>
        <v>654370.1</v>
      </c>
      <c r="P54" s="752"/>
      <c r="Q54" s="753">
        <f>654198.22</f>
        <v>654198.22</v>
      </c>
      <c r="R54" s="752"/>
      <c r="S54" s="775">
        <f t="shared" si="38"/>
        <v>-2.5999999999996248E-2</v>
      </c>
      <c r="T54" s="754">
        <f t="shared" si="39"/>
        <v>-171.88000000000466</v>
      </c>
      <c r="U54" s="748">
        <f t="shared" si="40"/>
        <v>0</v>
      </c>
      <c r="V54" s="753">
        <f>'Pages 4-11, All Other Schedules'!H1117</f>
        <v>654187</v>
      </c>
      <c r="W54" s="755">
        <f t="shared" si="41"/>
        <v>-2.7981107327485887E-2</v>
      </c>
      <c r="X54" s="754">
        <f t="shared" si="42"/>
        <v>-11.21999999997206</v>
      </c>
      <c r="Y54" s="749"/>
      <c r="Z54" s="753">
        <v>516157</v>
      </c>
      <c r="AA54" s="749">
        <f t="shared" si="43"/>
        <v>-21.099471557826739</v>
      </c>
      <c r="AB54" s="754">
        <f t="shared" si="44"/>
        <v>-138030</v>
      </c>
      <c r="AC54" s="749"/>
      <c r="AD54" s="754">
        <f>M54+T54+X54</f>
        <v>3140.4400000000237</v>
      </c>
      <c r="AG54" s="779"/>
    </row>
    <row r="55" spans="1:33" s="743" customFormat="1">
      <c r="A55" s="743" t="s">
        <v>65</v>
      </c>
      <c r="C55" s="752">
        <f>VLOOKUP(A55,'305 Inputs'!$E$101:$I$110,5,FALSE)</f>
        <v>244490.19</v>
      </c>
      <c r="D55" s="746"/>
      <c r="E55" s="753">
        <f>-4293.72-1635.04</f>
        <v>-5928.76</v>
      </c>
      <c r="F55" s="753"/>
      <c r="G55" s="753">
        <f>-4293.72</f>
        <v>-4293.72</v>
      </c>
      <c r="H55" s="753"/>
      <c r="I55" s="753">
        <f>-1635.04</f>
        <v>-1635.04</v>
      </c>
      <c r="J55" s="753"/>
      <c r="K55" s="753">
        <f>-'WA HDS Revenue'!D33</f>
        <v>-1720.81</v>
      </c>
      <c r="L55" s="752"/>
      <c r="M55" s="753">
        <f>-262.51-15.79+127.65</f>
        <v>-150.65</v>
      </c>
      <c r="N55" s="752"/>
      <c r="O55" s="752">
        <f t="shared" si="37"/>
        <v>238325.01</v>
      </c>
      <c r="P55" s="752"/>
      <c r="Q55" s="753">
        <f>238250.04</f>
        <v>238250.04</v>
      </c>
      <c r="R55" s="752"/>
      <c r="S55" s="775">
        <f t="shared" si="38"/>
        <v>-3.1000000000005912E-2</v>
      </c>
      <c r="T55" s="754">
        <f t="shared" si="39"/>
        <v>-74.970000000001164</v>
      </c>
      <c r="U55" s="748">
        <f t="shared" si="40"/>
        <v>0</v>
      </c>
      <c r="V55" s="753">
        <f>'Pages 4-11, All Other Schedules'!H1233</f>
        <v>238251</v>
      </c>
      <c r="W55" s="755">
        <f t="shared" si="41"/>
        <v>-3.105423136246142E-2</v>
      </c>
      <c r="X55" s="754">
        <f t="shared" si="42"/>
        <v>0.95999999999185093</v>
      </c>
      <c r="Y55" s="749"/>
      <c r="Z55" s="753">
        <v>233013</v>
      </c>
      <c r="AA55" s="749">
        <f t="shared" si="43"/>
        <v>-2.1985217270861406</v>
      </c>
      <c r="AB55" s="754">
        <f t="shared" si="44"/>
        <v>-5238</v>
      </c>
      <c r="AC55" s="749"/>
      <c r="AD55" s="754">
        <f>M55+T55+X55</f>
        <v>-224.66000000000932</v>
      </c>
      <c r="AG55" s="779"/>
    </row>
    <row r="56" spans="1:33">
      <c r="A56" s="121" t="s">
        <v>282</v>
      </c>
      <c r="C56" s="139">
        <f>SUM(C51:C55)</f>
        <v>1278915.72</v>
      </c>
      <c r="D56" s="127"/>
      <c r="E56" s="147">
        <f>SUM(E51:E55)</f>
        <v>-31781.5</v>
      </c>
      <c r="F56" s="147"/>
      <c r="G56" s="147">
        <f>SUM(G51:G55)</f>
        <v>-22550.15</v>
      </c>
      <c r="H56" s="147"/>
      <c r="I56" s="147">
        <f>SUM(I51:I55)</f>
        <v>-9231.3499999999985</v>
      </c>
      <c r="J56" s="147"/>
      <c r="K56" s="147">
        <f>SUM(K51:K55)</f>
        <v>-9189.1</v>
      </c>
      <c r="L56" s="139"/>
      <c r="M56" s="139">
        <f>SUM(M51:M55)</f>
        <v>18813.239999999998</v>
      </c>
      <c r="N56" s="139"/>
      <c r="O56" s="139">
        <f>SUM(O51:O55)</f>
        <v>1265989.71</v>
      </c>
      <c r="P56" s="139"/>
      <c r="Q56" s="139">
        <f>SUM(Q51:Q55)</f>
        <v>1266035.9099999999</v>
      </c>
      <c r="R56" s="139"/>
      <c r="S56" s="149">
        <f t="shared" si="38"/>
        <v>4.0000000000048885E-3</v>
      </c>
      <c r="T56" s="148">
        <f>SUM(T51:T55)</f>
        <v>46.199999999975262</v>
      </c>
      <c r="U56" s="134">
        <f t="shared" si="40"/>
        <v>0</v>
      </c>
      <c r="V56" s="139">
        <f>SUM(V51:V55)</f>
        <v>1265963.04</v>
      </c>
      <c r="W56" s="756">
        <f t="shared" si="41"/>
        <v>-2.1066521938733211E-3</v>
      </c>
      <c r="X56" s="148">
        <f t="shared" si="42"/>
        <v>-72.869999999878928</v>
      </c>
      <c r="Y56" s="135"/>
      <c r="Z56" s="139">
        <f>SUM(Z51:Z55)</f>
        <v>1084618.54</v>
      </c>
      <c r="AA56" s="135">
        <f t="shared" si="43"/>
        <v>-14.324628308264039</v>
      </c>
      <c r="AB56" s="148">
        <f t="shared" si="44"/>
        <v>-181344.5</v>
      </c>
      <c r="AC56" s="135"/>
      <c r="AD56" s="148">
        <f>SUM(AD51:AD55)</f>
        <v>18786.570000000036</v>
      </c>
      <c r="AE56" s="130"/>
    </row>
    <row r="57" spans="1:33">
      <c r="D57" s="127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49"/>
      <c r="T57" s="130"/>
      <c r="U57" s="134"/>
      <c r="V57" s="130"/>
      <c r="W57" s="756"/>
      <c r="X57" s="130"/>
      <c r="Y57" s="130"/>
      <c r="Z57" s="130"/>
      <c r="AA57" s="130"/>
      <c r="AB57" s="130"/>
      <c r="AC57" s="130"/>
      <c r="AD57" s="130"/>
      <c r="AE57" s="130"/>
    </row>
    <row r="58" spans="1:33">
      <c r="A58" s="121" t="s">
        <v>283</v>
      </c>
      <c r="C58" s="139">
        <f>C56+C47+C41+C28+C14</f>
        <v>309641955.81000006</v>
      </c>
      <c r="D58" s="127"/>
      <c r="E58" s="1112">
        <f>E56+E47+E41+E28+E14</f>
        <v>-10659415.960000001</v>
      </c>
      <c r="F58" s="139"/>
      <c r="G58" s="142">
        <f>G56+G47+G41+G28+G14</f>
        <v>-8775130.0800000019</v>
      </c>
      <c r="H58" s="139"/>
      <c r="I58" s="1112">
        <f>I56+I47+I41+I28+I14</f>
        <v>-1884285.88</v>
      </c>
      <c r="J58" s="139"/>
      <c r="K58" s="142">
        <f>K56+K47+K41+K28+K14</f>
        <v>-1930447.81</v>
      </c>
      <c r="L58" s="139"/>
      <c r="M58" s="139">
        <f>M56+M47+M41+M28+M14</f>
        <v>288654.96999999997</v>
      </c>
      <c r="N58" s="139"/>
      <c r="O58" s="139">
        <f>O56+O47+O41+O28+O14</f>
        <v>299225032.89000005</v>
      </c>
      <c r="P58" s="139"/>
      <c r="Q58" s="139">
        <f>Q56+Q47+Q41+Q28+Q14</f>
        <v>299299837.78403902</v>
      </c>
      <c r="R58" s="139"/>
      <c r="S58" s="149">
        <f>ROUND(Q58/O58*100,3)-100</f>
        <v>2.5000000000005684E-2</v>
      </c>
      <c r="T58" s="139">
        <f>T56+T47+T41+T28+T14</f>
        <v>74804.894039043313</v>
      </c>
      <c r="U58" s="134">
        <f>IF(ABS(S58)&lt;=0.5,0,IF(O58&gt;Q58,(O58*0.995)-Q58,(O58*1.005)-Q58))</f>
        <v>0</v>
      </c>
      <c r="V58" s="139">
        <f>V56+V47+V41+V28+V14</f>
        <v>303518305.17000008</v>
      </c>
      <c r="W58" s="756">
        <f>((V58-O58)/O58)*100</f>
        <v>1.4347971620336681</v>
      </c>
      <c r="X58" s="148">
        <f>V58-Q58</f>
        <v>4218467.3859610558</v>
      </c>
      <c r="Y58" s="135"/>
      <c r="Z58" s="139" t="e">
        <f>Z56+Z47+Z41+Z28+Z14</f>
        <v>#REF!</v>
      </c>
      <c r="AA58" s="135" t="e">
        <f>((Z58-V58)/V58)*100</f>
        <v>#REF!</v>
      </c>
      <c r="AB58" s="148" t="e">
        <f>Z58-V58</f>
        <v>#REF!</v>
      </c>
      <c r="AC58" s="135"/>
      <c r="AD58" s="139">
        <f>AD56+AD47+AD41+AD28+AD14</f>
        <v>4581927.2499999832</v>
      </c>
      <c r="AE58" s="130"/>
      <c r="AG58" s="780"/>
    </row>
    <row r="59" spans="1:33">
      <c r="D59" s="127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0"/>
      <c r="T59" s="148" t="s">
        <v>31</v>
      </c>
      <c r="U59" s="134"/>
      <c r="V59" s="130"/>
      <c r="W59" s="130"/>
      <c r="X59" s="148" t="s">
        <v>31</v>
      </c>
      <c r="Y59" s="130"/>
      <c r="Z59" s="130"/>
      <c r="AA59" s="130"/>
      <c r="AB59" s="130"/>
      <c r="AC59" s="130"/>
      <c r="AD59" s="130"/>
      <c r="AE59" s="130"/>
    </row>
    <row r="60" spans="1:33">
      <c r="D60" s="127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0"/>
      <c r="T60" s="130"/>
      <c r="U60" s="134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</row>
    <row r="61" spans="1:33">
      <c r="D61" s="127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0"/>
      <c r="T61" s="130"/>
      <c r="U61" s="134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</row>
    <row r="62" spans="1:33">
      <c r="A62" s="121" t="s">
        <v>284</v>
      </c>
      <c r="C62" s="138"/>
      <c r="D62" s="127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0"/>
      <c r="T62" s="130"/>
      <c r="U62" s="134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</row>
    <row r="63" spans="1:33">
      <c r="A63" s="121" t="s">
        <v>272</v>
      </c>
      <c r="C63" s="139">
        <f>SUMIF($A$6:$A$56,$A63,C$6:C$56)</f>
        <v>159693.47</v>
      </c>
      <c r="D63" s="139"/>
      <c r="E63" s="139">
        <f>SUMIF($A$6:$A$56,$A63,E$6:E$56)</f>
        <v>-3423.01</v>
      </c>
      <c r="F63" s="139"/>
      <c r="G63" s="139">
        <f>SUMIF($A$6:$A$56,$A63,G$6:G$56)</f>
        <v>-2390.2800000000002</v>
      </c>
      <c r="H63" s="139"/>
      <c r="I63" s="139">
        <f>SUMIF($A$6:$A$56,$A63,I$6:I$56)</f>
        <v>-1032.73</v>
      </c>
      <c r="J63" s="139"/>
      <c r="K63" s="139">
        <f>SUMIF($A$6:$A$56,$A63,K$6:K$56)</f>
        <v>-1087.44</v>
      </c>
      <c r="L63" s="139"/>
      <c r="M63" s="139">
        <f>SUMIF($A$6:$A$56,$A63,M$6:M$56)</f>
        <v>605.80000000000007</v>
      </c>
      <c r="N63" s="139"/>
      <c r="O63" s="139">
        <f>SUMIF($A$6:$A$56,$A63,O$6:O$56)</f>
        <v>156821.54999999999</v>
      </c>
      <c r="P63" s="139"/>
      <c r="Q63" s="139">
        <f>SUMIF($A$6:$A$56,$A63,Q$6:Q$56)</f>
        <v>156877.14000000001</v>
      </c>
      <c r="R63" s="139"/>
      <c r="S63" s="149">
        <f>ROUND(Q63/O63*100,3)-100</f>
        <v>3.4999999999996589E-2</v>
      </c>
      <c r="T63" s="148">
        <f>Q63-O63</f>
        <v>55.590000000025611</v>
      </c>
      <c r="U63" s="134">
        <f>IF(ABS(S63)&lt;=0.5,0,IF(O63&gt;Q63,(O63*0.995)-Q63,(O63*1.005)-Q63))</f>
        <v>0</v>
      </c>
      <c r="V63" s="139">
        <f>SUMIF($A$6:$A$56,$A63,V$6:V$56)</f>
        <v>156872.52000000002</v>
      </c>
      <c r="W63" s="135">
        <f>((V63-O63)/O63)*100</f>
        <v>3.2501910611156613E-2</v>
      </c>
      <c r="X63" s="148">
        <f>V63-Q63</f>
        <v>-4.6199999999953434</v>
      </c>
      <c r="Y63" s="135"/>
      <c r="Z63" s="139">
        <f>SUMIF($A$6:$A$56,$A63,Z$6:Z$56)</f>
        <v>0</v>
      </c>
      <c r="AA63" s="135">
        <f>((Z63-V63)/V63)*100</f>
        <v>-100</v>
      </c>
      <c r="AB63" s="148">
        <f>Z63-V63</f>
        <v>-156872.52000000002</v>
      </c>
      <c r="AC63" s="135"/>
      <c r="AD63" s="148">
        <f>M63+T63</f>
        <v>661.39000000002568</v>
      </c>
      <c r="AE63" s="130"/>
    </row>
    <row r="64" spans="1:33">
      <c r="A64" s="121" t="s">
        <v>55</v>
      </c>
      <c r="C64" s="139">
        <f>SUMIF($A$6:$A$56,$A64,C$6:C$56)</f>
        <v>334896.59999999998</v>
      </c>
      <c r="D64" s="139"/>
      <c r="E64" s="139">
        <f>SUMIF($A$6:$A$56,$A64,E$6:E$56)</f>
        <v>-7562.56</v>
      </c>
      <c r="F64" s="139"/>
      <c r="G64" s="139">
        <f>SUMIF($A$6:$A$56,$A64,G$6:G$56)</f>
        <v>-5257.02</v>
      </c>
      <c r="H64" s="139"/>
      <c r="I64" s="139">
        <f>SUMIF($A$6:$A$56,$A64,I$6:I$56)</f>
        <v>-2305.54</v>
      </c>
      <c r="J64" s="139"/>
      <c r="K64" s="139">
        <f>SUMIF($A$6:$A$56,$A64,K$6:K$56)</f>
        <v>-2421.34</v>
      </c>
      <c r="L64" s="139"/>
      <c r="M64" s="139">
        <f>SUMIF($A$6:$A$56,$A64,M$6:M$56)</f>
        <v>318.04999999999995</v>
      </c>
      <c r="N64" s="139"/>
      <c r="O64" s="139">
        <f>SUMIF($A$6:$A$56,$A64,O$6:O$56)</f>
        <v>327536.29000000004</v>
      </c>
      <c r="P64" s="139"/>
      <c r="Q64" s="139">
        <f>SUMIF($A$6:$A$56,$A64,Q$6:Q$56)</f>
        <v>327480.76</v>
      </c>
      <c r="R64" s="139"/>
      <c r="S64" s="149">
        <f>ROUND(Q64/O64*100,3)-100</f>
        <v>-1.6999999999995907E-2</v>
      </c>
      <c r="T64" s="148">
        <f>Q64-O64</f>
        <v>-55.53000000002794</v>
      </c>
      <c r="U64" s="134">
        <f>IF(ABS(S64)&lt;=0.5,0,IF(O64&gt;Q64,(O64*0.995)-Q64,(O64*1.005)-Q64))</f>
        <v>0</v>
      </c>
      <c r="V64" s="139">
        <f>SUMIF($A$6:$A$56,$A64,V$6:V$56)</f>
        <v>327487.58</v>
      </c>
      <c r="W64" s="135">
        <f>((V64-O64)/O64)*100</f>
        <v>-1.4871634529419914E-2</v>
      </c>
      <c r="X64" s="148">
        <f>V64-Q64</f>
        <v>6.8200000000069849</v>
      </c>
      <c r="Y64" s="135"/>
      <c r="Z64" s="139">
        <f>SUMIF($A$6:$A$56,$A64,Z$6:Z$56)</f>
        <v>315750</v>
      </c>
      <c r="AA64" s="135">
        <f>((Z64-V64)/V64)*100</f>
        <v>-3.5841298164651056</v>
      </c>
      <c r="AB64" s="148">
        <f>Z64-V64</f>
        <v>-11737.580000000016</v>
      </c>
      <c r="AC64" s="135"/>
      <c r="AD64" s="148">
        <f>M64+T64</f>
        <v>262.51999999997201</v>
      </c>
      <c r="AE64" s="130"/>
    </row>
    <row r="65" spans="1:31">
      <c r="A65" s="121" t="s">
        <v>285</v>
      </c>
      <c r="C65" s="142">
        <f>SUM(C63:C64)</f>
        <v>494590.06999999995</v>
      </c>
      <c r="D65" s="142"/>
      <c r="E65" s="142">
        <f>SUM(E63:E64)</f>
        <v>-10985.57</v>
      </c>
      <c r="F65" s="142"/>
      <c r="G65" s="142">
        <f>SUM(G63:G64)</f>
        <v>-7647.3000000000011</v>
      </c>
      <c r="H65" s="142"/>
      <c r="I65" s="142">
        <f>SUM(I63:I64)</f>
        <v>-3338.27</v>
      </c>
      <c r="J65" s="142"/>
      <c r="K65" s="142">
        <f>SUM(K63:K64)</f>
        <v>-3508.78</v>
      </c>
      <c r="L65" s="142"/>
      <c r="M65" s="142">
        <f>SUM(M63:M64)</f>
        <v>923.85</v>
      </c>
      <c r="N65" s="142"/>
      <c r="O65" s="142">
        <f>SUM(O63:O64)</f>
        <v>484357.84</v>
      </c>
      <c r="P65" s="142"/>
      <c r="Q65" s="142">
        <f>SUM(Q63:Q64)</f>
        <v>484357.9</v>
      </c>
      <c r="R65" s="142"/>
      <c r="S65" s="149">
        <f>ROUND(Q65/O65*100,3)-100</f>
        <v>0</v>
      </c>
      <c r="T65" s="148">
        <f>Q65-O65</f>
        <v>5.9999999997671694E-2</v>
      </c>
      <c r="U65" s="134">
        <f>IF(ABS(S65)&lt;=0.5,0,IF(O65&gt;Q65,(O65*0.995)-Q65,(O65*1.005)-Q65))</f>
        <v>0</v>
      </c>
      <c r="V65" s="142">
        <f>SUM(V63:V64)</f>
        <v>484360.10000000003</v>
      </c>
      <c r="W65" s="135">
        <f>((V65-O65)/O65)*100</f>
        <v>4.6659717534649857E-4</v>
      </c>
      <c r="X65" s="148">
        <f>V65-Q65</f>
        <v>2.2000000000116415</v>
      </c>
      <c r="Y65" s="135"/>
      <c r="Z65" s="142">
        <f>SUM(Z63:Z64)</f>
        <v>315750</v>
      </c>
      <c r="AA65" s="135">
        <f>((Z65-V65)/V65)*100</f>
        <v>-34.810897924911657</v>
      </c>
      <c r="AB65" s="148">
        <f>Z65-V65</f>
        <v>-168610.10000000003</v>
      </c>
      <c r="AC65" s="135"/>
      <c r="AD65" s="148">
        <f>SUM(AD63:AD64)</f>
        <v>923.90999999999769</v>
      </c>
      <c r="AE65" s="130"/>
    </row>
    <row r="66" spans="1:31"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49"/>
      <c r="T66" s="148"/>
      <c r="U66" s="134"/>
      <c r="V66" s="138"/>
      <c r="W66" s="135"/>
      <c r="X66" s="135"/>
      <c r="Y66" s="135"/>
      <c r="Z66" s="138"/>
      <c r="AA66" s="135"/>
      <c r="AB66" s="135"/>
      <c r="AC66" s="135"/>
      <c r="AD66" s="135"/>
      <c r="AE66" s="130"/>
    </row>
    <row r="67" spans="1:31">
      <c r="A67" s="121" t="s">
        <v>268</v>
      </c>
      <c r="C67" s="139">
        <f>SUMIF($A$6:$A$56,$A67,C$6:C$56)</f>
        <v>131784572.25</v>
      </c>
      <c r="D67" s="139"/>
      <c r="E67" s="139">
        <f>SUMIF($A$6:$A$56,$A67,E$6:E$56)</f>
        <v>-4565089.8500000006</v>
      </c>
      <c r="F67" s="139"/>
      <c r="G67" s="139">
        <f>SUMIF($A$6:$A$56,$A67,G$6:G$56)</f>
        <v>-3768548.3000000003</v>
      </c>
      <c r="H67" s="139"/>
      <c r="I67" s="139">
        <f>SUMIF($A$6:$A$56,$A67,I$6:I$56)</f>
        <v>-796541.55</v>
      </c>
      <c r="J67" s="139"/>
      <c r="K67" s="139">
        <f>SUMIF($A$6:$A$56,$A67,K$6:K$56)</f>
        <v>-825377.85</v>
      </c>
      <c r="L67" s="139"/>
      <c r="M67" s="139">
        <f>SUMIF($A$6:$A$56,$A67,M$6:M$56)</f>
        <v>5859.73</v>
      </c>
      <c r="N67" s="139"/>
      <c r="O67" s="139">
        <f>SUMIF($A$6:$A$56,$A67,O$6:O$56)</f>
        <v>127196505.83000001</v>
      </c>
      <c r="P67" s="139"/>
      <c r="Q67" s="139">
        <f>SUMIF($A$6:$A$56,$A67,Q$6:Q$56)</f>
        <v>127310950.760444</v>
      </c>
      <c r="R67" s="139"/>
      <c r="S67" s="149">
        <f>ROUND(Q67/O67*100,3)-100</f>
        <v>9.0000000000003411E-2</v>
      </c>
      <c r="T67" s="148">
        <f>Q67-O67</f>
        <v>114444.93044398725</v>
      </c>
      <c r="U67" s="134">
        <f>IF(ABS(S67)&lt;=0.5,0,IF(O67&gt;Q67,(O67*0.995)-Q67,(O67*1.005)-Q67))</f>
        <v>0</v>
      </c>
      <c r="V67" s="139">
        <f>SUMIF($A$6:$A$56,$A67,V$6:V$56)</f>
        <v>129186960.568885</v>
      </c>
      <c r="W67" s="135">
        <f>((V67-O67)/O67)*100</f>
        <v>1.564865894622339</v>
      </c>
      <c r="X67" s="148">
        <f>V67-Q67</f>
        <v>1876009.8084409982</v>
      </c>
      <c r="Y67" s="135"/>
      <c r="Z67" s="139" t="e">
        <f>SUMIF($A$6:$A$56,$A67,Z$6:Z$56)</f>
        <v>#REF!</v>
      </c>
      <c r="AA67" s="135" t="e">
        <f>((Z67-V67)/V67)*100</f>
        <v>#REF!</v>
      </c>
      <c r="AB67" s="148" t="e">
        <f>Z67-V67</f>
        <v>#REF!</v>
      </c>
      <c r="AC67" s="135"/>
      <c r="AD67" s="148">
        <f>M67+T67</f>
        <v>120304.66044398725</v>
      </c>
      <c r="AE67" s="130"/>
    </row>
    <row r="68" spans="1:31">
      <c r="A68" s="121" t="s">
        <v>269</v>
      </c>
      <c r="C68" s="139">
        <f>SUMIF($A$6:$A$56,$A68,C$6:C$56)</f>
        <v>5397763.5499999998</v>
      </c>
      <c r="D68" s="139"/>
      <c r="E68" s="139">
        <f>SUMIF($A$6:$A$56,$A68,E$6:E$56)</f>
        <v>-187750.26</v>
      </c>
      <c r="F68" s="139"/>
      <c r="G68" s="139">
        <f>SUMIF($A$6:$A$56,$A68,G$6:G$56)</f>
        <v>-154923.68</v>
      </c>
      <c r="H68" s="139"/>
      <c r="I68" s="139">
        <f>SUMIF($A$6:$A$56,$A68,I$6:I$56)</f>
        <v>-32826.58</v>
      </c>
      <c r="J68" s="139"/>
      <c r="K68" s="139">
        <f>SUMIF($A$6:$A$56,$A68,K$6:K$56)</f>
        <v>-34027.089999999997</v>
      </c>
      <c r="L68" s="139"/>
      <c r="M68" s="139">
        <f>SUMIF($A$6:$A$56,$A68,M$6:M$56)</f>
        <v>-2178.0500000000002</v>
      </c>
      <c r="N68" s="139"/>
      <c r="O68" s="139">
        <f>SUMIF($A$6:$A$56,$A68,O$6:O$56)</f>
        <v>5206634.7300000004</v>
      </c>
      <c r="P68" s="139"/>
      <c r="Q68" s="139">
        <f>SUMIF($A$6:$A$56,$A68,Q$6:Q$56)</f>
        <v>5206929.0000350298</v>
      </c>
      <c r="R68" s="139"/>
      <c r="S68" s="149">
        <f>ROUND(Q68/O68*100,3)-100</f>
        <v>6.0000000000002274E-3</v>
      </c>
      <c r="T68" s="148">
        <f>Q68-O68</f>
        <v>294.27003502938896</v>
      </c>
      <c r="U68" s="134">
        <f>IF(ABS(S68)&lt;=0.5,0,IF(O68&gt;Q68,(O68*0.995)-Q68,(O68*1.005)-Q68))</f>
        <v>0</v>
      </c>
      <c r="V68" s="139">
        <f>SUMIF($A$6:$A$56,$A68,V$6:V$56)</f>
        <v>5284000.3600000003</v>
      </c>
      <c r="W68" s="135">
        <f>((V68-O68)/O68)*100</f>
        <v>1.4859046968328404</v>
      </c>
      <c r="X68" s="148">
        <f>V68-Q68</f>
        <v>77071.359964970499</v>
      </c>
      <c r="Y68" s="135"/>
      <c r="Z68" s="139">
        <f>SUMIF($A$6:$A$56,$A68,Z$6:Z$56)</f>
        <v>4635674</v>
      </c>
      <c r="AA68" s="135">
        <f>((Z68-V68)/V68)*100</f>
        <v>-12.269612335908326</v>
      </c>
      <c r="AB68" s="148">
        <f>Z68-V68</f>
        <v>-648326.36000000034</v>
      </c>
      <c r="AC68" s="135"/>
      <c r="AD68" s="148">
        <f>M68+T68</f>
        <v>-1883.7799649706112</v>
      </c>
      <c r="AE68" s="130"/>
    </row>
    <row r="69" spans="1:31">
      <c r="A69" s="121" t="s">
        <v>286</v>
      </c>
      <c r="C69" s="142">
        <f>SUM(C67:C68)</f>
        <v>137182335.80000001</v>
      </c>
      <c r="D69" s="142"/>
      <c r="E69" s="142">
        <f>SUM(E67:E68)</f>
        <v>-4752840.1100000003</v>
      </c>
      <c r="F69" s="142"/>
      <c r="G69" s="142">
        <f>SUM(G67:G68)</f>
        <v>-3923471.9800000004</v>
      </c>
      <c r="H69" s="142"/>
      <c r="I69" s="142">
        <f>SUM(I67:I68)</f>
        <v>-829368.13</v>
      </c>
      <c r="J69" s="142"/>
      <c r="K69" s="142">
        <f>SUM(K67:K68)</f>
        <v>-859404.94</v>
      </c>
      <c r="L69" s="142"/>
      <c r="M69" s="142">
        <f>SUM(M67:M68)</f>
        <v>3681.6799999999994</v>
      </c>
      <c r="N69" s="142"/>
      <c r="O69" s="142">
        <f>SUM(O67:O68)</f>
        <v>132403140.56000002</v>
      </c>
      <c r="P69" s="142"/>
      <c r="Q69" s="142">
        <f>SUM(Q67:Q68)</f>
        <v>132517879.76047903</v>
      </c>
      <c r="R69" s="142"/>
      <c r="S69" s="149">
        <f>ROUND(Q69/O69*100,3)-100</f>
        <v>8.7000000000003297E-2</v>
      </c>
      <c r="T69" s="148">
        <f>Q69-O69</f>
        <v>114739.20047901571</v>
      </c>
      <c r="U69" s="134">
        <f>IF(ABS(S69)&lt;=0.5,0,IF(O69&gt;Q69,(O69*0.995)-Q69,(O69*1.005)-Q69))</f>
        <v>0</v>
      </c>
      <c r="V69" s="142">
        <f>SUM(V67:V68)</f>
        <v>134470960.92888501</v>
      </c>
      <c r="W69" s="135">
        <f>((V69-O69)/O69)*100</f>
        <v>1.561760816351587</v>
      </c>
      <c r="X69" s="148">
        <f>V69-Q69</f>
        <v>1953081.1684059799</v>
      </c>
      <c r="Y69" s="135"/>
      <c r="Z69" s="142" t="e">
        <f>SUM(Z67:Z68)</f>
        <v>#REF!</v>
      </c>
      <c r="AA69" s="135" t="e">
        <f>((Z69-V69)/V69)*100</f>
        <v>#REF!</v>
      </c>
      <c r="AB69" s="148" t="e">
        <f>Z69-V69</f>
        <v>#REF!</v>
      </c>
      <c r="AC69" s="135"/>
      <c r="AD69" s="148">
        <f>SUM(AD67:AD68)</f>
        <v>118420.88047901663</v>
      </c>
      <c r="AE69" s="130"/>
    </row>
    <row r="70" spans="1:31"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9"/>
      <c r="T70" s="148"/>
      <c r="U70" s="134"/>
      <c r="V70" s="142"/>
      <c r="W70" s="135"/>
      <c r="X70" s="148"/>
      <c r="Y70" s="135"/>
      <c r="Z70" s="142"/>
      <c r="AA70" s="135"/>
      <c r="AB70" s="148"/>
      <c r="AC70" s="135"/>
      <c r="AD70" s="148"/>
      <c r="AE70" s="130"/>
    </row>
    <row r="71" spans="1:31">
      <c r="A71" s="130" t="s">
        <v>252</v>
      </c>
      <c r="C71" s="139">
        <f>SUMIF($A$6:$A$56,$A71,C$6:C$56)</f>
        <v>59251.360000000001</v>
      </c>
      <c r="D71" s="139"/>
      <c r="E71" s="139">
        <f>SUMIF($A$6:$A$56,$A71,E$6:E$56)</f>
        <v>-1901.87</v>
      </c>
      <c r="F71" s="139"/>
      <c r="G71" s="139">
        <f>SUMIF($A$6:$A$56,$A71,G$6:G$56)</f>
        <v>-1553.1</v>
      </c>
      <c r="H71" s="139"/>
      <c r="I71" s="139">
        <f>SUMIF($A$6:$A$56,$A71,I$6:I$56)</f>
        <v>-348.77</v>
      </c>
      <c r="J71" s="139"/>
      <c r="K71" s="139">
        <f>SUMIF($A$6:$A$56,$A71,K$6:K$56)</f>
        <v>-350.04</v>
      </c>
      <c r="L71" s="139"/>
      <c r="M71" s="139">
        <f>SUMIF($A$6:$A$56,$A71,M$6:M$56)</f>
        <v>-1743.94</v>
      </c>
      <c r="N71" s="139"/>
      <c r="O71" s="139">
        <f>SUMIF($A$6:$A$56,$A71,O$6:O$56)</f>
        <v>55604.28</v>
      </c>
      <c r="P71" s="139"/>
      <c r="Q71" s="139">
        <f>SUMIF($A$6:$A$56,$A71,Q$6:Q$56)</f>
        <v>55614.801115000002</v>
      </c>
      <c r="R71" s="139"/>
      <c r="S71" s="149">
        <f>ROUND(Q71/O71*100,3)-100</f>
        <v>1.9000000000005457E-2</v>
      </c>
      <c r="T71" s="148">
        <f>Q71-O71</f>
        <v>10.521115000003192</v>
      </c>
      <c r="U71" s="134">
        <f>IF(ABS(S71)&lt;=0.5,0,IF(O71&gt;Q71,(O71*0.995)-Q71,(O71*1.005)-Q71))</f>
        <v>0</v>
      </c>
      <c r="V71" s="139">
        <f>SUMIF($A$6:$A$56,$A71,V$6:V$56)</f>
        <v>55614.801115000002</v>
      </c>
      <c r="W71" s="135">
        <f>((V71-O71)/O71)*100</f>
        <v>1.8921412164680834E-2</v>
      </c>
      <c r="X71" s="148">
        <f>V71-Q71</f>
        <v>0</v>
      </c>
      <c r="Y71" s="135"/>
      <c r="Z71" s="139">
        <f>SUMIF($A$6:$A$56,$A71,Z$6:Z$56)</f>
        <v>149347</v>
      </c>
      <c r="AA71" s="135">
        <f>((Z71-V71)/V71)*100</f>
        <v>168.53822544682131</v>
      </c>
      <c r="AB71" s="148">
        <f>Z71-V71</f>
        <v>93732.198884999991</v>
      </c>
      <c r="AC71" s="135"/>
      <c r="AD71" s="148">
        <f>M71+T71</f>
        <v>-1733.4188849999969</v>
      </c>
      <c r="AE71" s="130"/>
    </row>
    <row r="72" spans="1:31"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49"/>
      <c r="T72" s="148"/>
      <c r="U72" s="134"/>
      <c r="V72" s="138"/>
      <c r="W72" s="135"/>
      <c r="X72" s="135"/>
      <c r="Y72" s="135"/>
      <c r="Z72" s="138"/>
      <c r="AA72" s="135"/>
      <c r="AB72" s="135"/>
      <c r="AC72" s="135"/>
      <c r="AD72" s="135"/>
      <c r="AE72" s="130"/>
    </row>
    <row r="73" spans="1:31">
      <c r="A73" s="121" t="s">
        <v>270</v>
      </c>
      <c r="C73" s="139">
        <f>SUMIF($A$6:$A$56,$A73,C$6:C$56)</f>
        <v>208307.71</v>
      </c>
      <c r="D73" s="139"/>
      <c r="E73" s="139">
        <f>SUMIF($A$6:$A$56,$A73,E$6:E$56)</f>
        <v>-6607</v>
      </c>
      <c r="F73" s="139"/>
      <c r="G73" s="139">
        <f>SUMIF($A$6:$A$56,$A73,G$6:G$56)</f>
        <v>-5429.78</v>
      </c>
      <c r="H73" s="139"/>
      <c r="I73" s="139">
        <f>SUMIF($A$6:$A$56,$A73,I$6:I$56)</f>
        <v>-1177.22</v>
      </c>
      <c r="J73" s="139"/>
      <c r="K73" s="139">
        <f>SUMIF($A$6:$A$56,$A73,K$6:K$56)</f>
        <v>-1186.02</v>
      </c>
      <c r="L73" s="139"/>
      <c r="M73" s="139">
        <f>SUMIF($A$6:$A$56,$A73,M$6:M$56)</f>
        <v>14.31</v>
      </c>
      <c r="N73" s="139"/>
      <c r="O73" s="139">
        <f>SUMIF($A$6:$A$56,$A73,O$6:O$56)</f>
        <v>201706.22</v>
      </c>
      <c r="P73" s="139"/>
      <c r="Q73" s="139">
        <f>SUMIF($A$6:$A$56,$A73,Q$6:Q$56)</f>
        <v>201796.460705</v>
      </c>
      <c r="R73" s="139"/>
      <c r="S73" s="149">
        <f>ROUND(Q73/O73*100,3)-100</f>
        <v>4.5000000000001705E-2</v>
      </c>
      <c r="T73" s="148">
        <f>Q73-O73</f>
        <v>90.2407050000038</v>
      </c>
      <c r="U73" s="134">
        <f>IF(ABS(S73)&lt;=0.5,0,IF(O73&gt;Q73,(O73*0.995)-Q73,(O73*1.005)-Q73))</f>
        <v>0</v>
      </c>
      <c r="V73" s="139">
        <f>SUMIF($A$6:$A$56,$A73,V$6:V$56)</f>
        <v>204701.97</v>
      </c>
      <c r="W73" s="135">
        <f>((V73-O73)/O73)*100</f>
        <v>1.4852045712819368</v>
      </c>
      <c r="X73" s="148">
        <f>V73-Q73</f>
        <v>2905.5092949999962</v>
      </c>
      <c r="Y73" s="135"/>
      <c r="Z73" s="139">
        <f>SUMIF($A$6:$A$56,$A73,Z$6:Z$56)</f>
        <v>179760</v>
      </c>
      <c r="AA73" s="135">
        <f>((Z73-V73)/V73)*100</f>
        <v>-12.184528561205347</v>
      </c>
      <c r="AB73" s="148">
        <f>Z73-V73</f>
        <v>-24941.97</v>
      </c>
      <c r="AC73" s="135"/>
      <c r="AD73" s="148">
        <f>M73+T73</f>
        <v>104.5507050000038</v>
      </c>
      <c r="AE73" s="130"/>
    </row>
    <row r="74" spans="1:31">
      <c r="A74" s="121" t="s">
        <v>271</v>
      </c>
      <c r="C74" s="139">
        <f>SUMIF($A$6:$A$56,$A74,C$6:C$56)</f>
        <v>40020.43</v>
      </c>
      <c r="D74" s="139"/>
      <c r="E74" s="139">
        <f>SUMIF($A$6:$A$56,$A74,E$6:E$56)</f>
        <v>-1291.44</v>
      </c>
      <c r="F74" s="139"/>
      <c r="G74" s="139">
        <f>SUMIF($A$6:$A$56,$A74,G$6:G$56)</f>
        <v>-1061.77</v>
      </c>
      <c r="H74" s="139"/>
      <c r="I74" s="139">
        <f>SUMIF($A$6:$A$56,$A74,I$6:I$56)</f>
        <v>-229.67</v>
      </c>
      <c r="J74" s="139"/>
      <c r="K74" s="139">
        <f>SUMIF($A$6:$A$56,$A74,K$6:K$56)</f>
        <v>-231</v>
      </c>
      <c r="L74" s="139"/>
      <c r="M74" s="139">
        <f>SUMIF($A$6:$A$56,$A74,M$6:M$56)</f>
        <v>0</v>
      </c>
      <c r="N74" s="139"/>
      <c r="O74" s="139">
        <f>SUMIF($A$6:$A$56,$A74,O$6:O$56)</f>
        <v>38727.660000000003</v>
      </c>
      <c r="P74" s="139"/>
      <c r="Q74" s="139">
        <f>SUMIF($A$6:$A$56,$A74,Q$6:Q$56)</f>
        <v>38729.271739999996</v>
      </c>
      <c r="R74" s="139"/>
      <c r="S74" s="149">
        <f>ROUND(Q74/O74*100,3)-100</f>
        <v>4.0000000000048885E-3</v>
      </c>
      <c r="T74" s="148">
        <f>Q74-O74</f>
        <v>1.6117399999930058</v>
      </c>
      <c r="U74" s="134">
        <f>IF(ABS(S74)&lt;=0.5,0,IF(O74&gt;Q74,(O74*0.995)-Q74,(O74*1.005)-Q74))</f>
        <v>0</v>
      </c>
      <c r="V74" s="139">
        <f>SUMIF($A$6:$A$56,$A74,V$6:V$56)</f>
        <v>39288</v>
      </c>
      <c r="W74" s="135">
        <f>((V74-O74)/O74)*100</f>
        <v>1.4468728552151007</v>
      </c>
      <c r="X74" s="148">
        <f>V74-Q74</f>
        <v>558.7282600000035</v>
      </c>
      <c r="Y74" s="135"/>
      <c r="Z74" s="139">
        <f>SUMIF($A$6:$A$56,$A74,Z$6:Z$56)</f>
        <v>34542</v>
      </c>
      <c r="AA74" s="135">
        <f>((Z74-V74)/V74)*100</f>
        <v>-12.080024434941967</v>
      </c>
      <c r="AB74" s="148">
        <f>Z74-V74</f>
        <v>-4746</v>
      </c>
      <c r="AC74" s="135"/>
      <c r="AD74" s="148">
        <f>M74+T74</f>
        <v>1.6117399999930058</v>
      </c>
      <c r="AE74" s="130"/>
    </row>
    <row r="75" spans="1:31">
      <c r="A75" s="121" t="s">
        <v>287</v>
      </c>
      <c r="C75" s="142">
        <f>SUM(C73:C74)</f>
        <v>248328.13999999998</v>
      </c>
      <c r="D75" s="142"/>
      <c r="E75" s="142">
        <f>SUM(E73:E74)</f>
        <v>-7898.4400000000005</v>
      </c>
      <c r="F75" s="142"/>
      <c r="G75" s="142">
        <f>SUM(G73:G74)</f>
        <v>-6491.5499999999993</v>
      </c>
      <c r="H75" s="142"/>
      <c r="I75" s="142">
        <f>SUM(I73:I74)</f>
        <v>-1406.89</v>
      </c>
      <c r="J75" s="142"/>
      <c r="K75" s="142">
        <f>SUM(K73:K74)</f>
        <v>-1417.02</v>
      </c>
      <c r="L75" s="142"/>
      <c r="M75" s="142">
        <f>SUM(M73:M74)</f>
        <v>14.31</v>
      </c>
      <c r="N75" s="142"/>
      <c r="O75" s="142">
        <f>SUM(O73:O74)</f>
        <v>240433.88</v>
      </c>
      <c r="P75" s="142"/>
      <c r="Q75" s="142">
        <f>SUM(Q73:Q74)</f>
        <v>240525.732445</v>
      </c>
      <c r="R75" s="142"/>
      <c r="S75" s="149">
        <f>ROUND(Q75/O75*100,3)-100</f>
        <v>3.7999999999996703E-2</v>
      </c>
      <c r="T75" s="148">
        <f>Q75-O75</f>
        <v>91.852444999996806</v>
      </c>
      <c r="U75" s="134">
        <f>IF(ABS(S75)&lt;=0.5,0,IF(O75&gt;Q75,(O75*0.995)-Q75,(O75*1.005)-Q75))</f>
        <v>0</v>
      </c>
      <c r="V75" s="142">
        <f>SUM(V73:V74)</f>
        <v>243989.97</v>
      </c>
      <c r="W75" s="135">
        <f>((V75-O75)/O75)*100</f>
        <v>1.479030326341694</v>
      </c>
      <c r="X75" s="148">
        <f>V75-Q75</f>
        <v>3464.2375549999997</v>
      </c>
      <c r="Y75" s="135"/>
      <c r="Z75" s="142">
        <f>SUM(Z73:Z74)</f>
        <v>214302</v>
      </c>
      <c r="AA75" s="135">
        <f>((Z75-V75)/V75)*100</f>
        <v>-12.167700991971104</v>
      </c>
      <c r="AB75" s="148">
        <f>Z75-V75</f>
        <v>-29687.97</v>
      </c>
      <c r="AC75" s="135"/>
      <c r="AD75" s="148">
        <f>SUM(AD73:AD74)</f>
        <v>106.16244499999681</v>
      </c>
      <c r="AE75" s="130"/>
    </row>
    <row r="76" spans="1:31">
      <c r="C76" s="138"/>
      <c r="D76" s="127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49"/>
      <c r="T76" s="148"/>
      <c r="U76" s="134"/>
      <c r="V76" s="139"/>
      <c r="W76" s="135"/>
      <c r="X76" s="135"/>
      <c r="Y76" s="135"/>
      <c r="Z76" s="139"/>
      <c r="AA76" s="135"/>
      <c r="AB76" s="135"/>
      <c r="AC76" s="135"/>
      <c r="AD76" s="135"/>
      <c r="AE76" s="130"/>
    </row>
    <row r="77" spans="1:31">
      <c r="A77" s="121" t="s">
        <v>51</v>
      </c>
      <c r="C77" s="139">
        <f>SUMIF($A$6:$A$56,$A77,C$6:C$56)</f>
        <v>46183087.399999999</v>
      </c>
      <c r="D77" s="127"/>
      <c r="E77" s="139">
        <f>SUMIF($A$6:$A$56,$A77,E$6:E$56)</f>
        <v>-1608613.47</v>
      </c>
      <c r="F77" s="139"/>
      <c r="G77" s="139">
        <f>SUMIF($A$6:$A$56,$A77,G$6:G$56)</f>
        <v>-1322856.96</v>
      </c>
      <c r="H77" s="139"/>
      <c r="I77" s="139">
        <f>SUMIF($A$6:$A$56,$A77,I$6:I$56)</f>
        <v>-285756.51</v>
      </c>
      <c r="J77" s="139"/>
      <c r="K77" s="139">
        <f>SUMIF($A$6:$A$56,$A77,K$6:K$56)</f>
        <v>-289073.40000000002</v>
      </c>
      <c r="L77" s="139"/>
      <c r="M77" s="139">
        <f>SUMIF($A$6:$A$56,$A77,M$6:M$56)</f>
        <v>27969.399999999998</v>
      </c>
      <c r="N77" s="139"/>
      <c r="O77" s="139">
        <f>SUMIF($A$6:$A$56,$A77,O$6:O$56)</f>
        <v>44599126.440000005</v>
      </c>
      <c r="P77" s="139"/>
      <c r="Q77" s="139">
        <f>SUMIF($A$6:$A$56,$A77,Q$6:Q$56)</f>
        <v>44616964.420000002</v>
      </c>
      <c r="R77" s="139"/>
      <c r="S77" s="149">
        <f>ROUND(Q77/O77*100,3)-100</f>
        <v>4.0000000000006253E-2</v>
      </c>
      <c r="T77" s="148">
        <f>Q77-O77</f>
        <v>17837.979999996722</v>
      </c>
      <c r="U77" s="134">
        <f>IF(ABS(S77)&lt;=0.5,0,IF(O77&gt;Q77,(O77*0.995)-Q77,(O77*1.005)-Q77))</f>
        <v>0</v>
      </c>
      <c r="V77" s="139">
        <f>SUMIF($A$6:$A$56,$A77,V$6:V$56)</f>
        <v>45094787.219999999</v>
      </c>
      <c r="W77" s="135">
        <f>((V77-O77)/O77)*100</f>
        <v>1.1113688082362219</v>
      </c>
      <c r="X77" s="148">
        <f>V77-Q77</f>
        <v>477822.79999999702</v>
      </c>
      <c r="Y77" s="135"/>
      <c r="Z77" s="139">
        <f>SUMIF($A$6:$A$56,$A77,Z$6:Z$56)</f>
        <v>33288086</v>
      </c>
      <c r="AA77" s="135">
        <f>((Z77-V77)/V77)*100</f>
        <v>-26.181964585839328</v>
      </c>
      <c r="AB77" s="148">
        <f>Z77-V77</f>
        <v>-11806701.219999999</v>
      </c>
      <c r="AC77" s="135"/>
      <c r="AD77" s="148">
        <f>M77+T77</f>
        <v>45807.379999996716</v>
      </c>
      <c r="AE77" s="130"/>
    </row>
    <row r="78" spans="1:31">
      <c r="A78" s="121" t="s">
        <v>52</v>
      </c>
      <c r="C78" s="139">
        <f>SUMIF($A$6:$A$56,$A78,C$6:C$56)</f>
        <v>166119.54</v>
      </c>
      <c r="D78" s="127"/>
      <c r="E78" s="139">
        <f>SUMIF($A$6:$A$56,$A78,E$6:E$56)</f>
        <v>-3877.31</v>
      </c>
      <c r="F78" s="139"/>
      <c r="G78" s="139">
        <f>SUMIF($A$6:$A$56,$A78,G$6:G$56)</f>
        <v>-3191.04</v>
      </c>
      <c r="H78" s="139"/>
      <c r="I78" s="139">
        <f>SUMIF($A$6:$A$56,$A78,I$6:I$56)</f>
        <v>-686.2700000000001</v>
      </c>
      <c r="J78" s="139"/>
      <c r="K78" s="139">
        <f>SUMIF($A$6:$A$56,$A78,K$6:K$56)</f>
        <v>-698.06999999999994</v>
      </c>
      <c r="L78" s="139"/>
      <c r="M78" s="139">
        <f>SUMIF($A$6:$A$56,$A78,M$6:M$56)</f>
        <v>61.709999999999837</v>
      </c>
      <c r="N78" s="127"/>
      <c r="O78" s="139">
        <f>SUMIF($A$6:$A$56,$A78,O$6:O$56)</f>
        <v>162292.14000000001</v>
      </c>
      <c r="P78" s="127"/>
      <c r="Q78" s="139">
        <f>SUMIF($A$6:$A$56,$A78,Q$6:Q$56)</f>
        <v>144198.04</v>
      </c>
      <c r="R78" s="143"/>
      <c r="S78" s="149">
        <f>ROUND(Q78/O78*100,3)-100</f>
        <v>-11.149000000000001</v>
      </c>
      <c r="T78" s="148">
        <f>Q78-O78</f>
        <v>-18094.100000000006</v>
      </c>
      <c r="U78" s="134">
        <f>IF(ABS(S78)&lt;=0.5,0,IF(O78&gt;Q78,(O78*0.995)-Q78,(O78*1.005)-Q78))</f>
        <v>17282.63930000001</v>
      </c>
      <c r="V78" s="139">
        <f>SUMIF($A$6:$A$56,$A78,V$6:V$56)</f>
        <v>164611</v>
      </c>
      <c r="W78" s="135">
        <f>((V78-O78)/O78)*100</f>
        <v>1.4288184258337995</v>
      </c>
      <c r="X78" s="148">
        <f>V78-Q78</f>
        <v>20412.959999999992</v>
      </c>
      <c r="Y78" s="135"/>
      <c r="Z78" s="139">
        <f>SUMIF($A$6:$A$56,$A78,Z$6:Z$56)</f>
        <v>145918</v>
      </c>
      <c r="AA78" s="135">
        <f>((Z78-V78)/V78)*100</f>
        <v>-11.355863216917459</v>
      </c>
      <c r="AB78" s="148">
        <f>Z78-V78</f>
        <v>-18693</v>
      </c>
      <c r="AC78" s="135"/>
      <c r="AD78" s="148">
        <f>M78+T78</f>
        <v>-18032.390000000007</v>
      </c>
      <c r="AE78" s="130"/>
    </row>
    <row r="79" spans="1:31">
      <c r="A79" s="141" t="s">
        <v>300</v>
      </c>
      <c r="C79" s="139">
        <f>SUMIF($A$6:$A$56,$A79,C$6:C$56)</f>
        <v>104800.45</v>
      </c>
      <c r="D79" s="127"/>
      <c r="E79" s="139">
        <f>SUMIF($A$6:$A$56,$A79,E$6:E$56)</f>
        <v>-1050.8499999999999</v>
      </c>
      <c r="F79" s="139"/>
      <c r="G79" s="139">
        <f>SUMIF($A$6:$A$56,$A79,G$6:G$56)</f>
        <v>-875.62</v>
      </c>
      <c r="H79" s="139"/>
      <c r="I79" s="139">
        <f>SUMIF($A$6:$A$56,$A79,I$6:I$56)</f>
        <v>-175.23000000000002</v>
      </c>
      <c r="J79" s="139"/>
      <c r="K79" s="139">
        <f>SUMIF($A$6:$A$56,$A79,K$6:K$56)</f>
        <v>-180.84</v>
      </c>
      <c r="L79" s="139"/>
      <c r="M79" s="139">
        <f>SUMIF($A$6:$A$56,$A79,M$6:M$56)</f>
        <v>257.70000000000005</v>
      </c>
      <c r="N79" s="127"/>
      <c r="O79" s="139">
        <f>SUMIF($A$6:$A$56,$A79,O$6:O$56)</f>
        <v>104001.69</v>
      </c>
      <c r="P79" s="127"/>
      <c r="Q79" s="139">
        <f>SUMIF($A$6:$A$56,$A79,Q$6:Q$56)</f>
        <v>115890.93000000001</v>
      </c>
      <c r="R79" s="143"/>
      <c r="S79" s="149">
        <f>ROUND(Q79/O79*100,3)-100</f>
        <v>11.432000000000002</v>
      </c>
      <c r="T79" s="148">
        <f>Q79-O79</f>
        <v>11889.240000000005</v>
      </c>
      <c r="U79" s="134">
        <f>IF(ABS(S79)&lt;=0.5,0,IF(O79&gt;Q79,(O79*0.995)-Q79,(O79*1.005)-Q79))</f>
        <v>-11369.231550000011</v>
      </c>
      <c r="V79" s="139">
        <f>SUMIF($A$6:$A$56,$A79,V$6:V$56)</f>
        <v>121984</v>
      </c>
      <c r="W79" s="135">
        <f>((V79-O79)/O79)*100</f>
        <v>17.290401723279686</v>
      </c>
      <c r="X79" s="148">
        <f>V79-Q79</f>
        <v>6093.0699999999924</v>
      </c>
      <c r="Y79" s="135"/>
      <c r="Z79" s="139">
        <f>SUMIF($A$6:$A$56,$A79,Z$6:Z$56)</f>
        <v>114589</v>
      </c>
      <c r="AA79" s="135">
        <f>((Z79-V79)/V79)*100</f>
        <v>-6.062270461699895</v>
      </c>
      <c r="AB79" s="148">
        <f>Z79-V79</f>
        <v>-7395</v>
      </c>
      <c r="AC79" s="135"/>
      <c r="AD79" s="148">
        <f>M79+T79</f>
        <v>12146.940000000006</v>
      </c>
      <c r="AE79" s="130"/>
    </row>
    <row r="80" spans="1:31">
      <c r="A80" s="130" t="s">
        <v>763</v>
      </c>
      <c r="C80" s="139">
        <f>SUMIF($A$6:$A$56,$A80,C$6:C$56)</f>
        <v>120901</v>
      </c>
      <c r="D80" s="127"/>
      <c r="E80" s="139">
        <f>SUMIF($A$6:$A$56,$A80,E$6:E$56)</f>
        <v>-3017.09</v>
      </c>
      <c r="F80" s="139"/>
      <c r="G80" s="139">
        <f>SUMIF($A$6:$A$56,$A80,G$6:G$56)</f>
        <v>-2503.96</v>
      </c>
      <c r="H80" s="139"/>
      <c r="I80" s="139">
        <f>SUMIF($A$6:$A$56,$A80,I$6:I$56)</f>
        <v>-513.13</v>
      </c>
      <c r="J80" s="139"/>
      <c r="K80" s="139">
        <f>SUMIF($A$6:$A$56,$A80,K$6:K$56)</f>
        <v>-507.64000000000004</v>
      </c>
      <c r="L80" s="139"/>
      <c r="M80" s="139">
        <f>SUMIF($A$6:$A$56,$A80,M$6:M$56)</f>
        <v>298.55</v>
      </c>
      <c r="N80" s="127"/>
      <c r="O80" s="139">
        <f>SUMIF($A$6:$A$56,$A80,O$6:O$56)</f>
        <v>118187.95</v>
      </c>
      <c r="P80" s="127"/>
      <c r="Q80" s="139">
        <f>SUMIF($A$6:$A$56,$A80,Q$6:Q$56)</f>
        <v>118188.1</v>
      </c>
      <c r="R80" s="143"/>
      <c r="S80" s="149">
        <f>ROUND(Q80/O80*100,3)-100</f>
        <v>0</v>
      </c>
      <c r="T80" s="148">
        <f>Q80-O80</f>
        <v>0.15000000000873115</v>
      </c>
      <c r="U80" s="134">
        <f>IF(ABS(S80)&lt;=0.5,0,IF(O80&gt;Q80,(O80*0.995)-Q80,(O80*1.005)-Q80))</f>
        <v>0</v>
      </c>
      <c r="V80" s="139">
        <f>SUMIF($A$6:$A$56,$A80,V$6:V$56)</f>
        <v>272494.58</v>
      </c>
      <c r="W80" s="135">
        <f>((V80-O80)/O80)*100</f>
        <v>130.56037438672894</v>
      </c>
      <c r="X80" s="148">
        <f>V80-Q80</f>
        <v>154306.48000000001</v>
      </c>
      <c r="Y80" s="135"/>
      <c r="Z80" s="139">
        <f>SUMIF($A$6:$A$56,$A80,Z$6:Z$56)</f>
        <v>31869846</v>
      </c>
      <c r="AA80" s="135">
        <f>((Z80-V80)/V80)*100</f>
        <v>11595.588954466544</v>
      </c>
      <c r="AB80" s="148">
        <f>Z80-V80</f>
        <v>31597351.420000002</v>
      </c>
      <c r="AC80" s="135"/>
      <c r="AD80" s="148">
        <f>M80+T80</f>
        <v>298.70000000000874</v>
      </c>
      <c r="AE80" s="130"/>
    </row>
    <row r="81" spans="1:31">
      <c r="A81" s="121" t="s">
        <v>288</v>
      </c>
      <c r="C81" s="139">
        <f>SUM(C77:C80)</f>
        <v>46574908.390000001</v>
      </c>
      <c r="D81" s="139"/>
      <c r="E81" s="139">
        <f>SUM(E77:E80)</f>
        <v>-1616558.7200000002</v>
      </c>
      <c r="F81" s="139"/>
      <c r="G81" s="139">
        <f>SUM(G77:G80)</f>
        <v>-1329427.58</v>
      </c>
      <c r="H81" s="139"/>
      <c r="I81" s="139">
        <f>SUM(I77:I80)</f>
        <v>-287131.14</v>
      </c>
      <c r="J81" s="139"/>
      <c r="K81" s="139">
        <f>SUM(K77:K80)</f>
        <v>-290459.95000000007</v>
      </c>
      <c r="L81" s="139"/>
      <c r="M81" s="139">
        <f>SUM(M77:M80)</f>
        <v>28587.359999999997</v>
      </c>
      <c r="N81" s="139"/>
      <c r="O81" s="139">
        <f>SUM(O77:O80)</f>
        <v>44983608.220000006</v>
      </c>
      <c r="P81" s="139"/>
      <c r="Q81" s="139">
        <f>SUM(Q77:Q80)</f>
        <v>44995241.490000002</v>
      </c>
      <c r="R81" s="139"/>
      <c r="S81" s="149">
        <f>ROUND(Q81/O81*100,3)-100</f>
        <v>2.5999999999996248E-2</v>
      </c>
      <c r="T81" s="148">
        <f>Q81-O81</f>
        <v>11633.269999995828</v>
      </c>
      <c r="U81" s="134">
        <f>IF(ABS(S81)&lt;=0.5,0,IF(O81&gt;Q81,(O81*0.995)-Q81,(O81*1.005)-Q81))</f>
        <v>0</v>
      </c>
      <c r="V81" s="139">
        <f>SUM(V77:V80)</f>
        <v>45653876.799999997</v>
      </c>
      <c r="W81" s="135">
        <f>((V81-O81)/O81)*100</f>
        <v>1.4900284937613897</v>
      </c>
      <c r="X81" s="148">
        <f>V81-Q81</f>
        <v>658635.30999999493</v>
      </c>
      <c r="Y81" s="135"/>
      <c r="Z81" s="139">
        <f>SUM(Z77:Z79)</f>
        <v>33548593</v>
      </c>
      <c r="AA81" s="135">
        <f>((Z81-V81)/V81)*100</f>
        <v>-26.515346885064528</v>
      </c>
      <c r="AB81" s="148">
        <f>Z81-V81</f>
        <v>-12105283.799999997</v>
      </c>
      <c r="AC81" s="135"/>
      <c r="AD81" s="148">
        <f>SUM(AD77:AD80)</f>
        <v>40220.62999999673</v>
      </c>
      <c r="AE81" s="130"/>
    </row>
    <row r="82" spans="1:31"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32"/>
      <c r="R82" s="132"/>
      <c r="S82" s="149"/>
      <c r="T82" s="148"/>
      <c r="U82" s="134"/>
      <c r="V82" s="132"/>
      <c r="W82" s="135"/>
      <c r="X82" s="135"/>
      <c r="Y82" s="135"/>
      <c r="Z82" s="127"/>
      <c r="AA82" s="135"/>
      <c r="AB82" s="135"/>
      <c r="AC82" s="135"/>
      <c r="AD82" s="135"/>
      <c r="AE82" s="130"/>
    </row>
    <row r="83" spans="1:31">
      <c r="A83" s="121" t="s">
        <v>53</v>
      </c>
      <c r="C83" s="139">
        <f>SUMIF($A$6:$A$56,$A83,C$6:C$56)</f>
        <v>62583013.779999994</v>
      </c>
      <c r="D83" s="139"/>
      <c r="E83" s="139">
        <f>SUMIF($A$6:$A$56,$A83,E$6:E$56)</f>
        <v>-2126677.0599999996</v>
      </c>
      <c r="F83" s="139"/>
      <c r="G83" s="139">
        <f>SUMIF($A$6:$A$56,$A83,G$6:G$56)</f>
        <v>-1759826.6</v>
      </c>
      <c r="H83" s="139"/>
      <c r="I83" s="139">
        <f>SUMIF($A$6:$A$56,$A83,I$6:I$56)</f>
        <v>-366850.45999999996</v>
      </c>
      <c r="J83" s="139"/>
      <c r="K83" s="139">
        <f>SUMIF($A$6:$A$56,$A83,K$6:K$56)</f>
        <v>-385240.72000000003</v>
      </c>
      <c r="L83" s="139"/>
      <c r="M83" s="139">
        <f>SUMIF($A$6:$A$56,$A83,M$6:M$56)</f>
        <v>106924.57999999999</v>
      </c>
      <c r="N83" s="139"/>
      <c r="O83" s="139">
        <f>SUMIF($A$6:$A$56,$A83,O$6:O$56)</f>
        <v>60544871.039999999</v>
      </c>
      <c r="P83" s="139"/>
      <c r="Q83" s="139">
        <f>SUMIF($A$6:$A$56,$A83,Q$6:Q$56)</f>
        <v>60568959.060000002</v>
      </c>
      <c r="R83" s="139"/>
      <c r="S83" s="149">
        <f>ROUND(Q83/O83*100,3)-100</f>
        <v>4.0000000000006253E-2</v>
      </c>
      <c r="T83" s="148">
        <f>Q83-O83</f>
        <v>24088.020000003278</v>
      </c>
      <c r="U83" s="134">
        <f>IF(ABS(S83)&lt;=0.5,0,IF(O83&gt;Q83,(O83*0.995)-Q83,(O83*1.005)-Q83))</f>
        <v>0</v>
      </c>
      <c r="V83" s="139">
        <f>SUMIF($A$6:$A$56,$A83,V$6:V$56)</f>
        <v>61309355.630000003</v>
      </c>
      <c r="W83" s="135">
        <f>((V83-O83)/O83)*100</f>
        <v>1.2626744047318788</v>
      </c>
      <c r="X83" s="148">
        <f>V83-Q83</f>
        <v>740396.5700000003</v>
      </c>
      <c r="Y83" s="135"/>
      <c r="Z83" s="139">
        <f>SUMIF($A$6:$A$56,$A83,Z$6:Z$56)</f>
        <v>54628147</v>
      </c>
      <c r="AA83" s="135">
        <f>((Z83-V83)/V83)*100</f>
        <v>-10.897535231524667</v>
      </c>
      <c r="AB83" s="148">
        <f>Z83-V83</f>
        <v>-6681208.6300000027</v>
      </c>
      <c r="AC83" s="135"/>
      <c r="AD83" s="148">
        <f>M83+T83</f>
        <v>131012.60000000327</v>
      </c>
      <c r="AE83" s="130"/>
    </row>
    <row r="84" spans="1:31">
      <c r="A84" s="121" t="s">
        <v>289</v>
      </c>
      <c r="C84" s="139">
        <f>SUM(C83:C83)</f>
        <v>62583013.779999994</v>
      </c>
      <c r="D84" s="139"/>
      <c r="E84" s="139">
        <f>SUM(E83:E83)</f>
        <v>-2126677.0599999996</v>
      </c>
      <c r="F84" s="139"/>
      <c r="G84" s="139">
        <f>SUM(G83:G83)</f>
        <v>-1759826.6</v>
      </c>
      <c r="H84" s="139"/>
      <c r="I84" s="139">
        <f>SUM(I83:I83)</f>
        <v>-366850.45999999996</v>
      </c>
      <c r="J84" s="139"/>
      <c r="K84" s="139">
        <f>SUM(K83:K83)</f>
        <v>-385240.72000000003</v>
      </c>
      <c r="L84" s="139"/>
      <c r="M84" s="139">
        <f>SUM(M83:M83)</f>
        <v>106924.57999999999</v>
      </c>
      <c r="N84" s="139"/>
      <c r="O84" s="139">
        <f>SUM(O83:O83)</f>
        <v>60544871.039999999</v>
      </c>
      <c r="P84" s="139"/>
      <c r="Q84" s="139">
        <f>SUM(Q83:Q83)</f>
        <v>60568959.060000002</v>
      </c>
      <c r="R84" s="139"/>
      <c r="S84" s="149">
        <f>ROUND(Q84/O84*100,3)-100</f>
        <v>4.0000000000006253E-2</v>
      </c>
      <c r="T84" s="148">
        <f>Q84-O84</f>
        <v>24088.020000003278</v>
      </c>
      <c r="U84" s="134">
        <f>IF(ABS(S84)&lt;=0.5,0,IF(O84&gt;Q84,(O84*0.995)-Q84,(O84*1.005)-Q84))</f>
        <v>0</v>
      </c>
      <c r="V84" s="139">
        <f>SUM(V83:V83)</f>
        <v>61309355.630000003</v>
      </c>
      <c r="W84" s="135">
        <f>((V84-O84)/O84)*100</f>
        <v>1.2626744047318788</v>
      </c>
      <c r="X84" s="148">
        <f>V84-Q84</f>
        <v>740396.5700000003</v>
      </c>
      <c r="Y84" s="135"/>
      <c r="Z84" s="139">
        <f>SUM(Z83:Z83)</f>
        <v>54628147</v>
      </c>
      <c r="AA84" s="135">
        <f>((Z84-V84)/V84)*100</f>
        <v>-10.897535231524667</v>
      </c>
      <c r="AB84" s="148">
        <f>Z84-V84</f>
        <v>-6681208.6300000027</v>
      </c>
      <c r="AC84" s="135"/>
      <c r="AD84" s="148">
        <f>SUM(AD83)</f>
        <v>131012.60000000327</v>
      </c>
      <c r="AE84" s="130"/>
    </row>
    <row r="85" spans="1:31"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49"/>
      <c r="T85" s="148"/>
      <c r="U85" s="134"/>
      <c r="V85" s="139"/>
      <c r="W85" s="135"/>
      <c r="X85" s="135"/>
      <c r="Y85" s="135"/>
      <c r="Z85" s="139"/>
      <c r="AA85" s="135"/>
      <c r="AB85" s="135"/>
      <c r="AC85" s="135"/>
      <c r="AD85" s="135"/>
      <c r="AE85" s="130"/>
    </row>
    <row r="86" spans="1:31">
      <c r="A86" s="130" t="s">
        <v>220</v>
      </c>
      <c r="C86" s="139">
        <f>SUMIF($A$6:$A$56,$A86,C$6:C$56)</f>
        <v>37584.519999999997</v>
      </c>
      <c r="D86" s="139"/>
      <c r="E86" s="139">
        <f>SUMIF($A$6:$A$56,$A86,E$6:E$56)</f>
        <v>-1368.32</v>
      </c>
      <c r="F86" s="139"/>
      <c r="G86" s="139">
        <f>SUMIF($A$6:$A$56,$A86,G$6:G$56)</f>
        <v>-1123.0999999999999</v>
      </c>
      <c r="H86" s="139"/>
      <c r="I86" s="139">
        <f>SUMIF($A$6:$A$56,$A86,I$6:I$56)</f>
        <v>-245.22</v>
      </c>
      <c r="J86" s="139"/>
      <c r="K86" s="139">
        <f>SUMIF($A$6:$A$56,$A86,K$6:K$56)</f>
        <v>-250.04</v>
      </c>
      <c r="L86" s="139"/>
      <c r="M86" s="139">
        <f>SUMIF($A$6:$A$56,$A86,M$6:M$56)</f>
        <v>1939.25</v>
      </c>
      <c r="N86" s="139"/>
      <c r="O86" s="139">
        <f>SUMIF($A$6:$A$56,$A86,O$6:O$56)</f>
        <v>38150.629999999997</v>
      </c>
      <c r="P86" s="139"/>
      <c r="Q86" s="139">
        <f>SUMIF($A$6:$A$56,$A86,Q$6:Q$56)</f>
        <v>38150.75</v>
      </c>
      <c r="R86" s="139"/>
      <c r="S86" s="149">
        <f>ROUND(Q86/O86*100,3)-100</f>
        <v>0</v>
      </c>
      <c r="T86" s="148">
        <f>Q86-O86</f>
        <v>0.12000000000261934</v>
      </c>
      <c r="U86" s="134">
        <f>IF(ABS(S86)&lt;=0.5,0,IF(O86&gt;Q86,(O86*0.995)-Q86,(O86*1.005)-Q86))</f>
        <v>0</v>
      </c>
      <c r="V86" s="139">
        <f>SUMIF($A$6:$A$56,$A86,V$6:V$56)</f>
        <v>38150.75</v>
      </c>
      <c r="W86" s="135">
        <f>((V86-O86)/O86)*100</f>
        <v>3.1454264320830184E-4</v>
      </c>
      <c r="X86" s="148">
        <f>V86-Q86</f>
        <v>0</v>
      </c>
      <c r="Y86" s="135"/>
      <c r="Z86" s="139">
        <f>SUMIF($A$6:$A$56,$A86,Z$6:Z$56)</f>
        <v>515</v>
      </c>
      <c r="AA86" s="135">
        <f>((Z86-V86)/V86)*100</f>
        <v>-98.650092068963261</v>
      </c>
      <c r="AB86" s="148">
        <f>Z86-V86</f>
        <v>-37635.75</v>
      </c>
      <c r="AC86" s="135"/>
      <c r="AD86" s="148">
        <f>M86+T86</f>
        <v>1939.3700000000026</v>
      </c>
      <c r="AE86" s="130"/>
    </row>
    <row r="87" spans="1:31">
      <c r="A87" s="130" t="s">
        <v>699</v>
      </c>
      <c r="C87" s="139">
        <f>SUMIF($A$6:$A$56,$A87,C$6:C$56)</f>
        <v>11103.2</v>
      </c>
      <c r="D87" s="139"/>
      <c r="E87" s="139">
        <f>SUMIF($A$6:$A$56,$A87,E$6:E$56)</f>
        <v>-246.67</v>
      </c>
      <c r="F87" s="139"/>
      <c r="G87" s="139">
        <f>SUMIF($A$6:$A$56,$A87,G$6:G$56)</f>
        <v>-202.7</v>
      </c>
      <c r="H87" s="139"/>
      <c r="I87" s="139">
        <f>SUMIF($A$6:$A$56,$A87,I$6:I$56)</f>
        <v>-43.97</v>
      </c>
      <c r="J87" s="139"/>
      <c r="K87" s="139">
        <f>SUMIF($A$6:$A$56,$A87,K$6:K$56)</f>
        <v>-45.48</v>
      </c>
      <c r="L87" s="139"/>
      <c r="M87" s="139">
        <f>SUMIF($A$6:$A$56,$A87,M$6:M$56)</f>
        <v>0</v>
      </c>
      <c r="N87" s="139"/>
      <c r="O87" s="139">
        <f>SUMIF($A$6:$A$56,$A87,O$6:O$56)</f>
        <v>10855.02</v>
      </c>
      <c r="P87" s="139"/>
      <c r="Q87" s="139">
        <f>SUMIF($A$6:$A$56,$A87,Q$6:Q$56)</f>
        <v>10876.37</v>
      </c>
      <c r="R87" s="139"/>
      <c r="S87" s="149">
        <f>ROUND(Q87/O87*100,3)-100</f>
        <v>0.19700000000000273</v>
      </c>
      <c r="T87" s="148">
        <f>Q87-O87</f>
        <v>21.350000000000364</v>
      </c>
      <c r="U87" s="134">
        <f>IF(ABS(S87)&lt;=0.5,0,IF(O87&gt;Q87,(O87*0.995)-Q87,(O87*1.005)-Q87))</f>
        <v>0</v>
      </c>
      <c r="V87" s="139">
        <f>SUMIF($A$6:$A$56,$A87,V$6:V$56)</f>
        <v>10876.37</v>
      </c>
      <c r="W87" s="135">
        <f>((V87-O87)/O87)*100</f>
        <v>0.19668319358232747</v>
      </c>
      <c r="X87" s="148">
        <f>V87-Q87</f>
        <v>0</v>
      </c>
      <c r="Y87" s="135"/>
      <c r="Z87" s="139">
        <f>SUMIF($A$6:$A$56,$A87,Z$6:Z$56)</f>
        <v>515</v>
      </c>
      <c r="AA87" s="135">
        <f>((Z87-V87)/V87)*100</f>
        <v>-95.264964321736016</v>
      </c>
      <c r="AB87" s="148">
        <f>Z87-V87</f>
        <v>-10361.370000000001</v>
      </c>
      <c r="AC87" s="135"/>
      <c r="AD87" s="148">
        <f>M87+T87</f>
        <v>21.350000000000364</v>
      </c>
      <c r="AE87" s="130"/>
    </row>
    <row r="88" spans="1:31"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9"/>
      <c r="T88" s="148"/>
      <c r="U88" s="134"/>
      <c r="V88" s="143"/>
      <c r="W88" s="135"/>
      <c r="X88" s="135"/>
      <c r="Y88" s="135"/>
      <c r="Z88" s="143"/>
      <c r="AA88" s="135"/>
      <c r="AB88" s="135"/>
      <c r="AC88" s="135"/>
      <c r="AD88" s="135"/>
      <c r="AE88" s="130"/>
    </row>
    <row r="89" spans="1:31">
      <c r="A89" s="121" t="s">
        <v>58</v>
      </c>
      <c r="C89" s="139">
        <f>SUMIF($A$6:$A$56,$A89,C$6:C$56)</f>
        <v>11905721.35</v>
      </c>
      <c r="D89" s="139"/>
      <c r="E89" s="139">
        <f>SUMIF($A$6:$A$56,$A89,E$6:E$56)</f>
        <v>-415527.61</v>
      </c>
      <c r="F89" s="139"/>
      <c r="G89" s="139">
        <f>SUMIF($A$6:$A$56,$A89,G$6:G$56)</f>
        <v>-340115.17</v>
      </c>
      <c r="H89" s="139"/>
      <c r="I89" s="139">
        <f>SUMIF($A$6:$A$56,$A89,I$6:I$56)</f>
        <v>-75412.44</v>
      </c>
      <c r="J89" s="139"/>
      <c r="K89" s="139">
        <f>SUMIF($A$6:$A$56,$A89,K$6:K$56)</f>
        <v>-70611.509999999995</v>
      </c>
      <c r="L89" s="139"/>
      <c r="M89" s="139">
        <f>SUMIF($A$6:$A$56,$A89,M$6:M$56)</f>
        <v>83977.260000000009</v>
      </c>
      <c r="N89" s="139"/>
      <c r="O89" s="139">
        <f>SUMIF($A$6:$A$56,$A89,O$6:O$56)</f>
        <v>11578971.93</v>
      </c>
      <c r="P89" s="139"/>
      <c r="Q89" s="139">
        <f>SUMIF($A$6:$A$56,$A89,Q$6:Q$56)</f>
        <v>11542649.939999999</v>
      </c>
      <c r="R89" s="139"/>
      <c r="S89" s="149">
        <f>ROUND(Q89/O89*100,3)-100</f>
        <v>-0.31399999999999295</v>
      </c>
      <c r="T89" s="148">
        <f>Q89-O89</f>
        <v>-36321.990000000224</v>
      </c>
      <c r="U89" s="134">
        <f>IF(ABS(S89)&lt;=0.5,0,IF(O89&gt;Q89,(O89*0.995)-Q89,(O89*1.005)-Q89))</f>
        <v>0</v>
      </c>
      <c r="V89" s="139">
        <f>SUMIF($A$6:$A$56,$A89,V$6:V$56)</f>
        <v>11712764.779999999</v>
      </c>
      <c r="W89" s="135">
        <f>((V89-O89)/O89)*100</f>
        <v>1.1554812535071033</v>
      </c>
      <c r="X89" s="148">
        <f>V89-Q89</f>
        <v>170114.83999999985</v>
      </c>
      <c r="Y89" s="135"/>
      <c r="Z89" s="139">
        <f>SUMIF($A$6:$A$56,$A89,Z$6:Z$56)</f>
        <v>8839304</v>
      </c>
      <c r="AA89" s="135">
        <f>((Z89-V89)/V89)*100</f>
        <v>-24.532728471646124</v>
      </c>
      <c r="AB89" s="148">
        <f>Z89-V89</f>
        <v>-2873460.7799999993</v>
      </c>
      <c r="AC89" s="135"/>
      <c r="AD89" s="148">
        <f>M89+T89</f>
        <v>47655.269999999786</v>
      </c>
      <c r="AE89" s="130"/>
    </row>
    <row r="90" spans="1:31">
      <c r="A90" s="121" t="s">
        <v>59</v>
      </c>
      <c r="C90" s="139">
        <f>SUMIF($A$6:$A$56,$A90,C$6:C$56)</f>
        <v>429129.75</v>
      </c>
      <c r="D90" s="139"/>
      <c r="E90" s="139">
        <f>SUMIF($A$6:$A$56,$A90,E$6:E$56)</f>
        <v>-15178.14</v>
      </c>
      <c r="F90" s="139"/>
      <c r="G90" s="139">
        <f>SUMIF($A$6:$A$56,$A90,G$6:G$56)</f>
        <v>-12423.68</v>
      </c>
      <c r="H90" s="139"/>
      <c r="I90" s="139">
        <f>SUMIF($A$6:$A$56,$A90,I$6:I$56)</f>
        <v>-2754.46</v>
      </c>
      <c r="J90" s="139"/>
      <c r="K90" s="139">
        <f>SUMIF($A$6:$A$56,$A90,K$6:K$56)</f>
        <v>-2620.94</v>
      </c>
      <c r="L90" s="139"/>
      <c r="M90" s="139">
        <f>SUMIF($A$6:$A$56,$A90,M$6:M$56)</f>
        <v>6304.43</v>
      </c>
      <c r="N90" s="139"/>
      <c r="O90" s="139">
        <f>SUMIF($A$6:$A$56,$A90,O$6:O$56)</f>
        <v>420389.56</v>
      </c>
      <c r="P90" s="139"/>
      <c r="Q90" s="139">
        <f>SUMIF($A$6:$A$56,$A90,Q$6:Q$56)</f>
        <v>418056.87</v>
      </c>
      <c r="R90" s="139"/>
      <c r="S90" s="149">
        <f>ROUND(Q90/O90*100,3)-100</f>
        <v>-0.55500000000000682</v>
      </c>
      <c r="T90" s="148">
        <f>Q90-O90</f>
        <v>-2332.6900000000023</v>
      </c>
      <c r="U90" s="134">
        <f>IF(ABS(S90)&lt;=0.5,0,IF(O90&gt;Q90,(O90*0.995)-Q90,(O90*1.005)-Q90))</f>
        <v>230.74219999997877</v>
      </c>
      <c r="V90" s="139">
        <f>SUMIF($A$6:$A$56,$A90,V$6:V$56)</f>
        <v>427909</v>
      </c>
      <c r="W90" s="135">
        <f>((V90-O90)/O90)*100</f>
        <v>1.7886838103210752</v>
      </c>
      <c r="X90" s="148">
        <f>V90-Q90</f>
        <v>9852.1300000000047</v>
      </c>
      <c r="Y90" s="135"/>
      <c r="Z90" s="139">
        <f>SUMIF($A$6:$A$56,$A90,Z$6:Z$56)</f>
        <v>1173033</v>
      </c>
      <c r="AA90" s="135">
        <f>((Z90-V90)/V90)*100</f>
        <v>174.13141579167532</v>
      </c>
      <c r="AB90" s="148">
        <f>Z90-V90</f>
        <v>745124</v>
      </c>
      <c r="AC90" s="135"/>
      <c r="AD90" s="148">
        <f>M90+T90</f>
        <v>3971.739999999998</v>
      </c>
      <c r="AE90" s="130"/>
    </row>
    <row r="91" spans="1:31">
      <c r="A91" s="121" t="s">
        <v>290</v>
      </c>
      <c r="C91" s="139">
        <f>SUM(C89:C90)</f>
        <v>12334851.1</v>
      </c>
      <c r="D91" s="139"/>
      <c r="E91" s="139">
        <f>SUM(E89:E90)</f>
        <v>-430705.75</v>
      </c>
      <c r="F91" s="139"/>
      <c r="G91" s="139">
        <f>SUM(G89:G90)</f>
        <v>-352538.85</v>
      </c>
      <c r="H91" s="139"/>
      <c r="I91" s="139">
        <f>SUM(I89:I90)</f>
        <v>-78166.900000000009</v>
      </c>
      <c r="J91" s="139"/>
      <c r="K91" s="139">
        <f>SUM(K89:K90)</f>
        <v>-73232.45</v>
      </c>
      <c r="L91" s="139"/>
      <c r="M91" s="139">
        <f>SUM(M89:M90)</f>
        <v>90281.69</v>
      </c>
      <c r="N91" s="139"/>
      <c r="O91" s="139">
        <f>SUM(O89:O90)</f>
        <v>11999361.49</v>
      </c>
      <c r="P91" s="139"/>
      <c r="Q91" s="139">
        <f>SUM(Q89:Q90)</f>
        <v>11960706.809999999</v>
      </c>
      <c r="R91" s="139"/>
      <c r="S91" s="149">
        <f>ROUND(Q91/O91*100,3)-100</f>
        <v>-0.32200000000000273</v>
      </c>
      <c r="T91" s="148">
        <f>Q91-O91</f>
        <v>-38654.680000001565</v>
      </c>
      <c r="U91" s="134">
        <f>IF(ABS(S91)&lt;=0.5,0,IF(O91&gt;Q91,(O91*0.995)-Q91,(O91*1.005)-Q91))</f>
        <v>0</v>
      </c>
      <c r="V91" s="139">
        <f>SUM(V89:V90)</f>
        <v>12140673.779999999</v>
      </c>
      <c r="W91" s="135">
        <f>((V91-O91)/O91)*100</f>
        <v>1.1776650792441381</v>
      </c>
      <c r="X91" s="148">
        <f>V91-Q91</f>
        <v>179966.97000000067</v>
      </c>
      <c r="Y91" s="135"/>
      <c r="Z91" s="139">
        <f>SUM(Z89:Z90)</f>
        <v>10012337</v>
      </c>
      <c r="AA91" s="135">
        <f>((Z91-V91)/V91)*100</f>
        <v>-17.530631483617704</v>
      </c>
      <c r="AB91" s="148">
        <f>Z91-V91</f>
        <v>-2128336.7799999993</v>
      </c>
      <c r="AC91" s="135"/>
      <c r="AD91" s="148">
        <f>SUM(AD89:AD90)</f>
        <v>51627.009999999784</v>
      </c>
      <c r="AE91" s="130"/>
    </row>
    <row r="92" spans="1:31"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9"/>
      <c r="T92" s="148"/>
      <c r="U92" s="134"/>
      <c r="V92" s="143"/>
      <c r="W92" s="135"/>
      <c r="X92" s="135"/>
      <c r="Y92" s="135"/>
      <c r="Z92" s="143"/>
      <c r="AA92" s="135"/>
      <c r="AB92" s="135"/>
      <c r="AC92" s="135"/>
      <c r="AD92" s="135"/>
      <c r="AE92" s="130"/>
    </row>
    <row r="93" spans="1:31">
      <c r="A93" s="121" t="s">
        <v>167</v>
      </c>
      <c r="C93" s="139">
        <f>SUMIF($A$6:$A$56,$A93,C$6:C$56)</f>
        <v>283827.84999999998</v>
      </c>
      <c r="D93" s="139"/>
      <c r="E93" s="139">
        <f>SUMIF($A$6:$A$56,$A93,E$6:E$56)</f>
        <v>-3389.3100000000004</v>
      </c>
      <c r="F93" s="139"/>
      <c r="G93" s="139">
        <f>SUMIF($A$6:$A$56,$A93,G$6:G$56)</f>
        <v>-2821.05</v>
      </c>
      <c r="H93" s="139"/>
      <c r="I93" s="139">
        <f>SUMIF($A$6:$A$56,$A93,I$6:I$56)</f>
        <v>-568.26</v>
      </c>
      <c r="J93" s="139"/>
      <c r="K93" s="139">
        <f>SUMIF($A$6:$A$56,$A93,K$6:K$56)</f>
        <v>-643.88</v>
      </c>
      <c r="L93" s="139"/>
      <c r="M93" s="139">
        <f>SUMIF($A$6:$A$56,$A93,M$6:M$56)</f>
        <v>1658.0699999999997</v>
      </c>
      <c r="N93" s="139"/>
      <c r="O93" s="139">
        <f>SUMIF($A$6:$A$56,$A93,O$6:O$56)</f>
        <v>282020.99</v>
      </c>
      <c r="P93" s="139"/>
      <c r="Q93" s="139">
        <f>SUMIF($A$6:$A$56,$A93,Q$6:Q$56)</f>
        <v>281755.39</v>
      </c>
      <c r="R93" s="139"/>
      <c r="S93" s="149">
        <f>ROUND(Q93/O93*100,3)-100</f>
        <v>-9.3999999999994088E-2</v>
      </c>
      <c r="T93" s="148">
        <f>Q93-O93</f>
        <v>-265.59999999997672</v>
      </c>
      <c r="U93" s="134">
        <f>IF(ABS(S93)&lt;=0.5,0,IF(O93&gt;Q93,(O93*0.995)-Q93,(O93*1.005)-Q93))</f>
        <v>0</v>
      </c>
      <c r="V93" s="139">
        <f>SUMIF($A$6:$A$56,$A93,V$6:V$56)</f>
        <v>285941</v>
      </c>
      <c r="W93" s="135">
        <f>((V93-O93)/O93)*100</f>
        <v>1.389971008895476</v>
      </c>
      <c r="X93" s="148">
        <f>V93-Q93</f>
        <v>4185.609999999986</v>
      </c>
      <c r="Y93" s="135"/>
      <c r="Z93" s="139">
        <f>SUMIF($A$6:$A$56,$A93,Z$6:Z$56)</f>
        <v>858176</v>
      </c>
      <c r="AA93" s="135">
        <f>((Z93-V93)/V93)*100</f>
        <v>200.12345204080563</v>
      </c>
      <c r="AB93" s="148">
        <f>Z93-V93</f>
        <v>572235</v>
      </c>
      <c r="AC93" s="135"/>
      <c r="AD93" s="148">
        <f>M93+T93</f>
        <v>1392.470000000023</v>
      </c>
      <c r="AE93" s="130"/>
    </row>
    <row r="94" spans="1:31"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9"/>
      <c r="T94" s="148"/>
      <c r="U94" s="134"/>
      <c r="V94" s="143"/>
      <c r="W94" s="135"/>
      <c r="X94" s="135"/>
      <c r="Y94" s="135"/>
      <c r="Z94" s="143"/>
      <c r="AA94" s="135"/>
      <c r="AB94" s="135"/>
      <c r="AC94" s="135"/>
      <c r="AD94" s="135"/>
      <c r="AE94" s="130"/>
    </row>
    <row r="95" spans="1:31">
      <c r="A95" s="121" t="s">
        <v>54</v>
      </c>
      <c r="C95" s="139">
        <f>SUMIF($A$6:$A$56,$A95,C$6:C$56)</f>
        <v>23272211.960000001</v>
      </c>
      <c r="D95" s="139"/>
      <c r="E95" s="139">
        <f>SUMIF($A$6:$A$56,$A95,E$6:E$56)</f>
        <v>-720371.52</v>
      </c>
      <c r="F95" s="139"/>
      <c r="G95" s="139">
        <f>SUMIF($A$6:$A$56,$A95,G$6:G$56)</f>
        <v>-590615.42000000004</v>
      </c>
      <c r="H95" s="139"/>
      <c r="I95" s="139">
        <f>SUMIF($A$6:$A$56,$A95,I$6:I$56)</f>
        <v>-129756.09999999999</v>
      </c>
      <c r="J95" s="139"/>
      <c r="K95" s="139">
        <f>SUMIF($A$6:$A$56,$A95,K$6:K$56)</f>
        <v>-128867.49</v>
      </c>
      <c r="L95" s="139"/>
      <c r="M95" s="139">
        <f>SUMIF($A$6:$A$56,$A95,M$6:M$56)</f>
        <v>37498.719999999994</v>
      </c>
      <c r="N95" s="139"/>
      <c r="O95" s="139">
        <f>SUMIF($A$6:$A$56,$A95,O$6:O$56)</f>
        <v>22590227.770000003</v>
      </c>
      <c r="P95" s="139"/>
      <c r="Q95" s="139">
        <f>SUMIF($A$6:$A$56,$A95,Q$6:Q$56)</f>
        <v>22553322.789999999</v>
      </c>
      <c r="R95" s="139"/>
      <c r="S95" s="149">
        <f>ROUND(Q95/O95*100,3)-100</f>
        <v>-0.1629999999999967</v>
      </c>
      <c r="T95" s="148">
        <f>Q95-O95</f>
        <v>-36904.980000004172</v>
      </c>
      <c r="U95" s="134">
        <f>IF(ABS(S95)&lt;=0.5,0,IF(O95&gt;Q95,(O95*0.995)-Q95,(O95*1.005)-Q95))</f>
        <v>0</v>
      </c>
      <c r="V95" s="139">
        <f>SUMIF($A$6:$A$56,$A95,V$6:V$56)</f>
        <v>22873463</v>
      </c>
      <c r="W95" s="135">
        <f>((V95-O95)/O95)*100</f>
        <v>1.2537953706519742</v>
      </c>
      <c r="X95" s="148">
        <f>V95-Q95</f>
        <v>320140.21000000089</v>
      </c>
      <c r="Y95" s="135"/>
      <c r="Z95" s="139">
        <f>SUMIF($A$6:$A$56,$A95,Z$6:Z$56)</f>
        <v>7472169</v>
      </c>
      <c r="AA95" s="135">
        <f>((Z95-V95)/V95)*100</f>
        <v>-67.332585363221995</v>
      </c>
      <c r="AB95" s="148">
        <f>Z95-V95</f>
        <v>-15401294</v>
      </c>
      <c r="AC95" s="135"/>
      <c r="AD95" s="148">
        <f>M95+T95</f>
        <v>593.73999999582156</v>
      </c>
      <c r="AE95" s="130"/>
    </row>
    <row r="96" spans="1:31">
      <c r="A96" s="121" t="s">
        <v>60</v>
      </c>
      <c r="C96" s="139">
        <f>SUMIF($A$6:$A$56,$A96,C$6:C$56)</f>
        <v>0</v>
      </c>
      <c r="D96" s="139"/>
      <c r="E96" s="139">
        <f>SUMIF($A$6:$A$56,$A96,E$6:E$56)</f>
        <v>0</v>
      </c>
      <c r="F96" s="139"/>
      <c r="G96" s="139">
        <f>SUMIF($A$6:$A$56,$A96,G$6:G$56)</f>
        <v>0</v>
      </c>
      <c r="H96" s="139"/>
      <c r="I96" s="139">
        <f>SUMIF($A$6:$A$56,$A96,I$6:I$56)</f>
        <v>0</v>
      </c>
      <c r="J96" s="139"/>
      <c r="K96" s="139">
        <f>SUMIF($A$6:$A$56,$A96,K$6:K$56)</f>
        <v>0</v>
      </c>
      <c r="L96" s="139"/>
      <c r="M96" s="139">
        <f>SUMIF($A$6:$A$56,$A96,M$6:M$56)</f>
        <v>0</v>
      </c>
      <c r="N96" s="139"/>
      <c r="O96" s="139">
        <f>SUMIF($A$6:$A$56,$A96,O$6:O$56)</f>
        <v>0</v>
      </c>
      <c r="P96" s="139"/>
      <c r="Q96" s="139">
        <f>SUMIF($A$6:$A$56,$A96,Q$6:Q$56)</f>
        <v>0</v>
      </c>
      <c r="R96" s="139"/>
      <c r="S96" s="149" t="e">
        <f>ROUND(Q96/O96*100,3)-100</f>
        <v>#DIV/0!</v>
      </c>
      <c r="T96" s="148">
        <f>Q96-O96</f>
        <v>0</v>
      </c>
      <c r="U96" s="134" t="e">
        <f>IF(ABS(S96)&lt;=0.5,0,IF(O96&gt;Q96,(O96*0.995)-Q96,(O96*1.005)-Q96))</f>
        <v>#DIV/0!</v>
      </c>
      <c r="V96" s="139">
        <f>SUMIF($A$6:$A$56,$A96,V$6:V$56)</f>
        <v>0</v>
      </c>
      <c r="W96" s="135" t="e">
        <f>((V96-O96)/O96)*100</f>
        <v>#DIV/0!</v>
      </c>
      <c r="X96" s="148">
        <f>V96-Q96</f>
        <v>0</v>
      </c>
      <c r="Y96" s="135"/>
      <c r="Z96" s="139">
        <f>SUMIF($A$6:$A$56,$A96,Z$6:Z$56)</f>
        <v>2372611</v>
      </c>
      <c r="AA96" s="135" t="e">
        <f>((Z96-V96)/V96)*100</f>
        <v>#DIV/0!</v>
      </c>
      <c r="AB96" s="148">
        <f>Z96-V96</f>
        <v>2372611</v>
      </c>
      <c r="AC96" s="135"/>
      <c r="AD96" s="148">
        <f>M96+T96</f>
        <v>0</v>
      </c>
      <c r="AE96" s="130"/>
    </row>
    <row r="97" spans="1:31">
      <c r="A97" s="121" t="s">
        <v>593</v>
      </c>
      <c r="C97" s="139">
        <f>SUMIF($A$6:$A$56,$A97,C$6:C$56)</f>
        <v>25255341.079999998</v>
      </c>
      <c r="D97" s="139"/>
      <c r="E97" s="139">
        <f>SUMIF($A$6:$A$56,$A97,E$6:E$56)</f>
        <v>-953728.56</v>
      </c>
      <c r="F97" s="139"/>
      <c r="G97" s="139">
        <f>SUMIF($A$6:$A$56,$A97,G$6:G$56)</f>
        <v>-776073.24</v>
      </c>
      <c r="H97" s="139"/>
      <c r="I97" s="139">
        <f>SUMIF($A$6:$A$56,$A97,I$6:I$56)</f>
        <v>-177655.32</v>
      </c>
      <c r="J97" s="139"/>
      <c r="K97" s="139">
        <f>SUMIF($A$6:$A$56,$A97,K$6:K$56)</f>
        <v>-177655.32</v>
      </c>
      <c r="L97" s="139"/>
      <c r="M97" s="139">
        <f>SUMIF($A$6:$A$56,$A97,M$6:M$56)</f>
        <v>0</v>
      </c>
      <c r="N97" s="139"/>
      <c r="O97" s="139">
        <f>SUMIF($A$6:$A$56,$A97,O$6:O$56)</f>
        <v>24301612.52</v>
      </c>
      <c r="P97" s="139"/>
      <c r="Q97" s="139">
        <f>SUMIF($A$6:$A$56,$A97,Q$6:Q$56)</f>
        <v>24301612.52</v>
      </c>
      <c r="R97" s="139"/>
      <c r="S97" s="149">
        <f>ROUND(Q97/O97*100,3)-100</f>
        <v>0</v>
      </c>
      <c r="T97" s="148">
        <f>Q97-O97</f>
        <v>0</v>
      </c>
      <c r="U97" s="134">
        <f>IF(ABS(S97)&lt;=0.5,0,IF(O97&gt;Q97,(O97*0.995)-Q97,(O97*1.005)-Q97))</f>
        <v>0</v>
      </c>
      <c r="V97" s="139">
        <f>SUMIF($A$6:$A$56,$A97,V$6:V$56)</f>
        <v>24660280</v>
      </c>
      <c r="W97" s="135">
        <f>((V97-O97)/O97)*100</f>
        <v>1.4758999210641701</v>
      </c>
      <c r="X97" s="148">
        <f>V97-Q97</f>
        <v>358667.48000000045</v>
      </c>
      <c r="Y97" s="135"/>
      <c r="Z97" s="139">
        <f>SUMIF($A$6:$A$56,$A97,Z$6:Z$56)</f>
        <v>29509698</v>
      </c>
      <c r="AA97" s="135">
        <f>((Z97-V97)/V97)*100</f>
        <v>19.664894315879625</v>
      </c>
      <c r="AB97" s="148">
        <f>Z97-V97</f>
        <v>4849418</v>
      </c>
      <c r="AC97" s="135"/>
      <c r="AD97" s="148">
        <f>M97+T97</f>
        <v>0</v>
      </c>
      <c r="AE97" s="130"/>
    </row>
    <row r="98" spans="1:31">
      <c r="A98" s="121" t="s">
        <v>291</v>
      </c>
      <c r="C98" s="139">
        <f>SUM(C95:C97)</f>
        <v>48527553.039999999</v>
      </c>
      <c r="D98" s="139"/>
      <c r="E98" s="139">
        <f>SUM(E95:E97)</f>
        <v>-1674100.08</v>
      </c>
      <c r="F98" s="139"/>
      <c r="G98" s="139">
        <f>SUM(G95:G97)</f>
        <v>-1366688.6600000001</v>
      </c>
      <c r="H98" s="139"/>
      <c r="I98" s="139">
        <f>SUM(I95:I97)</f>
        <v>-307411.42</v>
      </c>
      <c r="J98" s="139"/>
      <c r="K98" s="139">
        <f>SUM(K95:K97)</f>
        <v>-306522.81</v>
      </c>
      <c r="L98" s="139"/>
      <c r="M98" s="139">
        <f>SUM(M95:M97)</f>
        <v>37498.719999999994</v>
      </c>
      <c r="N98" s="139"/>
      <c r="O98" s="139">
        <f>SUM(O95:O97)</f>
        <v>46891840.290000007</v>
      </c>
      <c r="P98" s="139"/>
      <c r="Q98" s="139">
        <f>SUM(Q95:Q97)</f>
        <v>46854935.310000002</v>
      </c>
      <c r="R98" s="139"/>
      <c r="S98" s="149">
        <f>ROUND(Q98/O98*100,3)-100</f>
        <v>-7.899999999999352E-2</v>
      </c>
      <c r="T98" s="148">
        <f>Q98-O98</f>
        <v>-36904.980000004172</v>
      </c>
      <c r="U98" s="134">
        <f>IF(ABS(S98)&lt;=0.5,0,IF(O98&gt;Q98,(O98*0.995)-Q98,(O98*1.005)-Q98))</f>
        <v>0</v>
      </c>
      <c r="V98" s="139">
        <f>SUM(V95:V97)</f>
        <v>47533743</v>
      </c>
      <c r="W98" s="135">
        <f>((V98-O98)/O98)*100</f>
        <v>1.3689006574068783</v>
      </c>
      <c r="X98" s="148">
        <f>V98-Q98</f>
        <v>678807.68999999762</v>
      </c>
      <c r="Y98" s="135"/>
      <c r="Z98" s="139">
        <f>SUM(Z95:Z97)</f>
        <v>39354478</v>
      </c>
      <c r="AA98" s="135">
        <f>((Z98-V98)/V98)*100</f>
        <v>-17.207281572587288</v>
      </c>
      <c r="AB98" s="148">
        <f>Z98-V98</f>
        <v>-8179265</v>
      </c>
      <c r="AC98" s="135"/>
      <c r="AD98" s="148">
        <f>SUM(AD95:AD97)</f>
        <v>593.73999999582156</v>
      </c>
      <c r="AE98" s="130"/>
    </row>
    <row r="99" spans="1:31"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9"/>
      <c r="T99" s="148"/>
      <c r="U99" s="134"/>
      <c r="V99" s="143"/>
      <c r="W99" s="135"/>
      <c r="X99" s="135"/>
      <c r="Y99" s="135"/>
      <c r="Z99" s="143"/>
      <c r="AA99" s="135"/>
      <c r="AB99" s="135"/>
      <c r="AC99" s="135"/>
      <c r="AD99" s="135"/>
      <c r="AE99" s="130"/>
    </row>
    <row r="100" spans="1:31">
      <c r="A100" s="121" t="s">
        <v>64</v>
      </c>
      <c r="C100" s="139">
        <f>SUMIF($A$6:$A$56,$A100,C$6:C$56)</f>
        <v>663184.49</v>
      </c>
      <c r="D100" s="139"/>
      <c r="E100" s="139">
        <f>SUMIF($A$6:$A$56,$A100,E$6:E$56)</f>
        <v>-12325.58</v>
      </c>
      <c r="F100" s="139"/>
      <c r="G100" s="139">
        <f>SUMIF($A$6:$A$56,$A100,G$6:G$56)</f>
        <v>-7295.51</v>
      </c>
      <c r="H100" s="139"/>
      <c r="I100" s="139">
        <f>SUMIF($A$6:$A$56,$A100,I$6:I$56)</f>
        <v>-5030.07</v>
      </c>
      <c r="J100" s="139"/>
      <c r="K100" s="139">
        <f>SUMIF($A$6:$A$56,$A100,K$6:K$56)</f>
        <v>-4842.42</v>
      </c>
      <c r="L100" s="139"/>
      <c r="M100" s="139">
        <f>SUMIF($A$6:$A$56,$A100,M$6:M$56)</f>
        <v>3323.5400000000004</v>
      </c>
      <c r="N100" s="139"/>
      <c r="O100" s="139">
        <f>SUMIF($A$6:$A$56,$A100,O$6:O$56)</f>
        <v>654370.1</v>
      </c>
      <c r="P100" s="139"/>
      <c r="Q100" s="139">
        <f>SUMIF($A$6:$A$56,$A100,Q$6:Q$56)</f>
        <v>654198.22</v>
      </c>
      <c r="R100" s="139"/>
      <c r="S100" s="149">
        <f>ROUND(Q100/O100*100,3)-100</f>
        <v>-2.5999999999996248E-2</v>
      </c>
      <c r="T100" s="148">
        <f>Q100-O100</f>
        <v>-171.88000000000466</v>
      </c>
      <c r="U100" s="134">
        <f>IF(ABS(S100)&lt;=0.5,0,IF(O100&gt;Q100,(O100*0.995)-Q100,(O100*1.005)-Q100))</f>
        <v>0</v>
      </c>
      <c r="V100" s="139">
        <f>SUMIF($A$6:$A$56,$A100,V$6:V$56)</f>
        <v>654187</v>
      </c>
      <c r="W100" s="135">
        <f>((V100-O100)/O100)*100</f>
        <v>-2.7981107327485887E-2</v>
      </c>
      <c r="X100" s="148">
        <f>V100-Q100</f>
        <v>-11.21999999997206</v>
      </c>
      <c r="Y100" s="135"/>
      <c r="Z100" s="139">
        <f>SUMIF($A$6:$A$56,$A100,Z$6:Z$56)</f>
        <v>516157</v>
      </c>
      <c r="AA100" s="135">
        <f>((Z100-V100)/V100)*100</f>
        <v>-21.099471557826739</v>
      </c>
      <c r="AB100" s="148">
        <f>Z100-V100</f>
        <v>-138030</v>
      </c>
      <c r="AC100" s="135"/>
      <c r="AD100" s="148">
        <f>M100+T100</f>
        <v>3151.6599999999958</v>
      </c>
      <c r="AE100" s="130"/>
    </row>
    <row r="101" spans="1:31"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9"/>
      <c r="T101" s="148"/>
      <c r="U101" s="134"/>
      <c r="V101" s="143"/>
      <c r="W101" s="135"/>
      <c r="X101" s="135"/>
      <c r="Y101" s="135"/>
      <c r="Z101" s="143"/>
      <c r="AA101" s="135"/>
      <c r="AB101" s="135"/>
      <c r="AC101" s="135"/>
      <c r="AD101" s="135"/>
      <c r="AE101" s="130"/>
    </row>
    <row r="102" spans="1:31">
      <c r="A102" s="121" t="s">
        <v>61</v>
      </c>
      <c r="C102" s="139">
        <f>SUMIF($A$6:$A$56,$A102,C$6:C$56)</f>
        <v>52215.519999999997</v>
      </c>
      <c r="D102" s="139"/>
      <c r="E102" s="139">
        <f>SUMIF($A$6:$A$56,$A102,E$6:E$56)</f>
        <v>-1006.59</v>
      </c>
      <c r="F102" s="139"/>
      <c r="G102" s="139">
        <f>SUMIF($A$6:$A$56,$A102,G$6:G$56)</f>
        <v>-687.97</v>
      </c>
      <c r="H102" s="139"/>
      <c r="I102" s="139">
        <f>SUMIF($A$6:$A$56,$A102,I$6:I$56)</f>
        <v>-318.62</v>
      </c>
      <c r="J102" s="139"/>
      <c r="K102" s="139">
        <f>SUMIF($A$6:$A$56,$A102,K$6:K$56)</f>
        <v>-338.58</v>
      </c>
      <c r="L102" s="139"/>
      <c r="M102" s="139">
        <f>SUMIF($A$6:$A$56,$A102,M$6:M$56)</f>
        <v>-395.19</v>
      </c>
      <c r="N102" s="139"/>
      <c r="O102" s="139">
        <f>SUMIF($A$6:$A$56,$A102,O$6:O$56)</f>
        <v>50793.779999999992</v>
      </c>
      <c r="P102" s="139"/>
      <c r="Q102" s="139">
        <f>SUMIF($A$6:$A$56,$A102,Q$6:Q$56)</f>
        <v>50799.39</v>
      </c>
      <c r="R102" s="139"/>
      <c r="S102" s="149">
        <f>ROUND(Q102/O102*100,3)-100</f>
        <v>1.099999999999568E-2</v>
      </c>
      <c r="T102" s="148">
        <f>Q102-O102</f>
        <v>5.610000000007858</v>
      </c>
      <c r="U102" s="134">
        <f>IF(ABS(S102)&lt;=0.5,0,IF(O102&gt;Q102,(O102*0.995)-Q102,(O102*1.005)-Q102))</f>
        <v>0</v>
      </c>
      <c r="V102" s="139">
        <f>SUMIF($A$6:$A$56,$A102,V$6:V$56)</f>
        <v>50799.69</v>
      </c>
      <c r="W102" s="135">
        <f>((V102-O102)/O102)*100</f>
        <v>1.1635282902770319E-2</v>
      </c>
      <c r="X102" s="148">
        <f>V102-Q102</f>
        <v>0.30000000000291038</v>
      </c>
      <c r="Y102" s="135"/>
      <c r="Z102" s="139">
        <f>SUMIF($A$6:$A$56,$A102,Z$6:Z$56)</f>
        <v>59948.32</v>
      </c>
      <c r="AA102" s="135">
        <f>((Z102-V102)/V102)*100</f>
        <v>18.009224072036652</v>
      </c>
      <c r="AB102" s="148">
        <f>Z102-V102</f>
        <v>9148.6299999999974</v>
      </c>
      <c r="AC102" s="135"/>
      <c r="AD102" s="148">
        <f>M102+T102</f>
        <v>-389.57999999999214</v>
      </c>
      <c r="AE102" s="130"/>
    </row>
    <row r="103" spans="1:31"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9"/>
      <c r="T103" s="148"/>
      <c r="U103" s="134"/>
      <c r="V103" s="143"/>
      <c r="W103" s="135"/>
      <c r="X103" s="135"/>
      <c r="Y103" s="135"/>
      <c r="Z103" s="143"/>
      <c r="AA103" s="135"/>
      <c r="AB103" s="135"/>
      <c r="AC103" s="135"/>
      <c r="AD103" s="135"/>
      <c r="AE103" s="130"/>
    </row>
    <row r="104" spans="1:31">
      <c r="A104" s="121" t="s">
        <v>62</v>
      </c>
      <c r="C104" s="139">
        <f>SUMIF($A$6:$A$56,$A104,C$6:C$56)</f>
        <v>236133.27</v>
      </c>
      <c r="D104" s="139"/>
      <c r="E104" s="139">
        <f>SUMIF($A$6:$A$56,$A104,E$6:E$56)</f>
        <v>-9395.94</v>
      </c>
      <c r="F104" s="139"/>
      <c r="G104" s="139">
        <f>SUMIF($A$6:$A$56,$A104,G$6:G$56)</f>
        <v>-7717.05</v>
      </c>
      <c r="H104" s="139"/>
      <c r="I104" s="139">
        <f>SUMIF($A$6:$A$56,$A104,I$6:I$56)</f>
        <v>-1678.89</v>
      </c>
      <c r="J104" s="139"/>
      <c r="K104" s="139">
        <f>SUMIF($A$6:$A$56,$A104,K$6:K$56)</f>
        <v>-1693.11</v>
      </c>
      <c r="L104" s="139"/>
      <c r="M104" s="139">
        <f>SUMIF($A$6:$A$56,$A104,M$6:M$56)</f>
        <v>16031.029999999999</v>
      </c>
      <c r="N104" s="139"/>
      <c r="O104" s="139">
        <f>SUMIF($A$6:$A$56,$A104,O$6:O$56)</f>
        <v>242754.14</v>
      </c>
      <c r="P104" s="139"/>
      <c r="Q104" s="139">
        <f>SUMIF($A$6:$A$56,$A104,Q$6:Q$56)</f>
        <v>243041.62</v>
      </c>
      <c r="R104" s="139"/>
      <c r="S104" s="149">
        <f>ROUND(Q104/O104*100,3)-100</f>
        <v>0.117999999999995</v>
      </c>
      <c r="T104" s="148">
        <f>Q104-O104</f>
        <v>287.47999999998137</v>
      </c>
      <c r="U104" s="134">
        <f>IF(ABS(S104)&lt;=0.5,0,IF(O104&gt;Q104,(O104*0.995)-Q104,(O104*1.005)-Q104))</f>
        <v>0</v>
      </c>
      <c r="V104" s="139">
        <f>SUMIF($A$6:$A$56,$A104,V$6:V$56)</f>
        <v>242978.35000000003</v>
      </c>
      <c r="W104" s="135">
        <f>((V104-O104)/O104)*100</f>
        <v>9.2360937696066042E-2</v>
      </c>
      <c r="X104" s="148">
        <f>V104-Q104</f>
        <v>-63.269999999960419</v>
      </c>
      <c r="Y104" s="135"/>
      <c r="Z104" s="139">
        <f>SUMIF($A$6:$A$56,$A104,Z$6:Z$56)</f>
        <v>213189.22</v>
      </c>
      <c r="AA104" s="135">
        <f>((Z104-V104)/V104)*100</f>
        <v>-12.259993534403387</v>
      </c>
      <c r="AB104" s="148">
        <f>Z104-V104</f>
        <v>-29789.130000000034</v>
      </c>
      <c r="AC104" s="135"/>
      <c r="AD104" s="148">
        <f>M104+T104</f>
        <v>16318.50999999998</v>
      </c>
      <c r="AE104" s="130"/>
    </row>
    <row r="105" spans="1:31">
      <c r="A105" s="121" t="s">
        <v>63</v>
      </c>
      <c r="C105" s="139">
        <f>SUMIF($A$6:$A$56,$A105,C$6:C$56)</f>
        <v>82892.25</v>
      </c>
      <c r="D105" s="139"/>
      <c r="E105" s="139">
        <f>SUMIF($A$6:$A$56,$A105,E$6:E$56)</f>
        <v>-3124.63</v>
      </c>
      <c r="F105" s="139"/>
      <c r="G105" s="139">
        <f>SUMIF($A$6:$A$56,$A105,G$6:G$56)</f>
        <v>-2555.9</v>
      </c>
      <c r="H105" s="139"/>
      <c r="I105" s="139">
        <f>SUMIF($A$6:$A$56,$A105,I$6:I$56)</f>
        <v>-568.73</v>
      </c>
      <c r="J105" s="139"/>
      <c r="K105" s="139">
        <f>SUMIF($A$6:$A$56,$A105,K$6:K$56)</f>
        <v>-594.17999999999995</v>
      </c>
      <c r="L105" s="139"/>
      <c r="M105" s="139">
        <f>SUMIF($A$6:$A$56,$A105,M$6:M$56)</f>
        <v>4.5100000000000051</v>
      </c>
      <c r="N105" s="139"/>
      <c r="O105" s="139">
        <f>SUMIF($A$6:$A$56,$A105,O$6:O$56)</f>
        <v>79746.680000000008</v>
      </c>
      <c r="P105" s="139"/>
      <c r="Q105" s="139">
        <f>SUMIF($A$6:$A$56,$A105,Q$6:Q$56)</f>
        <v>79746.64</v>
      </c>
      <c r="R105" s="139"/>
      <c r="S105" s="149">
        <f>ROUND(Q105/O105*100,3)-100</f>
        <v>0</v>
      </c>
      <c r="T105" s="148">
        <f>Q105-O105</f>
        <v>-4.0000000008149073E-2</v>
      </c>
      <c r="U105" s="134">
        <f>IF(ABS(S105)&lt;=0.5,0,IF(O105&gt;Q105,(O105*0.995)-Q105,(O105*1.005)-Q105))</f>
        <v>0</v>
      </c>
      <c r="V105" s="139">
        <f>SUMIF($A$6:$A$56,$A105,V$6:V$56)</f>
        <v>79747</v>
      </c>
      <c r="W105" s="135">
        <f>((V105-O105)/O105)*100</f>
        <v>4.0127062341959943E-4</v>
      </c>
      <c r="X105" s="148">
        <f>V105-Q105</f>
        <v>0.36000000000058208</v>
      </c>
      <c r="Y105" s="135"/>
      <c r="Z105" s="139">
        <f>SUMIF($A$6:$A$56,$A105,Z$6:Z$56)</f>
        <v>62311</v>
      </c>
      <c r="AA105" s="135">
        <f>((Z105-V105)/V105)*100</f>
        <v>-21.864145359700053</v>
      </c>
      <c r="AB105" s="148">
        <f>Z105-V105</f>
        <v>-17436</v>
      </c>
      <c r="AC105" s="135"/>
      <c r="AD105" s="148">
        <f>M105+T105</f>
        <v>4.469999999991856</v>
      </c>
      <c r="AE105" s="130"/>
    </row>
    <row r="106" spans="1:31">
      <c r="A106" s="121" t="s">
        <v>292</v>
      </c>
      <c r="C106" s="139">
        <f>SUM(C104:C105)</f>
        <v>319025.52</v>
      </c>
      <c r="D106" s="139"/>
      <c r="E106" s="139">
        <f>SUM(E104:E105)</f>
        <v>-12520.57</v>
      </c>
      <c r="F106" s="139"/>
      <c r="G106" s="139">
        <f>SUM(G104:G105)</f>
        <v>-10272.950000000001</v>
      </c>
      <c r="H106" s="139"/>
      <c r="I106" s="139">
        <f>SUM(I104:I105)</f>
        <v>-2247.62</v>
      </c>
      <c r="J106" s="139"/>
      <c r="K106" s="139">
        <f>SUM(K104:K105)</f>
        <v>-2287.29</v>
      </c>
      <c r="L106" s="139"/>
      <c r="M106" s="139">
        <f>SUM(M104:M105)</f>
        <v>16035.539999999999</v>
      </c>
      <c r="N106" s="139"/>
      <c r="O106" s="139">
        <f>SUM(O104:O105)</f>
        <v>322500.82</v>
      </c>
      <c r="P106" s="139"/>
      <c r="Q106" s="139">
        <f>SUM(Q104:Q105)</f>
        <v>322788.26</v>
      </c>
      <c r="R106" s="139"/>
      <c r="S106" s="149">
        <f>ROUND(Q106/O106*100,3)-100</f>
        <v>8.8999999999998636E-2</v>
      </c>
      <c r="T106" s="148">
        <f>Q106-O106</f>
        <v>287.44000000000233</v>
      </c>
      <c r="U106" s="134">
        <f>IF(ABS(S106)&lt;=0.5,0,IF(O106&gt;Q106,(O106*0.995)-Q106,(O106*1.005)-Q106))</f>
        <v>0</v>
      </c>
      <c r="V106" s="139">
        <f>SUM(V104:V105)</f>
        <v>322725.35000000003</v>
      </c>
      <c r="W106" s="135">
        <f>((V106-O106)/O106)*100</f>
        <v>6.9621528404184493E-2</v>
      </c>
      <c r="X106" s="148">
        <f>V106-Q106</f>
        <v>-62.909999999974389</v>
      </c>
      <c r="Y106" s="135"/>
      <c r="Z106" s="139">
        <f>SUM(Z104:Z105)</f>
        <v>275500.21999999997</v>
      </c>
      <c r="AA106" s="135">
        <f>((Z106-V106)/V106)*100</f>
        <v>-14.633226054290455</v>
      </c>
      <c r="AB106" s="148">
        <f>Z106-V106</f>
        <v>-47225.130000000063</v>
      </c>
      <c r="AC106" s="135"/>
      <c r="AD106" s="148">
        <f>SUM(AD104:AD105)</f>
        <v>16322.979999999972</v>
      </c>
      <c r="AE106" s="130"/>
    </row>
    <row r="107" spans="1:31"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9"/>
      <c r="T107" s="148"/>
      <c r="U107" s="134"/>
      <c r="V107" s="143"/>
      <c r="W107" s="135"/>
      <c r="X107" s="135"/>
      <c r="Y107" s="135"/>
      <c r="Z107" s="143"/>
      <c r="AA107" s="135"/>
      <c r="AB107" s="135"/>
      <c r="AC107" s="135"/>
      <c r="AD107" s="135"/>
      <c r="AE107" s="130"/>
    </row>
    <row r="108" spans="1:31">
      <c r="A108" s="121" t="s">
        <v>56</v>
      </c>
      <c r="C108" s="139">
        <f>SUMIF($A$6:$A$56,$A108,C$6:C$56)</f>
        <v>25692.84</v>
      </c>
      <c r="D108" s="139"/>
      <c r="E108" s="139">
        <f>SUMIF($A$6:$A$56,$A108,E$6:E$56)</f>
        <v>-962.56000000000006</v>
      </c>
      <c r="F108" s="139"/>
      <c r="G108" s="139">
        <f>SUMIF($A$6:$A$56,$A108,G$6:G$56)</f>
        <v>-787.46</v>
      </c>
      <c r="H108" s="139"/>
      <c r="I108" s="139">
        <f>SUMIF($A$6:$A$56,$A108,I$6:I$56)</f>
        <v>-175.1</v>
      </c>
      <c r="J108" s="139"/>
      <c r="K108" s="139">
        <f>SUMIF($A$6:$A$56,$A108,K$6:K$56)</f>
        <v>-182.6</v>
      </c>
      <c r="L108" s="139"/>
      <c r="M108" s="139">
        <f>SUMIF($A$6:$A$56,$A108,M$6:M$56)</f>
        <v>76.16</v>
      </c>
      <c r="N108" s="139"/>
      <c r="O108" s="139">
        <f>SUMIF($A$6:$A$56,$A108,O$6:O$56)</f>
        <v>24798.940000000002</v>
      </c>
      <c r="P108" s="139"/>
      <c r="Q108" s="139">
        <f>SUMIF($A$6:$A$56,$A108,Q$6:Q$56)</f>
        <v>24798.5</v>
      </c>
      <c r="R108" s="139"/>
      <c r="S108" s="149">
        <f>ROUND(Q108/O108*100,3)-100</f>
        <v>-1.9999999999953388E-3</v>
      </c>
      <c r="T108" s="148">
        <f>Q108-O108</f>
        <v>-0.44000000000232831</v>
      </c>
      <c r="U108" s="134">
        <f>IF(ABS(S108)&lt;=0.5,0,IF(O108&gt;Q108,(O108*0.995)-Q108,(O108*1.005)-Q108))</f>
        <v>0</v>
      </c>
      <c r="V108" s="139">
        <f>SUMIF($A$6:$A$56,$A108,V$6:V$56)</f>
        <v>24799</v>
      </c>
      <c r="W108" s="135">
        <f>((V108-O108)/O108)*100</f>
        <v>2.4194582509442616E-4</v>
      </c>
      <c r="X108" s="148">
        <f>V108-Q108</f>
        <v>0.5</v>
      </c>
      <c r="Y108" s="135"/>
      <c r="Z108" s="139">
        <f>SUMIF($A$6:$A$56,$A108,Z$6:Z$56)</f>
        <v>18590</v>
      </c>
      <c r="AA108" s="135">
        <f>((Z108-V108)/V108)*100</f>
        <v>-25.037299891124643</v>
      </c>
      <c r="AB108" s="148">
        <f>Z108-V108</f>
        <v>-6209</v>
      </c>
      <c r="AC108" s="135"/>
      <c r="AD108" s="148">
        <f>M108+T108</f>
        <v>75.719999999997668</v>
      </c>
      <c r="AE108" s="130"/>
    </row>
    <row r="109" spans="1:31"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9"/>
      <c r="T109" s="148"/>
      <c r="U109" s="134"/>
      <c r="V109" s="143"/>
      <c r="W109" s="135"/>
      <c r="X109" s="135"/>
      <c r="Y109" s="135"/>
      <c r="Z109" s="143"/>
      <c r="AA109" s="135"/>
      <c r="AB109" s="135"/>
      <c r="AC109" s="135"/>
      <c r="AD109" s="135"/>
      <c r="AE109" s="130"/>
    </row>
    <row r="110" spans="1:31">
      <c r="A110" s="121" t="s">
        <v>65</v>
      </c>
      <c r="C110" s="139">
        <f>SUMIF($A$6:$A$56,$A110,C$6:C$56)</f>
        <v>244490.19</v>
      </c>
      <c r="D110" s="139"/>
      <c r="E110" s="139">
        <f>SUMIF($A$6:$A$56,$A110,E$6:E$56)</f>
        <v>-5928.76</v>
      </c>
      <c r="F110" s="139"/>
      <c r="G110" s="139">
        <f>SUMIF($A$6:$A$56,$A110,G$6:G$56)</f>
        <v>-4293.72</v>
      </c>
      <c r="H110" s="139"/>
      <c r="I110" s="139">
        <f>SUMIF($A$6:$A$56,$A110,I$6:I$56)</f>
        <v>-1635.04</v>
      </c>
      <c r="J110" s="139"/>
      <c r="K110" s="139">
        <f>SUMIF($A$6:$A$56,$A110,K$6:K$56)</f>
        <v>-1720.81</v>
      </c>
      <c r="L110" s="139"/>
      <c r="M110" s="139">
        <f>SUMIF($A$6:$A$56,$A110,M$6:M$56)</f>
        <v>-150.65</v>
      </c>
      <c r="N110" s="139"/>
      <c r="O110" s="139">
        <f>SUMIF($A$6:$A$56,$A110,O$6:O$56)</f>
        <v>238325.01</v>
      </c>
      <c r="P110" s="139"/>
      <c r="Q110" s="139">
        <f>SUMIF($A$6:$A$56,$A110,Q$6:Q$56)</f>
        <v>238250.04</v>
      </c>
      <c r="R110" s="139"/>
      <c r="S110" s="149">
        <f>ROUND(Q110/O110*100,3)-100</f>
        <v>-3.1000000000005912E-2</v>
      </c>
      <c r="T110" s="148">
        <f>Q110-O110</f>
        <v>-74.970000000001164</v>
      </c>
      <c r="U110" s="134">
        <f>IF(ABS(S110)&lt;=0.5,0,IF(O110&gt;Q110,(O110*0.995)-Q110,(O110*1.005)-Q110))</f>
        <v>0</v>
      </c>
      <c r="V110" s="139">
        <f>SUMIF($A$6:$A$56,$A110,V$6:V$56)</f>
        <v>238251</v>
      </c>
      <c r="W110" s="135">
        <f>((V110-O110)/O110)*100</f>
        <v>-3.105423136246142E-2</v>
      </c>
      <c r="X110" s="148">
        <f>V110-Q110</f>
        <v>0.95999999999185093</v>
      </c>
      <c r="Y110" s="135"/>
      <c r="Z110" s="139">
        <f>SUMIF($A$6:$A$56,$A110,Z$6:Z$56)</f>
        <v>233013</v>
      </c>
      <c r="AA110" s="135">
        <f>((Z110-V110)/V110)*100</f>
        <v>-2.1985217270861406</v>
      </c>
      <c r="AB110" s="148">
        <f>Z110-V110</f>
        <v>-5238</v>
      </c>
      <c r="AC110" s="135"/>
      <c r="AD110" s="148">
        <f>M110+T110</f>
        <v>-225.62000000000117</v>
      </c>
      <c r="AE110" s="130"/>
    </row>
    <row r="111" spans="1:31"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49"/>
      <c r="T111" s="148"/>
      <c r="U111" s="134"/>
      <c r="V111" s="127"/>
      <c r="W111" s="135"/>
      <c r="X111" s="135"/>
      <c r="Y111" s="135"/>
      <c r="Z111" s="127"/>
      <c r="AA111" s="135"/>
      <c r="AB111" s="135"/>
      <c r="AC111" s="135"/>
      <c r="AD111" s="135"/>
      <c r="AE111" s="130"/>
    </row>
    <row r="112" spans="1:31">
      <c r="A112" s="121" t="s">
        <v>283</v>
      </c>
      <c r="C112" s="139">
        <f>C110+C108+C106+C102+C100+C98+C93+C91+C87+C86+C84+C81+C75+C71+C69+C65</f>
        <v>309641955.81</v>
      </c>
      <c r="D112" s="139"/>
      <c r="E112" s="139">
        <f>E110+E108+E106+E102+E100+E98+E93+E91+E87+E86+E84+E81+E75+E71+E69+E65</f>
        <v>-10659415.960000001</v>
      </c>
      <c r="F112" s="139"/>
      <c r="G112" s="139">
        <f>G110+G108+G106+G102+G100+G98+G93+G91+G87+G86+G84+G81+G75+G71+G69+G65</f>
        <v>-8775130.0800000019</v>
      </c>
      <c r="H112" s="139"/>
      <c r="I112" s="139">
        <f>I110+I108+I106+I102+I100+I98+I93+I91+I87+I86+I84+I81+I75+I71+I69+I65</f>
        <v>-1884285.88</v>
      </c>
      <c r="J112" s="139"/>
      <c r="K112" s="139">
        <f>K110+K108+K106+K102+K100+K98+K93+K91+K87+K86+K84+K81+K75+K71+K69+K65</f>
        <v>-1930447.8100000003</v>
      </c>
      <c r="L112" s="139"/>
      <c r="M112" s="139">
        <f>M110+M108+M106+M102+M100+M98+M93+M91+M87+M86+M84+M81+M75+M69+M65</f>
        <v>290398.90999999997</v>
      </c>
      <c r="N112" s="139"/>
      <c r="O112" s="139">
        <f>O110+O108+O106+O102+O100+O98+O93+O91+O87+O86+O84+O81+O75+O71+O69+O65</f>
        <v>299225032.88999999</v>
      </c>
      <c r="P112" s="139"/>
      <c r="Q112" s="139">
        <f>Q110+Q108+Q106+Q102+Q100+Q98+Q93+Q91+Q86+Q87+Q84+Q81+Q75+Q71+Q69+Q65</f>
        <v>299299837.78403902</v>
      </c>
      <c r="R112" s="139"/>
      <c r="S112" s="149">
        <f>ROUND(Q112/O112*100,3)-100</f>
        <v>2.5000000000005684E-2</v>
      </c>
      <c r="T112" s="139">
        <f>T110+T108+T106+T102+T100+T98+T93+T91+T87+T86+T84+T81+T75+T71+T69+T65</f>
        <v>74804.894039009116</v>
      </c>
      <c r="U112" s="134">
        <f>IF(ABS(S112)&lt;=0.5,0,IF(O112&gt;Q112,(O112*0.995)-Q112,(O112*1.005)-Q112))</f>
        <v>0</v>
      </c>
      <c r="V112" s="139">
        <f>V110+V108+V106+V102+V100+V98+V93+V91+V87+V86+V84+V81+V75+V71+V69+V65</f>
        <v>303518305.17000008</v>
      </c>
      <c r="W112" s="135">
        <f>((V112-O112)/O112)*100</f>
        <v>1.4347971620336883</v>
      </c>
      <c r="X112" s="139">
        <f>X110+X108+X106+X102+X100+X98+X93+X91+X87+X84+X81+X75+X71+X69+X65</f>
        <v>4218467.3859609738</v>
      </c>
      <c r="Y112" s="135"/>
      <c r="Z112" s="139" t="e">
        <f>Z110+Z108+Z106+Z102+Z100+Z98+Z93+Z91+Z84+Z87+Z81+Z75+Z69+Z65</f>
        <v>#REF!</v>
      </c>
      <c r="AA112" s="135" t="e">
        <f>((Z112-V112)/V112)*100</f>
        <v>#REF!</v>
      </c>
      <c r="AB112" s="139" t="e">
        <f>AB110+AB108+AB106+AB102+AB100+AB98+AB93+AB91+AB84+AB87+AB81+AB75+AB69+AB65</f>
        <v>#REF!</v>
      </c>
      <c r="AC112" s="135"/>
      <c r="AD112" s="139">
        <f>AD110+AD108+AD106+AD102+AD100+AD98+AD93+AD91+AD84+AD87+AD81+AD75+AD71+AD69+AD65</f>
        <v>361520.49403901218</v>
      </c>
      <c r="AE112" s="130"/>
    </row>
    <row r="113" spans="15:30">
      <c r="V113" s="150"/>
      <c r="X113" s="150"/>
      <c r="Z113" s="150"/>
      <c r="AA113" s="150"/>
      <c r="AB113" s="150"/>
      <c r="AC113" s="150"/>
      <c r="AD113" s="150"/>
    </row>
    <row r="115" spans="15:30">
      <c r="O115" s="140" t="s">
        <v>31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61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workbookViewId="0">
      <selection activeCell="M21" sqref="M21"/>
    </sheetView>
  </sheetViews>
  <sheetFormatPr defaultRowHeight="12.75"/>
  <cols>
    <col min="1" max="1" width="7.875" style="1099" customWidth="1"/>
    <col min="2" max="2" width="22.125" style="1099" customWidth="1"/>
    <col min="3" max="3" width="23.5" style="1099" customWidth="1"/>
    <col min="4" max="4" width="13.75" style="1099" customWidth="1"/>
    <col min="5" max="5" width="19.5" style="1099" customWidth="1"/>
    <col min="6" max="6" width="9" style="1099"/>
    <col min="7" max="7" width="11.625" style="1099" bestFit="1" customWidth="1"/>
    <col min="8" max="16384" width="9" style="1099"/>
  </cols>
  <sheetData>
    <row r="1" spans="1:5" ht="13.5" customHeight="1">
      <c r="A1" s="1096" t="s">
        <v>844</v>
      </c>
      <c r="B1" s="1097" t="s">
        <v>845</v>
      </c>
      <c r="C1" s="1097" t="s">
        <v>846</v>
      </c>
      <c r="D1" s="1097" t="s">
        <v>847</v>
      </c>
      <c r="E1" s="1098"/>
    </row>
    <row r="2" spans="1:5" ht="14.25" customHeight="1">
      <c r="A2" s="1100" t="s">
        <v>848</v>
      </c>
      <c r="B2" s="1101" t="s">
        <v>831</v>
      </c>
      <c r="C2" s="1101" t="s">
        <v>58</v>
      </c>
      <c r="D2" s="1102">
        <v>0.39</v>
      </c>
      <c r="E2" s="1098" t="s">
        <v>849</v>
      </c>
    </row>
    <row r="3" spans="1:5" ht="14.25" customHeight="1">
      <c r="A3" s="1103"/>
      <c r="B3" s="1104"/>
      <c r="C3" s="1101" t="s">
        <v>850</v>
      </c>
      <c r="D3" s="1102">
        <v>21851.040000000001</v>
      </c>
      <c r="E3" s="1098"/>
    </row>
    <row r="4" spans="1:5" ht="14.25" customHeight="1">
      <c r="A4" s="1103"/>
      <c r="B4" s="1104"/>
      <c r="C4" s="1101" t="s">
        <v>851</v>
      </c>
      <c r="D4" s="1102">
        <v>77.930000000000007</v>
      </c>
      <c r="E4" s="1098"/>
    </row>
    <row r="5" spans="1:5" ht="14.25" customHeight="1">
      <c r="A5" s="1103"/>
      <c r="B5" s="1104"/>
      <c r="C5" s="1101" t="s">
        <v>300</v>
      </c>
      <c r="D5" s="1102">
        <v>177.96</v>
      </c>
      <c r="E5" s="1098"/>
    </row>
    <row r="6" spans="1:5" ht="14.25" customHeight="1">
      <c r="A6" s="1103"/>
      <c r="B6" s="1104"/>
      <c r="C6" s="1101" t="s">
        <v>51</v>
      </c>
      <c r="D6" s="1102">
        <v>257920</v>
      </c>
      <c r="E6" s="1098"/>
    </row>
    <row r="7" spans="1:5" ht="14.25" customHeight="1">
      <c r="A7" s="1103"/>
      <c r="B7" s="1104"/>
      <c r="C7" s="1101" t="s">
        <v>52</v>
      </c>
      <c r="D7" s="1102">
        <v>602.65</v>
      </c>
      <c r="E7" s="1098"/>
    </row>
    <row r="8" spans="1:5" ht="14.25" customHeight="1">
      <c r="A8" s="1103"/>
      <c r="B8" s="1104"/>
      <c r="C8" s="1101" t="s">
        <v>852</v>
      </c>
      <c r="D8" s="1102">
        <v>36247.21</v>
      </c>
      <c r="E8" s="1098"/>
    </row>
    <row r="9" spans="1:5" ht="14.25" customHeight="1">
      <c r="A9" s="1103"/>
      <c r="B9" s="1104"/>
      <c r="C9" s="1101" t="s">
        <v>53</v>
      </c>
      <c r="D9" s="1102">
        <v>300328.01</v>
      </c>
      <c r="E9" s="1098"/>
    </row>
    <row r="10" spans="1:5" ht="14.25" customHeight="1">
      <c r="A10" s="1103"/>
      <c r="B10" s="1104"/>
      <c r="C10" s="1101" t="s">
        <v>54</v>
      </c>
      <c r="D10" s="1102">
        <v>52409.64</v>
      </c>
      <c r="E10" s="1098"/>
    </row>
    <row r="11" spans="1:5" ht="14.25" customHeight="1">
      <c r="A11" s="1103"/>
      <c r="B11" s="1104"/>
      <c r="C11" s="1101" t="s">
        <v>220</v>
      </c>
      <c r="D11" s="1102">
        <v>250.04</v>
      </c>
      <c r="E11" s="1098"/>
    </row>
    <row r="12" spans="1:5" ht="14.25" customHeight="1">
      <c r="A12" s="1103"/>
      <c r="B12" s="1104"/>
      <c r="C12" s="1101" t="s">
        <v>699</v>
      </c>
      <c r="D12" s="1102">
        <v>45.48</v>
      </c>
      <c r="E12" s="1098"/>
    </row>
    <row r="13" spans="1:5" ht="14.25" customHeight="1">
      <c r="A13" s="1103"/>
      <c r="B13" s="1104"/>
      <c r="C13" s="1101" t="s">
        <v>55</v>
      </c>
      <c r="D13" s="1102">
        <v>1668.49</v>
      </c>
      <c r="E13" s="1098"/>
    </row>
    <row r="14" spans="1:5" ht="14.25" customHeight="1">
      <c r="A14" s="1103"/>
      <c r="B14" s="1104"/>
      <c r="C14" s="1101" t="s">
        <v>853</v>
      </c>
      <c r="D14" s="1102">
        <v>598.35</v>
      </c>
      <c r="E14" s="1098"/>
    </row>
    <row r="15" spans="1:5" ht="14.25" customHeight="1">
      <c r="A15" s="1103"/>
      <c r="B15" s="1104"/>
      <c r="C15" s="1101" t="s">
        <v>56</v>
      </c>
      <c r="D15" s="1102">
        <v>182.6</v>
      </c>
      <c r="E15" s="1098"/>
    </row>
    <row r="16" spans="1:5" ht="14.25" customHeight="1">
      <c r="A16" s="1103"/>
      <c r="B16" s="1104"/>
      <c r="C16" s="1101" t="s">
        <v>268</v>
      </c>
      <c r="D16" s="1102">
        <v>-55.04</v>
      </c>
      <c r="E16" s="1105">
        <f>SUM(D2:D16)</f>
        <v>672304.75</v>
      </c>
    </row>
    <row r="17" spans="1:5" ht="14.25" customHeight="1">
      <c r="A17" s="1103"/>
      <c r="B17" s="1101" t="s">
        <v>854</v>
      </c>
      <c r="C17" s="1101" t="s">
        <v>850</v>
      </c>
      <c r="D17" s="1102">
        <v>1062.31</v>
      </c>
      <c r="E17" s="1098"/>
    </row>
    <row r="18" spans="1:5" ht="14.25" customHeight="1">
      <c r="A18" s="1103"/>
      <c r="B18" s="1104"/>
      <c r="C18" s="1101" t="s">
        <v>300</v>
      </c>
      <c r="D18" s="1102">
        <v>2.88</v>
      </c>
      <c r="E18" s="1098"/>
    </row>
    <row r="19" spans="1:5" ht="14.25" customHeight="1">
      <c r="A19" s="1103"/>
      <c r="B19" s="1104"/>
      <c r="C19" s="1101" t="s">
        <v>51</v>
      </c>
      <c r="D19" s="1102">
        <v>8294.7000000000007</v>
      </c>
      <c r="E19" s="1098"/>
    </row>
    <row r="20" spans="1:5" ht="14.25" customHeight="1">
      <c r="A20" s="1103"/>
      <c r="B20" s="1104"/>
      <c r="C20" s="1101" t="s">
        <v>52</v>
      </c>
      <c r="D20" s="1102">
        <v>17.489999999999998</v>
      </c>
      <c r="E20" s="1098"/>
    </row>
    <row r="21" spans="1:5" ht="14.25" customHeight="1">
      <c r="A21" s="1103"/>
      <c r="B21" s="1104"/>
      <c r="C21" s="1101" t="s">
        <v>852</v>
      </c>
      <c r="D21" s="1102">
        <v>1484.12</v>
      </c>
      <c r="E21" s="1098"/>
    </row>
    <row r="22" spans="1:5" ht="14.25" customHeight="1">
      <c r="A22" s="1103"/>
      <c r="B22" s="1104"/>
      <c r="C22" s="1101" t="s">
        <v>53</v>
      </c>
      <c r="D22" s="1102">
        <v>47181.38</v>
      </c>
      <c r="E22" s="1098"/>
    </row>
    <row r="23" spans="1:5" ht="14.25" customHeight="1">
      <c r="A23" s="1103"/>
      <c r="B23" s="1104"/>
      <c r="C23" s="1101" t="s">
        <v>54</v>
      </c>
      <c r="D23" s="1102">
        <v>254113.17</v>
      </c>
      <c r="E23" s="1098"/>
    </row>
    <row r="24" spans="1:5" ht="14.25" customHeight="1">
      <c r="A24" s="1103"/>
      <c r="B24" s="1104"/>
      <c r="C24" s="1101" t="s">
        <v>55</v>
      </c>
      <c r="D24" s="1102">
        <v>124.91</v>
      </c>
      <c r="E24" s="1098"/>
    </row>
    <row r="25" spans="1:5" ht="14.25" customHeight="1">
      <c r="A25" s="1103"/>
      <c r="B25" s="1104"/>
      <c r="C25" s="1101" t="s">
        <v>853</v>
      </c>
      <c r="D25" s="1102">
        <v>29.59</v>
      </c>
      <c r="E25" s="1098"/>
    </row>
    <row r="26" spans="1:5" ht="14.25" customHeight="1">
      <c r="A26" s="1103"/>
      <c r="B26" s="1104"/>
      <c r="C26" s="1101" t="s">
        <v>167</v>
      </c>
      <c r="D26" s="1102">
        <v>643.88</v>
      </c>
      <c r="E26" s="1105">
        <f>SUM(D17:D26)</f>
        <v>312954.43</v>
      </c>
    </row>
    <row r="27" spans="1:5" ht="14.25" customHeight="1">
      <c r="A27" s="1103"/>
      <c r="B27" s="1101" t="s">
        <v>855</v>
      </c>
      <c r="C27" s="1101" t="s">
        <v>58</v>
      </c>
      <c r="D27" s="1102">
        <v>70611.509999999995</v>
      </c>
      <c r="E27" s="1098"/>
    </row>
    <row r="28" spans="1:5" ht="14.25" customHeight="1">
      <c r="A28" s="1103"/>
      <c r="B28" s="1104"/>
      <c r="C28" s="1101" t="s">
        <v>59</v>
      </c>
      <c r="D28" s="1102">
        <v>2620.94</v>
      </c>
      <c r="E28" s="1105">
        <f>SUM(D27:D28)</f>
        <v>73232.45</v>
      </c>
    </row>
    <row r="29" spans="1:5" ht="14.25" customHeight="1">
      <c r="A29" s="1103"/>
      <c r="B29" s="1101" t="s">
        <v>856</v>
      </c>
      <c r="C29" s="1101" t="s">
        <v>61</v>
      </c>
      <c r="D29" s="1102">
        <v>338.58</v>
      </c>
      <c r="E29" s="1098"/>
    </row>
    <row r="30" spans="1:5" ht="14.25" customHeight="1">
      <c r="A30" s="1103"/>
      <c r="B30" s="1104"/>
      <c r="C30" s="1101" t="s">
        <v>62</v>
      </c>
      <c r="D30" s="1102">
        <v>1693.11</v>
      </c>
      <c r="E30" s="1098" t="s">
        <v>857</v>
      </c>
    </row>
    <row r="31" spans="1:5" ht="14.25" customHeight="1">
      <c r="A31" s="1103"/>
      <c r="B31" s="1104"/>
      <c r="C31" s="1101" t="s">
        <v>63</v>
      </c>
      <c r="D31" s="1102">
        <v>594.17999999999995</v>
      </c>
      <c r="E31" s="1098"/>
    </row>
    <row r="32" spans="1:5" ht="14.25" customHeight="1">
      <c r="A32" s="1103"/>
      <c r="B32" s="1104"/>
      <c r="C32" s="1101" t="s">
        <v>64</v>
      </c>
      <c r="D32" s="1102">
        <v>4842.42</v>
      </c>
      <c r="E32" s="1098"/>
    </row>
    <row r="33" spans="1:7" ht="14.25" customHeight="1">
      <c r="A33" s="1103"/>
      <c r="B33" s="1104"/>
      <c r="C33" s="1101" t="s">
        <v>65</v>
      </c>
      <c r="D33" s="1102">
        <v>1720.81</v>
      </c>
      <c r="E33" s="1105">
        <f>SUM(D29:D33)</f>
        <v>9189.1</v>
      </c>
    </row>
    <row r="34" spans="1:7" ht="14.25" customHeight="1">
      <c r="A34" s="1103"/>
      <c r="B34" s="1101" t="s">
        <v>858</v>
      </c>
      <c r="C34" s="1101" t="s">
        <v>850</v>
      </c>
      <c r="D34" s="1102">
        <v>4.17</v>
      </c>
      <c r="E34" s="1098"/>
    </row>
    <row r="35" spans="1:7" ht="14.25" customHeight="1">
      <c r="A35" s="1103"/>
      <c r="B35" s="1104"/>
      <c r="C35" s="1101" t="s">
        <v>51</v>
      </c>
      <c r="D35" s="1102">
        <v>-8.69</v>
      </c>
      <c r="E35" s="1098"/>
    </row>
    <row r="36" spans="1:7" ht="14.25" customHeight="1">
      <c r="A36" s="1103"/>
      <c r="B36" s="1104"/>
      <c r="C36" s="1101" t="s">
        <v>252</v>
      </c>
      <c r="D36" s="1102">
        <v>350.04</v>
      </c>
      <c r="E36" s="1098"/>
    </row>
    <row r="37" spans="1:7" ht="14.25" customHeight="1">
      <c r="A37" s="1103"/>
      <c r="B37" s="1104"/>
      <c r="C37" s="1101" t="s">
        <v>220</v>
      </c>
      <c r="D37" s="1102">
        <v>-13.78</v>
      </c>
      <c r="E37" s="1098"/>
    </row>
    <row r="38" spans="1:7" ht="14.25" customHeight="1">
      <c r="A38" s="1103"/>
      <c r="B38" s="1104"/>
      <c r="C38" s="1101" t="s">
        <v>272</v>
      </c>
      <c r="D38" s="1102">
        <v>1087.44</v>
      </c>
      <c r="E38" s="1098"/>
    </row>
    <row r="39" spans="1:7" ht="14.25" customHeight="1">
      <c r="A39" s="1103"/>
      <c r="B39" s="1104"/>
      <c r="C39" s="1101" t="s">
        <v>268</v>
      </c>
      <c r="D39" s="1102">
        <v>825377.85</v>
      </c>
      <c r="E39" s="1098"/>
    </row>
    <row r="40" spans="1:7" ht="14.25" customHeight="1">
      <c r="A40" s="1103"/>
      <c r="B40" s="1104"/>
      <c r="C40" s="1101" t="s">
        <v>269</v>
      </c>
      <c r="D40" s="1102">
        <v>34027.089999999997</v>
      </c>
      <c r="E40" s="1098"/>
    </row>
    <row r="41" spans="1:7" ht="14.25" customHeight="1">
      <c r="A41" s="1103"/>
      <c r="B41" s="1104"/>
      <c r="C41" s="1101" t="s">
        <v>270</v>
      </c>
      <c r="D41" s="1102">
        <v>1186.02</v>
      </c>
      <c r="E41" s="1098"/>
    </row>
    <row r="42" spans="1:7" ht="14.25" customHeight="1">
      <c r="A42" s="1103"/>
      <c r="B42" s="1104"/>
      <c r="C42" s="1101" t="s">
        <v>271</v>
      </c>
      <c r="D42" s="1102">
        <v>231</v>
      </c>
      <c r="E42" s="1098"/>
    </row>
    <row r="43" spans="1:7" ht="14.25" customHeight="1">
      <c r="A43" s="1106"/>
      <c r="B43" s="1107"/>
      <c r="C43" s="1108" t="s">
        <v>763</v>
      </c>
      <c r="D43" s="1109">
        <v>525.94000000000005</v>
      </c>
      <c r="E43" s="1110">
        <f>SUM(D34:D43)</f>
        <v>862767.08</v>
      </c>
    </row>
    <row r="44" spans="1:7">
      <c r="G44" s="1110">
        <v>1930447.81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showGridLines="0" workbookViewId="0">
      <selection activeCell="M21" sqref="M21"/>
    </sheetView>
  </sheetViews>
  <sheetFormatPr defaultRowHeight="12.75"/>
  <cols>
    <col min="1" max="1" width="7.875" style="1116" customWidth="1"/>
    <col min="2" max="2" width="22.125" style="1116" customWidth="1"/>
    <col min="3" max="3" width="23.5" style="1116" customWidth="1"/>
    <col min="4" max="4" width="13.75" style="1116" customWidth="1"/>
    <col min="5" max="5" width="15.25" style="1116" customWidth="1"/>
    <col min="6" max="16384" width="9" style="1116"/>
  </cols>
  <sheetData>
    <row r="1" spans="1:5" ht="13.5" customHeight="1">
      <c r="A1" s="1114" t="s">
        <v>844</v>
      </c>
      <c r="B1" s="1114" t="s">
        <v>845</v>
      </c>
      <c r="C1" s="1114" t="s">
        <v>846</v>
      </c>
      <c r="D1" s="1114" t="s">
        <v>847</v>
      </c>
      <c r="E1" s="1115"/>
    </row>
    <row r="2" spans="1:5" ht="14.25" customHeight="1">
      <c r="A2" s="1117" t="s">
        <v>848</v>
      </c>
      <c r="B2" s="1117" t="s">
        <v>854</v>
      </c>
      <c r="C2" s="1117" t="s">
        <v>54</v>
      </c>
      <c r="D2" s="1118">
        <v>177655.32</v>
      </c>
      <c r="E2" s="1115"/>
    </row>
    <row r="3" spans="1:5" ht="15.75" customHeight="1">
      <c r="A3" s="1115"/>
      <c r="B3" s="1115"/>
      <c r="C3" s="1115"/>
      <c r="D3" s="1115"/>
      <c r="E3" s="1115"/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"/>
  <sheetViews>
    <sheetView workbookViewId="0">
      <selection activeCell="M21" sqref="M21"/>
    </sheetView>
  </sheetViews>
  <sheetFormatPr defaultRowHeight="12.75"/>
  <cols>
    <col min="1" max="1" width="7.875" style="782" customWidth="1"/>
    <col min="2" max="2" width="14.375" style="782" customWidth="1"/>
    <col min="3" max="3" width="11.625" style="782" bestFit="1" customWidth="1"/>
    <col min="4" max="4" width="13.625" style="782" customWidth="1"/>
    <col min="5" max="5" width="4" style="782" bestFit="1" customWidth="1"/>
    <col min="6" max="6" width="13.375" style="782" bestFit="1" customWidth="1"/>
    <col min="7" max="7" width="16.625" style="782" customWidth="1"/>
    <col min="8" max="8" width="8.5" style="782" bestFit="1" customWidth="1"/>
    <col min="9" max="9" width="15.75" style="782" customWidth="1"/>
    <col min="10" max="10" width="14" style="782" customWidth="1"/>
    <col min="11" max="11" width="13.625" style="782" bestFit="1" customWidth="1"/>
    <col min="12" max="12" width="20.125" style="782" customWidth="1"/>
    <col min="13" max="13" width="9.625" style="782" customWidth="1"/>
    <col min="14" max="14" width="12.25" style="782" customWidth="1"/>
    <col min="15" max="15" width="11.375" style="782" customWidth="1"/>
    <col min="16" max="16" width="12.25" style="782" customWidth="1"/>
    <col min="17" max="17" width="16.625" style="782" customWidth="1"/>
    <col min="18" max="18" width="14.875" style="782" customWidth="1"/>
    <col min="19" max="19" width="15.75" style="782" customWidth="1"/>
    <col min="20" max="256" width="9" style="782"/>
    <col min="257" max="257" width="7.875" style="782" customWidth="1"/>
    <col min="258" max="258" width="14" style="782" customWidth="1"/>
    <col min="259" max="259" width="13.125" style="782" customWidth="1"/>
    <col min="260" max="260" width="14" style="782" customWidth="1"/>
    <col min="261" max="261" width="10.5" style="782" customWidth="1"/>
    <col min="262" max="262" width="14.875" style="782" customWidth="1"/>
    <col min="263" max="263" width="16.625" style="782" customWidth="1"/>
    <col min="264" max="264" width="13.125" style="782" customWidth="1"/>
    <col min="265" max="265" width="15.75" style="782" customWidth="1"/>
    <col min="266" max="266" width="14" style="782" customWidth="1"/>
    <col min="267" max="267" width="15.75" style="782" customWidth="1"/>
    <col min="268" max="268" width="20.125" style="782" customWidth="1"/>
    <col min="269" max="269" width="9.625" style="782" customWidth="1"/>
    <col min="270" max="270" width="12.25" style="782" customWidth="1"/>
    <col min="271" max="271" width="11.375" style="782" customWidth="1"/>
    <col min="272" max="272" width="12.25" style="782" customWidth="1"/>
    <col min="273" max="273" width="16.625" style="782" customWidth="1"/>
    <col min="274" max="274" width="14.875" style="782" customWidth="1"/>
    <col min="275" max="275" width="15.75" style="782" customWidth="1"/>
    <col min="276" max="512" width="9" style="782"/>
    <col min="513" max="513" width="7.875" style="782" customWidth="1"/>
    <col min="514" max="514" width="14" style="782" customWidth="1"/>
    <col min="515" max="515" width="13.125" style="782" customWidth="1"/>
    <col min="516" max="516" width="14" style="782" customWidth="1"/>
    <col min="517" max="517" width="10.5" style="782" customWidth="1"/>
    <col min="518" max="518" width="14.875" style="782" customWidth="1"/>
    <col min="519" max="519" width="16.625" style="782" customWidth="1"/>
    <col min="520" max="520" width="13.125" style="782" customWidth="1"/>
    <col min="521" max="521" width="15.75" style="782" customWidth="1"/>
    <col min="522" max="522" width="14" style="782" customWidth="1"/>
    <col min="523" max="523" width="15.75" style="782" customWidth="1"/>
    <col min="524" max="524" width="20.125" style="782" customWidth="1"/>
    <col min="525" max="525" width="9.625" style="782" customWidth="1"/>
    <col min="526" max="526" width="12.25" style="782" customWidth="1"/>
    <col min="527" max="527" width="11.375" style="782" customWidth="1"/>
    <col min="528" max="528" width="12.25" style="782" customWidth="1"/>
    <col min="529" max="529" width="16.625" style="782" customWidth="1"/>
    <col min="530" max="530" width="14.875" style="782" customWidth="1"/>
    <col min="531" max="531" width="15.75" style="782" customWidth="1"/>
    <col min="532" max="768" width="9" style="782"/>
    <col min="769" max="769" width="7.875" style="782" customWidth="1"/>
    <col min="770" max="770" width="14" style="782" customWidth="1"/>
    <col min="771" max="771" width="13.125" style="782" customWidth="1"/>
    <col min="772" max="772" width="14" style="782" customWidth="1"/>
    <col min="773" max="773" width="10.5" style="782" customWidth="1"/>
    <col min="774" max="774" width="14.875" style="782" customWidth="1"/>
    <col min="775" max="775" width="16.625" style="782" customWidth="1"/>
    <col min="776" max="776" width="13.125" style="782" customWidth="1"/>
    <col min="777" max="777" width="15.75" style="782" customWidth="1"/>
    <col min="778" max="778" width="14" style="782" customWidth="1"/>
    <col min="779" max="779" width="15.75" style="782" customWidth="1"/>
    <col min="780" max="780" width="20.125" style="782" customWidth="1"/>
    <col min="781" max="781" width="9.625" style="782" customWidth="1"/>
    <col min="782" max="782" width="12.25" style="782" customWidth="1"/>
    <col min="783" max="783" width="11.375" style="782" customWidth="1"/>
    <col min="784" max="784" width="12.25" style="782" customWidth="1"/>
    <col min="785" max="785" width="16.625" style="782" customWidth="1"/>
    <col min="786" max="786" width="14.875" style="782" customWidth="1"/>
    <col min="787" max="787" width="15.75" style="782" customWidth="1"/>
    <col min="788" max="1024" width="9" style="782"/>
    <col min="1025" max="1025" width="7.875" style="782" customWidth="1"/>
    <col min="1026" max="1026" width="14" style="782" customWidth="1"/>
    <col min="1027" max="1027" width="13.125" style="782" customWidth="1"/>
    <col min="1028" max="1028" width="14" style="782" customWidth="1"/>
    <col min="1029" max="1029" width="10.5" style="782" customWidth="1"/>
    <col min="1030" max="1030" width="14.875" style="782" customWidth="1"/>
    <col min="1031" max="1031" width="16.625" style="782" customWidth="1"/>
    <col min="1032" max="1032" width="13.125" style="782" customWidth="1"/>
    <col min="1033" max="1033" width="15.75" style="782" customWidth="1"/>
    <col min="1034" max="1034" width="14" style="782" customWidth="1"/>
    <col min="1035" max="1035" width="15.75" style="782" customWidth="1"/>
    <col min="1036" max="1036" width="20.125" style="782" customWidth="1"/>
    <col min="1037" max="1037" width="9.625" style="782" customWidth="1"/>
    <col min="1038" max="1038" width="12.25" style="782" customWidth="1"/>
    <col min="1039" max="1039" width="11.375" style="782" customWidth="1"/>
    <col min="1040" max="1040" width="12.25" style="782" customWidth="1"/>
    <col min="1041" max="1041" width="16.625" style="782" customWidth="1"/>
    <col min="1042" max="1042" width="14.875" style="782" customWidth="1"/>
    <col min="1043" max="1043" width="15.75" style="782" customWidth="1"/>
    <col min="1044" max="1280" width="9" style="782"/>
    <col min="1281" max="1281" width="7.875" style="782" customWidth="1"/>
    <col min="1282" max="1282" width="14" style="782" customWidth="1"/>
    <col min="1283" max="1283" width="13.125" style="782" customWidth="1"/>
    <col min="1284" max="1284" width="14" style="782" customWidth="1"/>
    <col min="1285" max="1285" width="10.5" style="782" customWidth="1"/>
    <col min="1286" max="1286" width="14.875" style="782" customWidth="1"/>
    <col min="1287" max="1287" width="16.625" style="782" customWidth="1"/>
    <col min="1288" max="1288" width="13.125" style="782" customWidth="1"/>
    <col min="1289" max="1289" width="15.75" style="782" customWidth="1"/>
    <col min="1290" max="1290" width="14" style="782" customWidth="1"/>
    <col min="1291" max="1291" width="15.75" style="782" customWidth="1"/>
    <col min="1292" max="1292" width="20.125" style="782" customWidth="1"/>
    <col min="1293" max="1293" width="9.625" style="782" customWidth="1"/>
    <col min="1294" max="1294" width="12.25" style="782" customWidth="1"/>
    <col min="1295" max="1295" width="11.375" style="782" customWidth="1"/>
    <col min="1296" max="1296" width="12.25" style="782" customWidth="1"/>
    <col min="1297" max="1297" width="16.625" style="782" customWidth="1"/>
    <col min="1298" max="1298" width="14.875" style="782" customWidth="1"/>
    <col min="1299" max="1299" width="15.75" style="782" customWidth="1"/>
    <col min="1300" max="1536" width="9" style="782"/>
    <col min="1537" max="1537" width="7.875" style="782" customWidth="1"/>
    <col min="1538" max="1538" width="14" style="782" customWidth="1"/>
    <col min="1539" max="1539" width="13.125" style="782" customWidth="1"/>
    <col min="1540" max="1540" width="14" style="782" customWidth="1"/>
    <col min="1541" max="1541" width="10.5" style="782" customWidth="1"/>
    <col min="1542" max="1542" width="14.875" style="782" customWidth="1"/>
    <col min="1543" max="1543" width="16.625" style="782" customWidth="1"/>
    <col min="1544" max="1544" width="13.125" style="782" customWidth="1"/>
    <col min="1545" max="1545" width="15.75" style="782" customWidth="1"/>
    <col min="1546" max="1546" width="14" style="782" customWidth="1"/>
    <col min="1547" max="1547" width="15.75" style="782" customWidth="1"/>
    <col min="1548" max="1548" width="20.125" style="782" customWidth="1"/>
    <col min="1549" max="1549" width="9.625" style="782" customWidth="1"/>
    <col min="1550" max="1550" width="12.25" style="782" customWidth="1"/>
    <col min="1551" max="1551" width="11.375" style="782" customWidth="1"/>
    <col min="1552" max="1552" width="12.25" style="782" customWidth="1"/>
    <col min="1553" max="1553" width="16.625" style="782" customWidth="1"/>
    <col min="1554" max="1554" width="14.875" style="782" customWidth="1"/>
    <col min="1555" max="1555" width="15.75" style="782" customWidth="1"/>
    <col min="1556" max="1792" width="9" style="782"/>
    <col min="1793" max="1793" width="7.875" style="782" customWidth="1"/>
    <col min="1794" max="1794" width="14" style="782" customWidth="1"/>
    <col min="1795" max="1795" width="13.125" style="782" customWidth="1"/>
    <col min="1796" max="1796" width="14" style="782" customWidth="1"/>
    <col min="1797" max="1797" width="10.5" style="782" customWidth="1"/>
    <col min="1798" max="1798" width="14.875" style="782" customWidth="1"/>
    <col min="1799" max="1799" width="16.625" style="782" customWidth="1"/>
    <col min="1800" max="1800" width="13.125" style="782" customWidth="1"/>
    <col min="1801" max="1801" width="15.75" style="782" customWidth="1"/>
    <col min="1802" max="1802" width="14" style="782" customWidth="1"/>
    <col min="1803" max="1803" width="15.75" style="782" customWidth="1"/>
    <col min="1804" max="1804" width="20.125" style="782" customWidth="1"/>
    <col min="1805" max="1805" width="9.625" style="782" customWidth="1"/>
    <col min="1806" max="1806" width="12.25" style="782" customWidth="1"/>
    <col min="1807" max="1807" width="11.375" style="782" customWidth="1"/>
    <col min="1808" max="1808" width="12.25" style="782" customWidth="1"/>
    <col min="1809" max="1809" width="16.625" style="782" customWidth="1"/>
    <col min="1810" max="1810" width="14.875" style="782" customWidth="1"/>
    <col min="1811" max="1811" width="15.75" style="782" customWidth="1"/>
    <col min="1812" max="2048" width="9" style="782"/>
    <col min="2049" max="2049" width="7.875" style="782" customWidth="1"/>
    <col min="2050" max="2050" width="14" style="782" customWidth="1"/>
    <col min="2051" max="2051" width="13.125" style="782" customWidth="1"/>
    <col min="2052" max="2052" width="14" style="782" customWidth="1"/>
    <col min="2053" max="2053" width="10.5" style="782" customWidth="1"/>
    <col min="2054" max="2054" width="14.875" style="782" customWidth="1"/>
    <col min="2055" max="2055" width="16.625" style="782" customWidth="1"/>
    <col min="2056" max="2056" width="13.125" style="782" customWidth="1"/>
    <col min="2057" max="2057" width="15.75" style="782" customWidth="1"/>
    <col min="2058" max="2058" width="14" style="782" customWidth="1"/>
    <col min="2059" max="2059" width="15.75" style="782" customWidth="1"/>
    <col min="2060" max="2060" width="20.125" style="782" customWidth="1"/>
    <col min="2061" max="2061" width="9.625" style="782" customWidth="1"/>
    <col min="2062" max="2062" width="12.25" style="782" customWidth="1"/>
    <col min="2063" max="2063" width="11.375" style="782" customWidth="1"/>
    <col min="2064" max="2064" width="12.25" style="782" customWidth="1"/>
    <col min="2065" max="2065" width="16.625" style="782" customWidth="1"/>
    <col min="2066" max="2066" width="14.875" style="782" customWidth="1"/>
    <col min="2067" max="2067" width="15.75" style="782" customWidth="1"/>
    <col min="2068" max="2304" width="9" style="782"/>
    <col min="2305" max="2305" width="7.875" style="782" customWidth="1"/>
    <col min="2306" max="2306" width="14" style="782" customWidth="1"/>
    <col min="2307" max="2307" width="13.125" style="782" customWidth="1"/>
    <col min="2308" max="2308" width="14" style="782" customWidth="1"/>
    <col min="2309" max="2309" width="10.5" style="782" customWidth="1"/>
    <col min="2310" max="2310" width="14.875" style="782" customWidth="1"/>
    <col min="2311" max="2311" width="16.625" style="782" customWidth="1"/>
    <col min="2312" max="2312" width="13.125" style="782" customWidth="1"/>
    <col min="2313" max="2313" width="15.75" style="782" customWidth="1"/>
    <col min="2314" max="2314" width="14" style="782" customWidth="1"/>
    <col min="2315" max="2315" width="15.75" style="782" customWidth="1"/>
    <col min="2316" max="2316" width="20.125" style="782" customWidth="1"/>
    <col min="2317" max="2317" width="9.625" style="782" customWidth="1"/>
    <col min="2318" max="2318" width="12.25" style="782" customWidth="1"/>
    <col min="2319" max="2319" width="11.375" style="782" customWidth="1"/>
    <col min="2320" max="2320" width="12.25" style="782" customWidth="1"/>
    <col min="2321" max="2321" width="16.625" style="782" customWidth="1"/>
    <col min="2322" max="2322" width="14.875" style="782" customWidth="1"/>
    <col min="2323" max="2323" width="15.75" style="782" customWidth="1"/>
    <col min="2324" max="2560" width="9" style="782"/>
    <col min="2561" max="2561" width="7.875" style="782" customWidth="1"/>
    <col min="2562" max="2562" width="14" style="782" customWidth="1"/>
    <col min="2563" max="2563" width="13.125" style="782" customWidth="1"/>
    <col min="2564" max="2564" width="14" style="782" customWidth="1"/>
    <col min="2565" max="2565" width="10.5" style="782" customWidth="1"/>
    <col min="2566" max="2566" width="14.875" style="782" customWidth="1"/>
    <col min="2567" max="2567" width="16.625" style="782" customWidth="1"/>
    <col min="2568" max="2568" width="13.125" style="782" customWidth="1"/>
    <col min="2569" max="2569" width="15.75" style="782" customWidth="1"/>
    <col min="2570" max="2570" width="14" style="782" customWidth="1"/>
    <col min="2571" max="2571" width="15.75" style="782" customWidth="1"/>
    <col min="2572" max="2572" width="20.125" style="782" customWidth="1"/>
    <col min="2573" max="2573" width="9.625" style="782" customWidth="1"/>
    <col min="2574" max="2574" width="12.25" style="782" customWidth="1"/>
    <col min="2575" max="2575" width="11.375" style="782" customWidth="1"/>
    <col min="2576" max="2576" width="12.25" style="782" customWidth="1"/>
    <col min="2577" max="2577" width="16.625" style="782" customWidth="1"/>
    <col min="2578" max="2578" width="14.875" style="782" customWidth="1"/>
    <col min="2579" max="2579" width="15.75" style="782" customWidth="1"/>
    <col min="2580" max="2816" width="9" style="782"/>
    <col min="2817" max="2817" width="7.875" style="782" customWidth="1"/>
    <col min="2818" max="2818" width="14" style="782" customWidth="1"/>
    <col min="2819" max="2819" width="13.125" style="782" customWidth="1"/>
    <col min="2820" max="2820" width="14" style="782" customWidth="1"/>
    <col min="2821" max="2821" width="10.5" style="782" customWidth="1"/>
    <col min="2822" max="2822" width="14.875" style="782" customWidth="1"/>
    <col min="2823" max="2823" width="16.625" style="782" customWidth="1"/>
    <col min="2824" max="2824" width="13.125" style="782" customWidth="1"/>
    <col min="2825" max="2825" width="15.75" style="782" customWidth="1"/>
    <col min="2826" max="2826" width="14" style="782" customWidth="1"/>
    <col min="2827" max="2827" width="15.75" style="782" customWidth="1"/>
    <col min="2828" max="2828" width="20.125" style="782" customWidth="1"/>
    <col min="2829" max="2829" width="9.625" style="782" customWidth="1"/>
    <col min="2830" max="2830" width="12.25" style="782" customWidth="1"/>
    <col min="2831" max="2831" width="11.375" style="782" customWidth="1"/>
    <col min="2832" max="2832" width="12.25" style="782" customWidth="1"/>
    <col min="2833" max="2833" width="16.625" style="782" customWidth="1"/>
    <col min="2834" max="2834" width="14.875" style="782" customWidth="1"/>
    <col min="2835" max="2835" width="15.75" style="782" customWidth="1"/>
    <col min="2836" max="3072" width="9" style="782"/>
    <col min="3073" max="3073" width="7.875" style="782" customWidth="1"/>
    <col min="3074" max="3074" width="14" style="782" customWidth="1"/>
    <col min="3075" max="3075" width="13.125" style="782" customWidth="1"/>
    <col min="3076" max="3076" width="14" style="782" customWidth="1"/>
    <col min="3077" max="3077" width="10.5" style="782" customWidth="1"/>
    <col min="3078" max="3078" width="14.875" style="782" customWidth="1"/>
    <col min="3079" max="3079" width="16.625" style="782" customWidth="1"/>
    <col min="3080" max="3080" width="13.125" style="782" customWidth="1"/>
    <col min="3081" max="3081" width="15.75" style="782" customWidth="1"/>
    <col min="3082" max="3082" width="14" style="782" customWidth="1"/>
    <col min="3083" max="3083" width="15.75" style="782" customWidth="1"/>
    <col min="3084" max="3084" width="20.125" style="782" customWidth="1"/>
    <col min="3085" max="3085" width="9.625" style="782" customWidth="1"/>
    <col min="3086" max="3086" width="12.25" style="782" customWidth="1"/>
    <col min="3087" max="3087" width="11.375" style="782" customWidth="1"/>
    <col min="3088" max="3088" width="12.25" style="782" customWidth="1"/>
    <col min="3089" max="3089" width="16.625" style="782" customWidth="1"/>
    <col min="3090" max="3090" width="14.875" style="782" customWidth="1"/>
    <col min="3091" max="3091" width="15.75" style="782" customWidth="1"/>
    <col min="3092" max="3328" width="9" style="782"/>
    <col min="3329" max="3329" width="7.875" style="782" customWidth="1"/>
    <col min="3330" max="3330" width="14" style="782" customWidth="1"/>
    <col min="3331" max="3331" width="13.125" style="782" customWidth="1"/>
    <col min="3332" max="3332" width="14" style="782" customWidth="1"/>
    <col min="3333" max="3333" width="10.5" style="782" customWidth="1"/>
    <col min="3334" max="3334" width="14.875" style="782" customWidth="1"/>
    <col min="3335" max="3335" width="16.625" style="782" customWidth="1"/>
    <col min="3336" max="3336" width="13.125" style="782" customWidth="1"/>
    <col min="3337" max="3337" width="15.75" style="782" customWidth="1"/>
    <col min="3338" max="3338" width="14" style="782" customWidth="1"/>
    <col min="3339" max="3339" width="15.75" style="782" customWidth="1"/>
    <col min="3340" max="3340" width="20.125" style="782" customWidth="1"/>
    <col min="3341" max="3341" width="9.625" style="782" customWidth="1"/>
    <col min="3342" max="3342" width="12.25" style="782" customWidth="1"/>
    <col min="3343" max="3343" width="11.375" style="782" customWidth="1"/>
    <col min="3344" max="3344" width="12.25" style="782" customWidth="1"/>
    <col min="3345" max="3345" width="16.625" style="782" customWidth="1"/>
    <col min="3346" max="3346" width="14.875" style="782" customWidth="1"/>
    <col min="3347" max="3347" width="15.75" style="782" customWidth="1"/>
    <col min="3348" max="3584" width="9" style="782"/>
    <col min="3585" max="3585" width="7.875" style="782" customWidth="1"/>
    <col min="3586" max="3586" width="14" style="782" customWidth="1"/>
    <col min="3587" max="3587" width="13.125" style="782" customWidth="1"/>
    <col min="3588" max="3588" width="14" style="782" customWidth="1"/>
    <col min="3589" max="3589" width="10.5" style="782" customWidth="1"/>
    <col min="3590" max="3590" width="14.875" style="782" customWidth="1"/>
    <col min="3591" max="3591" width="16.625" style="782" customWidth="1"/>
    <col min="3592" max="3592" width="13.125" style="782" customWidth="1"/>
    <col min="3593" max="3593" width="15.75" style="782" customWidth="1"/>
    <col min="3594" max="3594" width="14" style="782" customWidth="1"/>
    <col min="3595" max="3595" width="15.75" style="782" customWidth="1"/>
    <col min="3596" max="3596" width="20.125" style="782" customWidth="1"/>
    <col min="3597" max="3597" width="9.625" style="782" customWidth="1"/>
    <col min="3598" max="3598" width="12.25" style="782" customWidth="1"/>
    <col min="3599" max="3599" width="11.375" style="782" customWidth="1"/>
    <col min="3600" max="3600" width="12.25" style="782" customWidth="1"/>
    <col min="3601" max="3601" width="16.625" style="782" customWidth="1"/>
    <col min="3602" max="3602" width="14.875" style="782" customWidth="1"/>
    <col min="3603" max="3603" width="15.75" style="782" customWidth="1"/>
    <col min="3604" max="3840" width="9" style="782"/>
    <col min="3841" max="3841" width="7.875" style="782" customWidth="1"/>
    <col min="3842" max="3842" width="14" style="782" customWidth="1"/>
    <col min="3843" max="3843" width="13.125" style="782" customWidth="1"/>
    <col min="3844" max="3844" width="14" style="782" customWidth="1"/>
    <col min="3845" max="3845" width="10.5" style="782" customWidth="1"/>
    <col min="3846" max="3846" width="14.875" style="782" customWidth="1"/>
    <col min="3847" max="3847" width="16.625" style="782" customWidth="1"/>
    <col min="3848" max="3848" width="13.125" style="782" customWidth="1"/>
    <col min="3849" max="3849" width="15.75" style="782" customWidth="1"/>
    <col min="3850" max="3850" width="14" style="782" customWidth="1"/>
    <col min="3851" max="3851" width="15.75" style="782" customWidth="1"/>
    <col min="3852" max="3852" width="20.125" style="782" customWidth="1"/>
    <col min="3853" max="3853" width="9.625" style="782" customWidth="1"/>
    <col min="3854" max="3854" width="12.25" style="782" customWidth="1"/>
    <col min="3855" max="3855" width="11.375" style="782" customWidth="1"/>
    <col min="3856" max="3856" width="12.25" style="782" customWidth="1"/>
    <col min="3857" max="3857" width="16.625" style="782" customWidth="1"/>
    <col min="3858" max="3858" width="14.875" style="782" customWidth="1"/>
    <col min="3859" max="3859" width="15.75" style="782" customWidth="1"/>
    <col min="3860" max="4096" width="9" style="782"/>
    <col min="4097" max="4097" width="7.875" style="782" customWidth="1"/>
    <col min="4098" max="4098" width="14" style="782" customWidth="1"/>
    <col min="4099" max="4099" width="13.125" style="782" customWidth="1"/>
    <col min="4100" max="4100" width="14" style="782" customWidth="1"/>
    <col min="4101" max="4101" width="10.5" style="782" customWidth="1"/>
    <col min="4102" max="4102" width="14.875" style="782" customWidth="1"/>
    <col min="4103" max="4103" width="16.625" style="782" customWidth="1"/>
    <col min="4104" max="4104" width="13.125" style="782" customWidth="1"/>
    <col min="4105" max="4105" width="15.75" style="782" customWidth="1"/>
    <col min="4106" max="4106" width="14" style="782" customWidth="1"/>
    <col min="4107" max="4107" width="15.75" style="782" customWidth="1"/>
    <col min="4108" max="4108" width="20.125" style="782" customWidth="1"/>
    <col min="4109" max="4109" width="9.625" style="782" customWidth="1"/>
    <col min="4110" max="4110" width="12.25" style="782" customWidth="1"/>
    <col min="4111" max="4111" width="11.375" style="782" customWidth="1"/>
    <col min="4112" max="4112" width="12.25" style="782" customWidth="1"/>
    <col min="4113" max="4113" width="16.625" style="782" customWidth="1"/>
    <col min="4114" max="4114" width="14.875" style="782" customWidth="1"/>
    <col min="4115" max="4115" width="15.75" style="782" customWidth="1"/>
    <col min="4116" max="4352" width="9" style="782"/>
    <col min="4353" max="4353" width="7.875" style="782" customWidth="1"/>
    <col min="4354" max="4354" width="14" style="782" customWidth="1"/>
    <col min="4355" max="4355" width="13.125" style="782" customWidth="1"/>
    <col min="4356" max="4356" width="14" style="782" customWidth="1"/>
    <col min="4357" max="4357" width="10.5" style="782" customWidth="1"/>
    <col min="4358" max="4358" width="14.875" style="782" customWidth="1"/>
    <col min="4359" max="4359" width="16.625" style="782" customWidth="1"/>
    <col min="4360" max="4360" width="13.125" style="782" customWidth="1"/>
    <col min="4361" max="4361" width="15.75" style="782" customWidth="1"/>
    <col min="4362" max="4362" width="14" style="782" customWidth="1"/>
    <col min="4363" max="4363" width="15.75" style="782" customWidth="1"/>
    <col min="4364" max="4364" width="20.125" style="782" customWidth="1"/>
    <col min="4365" max="4365" width="9.625" style="782" customWidth="1"/>
    <col min="4366" max="4366" width="12.25" style="782" customWidth="1"/>
    <col min="4367" max="4367" width="11.375" style="782" customWidth="1"/>
    <col min="4368" max="4368" width="12.25" style="782" customWidth="1"/>
    <col min="4369" max="4369" width="16.625" style="782" customWidth="1"/>
    <col min="4370" max="4370" width="14.875" style="782" customWidth="1"/>
    <col min="4371" max="4371" width="15.75" style="782" customWidth="1"/>
    <col min="4372" max="4608" width="9" style="782"/>
    <col min="4609" max="4609" width="7.875" style="782" customWidth="1"/>
    <col min="4610" max="4610" width="14" style="782" customWidth="1"/>
    <col min="4611" max="4611" width="13.125" style="782" customWidth="1"/>
    <col min="4612" max="4612" width="14" style="782" customWidth="1"/>
    <col min="4613" max="4613" width="10.5" style="782" customWidth="1"/>
    <col min="4614" max="4614" width="14.875" style="782" customWidth="1"/>
    <col min="4615" max="4615" width="16.625" style="782" customWidth="1"/>
    <col min="4616" max="4616" width="13.125" style="782" customWidth="1"/>
    <col min="4617" max="4617" width="15.75" style="782" customWidth="1"/>
    <col min="4618" max="4618" width="14" style="782" customWidth="1"/>
    <col min="4619" max="4619" width="15.75" style="782" customWidth="1"/>
    <col min="4620" max="4620" width="20.125" style="782" customWidth="1"/>
    <col min="4621" max="4621" width="9.625" style="782" customWidth="1"/>
    <col min="4622" max="4622" width="12.25" style="782" customWidth="1"/>
    <col min="4623" max="4623" width="11.375" style="782" customWidth="1"/>
    <col min="4624" max="4624" width="12.25" style="782" customWidth="1"/>
    <col min="4625" max="4625" width="16.625" style="782" customWidth="1"/>
    <col min="4626" max="4626" width="14.875" style="782" customWidth="1"/>
    <col min="4627" max="4627" width="15.75" style="782" customWidth="1"/>
    <col min="4628" max="4864" width="9" style="782"/>
    <col min="4865" max="4865" width="7.875" style="782" customWidth="1"/>
    <col min="4866" max="4866" width="14" style="782" customWidth="1"/>
    <col min="4867" max="4867" width="13.125" style="782" customWidth="1"/>
    <col min="4868" max="4868" width="14" style="782" customWidth="1"/>
    <col min="4869" max="4869" width="10.5" style="782" customWidth="1"/>
    <col min="4870" max="4870" width="14.875" style="782" customWidth="1"/>
    <col min="4871" max="4871" width="16.625" style="782" customWidth="1"/>
    <col min="4872" max="4872" width="13.125" style="782" customWidth="1"/>
    <col min="4873" max="4873" width="15.75" style="782" customWidth="1"/>
    <col min="4874" max="4874" width="14" style="782" customWidth="1"/>
    <col min="4875" max="4875" width="15.75" style="782" customWidth="1"/>
    <col min="4876" max="4876" width="20.125" style="782" customWidth="1"/>
    <col min="4877" max="4877" width="9.625" style="782" customWidth="1"/>
    <col min="4878" max="4878" width="12.25" style="782" customWidth="1"/>
    <col min="4879" max="4879" width="11.375" style="782" customWidth="1"/>
    <col min="4880" max="4880" width="12.25" style="782" customWidth="1"/>
    <col min="4881" max="4881" width="16.625" style="782" customWidth="1"/>
    <col min="4882" max="4882" width="14.875" style="782" customWidth="1"/>
    <col min="4883" max="4883" width="15.75" style="782" customWidth="1"/>
    <col min="4884" max="5120" width="9" style="782"/>
    <col min="5121" max="5121" width="7.875" style="782" customWidth="1"/>
    <col min="5122" max="5122" width="14" style="782" customWidth="1"/>
    <col min="5123" max="5123" width="13.125" style="782" customWidth="1"/>
    <col min="5124" max="5124" width="14" style="782" customWidth="1"/>
    <col min="5125" max="5125" width="10.5" style="782" customWidth="1"/>
    <col min="5126" max="5126" width="14.875" style="782" customWidth="1"/>
    <col min="5127" max="5127" width="16.625" style="782" customWidth="1"/>
    <col min="5128" max="5128" width="13.125" style="782" customWidth="1"/>
    <col min="5129" max="5129" width="15.75" style="782" customWidth="1"/>
    <col min="5130" max="5130" width="14" style="782" customWidth="1"/>
    <col min="5131" max="5131" width="15.75" style="782" customWidth="1"/>
    <col min="5132" max="5132" width="20.125" style="782" customWidth="1"/>
    <col min="5133" max="5133" width="9.625" style="782" customWidth="1"/>
    <col min="5134" max="5134" width="12.25" style="782" customWidth="1"/>
    <col min="5135" max="5135" width="11.375" style="782" customWidth="1"/>
    <col min="5136" max="5136" width="12.25" style="782" customWidth="1"/>
    <col min="5137" max="5137" width="16.625" style="782" customWidth="1"/>
    <col min="5138" max="5138" width="14.875" style="782" customWidth="1"/>
    <col min="5139" max="5139" width="15.75" style="782" customWidth="1"/>
    <col min="5140" max="5376" width="9" style="782"/>
    <col min="5377" max="5377" width="7.875" style="782" customWidth="1"/>
    <col min="5378" max="5378" width="14" style="782" customWidth="1"/>
    <col min="5379" max="5379" width="13.125" style="782" customWidth="1"/>
    <col min="5380" max="5380" width="14" style="782" customWidth="1"/>
    <col min="5381" max="5381" width="10.5" style="782" customWidth="1"/>
    <col min="5382" max="5382" width="14.875" style="782" customWidth="1"/>
    <col min="5383" max="5383" width="16.625" style="782" customWidth="1"/>
    <col min="5384" max="5384" width="13.125" style="782" customWidth="1"/>
    <col min="5385" max="5385" width="15.75" style="782" customWidth="1"/>
    <col min="5386" max="5386" width="14" style="782" customWidth="1"/>
    <col min="5387" max="5387" width="15.75" style="782" customWidth="1"/>
    <col min="5388" max="5388" width="20.125" style="782" customWidth="1"/>
    <col min="5389" max="5389" width="9.625" style="782" customWidth="1"/>
    <col min="5390" max="5390" width="12.25" style="782" customWidth="1"/>
    <col min="5391" max="5391" width="11.375" style="782" customWidth="1"/>
    <col min="5392" max="5392" width="12.25" style="782" customWidth="1"/>
    <col min="5393" max="5393" width="16.625" style="782" customWidth="1"/>
    <col min="5394" max="5394" width="14.875" style="782" customWidth="1"/>
    <col min="5395" max="5395" width="15.75" style="782" customWidth="1"/>
    <col min="5396" max="5632" width="9" style="782"/>
    <col min="5633" max="5633" width="7.875" style="782" customWidth="1"/>
    <col min="5634" max="5634" width="14" style="782" customWidth="1"/>
    <col min="5635" max="5635" width="13.125" style="782" customWidth="1"/>
    <col min="5636" max="5636" width="14" style="782" customWidth="1"/>
    <col min="5637" max="5637" width="10.5" style="782" customWidth="1"/>
    <col min="5638" max="5638" width="14.875" style="782" customWidth="1"/>
    <col min="5639" max="5639" width="16.625" style="782" customWidth="1"/>
    <col min="5640" max="5640" width="13.125" style="782" customWidth="1"/>
    <col min="5641" max="5641" width="15.75" style="782" customWidth="1"/>
    <col min="5642" max="5642" width="14" style="782" customWidth="1"/>
    <col min="5643" max="5643" width="15.75" style="782" customWidth="1"/>
    <col min="5644" max="5644" width="20.125" style="782" customWidth="1"/>
    <col min="5645" max="5645" width="9.625" style="782" customWidth="1"/>
    <col min="5646" max="5646" width="12.25" style="782" customWidth="1"/>
    <col min="5647" max="5647" width="11.375" style="782" customWidth="1"/>
    <col min="5648" max="5648" width="12.25" style="782" customWidth="1"/>
    <col min="5649" max="5649" width="16.625" style="782" customWidth="1"/>
    <col min="5650" max="5650" width="14.875" style="782" customWidth="1"/>
    <col min="5651" max="5651" width="15.75" style="782" customWidth="1"/>
    <col min="5652" max="5888" width="9" style="782"/>
    <col min="5889" max="5889" width="7.875" style="782" customWidth="1"/>
    <col min="5890" max="5890" width="14" style="782" customWidth="1"/>
    <col min="5891" max="5891" width="13.125" style="782" customWidth="1"/>
    <col min="5892" max="5892" width="14" style="782" customWidth="1"/>
    <col min="5893" max="5893" width="10.5" style="782" customWidth="1"/>
    <col min="5894" max="5894" width="14.875" style="782" customWidth="1"/>
    <col min="5895" max="5895" width="16.625" style="782" customWidth="1"/>
    <col min="5896" max="5896" width="13.125" style="782" customWidth="1"/>
    <col min="5897" max="5897" width="15.75" style="782" customWidth="1"/>
    <col min="5898" max="5898" width="14" style="782" customWidth="1"/>
    <col min="5899" max="5899" width="15.75" style="782" customWidth="1"/>
    <col min="5900" max="5900" width="20.125" style="782" customWidth="1"/>
    <col min="5901" max="5901" width="9.625" style="782" customWidth="1"/>
    <col min="5902" max="5902" width="12.25" style="782" customWidth="1"/>
    <col min="5903" max="5903" width="11.375" style="782" customWidth="1"/>
    <col min="5904" max="5904" width="12.25" style="782" customWidth="1"/>
    <col min="5905" max="5905" width="16.625" style="782" customWidth="1"/>
    <col min="5906" max="5906" width="14.875" style="782" customWidth="1"/>
    <col min="5907" max="5907" width="15.75" style="782" customWidth="1"/>
    <col min="5908" max="6144" width="9" style="782"/>
    <col min="6145" max="6145" width="7.875" style="782" customWidth="1"/>
    <col min="6146" max="6146" width="14" style="782" customWidth="1"/>
    <col min="6147" max="6147" width="13.125" style="782" customWidth="1"/>
    <col min="6148" max="6148" width="14" style="782" customWidth="1"/>
    <col min="6149" max="6149" width="10.5" style="782" customWidth="1"/>
    <col min="6150" max="6150" width="14.875" style="782" customWidth="1"/>
    <col min="6151" max="6151" width="16.625" style="782" customWidth="1"/>
    <col min="6152" max="6152" width="13.125" style="782" customWidth="1"/>
    <col min="6153" max="6153" width="15.75" style="782" customWidth="1"/>
    <col min="6154" max="6154" width="14" style="782" customWidth="1"/>
    <col min="6155" max="6155" width="15.75" style="782" customWidth="1"/>
    <col min="6156" max="6156" width="20.125" style="782" customWidth="1"/>
    <col min="6157" max="6157" width="9.625" style="782" customWidth="1"/>
    <col min="6158" max="6158" width="12.25" style="782" customWidth="1"/>
    <col min="6159" max="6159" width="11.375" style="782" customWidth="1"/>
    <col min="6160" max="6160" width="12.25" style="782" customWidth="1"/>
    <col min="6161" max="6161" width="16.625" style="782" customWidth="1"/>
    <col min="6162" max="6162" width="14.875" style="782" customWidth="1"/>
    <col min="6163" max="6163" width="15.75" style="782" customWidth="1"/>
    <col min="6164" max="6400" width="9" style="782"/>
    <col min="6401" max="6401" width="7.875" style="782" customWidth="1"/>
    <col min="6402" max="6402" width="14" style="782" customWidth="1"/>
    <col min="6403" max="6403" width="13.125" style="782" customWidth="1"/>
    <col min="6404" max="6404" width="14" style="782" customWidth="1"/>
    <col min="6405" max="6405" width="10.5" style="782" customWidth="1"/>
    <col min="6406" max="6406" width="14.875" style="782" customWidth="1"/>
    <col min="6407" max="6407" width="16.625" style="782" customWidth="1"/>
    <col min="6408" max="6408" width="13.125" style="782" customWidth="1"/>
    <col min="6409" max="6409" width="15.75" style="782" customWidth="1"/>
    <col min="6410" max="6410" width="14" style="782" customWidth="1"/>
    <col min="6411" max="6411" width="15.75" style="782" customWidth="1"/>
    <col min="6412" max="6412" width="20.125" style="782" customWidth="1"/>
    <col min="6413" max="6413" width="9.625" style="782" customWidth="1"/>
    <col min="6414" max="6414" width="12.25" style="782" customWidth="1"/>
    <col min="6415" max="6415" width="11.375" style="782" customWidth="1"/>
    <col min="6416" max="6416" width="12.25" style="782" customWidth="1"/>
    <col min="6417" max="6417" width="16.625" style="782" customWidth="1"/>
    <col min="6418" max="6418" width="14.875" style="782" customWidth="1"/>
    <col min="6419" max="6419" width="15.75" style="782" customWidth="1"/>
    <col min="6420" max="6656" width="9" style="782"/>
    <col min="6657" max="6657" width="7.875" style="782" customWidth="1"/>
    <col min="6658" max="6658" width="14" style="782" customWidth="1"/>
    <col min="6659" max="6659" width="13.125" style="782" customWidth="1"/>
    <col min="6660" max="6660" width="14" style="782" customWidth="1"/>
    <col min="6661" max="6661" width="10.5" style="782" customWidth="1"/>
    <col min="6662" max="6662" width="14.875" style="782" customWidth="1"/>
    <col min="6663" max="6663" width="16.625" style="782" customWidth="1"/>
    <col min="6664" max="6664" width="13.125" style="782" customWidth="1"/>
    <col min="6665" max="6665" width="15.75" style="782" customWidth="1"/>
    <col min="6666" max="6666" width="14" style="782" customWidth="1"/>
    <col min="6667" max="6667" width="15.75" style="782" customWidth="1"/>
    <col min="6668" max="6668" width="20.125" style="782" customWidth="1"/>
    <col min="6669" max="6669" width="9.625" style="782" customWidth="1"/>
    <col min="6670" max="6670" width="12.25" style="782" customWidth="1"/>
    <col min="6671" max="6671" width="11.375" style="782" customWidth="1"/>
    <col min="6672" max="6672" width="12.25" style="782" customWidth="1"/>
    <col min="6673" max="6673" width="16.625" style="782" customWidth="1"/>
    <col min="6674" max="6674" width="14.875" style="782" customWidth="1"/>
    <col min="6675" max="6675" width="15.75" style="782" customWidth="1"/>
    <col min="6676" max="6912" width="9" style="782"/>
    <col min="6913" max="6913" width="7.875" style="782" customWidth="1"/>
    <col min="6914" max="6914" width="14" style="782" customWidth="1"/>
    <col min="6915" max="6915" width="13.125" style="782" customWidth="1"/>
    <col min="6916" max="6916" width="14" style="782" customWidth="1"/>
    <col min="6917" max="6917" width="10.5" style="782" customWidth="1"/>
    <col min="6918" max="6918" width="14.875" style="782" customWidth="1"/>
    <col min="6919" max="6919" width="16.625" style="782" customWidth="1"/>
    <col min="6920" max="6920" width="13.125" style="782" customWidth="1"/>
    <col min="6921" max="6921" width="15.75" style="782" customWidth="1"/>
    <col min="6922" max="6922" width="14" style="782" customWidth="1"/>
    <col min="6923" max="6923" width="15.75" style="782" customWidth="1"/>
    <col min="6924" max="6924" width="20.125" style="782" customWidth="1"/>
    <col min="6925" max="6925" width="9.625" style="782" customWidth="1"/>
    <col min="6926" max="6926" width="12.25" style="782" customWidth="1"/>
    <col min="6927" max="6927" width="11.375" style="782" customWidth="1"/>
    <col min="6928" max="6928" width="12.25" style="782" customWidth="1"/>
    <col min="6929" max="6929" width="16.625" style="782" customWidth="1"/>
    <col min="6930" max="6930" width="14.875" style="782" customWidth="1"/>
    <col min="6931" max="6931" width="15.75" style="782" customWidth="1"/>
    <col min="6932" max="7168" width="9" style="782"/>
    <col min="7169" max="7169" width="7.875" style="782" customWidth="1"/>
    <col min="7170" max="7170" width="14" style="782" customWidth="1"/>
    <col min="7171" max="7171" width="13.125" style="782" customWidth="1"/>
    <col min="7172" max="7172" width="14" style="782" customWidth="1"/>
    <col min="7173" max="7173" width="10.5" style="782" customWidth="1"/>
    <col min="7174" max="7174" width="14.875" style="782" customWidth="1"/>
    <col min="7175" max="7175" width="16.625" style="782" customWidth="1"/>
    <col min="7176" max="7176" width="13.125" style="782" customWidth="1"/>
    <col min="7177" max="7177" width="15.75" style="782" customWidth="1"/>
    <col min="7178" max="7178" width="14" style="782" customWidth="1"/>
    <col min="7179" max="7179" width="15.75" style="782" customWidth="1"/>
    <col min="7180" max="7180" width="20.125" style="782" customWidth="1"/>
    <col min="7181" max="7181" width="9.625" style="782" customWidth="1"/>
    <col min="7182" max="7182" width="12.25" style="782" customWidth="1"/>
    <col min="7183" max="7183" width="11.375" style="782" customWidth="1"/>
    <col min="7184" max="7184" width="12.25" style="782" customWidth="1"/>
    <col min="7185" max="7185" width="16.625" style="782" customWidth="1"/>
    <col min="7186" max="7186" width="14.875" style="782" customWidth="1"/>
    <col min="7187" max="7187" width="15.75" style="782" customWidth="1"/>
    <col min="7188" max="7424" width="9" style="782"/>
    <col min="7425" max="7425" width="7.875" style="782" customWidth="1"/>
    <col min="7426" max="7426" width="14" style="782" customWidth="1"/>
    <col min="7427" max="7427" width="13.125" style="782" customWidth="1"/>
    <col min="7428" max="7428" width="14" style="782" customWidth="1"/>
    <col min="7429" max="7429" width="10.5" style="782" customWidth="1"/>
    <col min="7430" max="7430" width="14.875" style="782" customWidth="1"/>
    <col min="7431" max="7431" width="16.625" style="782" customWidth="1"/>
    <col min="7432" max="7432" width="13.125" style="782" customWidth="1"/>
    <col min="7433" max="7433" width="15.75" style="782" customWidth="1"/>
    <col min="7434" max="7434" width="14" style="782" customWidth="1"/>
    <col min="7435" max="7435" width="15.75" style="782" customWidth="1"/>
    <col min="7436" max="7436" width="20.125" style="782" customWidth="1"/>
    <col min="7437" max="7437" width="9.625" style="782" customWidth="1"/>
    <col min="7438" max="7438" width="12.25" style="782" customWidth="1"/>
    <col min="7439" max="7439" width="11.375" style="782" customWidth="1"/>
    <col min="7440" max="7440" width="12.25" style="782" customWidth="1"/>
    <col min="7441" max="7441" width="16.625" style="782" customWidth="1"/>
    <col min="7442" max="7442" width="14.875" style="782" customWidth="1"/>
    <col min="7443" max="7443" width="15.75" style="782" customWidth="1"/>
    <col min="7444" max="7680" width="9" style="782"/>
    <col min="7681" max="7681" width="7.875" style="782" customWidth="1"/>
    <col min="7682" max="7682" width="14" style="782" customWidth="1"/>
    <col min="7683" max="7683" width="13.125" style="782" customWidth="1"/>
    <col min="7684" max="7684" width="14" style="782" customWidth="1"/>
    <col min="7685" max="7685" width="10.5" style="782" customWidth="1"/>
    <col min="7686" max="7686" width="14.875" style="782" customWidth="1"/>
    <col min="7687" max="7687" width="16.625" style="782" customWidth="1"/>
    <col min="7688" max="7688" width="13.125" style="782" customWidth="1"/>
    <col min="7689" max="7689" width="15.75" style="782" customWidth="1"/>
    <col min="7690" max="7690" width="14" style="782" customWidth="1"/>
    <col min="7691" max="7691" width="15.75" style="782" customWidth="1"/>
    <col min="7692" max="7692" width="20.125" style="782" customWidth="1"/>
    <col min="7693" max="7693" width="9.625" style="782" customWidth="1"/>
    <col min="7694" max="7694" width="12.25" style="782" customWidth="1"/>
    <col min="7695" max="7695" width="11.375" style="782" customWidth="1"/>
    <col min="7696" max="7696" width="12.25" style="782" customWidth="1"/>
    <col min="7697" max="7697" width="16.625" style="782" customWidth="1"/>
    <col min="7698" max="7698" width="14.875" style="782" customWidth="1"/>
    <col min="7699" max="7699" width="15.75" style="782" customWidth="1"/>
    <col min="7700" max="7936" width="9" style="782"/>
    <col min="7937" max="7937" width="7.875" style="782" customWidth="1"/>
    <col min="7938" max="7938" width="14" style="782" customWidth="1"/>
    <col min="7939" max="7939" width="13.125" style="782" customWidth="1"/>
    <col min="7940" max="7940" width="14" style="782" customWidth="1"/>
    <col min="7941" max="7941" width="10.5" style="782" customWidth="1"/>
    <col min="7942" max="7942" width="14.875" style="782" customWidth="1"/>
    <col min="7943" max="7943" width="16.625" style="782" customWidth="1"/>
    <col min="7944" max="7944" width="13.125" style="782" customWidth="1"/>
    <col min="7945" max="7945" width="15.75" style="782" customWidth="1"/>
    <col min="7946" max="7946" width="14" style="782" customWidth="1"/>
    <col min="7947" max="7947" width="15.75" style="782" customWidth="1"/>
    <col min="7948" max="7948" width="20.125" style="782" customWidth="1"/>
    <col min="7949" max="7949" width="9.625" style="782" customWidth="1"/>
    <col min="7950" max="7950" width="12.25" style="782" customWidth="1"/>
    <col min="7951" max="7951" width="11.375" style="782" customWidth="1"/>
    <col min="7952" max="7952" width="12.25" style="782" customWidth="1"/>
    <col min="7953" max="7953" width="16.625" style="782" customWidth="1"/>
    <col min="7954" max="7954" width="14.875" style="782" customWidth="1"/>
    <col min="7955" max="7955" width="15.75" style="782" customWidth="1"/>
    <col min="7956" max="8192" width="9" style="782"/>
    <col min="8193" max="8193" width="7.875" style="782" customWidth="1"/>
    <col min="8194" max="8194" width="14" style="782" customWidth="1"/>
    <col min="8195" max="8195" width="13.125" style="782" customWidth="1"/>
    <col min="8196" max="8196" width="14" style="782" customWidth="1"/>
    <col min="8197" max="8197" width="10.5" style="782" customWidth="1"/>
    <col min="8198" max="8198" width="14.875" style="782" customWidth="1"/>
    <col min="8199" max="8199" width="16.625" style="782" customWidth="1"/>
    <col min="8200" max="8200" width="13.125" style="782" customWidth="1"/>
    <col min="8201" max="8201" width="15.75" style="782" customWidth="1"/>
    <col min="8202" max="8202" width="14" style="782" customWidth="1"/>
    <col min="8203" max="8203" width="15.75" style="782" customWidth="1"/>
    <col min="8204" max="8204" width="20.125" style="782" customWidth="1"/>
    <col min="8205" max="8205" width="9.625" style="782" customWidth="1"/>
    <col min="8206" max="8206" width="12.25" style="782" customWidth="1"/>
    <col min="8207" max="8207" width="11.375" style="782" customWidth="1"/>
    <col min="8208" max="8208" width="12.25" style="782" customWidth="1"/>
    <col min="8209" max="8209" width="16.625" style="782" customWidth="1"/>
    <col min="8210" max="8210" width="14.875" style="782" customWidth="1"/>
    <col min="8211" max="8211" width="15.75" style="782" customWidth="1"/>
    <col min="8212" max="8448" width="9" style="782"/>
    <col min="8449" max="8449" width="7.875" style="782" customWidth="1"/>
    <col min="8450" max="8450" width="14" style="782" customWidth="1"/>
    <col min="8451" max="8451" width="13.125" style="782" customWidth="1"/>
    <col min="8452" max="8452" width="14" style="782" customWidth="1"/>
    <col min="8453" max="8453" width="10.5" style="782" customWidth="1"/>
    <col min="8454" max="8454" width="14.875" style="782" customWidth="1"/>
    <col min="8455" max="8455" width="16.625" style="782" customWidth="1"/>
    <col min="8456" max="8456" width="13.125" style="782" customWidth="1"/>
    <col min="8457" max="8457" width="15.75" style="782" customWidth="1"/>
    <col min="8458" max="8458" width="14" style="782" customWidth="1"/>
    <col min="8459" max="8459" width="15.75" style="782" customWidth="1"/>
    <col min="8460" max="8460" width="20.125" style="782" customWidth="1"/>
    <col min="8461" max="8461" width="9.625" style="782" customWidth="1"/>
    <col min="8462" max="8462" width="12.25" style="782" customWidth="1"/>
    <col min="8463" max="8463" width="11.375" style="782" customWidth="1"/>
    <col min="8464" max="8464" width="12.25" style="782" customWidth="1"/>
    <col min="8465" max="8465" width="16.625" style="782" customWidth="1"/>
    <col min="8466" max="8466" width="14.875" style="782" customWidth="1"/>
    <col min="8467" max="8467" width="15.75" style="782" customWidth="1"/>
    <col min="8468" max="8704" width="9" style="782"/>
    <col min="8705" max="8705" width="7.875" style="782" customWidth="1"/>
    <col min="8706" max="8706" width="14" style="782" customWidth="1"/>
    <col min="8707" max="8707" width="13.125" style="782" customWidth="1"/>
    <col min="8708" max="8708" width="14" style="782" customWidth="1"/>
    <col min="8709" max="8709" width="10.5" style="782" customWidth="1"/>
    <col min="8710" max="8710" width="14.875" style="782" customWidth="1"/>
    <col min="8711" max="8711" width="16.625" style="782" customWidth="1"/>
    <col min="8712" max="8712" width="13.125" style="782" customWidth="1"/>
    <col min="8713" max="8713" width="15.75" style="782" customWidth="1"/>
    <col min="8714" max="8714" width="14" style="782" customWidth="1"/>
    <col min="8715" max="8715" width="15.75" style="782" customWidth="1"/>
    <col min="8716" max="8716" width="20.125" style="782" customWidth="1"/>
    <col min="8717" max="8717" width="9.625" style="782" customWidth="1"/>
    <col min="8718" max="8718" width="12.25" style="782" customWidth="1"/>
    <col min="8719" max="8719" width="11.375" style="782" customWidth="1"/>
    <col min="8720" max="8720" width="12.25" style="782" customWidth="1"/>
    <col min="8721" max="8721" width="16.625" style="782" customWidth="1"/>
    <col min="8722" max="8722" width="14.875" style="782" customWidth="1"/>
    <col min="8723" max="8723" width="15.75" style="782" customWidth="1"/>
    <col min="8724" max="8960" width="9" style="782"/>
    <col min="8961" max="8961" width="7.875" style="782" customWidth="1"/>
    <col min="8962" max="8962" width="14" style="782" customWidth="1"/>
    <col min="8963" max="8963" width="13.125" style="782" customWidth="1"/>
    <col min="8964" max="8964" width="14" style="782" customWidth="1"/>
    <col min="8965" max="8965" width="10.5" style="782" customWidth="1"/>
    <col min="8966" max="8966" width="14.875" style="782" customWidth="1"/>
    <col min="8967" max="8967" width="16.625" style="782" customWidth="1"/>
    <col min="8968" max="8968" width="13.125" style="782" customWidth="1"/>
    <col min="8969" max="8969" width="15.75" style="782" customWidth="1"/>
    <col min="8970" max="8970" width="14" style="782" customWidth="1"/>
    <col min="8971" max="8971" width="15.75" style="782" customWidth="1"/>
    <col min="8972" max="8972" width="20.125" style="782" customWidth="1"/>
    <col min="8973" max="8973" width="9.625" style="782" customWidth="1"/>
    <col min="8974" max="8974" width="12.25" style="782" customWidth="1"/>
    <col min="8975" max="8975" width="11.375" style="782" customWidth="1"/>
    <col min="8976" max="8976" width="12.25" style="782" customWidth="1"/>
    <col min="8977" max="8977" width="16.625" style="782" customWidth="1"/>
    <col min="8978" max="8978" width="14.875" style="782" customWidth="1"/>
    <col min="8979" max="8979" width="15.75" style="782" customWidth="1"/>
    <col min="8980" max="9216" width="9" style="782"/>
    <col min="9217" max="9217" width="7.875" style="782" customWidth="1"/>
    <col min="9218" max="9218" width="14" style="782" customWidth="1"/>
    <col min="9219" max="9219" width="13.125" style="782" customWidth="1"/>
    <col min="9220" max="9220" width="14" style="782" customWidth="1"/>
    <col min="9221" max="9221" width="10.5" style="782" customWidth="1"/>
    <col min="9222" max="9222" width="14.875" style="782" customWidth="1"/>
    <col min="9223" max="9223" width="16.625" style="782" customWidth="1"/>
    <col min="9224" max="9224" width="13.125" style="782" customWidth="1"/>
    <col min="9225" max="9225" width="15.75" style="782" customWidth="1"/>
    <col min="9226" max="9226" width="14" style="782" customWidth="1"/>
    <col min="9227" max="9227" width="15.75" style="782" customWidth="1"/>
    <col min="9228" max="9228" width="20.125" style="782" customWidth="1"/>
    <col min="9229" max="9229" width="9.625" style="782" customWidth="1"/>
    <col min="9230" max="9230" width="12.25" style="782" customWidth="1"/>
    <col min="9231" max="9231" width="11.375" style="782" customWidth="1"/>
    <col min="9232" max="9232" width="12.25" style="782" customWidth="1"/>
    <col min="9233" max="9233" width="16.625" style="782" customWidth="1"/>
    <col min="9234" max="9234" width="14.875" style="782" customWidth="1"/>
    <col min="9235" max="9235" width="15.75" style="782" customWidth="1"/>
    <col min="9236" max="9472" width="9" style="782"/>
    <col min="9473" max="9473" width="7.875" style="782" customWidth="1"/>
    <col min="9474" max="9474" width="14" style="782" customWidth="1"/>
    <col min="9475" max="9475" width="13.125" style="782" customWidth="1"/>
    <col min="9476" max="9476" width="14" style="782" customWidth="1"/>
    <col min="9477" max="9477" width="10.5" style="782" customWidth="1"/>
    <col min="9478" max="9478" width="14.875" style="782" customWidth="1"/>
    <col min="9479" max="9479" width="16.625" style="782" customWidth="1"/>
    <col min="9480" max="9480" width="13.125" style="782" customWidth="1"/>
    <col min="9481" max="9481" width="15.75" style="782" customWidth="1"/>
    <col min="9482" max="9482" width="14" style="782" customWidth="1"/>
    <col min="9483" max="9483" width="15.75" style="782" customWidth="1"/>
    <col min="9484" max="9484" width="20.125" style="782" customWidth="1"/>
    <col min="9485" max="9485" width="9.625" style="782" customWidth="1"/>
    <col min="9486" max="9486" width="12.25" style="782" customWidth="1"/>
    <col min="9487" max="9487" width="11.375" style="782" customWidth="1"/>
    <col min="9488" max="9488" width="12.25" style="782" customWidth="1"/>
    <col min="9489" max="9489" width="16.625" style="782" customWidth="1"/>
    <col min="9490" max="9490" width="14.875" style="782" customWidth="1"/>
    <col min="9491" max="9491" width="15.75" style="782" customWidth="1"/>
    <col min="9492" max="9728" width="9" style="782"/>
    <col min="9729" max="9729" width="7.875" style="782" customWidth="1"/>
    <col min="9730" max="9730" width="14" style="782" customWidth="1"/>
    <col min="9731" max="9731" width="13.125" style="782" customWidth="1"/>
    <col min="9732" max="9732" width="14" style="782" customWidth="1"/>
    <col min="9733" max="9733" width="10.5" style="782" customWidth="1"/>
    <col min="9734" max="9734" width="14.875" style="782" customWidth="1"/>
    <col min="9735" max="9735" width="16.625" style="782" customWidth="1"/>
    <col min="9736" max="9736" width="13.125" style="782" customWidth="1"/>
    <col min="9737" max="9737" width="15.75" style="782" customWidth="1"/>
    <col min="9738" max="9738" width="14" style="782" customWidth="1"/>
    <col min="9739" max="9739" width="15.75" style="782" customWidth="1"/>
    <col min="9740" max="9740" width="20.125" style="782" customWidth="1"/>
    <col min="9741" max="9741" width="9.625" style="782" customWidth="1"/>
    <col min="9742" max="9742" width="12.25" style="782" customWidth="1"/>
    <col min="9743" max="9743" width="11.375" style="782" customWidth="1"/>
    <col min="9744" max="9744" width="12.25" style="782" customWidth="1"/>
    <col min="9745" max="9745" width="16.625" style="782" customWidth="1"/>
    <col min="9746" max="9746" width="14.875" style="782" customWidth="1"/>
    <col min="9747" max="9747" width="15.75" style="782" customWidth="1"/>
    <col min="9748" max="9984" width="9" style="782"/>
    <col min="9985" max="9985" width="7.875" style="782" customWidth="1"/>
    <col min="9986" max="9986" width="14" style="782" customWidth="1"/>
    <col min="9987" max="9987" width="13.125" style="782" customWidth="1"/>
    <col min="9988" max="9988" width="14" style="782" customWidth="1"/>
    <col min="9989" max="9989" width="10.5" style="782" customWidth="1"/>
    <col min="9990" max="9990" width="14.875" style="782" customWidth="1"/>
    <col min="9991" max="9991" width="16.625" style="782" customWidth="1"/>
    <col min="9992" max="9992" width="13.125" style="782" customWidth="1"/>
    <col min="9993" max="9993" width="15.75" style="782" customWidth="1"/>
    <col min="9994" max="9994" width="14" style="782" customWidth="1"/>
    <col min="9995" max="9995" width="15.75" style="782" customWidth="1"/>
    <col min="9996" max="9996" width="20.125" style="782" customWidth="1"/>
    <col min="9997" max="9997" width="9.625" style="782" customWidth="1"/>
    <col min="9998" max="9998" width="12.25" style="782" customWidth="1"/>
    <col min="9999" max="9999" width="11.375" style="782" customWidth="1"/>
    <col min="10000" max="10000" width="12.25" style="782" customWidth="1"/>
    <col min="10001" max="10001" width="16.625" style="782" customWidth="1"/>
    <col min="10002" max="10002" width="14.875" style="782" customWidth="1"/>
    <col min="10003" max="10003" width="15.75" style="782" customWidth="1"/>
    <col min="10004" max="10240" width="9" style="782"/>
    <col min="10241" max="10241" width="7.875" style="782" customWidth="1"/>
    <col min="10242" max="10242" width="14" style="782" customWidth="1"/>
    <col min="10243" max="10243" width="13.125" style="782" customWidth="1"/>
    <col min="10244" max="10244" width="14" style="782" customWidth="1"/>
    <col min="10245" max="10245" width="10.5" style="782" customWidth="1"/>
    <col min="10246" max="10246" width="14.875" style="782" customWidth="1"/>
    <col min="10247" max="10247" width="16.625" style="782" customWidth="1"/>
    <col min="10248" max="10248" width="13.125" style="782" customWidth="1"/>
    <col min="10249" max="10249" width="15.75" style="782" customWidth="1"/>
    <col min="10250" max="10250" width="14" style="782" customWidth="1"/>
    <col min="10251" max="10251" width="15.75" style="782" customWidth="1"/>
    <col min="10252" max="10252" width="20.125" style="782" customWidth="1"/>
    <col min="10253" max="10253" width="9.625" style="782" customWidth="1"/>
    <col min="10254" max="10254" width="12.25" style="782" customWidth="1"/>
    <col min="10255" max="10255" width="11.375" style="782" customWidth="1"/>
    <col min="10256" max="10256" width="12.25" style="782" customWidth="1"/>
    <col min="10257" max="10257" width="16.625" style="782" customWidth="1"/>
    <col min="10258" max="10258" width="14.875" style="782" customWidth="1"/>
    <col min="10259" max="10259" width="15.75" style="782" customWidth="1"/>
    <col min="10260" max="10496" width="9" style="782"/>
    <col min="10497" max="10497" width="7.875" style="782" customWidth="1"/>
    <col min="10498" max="10498" width="14" style="782" customWidth="1"/>
    <col min="10499" max="10499" width="13.125" style="782" customWidth="1"/>
    <col min="10500" max="10500" width="14" style="782" customWidth="1"/>
    <col min="10501" max="10501" width="10.5" style="782" customWidth="1"/>
    <col min="10502" max="10502" width="14.875" style="782" customWidth="1"/>
    <col min="10503" max="10503" width="16.625" style="782" customWidth="1"/>
    <col min="10504" max="10504" width="13.125" style="782" customWidth="1"/>
    <col min="10505" max="10505" width="15.75" style="782" customWidth="1"/>
    <col min="10506" max="10506" width="14" style="782" customWidth="1"/>
    <col min="10507" max="10507" width="15.75" style="782" customWidth="1"/>
    <col min="10508" max="10508" width="20.125" style="782" customWidth="1"/>
    <col min="10509" max="10509" width="9.625" style="782" customWidth="1"/>
    <col min="10510" max="10510" width="12.25" style="782" customWidth="1"/>
    <col min="10511" max="10511" width="11.375" style="782" customWidth="1"/>
    <col min="10512" max="10512" width="12.25" style="782" customWidth="1"/>
    <col min="10513" max="10513" width="16.625" style="782" customWidth="1"/>
    <col min="10514" max="10514" width="14.875" style="782" customWidth="1"/>
    <col min="10515" max="10515" width="15.75" style="782" customWidth="1"/>
    <col min="10516" max="10752" width="9" style="782"/>
    <col min="10753" max="10753" width="7.875" style="782" customWidth="1"/>
    <col min="10754" max="10754" width="14" style="782" customWidth="1"/>
    <col min="10755" max="10755" width="13.125" style="782" customWidth="1"/>
    <col min="10756" max="10756" width="14" style="782" customWidth="1"/>
    <col min="10757" max="10757" width="10.5" style="782" customWidth="1"/>
    <col min="10758" max="10758" width="14.875" style="782" customWidth="1"/>
    <col min="10759" max="10759" width="16.625" style="782" customWidth="1"/>
    <col min="10760" max="10760" width="13.125" style="782" customWidth="1"/>
    <col min="10761" max="10761" width="15.75" style="782" customWidth="1"/>
    <col min="10762" max="10762" width="14" style="782" customWidth="1"/>
    <col min="10763" max="10763" width="15.75" style="782" customWidth="1"/>
    <col min="10764" max="10764" width="20.125" style="782" customWidth="1"/>
    <col min="10765" max="10765" width="9.625" style="782" customWidth="1"/>
    <col min="10766" max="10766" width="12.25" style="782" customWidth="1"/>
    <col min="10767" max="10767" width="11.375" style="782" customWidth="1"/>
    <col min="10768" max="10768" width="12.25" style="782" customWidth="1"/>
    <col min="10769" max="10769" width="16.625" style="782" customWidth="1"/>
    <col min="10770" max="10770" width="14.875" style="782" customWidth="1"/>
    <col min="10771" max="10771" width="15.75" style="782" customWidth="1"/>
    <col min="10772" max="11008" width="9" style="782"/>
    <col min="11009" max="11009" width="7.875" style="782" customWidth="1"/>
    <col min="11010" max="11010" width="14" style="782" customWidth="1"/>
    <col min="11011" max="11011" width="13.125" style="782" customWidth="1"/>
    <col min="11012" max="11012" width="14" style="782" customWidth="1"/>
    <col min="11013" max="11013" width="10.5" style="782" customWidth="1"/>
    <col min="11014" max="11014" width="14.875" style="782" customWidth="1"/>
    <col min="11015" max="11015" width="16.625" style="782" customWidth="1"/>
    <col min="11016" max="11016" width="13.125" style="782" customWidth="1"/>
    <col min="11017" max="11017" width="15.75" style="782" customWidth="1"/>
    <col min="11018" max="11018" width="14" style="782" customWidth="1"/>
    <col min="11019" max="11019" width="15.75" style="782" customWidth="1"/>
    <col min="11020" max="11020" width="20.125" style="782" customWidth="1"/>
    <col min="11021" max="11021" width="9.625" style="782" customWidth="1"/>
    <col min="11022" max="11022" width="12.25" style="782" customWidth="1"/>
    <col min="11023" max="11023" width="11.375" style="782" customWidth="1"/>
    <col min="11024" max="11024" width="12.25" style="782" customWidth="1"/>
    <col min="11025" max="11025" width="16.625" style="782" customWidth="1"/>
    <col min="11026" max="11026" width="14.875" style="782" customWidth="1"/>
    <col min="11027" max="11027" width="15.75" style="782" customWidth="1"/>
    <col min="11028" max="11264" width="9" style="782"/>
    <col min="11265" max="11265" width="7.875" style="782" customWidth="1"/>
    <col min="11266" max="11266" width="14" style="782" customWidth="1"/>
    <col min="11267" max="11267" width="13.125" style="782" customWidth="1"/>
    <col min="11268" max="11268" width="14" style="782" customWidth="1"/>
    <col min="11269" max="11269" width="10.5" style="782" customWidth="1"/>
    <col min="11270" max="11270" width="14.875" style="782" customWidth="1"/>
    <col min="11271" max="11271" width="16.625" style="782" customWidth="1"/>
    <col min="11272" max="11272" width="13.125" style="782" customWidth="1"/>
    <col min="11273" max="11273" width="15.75" style="782" customWidth="1"/>
    <col min="11274" max="11274" width="14" style="782" customWidth="1"/>
    <col min="11275" max="11275" width="15.75" style="782" customWidth="1"/>
    <col min="11276" max="11276" width="20.125" style="782" customWidth="1"/>
    <col min="11277" max="11277" width="9.625" style="782" customWidth="1"/>
    <col min="11278" max="11278" width="12.25" style="782" customWidth="1"/>
    <col min="11279" max="11279" width="11.375" style="782" customWidth="1"/>
    <col min="11280" max="11280" width="12.25" style="782" customWidth="1"/>
    <col min="11281" max="11281" width="16.625" style="782" customWidth="1"/>
    <col min="11282" max="11282" width="14.875" style="782" customWidth="1"/>
    <col min="11283" max="11283" width="15.75" style="782" customWidth="1"/>
    <col min="11284" max="11520" width="9" style="782"/>
    <col min="11521" max="11521" width="7.875" style="782" customWidth="1"/>
    <col min="11522" max="11522" width="14" style="782" customWidth="1"/>
    <col min="11523" max="11523" width="13.125" style="782" customWidth="1"/>
    <col min="11524" max="11524" width="14" style="782" customWidth="1"/>
    <col min="11525" max="11525" width="10.5" style="782" customWidth="1"/>
    <col min="11526" max="11526" width="14.875" style="782" customWidth="1"/>
    <col min="11527" max="11527" width="16.625" style="782" customWidth="1"/>
    <col min="11528" max="11528" width="13.125" style="782" customWidth="1"/>
    <col min="11529" max="11529" width="15.75" style="782" customWidth="1"/>
    <col min="11530" max="11530" width="14" style="782" customWidth="1"/>
    <col min="11531" max="11531" width="15.75" style="782" customWidth="1"/>
    <col min="11532" max="11532" width="20.125" style="782" customWidth="1"/>
    <col min="11533" max="11533" width="9.625" style="782" customWidth="1"/>
    <col min="11534" max="11534" width="12.25" style="782" customWidth="1"/>
    <col min="11535" max="11535" width="11.375" style="782" customWidth="1"/>
    <col min="11536" max="11536" width="12.25" style="782" customWidth="1"/>
    <col min="11537" max="11537" width="16.625" style="782" customWidth="1"/>
    <col min="11538" max="11538" width="14.875" style="782" customWidth="1"/>
    <col min="11539" max="11539" width="15.75" style="782" customWidth="1"/>
    <col min="11540" max="11776" width="9" style="782"/>
    <col min="11777" max="11777" width="7.875" style="782" customWidth="1"/>
    <col min="11778" max="11778" width="14" style="782" customWidth="1"/>
    <col min="11779" max="11779" width="13.125" style="782" customWidth="1"/>
    <col min="11780" max="11780" width="14" style="782" customWidth="1"/>
    <col min="11781" max="11781" width="10.5" style="782" customWidth="1"/>
    <col min="11782" max="11782" width="14.875" style="782" customWidth="1"/>
    <col min="11783" max="11783" width="16.625" style="782" customWidth="1"/>
    <col min="11784" max="11784" width="13.125" style="782" customWidth="1"/>
    <col min="11785" max="11785" width="15.75" style="782" customWidth="1"/>
    <col min="11786" max="11786" width="14" style="782" customWidth="1"/>
    <col min="11787" max="11787" width="15.75" style="782" customWidth="1"/>
    <col min="11788" max="11788" width="20.125" style="782" customWidth="1"/>
    <col min="11789" max="11789" width="9.625" style="782" customWidth="1"/>
    <col min="11790" max="11790" width="12.25" style="782" customWidth="1"/>
    <col min="11791" max="11791" width="11.375" style="782" customWidth="1"/>
    <col min="11792" max="11792" width="12.25" style="782" customWidth="1"/>
    <col min="11793" max="11793" width="16.625" style="782" customWidth="1"/>
    <col min="11794" max="11794" width="14.875" style="782" customWidth="1"/>
    <col min="11795" max="11795" width="15.75" style="782" customWidth="1"/>
    <col min="11796" max="12032" width="9" style="782"/>
    <col min="12033" max="12033" width="7.875" style="782" customWidth="1"/>
    <col min="12034" max="12034" width="14" style="782" customWidth="1"/>
    <col min="12035" max="12035" width="13.125" style="782" customWidth="1"/>
    <col min="12036" max="12036" width="14" style="782" customWidth="1"/>
    <col min="12037" max="12037" width="10.5" style="782" customWidth="1"/>
    <col min="12038" max="12038" width="14.875" style="782" customWidth="1"/>
    <col min="12039" max="12039" width="16.625" style="782" customWidth="1"/>
    <col min="12040" max="12040" width="13.125" style="782" customWidth="1"/>
    <col min="12041" max="12041" width="15.75" style="782" customWidth="1"/>
    <col min="12042" max="12042" width="14" style="782" customWidth="1"/>
    <col min="12043" max="12043" width="15.75" style="782" customWidth="1"/>
    <col min="12044" max="12044" width="20.125" style="782" customWidth="1"/>
    <col min="12045" max="12045" width="9.625" style="782" customWidth="1"/>
    <col min="12046" max="12046" width="12.25" style="782" customWidth="1"/>
    <col min="12047" max="12047" width="11.375" style="782" customWidth="1"/>
    <col min="12048" max="12048" width="12.25" style="782" customWidth="1"/>
    <col min="12049" max="12049" width="16.625" style="782" customWidth="1"/>
    <col min="12050" max="12050" width="14.875" style="782" customWidth="1"/>
    <col min="12051" max="12051" width="15.75" style="782" customWidth="1"/>
    <col min="12052" max="12288" width="9" style="782"/>
    <col min="12289" max="12289" width="7.875" style="782" customWidth="1"/>
    <col min="12290" max="12290" width="14" style="782" customWidth="1"/>
    <col min="12291" max="12291" width="13.125" style="782" customWidth="1"/>
    <col min="12292" max="12292" width="14" style="782" customWidth="1"/>
    <col min="12293" max="12293" width="10.5" style="782" customWidth="1"/>
    <col min="12294" max="12294" width="14.875" style="782" customWidth="1"/>
    <col min="12295" max="12295" width="16.625" style="782" customWidth="1"/>
    <col min="12296" max="12296" width="13.125" style="782" customWidth="1"/>
    <col min="12297" max="12297" width="15.75" style="782" customWidth="1"/>
    <col min="12298" max="12298" width="14" style="782" customWidth="1"/>
    <col min="12299" max="12299" width="15.75" style="782" customWidth="1"/>
    <col min="12300" max="12300" width="20.125" style="782" customWidth="1"/>
    <col min="12301" max="12301" width="9.625" style="782" customWidth="1"/>
    <col min="12302" max="12302" width="12.25" style="782" customWidth="1"/>
    <col min="12303" max="12303" width="11.375" style="782" customWidth="1"/>
    <col min="12304" max="12304" width="12.25" style="782" customWidth="1"/>
    <col min="12305" max="12305" width="16.625" style="782" customWidth="1"/>
    <col min="12306" max="12306" width="14.875" style="782" customWidth="1"/>
    <col min="12307" max="12307" width="15.75" style="782" customWidth="1"/>
    <col min="12308" max="12544" width="9" style="782"/>
    <col min="12545" max="12545" width="7.875" style="782" customWidth="1"/>
    <col min="12546" max="12546" width="14" style="782" customWidth="1"/>
    <col min="12547" max="12547" width="13.125" style="782" customWidth="1"/>
    <col min="12548" max="12548" width="14" style="782" customWidth="1"/>
    <col min="12549" max="12549" width="10.5" style="782" customWidth="1"/>
    <col min="12550" max="12550" width="14.875" style="782" customWidth="1"/>
    <col min="12551" max="12551" width="16.625" style="782" customWidth="1"/>
    <col min="12552" max="12552" width="13.125" style="782" customWidth="1"/>
    <col min="12553" max="12553" width="15.75" style="782" customWidth="1"/>
    <col min="12554" max="12554" width="14" style="782" customWidth="1"/>
    <col min="12555" max="12555" width="15.75" style="782" customWidth="1"/>
    <col min="12556" max="12556" width="20.125" style="782" customWidth="1"/>
    <col min="12557" max="12557" width="9.625" style="782" customWidth="1"/>
    <col min="12558" max="12558" width="12.25" style="782" customWidth="1"/>
    <col min="12559" max="12559" width="11.375" style="782" customWidth="1"/>
    <col min="12560" max="12560" width="12.25" style="782" customWidth="1"/>
    <col min="12561" max="12561" width="16.625" style="782" customWidth="1"/>
    <col min="12562" max="12562" width="14.875" style="782" customWidth="1"/>
    <col min="12563" max="12563" width="15.75" style="782" customWidth="1"/>
    <col min="12564" max="12800" width="9" style="782"/>
    <col min="12801" max="12801" width="7.875" style="782" customWidth="1"/>
    <col min="12802" max="12802" width="14" style="782" customWidth="1"/>
    <col min="12803" max="12803" width="13.125" style="782" customWidth="1"/>
    <col min="12804" max="12804" width="14" style="782" customWidth="1"/>
    <col min="12805" max="12805" width="10.5" style="782" customWidth="1"/>
    <col min="12806" max="12806" width="14.875" style="782" customWidth="1"/>
    <col min="12807" max="12807" width="16.625" style="782" customWidth="1"/>
    <col min="12808" max="12808" width="13.125" style="782" customWidth="1"/>
    <col min="12809" max="12809" width="15.75" style="782" customWidth="1"/>
    <col min="12810" max="12810" width="14" style="782" customWidth="1"/>
    <col min="12811" max="12811" width="15.75" style="782" customWidth="1"/>
    <col min="12812" max="12812" width="20.125" style="782" customWidth="1"/>
    <col min="12813" max="12813" width="9.625" style="782" customWidth="1"/>
    <col min="12814" max="12814" width="12.25" style="782" customWidth="1"/>
    <col min="12815" max="12815" width="11.375" style="782" customWidth="1"/>
    <col min="12816" max="12816" width="12.25" style="782" customWidth="1"/>
    <col min="12817" max="12817" width="16.625" style="782" customWidth="1"/>
    <col min="12818" max="12818" width="14.875" style="782" customWidth="1"/>
    <col min="12819" max="12819" width="15.75" style="782" customWidth="1"/>
    <col min="12820" max="13056" width="9" style="782"/>
    <col min="13057" max="13057" width="7.875" style="782" customWidth="1"/>
    <col min="13058" max="13058" width="14" style="782" customWidth="1"/>
    <col min="13059" max="13059" width="13.125" style="782" customWidth="1"/>
    <col min="13060" max="13060" width="14" style="782" customWidth="1"/>
    <col min="13061" max="13061" width="10.5" style="782" customWidth="1"/>
    <col min="13062" max="13062" width="14.875" style="782" customWidth="1"/>
    <col min="13063" max="13063" width="16.625" style="782" customWidth="1"/>
    <col min="13064" max="13064" width="13.125" style="782" customWidth="1"/>
    <col min="13065" max="13065" width="15.75" style="782" customWidth="1"/>
    <col min="13066" max="13066" width="14" style="782" customWidth="1"/>
    <col min="13067" max="13067" width="15.75" style="782" customWidth="1"/>
    <col min="13068" max="13068" width="20.125" style="782" customWidth="1"/>
    <col min="13069" max="13069" width="9.625" style="782" customWidth="1"/>
    <col min="13070" max="13070" width="12.25" style="782" customWidth="1"/>
    <col min="13071" max="13071" width="11.375" style="782" customWidth="1"/>
    <col min="13072" max="13072" width="12.25" style="782" customWidth="1"/>
    <col min="13073" max="13073" width="16.625" style="782" customWidth="1"/>
    <col min="13074" max="13074" width="14.875" style="782" customWidth="1"/>
    <col min="13075" max="13075" width="15.75" style="782" customWidth="1"/>
    <col min="13076" max="13312" width="9" style="782"/>
    <col min="13313" max="13313" width="7.875" style="782" customWidth="1"/>
    <col min="13314" max="13314" width="14" style="782" customWidth="1"/>
    <col min="13315" max="13315" width="13.125" style="782" customWidth="1"/>
    <col min="13316" max="13316" width="14" style="782" customWidth="1"/>
    <col min="13317" max="13317" width="10.5" style="782" customWidth="1"/>
    <col min="13318" max="13318" width="14.875" style="782" customWidth="1"/>
    <col min="13319" max="13319" width="16.625" style="782" customWidth="1"/>
    <col min="13320" max="13320" width="13.125" style="782" customWidth="1"/>
    <col min="13321" max="13321" width="15.75" style="782" customWidth="1"/>
    <col min="13322" max="13322" width="14" style="782" customWidth="1"/>
    <col min="13323" max="13323" width="15.75" style="782" customWidth="1"/>
    <col min="13324" max="13324" width="20.125" style="782" customWidth="1"/>
    <col min="13325" max="13325" width="9.625" style="782" customWidth="1"/>
    <col min="13326" max="13326" width="12.25" style="782" customWidth="1"/>
    <col min="13327" max="13327" width="11.375" style="782" customWidth="1"/>
    <col min="13328" max="13328" width="12.25" style="782" customWidth="1"/>
    <col min="13329" max="13329" width="16.625" style="782" customWidth="1"/>
    <col min="13330" max="13330" width="14.875" style="782" customWidth="1"/>
    <col min="13331" max="13331" width="15.75" style="782" customWidth="1"/>
    <col min="13332" max="13568" width="9" style="782"/>
    <col min="13569" max="13569" width="7.875" style="782" customWidth="1"/>
    <col min="13570" max="13570" width="14" style="782" customWidth="1"/>
    <col min="13571" max="13571" width="13.125" style="782" customWidth="1"/>
    <col min="13572" max="13572" width="14" style="782" customWidth="1"/>
    <col min="13573" max="13573" width="10.5" style="782" customWidth="1"/>
    <col min="13574" max="13574" width="14.875" style="782" customWidth="1"/>
    <col min="13575" max="13575" width="16.625" style="782" customWidth="1"/>
    <col min="13576" max="13576" width="13.125" style="782" customWidth="1"/>
    <col min="13577" max="13577" width="15.75" style="782" customWidth="1"/>
    <col min="13578" max="13578" width="14" style="782" customWidth="1"/>
    <col min="13579" max="13579" width="15.75" style="782" customWidth="1"/>
    <col min="13580" max="13580" width="20.125" style="782" customWidth="1"/>
    <col min="13581" max="13581" width="9.625" style="782" customWidth="1"/>
    <col min="13582" max="13582" width="12.25" style="782" customWidth="1"/>
    <col min="13583" max="13583" width="11.375" style="782" customWidth="1"/>
    <col min="13584" max="13584" width="12.25" style="782" customWidth="1"/>
    <col min="13585" max="13585" width="16.625" style="782" customWidth="1"/>
    <col min="13586" max="13586" width="14.875" style="782" customWidth="1"/>
    <col min="13587" max="13587" width="15.75" style="782" customWidth="1"/>
    <col min="13588" max="13824" width="9" style="782"/>
    <col min="13825" max="13825" width="7.875" style="782" customWidth="1"/>
    <col min="13826" max="13826" width="14" style="782" customWidth="1"/>
    <col min="13827" max="13827" width="13.125" style="782" customWidth="1"/>
    <col min="13828" max="13828" width="14" style="782" customWidth="1"/>
    <col min="13829" max="13829" width="10.5" style="782" customWidth="1"/>
    <col min="13830" max="13830" width="14.875" style="782" customWidth="1"/>
    <col min="13831" max="13831" width="16.625" style="782" customWidth="1"/>
    <col min="13832" max="13832" width="13.125" style="782" customWidth="1"/>
    <col min="13833" max="13833" width="15.75" style="782" customWidth="1"/>
    <col min="13834" max="13834" width="14" style="782" customWidth="1"/>
    <col min="13835" max="13835" width="15.75" style="782" customWidth="1"/>
    <col min="13836" max="13836" width="20.125" style="782" customWidth="1"/>
    <col min="13837" max="13837" width="9.625" style="782" customWidth="1"/>
    <col min="13838" max="13838" width="12.25" style="782" customWidth="1"/>
    <col min="13839" max="13839" width="11.375" style="782" customWidth="1"/>
    <col min="13840" max="13840" width="12.25" style="782" customWidth="1"/>
    <col min="13841" max="13841" width="16.625" style="782" customWidth="1"/>
    <col min="13842" max="13842" width="14.875" style="782" customWidth="1"/>
    <col min="13843" max="13843" width="15.75" style="782" customWidth="1"/>
    <col min="13844" max="14080" width="9" style="782"/>
    <col min="14081" max="14081" width="7.875" style="782" customWidth="1"/>
    <col min="14082" max="14082" width="14" style="782" customWidth="1"/>
    <col min="14083" max="14083" width="13.125" style="782" customWidth="1"/>
    <col min="14084" max="14084" width="14" style="782" customWidth="1"/>
    <col min="14085" max="14085" width="10.5" style="782" customWidth="1"/>
    <col min="14086" max="14086" width="14.875" style="782" customWidth="1"/>
    <col min="14087" max="14087" width="16.625" style="782" customWidth="1"/>
    <col min="14088" max="14088" width="13.125" style="782" customWidth="1"/>
    <col min="14089" max="14089" width="15.75" style="782" customWidth="1"/>
    <col min="14090" max="14090" width="14" style="782" customWidth="1"/>
    <col min="14091" max="14091" width="15.75" style="782" customWidth="1"/>
    <col min="14092" max="14092" width="20.125" style="782" customWidth="1"/>
    <col min="14093" max="14093" width="9.625" style="782" customWidth="1"/>
    <col min="14094" max="14094" width="12.25" style="782" customWidth="1"/>
    <col min="14095" max="14095" width="11.375" style="782" customWidth="1"/>
    <col min="14096" max="14096" width="12.25" style="782" customWidth="1"/>
    <col min="14097" max="14097" width="16.625" style="782" customWidth="1"/>
    <col min="14098" max="14098" width="14.875" style="782" customWidth="1"/>
    <col min="14099" max="14099" width="15.75" style="782" customWidth="1"/>
    <col min="14100" max="14336" width="9" style="782"/>
    <col min="14337" max="14337" width="7.875" style="782" customWidth="1"/>
    <col min="14338" max="14338" width="14" style="782" customWidth="1"/>
    <col min="14339" max="14339" width="13.125" style="782" customWidth="1"/>
    <col min="14340" max="14340" width="14" style="782" customWidth="1"/>
    <col min="14341" max="14341" width="10.5" style="782" customWidth="1"/>
    <col min="14342" max="14342" width="14.875" style="782" customWidth="1"/>
    <col min="14343" max="14343" width="16.625" style="782" customWidth="1"/>
    <col min="14344" max="14344" width="13.125" style="782" customWidth="1"/>
    <col min="14345" max="14345" width="15.75" style="782" customWidth="1"/>
    <col min="14346" max="14346" width="14" style="782" customWidth="1"/>
    <col min="14347" max="14347" width="15.75" style="782" customWidth="1"/>
    <col min="14348" max="14348" width="20.125" style="782" customWidth="1"/>
    <col min="14349" max="14349" width="9.625" style="782" customWidth="1"/>
    <col min="14350" max="14350" width="12.25" style="782" customWidth="1"/>
    <col min="14351" max="14351" width="11.375" style="782" customWidth="1"/>
    <col min="14352" max="14352" width="12.25" style="782" customWidth="1"/>
    <col min="14353" max="14353" width="16.625" style="782" customWidth="1"/>
    <col min="14354" max="14354" width="14.875" style="782" customWidth="1"/>
    <col min="14355" max="14355" width="15.75" style="782" customWidth="1"/>
    <col min="14356" max="14592" width="9" style="782"/>
    <col min="14593" max="14593" width="7.875" style="782" customWidth="1"/>
    <col min="14594" max="14594" width="14" style="782" customWidth="1"/>
    <col min="14595" max="14595" width="13.125" style="782" customWidth="1"/>
    <col min="14596" max="14596" width="14" style="782" customWidth="1"/>
    <col min="14597" max="14597" width="10.5" style="782" customWidth="1"/>
    <col min="14598" max="14598" width="14.875" style="782" customWidth="1"/>
    <col min="14599" max="14599" width="16.625" style="782" customWidth="1"/>
    <col min="14600" max="14600" width="13.125" style="782" customWidth="1"/>
    <col min="14601" max="14601" width="15.75" style="782" customWidth="1"/>
    <col min="14602" max="14602" width="14" style="782" customWidth="1"/>
    <col min="14603" max="14603" width="15.75" style="782" customWidth="1"/>
    <col min="14604" max="14604" width="20.125" style="782" customWidth="1"/>
    <col min="14605" max="14605" width="9.625" style="782" customWidth="1"/>
    <col min="14606" max="14606" width="12.25" style="782" customWidth="1"/>
    <col min="14607" max="14607" width="11.375" style="782" customWidth="1"/>
    <col min="14608" max="14608" width="12.25" style="782" customWidth="1"/>
    <col min="14609" max="14609" width="16.625" style="782" customWidth="1"/>
    <col min="14610" max="14610" width="14.875" style="782" customWidth="1"/>
    <col min="14611" max="14611" width="15.75" style="782" customWidth="1"/>
    <col min="14612" max="14848" width="9" style="782"/>
    <col min="14849" max="14849" width="7.875" style="782" customWidth="1"/>
    <col min="14850" max="14850" width="14" style="782" customWidth="1"/>
    <col min="14851" max="14851" width="13.125" style="782" customWidth="1"/>
    <col min="14852" max="14852" width="14" style="782" customWidth="1"/>
    <col min="14853" max="14853" width="10.5" style="782" customWidth="1"/>
    <col min="14854" max="14854" width="14.875" style="782" customWidth="1"/>
    <col min="14855" max="14855" width="16.625" style="782" customWidth="1"/>
    <col min="14856" max="14856" width="13.125" style="782" customWidth="1"/>
    <col min="14857" max="14857" width="15.75" style="782" customWidth="1"/>
    <col min="14858" max="14858" width="14" style="782" customWidth="1"/>
    <col min="14859" max="14859" width="15.75" style="782" customWidth="1"/>
    <col min="14860" max="14860" width="20.125" style="782" customWidth="1"/>
    <col min="14861" max="14861" width="9.625" style="782" customWidth="1"/>
    <col min="14862" max="14862" width="12.25" style="782" customWidth="1"/>
    <col min="14863" max="14863" width="11.375" style="782" customWidth="1"/>
    <col min="14864" max="14864" width="12.25" style="782" customWidth="1"/>
    <col min="14865" max="14865" width="16.625" style="782" customWidth="1"/>
    <col min="14866" max="14866" width="14.875" style="782" customWidth="1"/>
    <col min="14867" max="14867" width="15.75" style="782" customWidth="1"/>
    <col min="14868" max="15104" width="9" style="782"/>
    <col min="15105" max="15105" width="7.875" style="782" customWidth="1"/>
    <col min="15106" max="15106" width="14" style="782" customWidth="1"/>
    <col min="15107" max="15107" width="13.125" style="782" customWidth="1"/>
    <col min="15108" max="15108" width="14" style="782" customWidth="1"/>
    <col min="15109" max="15109" width="10.5" style="782" customWidth="1"/>
    <col min="15110" max="15110" width="14.875" style="782" customWidth="1"/>
    <col min="15111" max="15111" width="16.625" style="782" customWidth="1"/>
    <col min="15112" max="15112" width="13.125" style="782" customWidth="1"/>
    <col min="15113" max="15113" width="15.75" style="782" customWidth="1"/>
    <col min="15114" max="15114" width="14" style="782" customWidth="1"/>
    <col min="15115" max="15115" width="15.75" style="782" customWidth="1"/>
    <col min="15116" max="15116" width="20.125" style="782" customWidth="1"/>
    <col min="15117" max="15117" width="9.625" style="782" customWidth="1"/>
    <col min="15118" max="15118" width="12.25" style="782" customWidth="1"/>
    <col min="15119" max="15119" width="11.375" style="782" customWidth="1"/>
    <col min="15120" max="15120" width="12.25" style="782" customWidth="1"/>
    <col min="15121" max="15121" width="16.625" style="782" customWidth="1"/>
    <col min="15122" max="15122" width="14.875" style="782" customWidth="1"/>
    <col min="15123" max="15123" width="15.75" style="782" customWidth="1"/>
    <col min="15124" max="15360" width="9" style="782"/>
    <col min="15361" max="15361" width="7.875" style="782" customWidth="1"/>
    <col min="15362" max="15362" width="14" style="782" customWidth="1"/>
    <col min="15363" max="15363" width="13.125" style="782" customWidth="1"/>
    <col min="15364" max="15364" width="14" style="782" customWidth="1"/>
    <col min="15365" max="15365" width="10.5" style="782" customWidth="1"/>
    <col min="15366" max="15366" width="14.875" style="782" customWidth="1"/>
    <col min="15367" max="15367" width="16.625" style="782" customWidth="1"/>
    <col min="15368" max="15368" width="13.125" style="782" customWidth="1"/>
    <col min="15369" max="15369" width="15.75" style="782" customWidth="1"/>
    <col min="15370" max="15370" width="14" style="782" customWidth="1"/>
    <col min="15371" max="15371" width="15.75" style="782" customWidth="1"/>
    <col min="15372" max="15372" width="20.125" style="782" customWidth="1"/>
    <col min="15373" max="15373" width="9.625" style="782" customWidth="1"/>
    <col min="15374" max="15374" width="12.25" style="782" customWidth="1"/>
    <col min="15375" max="15375" width="11.375" style="782" customWidth="1"/>
    <col min="15376" max="15376" width="12.25" style="782" customWidth="1"/>
    <col min="15377" max="15377" width="16.625" style="782" customWidth="1"/>
    <col min="15378" max="15378" width="14.875" style="782" customWidth="1"/>
    <col min="15379" max="15379" width="15.75" style="782" customWidth="1"/>
    <col min="15380" max="15616" width="9" style="782"/>
    <col min="15617" max="15617" width="7.875" style="782" customWidth="1"/>
    <col min="15618" max="15618" width="14" style="782" customWidth="1"/>
    <col min="15619" max="15619" width="13.125" style="782" customWidth="1"/>
    <col min="15620" max="15620" width="14" style="782" customWidth="1"/>
    <col min="15621" max="15621" width="10.5" style="782" customWidth="1"/>
    <col min="15622" max="15622" width="14.875" style="782" customWidth="1"/>
    <col min="15623" max="15623" width="16.625" style="782" customWidth="1"/>
    <col min="15624" max="15624" width="13.125" style="782" customWidth="1"/>
    <col min="15625" max="15625" width="15.75" style="782" customWidth="1"/>
    <col min="15626" max="15626" width="14" style="782" customWidth="1"/>
    <col min="15627" max="15627" width="15.75" style="782" customWidth="1"/>
    <col min="15628" max="15628" width="20.125" style="782" customWidth="1"/>
    <col min="15629" max="15629" width="9.625" style="782" customWidth="1"/>
    <col min="15630" max="15630" width="12.25" style="782" customWidth="1"/>
    <col min="15631" max="15631" width="11.375" style="782" customWidth="1"/>
    <col min="15632" max="15632" width="12.25" style="782" customWidth="1"/>
    <col min="15633" max="15633" width="16.625" style="782" customWidth="1"/>
    <col min="15634" max="15634" width="14.875" style="782" customWidth="1"/>
    <col min="15635" max="15635" width="15.75" style="782" customWidth="1"/>
    <col min="15636" max="15872" width="9" style="782"/>
    <col min="15873" max="15873" width="7.875" style="782" customWidth="1"/>
    <col min="15874" max="15874" width="14" style="782" customWidth="1"/>
    <col min="15875" max="15875" width="13.125" style="782" customWidth="1"/>
    <col min="15876" max="15876" width="14" style="782" customWidth="1"/>
    <col min="15877" max="15877" width="10.5" style="782" customWidth="1"/>
    <col min="15878" max="15878" width="14.875" style="782" customWidth="1"/>
    <col min="15879" max="15879" width="16.625" style="782" customWidth="1"/>
    <col min="15880" max="15880" width="13.125" style="782" customWidth="1"/>
    <col min="15881" max="15881" width="15.75" style="782" customWidth="1"/>
    <col min="15882" max="15882" width="14" style="782" customWidth="1"/>
    <col min="15883" max="15883" width="15.75" style="782" customWidth="1"/>
    <col min="15884" max="15884" width="20.125" style="782" customWidth="1"/>
    <col min="15885" max="15885" width="9.625" style="782" customWidth="1"/>
    <col min="15886" max="15886" width="12.25" style="782" customWidth="1"/>
    <col min="15887" max="15887" width="11.375" style="782" customWidth="1"/>
    <col min="15888" max="15888" width="12.25" style="782" customWidth="1"/>
    <col min="15889" max="15889" width="16.625" style="782" customWidth="1"/>
    <col min="15890" max="15890" width="14.875" style="782" customWidth="1"/>
    <col min="15891" max="15891" width="15.75" style="782" customWidth="1"/>
    <col min="15892" max="16128" width="9" style="782"/>
    <col min="16129" max="16129" width="7.875" style="782" customWidth="1"/>
    <col min="16130" max="16130" width="14" style="782" customWidth="1"/>
    <col min="16131" max="16131" width="13.125" style="782" customWidth="1"/>
    <col min="16132" max="16132" width="14" style="782" customWidth="1"/>
    <col min="16133" max="16133" width="10.5" style="782" customWidth="1"/>
    <col min="16134" max="16134" width="14.875" style="782" customWidth="1"/>
    <col min="16135" max="16135" width="16.625" style="782" customWidth="1"/>
    <col min="16136" max="16136" width="13.125" style="782" customWidth="1"/>
    <col min="16137" max="16137" width="15.75" style="782" customWidth="1"/>
    <col min="16138" max="16138" width="14" style="782" customWidth="1"/>
    <col min="16139" max="16139" width="15.75" style="782" customWidth="1"/>
    <col min="16140" max="16140" width="20.125" style="782" customWidth="1"/>
    <col min="16141" max="16141" width="9.625" style="782" customWidth="1"/>
    <col min="16142" max="16142" width="12.25" style="782" customWidth="1"/>
    <col min="16143" max="16143" width="11.375" style="782" customWidth="1"/>
    <col min="16144" max="16144" width="12.25" style="782" customWidth="1"/>
    <col min="16145" max="16145" width="16.625" style="782" customWidth="1"/>
    <col min="16146" max="16146" width="14.875" style="782" customWidth="1"/>
    <col min="16147" max="16147" width="15.75" style="782" customWidth="1"/>
    <col min="16148" max="16384" width="9" style="782"/>
  </cols>
  <sheetData>
    <row r="1" spans="1:35" ht="15.4" customHeight="1">
      <c r="A1" s="976" t="s">
        <v>817</v>
      </c>
      <c r="B1" s="976" t="s">
        <v>818</v>
      </c>
      <c r="C1" s="976" t="s">
        <v>819</v>
      </c>
      <c r="D1" s="976" t="s">
        <v>820</v>
      </c>
      <c r="E1" s="976" t="s">
        <v>522</v>
      </c>
      <c r="F1" s="976" t="s">
        <v>821</v>
      </c>
      <c r="G1" s="976" t="s">
        <v>822</v>
      </c>
      <c r="H1" s="976" t="s">
        <v>815</v>
      </c>
      <c r="I1" s="976" t="s">
        <v>823</v>
      </c>
      <c r="J1" s="976" t="s">
        <v>824</v>
      </c>
      <c r="K1" s="976" t="s">
        <v>825</v>
      </c>
      <c r="L1" s="976" t="s">
        <v>826</v>
      </c>
      <c r="M1" s="976" t="s">
        <v>827</v>
      </c>
      <c r="N1" s="976" t="s">
        <v>816</v>
      </c>
      <c r="O1" s="976" t="s">
        <v>202</v>
      </c>
      <c r="P1" s="976" t="s">
        <v>312</v>
      </c>
      <c r="Q1" s="976" t="s">
        <v>828</v>
      </c>
      <c r="R1" s="976" t="s">
        <v>829</v>
      </c>
      <c r="S1" s="976" t="s">
        <v>830</v>
      </c>
    </row>
    <row r="2" spans="1:35" ht="16.350000000000001" customHeight="1">
      <c r="A2" s="974" t="s">
        <v>831</v>
      </c>
      <c r="B2" s="974" t="s">
        <v>53</v>
      </c>
      <c r="C2" s="974" t="s">
        <v>832</v>
      </c>
      <c r="D2" s="974" t="s">
        <v>833</v>
      </c>
      <c r="E2" s="977">
        <v>12.0666666666667</v>
      </c>
      <c r="F2" s="977">
        <v>8210</v>
      </c>
      <c r="G2" s="977">
        <v>8948.9333333333307</v>
      </c>
      <c r="H2" s="977">
        <v>1621000</v>
      </c>
      <c r="I2" s="977">
        <v>482666.66666666698</v>
      </c>
      <c r="J2" s="977">
        <v>6770</v>
      </c>
      <c r="K2" s="977">
        <v>7334</v>
      </c>
      <c r="L2" s="977">
        <v>0</v>
      </c>
      <c r="M2" s="977">
        <v>3547.4</v>
      </c>
      <c r="N2" s="978">
        <v>125760.37</v>
      </c>
      <c r="O2" s="975">
        <v>3306.84</v>
      </c>
      <c r="P2" s="975">
        <v>703.57</v>
      </c>
      <c r="Q2" s="975">
        <v>121749.96</v>
      </c>
      <c r="R2" s="975">
        <v>121725.96356</v>
      </c>
      <c r="S2" s="979">
        <v>123521.67135999999</v>
      </c>
    </row>
    <row r="4" spans="1:35" s="3" customFormat="1" ht="15.75">
      <c r="A4" s="1"/>
      <c r="B4" s="1"/>
      <c r="C4" s="21"/>
      <c r="D4" s="335"/>
      <c r="E4" s="2"/>
      <c r="F4" s="2"/>
      <c r="G4" s="335" t="s">
        <v>31</v>
      </c>
      <c r="H4" s="1"/>
      <c r="I4" s="2"/>
      <c r="J4" s="351" t="s">
        <v>31</v>
      </c>
      <c r="K4" s="1"/>
      <c r="L4" s="2" t="s">
        <v>31</v>
      </c>
      <c r="N4" s="20"/>
      <c r="O4" s="20"/>
      <c r="P4" s="74"/>
      <c r="Q4" s="74"/>
      <c r="R4" s="74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35" s="3" customFormat="1" ht="15.75">
      <c r="A5" s="291" t="s">
        <v>439</v>
      </c>
      <c r="B5" s="1"/>
      <c r="C5" s="1"/>
      <c r="D5" s="2"/>
      <c r="E5" s="2"/>
      <c r="F5" s="1" t="s">
        <v>31</v>
      </c>
      <c r="G5" s="2"/>
      <c r="H5" s="1"/>
      <c r="I5" s="1"/>
      <c r="J5" s="2"/>
      <c r="K5" s="1"/>
      <c r="L5" s="1"/>
      <c r="N5" s="20"/>
      <c r="O5" s="20"/>
      <c r="P5" s="74"/>
      <c r="Q5" s="74"/>
      <c r="R5" s="74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35" s="3" customFormat="1" ht="15.75">
      <c r="A6" s="419" t="s">
        <v>448</v>
      </c>
      <c r="B6" s="1"/>
      <c r="C6" s="1"/>
      <c r="D6" s="2"/>
      <c r="E6" s="2"/>
      <c r="F6" s="1"/>
      <c r="G6" s="2"/>
      <c r="H6" s="1"/>
      <c r="I6" s="1"/>
      <c r="J6" s="2"/>
      <c r="K6" s="1"/>
      <c r="L6" s="1"/>
      <c r="N6" s="20"/>
      <c r="O6" s="20"/>
      <c r="P6" s="74"/>
      <c r="Q6" s="74"/>
      <c r="R6" s="74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35" s="3" customFormat="1" ht="15.75">
      <c r="A7" s="321"/>
      <c r="B7" s="1"/>
      <c r="C7" s="1"/>
      <c r="D7" s="2"/>
      <c r="E7" s="2"/>
      <c r="F7" s="1"/>
      <c r="G7" s="2"/>
      <c r="H7" s="1"/>
      <c r="I7" s="1"/>
      <c r="J7" s="2"/>
      <c r="K7" s="1"/>
      <c r="L7" s="1"/>
      <c r="N7" s="20"/>
      <c r="O7" s="20"/>
      <c r="P7" s="74"/>
      <c r="Q7" s="74"/>
      <c r="R7" s="74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35" s="3" customFormat="1" ht="15.75">
      <c r="A8" s="321" t="s">
        <v>396</v>
      </c>
      <c r="B8" s="21"/>
      <c r="C8" s="317"/>
      <c r="D8" s="2"/>
      <c r="E8" s="2"/>
      <c r="F8" s="1"/>
      <c r="G8" s="2"/>
      <c r="H8" s="1"/>
      <c r="I8" s="1"/>
      <c r="J8" s="2"/>
      <c r="K8" s="1"/>
      <c r="L8" s="1"/>
      <c r="N8" s="20"/>
      <c r="O8" s="20"/>
      <c r="P8" s="74"/>
      <c r="Q8" s="74"/>
      <c r="R8" s="74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35" s="3" customFormat="1" ht="15.75">
      <c r="A9" s="321" t="s">
        <v>424</v>
      </c>
      <c r="B9" s="1"/>
      <c r="C9" s="317">
        <v>0</v>
      </c>
      <c r="D9" s="296">
        <v>259</v>
      </c>
      <c r="E9" s="321"/>
      <c r="F9" s="319">
        <f>ROUND(D9*$C9,0)</f>
        <v>0</v>
      </c>
      <c r="G9" s="296"/>
      <c r="H9" s="321"/>
      <c r="I9" s="319"/>
      <c r="J9" s="296"/>
      <c r="K9" s="321"/>
      <c r="L9" s="319"/>
      <c r="N9" s="20"/>
      <c r="O9" s="20"/>
      <c r="P9" s="74"/>
      <c r="Q9" s="74"/>
      <c r="R9" s="74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35" s="3" customFormat="1" ht="15.75">
      <c r="A10" s="321" t="s">
        <v>425</v>
      </c>
      <c r="B10" s="1"/>
      <c r="C10" s="317">
        <v>0</v>
      </c>
      <c r="D10" s="296">
        <v>96</v>
      </c>
      <c r="E10" s="321"/>
      <c r="F10" s="319">
        <f>ROUND(D10*$C10,0)</f>
        <v>0</v>
      </c>
      <c r="G10" s="296"/>
      <c r="H10" s="321"/>
      <c r="I10" s="319"/>
      <c r="J10" s="296"/>
      <c r="K10" s="321"/>
      <c r="L10" s="319"/>
      <c r="N10" s="20"/>
      <c r="O10" s="20"/>
      <c r="P10" s="74"/>
      <c r="Q10" s="74"/>
      <c r="R10" s="74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35" s="3" customFormat="1" ht="15.75">
      <c r="A11" s="321" t="s">
        <v>426</v>
      </c>
      <c r="B11" s="1"/>
      <c r="C11" s="317">
        <f>E2</f>
        <v>12.0666666666667</v>
      </c>
      <c r="D11" s="296">
        <v>192</v>
      </c>
      <c r="E11" s="323"/>
      <c r="F11" s="319">
        <f>ROUND(D11*$C11,0)</f>
        <v>2317</v>
      </c>
      <c r="G11" s="296"/>
      <c r="H11" s="323"/>
      <c r="I11" s="319"/>
      <c r="J11" s="296"/>
      <c r="K11" s="323"/>
      <c r="L11" s="319"/>
      <c r="N11" s="20"/>
      <c r="O11" s="20"/>
      <c r="P11" s="74"/>
      <c r="Q11" s="74"/>
      <c r="R11" s="74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2" spans="1:35" s="3" customFormat="1" ht="15.75">
      <c r="A12" s="321" t="s">
        <v>397</v>
      </c>
      <c r="B12" s="1"/>
      <c r="C12" s="317">
        <f>SUM(C9:C11)</f>
        <v>12.0666666666667</v>
      </c>
      <c r="D12" s="296"/>
      <c r="E12" s="321"/>
      <c r="F12" s="319"/>
      <c r="G12" s="296"/>
      <c r="H12" s="321"/>
      <c r="I12" s="319"/>
      <c r="J12" s="296"/>
      <c r="K12" s="321"/>
      <c r="L12" s="319"/>
      <c r="N12" s="20"/>
      <c r="O12" s="20"/>
      <c r="P12" s="74"/>
      <c r="Q12" s="74"/>
      <c r="R12" s="74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</row>
    <row r="13" spans="1:35" s="3" customFormat="1" ht="15.75">
      <c r="A13" s="321" t="s">
        <v>425</v>
      </c>
      <c r="B13" s="1"/>
      <c r="C13" s="64">
        <v>0</v>
      </c>
      <c r="D13" s="296">
        <v>1.7</v>
      </c>
      <c r="E13" s="321" t="s">
        <v>31</v>
      </c>
      <c r="F13" s="319">
        <f>ROUND(D13*$C13,0)</f>
        <v>0</v>
      </c>
      <c r="G13" s="296"/>
      <c r="H13" s="321"/>
      <c r="I13" s="319"/>
      <c r="J13" s="296"/>
      <c r="K13" s="321"/>
      <c r="L13" s="319"/>
      <c r="N13" s="20"/>
      <c r="O13" s="20"/>
      <c r="P13" s="74"/>
      <c r="Q13" s="74"/>
      <c r="R13" s="74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</row>
    <row r="14" spans="1:35" s="3" customFormat="1" ht="15.75">
      <c r="A14" s="321" t="s">
        <v>426</v>
      </c>
      <c r="B14" s="1"/>
      <c r="C14" s="317">
        <f>F2</f>
        <v>8210</v>
      </c>
      <c r="D14" s="296">
        <v>1.39</v>
      </c>
      <c r="E14" s="321" t="s">
        <v>31</v>
      </c>
      <c r="F14" s="319">
        <f>ROUND(D14*$C14,0)</f>
        <v>11412</v>
      </c>
      <c r="G14" s="296"/>
      <c r="H14" s="321"/>
      <c r="I14" s="319"/>
      <c r="J14" s="296"/>
      <c r="K14" s="321"/>
      <c r="L14" s="319"/>
      <c r="N14" s="20"/>
      <c r="O14" s="20"/>
      <c r="P14" s="74"/>
      <c r="Q14" s="74"/>
      <c r="R14" s="74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</row>
    <row r="15" spans="1:35" s="3" customFormat="1" ht="15.75">
      <c r="A15" s="307" t="s">
        <v>427</v>
      </c>
      <c r="B15" s="1"/>
      <c r="C15" s="317"/>
      <c r="D15" s="353"/>
      <c r="E15" s="321"/>
      <c r="F15" s="319"/>
      <c r="G15" s="353"/>
      <c r="H15" s="321"/>
      <c r="I15" s="319"/>
      <c r="J15" s="353"/>
      <c r="K15" s="321"/>
      <c r="L15" s="319"/>
      <c r="N15" s="20"/>
      <c r="O15" s="20"/>
      <c r="P15" s="74"/>
      <c r="Q15" s="74"/>
      <c r="R15" s="74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</row>
    <row r="16" spans="1:35" s="3" customFormat="1" ht="15.75">
      <c r="A16" s="307" t="s">
        <v>428</v>
      </c>
      <c r="B16" s="1"/>
      <c r="C16" s="317">
        <f>J2</f>
        <v>6770</v>
      </c>
      <c r="D16" s="296">
        <v>4.4400000000000004</v>
      </c>
      <c r="E16" s="321"/>
      <c r="F16" s="319">
        <f>ROUND(D16*$C16,0)</f>
        <v>30059</v>
      </c>
      <c r="G16" s="296"/>
      <c r="H16" s="321"/>
      <c r="I16" s="319"/>
      <c r="J16" s="296"/>
      <c r="K16" s="321"/>
      <c r="L16" s="319"/>
      <c r="N16" s="20"/>
      <c r="O16" s="20"/>
      <c r="P16" s="74"/>
      <c r="Q16" s="74"/>
      <c r="R16" s="74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</row>
    <row r="17" spans="1:35" s="3" customFormat="1" ht="15.75">
      <c r="A17" s="307" t="s">
        <v>444</v>
      </c>
      <c r="B17" s="1"/>
      <c r="C17" s="317">
        <v>0</v>
      </c>
      <c r="D17" s="367">
        <f>D16</f>
        <v>4.4400000000000004</v>
      </c>
      <c r="E17" s="321"/>
      <c r="F17" s="319">
        <f>ROUND(D17*$C17,0)</f>
        <v>0</v>
      </c>
      <c r="G17" s="367"/>
      <c r="H17" s="321"/>
      <c r="I17" s="319"/>
      <c r="J17" s="367"/>
      <c r="K17" s="321"/>
      <c r="L17" s="319"/>
      <c r="N17" s="20"/>
      <c r="O17" s="20"/>
      <c r="P17" s="74"/>
      <c r="Q17" s="74"/>
      <c r="R17" s="74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s="3" customFormat="1" ht="15.75">
      <c r="A18" s="321" t="s">
        <v>429</v>
      </c>
      <c r="B18" s="1"/>
      <c r="C18" s="317"/>
      <c r="D18" s="296"/>
      <c r="E18" s="321"/>
      <c r="F18" s="319"/>
      <c r="G18" s="296"/>
      <c r="H18" s="321"/>
      <c r="I18" s="319"/>
      <c r="J18" s="296"/>
      <c r="K18" s="321"/>
      <c r="L18" s="319"/>
      <c r="N18" s="20"/>
      <c r="O18" s="20"/>
      <c r="P18" s="74"/>
      <c r="Q18" s="74"/>
      <c r="R18" s="74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</row>
    <row r="19" spans="1:35" s="3" customFormat="1" ht="15.75">
      <c r="A19" s="321" t="s">
        <v>430</v>
      </c>
      <c r="B19" s="1"/>
      <c r="C19" s="317">
        <f>I2</f>
        <v>482666.66666666698</v>
      </c>
      <c r="D19" s="368">
        <v>5.2919999999999998</v>
      </c>
      <c r="E19" s="321" t="s">
        <v>377</v>
      </c>
      <c r="F19" s="319">
        <f>ROUND(D19*$C19/100,0)</f>
        <v>25543</v>
      </c>
      <c r="G19" s="326"/>
      <c r="H19" s="321"/>
      <c r="I19" s="319"/>
      <c r="J19" s="325"/>
      <c r="K19" s="321"/>
      <c r="L19" s="319"/>
      <c r="N19" s="20"/>
      <c r="O19" s="20"/>
      <c r="P19" s="74"/>
      <c r="Q19" s="74"/>
      <c r="R19" s="74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</row>
    <row r="20" spans="1:35" s="3" customFormat="1" ht="15.75">
      <c r="A20" s="321" t="s">
        <v>402</v>
      </c>
      <c r="B20" s="1"/>
      <c r="C20" s="317">
        <f>H2-I2</f>
        <v>1138333.333333333</v>
      </c>
      <c r="D20" s="368">
        <v>4.8499999999999996</v>
      </c>
      <c r="E20" s="321" t="s">
        <v>377</v>
      </c>
      <c r="F20" s="319">
        <f>ROUND(D20*$C20/100,0)</f>
        <v>55209</v>
      </c>
      <c r="G20" s="326"/>
      <c r="H20" s="321"/>
      <c r="I20" s="319"/>
      <c r="J20" s="325"/>
      <c r="K20" s="321"/>
      <c r="L20" s="319"/>
      <c r="N20" s="20"/>
      <c r="O20" s="20"/>
      <c r="P20" s="74"/>
      <c r="Q20" s="74"/>
      <c r="R20" s="74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s="3" customFormat="1" ht="15.75">
      <c r="A21" s="321" t="s">
        <v>403</v>
      </c>
      <c r="B21" s="1"/>
      <c r="C21" s="317">
        <f>M2</f>
        <v>3547.4</v>
      </c>
      <c r="D21" s="337">
        <v>56</v>
      </c>
      <c r="E21" s="321" t="s">
        <v>377</v>
      </c>
      <c r="F21" s="319">
        <f>ROUND(D21*$C21/100,0)</f>
        <v>1987</v>
      </c>
      <c r="G21" s="965"/>
      <c r="H21" s="321"/>
      <c r="I21" s="319"/>
      <c r="J21" s="473"/>
      <c r="K21" s="321"/>
      <c r="L21" s="319"/>
      <c r="N21" s="20"/>
      <c r="O21" s="20"/>
      <c r="P21" s="74"/>
      <c r="Q21" s="74"/>
      <c r="R21" s="74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</row>
    <row r="22" spans="1:35" s="3" customFormat="1" ht="15.75">
      <c r="A22" s="358" t="s">
        <v>404</v>
      </c>
      <c r="B22" s="1"/>
      <c r="C22" s="317"/>
      <c r="D22" s="330">
        <v>-0.01</v>
      </c>
      <c r="E22" s="2"/>
      <c r="F22" s="319"/>
      <c r="G22" s="330"/>
      <c r="H22" s="1"/>
      <c r="I22" s="319"/>
      <c r="J22" s="330"/>
      <c r="K22" s="1"/>
      <c r="L22" s="319"/>
      <c r="N22" s="20"/>
      <c r="O22" s="20"/>
      <c r="P22" s="74"/>
      <c r="Q22" s="74"/>
      <c r="R22" s="74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</row>
    <row r="23" spans="1:35" s="3" customFormat="1" ht="15.75">
      <c r="A23" s="321" t="s">
        <v>424</v>
      </c>
      <c r="B23" s="1"/>
      <c r="C23" s="317">
        <v>0</v>
      </c>
      <c r="D23" s="302">
        <f>D9</f>
        <v>259</v>
      </c>
      <c r="E23" s="362"/>
      <c r="F23" s="319">
        <f>ROUND(D23*$C23*D22,0)</f>
        <v>0</v>
      </c>
      <c r="G23" s="302"/>
      <c r="H23" s="291"/>
      <c r="I23" s="319"/>
      <c r="J23" s="302"/>
      <c r="K23" s="291"/>
      <c r="L23" s="319"/>
      <c r="N23" s="20"/>
      <c r="O23" s="20"/>
      <c r="P23" s="74"/>
      <c r="Q23" s="74"/>
      <c r="R23" s="74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</row>
    <row r="24" spans="1:35" s="3" customFormat="1" ht="15.75">
      <c r="A24" s="321" t="s">
        <v>425</v>
      </c>
      <c r="B24" s="1"/>
      <c r="C24" s="317">
        <v>0</v>
      </c>
      <c r="D24" s="302">
        <f>D10</f>
        <v>96</v>
      </c>
      <c r="E24" s="362"/>
      <c r="F24" s="319">
        <f>ROUND(D24*$C24*D22,0)</f>
        <v>0</v>
      </c>
      <c r="G24" s="302"/>
      <c r="H24" s="291"/>
      <c r="I24" s="319"/>
      <c r="J24" s="302"/>
      <c r="K24" s="291"/>
      <c r="L24" s="319"/>
      <c r="N24" s="20"/>
      <c r="O24" s="20"/>
      <c r="P24" s="74"/>
      <c r="Q24" s="74"/>
      <c r="R24" s="74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</row>
    <row r="25" spans="1:35" s="3" customFormat="1" ht="15.75">
      <c r="A25" s="321" t="s">
        <v>426</v>
      </c>
      <c r="B25" s="1"/>
      <c r="C25" s="317">
        <f>C11</f>
        <v>12.0666666666667</v>
      </c>
      <c r="D25" s="302">
        <f>D11</f>
        <v>192</v>
      </c>
      <c r="E25" s="370"/>
      <c r="F25" s="319">
        <f>ROUND(D25*$C25*D22,0)</f>
        <v>-23</v>
      </c>
      <c r="G25" s="302"/>
      <c r="H25" s="371"/>
      <c r="I25" s="319"/>
      <c r="J25" s="302"/>
      <c r="K25" s="371"/>
      <c r="L25" s="319"/>
      <c r="N25" s="20"/>
      <c r="O25" s="20"/>
      <c r="P25" s="74"/>
      <c r="Q25" s="74"/>
      <c r="R25" s="74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1:35" s="3" customFormat="1" ht="15.75">
      <c r="A26" s="321" t="s">
        <v>425</v>
      </c>
      <c r="B26" s="1"/>
      <c r="C26" s="317">
        <v>0</v>
      </c>
      <c r="D26" s="302">
        <f>D13</f>
        <v>1.7</v>
      </c>
      <c r="E26" s="362"/>
      <c r="F26" s="319">
        <f>ROUND(D26*$C26*D22,0)</f>
        <v>0</v>
      </c>
      <c r="G26" s="302"/>
      <c r="H26" s="291"/>
      <c r="I26" s="319"/>
      <c r="J26" s="302"/>
      <c r="K26" s="291"/>
      <c r="L26" s="319"/>
      <c r="N26" s="20"/>
      <c r="O26" s="20"/>
      <c r="P26" s="74"/>
      <c r="Q26" s="74"/>
      <c r="R26" s="74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</row>
    <row r="27" spans="1:35" s="3" customFormat="1" ht="15.75">
      <c r="A27" s="321" t="s">
        <v>426</v>
      </c>
      <c r="B27" s="1"/>
      <c r="C27" s="317">
        <f>C14</f>
        <v>8210</v>
      </c>
      <c r="D27" s="302">
        <f>D14</f>
        <v>1.39</v>
      </c>
      <c r="E27" s="362" t="s">
        <v>31</v>
      </c>
      <c r="F27" s="319">
        <f>ROUND(D27*$C27*D22,0)</f>
        <v>-114</v>
      </c>
      <c r="G27" s="302"/>
      <c r="H27" s="291"/>
      <c r="I27" s="319"/>
      <c r="J27" s="302"/>
      <c r="K27" s="291"/>
      <c r="L27" s="319"/>
      <c r="N27" s="20"/>
      <c r="O27" s="20"/>
      <c r="P27" s="74"/>
      <c r="Q27" s="74"/>
      <c r="R27" s="74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s="3" customFormat="1" ht="15.75">
      <c r="A28" s="307" t="s">
        <v>428</v>
      </c>
      <c r="B28" s="1"/>
      <c r="C28" s="317">
        <f>C16</f>
        <v>6770</v>
      </c>
      <c r="D28" s="302">
        <f>D16</f>
        <v>4.4400000000000004</v>
      </c>
      <c r="E28" s="362" t="s">
        <v>31</v>
      </c>
      <c r="F28" s="319">
        <f>ROUND(D28*$C28*D22,0)</f>
        <v>-301</v>
      </c>
      <c r="G28" s="302"/>
      <c r="H28" s="291"/>
      <c r="I28" s="319"/>
      <c r="J28" s="302"/>
      <c r="K28" s="291"/>
      <c r="L28" s="319"/>
      <c r="N28" s="20"/>
      <c r="O28" s="20"/>
      <c r="P28" s="74"/>
      <c r="Q28" s="74"/>
      <c r="R28" s="7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s="3" customFormat="1" ht="15.75">
      <c r="A29" s="307" t="s">
        <v>444</v>
      </c>
      <c r="B29" s="1"/>
      <c r="C29" s="317">
        <v>0</v>
      </c>
      <c r="D29" s="302">
        <f>D17</f>
        <v>4.4400000000000004</v>
      </c>
      <c r="E29" s="362" t="s">
        <v>31</v>
      </c>
      <c r="F29" s="319">
        <f>ROUND(D29*$C29*D22,0)</f>
        <v>0</v>
      </c>
      <c r="G29" s="302"/>
      <c r="H29" s="980"/>
      <c r="I29" s="320"/>
      <c r="J29" s="981"/>
      <c r="K29" s="980"/>
      <c r="L29" s="320"/>
      <c r="M29" s="20"/>
      <c r="N29" s="20"/>
      <c r="O29" s="20"/>
      <c r="P29" s="74"/>
      <c r="Q29" s="74"/>
      <c r="R29" s="74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s="3" customFormat="1" ht="15.75">
      <c r="A30" s="321" t="s">
        <v>430</v>
      </c>
      <c r="B30" s="1"/>
      <c r="C30" s="317">
        <f t="shared" ref="C30:D32" si="0">C19</f>
        <v>482666.66666666698</v>
      </c>
      <c r="D30" s="372">
        <f t="shared" si="0"/>
        <v>5.2919999999999998</v>
      </c>
      <c r="E30" s="319" t="s">
        <v>377</v>
      </c>
      <c r="F30" s="319">
        <f>ROUND(D30*$C30/100*D22,0)</f>
        <v>-255</v>
      </c>
      <c r="G30" s="372"/>
      <c r="H30" s="982"/>
      <c r="I30" s="320"/>
      <c r="J30" s="983"/>
      <c r="K30" s="982"/>
      <c r="L30" s="320"/>
      <c r="M30" s="20"/>
      <c r="N30" s="20"/>
      <c r="O30" s="20"/>
      <c r="P30" s="74"/>
      <c r="Q30" s="74"/>
      <c r="R30" s="74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s="3" customFormat="1" ht="15.75">
      <c r="A31" s="321" t="s">
        <v>402</v>
      </c>
      <c r="B31" s="1"/>
      <c r="C31" s="317">
        <f t="shared" si="0"/>
        <v>1138333.333333333</v>
      </c>
      <c r="D31" s="372">
        <f t="shared" si="0"/>
        <v>4.8499999999999996</v>
      </c>
      <c r="E31" s="319" t="s">
        <v>377</v>
      </c>
      <c r="F31" s="319">
        <f>ROUND(D31*$C31/100*D22,0)</f>
        <v>-552</v>
      </c>
      <c r="G31" s="372"/>
      <c r="H31" s="982"/>
      <c r="I31" s="320"/>
      <c r="J31" s="983"/>
      <c r="K31" s="982"/>
      <c r="L31" s="320"/>
      <c r="M31" s="20"/>
      <c r="N31" s="20"/>
      <c r="O31" s="20"/>
      <c r="P31" s="74"/>
      <c r="Q31" s="74"/>
      <c r="R31" s="74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s="3" customFormat="1" ht="15.75">
      <c r="A32" s="321" t="s">
        <v>403</v>
      </c>
      <c r="B32" s="1"/>
      <c r="C32" s="317">
        <f t="shared" si="0"/>
        <v>3547.4</v>
      </c>
      <c r="D32" s="373">
        <f t="shared" si="0"/>
        <v>56</v>
      </c>
      <c r="E32" s="319" t="s">
        <v>377</v>
      </c>
      <c r="F32" s="319">
        <f>ROUND(D32*$C32/100*D22,0)</f>
        <v>-20</v>
      </c>
      <c r="G32" s="373"/>
      <c r="H32" s="982"/>
      <c r="I32" s="320"/>
      <c r="J32" s="984"/>
      <c r="K32" s="982"/>
      <c r="L32" s="320"/>
      <c r="M32" s="20"/>
      <c r="N32" s="20"/>
      <c r="O32" s="20"/>
      <c r="P32" s="74"/>
      <c r="Q32" s="74"/>
      <c r="R32" s="74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s="3" customFormat="1" ht="15.75">
      <c r="A33" s="321" t="s">
        <v>446</v>
      </c>
      <c r="B33" s="1"/>
      <c r="C33" s="317">
        <v>12</v>
      </c>
      <c r="D33" s="296">
        <v>60</v>
      </c>
      <c r="E33" s="362" t="s">
        <v>31</v>
      </c>
      <c r="F33" s="319">
        <f>ROUND(D33*$C33,0)</f>
        <v>720</v>
      </c>
      <c r="G33" s="296"/>
      <c r="H33" s="23"/>
      <c r="I33" s="320"/>
      <c r="J33" s="985"/>
      <c r="K33" s="23"/>
      <c r="L33" s="320"/>
      <c r="M33" s="20"/>
      <c r="N33" s="20"/>
      <c r="O33" s="20"/>
      <c r="P33" s="74"/>
      <c r="Q33" s="74"/>
      <c r="R33" s="74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s="3" customFormat="1" ht="15.75">
      <c r="A34" s="321" t="s">
        <v>447</v>
      </c>
      <c r="B34" s="1"/>
      <c r="C34" s="317">
        <f>C26+C27</f>
        <v>8210</v>
      </c>
      <c r="D34" s="337">
        <v>-30</v>
      </c>
      <c r="E34" s="319" t="s">
        <v>377</v>
      </c>
      <c r="F34" s="319">
        <f>ROUND(D34*$C34/100,0)</f>
        <v>-2463</v>
      </c>
      <c r="G34" s="337"/>
      <c r="H34" s="320"/>
      <c r="I34" s="320"/>
      <c r="J34" s="986"/>
      <c r="K34" s="320"/>
      <c r="L34" s="320"/>
      <c r="M34" s="20"/>
      <c r="N34" s="20"/>
      <c r="O34" s="20"/>
      <c r="P34" s="74"/>
      <c r="Q34" s="74"/>
      <c r="R34" s="74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s="3" customFormat="1" ht="15.75">
      <c r="A35" s="1" t="s">
        <v>384</v>
      </c>
      <c r="B35" s="1"/>
      <c r="C35" s="317">
        <v>0</v>
      </c>
      <c r="D35" s="328"/>
      <c r="E35" s="2"/>
      <c r="F35" s="2">
        <f>SUM(F9:F34)</f>
        <v>123519</v>
      </c>
      <c r="G35" s="328"/>
      <c r="H35" s="23"/>
      <c r="I35" s="51"/>
      <c r="J35" s="987"/>
      <c r="K35" s="23"/>
      <c r="L35" s="51"/>
      <c r="M35" s="20"/>
      <c r="N35" s="20"/>
      <c r="O35" s="20"/>
      <c r="P35" s="74"/>
      <c r="Q35" s="74"/>
      <c r="R35" s="74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s="3" customFormat="1" ht="15.75">
      <c r="A36" s="1" t="s">
        <v>366</v>
      </c>
      <c r="B36" s="1"/>
      <c r="C36" s="347">
        <v>0</v>
      </c>
      <c r="D36" s="307"/>
      <c r="E36" s="307"/>
      <c r="F36" s="308">
        <v>0</v>
      </c>
      <c r="G36" s="307"/>
      <c r="H36" s="972"/>
      <c r="I36" s="51"/>
      <c r="J36" s="972"/>
      <c r="K36" s="972"/>
      <c r="L36" s="51"/>
      <c r="M36" s="20"/>
      <c r="N36" s="442"/>
      <c r="O36" s="442"/>
      <c r="P36" s="285"/>
      <c r="Q36" s="74"/>
      <c r="R36" s="74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s="3" customFormat="1" ht="16.5" thickBot="1">
      <c r="A37" s="1" t="s">
        <v>385</v>
      </c>
      <c r="B37" s="1"/>
      <c r="C37" s="364">
        <f>SUM(C35)+C36</f>
        <v>0</v>
      </c>
      <c r="D37" s="340"/>
      <c r="E37" s="341"/>
      <c r="F37" s="342">
        <f>F35+F36</f>
        <v>123519</v>
      </c>
      <c r="G37" s="349"/>
      <c r="H37" s="23"/>
      <c r="I37" s="320"/>
      <c r="J37" s="349"/>
      <c r="K37" s="23"/>
      <c r="L37" s="320"/>
      <c r="M37" s="20"/>
      <c r="N37" s="409"/>
      <c r="O37" s="409"/>
      <c r="P37" s="468"/>
      <c r="Q37" s="74"/>
      <c r="R37" s="74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s="3" customFormat="1" ht="16.5" thickTop="1">
      <c r="A38" s="301"/>
      <c r="B38" s="376"/>
      <c r="C38" s="301"/>
      <c r="D38" s="21"/>
      <c r="E38" s="21"/>
      <c r="F38" s="377"/>
      <c r="G38" s="1"/>
      <c r="H38" s="988"/>
      <c r="I38" s="989"/>
      <c r="J38" s="988"/>
      <c r="K38" s="988"/>
      <c r="L38" s="988"/>
      <c r="M38" s="20"/>
      <c r="N38" s="20"/>
      <c r="O38" s="20"/>
      <c r="P38" s="74"/>
      <c r="Q38" s="74"/>
      <c r="R38" s="74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>
      <c r="H39" s="990"/>
      <c r="I39" s="990"/>
      <c r="J39" s="990"/>
      <c r="K39" s="990"/>
      <c r="L39" s="990"/>
      <c r="M39" s="990"/>
      <c r="N39" s="990"/>
      <c r="O39" s="990"/>
      <c r="P39" s="990"/>
      <c r="Q39" s="990"/>
      <c r="R39" s="990"/>
    </row>
    <row r="40" spans="1:35">
      <c r="H40" s="990"/>
      <c r="I40" s="990"/>
      <c r="J40" s="990"/>
      <c r="K40" s="990"/>
      <c r="L40" s="990"/>
      <c r="M40" s="990"/>
      <c r="N40" s="990"/>
      <c r="O40" s="990"/>
      <c r="P40" s="990"/>
      <c r="Q40" s="990"/>
      <c r="R40" s="990"/>
    </row>
    <row r="41" spans="1:35">
      <c r="H41" s="990"/>
      <c r="I41" s="990"/>
      <c r="J41" s="990"/>
      <c r="K41" s="990"/>
      <c r="L41" s="990"/>
      <c r="M41" s="990"/>
      <c r="N41" s="990"/>
      <c r="O41" s="990"/>
      <c r="P41" s="990"/>
      <c r="Q41" s="990"/>
      <c r="R41" s="990"/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4"/>
  <sheetViews>
    <sheetView zoomScale="85" zoomScaleNormal="85" workbookViewId="0">
      <pane xSplit="1" ySplit="7" topLeftCell="B8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RowHeight="15.75"/>
  <cols>
    <col min="1" max="1" width="9" style="742"/>
    <col min="2" max="2" width="40.375" style="4" customWidth="1"/>
    <col min="3" max="3" width="14.625" style="4" customWidth="1"/>
    <col min="4" max="4" width="10.5" style="4" bestFit="1" customWidth="1"/>
    <col min="5" max="5" width="2.25" style="4" customWidth="1"/>
    <col min="6" max="6" width="14.375" style="4" bestFit="1" customWidth="1"/>
    <col min="7" max="7" width="9" style="4"/>
    <col min="8" max="8" width="9.625" style="4" bestFit="1" customWidth="1"/>
    <col min="9" max="16384" width="9" style="4"/>
  </cols>
  <sheetData>
    <row r="2" spans="1:8">
      <c r="A2" s="82" t="str">
        <f>'305 Inputs'!B2</f>
        <v>Washington- June 2012</v>
      </c>
      <c r="B2" s="82"/>
    </row>
    <row r="3" spans="1:8">
      <c r="A3" s="82" t="str">
        <f>'305 Inputs'!B3</f>
        <v>305 from Cognos (305 Reports)</v>
      </c>
      <c r="B3" s="82"/>
    </row>
    <row r="4" spans="1:8">
      <c r="A4" s="82" t="str">
        <f>'305 Inputs'!B4</f>
        <v>12 Months Ended June 2012</v>
      </c>
      <c r="B4" s="82"/>
      <c r="F4" s="781"/>
    </row>
    <row r="5" spans="1:8">
      <c r="A5" s="935"/>
      <c r="B5" s="936"/>
      <c r="C5" s="104"/>
      <c r="D5" s="63" t="s">
        <v>73</v>
      </c>
    </row>
    <row r="6" spans="1:8">
      <c r="B6" s="4" t="s">
        <v>105</v>
      </c>
      <c r="C6" s="6"/>
      <c r="D6" s="63" t="s">
        <v>250</v>
      </c>
      <c r="F6" s="868" t="s">
        <v>10</v>
      </c>
    </row>
    <row r="7" spans="1:8">
      <c r="C7" s="6" t="s">
        <v>235</v>
      </c>
      <c r="D7" s="89">
        <v>40116</v>
      </c>
      <c r="F7" s="868" t="s">
        <v>1</v>
      </c>
      <c r="H7" s="892"/>
    </row>
    <row r="8" spans="1:8">
      <c r="A8" s="742">
        <v>24</v>
      </c>
      <c r="B8" s="873" t="s">
        <v>51</v>
      </c>
      <c r="C8" s="92">
        <f>SUMIF('305 Inputs'!$A$7:$A$45,SBC!A8,'305 Inputs'!$H$7:$H$46)</f>
        <v>522722614</v>
      </c>
      <c r="D8" s="937">
        <v>2.4499999999999999E-3</v>
      </c>
      <c r="F8" s="847">
        <f t="shared" ref="F8:F14" si="0">C8*D8</f>
        <v>1280670.4043000001</v>
      </c>
      <c r="H8" s="938"/>
    </row>
    <row r="9" spans="1:8">
      <c r="A9" s="742" t="s">
        <v>149</v>
      </c>
      <c r="B9" s="873" t="s">
        <v>52</v>
      </c>
      <c r="C9" s="92">
        <f>SUMIF('305 Inputs'!$A$7:$A$45,SBC!A9,'305 Inputs'!$H$7:$H$46)</f>
        <v>1268465</v>
      </c>
      <c r="D9" s="937">
        <v>2.4499999999999999E-3</v>
      </c>
      <c r="F9" s="847">
        <f t="shared" si="0"/>
        <v>3107.7392500000001</v>
      </c>
      <c r="H9" s="938"/>
    </row>
    <row r="10" spans="1:8">
      <c r="A10" s="742" t="s">
        <v>157</v>
      </c>
      <c r="B10" s="939" t="s">
        <v>57</v>
      </c>
      <c r="C10" s="92">
        <f>SUMIF('305 Inputs'!$A$7:$A$45,SBC!A10,'305 Inputs'!$H$7:$H$46)</f>
        <v>351175</v>
      </c>
      <c r="D10" s="937">
        <v>2.4499999999999999E-3</v>
      </c>
      <c r="F10" s="847">
        <f t="shared" si="0"/>
        <v>860.37874999999997</v>
      </c>
      <c r="H10" s="938"/>
    </row>
    <row r="11" spans="1:8">
      <c r="A11" s="742">
        <v>36</v>
      </c>
      <c r="B11" s="873" t="s">
        <v>53</v>
      </c>
      <c r="C11" s="92">
        <f>SUMIF('305 Inputs'!$A$7:$A$45,SBC!A11,'305 Inputs'!$H$7:$H$46)</f>
        <v>752345612</v>
      </c>
      <c r="D11" s="937">
        <v>2.0400000000000001E-3</v>
      </c>
      <c r="F11" s="847">
        <f t="shared" si="0"/>
        <v>1534785.0484800001</v>
      </c>
      <c r="H11" s="938"/>
    </row>
    <row r="12" spans="1:8">
      <c r="A12" s="742" t="s">
        <v>156</v>
      </c>
      <c r="B12" s="873" t="s">
        <v>54</v>
      </c>
      <c r="C12" s="92">
        <f>SUMIF('305 Inputs'!$A$7:$A$45,SBC!A12,'305 Inputs'!$H$7:$H$46)</f>
        <v>141713341</v>
      </c>
      <c r="D12" s="937">
        <v>1.66E-3</v>
      </c>
      <c r="F12" s="847">
        <f t="shared" si="0"/>
        <v>235244.14606</v>
      </c>
      <c r="H12" s="938"/>
    </row>
    <row r="13" spans="1:8">
      <c r="A13" s="742" t="s">
        <v>151</v>
      </c>
      <c r="B13" s="873" t="s">
        <v>55</v>
      </c>
      <c r="C13" s="92">
        <f>SUMIF('305 Inputs'!$A$7:$A$45,SBC!A13,'305 Inputs'!$H$7:$H$46)</f>
        <v>2230059</v>
      </c>
      <c r="D13" s="937">
        <v>2.1900000000000001E-3</v>
      </c>
      <c r="F13" s="847">
        <f t="shared" si="0"/>
        <v>4883.8292099999999</v>
      </c>
      <c r="H13" s="938"/>
    </row>
    <row r="14" spans="1:8">
      <c r="A14" s="742">
        <v>54</v>
      </c>
      <c r="B14" s="873" t="s">
        <v>56</v>
      </c>
      <c r="C14" s="92">
        <f>SUMIF('305 Inputs'!$A$7:$A$45,SBC!A14,'305 Inputs'!$H$7:$H$46)</f>
        <v>282514</v>
      </c>
      <c r="D14" s="937">
        <v>2.7799999999999999E-3</v>
      </c>
      <c r="F14" s="847">
        <f t="shared" si="0"/>
        <v>785.38891999999998</v>
      </c>
      <c r="H14" s="938"/>
    </row>
    <row r="15" spans="1:8">
      <c r="A15" s="742" t="s">
        <v>31</v>
      </c>
      <c r="C15" s="92">
        <f>SUM(C8:C14)</f>
        <v>1420913780</v>
      </c>
    </row>
    <row r="16" spans="1:8">
      <c r="A16" s="742" t="s">
        <v>31</v>
      </c>
      <c r="B16" s="4" t="s">
        <v>125</v>
      </c>
      <c r="C16" s="6"/>
    </row>
    <row r="17" spans="1:8">
      <c r="A17" s="742" t="s">
        <v>31</v>
      </c>
      <c r="C17" s="6" t="s">
        <v>235</v>
      </c>
      <c r="D17" s="937"/>
      <c r="H17" s="938"/>
    </row>
    <row r="18" spans="1:8">
      <c r="A18" s="742">
        <v>24</v>
      </c>
      <c r="B18" s="873" t="s">
        <v>51</v>
      </c>
      <c r="C18" s="92">
        <f ca="1">SUMIF('305 Inputs'!$A$51:$A$73,SBC!A18,'305 Inputs'!$H$51:$H$72)</f>
        <v>17374697</v>
      </c>
      <c r="D18" s="937">
        <v>2.4499999999999999E-3</v>
      </c>
      <c r="F18" s="847">
        <f t="shared" ref="F18:F25" ca="1" si="1">C18*D18</f>
        <v>42568.00765</v>
      </c>
      <c r="H18" s="938"/>
    </row>
    <row r="19" spans="1:8">
      <c r="A19" s="742" t="s">
        <v>149</v>
      </c>
      <c r="B19" s="873" t="s">
        <v>52</v>
      </c>
      <c r="C19" s="92">
        <f ca="1">SUMIF('305 Inputs'!$A$51:$A$73,SBC!A19,'305 Inputs'!$H$51:$H$72)</f>
        <v>33313</v>
      </c>
      <c r="D19" s="937">
        <v>2.4499999999999999E-3</v>
      </c>
      <c r="F19" s="847">
        <f t="shared" ca="1" si="1"/>
        <v>81.616849999999999</v>
      </c>
      <c r="H19" s="938"/>
    </row>
    <row r="20" spans="1:8">
      <c r="A20" s="742" t="s">
        <v>157</v>
      </c>
      <c r="B20" s="873" t="s">
        <v>57</v>
      </c>
      <c r="C20" s="92">
        <f ca="1">SUMIF('305 Inputs'!$A$51:$A$73,SBC!A20,'305 Inputs'!$H$51:$H$72)</f>
        <v>6067</v>
      </c>
      <c r="D20" s="937">
        <v>2.4499999999999999E-3</v>
      </c>
      <c r="F20" s="847">
        <f t="shared" ca="1" si="1"/>
        <v>14.864149999999999</v>
      </c>
      <c r="H20" s="938"/>
    </row>
    <row r="21" spans="1:8">
      <c r="A21" s="742">
        <v>36</v>
      </c>
      <c r="B21" s="873" t="s">
        <v>53</v>
      </c>
      <c r="C21" s="92">
        <f ca="1">SUMIF('305 Inputs'!$A$51:$A$73,SBC!A21,'305 Inputs'!$H$51:$H$72)</f>
        <v>109208584</v>
      </c>
      <c r="D21" s="937">
        <v>2.0400000000000001E-3</v>
      </c>
      <c r="F21" s="847">
        <f t="shared" ca="1" si="1"/>
        <v>222785.51136</v>
      </c>
      <c r="H21" s="938"/>
    </row>
    <row r="22" spans="1:8">
      <c r="A22" s="742">
        <v>47</v>
      </c>
      <c r="B22" s="873" t="s">
        <v>167</v>
      </c>
      <c r="C22" s="92">
        <f ca="1">SUMIF('305 Inputs'!$A$51:$A$73,SBC!A22,'305 Inputs'!$H$51:$H$72)</f>
        <v>1706000</v>
      </c>
      <c r="D22" s="937">
        <v>1.66E-3</v>
      </c>
      <c r="F22" s="847">
        <f t="shared" ca="1" si="1"/>
        <v>2831.96</v>
      </c>
      <c r="H22" s="938"/>
    </row>
    <row r="23" spans="1:8">
      <c r="A23" s="742" t="s">
        <v>155</v>
      </c>
      <c r="B23" s="873" t="s">
        <v>60</v>
      </c>
      <c r="C23" s="92">
        <f ca="1">SUMIF('305 Inputs'!$A$51:$A$73,SBC!A23,'305 Inputs'!$H$51:$H$72)</f>
        <v>681024352</v>
      </c>
      <c r="D23" s="937">
        <v>1.66E-3</v>
      </c>
      <c r="F23" s="847">
        <f t="shared" ca="1" si="1"/>
        <v>1130500.42432</v>
      </c>
      <c r="H23" s="938"/>
    </row>
    <row r="24" spans="1:8">
      <c r="A24" s="742" t="s">
        <v>156</v>
      </c>
      <c r="B24" s="873" t="s">
        <v>54</v>
      </c>
      <c r="C24" s="92">
        <f ca="1">SUMIF('305 Inputs'!$A$51:$A$73,SBC!A24,'305 Inputs'!$H$51:$H$72)</f>
        <v>0</v>
      </c>
      <c r="D24" s="937">
        <v>1.66E-3</v>
      </c>
      <c r="F24" s="847">
        <f t="shared" ca="1" si="1"/>
        <v>0</v>
      </c>
      <c r="H24" s="938"/>
    </row>
    <row r="25" spans="1:8">
      <c r="A25" s="742" t="s">
        <v>151</v>
      </c>
      <c r="B25" s="873" t="s">
        <v>55</v>
      </c>
      <c r="C25" s="92">
        <f ca="1">SUMIF('305 Inputs'!$A$51:$A$73,SBC!A25,'305 Inputs'!$H$51:$H$72)</f>
        <v>150285</v>
      </c>
      <c r="D25" s="937">
        <v>2.1900000000000001E-3</v>
      </c>
      <c r="F25" s="847">
        <f t="shared" ca="1" si="1"/>
        <v>329.12415000000004</v>
      </c>
      <c r="H25" s="938"/>
    </row>
    <row r="26" spans="1:8">
      <c r="C26" s="92">
        <f ca="1">SUM(C18:C25)</f>
        <v>809503298</v>
      </c>
    </row>
    <row r="27" spans="1:8">
      <c r="B27" s="4" t="s">
        <v>128</v>
      </c>
      <c r="C27" s="6"/>
    </row>
    <row r="28" spans="1:8">
      <c r="C28" s="6" t="s">
        <v>235</v>
      </c>
    </row>
    <row r="29" spans="1:8">
      <c r="A29" s="742">
        <v>40</v>
      </c>
      <c r="B29" s="873" t="s">
        <v>58</v>
      </c>
      <c r="C29" s="92">
        <f ca="1">SUMIF('305 Inputs'!$A$77:$A$96,SBC!A29,'305 Inputs'!$H$77:$H$93)</f>
        <v>146674202</v>
      </c>
      <c r="D29" s="937">
        <v>2.3E-3</v>
      </c>
      <c r="F29" s="847">
        <f ca="1">C29*D29</f>
        <v>337350.66460000002</v>
      </c>
      <c r="H29" s="938"/>
    </row>
    <row r="30" spans="1:8">
      <c r="A30" s="742" t="s">
        <v>158</v>
      </c>
      <c r="B30" s="873" t="s">
        <v>59</v>
      </c>
      <c r="C30" s="92">
        <f ca="1">SUMIF('305 Inputs'!$A$77:$A$96,SBC!A30,'305 Inputs'!$H$77:$H$93)</f>
        <v>5321277</v>
      </c>
      <c r="D30" s="937">
        <v>2.3E-3</v>
      </c>
      <c r="F30" s="847">
        <f ca="1">C30*D30</f>
        <v>12238.937099999999</v>
      </c>
      <c r="H30" s="938"/>
    </row>
    <row r="31" spans="1:8">
      <c r="C31" s="92">
        <f ca="1">SUM(C29:C30)</f>
        <v>151995479</v>
      </c>
    </row>
    <row r="32" spans="1:8">
      <c r="B32" s="4" t="s">
        <v>136</v>
      </c>
      <c r="C32" s="6"/>
    </row>
    <row r="33" spans="1:8">
      <c r="C33" s="6" t="s">
        <v>235</v>
      </c>
    </row>
    <row r="34" spans="1:8">
      <c r="A34" s="742">
        <v>52</v>
      </c>
      <c r="B34" s="873" t="s">
        <v>61</v>
      </c>
      <c r="C34" s="92">
        <f ca="1">SUMIF('305 Inputs'!$A$101:$A$111,SBC!A34,'305 Inputs'!$H$101:$H$110)</f>
        <v>316726</v>
      </c>
      <c r="D34" s="937">
        <v>2.1900000000000001E-3</v>
      </c>
      <c r="F34" s="847">
        <f ca="1">C34*D34</f>
        <v>693.62994000000003</v>
      </c>
      <c r="H34" s="938"/>
    </row>
    <row r="35" spans="1:8">
      <c r="A35" s="742" t="s">
        <v>795</v>
      </c>
      <c r="B35" s="873" t="s">
        <v>62</v>
      </c>
      <c r="C35" s="92">
        <f ca="1">SUMIF('305 Inputs'!$A$101:$A$111,SBC!A35,'305 Inputs'!$H$101:$H$110)</f>
        <v>3282893</v>
      </c>
      <c r="D35" s="937">
        <v>2.1900000000000001E-3</v>
      </c>
      <c r="F35" s="847">
        <f ca="1">C35*D35</f>
        <v>7189.5356700000002</v>
      </c>
      <c r="H35" s="938"/>
    </row>
    <row r="36" spans="1:8">
      <c r="A36" s="742" t="s">
        <v>160</v>
      </c>
      <c r="B36" s="873" t="s">
        <v>63</v>
      </c>
      <c r="C36" s="92">
        <f ca="1">SUMIF('305 Inputs'!$A$101:$A$111,SBC!A36,'305 Inputs'!$H$101:$H$110)</f>
        <v>1167018</v>
      </c>
      <c r="D36" s="937">
        <v>2.1900000000000001E-3</v>
      </c>
      <c r="F36" s="847">
        <f ca="1">C36*D36</f>
        <v>2555.7694200000001</v>
      </c>
      <c r="H36" s="938"/>
    </row>
    <row r="37" spans="1:8">
      <c r="A37" s="742">
        <v>51</v>
      </c>
      <c r="B37" s="873" t="s">
        <v>64</v>
      </c>
      <c r="C37" s="92">
        <f ca="1">SUMIF('305 Inputs'!$A$101:$A$111,SBC!A37,'305 Inputs'!$H$101:$H$110)</f>
        <v>3317369</v>
      </c>
      <c r="D37" s="937">
        <v>2.1900000000000001E-3</v>
      </c>
      <c r="F37" s="847">
        <f ca="1">C37*D37</f>
        <v>7265.0381100000004</v>
      </c>
      <c r="H37" s="938"/>
    </row>
    <row r="38" spans="1:8">
      <c r="A38" s="742">
        <v>57</v>
      </c>
      <c r="B38" s="873" t="s">
        <v>65</v>
      </c>
      <c r="C38" s="92">
        <f ca="1">SUMIF('305 Inputs'!$A$101:$A$111,SBC!A38,'305 Inputs'!$H$101:$H$110)</f>
        <v>1960705</v>
      </c>
      <c r="D38" s="937">
        <v>2.1900000000000001E-3</v>
      </c>
      <c r="F38" s="847">
        <f ca="1">C38*D38</f>
        <v>4293.9439499999999</v>
      </c>
      <c r="H38" s="938"/>
    </row>
    <row r="39" spans="1:8">
      <c r="B39" s="873" t="s">
        <v>766</v>
      </c>
      <c r="C39" s="92">
        <f ca="1">SUMIF('305 Inputs'!$A$101:$A$111,SBC!A39,'305 Inputs'!$H$101:$H$110)</f>
        <v>0</v>
      </c>
      <c r="D39" s="937">
        <v>2.1900000000000001E-3</v>
      </c>
      <c r="F39" s="847"/>
      <c r="H39" s="938"/>
    </row>
    <row r="40" spans="1:8">
      <c r="A40" s="742" t="s">
        <v>31</v>
      </c>
      <c r="C40" s="92">
        <f ca="1">SUM(C34:C38)</f>
        <v>10044711</v>
      </c>
    </row>
    <row r="41" spans="1:8">
      <c r="A41" s="742" t="s">
        <v>31</v>
      </c>
      <c r="B41" s="4" t="s">
        <v>143</v>
      </c>
      <c r="C41" s="6"/>
    </row>
    <row r="42" spans="1:8">
      <c r="A42" s="742" t="s">
        <v>31</v>
      </c>
      <c r="C42" s="6" t="s">
        <v>235</v>
      </c>
    </row>
    <row r="43" spans="1:8">
      <c r="A43" s="742" t="s">
        <v>161</v>
      </c>
      <c r="B43" s="7" t="s">
        <v>50</v>
      </c>
      <c r="C43" s="92">
        <f>SUMIF('305 Inputs'!$A$116:$A$144,SBC!A43,'305 Inputs'!$H$116:$H$145)</f>
        <v>1071989</v>
      </c>
      <c r="D43" s="937">
        <v>2.1900000000000001E-3</v>
      </c>
      <c r="F43" s="847">
        <f t="shared" ref="F43:F49" si="2">C43*D43</f>
        <v>2347.6559099999999</v>
      </c>
      <c r="H43" s="938"/>
    </row>
    <row r="44" spans="1:8">
      <c r="A44" s="742">
        <v>16</v>
      </c>
      <c r="B44" s="4" t="s">
        <v>48</v>
      </c>
      <c r="C44" s="92">
        <f>SUMIF('305 Inputs'!$A$116:$A$144,SBC!A44,'305 Inputs'!$H$116:$H$145)</f>
        <v>1538101036</v>
      </c>
      <c r="D44" s="937">
        <v>2.4499999999999999E-3</v>
      </c>
      <c r="F44" s="847">
        <f t="shared" si="2"/>
        <v>3768347.5381999998</v>
      </c>
      <c r="H44" s="938"/>
    </row>
    <row r="45" spans="1:8">
      <c r="A45" s="742">
        <v>17</v>
      </c>
      <c r="B45" s="4" t="s">
        <v>93</v>
      </c>
      <c r="C45" s="92">
        <f>SUMIF('305 Inputs'!$A$116:$A$144,SBC!A45,'305 Inputs'!$H$116:$H$145)</f>
        <v>63258258</v>
      </c>
      <c r="D45" s="937">
        <v>2.4499999999999999E-3</v>
      </c>
      <c r="F45" s="847">
        <f t="shared" si="2"/>
        <v>154982.73209999999</v>
      </c>
      <c r="H45" s="938"/>
    </row>
    <row r="46" spans="1:8">
      <c r="A46" s="742">
        <v>18</v>
      </c>
      <c r="B46" s="4" t="s">
        <v>49</v>
      </c>
      <c r="C46" s="92">
        <f>SUMIF('305 Inputs'!$A$116:$A$144,SBC!A46,'305 Inputs'!$H$116:$H$145)</f>
        <v>2216109</v>
      </c>
      <c r="D46" s="937">
        <v>2.4499999999999999E-3</v>
      </c>
      <c r="F46" s="847">
        <f t="shared" si="2"/>
        <v>5429.4670500000002</v>
      </c>
      <c r="H46" s="938"/>
    </row>
    <row r="47" spans="1:8">
      <c r="A47" s="742" t="s">
        <v>162</v>
      </c>
      <c r="B47" s="7" t="s">
        <v>164</v>
      </c>
      <c r="C47" s="92">
        <f>SUMIF('305 Inputs'!$A$116:$A$144,SBC!A47,'305 Inputs'!$H$116:$H$145)</f>
        <v>433385</v>
      </c>
      <c r="D47" s="937">
        <v>2.4499999999999999E-3</v>
      </c>
      <c r="F47" s="847">
        <f t="shared" si="2"/>
        <v>1061.7932499999999</v>
      </c>
      <c r="H47" s="938"/>
    </row>
    <row r="48" spans="1:8">
      <c r="A48" s="742">
        <v>135</v>
      </c>
      <c r="B48" s="7" t="s">
        <v>252</v>
      </c>
      <c r="C48" s="92">
        <f>SUMIF('305 Inputs'!$A$116:$A$144,SBC!A48,'305 Inputs'!$H$116:$H$145)</f>
        <v>655942</v>
      </c>
      <c r="D48" s="937">
        <v>2.4499999999999999E-3</v>
      </c>
      <c r="F48" s="847">
        <f t="shared" si="2"/>
        <v>1607.0579</v>
      </c>
      <c r="H48" s="938"/>
    </row>
    <row r="49" spans="1:8">
      <c r="A49" s="742">
        <v>24</v>
      </c>
      <c r="B49" s="7" t="s">
        <v>763</v>
      </c>
      <c r="C49" s="92">
        <f>SUMIF('305 Inputs'!$A$116:$A$144,SBC!A49,'305 Inputs'!$H$116:$H$145)</f>
        <v>1020058</v>
      </c>
      <c r="D49" s="937">
        <v>2.4499999999999999E-3</v>
      </c>
      <c r="F49" s="847">
        <f t="shared" si="2"/>
        <v>2499.1421</v>
      </c>
      <c r="H49" s="938"/>
    </row>
    <row r="50" spans="1:8">
      <c r="C50" s="88">
        <f>SUM(C43:C49)</f>
        <v>1606756777</v>
      </c>
    </row>
    <row r="52" spans="1:8">
      <c r="C52" s="88">
        <f ca="1">C50+C40+C31+C26+C15</f>
        <v>3999214045</v>
      </c>
      <c r="F52" s="940">
        <f ca="1">SUM(F8:F49)</f>
        <v>8767311.3487500008</v>
      </c>
    </row>
    <row r="54" spans="1:8">
      <c r="B54" s="4" t="s">
        <v>253</v>
      </c>
      <c r="C54" s="781">
        <f ca="1">'Table 2'!G140-'Table 2'!G36-'Table 2'!G66-'Table 2'!G95-'Table 2'!G115-'Table 2'!G135-'Table 2'!G113-C52</f>
        <v>0</v>
      </c>
      <c r="F54" s="941">
        <f ca="1">'Table 3'!F19+'Table 3'!F22+'Table 3'!F44+'Table 3'!F47+'Table 3'!F50+'Table 3'!F54+'Table 3'!F74+'Table 3'!F77+'Table 3'!F82+'Table 3'!F85+'Table 3'!F103+'Table 3'!F127+F52</f>
        <v>-1564705.0838616621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4"/>
  <sheetViews>
    <sheetView zoomScale="85" zoomScaleNormal="85" workbookViewId="0">
      <selection activeCell="M21" sqref="M21"/>
    </sheetView>
  </sheetViews>
  <sheetFormatPr defaultRowHeight="15.75"/>
  <cols>
    <col min="1" max="1" width="9" style="742"/>
    <col min="2" max="2" width="40.375" style="4" customWidth="1"/>
    <col min="3" max="3" width="14.625" style="4" customWidth="1"/>
    <col min="4" max="4" width="10.5" style="4" bestFit="1" customWidth="1"/>
    <col min="5" max="5" width="2.25" style="4" customWidth="1"/>
    <col min="6" max="6" width="14.375" style="4" bestFit="1" customWidth="1"/>
    <col min="7" max="7" width="9" style="4"/>
    <col min="8" max="8" width="12.375" style="4" bestFit="1" customWidth="1"/>
    <col min="9" max="16384" width="9" style="4"/>
  </cols>
  <sheetData>
    <row r="2" spans="1:8">
      <c r="A2" s="82" t="str">
        <f>'305 Inputs'!B2</f>
        <v>Washington- June 2012</v>
      </c>
      <c r="B2" s="82"/>
    </row>
    <row r="3" spans="1:8">
      <c r="A3" s="82" t="str">
        <f>'305 Inputs'!B3</f>
        <v>305 from Cognos (305 Reports)</v>
      </c>
      <c r="B3" s="82"/>
    </row>
    <row r="4" spans="1:8">
      <c r="A4" s="82" t="str">
        <f>'305 Inputs'!B4</f>
        <v>12 Months Ended June 2012</v>
      </c>
      <c r="B4" s="82"/>
      <c r="F4" s="781"/>
    </row>
    <row r="5" spans="1:8">
      <c r="A5" s="919"/>
      <c r="B5" s="942"/>
      <c r="C5" s="7"/>
      <c r="D5" s="7"/>
    </row>
    <row r="6" spans="1:8">
      <c r="A6" s="919"/>
      <c r="B6" s="7" t="s">
        <v>105</v>
      </c>
      <c r="C6" s="7"/>
      <c r="D6" s="943"/>
      <c r="F6" s="868" t="s">
        <v>10</v>
      </c>
      <c r="H6" s="4" t="s">
        <v>801</v>
      </c>
    </row>
    <row r="7" spans="1:8">
      <c r="A7" s="919"/>
      <c r="B7" s="7"/>
      <c r="C7" s="7" t="s">
        <v>235</v>
      </c>
      <c r="D7" s="943" t="s">
        <v>802</v>
      </c>
      <c r="F7" s="868" t="s">
        <v>1</v>
      </c>
      <c r="H7" s="892" t="s">
        <v>250</v>
      </c>
    </row>
    <row r="8" spans="1:8">
      <c r="A8" s="919">
        <v>24</v>
      </c>
      <c r="B8" s="939" t="s">
        <v>51</v>
      </c>
      <c r="C8" s="32">
        <f>SUMIF('305 Inputs'!$A$7:$A$45,'Hydro Deferral'!A8,'305 Inputs'!$H$7:$H$46)</f>
        <v>522722614</v>
      </c>
      <c r="D8" s="944">
        <v>5.5000000000000003E-4</v>
      </c>
      <c r="F8" s="847">
        <f>C8*D8*$H$8/366</f>
        <v>263932.07395409839</v>
      </c>
      <c r="H8" s="945">
        <f>31+31+30+31+30+31+31+29+31+30+31</f>
        <v>336</v>
      </c>
    </row>
    <row r="9" spans="1:8">
      <c r="A9" s="919" t="s">
        <v>149</v>
      </c>
      <c r="B9" s="939" t="s">
        <v>52</v>
      </c>
      <c r="C9" s="32">
        <f>SUMIF('305 Inputs'!$A$7:$A$45,'Hydro Deferral'!A9,'305 Inputs'!$H$7:$H$46)</f>
        <v>1268465</v>
      </c>
      <c r="D9" s="944">
        <v>5.5000000000000003E-4</v>
      </c>
      <c r="F9" s="847">
        <f t="shared" ref="F9:F14" si="0">C9*D9*$H$8/366</f>
        <v>640.47085245901633</v>
      </c>
      <c r="H9" s="938"/>
    </row>
    <row r="10" spans="1:8">
      <c r="A10" s="919" t="s">
        <v>157</v>
      </c>
      <c r="B10" s="939" t="s">
        <v>57</v>
      </c>
      <c r="C10" s="32">
        <f>SUMIF('305 Inputs'!$A$7:$A$45,'Hydro Deferral'!A10,'305 Inputs'!$H$7:$H$46)</f>
        <v>351175</v>
      </c>
      <c r="D10" s="944">
        <v>5.5000000000000003E-4</v>
      </c>
      <c r="F10" s="847">
        <f t="shared" si="0"/>
        <v>177.31459016393441</v>
      </c>
      <c r="H10" s="938"/>
    </row>
    <row r="11" spans="1:8">
      <c r="A11" s="919">
        <v>36</v>
      </c>
      <c r="B11" s="939" t="s">
        <v>53</v>
      </c>
      <c r="C11" s="32">
        <f>SUMIF('305 Inputs'!$A$7:$A$45,'Hydro Deferral'!A11,'305 Inputs'!$H$7:$H$46)</f>
        <v>752345612</v>
      </c>
      <c r="D11" s="944">
        <v>4.6000000000000001E-4</v>
      </c>
      <c r="F11" s="847">
        <f t="shared" si="0"/>
        <v>317711.85188721318</v>
      </c>
      <c r="H11" s="938"/>
    </row>
    <row r="12" spans="1:8">
      <c r="A12" s="919" t="s">
        <v>156</v>
      </c>
      <c r="B12" s="939" t="s">
        <v>54</v>
      </c>
      <c r="C12" s="32">
        <f>SUMIF('305 Inputs'!$A$7:$A$45,'Hydro Deferral'!A12,'305 Inputs'!$H$7:$H$46)</f>
        <v>141713341</v>
      </c>
      <c r="D12" s="944">
        <v>3.8000000000000002E-4</v>
      </c>
      <c r="F12" s="847">
        <f t="shared" si="0"/>
        <v>49437.047483278693</v>
      </c>
      <c r="H12" s="938"/>
    </row>
    <row r="13" spans="1:8">
      <c r="A13" s="919" t="s">
        <v>151</v>
      </c>
      <c r="B13" s="939" t="s">
        <v>55</v>
      </c>
      <c r="C13" s="32">
        <f>SUMIF('305 Inputs'!$A$7:$A$45,'Hydro Deferral'!A13,'305 Inputs'!$H$7:$H$46)</f>
        <v>2230059</v>
      </c>
      <c r="D13" s="944">
        <v>1.06E-3</v>
      </c>
      <c r="F13" s="847">
        <f t="shared" si="0"/>
        <v>2170.1033154098363</v>
      </c>
      <c r="H13" s="938"/>
    </row>
    <row r="14" spans="1:8">
      <c r="A14" s="919">
        <v>54</v>
      </c>
      <c r="B14" s="939" t="s">
        <v>56</v>
      </c>
      <c r="C14" s="32">
        <f>SUMIF('305 Inputs'!$A$7:$A$45,'Hydro Deferral'!A14,'305 Inputs'!$H$7:$H$46)</f>
        <v>282514</v>
      </c>
      <c r="D14" s="944">
        <v>6.7000000000000002E-4</v>
      </c>
      <c r="F14" s="847">
        <f t="shared" si="0"/>
        <v>173.76926688524588</v>
      </c>
      <c r="H14" s="938"/>
    </row>
    <row r="15" spans="1:8">
      <c r="A15" s="919" t="s">
        <v>31</v>
      </c>
      <c r="B15" s="7"/>
      <c r="C15" s="32">
        <f>SUM(C8:C14)</f>
        <v>1420913780</v>
      </c>
      <c r="D15" s="7"/>
    </row>
    <row r="16" spans="1:8">
      <c r="A16" s="919" t="s">
        <v>31</v>
      </c>
      <c r="B16" s="7" t="s">
        <v>125</v>
      </c>
      <c r="C16" s="7"/>
      <c r="D16" s="7"/>
    </row>
    <row r="17" spans="1:8">
      <c r="A17" s="919" t="s">
        <v>31</v>
      </c>
      <c r="B17" s="7"/>
      <c r="C17" s="7" t="s">
        <v>235</v>
      </c>
      <c r="D17" s="944"/>
      <c r="H17" s="938"/>
    </row>
    <row r="18" spans="1:8">
      <c r="A18" s="919">
        <v>24</v>
      </c>
      <c r="B18" s="939" t="s">
        <v>51</v>
      </c>
      <c r="C18" s="32">
        <f ca="1">SUMIF('305 Inputs'!$A$51:$A$73,'Hydro Deferral'!A18,'305 Inputs'!$H$51:$H$72)</f>
        <v>17374697</v>
      </c>
      <c r="D18" s="944">
        <v>5.5000000000000003E-4</v>
      </c>
      <c r="F18" s="847">
        <f t="shared" ref="F18:F25" ca="1" si="1">C18*D18*$H$8/366</f>
        <v>8772.7978295081975</v>
      </c>
      <c r="H18" s="938"/>
    </row>
    <row r="19" spans="1:8">
      <c r="A19" s="919" t="s">
        <v>149</v>
      </c>
      <c r="B19" s="939" t="s">
        <v>52</v>
      </c>
      <c r="C19" s="32">
        <f ca="1">SUMIF('305 Inputs'!$A$51:$A$73,'Hydro Deferral'!A19,'305 Inputs'!$H$51:$H$72)</f>
        <v>33313</v>
      </c>
      <c r="D19" s="944">
        <v>5.5000000000000003E-4</v>
      </c>
      <c r="F19" s="847">
        <f t="shared" ca="1" si="1"/>
        <v>16.820334426229508</v>
      </c>
      <c r="H19" s="938"/>
    </row>
    <row r="20" spans="1:8">
      <c r="A20" s="919" t="s">
        <v>157</v>
      </c>
      <c r="B20" s="939" t="s">
        <v>57</v>
      </c>
      <c r="C20" s="32">
        <f ca="1">SUMIF('305 Inputs'!$A$51:$A$73,'Hydro Deferral'!A20,'305 Inputs'!$H$51:$H$72)</f>
        <v>6067</v>
      </c>
      <c r="D20" s="944">
        <v>5.5000000000000003E-4</v>
      </c>
      <c r="F20" s="847">
        <f t="shared" ca="1" si="1"/>
        <v>3.063337704918033</v>
      </c>
      <c r="H20" s="938"/>
    </row>
    <row r="21" spans="1:8">
      <c r="A21" s="919">
        <v>36</v>
      </c>
      <c r="B21" s="939" t="s">
        <v>53</v>
      </c>
      <c r="C21" s="32">
        <f ca="1">SUMIF('305 Inputs'!$A$51:$A$73,'Hydro Deferral'!A21,'305 Inputs'!$H$51:$H$72)</f>
        <v>109208584</v>
      </c>
      <c r="D21" s="944">
        <v>4.6000000000000001E-4</v>
      </c>
      <c r="F21" s="847">
        <f t="shared" ca="1" si="1"/>
        <v>46118.247931803278</v>
      </c>
      <c r="H21" s="938"/>
    </row>
    <row r="22" spans="1:8">
      <c r="A22" s="919">
        <v>47</v>
      </c>
      <c r="B22" s="939" t="s">
        <v>167</v>
      </c>
      <c r="C22" s="32">
        <f ca="1">SUMIF('305 Inputs'!$A$51:$A$73,'Hydro Deferral'!A22,'305 Inputs'!$H$51:$H$72)</f>
        <v>1706000</v>
      </c>
      <c r="D22" s="944">
        <v>3.8000000000000002E-4</v>
      </c>
      <c r="F22" s="847">
        <f t="shared" ca="1" si="1"/>
        <v>595.14229508196729</v>
      </c>
      <c r="H22" s="938"/>
    </row>
    <row r="23" spans="1:8">
      <c r="A23" s="919" t="s">
        <v>155</v>
      </c>
      <c r="B23" s="939" t="s">
        <v>60</v>
      </c>
      <c r="C23" s="32">
        <f ca="1">SUMIF('305 Inputs'!$A$51:$A$73,'Hydro Deferral'!A23,'305 Inputs'!$H$51:$H$72)</f>
        <v>681024352</v>
      </c>
      <c r="D23" s="944">
        <v>3.8000000000000002E-4</v>
      </c>
      <c r="F23" s="847">
        <f t="shared" ca="1" si="1"/>
        <v>237577.01984524593</v>
      </c>
      <c r="H23" s="938"/>
    </row>
    <row r="24" spans="1:8">
      <c r="A24" s="919" t="s">
        <v>156</v>
      </c>
      <c r="B24" s="939" t="s">
        <v>54</v>
      </c>
      <c r="C24" s="32">
        <f ca="1">SUMIF('305 Inputs'!$A$51:$A$73,'Hydro Deferral'!A24,'305 Inputs'!$H$51:$H$72)</f>
        <v>0</v>
      </c>
      <c r="D24" s="944">
        <v>3.8000000000000002E-4</v>
      </c>
      <c r="F24" s="847">
        <f t="shared" ca="1" si="1"/>
        <v>0</v>
      </c>
      <c r="H24" s="938"/>
    </row>
    <row r="25" spans="1:8">
      <c r="A25" s="919" t="s">
        <v>151</v>
      </c>
      <c r="B25" s="939" t="s">
        <v>55</v>
      </c>
      <c r="C25" s="32">
        <f ca="1">SUMIF('305 Inputs'!$A$51:$A$73,'Hydro Deferral'!A25,'305 Inputs'!$H$51:$H$72)</f>
        <v>150285</v>
      </c>
      <c r="D25" s="944">
        <v>1.06E-3</v>
      </c>
      <c r="F25" s="847">
        <f t="shared" ca="1" si="1"/>
        <v>146.24455081967213</v>
      </c>
      <c r="H25" s="938"/>
    </row>
    <row r="26" spans="1:8">
      <c r="A26" s="919"/>
      <c r="B26" s="7"/>
      <c r="C26" s="32">
        <f ca="1">SUM(C18:C25)</f>
        <v>809503298</v>
      </c>
      <c r="D26" s="7"/>
    </row>
    <row r="27" spans="1:8">
      <c r="A27" s="919"/>
      <c r="B27" s="7" t="s">
        <v>128</v>
      </c>
      <c r="C27" s="7"/>
      <c r="D27" s="7"/>
    </row>
    <row r="28" spans="1:8">
      <c r="A28" s="919"/>
      <c r="B28" s="7"/>
      <c r="C28" s="7" t="s">
        <v>235</v>
      </c>
      <c r="D28" s="7"/>
    </row>
    <row r="29" spans="1:8">
      <c r="A29" s="919">
        <v>40</v>
      </c>
      <c r="B29" s="939" t="s">
        <v>58</v>
      </c>
      <c r="C29" s="32">
        <f ca="1">SUMIF('305 Inputs'!$A$77:$A$96,'Hydro Deferral'!A29,'305 Inputs'!$H$77:$H$93)</f>
        <v>146674202</v>
      </c>
      <c r="D29" s="944">
        <v>5.1000000000000004E-4</v>
      </c>
      <c r="F29" s="847">
        <f t="shared" ref="F29:F30" ca="1" si="2">C29*D29*$H$8/366</f>
        <v>68672.380477377039</v>
      </c>
      <c r="H29" s="938"/>
    </row>
    <row r="30" spans="1:8">
      <c r="A30" s="919" t="s">
        <v>158</v>
      </c>
      <c r="B30" s="939" t="s">
        <v>59</v>
      </c>
      <c r="C30" s="32">
        <f ca="1">SUMIF('305 Inputs'!$A$77:$A$96,'Hydro Deferral'!A30,'305 Inputs'!$H$77:$H$93)</f>
        <v>5321277</v>
      </c>
      <c r="D30" s="944">
        <v>5.1000000000000004E-4</v>
      </c>
      <c r="F30" s="847">
        <f t="shared" ca="1" si="2"/>
        <v>2491.4044445901641</v>
      </c>
      <c r="H30" s="938"/>
    </row>
    <row r="31" spans="1:8">
      <c r="A31" s="919"/>
      <c r="B31" s="7"/>
      <c r="C31" s="32">
        <f ca="1">SUM(C29:C30)</f>
        <v>151995479</v>
      </c>
      <c r="D31" s="7"/>
    </row>
    <row r="32" spans="1:8">
      <c r="A32" s="919"/>
      <c r="B32" s="7" t="s">
        <v>136</v>
      </c>
      <c r="C32" s="7"/>
      <c r="D32" s="7"/>
    </row>
    <row r="33" spans="1:8">
      <c r="A33" s="919"/>
      <c r="B33" s="7"/>
      <c r="C33" s="7" t="s">
        <v>235</v>
      </c>
      <c r="D33" s="7"/>
    </row>
    <row r="34" spans="1:8">
      <c r="A34" s="919">
        <v>52</v>
      </c>
      <c r="B34" s="939" t="s">
        <v>61</v>
      </c>
      <c r="C34" s="32">
        <f ca="1">SUMIF('305 Inputs'!$A$101:$A$111,'Hydro Deferral'!A34,'305 Inputs'!$H$101:$H$110)</f>
        <v>316726</v>
      </c>
      <c r="D34" s="944">
        <v>1.1000000000000001E-3</v>
      </c>
      <c r="F34" s="847">
        <f t="shared" ref="F34:F38" ca="1" si="3">C34*D34*$H$8/366</f>
        <v>319.84133770491809</v>
      </c>
      <c r="H34" s="938"/>
    </row>
    <row r="35" spans="1:8">
      <c r="A35" s="919" t="s">
        <v>795</v>
      </c>
      <c r="B35" s="939" t="s">
        <v>62</v>
      </c>
      <c r="C35" s="32">
        <f ca="1">SUMIF('305 Inputs'!$A$101:$A$111,'Hydro Deferral'!A35,'305 Inputs'!$H$101:$H$110)</f>
        <v>3282893</v>
      </c>
      <c r="D35" s="944">
        <v>5.1999999999999995E-4</v>
      </c>
      <c r="F35" s="847">
        <f t="shared" ca="1" si="3"/>
        <v>1567.177773114754</v>
      </c>
      <c r="H35" s="938"/>
    </row>
    <row r="36" spans="1:8">
      <c r="A36" s="919" t="s">
        <v>160</v>
      </c>
      <c r="B36" s="939" t="s">
        <v>63</v>
      </c>
      <c r="C36" s="32">
        <f ca="1">SUMIF('305 Inputs'!$A$101:$A$111,'Hydro Deferral'!A36,'305 Inputs'!$H$101:$H$110)</f>
        <v>1167018</v>
      </c>
      <c r="D36" s="944">
        <v>5.1999999999999995E-4</v>
      </c>
      <c r="F36" s="847">
        <f t="shared" ca="1" si="3"/>
        <v>557.10760918032781</v>
      </c>
      <c r="H36" s="938"/>
    </row>
    <row r="37" spans="1:8">
      <c r="A37" s="919">
        <v>51</v>
      </c>
      <c r="B37" s="939" t="s">
        <v>64</v>
      </c>
      <c r="C37" s="32">
        <f ca="1">SUMIF('305 Inputs'!$A$101:$A$111,'Hydro Deferral'!A37,'305 Inputs'!$H$101:$H$110)</f>
        <v>3317369</v>
      </c>
      <c r="D37" s="944">
        <v>1.5100000000000001E-3</v>
      </c>
      <c r="F37" s="847">
        <f t="shared" ca="1" si="3"/>
        <v>4598.6347973770489</v>
      </c>
      <c r="H37" s="938"/>
    </row>
    <row r="38" spans="1:8">
      <c r="A38" s="919">
        <v>57</v>
      </c>
      <c r="B38" s="939" t="s">
        <v>65</v>
      </c>
      <c r="C38" s="32">
        <f ca="1">SUMIF('305 Inputs'!$A$101:$A$111,'Hydro Deferral'!A38,'305 Inputs'!$H$101:$H$110)</f>
        <v>1960705</v>
      </c>
      <c r="D38" s="944">
        <v>9.1E-4</v>
      </c>
      <c r="F38" s="847">
        <f t="shared" ca="1" si="3"/>
        <v>1637.9922426229507</v>
      </c>
      <c r="H38" s="938"/>
    </row>
    <row r="39" spans="1:8">
      <c r="A39" s="919"/>
      <c r="B39" s="939" t="s">
        <v>766</v>
      </c>
      <c r="C39" s="32">
        <f ca="1">SUMIF('305 Inputs'!$A$101:$A$111,'Hydro Deferral'!A39,'305 Inputs'!$H$101:$H$110)</f>
        <v>0</v>
      </c>
      <c r="D39" s="944"/>
      <c r="F39" s="847"/>
      <c r="H39" s="938"/>
    </row>
    <row r="40" spans="1:8">
      <c r="A40" s="919" t="s">
        <v>31</v>
      </c>
      <c r="B40" s="7"/>
      <c r="C40" s="32">
        <f ca="1">SUM(C34:C38)</f>
        <v>10044711</v>
      </c>
      <c r="D40" s="7"/>
    </row>
    <row r="41" spans="1:8">
      <c r="A41" s="919" t="s">
        <v>31</v>
      </c>
      <c r="B41" s="7" t="s">
        <v>143</v>
      </c>
      <c r="C41" s="7"/>
      <c r="D41" s="7"/>
    </row>
    <row r="42" spans="1:8">
      <c r="A42" s="919" t="s">
        <v>31</v>
      </c>
      <c r="B42" s="7"/>
      <c r="C42" s="7" t="s">
        <v>235</v>
      </c>
      <c r="D42" s="7"/>
    </row>
    <row r="43" spans="1:8">
      <c r="A43" s="919" t="s">
        <v>161</v>
      </c>
      <c r="B43" s="7" t="s">
        <v>50</v>
      </c>
      <c r="C43" s="32">
        <f>SUMIF('305 Inputs'!$A$116:$A$144,'Hydro Deferral'!A43,'305 Inputs'!$H$116:$H$145)</f>
        <v>1071989</v>
      </c>
      <c r="D43" s="944">
        <v>1.06E-3</v>
      </c>
      <c r="F43" s="847">
        <f t="shared" ref="F43:F49" si="4">C43*D43*$H$8/366</f>
        <v>1043.1683121311476</v>
      </c>
      <c r="H43" s="938"/>
    </row>
    <row r="44" spans="1:8">
      <c r="A44" s="919">
        <v>16</v>
      </c>
      <c r="B44" s="7" t="s">
        <v>48</v>
      </c>
      <c r="C44" s="32">
        <f>SUMIF('305 Inputs'!$A$116:$A$144,'Hydro Deferral'!A44,'305 Inputs'!$H$116:$H$145)</f>
        <v>1538101036</v>
      </c>
      <c r="D44" s="944">
        <v>5.5000000000000003E-4</v>
      </c>
      <c r="F44" s="847">
        <f t="shared" si="4"/>
        <v>776614.94932459027</v>
      </c>
      <c r="H44" s="938"/>
    </row>
    <row r="45" spans="1:8">
      <c r="A45" s="919">
        <v>17</v>
      </c>
      <c r="B45" s="7" t="s">
        <v>93</v>
      </c>
      <c r="C45" s="32">
        <f>SUMIF('305 Inputs'!$A$116:$A$144,'Hydro Deferral'!A45,'305 Inputs'!$H$116:$H$145)</f>
        <v>63258258</v>
      </c>
      <c r="D45" s="944">
        <v>5.5000000000000003E-4</v>
      </c>
      <c r="F45" s="847">
        <f t="shared" si="4"/>
        <v>31940.235186885249</v>
      </c>
      <c r="H45" s="938"/>
    </row>
    <row r="46" spans="1:8">
      <c r="A46" s="919">
        <v>18</v>
      </c>
      <c r="B46" s="7" t="s">
        <v>49</v>
      </c>
      <c r="C46" s="32">
        <f>SUMIF('305 Inputs'!$A$116:$A$144,'Hydro Deferral'!A46,'305 Inputs'!$H$116:$H$145)</f>
        <v>2216109</v>
      </c>
      <c r="D46" s="944">
        <v>5.5000000000000003E-4</v>
      </c>
      <c r="F46" s="847">
        <f t="shared" si="4"/>
        <v>1118.9533967213115</v>
      </c>
      <c r="H46" s="938"/>
    </row>
    <row r="47" spans="1:8">
      <c r="A47" s="919" t="s">
        <v>162</v>
      </c>
      <c r="B47" s="7" t="s">
        <v>164</v>
      </c>
      <c r="C47" s="32">
        <f>SUMIF('305 Inputs'!$A$116:$A$144,'Hydro Deferral'!A47,'305 Inputs'!$H$116:$H$145)</f>
        <v>433385</v>
      </c>
      <c r="D47" s="944">
        <v>5.5000000000000003E-4</v>
      </c>
      <c r="F47" s="847">
        <f t="shared" si="4"/>
        <v>218.82390163934426</v>
      </c>
      <c r="H47" s="938"/>
    </row>
    <row r="48" spans="1:8">
      <c r="A48" s="919">
        <v>135</v>
      </c>
      <c r="B48" s="7" t="s">
        <v>252</v>
      </c>
      <c r="C48" s="32">
        <f>SUMIF('305 Inputs'!$A$116:$A$144,'Hydro Deferral'!A48,'305 Inputs'!$H$116:$H$145)</f>
        <v>655942</v>
      </c>
      <c r="D48" s="944">
        <v>5.5000000000000003E-4</v>
      </c>
      <c r="F48" s="847">
        <f t="shared" si="4"/>
        <v>331.19694426229512</v>
      </c>
      <c r="H48" s="938"/>
    </row>
    <row r="49" spans="1:8">
      <c r="A49" s="742">
        <v>24</v>
      </c>
      <c r="B49" s="7" t="s">
        <v>763</v>
      </c>
      <c r="C49" s="32">
        <f>SUMIF('305 Inputs'!$A$116:$A$144,SBC!A49,'305 Inputs'!$H$116:$H$145)</f>
        <v>1020058</v>
      </c>
      <c r="D49" s="944">
        <v>5.5000000000000003E-4</v>
      </c>
      <c r="F49" s="847">
        <f t="shared" si="4"/>
        <v>515.04567868852462</v>
      </c>
      <c r="H49" s="938"/>
    </row>
    <row r="50" spans="1:8">
      <c r="A50" s="919"/>
      <c r="B50" s="7"/>
      <c r="C50" s="32">
        <f>SUM(C43:C49)</f>
        <v>1606756777</v>
      </c>
      <c r="D50" s="7"/>
    </row>
    <row r="51" spans="1:8">
      <c r="A51" s="919"/>
      <c r="B51" s="7"/>
      <c r="C51" s="7"/>
      <c r="D51" s="7"/>
    </row>
    <row r="52" spans="1:8">
      <c r="A52" s="919"/>
      <c r="B52" s="7"/>
      <c r="C52" s="32">
        <f ca="1">C50+C40+C31+C26+C15</f>
        <v>3999214045</v>
      </c>
      <c r="D52" s="7"/>
      <c r="F52" s="940">
        <f ca="1">SUM(F8:F49)</f>
        <v>1819098.8789009841</v>
      </c>
    </row>
    <row r="53" spans="1:8">
      <c r="A53" s="919"/>
      <c r="B53" s="7"/>
      <c r="C53" s="7"/>
      <c r="D53" s="7"/>
    </row>
    <row r="54" spans="1:8">
      <c r="B54" s="4" t="s">
        <v>253</v>
      </c>
      <c r="C54" s="781">
        <f ca="1">'Table 2'!G140-'Table 2'!G36-'Table 2'!G66-'Table 2'!G95-'Table 2'!G115-'Table 2'!G135-'Table 2'!G113-C52</f>
        <v>0</v>
      </c>
      <c r="F54" s="847">
        <f ca="1">'Table 3'!G140+F52</f>
        <v>1819098.8789009841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9"/>
  <sheetViews>
    <sheetView workbookViewId="0">
      <selection activeCell="M21" sqref="M21"/>
    </sheetView>
  </sheetViews>
  <sheetFormatPr defaultColWidth="9" defaultRowHeight="15.75"/>
  <cols>
    <col min="1" max="1" width="25.5" style="4" bestFit="1" customWidth="1"/>
    <col min="2" max="2" width="13.25" style="941" bestFit="1" customWidth="1"/>
    <col min="3" max="3" width="10.125" style="4" bestFit="1" customWidth="1"/>
    <col min="4" max="4" width="11" style="4" bestFit="1" customWidth="1"/>
    <col min="5" max="5" width="14.875" style="4" bestFit="1" customWidth="1"/>
    <col min="6" max="6" width="10.125" style="4" bestFit="1" customWidth="1"/>
    <col min="7" max="9" width="9.125" style="4" bestFit="1" customWidth="1"/>
    <col min="10" max="16384" width="9" style="4"/>
  </cols>
  <sheetData>
    <row r="2" spans="1:13"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3">
      <c r="A3" s="1951" t="s">
        <v>804</v>
      </c>
      <c r="B3" s="1952"/>
    </row>
    <row r="4" spans="1:13">
      <c r="A4" s="949" t="s">
        <v>698</v>
      </c>
      <c r="B4" s="950">
        <f ca="1">SUMIF('305 Inputs'!$B$7:$B$146,"=smud",'305 Inputs'!$I$7:$I$142)</f>
        <v>352618.49</v>
      </c>
      <c r="E4" s="951"/>
    </row>
    <row r="5" spans="1:13">
      <c r="A5" s="949" t="s">
        <v>241</v>
      </c>
      <c r="B5" s="950">
        <f ca="1">SUMIF('305 Inputs'!$B$7:$B$146,"=acq",'305 Inputs'!$I$7:$I$142)</f>
        <v>-1982102.8</v>
      </c>
      <c r="E5" s="951"/>
    </row>
    <row r="6" spans="1:13">
      <c r="A6" s="949" t="s">
        <v>805</v>
      </c>
      <c r="B6" s="950">
        <f ca="1">SUMIF('305 Inputs'!$B$7:$B$146,"=bpa",'305 Inputs'!$I$7:$I$142)</f>
        <v>521051.32</v>
      </c>
      <c r="C6" s="657"/>
      <c r="D6" s="952"/>
      <c r="E6" s="953"/>
      <c r="F6" s="657"/>
      <c r="G6" s="952"/>
      <c r="H6" s="847"/>
      <c r="I6" s="657"/>
      <c r="J6" s="954"/>
      <c r="K6" s="955"/>
      <c r="L6" s="955"/>
      <c r="M6" s="955"/>
    </row>
    <row r="7" spans="1:13">
      <c r="A7" s="949" t="s">
        <v>165</v>
      </c>
      <c r="B7" s="950">
        <f ca="1">SUMIF('305 Inputs'!$B$7:$B$146,"=cent",'305 Inputs'!$I$7:$I$142)</f>
        <v>0.5</v>
      </c>
      <c r="C7" s="657"/>
      <c r="D7" s="952"/>
      <c r="E7" s="953"/>
      <c r="F7" s="657"/>
      <c r="G7" s="952"/>
      <c r="H7" s="847"/>
      <c r="I7" s="657"/>
      <c r="J7" s="954"/>
      <c r="K7" s="955"/>
      <c r="L7" s="955"/>
      <c r="M7" s="955"/>
    </row>
    <row r="8" spans="1:13">
      <c r="A8" s="949" t="s">
        <v>679</v>
      </c>
      <c r="B8" s="950">
        <f ca="1">SUMIF('305 Inputs'!$B$7:$B$146,"=def",'305 Inputs'!$I$7:$I$142)</f>
        <v>-3000000</v>
      </c>
      <c r="C8" s="657"/>
      <c r="D8" s="952"/>
      <c r="E8" s="953"/>
      <c r="F8" s="657"/>
      <c r="G8" s="952"/>
      <c r="H8" s="847"/>
      <c r="I8" s="657"/>
      <c r="J8" s="954"/>
      <c r="K8" s="955"/>
      <c r="L8" s="955"/>
      <c r="M8" s="955"/>
    </row>
    <row r="9" spans="1:13">
      <c r="A9" s="949" t="s">
        <v>726</v>
      </c>
      <c r="B9" s="950">
        <f ca="1">SUMIF('305 Inputs'!$B$7:$B$146,"=rev",'305 Inputs'!$I$7:$I$142)</f>
        <v>-11401101.760000002</v>
      </c>
      <c r="C9" s="657"/>
      <c r="D9" s="952"/>
      <c r="E9" s="953"/>
      <c r="F9" s="657"/>
      <c r="G9" s="952"/>
      <c r="H9" s="847"/>
      <c r="I9" s="657"/>
      <c r="J9" s="954"/>
      <c r="K9" s="955"/>
      <c r="L9" s="955"/>
      <c r="M9" s="955"/>
    </row>
    <row r="10" spans="1:13">
      <c r="A10" s="949" t="s">
        <v>765</v>
      </c>
      <c r="B10" s="950">
        <f ca="1">SUMIF('305 Inputs'!$B$7:$B$146,"=irr",'305 Inputs'!$I$7:$I$142)</f>
        <v>13900</v>
      </c>
      <c r="C10" s="657"/>
      <c r="D10" s="952"/>
      <c r="E10" s="953"/>
      <c r="F10" s="657"/>
      <c r="G10" s="952"/>
      <c r="H10" s="847"/>
      <c r="I10" s="657"/>
      <c r="J10" s="954"/>
      <c r="K10" s="955"/>
      <c r="L10" s="955"/>
      <c r="M10" s="955"/>
    </row>
    <row r="11" spans="1:13">
      <c r="A11" s="949" t="s">
        <v>202</v>
      </c>
      <c r="B11" s="950">
        <f ca="1">SBC!F52</f>
        <v>8767311.3487500008</v>
      </c>
      <c r="C11" s="657"/>
      <c r="D11" s="952"/>
      <c r="E11" s="953"/>
      <c r="F11" s="657"/>
      <c r="G11" s="952"/>
      <c r="H11" s="847"/>
      <c r="I11" s="657"/>
      <c r="J11" s="954"/>
      <c r="K11" s="955"/>
      <c r="L11" s="955"/>
      <c r="M11" s="955"/>
    </row>
    <row r="12" spans="1:13">
      <c r="A12" s="949" t="s">
        <v>775</v>
      </c>
      <c r="B12" s="950">
        <f ca="1">SUMIF('305 Inputs'!$B$7:$B$146,"=dsm",'305 Inputs'!$I$7:$I$142)</f>
        <v>4415957</v>
      </c>
      <c r="C12" s="657"/>
      <c r="D12" s="952"/>
      <c r="E12" s="953"/>
      <c r="F12" s="657"/>
      <c r="G12" s="952"/>
      <c r="H12" s="847"/>
      <c r="I12" s="657"/>
      <c r="J12" s="954"/>
      <c r="K12" s="955"/>
      <c r="L12" s="955"/>
      <c r="M12" s="955"/>
    </row>
    <row r="13" spans="1:13">
      <c r="A13" s="949" t="s">
        <v>774</v>
      </c>
      <c r="B13" s="950">
        <f ca="1">SUMIF('305 Inputs'!$B$7:$B$146,"=blue",'305 Inputs'!$I$7:$I$142)</f>
        <v>18699.53</v>
      </c>
      <c r="C13" s="657"/>
      <c r="D13" s="952"/>
      <c r="E13" s="953"/>
      <c r="F13" s="657"/>
      <c r="G13" s="952"/>
      <c r="H13" s="847"/>
      <c r="I13" s="657"/>
      <c r="J13" s="954"/>
      <c r="K13" s="955"/>
      <c r="L13" s="955"/>
      <c r="M13" s="955"/>
    </row>
    <row r="14" spans="1:13">
      <c r="C14" s="657"/>
      <c r="D14" s="952"/>
      <c r="E14" s="953"/>
      <c r="F14" s="657"/>
      <c r="G14" s="952"/>
      <c r="H14" s="847"/>
      <c r="I14" s="657"/>
      <c r="J14" s="952"/>
      <c r="K14" s="955"/>
      <c r="L14" s="955"/>
      <c r="M14" s="955"/>
    </row>
    <row r="15" spans="1:13">
      <c r="E15" s="781"/>
    </row>
    <row r="16" spans="1:13">
      <c r="E16" s="781"/>
    </row>
    <row r="17" spans="5:5">
      <c r="E17" s="781"/>
    </row>
    <row r="19" spans="5:5">
      <c r="E19" s="781"/>
    </row>
  </sheetData>
  <mergeCells count="1">
    <mergeCell ref="A3:B3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R99"/>
  <sheetViews>
    <sheetView workbookViewId="0">
      <pane xSplit="2" ySplit="7" topLeftCell="C8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RowHeight="15.75"/>
  <cols>
    <col min="1" max="1" width="9" style="53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1" spans="1:18"/>
    <row r="2" spans="1:18">
      <c r="A2" s="82" t="e">
        <f>#REF!</f>
        <v>#REF!</v>
      </c>
      <c r="B2" s="82"/>
      <c r="C2" s="3" t="s">
        <v>176</v>
      </c>
    </row>
    <row r="3" spans="1:18">
      <c r="A3" s="82" t="e">
        <f>#REF!</f>
        <v>#REF!</v>
      </c>
      <c r="B3" s="82"/>
    </row>
    <row r="4" spans="1:18">
      <c r="A4" s="82" t="e">
        <f>#REF!</f>
        <v>#REF!</v>
      </c>
      <c r="B4" s="82"/>
    </row>
    <row r="5" spans="1:18">
      <c r="B5" s="57" t="s">
        <v>249</v>
      </c>
      <c r="C5" s="58"/>
      <c r="D5" s="58"/>
      <c r="E5" s="58"/>
      <c r="F5" s="58"/>
      <c r="G5" s="83"/>
      <c r="H5" s="58"/>
      <c r="I5" s="58"/>
      <c r="J5" s="58"/>
      <c r="K5" s="58"/>
      <c r="L5" s="58"/>
      <c r="M5" s="58"/>
      <c r="N5" s="58"/>
      <c r="O5" s="66"/>
      <c r="P5" s="63" t="s">
        <v>73</v>
      </c>
    </row>
    <row r="6" spans="1:18">
      <c r="B6" s="3" t="s">
        <v>105</v>
      </c>
      <c r="G6" s="63"/>
      <c r="O6" s="81"/>
      <c r="P6" s="63" t="s">
        <v>250</v>
      </c>
      <c r="R6" s="19" t="s">
        <v>10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81" t="s">
        <v>124</v>
      </c>
      <c r="P7" s="89">
        <v>39260</v>
      </c>
      <c r="R7" s="19" t="s">
        <v>1</v>
      </c>
    </row>
    <row r="8" spans="1:18">
      <c r="A8" s="53">
        <v>24</v>
      </c>
      <c r="B8" s="3" t="s">
        <v>222</v>
      </c>
      <c r="C8" s="3">
        <v>4169692</v>
      </c>
      <c r="D8" s="3">
        <v>3723998</v>
      </c>
      <c r="E8" s="3">
        <v>3198923</v>
      </c>
      <c r="F8" s="3">
        <v>2755668</v>
      </c>
      <c r="G8" s="69">
        <v>3046052</v>
      </c>
      <c r="H8" s="3">
        <v>3335761</v>
      </c>
      <c r="I8" s="68">
        <v>3808717</v>
      </c>
      <c r="J8" s="68">
        <v>3873681</v>
      </c>
      <c r="K8" s="68">
        <v>3604333</v>
      </c>
      <c r="L8" s="68">
        <v>3283809</v>
      </c>
      <c r="M8" s="68">
        <v>3142167</v>
      </c>
      <c r="N8" s="68">
        <v>3774631</v>
      </c>
      <c r="O8" s="69">
        <f t="shared" ref="O8:O31" si="0">SUM(C8:N8)</f>
        <v>41717432</v>
      </c>
      <c r="P8" s="73">
        <v>1.24E-3</v>
      </c>
      <c r="R8" s="84">
        <f t="shared" ref="R8:R15" si="1">P8*O8</f>
        <v>51729.615680000003</v>
      </c>
    </row>
    <row r="9" spans="1:18">
      <c r="A9" s="53" t="s">
        <v>149</v>
      </c>
      <c r="B9" s="3" t="s">
        <v>231</v>
      </c>
      <c r="C9" s="3">
        <v>21238</v>
      </c>
      <c r="D9" s="3">
        <v>21238</v>
      </c>
      <c r="E9" s="3">
        <v>20942</v>
      </c>
      <c r="F9" s="3">
        <v>18280</v>
      </c>
      <c r="G9" s="69">
        <v>31065</v>
      </c>
      <c r="H9" s="3">
        <v>18280</v>
      </c>
      <c r="I9" s="15">
        <v>18281</v>
      </c>
      <c r="J9" s="15">
        <v>5495</v>
      </c>
      <c r="K9" s="15">
        <v>18280</v>
      </c>
      <c r="L9" s="15">
        <v>18280</v>
      </c>
      <c r="M9" s="15">
        <v>18280</v>
      </c>
      <c r="N9" s="15">
        <v>18280</v>
      </c>
      <c r="O9" s="69">
        <f t="shared" si="0"/>
        <v>227939</v>
      </c>
      <c r="P9" s="73">
        <v>1.24E-3</v>
      </c>
      <c r="R9" s="84">
        <f t="shared" si="1"/>
        <v>282.64436000000001</v>
      </c>
    </row>
    <row r="10" spans="1:18">
      <c r="A10" s="53" t="s">
        <v>157</v>
      </c>
      <c r="B10" s="3" t="s">
        <v>223</v>
      </c>
      <c r="C10" s="3">
        <v>1590</v>
      </c>
      <c r="D10" s="3">
        <v>2919</v>
      </c>
      <c r="E10" s="3">
        <v>11084</v>
      </c>
      <c r="F10" s="3">
        <v>174819</v>
      </c>
      <c r="G10" s="69">
        <v>139933</v>
      </c>
      <c r="H10" s="3">
        <v>22495</v>
      </c>
      <c r="I10" s="15">
        <v>14785</v>
      </c>
      <c r="J10" s="15">
        <v>13030</v>
      </c>
      <c r="K10" s="15">
        <v>-3559</v>
      </c>
      <c r="L10" s="15">
        <v>11843</v>
      </c>
      <c r="M10" s="15">
        <v>31064</v>
      </c>
      <c r="N10" s="15">
        <v>-15272</v>
      </c>
      <c r="O10" s="69">
        <f t="shared" si="0"/>
        <v>404731</v>
      </c>
      <c r="P10" s="73">
        <v>1.24E-3</v>
      </c>
      <c r="R10" s="84">
        <f t="shared" si="1"/>
        <v>501.86644000000001</v>
      </c>
    </row>
    <row r="11" spans="1:18">
      <c r="A11" s="53">
        <v>24</v>
      </c>
      <c r="B11" s="3" t="s">
        <v>106</v>
      </c>
      <c r="C11" s="69">
        <v>42970072</v>
      </c>
      <c r="D11" s="69">
        <v>42492319</v>
      </c>
      <c r="E11" s="69">
        <v>36262938</v>
      </c>
      <c r="F11" s="69">
        <v>33230542</v>
      </c>
      <c r="G11" s="69">
        <v>34869575</v>
      </c>
      <c r="H11" s="69">
        <v>36341153</v>
      </c>
      <c r="I11" s="15">
        <v>40445704</v>
      </c>
      <c r="J11" s="15">
        <v>44523686</v>
      </c>
      <c r="K11" s="15">
        <v>39679186</v>
      </c>
      <c r="L11" s="15">
        <v>35221083</v>
      </c>
      <c r="M11" s="15">
        <v>35809463</v>
      </c>
      <c r="N11" s="15">
        <v>43110158</v>
      </c>
      <c r="O11" s="69">
        <f t="shared" si="0"/>
        <v>464955879</v>
      </c>
      <c r="P11" s="73">
        <v>1.24E-3</v>
      </c>
      <c r="R11" s="84">
        <f t="shared" si="1"/>
        <v>576545.28995999997</v>
      </c>
    </row>
    <row r="12" spans="1:18">
      <c r="A12" s="53" t="s">
        <v>149</v>
      </c>
      <c r="B12" s="3" t="s">
        <v>107</v>
      </c>
      <c r="C12" s="69">
        <v>101764</v>
      </c>
      <c r="D12" s="69">
        <v>100304</v>
      </c>
      <c r="E12" s="69">
        <v>101677</v>
      </c>
      <c r="F12" s="69">
        <v>100074</v>
      </c>
      <c r="G12" s="69">
        <v>101098</v>
      </c>
      <c r="H12" s="69">
        <v>101728</v>
      </c>
      <c r="I12" s="15">
        <v>100888</v>
      </c>
      <c r="J12" s="15">
        <v>100882</v>
      </c>
      <c r="K12" s="15">
        <v>100000</v>
      </c>
      <c r="L12" s="15">
        <v>100094</v>
      </c>
      <c r="M12" s="15">
        <v>101670</v>
      </c>
      <c r="N12" s="15">
        <v>100935</v>
      </c>
      <c r="O12" s="69">
        <f t="shared" si="0"/>
        <v>1211114</v>
      </c>
      <c r="P12" s="73">
        <v>1.24E-3</v>
      </c>
      <c r="R12" s="84">
        <f t="shared" si="1"/>
        <v>1501.7813599999999</v>
      </c>
    </row>
    <row r="13" spans="1:18">
      <c r="A13" s="53">
        <v>36</v>
      </c>
      <c r="B13" s="3" t="s">
        <v>232</v>
      </c>
      <c r="C13" s="3">
        <v>7139320</v>
      </c>
      <c r="D13" s="3">
        <v>6651020</v>
      </c>
      <c r="E13" s="3">
        <v>5949180</v>
      </c>
      <c r="F13" s="3">
        <v>5427928</v>
      </c>
      <c r="G13" s="69">
        <v>5820260</v>
      </c>
      <c r="H13" s="3">
        <v>10710241</v>
      </c>
      <c r="I13" s="15">
        <v>6874968</v>
      </c>
      <c r="J13" s="15">
        <v>6866625</v>
      </c>
      <c r="K13" s="15">
        <v>7519899</v>
      </c>
      <c r="L13" s="15">
        <v>8709680</v>
      </c>
      <c r="M13" s="15">
        <v>6276100</v>
      </c>
      <c r="N13" s="15">
        <v>8286800</v>
      </c>
      <c r="O13" s="69">
        <f t="shared" si="0"/>
        <v>86232021</v>
      </c>
      <c r="P13" s="73">
        <v>1.0200000000000001E-3</v>
      </c>
      <c r="R13" s="84">
        <f t="shared" si="1"/>
        <v>87956.661420000004</v>
      </c>
    </row>
    <row r="14" spans="1:18">
      <c r="A14" s="53">
        <v>36</v>
      </c>
      <c r="B14" s="3" t="s">
        <v>108</v>
      </c>
      <c r="C14" s="69">
        <v>59368941</v>
      </c>
      <c r="D14" s="69">
        <v>56815580</v>
      </c>
      <c r="E14" s="69">
        <v>52729103</v>
      </c>
      <c r="F14" s="69">
        <v>48314509</v>
      </c>
      <c r="G14" s="69">
        <v>49936076</v>
      </c>
      <c r="H14" s="69">
        <v>46891727</v>
      </c>
      <c r="I14" s="15">
        <v>55644603</v>
      </c>
      <c r="J14" s="15">
        <v>59342604</v>
      </c>
      <c r="K14" s="15">
        <v>59603339</v>
      </c>
      <c r="L14" s="15">
        <v>65055503</v>
      </c>
      <c r="M14" s="15">
        <v>59222854</v>
      </c>
      <c r="N14" s="15">
        <v>61989884</v>
      </c>
      <c r="O14" s="69">
        <f t="shared" si="0"/>
        <v>674914723</v>
      </c>
      <c r="P14" s="73">
        <v>1.0200000000000001E-3</v>
      </c>
      <c r="R14" s="84">
        <f t="shared" si="1"/>
        <v>688413.01746</v>
      </c>
    </row>
    <row r="15" spans="1:18">
      <c r="A15" s="53" t="s">
        <v>156</v>
      </c>
      <c r="B15" s="3" t="s">
        <v>109</v>
      </c>
      <c r="C15" s="69">
        <v>14031760</v>
      </c>
      <c r="D15" s="69">
        <v>12105060</v>
      </c>
      <c r="E15" s="69">
        <v>12596320</v>
      </c>
      <c r="F15" s="69">
        <v>11333660</v>
      </c>
      <c r="G15" s="69">
        <v>11389980</v>
      </c>
      <c r="H15" s="69">
        <v>11786660</v>
      </c>
      <c r="I15" s="15">
        <v>12614402</v>
      </c>
      <c r="J15" s="15">
        <v>13075400</v>
      </c>
      <c r="K15" s="15">
        <v>13838880</v>
      </c>
      <c r="L15" s="15">
        <v>14709860</v>
      </c>
      <c r="M15" s="15">
        <v>12447520</v>
      </c>
      <c r="N15" s="15">
        <v>13113320</v>
      </c>
      <c r="O15" s="69">
        <f t="shared" si="0"/>
        <v>153042822</v>
      </c>
      <c r="P15" s="73">
        <v>8.3000000000000001E-4</v>
      </c>
      <c r="R15" s="84">
        <f t="shared" si="1"/>
        <v>127025.54226</v>
      </c>
    </row>
    <row r="16" spans="1:18">
      <c r="B16" s="3" t="s">
        <v>110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69">
        <f t="shared" si="0"/>
        <v>0</v>
      </c>
    </row>
    <row r="17" spans="1:18">
      <c r="B17" s="3" t="s">
        <v>111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69">
        <f t="shared" si="0"/>
        <v>0</v>
      </c>
    </row>
    <row r="18" spans="1:18">
      <c r="B18" s="3" t="s">
        <v>112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69">
        <f t="shared" si="0"/>
        <v>0</v>
      </c>
    </row>
    <row r="19" spans="1:18">
      <c r="B19" s="3" t="s">
        <v>113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69">
        <f t="shared" si="0"/>
        <v>0</v>
      </c>
    </row>
    <row r="20" spans="1:18">
      <c r="B20" s="3" t="s">
        <v>114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69">
        <f t="shared" si="0"/>
        <v>0</v>
      </c>
    </row>
    <row r="21" spans="1:18">
      <c r="A21" s="53" t="s">
        <v>31</v>
      </c>
      <c r="B21" s="3" t="s">
        <v>115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69">
        <f t="shared" si="0"/>
        <v>0</v>
      </c>
    </row>
    <row r="22" spans="1:18">
      <c r="A22" s="53" t="s">
        <v>31</v>
      </c>
      <c r="B22" s="3" t="s">
        <v>205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69">
        <f t="shared" si="0"/>
        <v>0</v>
      </c>
    </row>
    <row r="23" spans="1:18">
      <c r="B23" s="54" t="s">
        <v>245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69">
        <f t="shared" si="0"/>
        <v>0</v>
      </c>
    </row>
    <row r="24" spans="1:18">
      <c r="A24" s="53">
        <v>135</v>
      </c>
      <c r="B24" s="3" t="s">
        <v>217</v>
      </c>
      <c r="C24" s="69">
        <v>2307</v>
      </c>
      <c r="D24" s="69">
        <v>1428</v>
      </c>
      <c r="E24" s="3">
        <v>140</v>
      </c>
      <c r="F24" s="3">
        <v>0</v>
      </c>
      <c r="G24" s="3">
        <v>0</v>
      </c>
      <c r="H24" s="3">
        <v>0</v>
      </c>
      <c r="I24" s="15">
        <v>0</v>
      </c>
      <c r="J24" s="15">
        <v>0</v>
      </c>
      <c r="K24" s="15">
        <v>0</v>
      </c>
      <c r="L24" s="15">
        <v>18</v>
      </c>
      <c r="M24" s="15">
        <v>0</v>
      </c>
      <c r="N24" s="15">
        <v>1232</v>
      </c>
      <c r="O24" s="69">
        <f t="shared" si="0"/>
        <v>5125</v>
      </c>
      <c r="P24" s="73">
        <v>1.24E-3</v>
      </c>
      <c r="R24" s="84">
        <f>P24*O24</f>
        <v>6.3550000000000004</v>
      </c>
    </row>
    <row r="25" spans="1:18">
      <c r="A25" s="53" t="s">
        <v>151</v>
      </c>
      <c r="B25" s="3" t="s">
        <v>116</v>
      </c>
      <c r="C25" s="69">
        <v>135621</v>
      </c>
      <c r="D25" s="69">
        <v>152479</v>
      </c>
      <c r="E25" s="69">
        <v>143101</v>
      </c>
      <c r="F25" s="69">
        <v>144390</v>
      </c>
      <c r="G25" s="69">
        <v>147368</v>
      </c>
      <c r="H25" s="69">
        <v>125859</v>
      </c>
      <c r="I25" s="15">
        <v>142775</v>
      </c>
      <c r="J25" s="15">
        <v>145842</v>
      </c>
      <c r="K25" s="15">
        <v>135813</v>
      </c>
      <c r="L25" s="15">
        <v>146542</v>
      </c>
      <c r="M25" s="15">
        <v>137092</v>
      </c>
      <c r="N25" s="15">
        <v>143598</v>
      </c>
      <c r="O25" s="69">
        <f t="shared" si="0"/>
        <v>1700480</v>
      </c>
      <c r="P25" s="73">
        <v>1.09E-3</v>
      </c>
      <c r="R25" s="84">
        <f>P25*O25</f>
        <v>1853.5232000000001</v>
      </c>
    </row>
    <row r="26" spans="1:18">
      <c r="A26" s="53" t="s">
        <v>151</v>
      </c>
      <c r="B26" s="3" t="s">
        <v>230</v>
      </c>
      <c r="C26" s="3">
        <v>56080</v>
      </c>
      <c r="D26" s="3">
        <v>54964</v>
      </c>
      <c r="E26" s="3">
        <v>55214</v>
      </c>
      <c r="F26" s="3">
        <v>54647</v>
      </c>
      <c r="G26" s="69">
        <v>54911</v>
      </c>
      <c r="H26" s="3">
        <v>55184</v>
      </c>
      <c r="I26" s="15">
        <v>53677</v>
      </c>
      <c r="J26" s="15">
        <v>53325</v>
      </c>
      <c r="K26" s="15">
        <v>52348</v>
      </c>
      <c r="L26" s="15">
        <v>55316</v>
      </c>
      <c r="M26" s="15">
        <v>51552</v>
      </c>
      <c r="N26" s="15">
        <v>52753</v>
      </c>
      <c r="O26" s="69">
        <f t="shared" si="0"/>
        <v>649971</v>
      </c>
      <c r="P26" s="73">
        <v>1.09E-3</v>
      </c>
      <c r="R26" s="84">
        <f>P26*O26</f>
        <v>708.46839</v>
      </c>
    </row>
    <row r="27" spans="1:18">
      <c r="A27" s="53">
        <v>54</v>
      </c>
      <c r="B27" s="3" t="s">
        <v>117</v>
      </c>
      <c r="C27" s="69">
        <v>13222</v>
      </c>
      <c r="D27" s="69">
        <v>2552</v>
      </c>
      <c r="E27" s="69">
        <v>15473</v>
      </c>
      <c r="F27" s="69">
        <v>20107</v>
      </c>
      <c r="G27" s="69">
        <v>16713</v>
      </c>
      <c r="H27" s="69">
        <v>13439</v>
      </c>
      <c r="I27" s="15">
        <v>23259</v>
      </c>
      <c r="J27" s="15">
        <v>16201</v>
      </c>
      <c r="K27" s="15">
        <v>14873</v>
      </c>
      <c r="L27" s="15">
        <v>38831</v>
      </c>
      <c r="M27" s="15">
        <v>31315</v>
      </c>
      <c r="N27" s="15">
        <v>21266</v>
      </c>
      <c r="O27" s="69">
        <f t="shared" si="0"/>
        <v>227251</v>
      </c>
      <c r="P27" s="73">
        <v>1.48E-3</v>
      </c>
      <c r="R27" s="84">
        <f>P27*O27</f>
        <v>336.33148</v>
      </c>
    </row>
    <row r="28" spans="1:18">
      <c r="B28" s="3" t="s">
        <v>118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69">
        <f t="shared" si="0"/>
        <v>0</v>
      </c>
    </row>
    <row r="29" spans="1:18">
      <c r="B29" s="3" t="s">
        <v>119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69">
        <f t="shared" si="0"/>
        <v>0</v>
      </c>
    </row>
    <row r="30" spans="1:18">
      <c r="B30" s="3" t="s">
        <v>224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69">
        <f t="shared" si="0"/>
        <v>0</v>
      </c>
    </row>
    <row r="31" spans="1:18">
      <c r="B31" s="3" t="s">
        <v>227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69">
        <f t="shared" si="0"/>
        <v>0</v>
      </c>
    </row>
    <row r="32" spans="1:18">
      <c r="A32" s="53" t="s">
        <v>31</v>
      </c>
      <c r="B32" s="3" t="s">
        <v>122</v>
      </c>
    </row>
    <row r="33" spans="1:18">
      <c r="A33" s="53" t="s">
        <v>31</v>
      </c>
      <c r="C33" s="69">
        <f t="shared" ref="C33:O33" si="2">SUM(C8:C31)</f>
        <v>128011607</v>
      </c>
      <c r="D33" s="69">
        <f t="shared" si="2"/>
        <v>122123861</v>
      </c>
      <c r="E33" s="69">
        <f t="shared" si="2"/>
        <v>111084095</v>
      </c>
      <c r="F33" s="69">
        <f t="shared" si="2"/>
        <v>101574624</v>
      </c>
      <c r="G33" s="69">
        <f t="shared" si="2"/>
        <v>105553031</v>
      </c>
      <c r="H33" s="69">
        <f t="shared" si="2"/>
        <v>109402527</v>
      </c>
      <c r="I33" s="69">
        <f t="shared" si="2"/>
        <v>119742059</v>
      </c>
      <c r="J33" s="69">
        <f t="shared" si="2"/>
        <v>128016771</v>
      </c>
      <c r="K33" s="69">
        <f t="shared" si="2"/>
        <v>124563392</v>
      </c>
      <c r="L33" s="69">
        <f t="shared" si="2"/>
        <v>127350859</v>
      </c>
      <c r="M33" s="69">
        <f t="shared" si="2"/>
        <v>117269077</v>
      </c>
      <c r="N33" s="69">
        <f t="shared" si="2"/>
        <v>130597585</v>
      </c>
      <c r="O33" s="69">
        <f t="shared" si="2"/>
        <v>1425289488</v>
      </c>
    </row>
    <row r="34" spans="1:18">
      <c r="A34" s="53" t="s">
        <v>31</v>
      </c>
      <c r="B34" s="3" t="s">
        <v>125</v>
      </c>
    </row>
    <row r="35" spans="1:18">
      <c r="A35" s="53" t="s">
        <v>31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124</v>
      </c>
      <c r="P35" s="73"/>
    </row>
    <row r="36" spans="1:18">
      <c r="A36" s="53">
        <v>24</v>
      </c>
      <c r="B36" s="3" t="s">
        <v>222</v>
      </c>
      <c r="C36" s="71">
        <v>245856</v>
      </c>
      <c r="D36" s="68">
        <v>237043</v>
      </c>
      <c r="E36" s="68">
        <v>190545</v>
      </c>
      <c r="F36" s="68">
        <v>164203</v>
      </c>
      <c r="G36" s="68">
        <v>178325</v>
      </c>
      <c r="H36" s="68">
        <v>215598</v>
      </c>
      <c r="I36" s="68">
        <v>293514</v>
      </c>
      <c r="J36" s="68">
        <v>307172</v>
      </c>
      <c r="K36" s="68">
        <v>526995</v>
      </c>
      <c r="L36" s="68">
        <v>447110</v>
      </c>
      <c r="M36" s="68">
        <v>227293</v>
      </c>
      <c r="N36" s="68">
        <v>220660</v>
      </c>
      <c r="O36" s="69">
        <f t="shared" ref="O36:O48" si="3">SUM(C36:N36)</f>
        <v>3254314</v>
      </c>
      <c r="P36" s="73">
        <v>1.24E-3</v>
      </c>
      <c r="R36" s="84">
        <f t="shared" ref="R36:R44" si="4">P36*O36</f>
        <v>4035.3493600000002</v>
      </c>
    </row>
    <row r="37" spans="1:18">
      <c r="A37" s="53" t="s">
        <v>157</v>
      </c>
      <c r="B37" s="3" t="s">
        <v>223</v>
      </c>
      <c r="C37" s="72">
        <v>96</v>
      </c>
      <c r="D37" s="15">
        <v>-84</v>
      </c>
      <c r="E37" s="15">
        <v>545</v>
      </c>
      <c r="F37" s="15">
        <v>1302</v>
      </c>
      <c r="G37" s="15">
        <v>150</v>
      </c>
      <c r="H37" s="15">
        <v>557</v>
      </c>
      <c r="I37" s="15">
        <v>1396</v>
      </c>
      <c r="J37" s="15">
        <v>33</v>
      </c>
      <c r="K37" s="15">
        <v>1826</v>
      </c>
      <c r="L37" s="15">
        <v>1074</v>
      </c>
      <c r="M37" s="15">
        <v>0</v>
      </c>
      <c r="N37" s="15">
        <v>34</v>
      </c>
      <c r="O37" s="69">
        <f t="shared" si="3"/>
        <v>6929</v>
      </c>
      <c r="P37" s="73">
        <v>1.24E-3</v>
      </c>
      <c r="R37" s="84">
        <f t="shared" si="4"/>
        <v>8.5919600000000003</v>
      </c>
    </row>
    <row r="38" spans="1:18">
      <c r="A38" s="53">
        <v>24</v>
      </c>
      <c r="B38" s="3" t="s">
        <v>106</v>
      </c>
      <c r="C38" s="72">
        <v>1909641</v>
      </c>
      <c r="D38" s="15">
        <v>1806944</v>
      </c>
      <c r="E38" s="15">
        <v>1549411</v>
      </c>
      <c r="F38" s="15">
        <v>1277233</v>
      </c>
      <c r="G38" s="15">
        <v>1348630</v>
      </c>
      <c r="H38" s="15">
        <v>1329979</v>
      </c>
      <c r="I38" s="15">
        <v>1795617</v>
      </c>
      <c r="J38" s="15">
        <v>1427677</v>
      </c>
      <c r="K38" s="15">
        <v>1355114</v>
      </c>
      <c r="L38" s="15">
        <v>1254624</v>
      </c>
      <c r="M38" s="15">
        <v>1247407</v>
      </c>
      <c r="N38" s="15">
        <v>1703611</v>
      </c>
      <c r="O38" s="69">
        <f t="shared" si="3"/>
        <v>18005888</v>
      </c>
      <c r="P38" s="73">
        <v>1.24E-3</v>
      </c>
      <c r="R38" s="84">
        <f t="shared" si="4"/>
        <v>22327.30112</v>
      </c>
    </row>
    <row r="39" spans="1:18">
      <c r="A39" s="53" t="s">
        <v>149</v>
      </c>
      <c r="B39" s="3" t="s">
        <v>107</v>
      </c>
      <c r="C39" s="72">
        <v>2776</v>
      </c>
      <c r="D39" s="15">
        <v>2776</v>
      </c>
      <c r="E39" s="15">
        <v>2776</v>
      </c>
      <c r="F39" s="15">
        <v>2776</v>
      </c>
      <c r="G39" s="15">
        <v>2776</v>
      </c>
      <c r="H39" s="15">
        <v>2776</v>
      </c>
      <c r="I39" s="15">
        <v>2776</v>
      </c>
      <c r="J39" s="15">
        <v>2776</v>
      </c>
      <c r="K39" s="15">
        <v>2776</v>
      </c>
      <c r="L39" s="15">
        <v>2776</v>
      </c>
      <c r="M39" s="15">
        <v>2776</v>
      </c>
      <c r="N39" s="15">
        <v>2776</v>
      </c>
      <c r="O39" s="69">
        <f t="shared" si="3"/>
        <v>33312</v>
      </c>
      <c r="P39" s="73">
        <v>1.24E-3</v>
      </c>
      <c r="R39" s="84">
        <f t="shared" si="4"/>
        <v>41.30688</v>
      </c>
    </row>
    <row r="40" spans="1:18">
      <c r="A40" s="53">
        <v>36</v>
      </c>
      <c r="B40" s="3" t="s">
        <v>232</v>
      </c>
      <c r="C40" s="72">
        <v>100640</v>
      </c>
      <c r="D40" s="15">
        <v>95384</v>
      </c>
      <c r="E40" s="15">
        <v>73480</v>
      </c>
      <c r="F40" s="15">
        <v>80320</v>
      </c>
      <c r="G40" s="15">
        <v>87200</v>
      </c>
      <c r="H40" s="15">
        <v>113520</v>
      </c>
      <c r="I40" s="15">
        <v>168842</v>
      </c>
      <c r="J40" s="15">
        <v>199560</v>
      </c>
      <c r="K40" s="15">
        <v>987400</v>
      </c>
      <c r="L40" s="15">
        <v>1570360</v>
      </c>
      <c r="M40" s="15">
        <v>249680</v>
      </c>
      <c r="N40" s="15">
        <v>149720</v>
      </c>
      <c r="O40" s="69">
        <f t="shared" si="3"/>
        <v>3876106</v>
      </c>
      <c r="P40" s="73">
        <v>1.0200000000000001E-3</v>
      </c>
      <c r="R40" s="84">
        <f t="shared" si="4"/>
        <v>3953.6281200000003</v>
      </c>
    </row>
    <row r="41" spans="1:18">
      <c r="A41" s="53" t="s">
        <v>156</v>
      </c>
      <c r="B41" s="3" t="s">
        <v>218</v>
      </c>
      <c r="C41" s="72"/>
      <c r="D41" s="15"/>
      <c r="E41" s="15"/>
      <c r="F41" s="15">
        <v>54000</v>
      </c>
      <c r="G41" s="15">
        <v>-54000</v>
      </c>
      <c r="H41" s="15"/>
      <c r="I41" s="15"/>
      <c r="J41" s="15"/>
      <c r="K41" s="15"/>
      <c r="L41" s="15"/>
      <c r="M41" s="15"/>
      <c r="N41" s="15"/>
      <c r="O41" s="69">
        <f t="shared" si="3"/>
        <v>0</v>
      </c>
      <c r="P41" s="73">
        <v>8.3000000000000001E-4</v>
      </c>
      <c r="R41" s="84">
        <f t="shared" si="4"/>
        <v>0</v>
      </c>
    </row>
    <row r="42" spans="1:18">
      <c r="A42" s="53">
        <v>36</v>
      </c>
      <c r="B42" s="3" t="s">
        <v>108</v>
      </c>
      <c r="C42" s="72">
        <v>10318300</v>
      </c>
      <c r="D42" s="15">
        <v>12442180</v>
      </c>
      <c r="E42" s="15">
        <v>11211240</v>
      </c>
      <c r="F42" s="15">
        <v>9636920</v>
      </c>
      <c r="G42" s="15">
        <v>10839840</v>
      </c>
      <c r="H42" s="15">
        <v>9171000</v>
      </c>
      <c r="I42" s="15">
        <v>10177875</v>
      </c>
      <c r="J42" s="15">
        <v>10771855</v>
      </c>
      <c r="K42" s="15">
        <v>11930134</v>
      </c>
      <c r="L42" s="15">
        <v>13859241</v>
      </c>
      <c r="M42" s="15">
        <v>14520180</v>
      </c>
      <c r="N42" s="15">
        <v>11750660</v>
      </c>
      <c r="O42" s="69">
        <f t="shared" si="3"/>
        <v>136629425</v>
      </c>
      <c r="P42" s="73">
        <v>1.0200000000000001E-3</v>
      </c>
      <c r="R42" s="84">
        <f t="shared" si="4"/>
        <v>139362.0135</v>
      </c>
    </row>
    <row r="43" spans="1:18">
      <c r="A43" s="53" t="s">
        <v>155</v>
      </c>
      <c r="B43" s="3" t="s">
        <v>126</v>
      </c>
      <c r="C43" s="70">
        <v>2948000</v>
      </c>
      <c r="D43" s="15">
        <v>2612000</v>
      </c>
      <c r="E43" s="15">
        <v>2349000</v>
      </c>
      <c r="F43" s="15">
        <v>2241000</v>
      </c>
      <c r="G43" s="15">
        <v>1942000</v>
      </c>
      <c r="H43" s="15">
        <v>1761000</v>
      </c>
      <c r="I43" s="15">
        <v>2096000</v>
      </c>
      <c r="J43" s="15">
        <v>2221000</v>
      </c>
      <c r="K43" s="15">
        <v>1602000</v>
      </c>
      <c r="L43" s="15">
        <v>1544000</v>
      </c>
      <c r="M43" s="15">
        <v>1868000</v>
      </c>
      <c r="N43" s="15">
        <v>2647000</v>
      </c>
      <c r="O43" s="69">
        <f t="shared" si="3"/>
        <v>25831000</v>
      </c>
      <c r="P43" s="73">
        <v>8.3000000000000001E-4</v>
      </c>
      <c r="R43" s="84">
        <f t="shared" si="4"/>
        <v>21439.73</v>
      </c>
    </row>
    <row r="44" spans="1:18">
      <c r="A44" s="53" t="s">
        <v>71</v>
      </c>
      <c r="B44" s="3" t="s">
        <v>109</v>
      </c>
      <c r="C44" s="70">
        <v>49783800</v>
      </c>
      <c r="D44" s="15">
        <v>59340000</v>
      </c>
      <c r="E44" s="15">
        <v>57320600</v>
      </c>
      <c r="F44" s="15">
        <v>54656650</v>
      </c>
      <c r="G44" s="15">
        <v>55667450</v>
      </c>
      <c r="H44" s="15">
        <v>40957550</v>
      </c>
      <c r="I44" s="15">
        <v>56388555</v>
      </c>
      <c r="J44" s="15">
        <v>61600850</v>
      </c>
      <c r="K44" s="15">
        <v>60175601</v>
      </c>
      <c r="L44" s="15">
        <v>57164750</v>
      </c>
      <c r="M44" s="15">
        <v>58007500</v>
      </c>
      <c r="N44" s="15">
        <v>63661250</v>
      </c>
      <c r="O44" s="69">
        <f t="shared" si="3"/>
        <v>674724556</v>
      </c>
      <c r="P44" s="73">
        <v>8.3000000000000001E-4</v>
      </c>
      <c r="R44" s="84">
        <f t="shared" si="4"/>
        <v>560021.38147999998</v>
      </c>
    </row>
    <row r="45" spans="1:18">
      <c r="B45" s="3" t="s">
        <v>110</v>
      </c>
      <c r="C45" s="70"/>
      <c r="D45" s="15"/>
      <c r="E45" s="15"/>
      <c r="F45" s="15"/>
      <c r="G45" s="15"/>
      <c r="H45" s="15"/>
      <c r="I45" s="15">
        <v>0</v>
      </c>
      <c r="J45" s="15">
        <v>0</v>
      </c>
      <c r="K45" s="15">
        <v>0</v>
      </c>
      <c r="L45" s="15"/>
      <c r="M45" s="15"/>
      <c r="N45" s="15"/>
      <c r="O45" s="69">
        <f t="shared" si="3"/>
        <v>0</v>
      </c>
    </row>
    <row r="46" spans="1:18">
      <c r="A46" s="53" t="s">
        <v>151</v>
      </c>
      <c r="B46" s="3" t="s">
        <v>116</v>
      </c>
      <c r="C46" s="70">
        <v>10756</v>
      </c>
      <c r="D46" s="15">
        <v>11243</v>
      </c>
      <c r="E46" s="15">
        <v>11348</v>
      </c>
      <c r="F46" s="15">
        <v>10494</v>
      </c>
      <c r="G46" s="15">
        <v>10714</v>
      </c>
      <c r="H46" s="15">
        <v>10392</v>
      </c>
      <c r="I46" s="15">
        <v>10322</v>
      </c>
      <c r="J46" s="15">
        <v>10317</v>
      </c>
      <c r="K46" s="15">
        <v>9746</v>
      </c>
      <c r="L46" s="15">
        <v>10468</v>
      </c>
      <c r="M46" s="15">
        <v>10361</v>
      </c>
      <c r="N46" s="15">
        <v>10770</v>
      </c>
      <c r="O46" s="69">
        <f t="shared" si="3"/>
        <v>126931</v>
      </c>
      <c r="P46" s="73">
        <v>1.09E-3</v>
      </c>
      <c r="R46" s="84">
        <f>P46*O46</f>
        <v>138.35479000000001</v>
      </c>
    </row>
    <row r="47" spans="1:18">
      <c r="A47" s="53" t="s">
        <v>151</v>
      </c>
      <c r="B47" s="3" t="s">
        <v>230</v>
      </c>
      <c r="C47" s="70">
        <v>2684</v>
      </c>
      <c r="D47" s="15">
        <v>2684</v>
      </c>
      <c r="E47" s="15">
        <v>2684</v>
      </c>
      <c r="F47" s="15">
        <v>2684</v>
      </c>
      <c r="G47" s="15">
        <v>2608</v>
      </c>
      <c r="H47" s="15">
        <v>2760</v>
      </c>
      <c r="I47" s="15">
        <v>2686</v>
      </c>
      <c r="J47" s="15">
        <v>2685</v>
      </c>
      <c r="K47" s="15">
        <v>2684</v>
      </c>
      <c r="L47" s="15">
        <v>2684</v>
      </c>
      <c r="M47" s="15">
        <v>2684</v>
      </c>
      <c r="N47" s="15">
        <v>2684</v>
      </c>
      <c r="O47" s="69">
        <f t="shared" si="3"/>
        <v>32211</v>
      </c>
      <c r="P47" s="73">
        <v>1.09E-3</v>
      </c>
      <c r="R47" s="84">
        <f>P47*O47</f>
        <v>35.109990000000003</v>
      </c>
    </row>
    <row r="48" spans="1:18">
      <c r="A48" s="53">
        <v>47</v>
      </c>
      <c r="B48" s="3" t="s">
        <v>127</v>
      </c>
      <c r="C48" s="70">
        <v>0</v>
      </c>
      <c r="D48" s="15">
        <v>420000</v>
      </c>
      <c r="E48" s="15">
        <v>0</v>
      </c>
      <c r="F48" s="15">
        <v>140000</v>
      </c>
      <c r="G48" s="15">
        <v>0</v>
      </c>
      <c r="H48" s="15">
        <v>140000</v>
      </c>
      <c r="I48" s="15">
        <v>140000</v>
      </c>
      <c r="J48" s="15">
        <v>140000</v>
      </c>
      <c r="K48" s="15">
        <v>140000</v>
      </c>
      <c r="L48" s="15">
        <v>140000</v>
      </c>
      <c r="M48" s="15">
        <v>140000</v>
      </c>
      <c r="N48" s="15">
        <v>140000</v>
      </c>
      <c r="O48" s="69">
        <f t="shared" si="3"/>
        <v>1540000</v>
      </c>
      <c r="P48" s="73">
        <v>8.3000000000000001E-4</v>
      </c>
      <c r="R48" s="84">
        <f>P48*O48</f>
        <v>1278.2</v>
      </c>
    </row>
    <row r="49" spans="1:18">
      <c r="A49" s="53" t="s">
        <v>31</v>
      </c>
      <c r="B49" s="3" t="s">
        <v>118</v>
      </c>
      <c r="C49" s="70"/>
      <c r="D49" s="15"/>
      <c r="E49" s="15"/>
      <c r="F49" s="15"/>
      <c r="G49" s="15"/>
      <c r="H49" s="15">
        <v>0</v>
      </c>
      <c r="I49" s="15"/>
      <c r="J49" s="15">
        <v>0</v>
      </c>
      <c r="K49" s="15"/>
      <c r="L49" s="15">
        <v>0</v>
      </c>
      <c r="M49" s="15"/>
      <c r="N49" s="15"/>
      <c r="O49" s="3">
        <v>0</v>
      </c>
    </row>
    <row r="50" spans="1:18">
      <c r="B50" s="3" t="s">
        <v>119</v>
      </c>
      <c r="C50" s="70"/>
      <c r="D50" s="15"/>
      <c r="E50" s="15"/>
      <c r="F50" s="15"/>
      <c r="G50" s="15"/>
      <c r="H50" s="15">
        <v>0</v>
      </c>
      <c r="I50" s="15"/>
      <c r="J50" s="15">
        <v>0</v>
      </c>
      <c r="K50" s="15"/>
      <c r="L50" s="15"/>
      <c r="M50" s="15"/>
      <c r="N50" s="15"/>
      <c r="O50" s="3">
        <v>0</v>
      </c>
    </row>
    <row r="51" spans="1:18">
      <c r="B51" s="3" t="s">
        <v>224</v>
      </c>
      <c r="C51" s="70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/>
      <c r="J51" s="15"/>
      <c r="K51" s="15"/>
      <c r="L51" s="15"/>
      <c r="M51" s="15"/>
      <c r="N51" s="15"/>
      <c r="O51" s="3">
        <v>0</v>
      </c>
    </row>
    <row r="52" spans="1:18">
      <c r="B52" s="3" t="s">
        <v>227</v>
      </c>
      <c r="C52" s="70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/>
      <c r="J52" s="15"/>
      <c r="K52" s="15"/>
      <c r="L52" s="15"/>
      <c r="M52" s="15"/>
      <c r="N52" s="15"/>
      <c r="O52" s="3">
        <v>0</v>
      </c>
    </row>
    <row r="53" spans="1:18">
      <c r="B53" s="3" t="s">
        <v>122</v>
      </c>
    </row>
    <row r="54" spans="1:18">
      <c r="C54" s="69">
        <f t="shared" ref="C54:O54" si="5">SUM(C36:C52)</f>
        <v>65322549</v>
      </c>
      <c r="D54" s="69">
        <f t="shared" si="5"/>
        <v>76970170</v>
      </c>
      <c r="E54" s="69">
        <f t="shared" si="5"/>
        <v>72711629</v>
      </c>
      <c r="F54" s="69">
        <f t="shared" si="5"/>
        <v>68267582</v>
      </c>
      <c r="G54" s="69">
        <f t="shared" si="5"/>
        <v>70025693</v>
      </c>
      <c r="H54" s="69">
        <f t="shared" si="5"/>
        <v>53705132</v>
      </c>
      <c r="I54" s="69">
        <f t="shared" si="5"/>
        <v>71077583</v>
      </c>
      <c r="J54" s="69">
        <f t="shared" si="5"/>
        <v>76683925</v>
      </c>
      <c r="K54" s="69">
        <f t="shared" si="5"/>
        <v>76734276</v>
      </c>
      <c r="L54" s="69">
        <f t="shared" si="5"/>
        <v>75997087</v>
      </c>
      <c r="M54" s="69">
        <f t="shared" si="5"/>
        <v>76275881</v>
      </c>
      <c r="N54" s="69">
        <f t="shared" si="5"/>
        <v>80289165</v>
      </c>
      <c r="O54" s="69">
        <f t="shared" si="5"/>
        <v>864060672</v>
      </c>
    </row>
    <row r="55" spans="1:18">
      <c r="B55" s="3" t="s">
        <v>128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124</v>
      </c>
    </row>
    <row r="57" spans="1:18">
      <c r="A57" s="53">
        <v>40</v>
      </c>
      <c r="B57" s="3" t="s">
        <v>129</v>
      </c>
      <c r="C57" s="67">
        <v>124730</v>
      </c>
      <c r="D57" s="68">
        <v>162249</v>
      </c>
      <c r="E57" s="68">
        <v>1299080</v>
      </c>
      <c r="F57" s="68">
        <v>7016538</v>
      </c>
      <c r="G57" s="68">
        <v>14528558</v>
      </c>
      <c r="H57" s="68">
        <v>22434860</v>
      </c>
      <c r="I57" s="68">
        <v>27592080</v>
      </c>
      <c r="J57" s="68">
        <v>27861032</v>
      </c>
      <c r="K57" s="68">
        <v>22999788</v>
      </c>
      <c r="L57" s="68">
        <v>15185882</v>
      </c>
      <c r="M57" s="68">
        <v>4628381</v>
      </c>
      <c r="N57" s="68">
        <v>95256</v>
      </c>
      <c r="O57" s="69">
        <f t="shared" ref="O57:O68" si="6">SUM(C57:N57)</f>
        <v>143928434</v>
      </c>
      <c r="P57" s="73">
        <v>1.1299999999999999E-3</v>
      </c>
      <c r="R57" s="84">
        <f>P57*O57</f>
        <v>162639.13042</v>
      </c>
    </row>
    <row r="58" spans="1:18">
      <c r="A58" s="53" t="s">
        <v>158</v>
      </c>
      <c r="B58" s="3" t="s">
        <v>130</v>
      </c>
      <c r="C58" s="70">
        <v>102459</v>
      </c>
      <c r="D58" s="15">
        <v>42286</v>
      </c>
      <c r="E58" s="15">
        <v>64181</v>
      </c>
      <c r="F58" s="15">
        <v>1216993</v>
      </c>
      <c r="G58" s="15">
        <v>2153761</v>
      </c>
      <c r="H58" s="15">
        <v>2795376</v>
      </c>
      <c r="I58" s="15">
        <v>3573149</v>
      </c>
      <c r="J58" s="15">
        <v>4095509</v>
      </c>
      <c r="K58" s="15">
        <v>3017180</v>
      </c>
      <c r="L58" s="15">
        <v>2319141</v>
      </c>
      <c r="M58" s="15">
        <v>828689</v>
      </c>
      <c r="N58" s="15">
        <v>45789</v>
      </c>
      <c r="O58" s="69">
        <f t="shared" si="6"/>
        <v>20254513</v>
      </c>
      <c r="P58" s="73">
        <v>1.1299999999999999E-3</v>
      </c>
      <c r="R58" s="84">
        <f>P58*O58</f>
        <v>22887.599689999999</v>
      </c>
    </row>
    <row r="59" spans="1:18">
      <c r="B59" s="3" t="s">
        <v>110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69">
        <f t="shared" si="6"/>
        <v>0</v>
      </c>
    </row>
    <row r="60" spans="1:18">
      <c r="B60" s="3" t="s">
        <v>111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69">
        <f t="shared" si="6"/>
        <v>0</v>
      </c>
    </row>
    <row r="61" spans="1:18">
      <c r="A61" s="53" t="s">
        <v>31</v>
      </c>
      <c r="B61" s="3" t="s">
        <v>112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69">
        <f t="shared" si="6"/>
        <v>0</v>
      </c>
    </row>
    <row r="62" spans="1:18">
      <c r="A62" s="53" t="s">
        <v>31</v>
      </c>
      <c r="B62" s="3" t="s">
        <v>113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69">
        <f t="shared" si="6"/>
        <v>0</v>
      </c>
    </row>
    <row r="63" spans="1:18">
      <c r="A63" s="53" t="s">
        <v>31</v>
      </c>
      <c r="B63" s="3" t="s">
        <v>114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69">
        <f t="shared" si="6"/>
        <v>0</v>
      </c>
    </row>
    <row r="64" spans="1:18">
      <c r="B64" s="54" t="s">
        <v>246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69">
        <f t="shared" si="6"/>
        <v>0</v>
      </c>
    </row>
    <row r="65" spans="1:18">
      <c r="B65" s="54" t="s">
        <v>247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69">
        <f t="shared" si="6"/>
        <v>0</v>
      </c>
    </row>
    <row r="66" spans="1:18">
      <c r="A66" s="53" t="s">
        <v>31</v>
      </c>
      <c r="B66" s="3" t="s">
        <v>118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69">
        <f t="shared" si="6"/>
        <v>0</v>
      </c>
    </row>
    <row r="67" spans="1:18">
      <c r="A67" s="53" t="s">
        <v>31</v>
      </c>
      <c r="B67" s="3" t="s">
        <v>119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69">
        <f t="shared" si="6"/>
        <v>0</v>
      </c>
    </row>
    <row r="68" spans="1:18">
      <c r="A68" s="53" t="s">
        <v>31</v>
      </c>
      <c r="B68" s="3" t="s">
        <v>132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69">
        <f t="shared" si="6"/>
        <v>0</v>
      </c>
    </row>
    <row r="69" spans="1:18">
      <c r="C69" s="69">
        <f>SUM(C57:C68)</f>
        <v>227189</v>
      </c>
      <c r="D69" s="69">
        <v>197601</v>
      </c>
      <c r="E69" s="69">
        <v>775917</v>
      </c>
      <c r="F69" s="69">
        <v>9268537</v>
      </c>
      <c r="G69" s="69">
        <f>SUM(C69:F69)</f>
        <v>10469244</v>
      </c>
      <c r="H69" s="69">
        <v>13670831</v>
      </c>
      <c r="I69" s="69">
        <v>27350041</v>
      </c>
      <c r="J69" s="69">
        <v>33739633</v>
      </c>
      <c r="K69" s="69">
        <v>28176106</v>
      </c>
      <c r="L69" s="69">
        <v>17440142</v>
      </c>
      <c r="M69" s="69">
        <v>6008504</v>
      </c>
      <c r="N69" s="69">
        <v>295653</v>
      </c>
      <c r="O69" s="69">
        <f>SUM(O57:O68)</f>
        <v>164182947</v>
      </c>
    </row>
    <row r="70" spans="1:18">
      <c r="B70" s="3" t="s">
        <v>136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124</v>
      </c>
    </row>
    <row r="72" spans="1:18">
      <c r="B72" s="3" t="s">
        <v>137</v>
      </c>
      <c r="C72" s="67">
        <v>0</v>
      </c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0</v>
      </c>
      <c r="J72" s="68">
        <v>0</v>
      </c>
      <c r="K72" s="68">
        <v>0</v>
      </c>
      <c r="L72" s="68">
        <v>0</v>
      </c>
      <c r="M72" s="68">
        <v>0</v>
      </c>
      <c r="N72" s="68">
        <v>0</v>
      </c>
      <c r="O72" s="15">
        <f t="shared" ref="O72:O77" si="7">SUM(C72:N72)</f>
        <v>0</v>
      </c>
    </row>
    <row r="73" spans="1:18">
      <c r="A73" s="53">
        <v>52</v>
      </c>
      <c r="B73" s="3" t="s">
        <v>138</v>
      </c>
      <c r="C73" s="70">
        <v>39116</v>
      </c>
      <c r="D73" s="15">
        <v>39034</v>
      </c>
      <c r="E73" s="15">
        <v>37272</v>
      </c>
      <c r="F73" s="15">
        <v>37252</v>
      </c>
      <c r="G73" s="15">
        <v>37208</v>
      </c>
      <c r="H73" s="15">
        <v>37208</v>
      </c>
      <c r="I73" s="15">
        <v>37678</v>
      </c>
      <c r="J73" s="15">
        <v>37814</v>
      </c>
      <c r="K73" s="15">
        <v>37522</v>
      </c>
      <c r="L73" s="15">
        <v>37522</v>
      </c>
      <c r="M73" s="15">
        <v>37522</v>
      </c>
      <c r="N73" s="15">
        <v>37478</v>
      </c>
      <c r="O73" s="15">
        <f t="shared" si="7"/>
        <v>452626</v>
      </c>
      <c r="P73" s="73">
        <v>1.09E-3</v>
      </c>
      <c r="R73" s="84">
        <f>P73*O73</f>
        <v>493.36234000000002</v>
      </c>
    </row>
    <row r="74" spans="1:18">
      <c r="A74" s="53" t="s">
        <v>159</v>
      </c>
      <c r="B74" s="3" t="s">
        <v>139</v>
      </c>
      <c r="C74" s="70">
        <v>276471</v>
      </c>
      <c r="D74" s="15">
        <v>290547</v>
      </c>
      <c r="E74" s="15">
        <v>288752</v>
      </c>
      <c r="F74" s="15">
        <v>285340</v>
      </c>
      <c r="G74" s="15">
        <v>286822</v>
      </c>
      <c r="H74" s="15">
        <v>286785</v>
      </c>
      <c r="I74" s="15">
        <v>289392</v>
      </c>
      <c r="J74" s="15">
        <v>288158</v>
      </c>
      <c r="K74" s="15">
        <v>278871</v>
      </c>
      <c r="L74" s="15">
        <v>296043</v>
      </c>
      <c r="M74" s="15">
        <v>274250</v>
      </c>
      <c r="N74" s="15">
        <v>291719</v>
      </c>
      <c r="O74" s="15">
        <f t="shared" si="7"/>
        <v>3433150</v>
      </c>
      <c r="P74" s="73">
        <v>1.09E-3</v>
      </c>
      <c r="R74" s="84">
        <f>P74*O74</f>
        <v>3742.1334999999999</v>
      </c>
    </row>
    <row r="75" spans="1:18">
      <c r="A75" s="53" t="s">
        <v>160</v>
      </c>
      <c r="B75" s="3" t="s">
        <v>140</v>
      </c>
      <c r="C75" s="70">
        <v>107921</v>
      </c>
      <c r="D75" s="15">
        <v>113134</v>
      </c>
      <c r="E75" s="15">
        <v>93288</v>
      </c>
      <c r="F75" s="15">
        <v>78692</v>
      </c>
      <c r="G75" s="15">
        <v>73504</v>
      </c>
      <c r="H75" s="15">
        <v>67123</v>
      </c>
      <c r="I75" s="15">
        <v>59224</v>
      </c>
      <c r="J75" s="15">
        <v>66326</v>
      </c>
      <c r="K75" s="15">
        <v>68501</v>
      </c>
      <c r="L75" s="15">
        <v>91363</v>
      </c>
      <c r="M75" s="15">
        <v>83603</v>
      </c>
      <c r="N75" s="15">
        <v>115636</v>
      </c>
      <c r="O75" s="15">
        <f t="shared" si="7"/>
        <v>1018315</v>
      </c>
      <c r="P75" s="73">
        <v>1.09E-3</v>
      </c>
      <c r="R75" s="84">
        <f>P75*O75</f>
        <v>1109.96335</v>
      </c>
    </row>
    <row r="76" spans="1:18">
      <c r="A76" s="53">
        <v>51</v>
      </c>
      <c r="B76" s="3" t="s">
        <v>141</v>
      </c>
      <c r="C76" s="70">
        <v>261534</v>
      </c>
      <c r="D76" s="15">
        <v>236821</v>
      </c>
      <c r="E76" s="15">
        <v>217887</v>
      </c>
      <c r="F76" s="15">
        <v>244442</v>
      </c>
      <c r="G76" s="15">
        <v>270529</v>
      </c>
      <c r="H76" s="15">
        <v>244741</v>
      </c>
      <c r="I76" s="15">
        <v>245152</v>
      </c>
      <c r="J76" s="15">
        <v>248212</v>
      </c>
      <c r="K76" s="15">
        <v>221114</v>
      </c>
      <c r="L76" s="15">
        <v>247975</v>
      </c>
      <c r="M76" s="15">
        <v>246781</v>
      </c>
      <c r="N76" s="15">
        <v>248442</v>
      </c>
      <c r="O76" s="15">
        <f t="shared" si="7"/>
        <v>2933630</v>
      </c>
      <c r="P76" s="73">
        <v>1.09E-3</v>
      </c>
      <c r="R76" s="84">
        <f>P76*O76</f>
        <v>3197.6567</v>
      </c>
    </row>
    <row r="77" spans="1:18">
      <c r="A77" s="53">
        <v>57</v>
      </c>
      <c r="B77" s="3" t="s">
        <v>142</v>
      </c>
      <c r="C77" s="70">
        <v>177159</v>
      </c>
      <c r="D77" s="15">
        <v>174004</v>
      </c>
      <c r="E77" s="15">
        <v>171585</v>
      </c>
      <c r="F77" s="15">
        <v>171220</v>
      </c>
      <c r="G77" s="15">
        <v>172424</v>
      </c>
      <c r="H77" s="15">
        <v>170016</v>
      </c>
      <c r="I77" s="15">
        <v>173034</v>
      </c>
      <c r="J77" s="15">
        <v>170420</v>
      </c>
      <c r="K77" s="15">
        <v>168890</v>
      </c>
      <c r="L77" s="15">
        <v>170578</v>
      </c>
      <c r="M77" s="15">
        <v>169577</v>
      </c>
      <c r="N77" s="15">
        <v>170320</v>
      </c>
      <c r="O77" s="15">
        <f t="shared" si="7"/>
        <v>2059227</v>
      </c>
      <c r="P77" s="73">
        <v>1.09E-3</v>
      </c>
      <c r="R77" s="84">
        <f>P77*O77</f>
        <v>2244.5574300000003</v>
      </c>
    </row>
    <row r="78" spans="1:18">
      <c r="B78" s="3" t="s">
        <v>118</v>
      </c>
      <c r="C78" s="70"/>
      <c r="D78" s="15"/>
      <c r="E78" s="15"/>
      <c r="F78" s="15"/>
      <c r="G78" s="15"/>
      <c r="H78" s="15"/>
      <c r="I78" s="15"/>
      <c r="J78" s="15"/>
      <c r="K78" s="15"/>
      <c r="L78" s="15">
        <v>0</v>
      </c>
      <c r="M78" s="15"/>
      <c r="N78" s="15"/>
      <c r="O78" s="69"/>
      <c r="P78" s="73"/>
      <c r="R78" s="84"/>
    </row>
    <row r="79" spans="1:18">
      <c r="B79" s="3" t="s">
        <v>119</v>
      </c>
      <c r="C79" s="70"/>
      <c r="D79" s="15">
        <v>0</v>
      </c>
      <c r="E79" s="15"/>
      <c r="F79" s="15"/>
      <c r="G79" s="15"/>
      <c r="H79" s="15"/>
      <c r="I79" s="15"/>
      <c r="J79" s="15"/>
      <c r="K79" s="15"/>
      <c r="L79" s="15">
        <v>0</v>
      </c>
      <c r="M79" s="15"/>
      <c r="N79" s="15"/>
      <c r="O79" s="69"/>
      <c r="P79" s="73"/>
      <c r="R79" s="84"/>
    </row>
    <row r="80" spans="1:18">
      <c r="A80" s="53" t="s">
        <v>31</v>
      </c>
      <c r="B80" s="3" t="s">
        <v>122</v>
      </c>
      <c r="C80" s="70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1:18">
      <c r="A81" s="53" t="s">
        <v>31</v>
      </c>
      <c r="C81" s="69">
        <f t="shared" ref="C81:O81" si="8">SUM(C72:C80)</f>
        <v>862201</v>
      </c>
      <c r="D81" s="69">
        <f t="shared" si="8"/>
        <v>853540</v>
      </c>
      <c r="E81" s="69">
        <f t="shared" si="8"/>
        <v>808784</v>
      </c>
      <c r="F81" s="69">
        <f t="shared" si="8"/>
        <v>816946</v>
      </c>
      <c r="G81" s="69">
        <f t="shared" si="8"/>
        <v>840487</v>
      </c>
      <c r="H81" s="69">
        <f t="shared" si="8"/>
        <v>805873</v>
      </c>
      <c r="I81" s="69">
        <f t="shared" si="8"/>
        <v>804480</v>
      </c>
      <c r="J81" s="69">
        <f t="shared" si="8"/>
        <v>810930</v>
      </c>
      <c r="K81" s="69">
        <f t="shared" si="8"/>
        <v>774898</v>
      </c>
      <c r="L81" s="69">
        <f t="shared" si="8"/>
        <v>843481</v>
      </c>
      <c r="M81" s="69">
        <f t="shared" si="8"/>
        <v>811733</v>
      </c>
      <c r="N81" s="69">
        <f t="shared" si="8"/>
        <v>863595</v>
      </c>
      <c r="O81" s="69">
        <f t="shared" si="8"/>
        <v>9896948</v>
      </c>
    </row>
    <row r="82" spans="1:18">
      <c r="A82" s="53" t="s">
        <v>31</v>
      </c>
      <c r="B82" s="3" t="s">
        <v>143</v>
      </c>
    </row>
    <row r="83" spans="1:18">
      <c r="A83" s="53" t="s">
        <v>31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124</v>
      </c>
    </row>
    <row r="84" spans="1:18">
      <c r="B84" s="85" t="s">
        <v>248</v>
      </c>
      <c r="C84" s="67"/>
      <c r="D84" s="68"/>
      <c r="E84" s="68"/>
      <c r="F84" s="68"/>
      <c r="G84" s="68"/>
      <c r="H84" s="68"/>
      <c r="I84" s="68"/>
      <c r="J84" s="68">
        <v>0</v>
      </c>
      <c r="K84" s="68"/>
      <c r="L84" s="68"/>
      <c r="M84" s="68">
        <v>0</v>
      </c>
      <c r="N84" s="68"/>
      <c r="O84" s="15">
        <f t="shared" ref="O84:O95" si="9">SUM(C84:N84)</f>
        <v>0</v>
      </c>
    </row>
    <row r="85" spans="1:18">
      <c r="A85" s="53" t="s">
        <v>31</v>
      </c>
      <c r="B85" s="3" t="s">
        <v>113</v>
      </c>
      <c r="C85" s="70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f t="shared" si="9"/>
        <v>0</v>
      </c>
    </row>
    <row r="86" spans="1:18">
      <c r="A86" s="53" t="s">
        <v>161</v>
      </c>
      <c r="B86" s="3" t="s">
        <v>233</v>
      </c>
      <c r="C86" s="70">
        <v>96033</v>
      </c>
      <c r="D86" s="15">
        <v>102581</v>
      </c>
      <c r="E86" s="15">
        <v>98161</v>
      </c>
      <c r="F86" s="15">
        <v>96801</v>
      </c>
      <c r="G86" s="15">
        <v>101713</v>
      </c>
      <c r="H86" s="15">
        <v>97522</v>
      </c>
      <c r="I86" s="15">
        <v>98076</v>
      </c>
      <c r="J86" s="15">
        <v>97431</v>
      </c>
      <c r="K86" s="15">
        <v>94196</v>
      </c>
      <c r="L86" s="15">
        <v>97685</v>
      </c>
      <c r="M86" s="15">
        <v>96036</v>
      </c>
      <c r="N86" s="15">
        <v>96187</v>
      </c>
      <c r="O86" s="15">
        <f t="shared" si="9"/>
        <v>1172422</v>
      </c>
      <c r="P86" s="73">
        <v>1.09E-3</v>
      </c>
      <c r="R86" s="84">
        <f>P86*O86</f>
        <v>1277.9399800000001</v>
      </c>
    </row>
    <row r="87" spans="1:18">
      <c r="A87" s="53">
        <v>16</v>
      </c>
      <c r="B87" s="3" t="s">
        <v>144</v>
      </c>
      <c r="C87" s="70">
        <v>208728854</v>
      </c>
      <c r="D87" s="15">
        <v>192294557</v>
      </c>
      <c r="E87" s="15">
        <v>139201527</v>
      </c>
      <c r="F87" s="15">
        <v>110523128</v>
      </c>
      <c r="G87" s="15">
        <v>97501475</v>
      </c>
      <c r="H87" s="15">
        <v>94591910</v>
      </c>
      <c r="I87" s="15">
        <v>114063547</v>
      </c>
      <c r="J87" s="15">
        <v>121993355</v>
      </c>
      <c r="K87" s="15">
        <v>102349329</v>
      </c>
      <c r="L87" s="15">
        <v>93719602</v>
      </c>
      <c r="M87" s="15">
        <v>122711460</v>
      </c>
      <c r="N87" s="15">
        <v>181663338</v>
      </c>
      <c r="O87" s="15">
        <f t="shared" si="9"/>
        <v>1579342082</v>
      </c>
      <c r="P87" s="73">
        <v>1.2199999999999999E-3</v>
      </c>
      <c r="R87" s="84">
        <f>P87*O87</f>
        <v>1926797.3400399999</v>
      </c>
    </row>
    <row r="88" spans="1:18">
      <c r="A88" s="53">
        <v>17</v>
      </c>
      <c r="B88" s="3" t="s">
        <v>145</v>
      </c>
      <c r="C88" s="70">
        <v>6943483</v>
      </c>
      <c r="D88" s="15">
        <v>6819158</v>
      </c>
      <c r="E88" s="15">
        <v>5017558</v>
      </c>
      <c r="F88" s="15">
        <v>3565575</v>
      </c>
      <c r="G88" s="15">
        <v>2801635</v>
      </c>
      <c r="H88" s="15">
        <v>2210918</v>
      </c>
      <c r="I88" s="15">
        <v>2418611</v>
      </c>
      <c r="J88" s="15">
        <v>2445134</v>
      </c>
      <c r="K88" s="15">
        <v>1554422</v>
      </c>
      <c r="L88" s="15">
        <v>1767989</v>
      </c>
      <c r="M88" s="15">
        <v>3674873</v>
      </c>
      <c r="N88" s="15">
        <v>6622568</v>
      </c>
      <c r="O88" s="15">
        <f t="shared" si="9"/>
        <v>45841924</v>
      </c>
      <c r="P88" s="73">
        <v>1.2199999999999999E-3</v>
      </c>
      <c r="R88" s="84">
        <f>P88*O88</f>
        <v>55927.147279999997</v>
      </c>
    </row>
    <row r="89" spans="1:18">
      <c r="A89" s="53">
        <v>18</v>
      </c>
      <c r="B89" s="3" t="s">
        <v>147</v>
      </c>
      <c r="C89" s="70">
        <v>277527</v>
      </c>
      <c r="D89" s="15">
        <v>282459</v>
      </c>
      <c r="E89" s="15">
        <v>220886</v>
      </c>
      <c r="F89" s="15">
        <v>205763</v>
      </c>
      <c r="G89" s="15">
        <v>191937</v>
      </c>
      <c r="H89" s="15">
        <v>205945</v>
      </c>
      <c r="I89" s="15">
        <v>247950</v>
      </c>
      <c r="J89" s="15">
        <v>250179</v>
      </c>
      <c r="K89" s="15">
        <v>213978</v>
      </c>
      <c r="L89" s="15">
        <v>188874</v>
      </c>
      <c r="M89" s="15">
        <v>201556</v>
      </c>
      <c r="N89" s="15">
        <v>257499</v>
      </c>
      <c r="O89" s="15">
        <f t="shared" si="9"/>
        <v>2744553</v>
      </c>
      <c r="P89" s="73">
        <v>1.2199999999999999E-3</v>
      </c>
      <c r="R89" s="84">
        <f>P89*O89</f>
        <v>3348.35466</v>
      </c>
    </row>
    <row r="90" spans="1:18">
      <c r="A90" s="53" t="s">
        <v>162</v>
      </c>
      <c r="B90" s="3" t="s">
        <v>148</v>
      </c>
      <c r="C90" s="70">
        <v>79539</v>
      </c>
      <c r="D90" s="15">
        <v>71861</v>
      </c>
      <c r="E90" s="15">
        <v>65956</v>
      </c>
      <c r="F90" s="15">
        <v>53835</v>
      </c>
      <c r="G90" s="15">
        <v>58265</v>
      </c>
      <c r="H90" s="15">
        <v>42371</v>
      </c>
      <c r="I90" s="15">
        <v>68542</v>
      </c>
      <c r="J90" s="15">
        <v>68348</v>
      </c>
      <c r="K90" s="15">
        <v>54179</v>
      </c>
      <c r="L90" s="15">
        <v>40639</v>
      </c>
      <c r="M90" s="15">
        <v>47570</v>
      </c>
      <c r="N90" s="15">
        <v>58886</v>
      </c>
      <c r="O90" s="15">
        <f t="shared" si="9"/>
        <v>709991</v>
      </c>
      <c r="P90" s="73">
        <v>1.2199999999999999E-3</v>
      </c>
      <c r="R90" s="84">
        <f>P90*O90</f>
        <v>866.18901999999991</v>
      </c>
    </row>
    <row r="91" spans="1:18">
      <c r="B91" s="3" t="s">
        <v>118</v>
      </c>
      <c r="C91" s="70">
        <v>0</v>
      </c>
      <c r="D91" s="15">
        <v>0</v>
      </c>
      <c r="E91" s="15">
        <v>0</v>
      </c>
      <c r="F91" s="15"/>
      <c r="G91" s="15"/>
      <c r="H91" s="15"/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f t="shared" si="9"/>
        <v>0</v>
      </c>
    </row>
    <row r="92" spans="1:18">
      <c r="B92" s="3" t="s">
        <v>119</v>
      </c>
      <c r="C92" s="70"/>
      <c r="D92" s="15"/>
      <c r="E92" s="15">
        <v>0</v>
      </c>
      <c r="F92" s="15">
        <v>0</v>
      </c>
      <c r="G92" s="15"/>
      <c r="H92" s="15"/>
      <c r="I92" s="15"/>
      <c r="J92" s="15"/>
      <c r="K92" s="15">
        <v>0</v>
      </c>
      <c r="L92" s="15">
        <v>0</v>
      </c>
      <c r="M92" s="15"/>
      <c r="N92" s="15"/>
      <c r="O92" s="15">
        <f t="shared" si="9"/>
        <v>0</v>
      </c>
    </row>
    <row r="93" spans="1:18">
      <c r="B93" s="3" t="s">
        <v>219</v>
      </c>
      <c r="C93" s="70">
        <v>0</v>
      </c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>
        <f t="shared" si="9"/>
        <v>0</v>
      </c>
    </row>
    <row r="94" spans="1:18">
      <c r="B94" s="3" t="s">
        <v>224</v>
      </c>
      <c r="C94" s="70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/>
      <c r="K94" s="15"/>
      <c r="L94" s="15"/>
      <c r="M94" s="15"/>
      <c r="N94" s="15"/>
      <c r="O94" s="15">
        <f t="shared" si="9"/>
        <v>0</v>
      </c>
    </row>
    <row r="95" spans="1:18">
      <c r="B95" s="3" t="s">
        <v>227</v>
      </c>
      <c r="C95" s="70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/>
      <c r="J95" s="15"/>
      <c r="K95" s="15"/>
      <c r="L95" s="15"/>
      <c r="M95" s="15"/>
      <c r="N95" s="15"/>
      <c r="O95" s="15">
        <f t="shared" si="9"/>
        <v>0</v>
      </c>
    </row>
    <row r="96" spans="1:18">
      <c r="B96" s="3" t="s">
        <v>122</v>
      </c>
    </row>
    <row r="97" spans="3:18">
      <c r="C97" s="69">
        <f t="shared" ref="C97:O97" si="10">SUM(C84:C95)</f>
        <v>216125436</v>
      </c>
      <c r="D97" s="69">
        <f t="shared" si="10"/>
        <v>199570616</v>
      </c>
      <c r="E97" s="69">
        <f t="shared" si="10"/>
        <v>144604088</v>
      </c>
      <c r="F97" s="69">
        <f t="shared" si="10"/>
        <v>114445102</v>
      </c>
      <c r="G97" s="69">
        <f t="shared" si="10"/>
        <v>100655025</v>
      </c>
      <c r="H97" s="69">
        <f t="shared" si="10"/>
        <v>97148666</v>
      </c>
      <c r="I97" s="69">
        <f t="shared" si="10"/>
        <v>116896726</v>
      </c>
      <c r="J97" s="69">
        <f t="shared" si="10"/>
        <v>124854447</v>
      </c>
      <c r="K97" s="69">
        <f t="shared" si="10"/>
        <v>104266104</v>
      </c>
      <c r="L97" s="69">
        <f t="shared" si="10"/>
        <v>95814789</v>
      </c>
      <c r="M97" s="69">
        <f t="shared" si="10"/>
        <v>126731495</v>
      </c>
      <c r="N97" s="69">
        <f t="shared" si="10"/>
        <v>188698478</v>
      </c>
      <c r="O97" s="69">
        <f t="shared" si="10"/>
        <v>1629810972</v>
      </c>
      <c r="R97" s="84">
        <f>SUM(R8:R96)</f>
        <v>4474033.4386200001</v>
      </c>
    </row>
    <row r="99" spans="3:18">
      <c r="O99" s="69">
        <f>O97+O81+O69+O54+O33</f>
        <v>4093241027</v>
      </c>
    </row>
  </sheetData>
  <phoneticPr fontId="28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1:AE1051"/>
  <sheetViews>
    <sheetView view="pageBreakPreview" zoomScale="75" zoomScaleNormal="75" zoomScaleSheetLayoutView="75" workbookViewId="0">
      <pane ySplit="11" topLeftCell="A831" activePane="bottomLeft" state="frozen"/>
      <selection activeCell="M21" sqref="M21"/>
      <selection pane="bottomLeft" activeCell="M21" sqref="M21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69" bestFit="1" customWidth="1"/>
    <col min="16" max="16" width="12.75" style="69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244" t="s">
        <v>31</v>
      </c>
      <c r="B1" s="245"/>
      <c r="C1" s="245"/>
      <c r="D1" s="245"/>
      <c r="E1" s="246"/>
      <c r="F1" s="246"/>
      <c r="G1" s="245"/>
      <c r="H1" s="245"/>
      <c r="I1" s="246"/>
      <c r="J1" s="245"/>
      <c r="K1" s="245"/>
      <c r="M1" s="20"/>
      <c r="N1" s="20"/>
      <c r="O1" s="74"/>
      <c r="P1" s="74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</row>
    <row r="2" spans="1:31" ht="18">
      <c r="A2" s="1953" t="s">
        <v>589</v>
      </c>
      <c r="B2" s="1953"/>
      <c r="C2" s="1953"/>
      <c r="D2" s="1953"/>
      <c r="E2" s="1953"/>
      <c r="F2" s="1953"/>
      <c r="G2" s="1953"/>
      <c r="H2" s="245"/>
      <c r="I2" s="246"/>
      <c r="J2" s="245"/>
      <c r="K2" s="245"/>
      <c r="M2" s="20"/>
      <c r="N2" s="20"/>
      <c r="O2" s="74"/>
      <c r="P2" s="74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</row>
    <row r="3" spans="1:31" ht="18">
      <c r="A3" s="1953" t="s">
        <v>349</v>
      </c>
      <c r="B3" s="1953"/>
      <c r="C3" s="1953"/>
      <c r="D3" s="1953"/>
      <c r="E3" s="1953"/>
      <c r="F3" s="1953"/>
      <c r="G3" s="1953"/>
      <c r="H3" s="245"/>
      <c r="I3" s="246"/>
      <c r="J3" s="245"/>
      <c r="K3" s="245"/>
      <c r="M3" s="20"/>
      <c r="N3" s="20"/>
      <c r="O3" s="74"/>
      <c r="P3" s="74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</row>
    <row r="4" spans="1:31">
      <c r="A4" s="1954" t="s">
        <v>625</v>
      </c>
      <c r="B4" s="1954"/>
      <c r="C4" s="1954"/>
      <c r="D4" s="1954"/>
      <c r="E4" s="1954"/>
      <c r="F4" s="1954"/>
      <c r="G4" s="1954"/>
      <c r="H4" s="248"/>
      <c r="I4" s="249"/>
      <c r="J4" s="248"/>
      <c r="K4" s="248"/>
      <c r="M4" s="20"/>
      <c r="N4" s="20"/>
      <c r="O4" s="74"/>
      <c r="P4" s="74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</row>
    <row r="5" spans="1:31">
      <c r="A5" s="1955" t="s">
        <v>350</v>
      </c>
      <c r="B5" s="1955"/>
      <c r="C5" s="1955"/>
      <c r="D5" s="1955"/>
      <c r="E5" s="1955"/>
      <c r="F5" s="1955"/>
      <c r="G5" s="1955"/>
      <c r="H5" s="248"/>
      <c r="I5" s="249"/>
      <c r="J5" s="248"/>
      <c r="K5" s="248"/>
      <c r="M5" s="20"/>
      <c r="N5" s="20"/>
      <c r="O5" s="74"/>
      <c r="P5" s="74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</row>
    <row r="6" spans="1:31">
      <c r="A6" s="250"/>
      <c r="B6" s="248"/>
      <c r="C6" s="248"/>
      <c r="D6" s="248"/>
      <c r="E6" s="249"/>
      <c r="F6" s="249"/>
      <c r="G6" s="248"/>
      <c r="H6" s="248"/>
      <c r="I6" s="249"/>
      <c r="J6" s="248"/>
      <c r="K6" s="248"/>
      <c r="M6" s="20"/>
      <c r="N6" s="20"/>
      <c r="O6" s="74"/>
      <c r="P6" s="74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1:31">
      <c r="A7" s="250"/>
      <c r="B7" s="248"/>
      <c r="C7" s="248"/>
      <c r="D7" s="248"/>
      <c r="E7" s="249"/>
      <c r="F7" s="249"/>
      <c r="G7" s="248"/>
      <c r="H7" s="248"/>
      <c r="I7" s="249"/>
      <c r="J7" s="248"/>
      <c r="K7" s="248"/>
      <c r="M7" s="20"/>
      <c r="N7" s="20"/>
      <c r="O7" s="74"/>
      <c r="P7" s="74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1:31">
      <c r="A8" s="248"/>
      <c r="B8" s="248"/>
      <c r="C8" s="248"/>
      <c r="D8" s="248"/>
      <c r="E8" s="249"/>
      <c r="F8" s="249"/>
      <c r="G8" s="248"/>
      <c r="H8" s="248"/>
      <c r="I8" s="249"/>
      <c r="J8" s="248"/>
      <c r="K8" s="248"/>
      <c r="M8" s="20"/>
      <c r="N8" s="20"/>
      <c r="O8" s="74"/>
      <c r="P8" s="74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</row>
    <row r="9" spans="1:31">
      <c r="A9" s="251"/>
      <c r="B9" s="251"/>
      <c r="C9" s="252"/>
      <c r="D9" s="252"/>
      <c r="E9" s="253"/>
      <c r="F9" s="253"/>
      <c r="G9" s="254" t="s">
        <v>199</v>
      </c>
      <c r="H9" s="255"/>
      <c r="I9" s="253"/>
      <c r="J9" s="254"/>
      <c r="K9" s="254"/>
      <c r="M9" s="20"/>
      <c r="N9" s="20"/>
      <c r="O9" s="74"/>
      <c r="P9" s="74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</row>
    <row r="10" spans="1:31">
      <c r="A10" s="251"/>
      <c r="B10" s="251"/>
      <c r="C10" s="252" t="s">
        <v>351</v>
      </c>
      <c r="D10" s="252"/>
      <c r="E10" s="254" t="s">
        <v>374</v>
      </c>
      <c r="F10" s="253"/>
      <c r="G10" s="256" t="s">
        <v>352</v>
      </c>
      <c r="H10" s="255" t="s">
        <v>255</v>
      </c>
      <c r="I10" s="254" t="s">
        <v>307</v>
      </c>
      <c r="J10" s="252"/>
      <c r="K10" s="254" t="s">
        <v>307</v>
      </c>
      <c r="M10" s="20"/>
      <c r="N10" s="20"/>
      <c r="O10" s="74"/>
      <c r="P10" s="74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</row>
    <row r="11" spans="1:31">
      <c r="A11" s="251"/>
      <c r="B11" s="251"/>
      <c r="C11" s="257" t="s">
        <v>306</v>
      </c>
      <c r="D11" s="252" t="s">
        <v>351</v>
      </c>
      <c r="E11" s="258" t="s">
        <v>13</v>
      </c>
      <c r="F11" s="259"/>
      <c r="G11" s="258" t="s">
        <v>306</v>
      </c>
      <c r="H11" s="254" t="s">
        <v>352</v>
      </c>
      <c r="I11" s="258" t="s">
        <v>13</v>
      </c>
      <c r="J11" s="258"/>
      <c r="K11" s="258" t="s">
        <v>352</v>
      </c>
      <c r="M11" s="256"/>
      <c r="N11" s="20"/>
      <c r="O11" s="74"/>
      <c r="P11" s="74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</row>
    <row r="12" spans="1:31">
      <c r="A12" s="260" t="s">
        <v>354</v>
      </c>
      <c r="G12" s="261"/>
      <c r="H12" s="261"/>
      <c r="M12" s="20"/>
      <c r="N12" s="20"/>
      <c r="O12" s="74"/>
      <c r="P12" s="74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</row>
    <row r="13" spans="1:31">
      <c r="A13" s="3" t="s">
        <v>355</v>
      </c>
      <c r="G13" s="261"/>
      <c r="H13" s="261"/>
      <c r="M13" s="20"/>
      <c r="N13" s="20"/>
      <c r="O13" s="74"/>
      <c r="P13" s="74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</row>
    <row r="14" spans="1:31">
      <c r="G14" s="261"/>
      <c r="H14" s="261"/>
      <c r="M14" s="20"/>
      <c r="N14" s="20"/>
      <c r="O14" s="74"/>
      <c r="P14" s="74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1:31">
      <c r="A15" s="3" t="s">
        <v>356</v>
      </c>
      <c r="G15" s="261"/>
      <c r="H15" s="261"/>
      <c r="M15" s="20"/>
      <c r="N15" s="20"/>
      <c r="O15" s="74"/>
      <c r="P15" s="74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</row>
    <row r="16" spans="1:31">
      <c r="A16" s="3" t="s">
        <v>357</v>
      </c>
      <c r="C16" s="262">
        <f t="shared" ref="C16:D18" si="0">C33+C50+C67</f>
        <v>29903</v>
      </c>
      <c r="D16" s="262">
        <f t="shared" si="0"/>
        <v>31243</v>
      </c>
      <c r="E16" s="263">
        <v>9.6</v>
      </c>
      <c r="G16" s="2">
        <f t="shared" ref="G16:H18" si="1">G33+G50+G67</f>
        <v>287069</v>
      </c>
      <c r="H16" s="2">
        <f t="shared" si="1"/>
        <v>299933</v>
      </c>
      <c r="I16" s="263" t="e">
        <f>E16+E16*$P$27</f>
        <v>#REF!</v>
      </c>
      <c r="K16" s="2" t="e">
        <f>K33+K50+K67</f>
        <v>#REF!</v>
      </c>
      <c r="M16" s="84" t="e">
        <f>I16*D16</f>
        <v>#REF!</v>
      </c>
      <c r="O16" s="105"/>
      <c r="P16" s="264"/>
      <c r="Q16" s="264"/>
      <c r="R16" s="265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E16" s="84"/>
    </row>
    <row r="17" spans="1:31">
      <c r="A17" s="3" t="s">
        <v>358</v>
      </c>
      <c r="C17" s="262">
        <f t="shared" si="0"/>
        <v>4807</v>
      </c>
      <c r="D17" s="262">
        <f t="shared" si="0"/>
        <v>5092</v>
      </c>
      <c r="E17" s="263">
        <v>18.28</v>
      </c>
      <c r="G17" s="2">
        <f t="shared" si="1"/>
        <v>87872</v>
      </c>
      <c r="H17" s="2">
        <f t="shared" si="1"/>
        <v>93082</v>
      </c>
      <c r="I17" s="263" t="e">
        <f>E17+E17*$P$27</f>
        <v>#REF!</v>
      </c>
      <c r="K17" s="2" t="e">
        <f>K34+K51+K68</f>
        <v>#REF!</v>
      </c>
      <c r="M17" s="84" t="e">
        <f>I17*D17</f>
        <v>#REF!</v>
      </c>
      <c r="O17" s="105"/>
      <c r="P17" s="264"/>
      <c r="Q17" s="264"/>
      <c r="R17" s="265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E17" s="84"/>
    </row>
    <row r="18" spans="1:31">
      <c r="A18" s="3" t="s">
        <v>359</v>
      </c>
      <c r="C18" s="262">
        <f t="shared" si="0"/>
        <v>659</v>
      </c>
      <c r="D18" s="262">
        <f t="shared" si="0"/>
        <v>700</v>
      </c>
      <c r="E18" s="263">
        <v>37.82</v>
      </c>
      <c r="G18" s="2">
        <f t="shared" si="1"/>
        <v>24923</v>
      </c>
      <c r="H18" s="2">
        <f t="shared" si="1"/>
        <v>26474</v>
      </c>
      <c r="I18" s="263" t="e">
        <f>E18+E18*$P$27</f>
        <v>#REF!</v>
      </c>
      <c r="K18" s="2" t="e">
        <f>K35+K52+K69</f>
        <v>#REF!</v>
      </c>
      <c r="M18" s="84" t="e">
        <f>I18*D18</f>
        <v>#REF!</v>
      </c>
      <c r="O18" s="105"/>
      <c r="P18" s="264"/>
      <c r="Q18" s="264"/>
      <c r="R18" s="265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E18" s="84"/>
    </row>
    <row r="19" spans="1:31">
      <c r="A19" s="3" t="s">
        <v>360</v>
      </c>
      <c r="C19" s="262"/>
      <c r="D19" s="262"/>
      <c r="E19" s="263"/>
      <c r="G19" s="2"/>
      <c r="H19" s="2"/>
      <c r="I19" s="725"/>
      <c r="K19" s="2"/>
      <c r="M19" s="84"/>
      <c r="O19" s="3"/>
      <c r="P19" s="264"/>
      <c r="Q19" s="264"/>
      <c r="R19" s="266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E19" s="84"/>
    </row>
    <row r="20" spans="1:31">
      <c r="A20" s="3" t="s">
        <v>361</v>
      </c>
      <c r="C20" s="262">
        <f t="shared" ref="C20:D25" si="2">C37+C54+C71</f>
        <v>2083</v>
      </c>
      <c r="D20" s="262">
        <f t="shared" si="2"/>
        <v>2178</v>
      </c>
      <c r="E20" s="263">
        <v>10.92</v>
      </c>
      <c r="G20" s="2">
        <f t="shared" ref="G20:H23" si="3">G37+G54+G71</f>
        <v>22746</v>
      </c>
      <c r="H20" s="2">
        <f t="shared" si="3"/>
        <v>23783</v>
      </c>
      <c r="I20" s="263" t="e">
        <f>E20+E20*$P$27</f>
        <v>#REF!</v>
      </c>
      <c r="K20" s="2" t="e">
        <f>K37+K54+K71</f>
        <v>#REF!</v>
      </c>
      <c r="M20" s="84" t="e">
        <f>I20*D20</f>
        <v>#REF!</v>
      </c>
      <c r="O20" s="105"/>
      <c r="P20" s="264"/>
      <c r="Q20" s="264"/>
      <c r="R20" s="265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E20" s="84"/>
    </row>
    <row r="21" spans="1:31">
      <c r="A21" s="3" t="s">
        <v>362</v>
      </c>
      <c r="C21" s="262">
        <f t="shared" si="2"/>
        <v>1818</v>
      </c>
      <c r="D21" s="262">
        <f t="shared" si="2"/>
        <v>1921</v>
      </c>
      <c r="E21" s="263">
        <v>16.04</v>
      </c>
      <c r="G21" s="2">
        <f t="shared" si="3"/>
        <v>29160</v>
      </c>
      <c r="H21" s="2">
        <f t="shared" si="3"/>
        <v>30813</v>
      </c>
      <c r="I21" s="263" t="e">
        <f>E21+E21*$P$27</f>
        <v>#REF!</v>
      </c>
      <c r="K21" s="2" t="e">
        <f>K38+K55+K72</f>
        <v>#REF!</v>
      </c>
      <c r="M21" s="84" t="e">
        <f>I21*D21</f>
        <v>#REF!</v>
      </c>
      <c r="O21" s="105"/>
      <c r="P21" s="264"/>
      <c r="Q21" s="264"/>
      <c r="R21" s="265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E21" s="84"/>
    </row>
    <row r="22" spans="1:31">
      <c r="A22" s="3" t="s">
        <v>363</v>
      </c>
      <c r="C22" s="262">
        <f t="shared" si="2"/>
        <v>480</v>
      </c>
      <c r="D22" s="262">
        <f t="shared" si="2"/>
        <v>509</v>
      </c>
      <c r="E22" s="263">
        <v>25.88</v>
      </c>
      <c r="G22" s="2">
        <f t="shared" si="3"/>
        <v>12423</v>
      </c>
      <c r="H22" s="2">
        <f t="shared" si="3"/>
        <v>13173</v>
      </c>
      <c r="I22" s="263" t="e">
        <f>E22+E22*$P$27</f>
        <v>#REF!</v>
      </c>
      <c r="K22" s="2" t="e">
        <f>K39+K56+K73</f>
        <v>#REF!</v>
      </c>
      <c r="M22" s="84" t="e">
        <f>I22*D22</f>
        <v>#REF!</v>
      </c>
      <c r="O22" s="105"/>
      <c r="P22" s="264"/>
      <c r="Q22" s="264"/>
      <c r="R22" s="265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E22" s="84"/>
    </row>
    <row r="23" spans="1:31">
      <c r="A23" s="3" t="s">
        <v>364</v>
      </c>
      <c r="C23" s="262">
        <f t="shared" si="2"/>
        <v>623</v>
      </c>
      <c r="D23" s="262">
        <f t="shared" si="2"/>
        <v>658</v>
      </c>
      <c r="E23" s="267">
        <v>1</v>
      </c>
      <c r="F23" s="20"/>
      <c r="G23" s="2">
        <f t="shared" si="3"/>
        <v>623</v>
      </c>
      <c r="H23" s="2">
        <f t="shared" si="3"/>
        <v>658</v>
      </c>
      <c r="I23" s="263">
        <f>'Blocking - detail'!I23</f>
        <v>1</v>
      </c>
      <c r="J23" s="20"/>
      <c r="K23" s="2">
        <f>K40+K57+K74</f>
        <v>623</v>
      </c>
      <c r="M23" s="84">
        <f>I23*D23</f>
        <v>658</v>
      </c>
      <c r="O23" s="105"/>
      <c r="P23" s="3"/>
      <c r="Q23" s="264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E23" s="84"/>
    </row>
    <row r="24" spans="1:31">
      <c r="A24" s="3" t="s">
        <v>365</v>
      </c>
      <c r="C24" s="262">
        <f t="shared" si="2"/>
        <v>33244</v>
      </c>
      <c r="D24" s="262">
        <f t="shared" si="2"/>
        <v>2797.0833333333335</v>
      </c>
      <c r="E24" s="263"/>
      <c r="G24" s="2"/>
      <c r="H24" s="2"/>
      <c r="I24" s="263"/>
      <c r="K24" s="2"/>
      <c r="M24" s="84"/>
      <c r="O24" s="84"/>
      <c r="P24" s="3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E24" s="84"/>
    </row>
    <row r="25" spans="1:31">
      <c r="A25" s="3" t="s">
        <v>35</v>
      </c>
      <c r="C25" s="262">
        <f t="shared" si="2"/>
        <v>3613896</v>
      </c>
      <c r="D25" s="262">
        <f t="shared" si="2"/>
        <v>3794904.7279999279</v>
      </c>
      <c r="E25" s="267"/>
      <c r="F25" s="20"/>
      <c r="G25" s="2">
        <f>G42+G59+G76</f>
        <v>464816</v>
      </c>
      <c r="H25" s="2">
        <f>H42+H59+H76</f>
        <v>487916</v>
      </c>
      <c r="I25" s="267"/>
      <c r="J25" s="20"/>
      <c r="K25" s="268" t="e">
        <f>K42+K59+K76</f>
        <v>#REF!</v>
      </c>
      <c r="M25" s="84" t="e">
        <f>SUM(M16:M24)</f>
        <v>#REF!</v>
      </c>
      <c r="O25" s="269"/>
      <c r="P25" s="3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E25" s="84"/>
    </row>
    <row r="26" spans="1:31">
      <c r="A26" s="3" t="s">
        <v>366</v>
      </c>
      <c r="C26" s="262" t="e">
        <f>C43+C60+C77</f>
        <v>#REF!</v>
      </c>
      <c r="D26" s="262">
        <v>0</v>
      </c>
      <c r="E26" s="267"/>
      <c r="F26" s="20"/>
      <c r="G26" s="270" t="e">
        <f>G43+G60+G77</f>
        <v>#REF!</v>
      </c>
      <c r="H26" s="270">
        <v>0</v>
      </c>
      <c r="I26" s="267"/>
      <c r="J26" s="20"/>
      <c r="K26" s="270" t="e">
        <f>G26</f>
        <v>#REF!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E26" s="84"/>
    </row>
    <row r="27" spans="1:31" ht="16.5" thickBot="1">
      <c r="A27" s="3" t="s">
        <v>9</v>
      </c>
      <c r="C27" s="271" t="e">
        <f>C25+C26</f>
        <v>#REF!</v>
      </c>
      <c r="D27" s="271">
        <f>D25+D26</f>
        <v>3794904.7279999279</v>
      </c>
      <c r="E27" s="272"/>
      <c r="F27" s="272"/>
      <c r="G27" s="272" t="e">
        <f>G25+G26</f>
        <v>#REF!</v>
      </c>
      <c r="H27" s="272">
        <f>H25+H26</f>
        <v>487916</v>
      </c>
      <c r="I27" s="272"/>
      <c r="J27" s="272"/>
      <c r="K27" s="272" t="e">
        <f>K25+K26</f>
        <v>#REF!</v>
      </c>
      <c r="N27" s="3" t="s">
        <v>367</v>
      </c>
      <c r="O27" s="69" t="e">
        <f>#REF!*1000</f>
        <v>#REF!</v>
      </c>
      <c r="P27" s="14" t="e">
        <f>(O27-G27)/G27</f>
        <v>#REF!</v>
      </c>
      <c r="Q27" s="14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E27" s="84"/>
    </row>
    <row r="28" spans="1:31" ht="16.5" thickTop="1">
      <c r="C28" s="273"/>
      <c r="D28" s="273"/>
      <c r="E28" s="273"/>
      <c r="F28" s="273"/>
      <c r="G28" s="261"/>
      <c r="H28" s="261"/>
      <c r="I28" s="1" t="s">
        <v>31</v>
      </c>
      <c r="J28" s="273"/>
      <c r="K28" s="2" t="s">
        <v>31</v>
      </c>
      <c r="N28" s="3" t="s">
        <v>265</v>
      </c>
      <c r="O28" s="69" t="e">
        <f>O27-K27</f>
        <v>#REF!</v>
      </c>
      <c r="P28" s="14" t="e">
        <f>(O27-K27)/K27</f>
        <v>#REF!</v>
      </c>
      <c r="Q28" s="1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E28" s="84"/>
    </row>
    <row r="29" spans="1:31">
      <c r="A29" s="260" t="s">
        <v>354</v>
      </c>
      <c r="G29" s="261"/>
      <c r="H29" s="261"/>
      <c r="O29" s="274" t="s">
        <v>31</v>
      </c>
      <c r="P29" s="3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E29" s="84"/>
    </row>
    <row r="30" spans="1:31">
      <c r="A30" s="3" t="s">
        <v>368</v>
      </c>
      <c r="G30" s="261"/>
      <c r="H30" s="261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0"/>
      <c r="Z30" s="20"/>
      <c r="AA30" s="20"/>
      <c r="AB30" s="20"/>
      <c r="AC30" s="20"/>
      <c r="AE30" s="84"/>
    </row>
    <row r="31" spans="1:31">
      <c r="E31" s="262"/>
      <c r="G31" s="261"/>
      <c r="H31" s="261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0"/>
      <c r="Z31" s="20"/>
      <c r="AA31" s="20"/>
      <c r="AB31" s="20"/>
      <c r="AC31" s="20"/>
      <c r="AE31" s="84"/>
    </row>
    <row r="32" spans="1:31">
      <c r="A32" s="3" t="s">
        <v>356</v>
      </c>
      <c r="G32" s="261"/>
      <c r="H32" s="261"/>
      <c r="M32" s="276"/>
      <c r="N32" s="276"/>
      <c r="O32" s="276"/>
      <c r="P32" s="74"/>
      <c r="Q32" s="277"/>
      <c r="R32" s="278"/>
      <c r="S32" s="279"/>
      <c r="T32" s="280"/>
      <c r="U32" s="276"/>
      <c r="V32" s="276"/>
      <c r="W32" s="276"/>
      <c r="X32" s="276"/>
      <c r="Y32" s="20"/>
      <c r="Z32" s="20"/>
      <c r="AA32" s="20"/>
      <c r="AB32" s="20"/>
      <c r="AC32" s="20"/>
      <c r="AE32" s="84"/>
    </row>
    <row r="33" spans="1:31">
      <c r="A33" s="3" t="s">
        <v>357</v>
      </c>
      <c r="C33" s="262">
        <f>13866+112</f>
        <v>13978</v>
      </c>
      <c r="D33" s="262">
        <f>ROUND(C33*($D$42/$C$42),0)</f>
        <v>14355</v>
      </c>
      <c r="E33" s="263">
        <f>$E$16</f>
        <v>9.6</v>
      </c>
      <c r="G33" s="2">
        <f>ROUND(E33*$C33,0)</f>
        <v>134189</v>
      </c>
      <c r="H33" s="2">
        <f>ROUND(E33*$D33,0)</f>
        <v>137808</v>
      </c>
      <c r="I33" s="263" t="e">
        <f>$I$16</f>
        <v>#REF!</v>
      </c>
      <c r="K33" s="2" t="e">
        <f>ROUND(I33*$C33,0)</f>
        <v>#REF!</v>
      </c>
      <c r="M33" s="20"/>
      <c r="N33" s="20"/>
      <c r="O33" s="279"/>
      <c r="P33" s="74"/>
      <c r="Q33" s="276"/>
      <c r="R33" s="281"/>
      <c r="S33" s="282"/>
      <c r="T33" s="276"/>
      <c r="U33" s="279"/>
      <c r="V33" s="279"/>
      <c r="W33" s="283"/>
      <c r="X33" s="279"/>
      <c r="Y33" s="20"/>
      <c r="Z33" s="20"/>
      <c r="AA33" s="20"/>
      <c r="AB33" s="20"/>
      <c r="AC33" s="20"/>
      <c r="AE33" s="84"/>
    </row>
    <row r="34" spans="1:31">
      <c r="A34" s="3" t="s">
        <v>358</v>
      </c>
      <c r="C34" s="262">
        <f>264+13</f>
        <v>277</v>
      </c>
      <c r="D34" s="262">
        <f>ROUND(C34*($D$42/$C$42),0)</f>
        <v>284</v>
      </c>
      <c r="E34" s="263">
        <f>$E$17</f>
        <v>18.28</v>
      </c>
      <c r="G34" s="2">
        <f>ROUND(E34*$C34,0)</f>
        <v>5064</v>
      </c>
      <c r="H34" s="2">
        <f>ROUND(E34*$D34,0)</f>
        <v>5192</v>
      </c>
      <c r="I34" s="263" t="e">
        <f>$I$17</f>
        <v>#REF!</v>
      </c>
      <c r="K34" s="2" t="e">
        <f>ROUND(I34*$C34,0)</f>
        <v>#REF!</v>
      </c>
      <c r="M34" s="20"/>
      <c r="N34" s="20"/>
      <c r="O34" s="279"/>
      <c r="P34" s="74"/>
      <c r="Q34" s="20"/>
      <c r="R34" s="285"/>
      <c r="S34" s="276"/>
      <c r="T34" s="276"/>
      <c r="U34" s="279"/>
      <c r="V34" s="279"/>
      <c r="W34" s="283"/>
      <c r="X34" s="279"/>
      <c r="Y34" s="20"/>
      <c r="Z34" s="20"/>
      <c r="AA34" s="20"/>
      <c r="AB34" s="20"/>
      <c r="AC34" s="20"/>
      <c r="AE34" s="84"/>
    </row>
    <row r="35" spans="1:31">
      <c r="A35" s="3" t="s">
        <v>359</v>
      </c>
      <c r="C35" s="262">
        <v>0</v>
      </c>
      <c r="D35" s="262">
        <f>ROUND(C35*($D$42/$C$42),0)</f>
        <v>0</v>
      </c>
      <c r="E35" s="263">
        <f>$E$18</f>
        <v>37.82</v>
      </c>
      <c r="G35" s="2">
        <f>ROUND(E35*$C35,0)</f>
        <v>0</v>
      </c>
      <c r="H35" s="2">
        <f>ROUND(E35*$D35,0)</f>
        <v>0</v>
      </c>
      <c r="I35" s="263" t="e">
        <f>$I$18</f>
        <v>#REF!</v>
      </c>
      <c r="K35" s="2" t="e">
        <f>ROUND(I35*$C35,0)</f>
        <v>#REF!</v>
      </c>
      <c r="M35" s="20"/>
      <c r="N35" s="20"/>
      <c r="O35" s="279"/>
      <c r="P35" s="74"/>
      <c r="Q35" s="20"/>
      <c r="R35" s="285"/>
      <c r="S35" s="276"/>
      <c r="T35" s="276"/>
      <c r="U35" s="279"/>
      <c r="V35" s="279"/>
      <c r="W35" s="283"/>
      <c r="X35" s="279"/>
      <c r="Y35" s="20"/>
      <c r="Z35" s="20"/>
      <c r="AA35" s="20"/>
      <c r="AB35" s="20"/>
      <c r="AC35" s="20"/>
      <c r="AE35" s="84"/>
    </row>
    <row r="36" spans="1:31">
      <c r="A36" s="3" t="s">
        <v>360</v>
      </c>
      <c r="C36" s="262"/>
      <c r="D36" s="262"/>
      <c r="E36" s="263"/>
      <c r="G36" s="2"/>
      <c r="H36" s="2"/>
      <c r="I36" s="263"/>
      <c r="K36" s="2"/>
      <c r="M36" s="20"/>
      <c r="N36" s="20"/>
      <c r="O36" s="279"/>
      <c r="P36" s="74"/>
      <c r="Q36" s="20"/>
      <c r="R36" s="285"/>
      <c r="S36" s="276"/>
      <c r="T36" s="276"/>
      <c r="U36" s="279"/>
      <c r="V36" s="279"/>
      <c r="W36" s="283"/>
      <c r="X36" s="279"/>
      <c r="Y36" s="20"/>
      <c r="Z36" s="20"/>
      <c r="AA36" s="20"/>
      <c r="AB36" s="20"/>
      <c r="AC36" s="20"/>
      <c r="AE36" s="84"/>
    </row>
    <row r="37" spans="1:31">
      <c r="A37" s="3" t="s">
        <v>361</v>
      </c>
      <c r="C37" s="262">
        <f>921</f>
        <v>921</v>
      </c>
      <c r="D37" s="262">
        <f>ROUND(C37*($D$42/$C$42),0)</f>
        <v>946</v>
      </c>
      <c r="E37" s="263">
        <f>$E$20</f>
        <v>10.92</v>
      </c>
      <c r="G37" s="2">
        <f>ROUND(E37*$C37,0)</f>
        <v>10057</v>
      </c>
      <c r="H37" s="2">
        <f>ROUND(E37*$D37,0)</f>
        <v>10330</v>
      </c>
      <c r="I37" s="263" t="e">
        <f>$I$20</f>
        <v>#REF!</v>
      </c>
      <c r="K37" s="2" t="e">
        <f>ROUND(I37*$C37,0)</f>
        <v>#REF!</v>
      </c>
      <c r="M37" s="20"/>
      <c r="N37" s="20"/>
      <c r="O37" s="279"/>
      <c r="P37" s="74"/>
      <c r="Q37" s="20"/>
      <c r="R37" s="285"/>
      <c r="S37" s="276"/>
      <c r="T37" s="276"/>
      <c r="U37" s="279"/>
      <c r="V37" s="279"/>
      <c r="W37" s="283"/>
      <c r="X37" s="279"/>
      <c r="Y37" s="20"/>
      <c r="Z37" s="20"/>
      <c r="AA37" s="20"/>
      <c r="AB37" s="20"/>
      <c r="AC37" s="20"/>
      <c r="AE37" s="84"/>
    </row>
    <row r="38" spans="1:31">
      <c r="A38" s="3" t="s">
        <v>362</v>
      </c>
      <c r="C38" s="262">
        <f>228</f>
        <v>228</v>
      </c>
      <c r="D38" s="262">
        <f>ROUND(C38*($D$42/$C$42),0)</f>
        <v>234</v>
      </c>
      <c r="E38" s="263">
        <f>$E$21</f>
        <v>16.04</v>
      </c>
      <c r="G38" s="2">
        <f>ROUND(E38*$C38,0)</f>
        <v>3657</v>
      </c>
      <c r="H38" s="2">
        <f>ROUND(E38*$D38,0)</f>
        <v>3753</v>
      </c>
      <c r="I38" s="263" t="e">
        <f>$I$21</f>
        <v>#REF!</v>
      </c>
      <c r="K38" s="2" t="e">
        <f>ROUND(I38*$C38,0)</f>
        <v>#REF!</v>
      </c>
      <c r="M38" s="20"/>
      <c r="N38" s="20"/>
      <c r="O38" s="279"/>
      <c r="P38" s="74"/>
      <c r="Q38" s="20"/>
      <c r="R38" s="285"/>
      <c r="S38" s="276"/>
      <c r="T38" s="276"/>
      <c r="U38" s="279"/>
      <c r="V38" s="279"/>
      <c r="W38" s="283"/>
      <c r="X38" s="279"/>
      <c r="Y38" s="20"/>
      <c r="Z38" s="20"/>
      <c r="AA38" s="20"/>
      <c r="AB38" s="20"/>
      <c r="AC38" s="20"/>
      <c r="AE38" s="84"/>
    </row>
    <row r="39" spans="1:31">
      <c r="A39" s="3" t="s">
        <v>363</v>
      </c>
      <c r="C39" s="262">
        <f>12</f>
        <v>12</v>
      </c>
      <c r="D39" s="262">
        <f>ROUND(C39*($D$42/$C$42),0)</f>
        <v>12</v>
      </c>
      <c r="E39" s="263">
        <f>$E$22</f>
        <v>25.88</v>
      </c>
      <c r="G39" s="2">
        <f>ROUND(E39*$C39,0)</f>
        <v>311</v>
      </c>
      <c r="H39" s="2">
        <f>ROUND(E39*$D39,0)</f>
        <v>311</v>
      </c>
      <c r="I39" s="263" t="e">
        <f>$I$22</f>
        <v>#REF!</v>
      </c>
      <c r="K39" s="2" t="e">
        <f>ROUND(I39*$C39,0)</f>
        <v>#REF!</v>
      </c>
      <c r="M39" s="20"/>
      <c r="N39" s="20"/>
      <c r="O39" s="279"/>
      <c r="P39" s="74"/>
      <c r="Q39" s="20"/>
      <c r="R39" s="285"/>
      <c r="S39" s="276"/>
      <c r="T39" s="276"/>
      <c r="U39" s="279"/>
      <c r="V39" s="279"/>
      <c r="W39" s="283"/>
      <c r="X39" s="279"/>
      <c r="Y39" s="20"/>
      <c r="Z39" s="20"/>
      <c r="AA39" s="20"/>
      <c r="AB39" s="20"/>
      <c r="AC39" s="20"/>
      <c r="AE39" s="84"/>
    </row>
    <row r="40" spans="1:31">
      <c r="A40" s="3" t="s">
        <v>364</v>
      </c>
      <c r="C40" s="262">
        <f>112+13</f>
        <v>125</v>
      </c>
      <c r="D40" s="262">
        <f>ROUND(C40*($D$42/$C$42),0)</f>
        <v>128</v>
      </c>
      <c r="E40" s="263">
        <f>$E$23</f>
        <v>1</v>
      </c>
      <c r="F40" s="20"/>
      <c r="G40" s="270">
        <f>ROUND(E40*$C40,0)</f>
        <v>125</v>
      </c>
      <c r="H40" s="270">
        <f>ROUND(E40*$D40,0)</f>
        <v>128</v>
      </c>
      <c r="I40" s="267">
        <f>$I$23</f>
        <v>1</v>
      </c>
      <c r="J40" s="20"/>
      <c r="K40" s="270">
        <f>ROUND(I40*$C40,0)</f>
        <v>125</v>
      </c>
      <c r="M40" s="276"/>
      <c r="N40" s="276"/>
      <c r="O40" s="279"/>
      <c r="P40" s="74"/>
      <c r="Q40" s="20"/>
      <c r="R40" s="276"/>
      <c r="S40" s="276"/>
      <c r="T40" s="276"/>
      <c r="U40" s="279"/>
      <c r="V40" s="279"/>
      <c r="W40" s="279"/>
      <c r="X40" s="279"/>
      <c r="Y40" s="20"/>
      <c r="Z40" s="20"/>
      <c r="AA40" s="20"/>
      <c r="AB40" s="20"/>
      <c r="AC40" s="20"/>
      <c r="AE40" s="84"/>
    </row>
    <row r="41" spans="1:31">
      <c r="A41" s="3" t="s">
        <v>365</v>
      </c>
      <c r="C41" s="262">
        <v>15099</v>
      </c>
      <c r="D41" s="262">
        <v>1276.1666666666667</v>
      </c>
      <c r="E41" s="263"/>
      <c r="G41" s="2"/>
      <c r="H41" s="2"/>
      <c r="I41" s="263"/>
      <c r="K41" s="2"/>
      <c r="M41" s="276"/>
      <c r="N41" s="276"/>
      <c r="O41" s="276"/>
      <c r="P41" s="276"/>
      <c r="Q41" s="276"/>
      <c r="R41" s="276"/>
      <c r="S41" s="276"/>
      <c r="T41" s="276"/>
      <c r="U41" s="286"/>
      <c r="V41" s="276"/>
      <c r="W41" s="276"/>
      <c r="X41" s="276"/>
      <c r="Y41" s="20"/>
      <c r="Z41" s="20"/>
      <c r="AA41" s="20"/>
      <c r="AB41" s="20"/>
      <c r="AC41" s="20"/>
      <c r="AE41" s="84"/>
    </row>
    <row r="42" spans="1:31">
      <c r="A42" s="3" t="s">
        <v>35</v>
      </c>
      <c r="C42" s="262">
        <v>1147205</v>
      </c>
      <c r="D42" s="262">
        <v>1178171.795773752</v>
      </c>
      <c r="E42" s="267"/>
      <c r="F42" s="20"/>
      <c r="G42" s="270">
        <f>SUM(G33:G40)</f>
        <v>153403</v>
      </c>
      <c r="H42" s="270">
        <f>SUM(H33:H40)</f>
        <v>157522</v>
      </c>
      <c r="I42" s="267"/>
      <c r="J42" s="20"/>
      <c r="K42" s="270" t="e">
        <f>SUM(K33:K40)</f>
        <v>#REF!</v>
      </c>
      <c r="M42" s="276"/>
      <c r="N42" s="276"/>
      <c r="O42" s="285"/>
      <c r="P42" s="276"/>
      <c r="Q42" s="20"/>
      <c r="R42" s="20"/>
      <c r="S42" s="20"/>
      <c r="T42" s="276"/>
      <c r="U42" s="276"/>
      <c r="V42" s="276"/>
      <c r="W42" s="276"/>
      <c r="X42" s="276"/>
      <c r="Y42" s="20"/>
      <c r="Z42" s="20"/>
      <c r="AA42" s="20"/>
      <c r="AB42" s="20"/>
      <c r="AC42" s="20"/>
      <c r="AE42" s="84"/>
    </row>
    <row r="43" spans="1:31">
      <c r="A43" s="3" t="s">
        <v>366</v>
      </c>
      <c r="C43" s="262" t="e">
        <f>#REF!</f>
        <v>#REF!</v>
      </c>
      <c r="D43" s="262">
        <v>0</v>
      </c>
      <c r="E43" s="267"/>
      <c r="F43" s="20"/>
      <c r="G43" s="270" t="e">
        <f>#REF!</f>
        <v>#REF!</v>
      </c>
      <c r="H43" s="270">
        <v>0</v>
      </c>
      <c r="I43" s="267"/>
      <c r="J43" s="20"/>
      <c r="K43" s="270" t="e">
        <f>G43</f>
        <v>#REF!</v>
      </c>
      <c r="M43" s="442"/>
      <c r="N43" s="442"/>
      <c r="O43" s="285"/>
      <c r="P43" s="276"/>
      <c r="Q43" s="276"/>
      <c r="R43" s="281"/>
      <c r="S43" s="279"/>
      <c r="T43" s="276"/>
      <c r="U43" s="276"/>
      <c r="V43" s="276"/>
      <c r="W43" s="276"/>
      <c r="X43" s="276"/>
      <c r="Y43" s="20"/>
      <c r="Z43" s="20"/>
      <c r="AA43" s="20"/>
      <c r="AB43" s="20"/>
      <c r="AC43" s="20"/>
      <c r="AE43" s="84"/>
    </row>
    <row r="44" spans="1:31" ht="16.5" thickBot="1">
      <c r="A44" s="3" t="s">
        <v>9</v>
      </c>
      <c r="C44" s="271" t="e">
        <f>C42+C43</f>
        <v>#REF!</v>
      </c>
      <c r="D44" s="271">
        <f>SUM(D42:D43)</f>
        <v>1178171.795773752</v>
      </c>
      <c r="E44" s="272"/>
      <c r="F44" s="272"/>
      <c r="G44" s="272" t="e">
        <f>G42+G43</f>
        <v>#REF!</v>
      </c>
      <c r="H44" s="272">
        <f>H42+H43</f>
        <v>157522</v>
      </c>
      <c r="I44" s="272"/>
      <c r="J44" s="272"/>
      <c r="K44" s="272" t="e">
        <f>K42+K43</f>
        <v>#REF!</v>
      </c>
      <c r="M44" s="409"/>
      <c r="N44" s="409"/>
      <c r="O44" s="468"/>
      <c r="P44" s="276"/>
      <c r="Q44" s="276"/>
      <c r="R44" s="276"/>
      <c r="S44" s="276"/>
      <c r="T44" s="276"/>
      <c r="U44" s="276"/>
      <c r="V44" s="276"/>
      <c r="W44" s="276"/>
      <c r="X44" s="276"/>
      <c r="Y44" s="20"/>
      <c r="Z44" s="20"/>
      <c r="AA44" s="20"/>
      <c r="AB44" s="20"/>
      <c r="AC44" s="20"/>
      <c r="AE44" s="84"/>
    </row>
    <row r="45" spans="1:31" ht="16.5" thickTop="1">
      <c r="C45" s="273"/>
      <c r="D45" s="273"/>
      <c r="E45" s="273"/>
      <c r="F45" s="273"/>
      <c r="G45" s="261"/>
      <c r="H45" s="261"/>
      <c r="I45" s="1" t="s">
        <v>31</v>
      </c>
      <c r="J45" s="273"/>
      <c r="K45" s="2" t="s">
        <v>31</v>
      </c>
      <c r="M45" s="20"/>
      <c r="N45" s="20"/>
      <c r="O45" s="74"/>
      <c r="P45" s="74"/>
      <c r="Q45" s="20"/>
      <c r="R45" s="20"/>
      <c r="S45" s="20"/>
      <c r="T45" s="276"/>
      <c r="U45" s="276"/>
      <c r="V45" s="276"/>
      <c r="W45" s="276"/>
      <c r="X45" s="276"/>
      <c r="Y45" s="20"/>
      <c r="Z45" s="20"/>
      <c r="AA45" s="20"/>
      <c r="AB45" s="20"/>
      <c r="AC45" s="20"/>
      <c r="AE45" s="84"/>
    </row>
    <row r="46" spans="1:31">
      <c r="A46" s="260" t="s">
        <v>354</v>
      </c>
      <c r="G46" s="261"/>
      <c r="H46" s="261"/>
      <c r="M46" s="20"/>
      <c r="N46" s="20"/>
      <c r="O46" s="74"/>
      <c r="P46" s="74"/>
      <c r="Q46" s="20"/>
      <c r="R46" s="20"/>
      <c r="S46" s="20"/>
      <c r="T46" s="276"/>
      <c r="U46" s="276"/>
      <c r="V46" s="276"/>
      <c r="W46" s="276"/>
      <c r="X46" s="276"/>
      <c r="Y46" s="20"/>
      <c r="Z46" s="20"/>
      <c r="AA46" s="20"/>
      <c r="AB46" s="20"/>
      <c r="AC46" s="20"/>
      <c r="AE46" s="84"/>
    </row>
    <row r="47" spans="1:31">
      <c r="A47" s="3" t="s">
        <v>369</v>
      </c>
      <c r="G47" s="261"/>
      <c r="H47" s="261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0"/>
      <c r="Z47" s="20"/>
      <c r="AA47" s="20"/>
      <c r="AB47" s="20"/>
      <c r="AC47" s="20"/>
      <c r="AE47" s="84"/>
    </row>
    <row r="48" spans="1:31">
      <c r="G48" s="261"/>
      <c r="H48" s="261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0"/>
      <c r="Z48" s="20"/>
      <c r="AA48" s="20"/>
      <c r="AB48" s="20"/>
      <c r="AC48" s="20"/>
      <c r="AE48" s="84"/>
    </row>
    <row r="49" spans="1:31">
      <c r="A49" s="3" t="s">
        <v>356</v>
      </c>
      <c r="G49" s="261"/>
      <c r="H49" s="261"/>
      <c r="M49" s="276"/>
      <c r="N49" s="276"/>
      <c r="O49" s="276"/>
      <c r="P49" s="74"/>
      <c r="Q49" s="277"/>
      <c r="R49" s="278"/>
      <c r="S49" s="279"/>
      <c r="T49" s="280"/>
      <c r="U49" s="276"/>
      <c r="V49" s="276"/>
      <c r="W49" s="276"/>
      <c r="X49" s="276"/>
      <c r="Y49" s="20"/>
      <c r="Z49" s="20"/>
      <c r="AA49" s="20"/>
      <c r="AB49" s="20"/>
      <c r="AC49" s="20"/>
      <c r="AE49" s="84"/>
    </row>
    <row r="50" spans="1:31">
      <c r="A50" s="3" t="s">
        <v>357</v>
      </c>
      <c r="C50" s="262">
        <f>8606+13+6615+38</f>
        <v>15272</v>
      </c>
      <c r="D50" s="262">
        <f>ROUND(C50*($D$59/$C$59),0)</f>
        <v>16186</v>
      </c>
      <c r="E50" s="263">
        <f>$E$16</f>
        <v>9.6</v>
      </c>
      <c r="G50" s="2">
        <f>ROUND(E50*$C50,0)</f>
        <v>146611</v>
      </c>
      <c r="H50" s="2">
        <f>ROUND(E50*$D50,0)</f>
        <v>155386</v>
      </c>
      <c r="I50" s="263" t="e">
        <f>$I$16</f>
        <v>#REF!</v>
      </c>
      <c r="K50" s="2" t="e">
        <f>ROUND(I50*$C50,0)</f>
        <v>#REF!</v>
      </c>
      <c r="M50" s="20"/>
      <c r="N50" s="20"/>
      <c r="O50" s="279"/>
      <c r="P50" s="74"/>
      <c r="Q50" s="276"/>
      <c r="R50" s="281"/>
      <c r="S50" s="282"/>
      <c r="T50" s="276"/>
      <c r="U50" s="279"/>
      <c r="V50" s="279"/>
      <c r="W50" s="283"/>
      <c r="X50" s="279"/>
      <c r="Y50" s="20"/>
      <c r="Z50" s="20"/>
      <c r="AA50" s="20"/>
      <c r="AB50" s="20"/>
      <c r="AC50" s="20"/>
      <c r="AE50" s="84"/>
    </row>
    <row r="51" spans="1:31">
      <c r="A51" s="3" t="s">
        <v>358</v>
      </c>
      <c r="C51" s="262">
        <f>3424+252+432</f>
        <v>4108</v>
      </c>
      <c r="D51" s="262">
        <f>ROUND(C51*($D$59/$C$59),0)</f>
        <v>4354</v>
      </c>
      <c r="E51" s="263">
        <f>$E$17</f>
        <v>18.28</v>
      </c>
      <c r="G51" s="2">
        <f>ROUND(E51*$C51,0)</f>
        <v>75094</v>
      </c>
      <c r="H51" s="2">
        <f>ROUND(E51*$D51,0)</f>
        <v>79591</v>
      </c>
      <c r="I51" s="263" t="e">
        <f>$I$17</f>
        <v>#REF!</v>
      </c>
      <c r="K51" s="2" t="e">
        <f>ROUND(I51*$C51,0)</f>
        <v>#REF!</v>
      </c>
      <c r="M51" s="20"/>
      <c r="N51" s="20"/>
      <c r="O51" s="279"/>
      <c r="P51" s="74"/>
      <c r="Q51" s="20"/>
      <c r="R51" s="285"/>
      <c r="S51" s="276"/>
      <c r="T51" s="276"/>
      <c r="U51" s="279"/>
      <c r="V51" s="279"/>
      <c r="W51" s="283"/>
      <c r="X51" s="279"/>
      <c r="Y51" s="20"/>
      <c r="Z51" s="20"/>
      <c r="AA51" s="20"/>
      <c r="AB51" s="20"/>
      <c r="AC51" s="20"/>
      <c r="AE51" s="84"/>
    </row>
    <row r="52" spans="1:31">
      <c r="A52" s="3" t="s">
        <v>359</v>
      </c>
      <c r="C52" s="262">
        <f>512+51+36+12</f>
        <v>611</v>
      </c>
      <c r="D52" s="262">
        <f>ROUND(C52*($D$59/$C$59),0)</f>
        <v>648</v>
      </c>
      <c r="E52" s="263">
        <f>$E$18</f>
        <v>37.82</v>
      </c>
      <c r="G52" s="2">
        <f>ROUND(E52*$C52,0)</f>
        <v>23108</v>
      </c>
      <c r="H52" s="2">
        <f>ROUND(E52*$D52,0)</f>
        <v>24507</v>
      </c>
      <c r="I52" s="263" t="e">
        <f>$I$18</f>
        <v>#REF!</v>
      </c>
      <c r="K52" s="2" t="e">
        <f>ROUND(I52*$C52,0)</f>
        <v>#REF!</v>
      </c>
      <c r="M52" s="20"/>
      <c r="N52" s="20"/>
      <c r="O52" s="279"/>
      <c r="P52" s="74"/>
      <c r="Q52" s="20"/>
      <c r="R52" s="285"/>
      <c r="S52" s="276"/>
      <c r="T52" s="276"/>
      <c r="U52" s="279"/>
      <c r="V52" s="279"/>
      <c r="W52" s="283"/>
      <c r="X52" s="279"/>
      <c r="Y52" s="20"/>
      <c r="Z52" s="20"/>
      <c r="AA52" s="20"/>
      <c r="AB52" s="20"/>
      <c r="AC52" s="20"/>
      <c r="AE52" s="84"/>
    </row>
    <row r="53" spans="1:31">
      <c r="A53" s="3" t="s">
        <v>360</v>
      </c>
      <c r="C53" s="262"/>
      <c r="D53" s="262"/>
      <c r="E53" s="263"/>
      <c r="G53" s="2"/>
      <c r="H53" s="2"/>
      <c r="I53" s="263"/>
      <c r="K53" s="2"/>
      <c r="M53" s="20"/>
      <c r="N53" s="20"/>
      <c r="O53" s="279"/>
      <c r="P53" s="74"/>
      <c r="Q53" s="20"/>
      <c r="R53" s="285"/>
      <c r="S53" s="276"/>
      <c r="T53" s="276"/>
      <c r="U53" s="279"/>
      <c r="V53" s="279"/>
      <c r="W53" s="283"/>
      <c r="X53" s="279"/>
      <c r="Y53" s="20"/>
      <c r="Z53" s="20"/>
      <c r="AA53" s="20"/>
      <c r="AB53" s="20"/>
      <c r="AC53" s="20"/>
      <c r="AE53" s="84"/>
    </row>
    <row r="54" spans="1:31">
      <c r="A54" s="3" t="s">
        <v>361</v>
      </c>
      <c r="C54" s="262">
        <f>649+501</f>
        <v>1150</v>
      </c>
      <c r="D54" s="262">
        <f>ROUND(C54*($D$59/$C$59),0)</f>
        <v>1219</v>
      </c>
      <c r="E54" s="263">
        <f>$E$20</f>
        <v>10.92</v>
      </c>
      <c r="G54" s="2">
        <f>ROUND(E54*$C54,0)</f>
        <v>12558</v>
      </c>
      <c r="H54" s="2">
        <f>ROUND(E54*$D54,0)</f>
        <v>13311</v>
      </c>
      <c r="I54" s="263" t="e">
        <f>$I$20</f>
        <v>#REF!</v>
      </c>
      <c r="K54" s="2" t="e">
        <f>ROUND(I54*$C54,0)</f>
        <v>#REF!</v>
      </c>
      <c r="M54" s="20"/>
      <c r="N54" s="20"/>
      <c r="O54" s="279"/>
      <c r="P54" s="74"/>
      <c r="Q54" s="20"/>
      <c r="R54" s="285"/>
      <c r="S54" s="276"/>
      <c r="T54" s="276"/>
      <c r="U54" s="279"/>
      <c r="V54" s="279"/>
      <c r="W54" s="283"/>
      <c r="X54" s="279"/>
      <c r="Y54" s="20"/>
      <c r="Z54" s="20"/>
      <c r="AA54" s="20"/>
      <c r="AB54" s="20"/>
      <c r="AC54" s="20"/>
      <c r="AE54" s="84"/>
    </row>
    <row r="55" spans="1:31">
      <c r="A55" s="3" t="s">
        <v>362</v>
      </c>
      <c r="C55" s="262">
        <f>1253+229</f>
        <v>1482</v>
      </c>
      <c r="D55" s="262">
        <f>ROUND(C55*($D$59/$C$59),0)</f>
        <v>1571</v>
      </c>
      <c r="E55" s="263">
        <f>$E$21</f>
        <v>16.04</v>
      </c>
      <c r="G55" s="2">
        <f>ROUND(E55*$C55,0)</f>
        <v>23771</v>
      </c>
      <c r="H55" s="2">
        <f>ROUND(E55*$D55,0)</f>
        <v>25199</v>
      </c>
      <c r="I55" s="263" t="e">
        <f>$I$21</f>
        <v>#REF!</v>
      </c>
      <c r="K55" s="2" t="e">
        <f>ROUND(I55*$C55,0)</f>
        <v>#REF!</v>
      </c>
      <c r="M55" s="20"/>
      <c r="N55" s="20"/>
      <c r="O55" s="279"/>
      <c r="P55" s="74"/>
      <c r="Q55" s="20"/>
      <c r="R55" s="285"/>
      <c r="S55" s="276"/>
      <c r="T55" s="276"/>
      <c r="U55" s="279"/>
      <c r="V55" s="279"/>
      <c r="W55" s="283"/>
      <c r="X55" s="279"/>
      <c r="Y55" s="20"/>
      <c r="Z55" s="20"/>
      <c r="AA55" s="20"/>
      <c r="AB55" s="20"/>
      <c r="AC55" s="20"/>
      <c r="AE55" s="84"/>
    </row>
    <row r="56" spans="1:31">
      <c r="A56" s="3" t="s">
        <v>363</v>
      </c>
      <c r="C56" s="262">
        <f>384+48</f>
        <v>432</v>
      </c>
      <c r="D56" s="262">
        <f>ROUND(C56*($D$59/$C$59),0)</f>
        <v>458</v>
      </c>
      <c r="E56" s="263">
        <f>$E$22</f>
        <v>25.88</v>
      </c>
      <c r="G56" s="2">
        <f>ROUND(E56*$C56,0)</f>
        <v>11180</v>
      </c>
      <c r="H56" s="2">
        <f>ROUND(E56*$D56,0)</f>
        <v>11853</v>
      </c>
      <c r="I56" s="263" t="e">
        <f>$I$22</f>
        <v>#REF!</v>
      </c>
      <c r="K56" s="2" t="e">
        <f>ROUND(I56*$C56,0)</f>
        <v>#REF!</v>
      </c>
      <c r="M56" s="20"/>
      <c r="N56" s="20"/>
      <c r="O56" s="279"/>
      <c r="P56" s="74"/>
      <c r="Q56" s="20"/>
      <c r="R56" s="285"/>
      <c r="S56" s="276"/>
      <c r="T56" s="276"/>
      <c r="U56" s="279"/>
      <c r="V56" s="279"/>
      <c r="W56" s="283"/>
      <c r="X56" s="279"/>
      <c r="Y56" s="20"/>
      <c r="Z56" s="20"/>
      <c r="AA56" s="20"/>
      <c r="AB56" s="20"/>
      <c r="AC56" s="20"/>
      <c r="AE56" s="84"/>
    </row>
    <row r="57" spans="1:31">
      <c r="A57" s="3" t="s">
        <v>364</v>
      </c>
      <c r="C57" s="262">
        <f>13+252+51+38+12</f>
        <v>366</v>
      </c>
      <c r="D57" s="262">
        <f>ROUND(C57*($D$59/$C$59),0)</f>
        <v>388</v>
      </c>
      <c r="E57" s="263">
        <f>$E$23</f>
        <v>1</v>
      </c>
      <c r="F57" s="20"/>
      <c r="G57" s="270">
        <f>ROUND(E57*$C57,0)</f>
        <v>366</v>
      </c>
      <c r="H57" s="270">
        <f>ROUND(E57*$D57,0)</f>
        <v>388</v>
      </c>
      <c r="I57" s="267">
        <f>$I$23</f>
        <v>1</v>
      </c>
      <c r="J57" s="20"/>
      <c r="K57" s="270">
        <f>ROUND(I57*$C57,0)</f>
        <v>366</v>
      </c>
      <c r="M57" s="276"/>
      <c r="N57" s="276"/>
      <c r="O57" s="279"/>
      <c r="P57" s="74"/>
      <c r="Q57" s="20"/>
      <c r="R57" s="276"/>
      <c r="S57" s="276"/>
      <c r="T57" s="276"/>
      <c r="U57" s="279"/>
      <c r="V57" s="279"/>
      <c r="W57" s="279"/>
      <c r="X57" s="279"/>
      <c r="Y57" s="20"/>
      <c r="Z57" s="20"/>
      <c r="AA57" s="20"/>
      <c r="AB57" s="20"/>
      <c r="AC57" s="20"/>
      <c r="AE57" s="84"/>
    </row>
    <row r="58" spans="1:31">
      <c r="A58" s="3" t="s">
        <v>365</v>
      </c>
      <c r="C58" s="262">
        <f>10688+6709</f>
        <v>17397</v>
      </c>
      <c r="D58" s="262">
        <v>1459</v>
      </c>
      <c r="E58" s="263"/>
      <c r="G58" s="2"/>
      <c r="H58" s="2"/>
      <c r="I58" s="263"/>
      <c r="K58" s="2"/>
      <c r="M58" s="276"/>
      <c r="N58" s="276"/>
      <c r="O58" s="276"/>
      <c r="P58" s="276"/>
      <c r="Q58" s="276"/>
      <c r="R58" s="276"/>
      <c r="S58" s="276"/>
      <c r="T58" s="276"/>
      <c r="U58" s="286"/>
      <c r="V58" s="276"/>
      <c r="W58" s="276"/>
      <c r="X58" s="276"/>
      <c r="Y58" s="20"/>
      <c r="Z58" s="20"/>
      <c r="AA58" s="20"/>
      <c r="AB58" s="20"/>
      <c r="AC58" s="20"/>
      <c r="AE58" s="84"/>
    </row>
    <row r="59" spans="1:31">
      <c r="A59" s="3" t="s">
        <v>35</v>
      </c>
      <c r="C59" s="262">
        <f>1679522+631102</f>
        <v>2310624</v>
      </c>
      <c r="D59" s="262">
        <v>2448984.1343942713</v>
      </c>
      <c r="E59" s="267"/>
      <c r="F59" s="20"/>
      <c r="G59" s="270">
        <f>SUM(G50:G57)</f>
        <v>292688</v>
      </c>
      <c r="H59" s="270">
        <f>SUM(H50:H57)</f>
        <v>310235</v>
      </c>
      <c r="I59" s="267"/>
      <c r="J59" s="20"/>
      <c r="K59" s="270" t="e">
        <f>SUM(K50:K57)</f>
        <v>#REF!</v>
      </c>
      <c r="M59" s="276"/>
      <c r="N59" s="276"/>
      <c r="O59" s="285"/>
      <c r="P59" s="276"/>
      <c r="Q59" s="20"/>
      <c r="R59" s="20"/>
      <c r="S59" s="20"/>
      <c r="T59" s="276"/>
      <c r="U59" s="276"/>
      <c r="V59" s="276"/>
      <c r="W59" s="276"/>
      <c r="X59" s="276"/>
      <c r="Y59" s="20"/>
      <c r="Z59" s="20"/>
      <c r="AA59" s="20"/>
      <c r="AB59" s="20"/>
      <c r="AC59" s="20"/>
      <c r="AE59" s="84"/>
    </row>
    <row r="60" spans="1:31">
      <c r="A60" s="3" t="s">
        <v>366</v>
      </c>
      <c r="C60" s="262" t="e">
        <f>#REF!</f>
        <v>#REF!</v>
      </c>
      <c r="D60" s="262">
        <v>0</v>
      </c>
      <c r="E60" s="267"/>
      <c r="F60" s="20"/>
      <c r="G60" s="270" t="e">
        <f>#REF!</f>
        <v>#REF!</v>
      </c>
      <c r="H60" s="270">
        <v>0</v>
      </c>
      <c r="I60" s="267"/>
      <c r="J60" s="20"/>
      <c r="K60" s="270" t="e">
        <f>G60</f>
        <v>#REF!</v>
      </c>
      <c r="M60" s="442"/>
      <c r="N60" s="442"/>
      <c r="O60" s="285"/>
      <c r="P60" s="276"/>
      <c r="Q60" s="276"/>
      <c r="R60" s="281"/>
      <c r="S60" s="279"/>
      <c r="T60" s="276"/>
      <c r="U60" s="276"/>
      <c r="V60" s="276"/>
      <c r="W60" s="276"/>
      <c r="X60" s="276"/>
      <c r="Y60" s="20"/>
      <c r="Z60" s="20"/>
      <c r="AA60" s="20"/>
      <c r="AB60" s="20"/>
      <c r="AC60" s="20"/>
      <c r="AE60" s="84"/>
    </row>
    <row r="61" spans="1:31" ht="16.5" thickBot="1">
      <c r="A61" s="3" t="s">
        <v>9</v>
      </c>
      <c r="C61" s="271" t="e">
        <f>C59+C60</f>
        <v>#REF!</v>
      </c>
      <c r="D61" s="271">
        <f>SUM(D59:D60)</f>
        <v>2448984.1343942713</v>
      </c>
      <c r="E61" s="272"/>
      <c r="F61" s="272"/>
      <c r="G61" s="272" t="e">
        <f>G59+G60</f>
        <v>#REF!</v>
      </c>
      <c r="H61" s="272">
        <f>H59+H60</f>
        <v>310235</v>
      </c>
      <c r="I61" s="272"/>
      <c r="J61" s="272"/>
      <c r="K61" s="272" t="e">
        <f>K59+K60</f>
        <v>#REF!</v>
      </c>
      <c r="M61" s="409"/>
      <c r="N61" s="409"/>
      <c r="O61" s="468"/>
      <c r="P61" s="276"/>
      <c r="Q61" s="276"/>
      <c r="R61" s="276"/>
      <c r="S61" s="276"/>
      <c r="T61" s="276"/>
      <c r="U61" s="276"/>
      <c r="V61" s="276"/>
      <c r="W61" s="276"/>
      <c r="X61" s="276"/>
      <c r="Y61" s="20"/>
      <c r="Z61" s="20"/>
      <c r="AA61" s="20"/>
      <c r="AB61" s="20"/>
      <c r="AC61" s="20"/>
      <c r="AE61" s="84"/>
    </row>
    <row r="62" spans="1:31" ht="16.5" thickTop="1">
      <c r="C62" s="273"/>
      <c r="D62" s="273"/>
      <c r="E62" s="273"/>
      <c r="F62" s="273"/>
      <c r="G62" s="261"/>
      <c r="H62" s="261"/>
      <c r="I62" s="1" t="s">
        <v>31</v>
      </c>
      <c r="J62" s="273"/>
      <c r="K62" s="2" t="s">
        <v>31</v>
      </c>
      <c r="M62" s="20"/>
      <c r="N62" s="20"/>
      <c r="O62" s="74"/>
      <c r="P62" s="74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E62" s="84"/>
    </row>
    <row r="63" spans="1:31">
      <c r="A63" s="260" t="s">
        <v>354</v>
      </c>
      <c r="G63" s="261"/>
      <c r="H63" s="261"/>
      <c r="M63" s="20"/>
      <c r="N63" s="20"/>
      <c r="O63" s="74"/>
      <c r="P63" s="74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E63" s="84"/>
    </row>
    <row r="64" spans="1:31">
      <c r="A64" s="3" t="s">
        <v>370</v>
      </c>
      <c r="G64" s="261"/>
      <c r="H64" s="261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0"/>
      <c r="Z64" s="20"/>
      <c r="AA64" s="20"/>
      <c r="AB64" s="20"/>
      <c r="AC64" s="20"/>
      <c r="AE64" s="84"/>
    </row>
    <row r="65" spans="1:31">
      <c r="G65" s="261"/>
      <c r="H65" s="261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0"/>
      <c r="Z65" s="20"/>
      <c r="AA65" s="20"/>
      <c r="AB65" s="20"/>
      <c r="AC65" s="20"/>
      <c r="AE65" s="84"/>
    </row>
    <row r="66" spans="1:31">
      <c r="A66" s="3" t="s">
        <v>356</v>
      </c>
      <c r="G66" s="261"/>
      <c r="H66" s="261"/>
      <c r="M66" s="276"/>
      <c r="N66" s="276"/>
      <c r="O66" s="276"/>
      <c r="P66" s="74"/>
      <c r="Q66" s="277"/>
      <c r="R66" s="278"/>
      <c r="S66" s="279"/>
      <c r="T66" s="280"/>
      <c r="U66" s="276"/>
      <c r="V66" s="276"/>
      <c r="W66" s="276"/>
      <c r="X66" s="276"/>
      <c r="Y66" s="20"/>
      <c r="Z66" s="20"/>
      <c r="AA66" s="20"/>
      <c r="AB66" s="20"/>
      <c r="AC66" s="20"/>
      <c r="AE66" s="84"/>
    </row>
    <row r="67" spans="1:31">
      <c r="A67" s="3" t="s">
        <v>357</v>
      </c>
      <c r="C67" s="262">
        <f>329+192+132</f>
        <v>653</v>
      </c>
      <c r="D67" s="262">
        <f>ROUND(C67*($D$76/$C$76),0)</f>
        <v>702</v>
      </c>
      <c r="E67" s="263">
        <f>$E$16</f>
        <v>9.6</v>
      </c>
      <c r="G67" s="2">
        <f>ROUND(E67*$C67,0)</f>
        <v>6269</v>
      </c>
      <c r="H67" s="2">
        <f>ROUND(E67*$D67,0)</f>
        <v>6739</v>
      </c>
      <c r="I67" s="263" t="e">
        <f>$I$16</f>
        <v>#REF!</v>
      </c>
      <c r="K67" s="2" t="e">
        <f>ROUND(I67*$C67,0)</f>
        <v>#REF!</v>
      </c>
      <c r="M67" s="20"/>
      <c r="N67" s="20"/>
      <c r="O67" s="279"/>
      <c r="P67" s="74"/>
      <c r="Q67" s="276"/>
      <c r="R67" s="281"/>
      <c r="S67" s="282"/>
      <c r="T67" s="276"/>
      <c r="U67" s="279"/>
      <c r="V67" s="279"/>
      <c r="W67" s="283"/>
      <c r="X67" s="279"/>
      <c r="Y67" s="20"/>
      <c r="Z67" s="20"/>
      <c r="AA67" s="20"/>
      <c r="AB67" s="20"/>
      <c r="AC67" s="20"/>
      <c r="AE67" s="84"/>
    </row>
    <row r="68" spans="1:31">
      <c r="A68" s="3" t="s">
        <v>358</v>
      </c>
      <c r="C68" s="262">
        <f>386+36</f>
        <v>422</v>
      </c>
      <c r="D68" s="262">
        <f>ROUND(C68*($D$76/$C$76),0)</f>
        <v>454</v>
      </c>
      <c r="E68" s="263">
        <f>$E$17</f>
        <v>18.28</v>
      </c>
      <c r="G68" s="2">
        <f>ROUND(E68*$C68,0)</f>
        <v>7714</v>
      </c>
      <c r="H68" s="2">
        <f>ROUND(E68*$D68,0)</f>
        <v>8299</v>
      </c>
      <c r="I68" s="263" t="e">
        <f>$I$17</f>
        <v>#REF!</v>
      </c>
      <c r="K68" s="2" t="e">
        <f>ROUND(I68*$C68,0)</f>
        <v>#REF!</v>
      </c>
      <c r="M68" s="20"/>
      <c r="N68" s="20"/>
      <c r="O68" s="279"/>
      <c r="P68" s="74"/>
      <c r="Q68" s="20"/>
      <c r="R68" s="285"/>
      <c r="S68" s="276"/>
      <c r="T68" s="276"/>
      <c r="U68" s="279"/>
      <c r="V68" s="279"/>
      <c r="W68" s="283"/>
      <c r="X68" s="279"/>
      <c r="Y68" s="20"/>
      <c r="Z68" s="20"/>
      <c r="AA68" s="20"/>
      <c r="AB68" s="20"/>
      <c r="AC68" s="20"/>
      <c r="AE68" s="84"/>
    </row>
    <row r="69" spans="1:31">
      <c r="A69" s="3" t="s">
        <v>359</v>
      </c>
      <c r="C69" s="262">
        <f>48</f>
        <v>48</v>
      </c>
      <c r="D69" s="262">
        <f>ROUND(C69*($D$76/$C$76),0)</f>
        <v>52</v>
      </c>
      <c r="E69" s="263">
        <f>$E$18</f>
        <v>37.82</v>
      </c>
      <c r="G69" s="2">
        <f>ROUND(E69*$C69,0)</f>
        <v>1815</v>
      </c>
      <c r="H69" s="2">
        <f>ROUND(E69*$D69,0)</f>
        <v>1967</v>
      </c>
      <c r="I69" s="263" t="e">
        <f>$I$18</f>
        <v>#REF!</v>
      </c>
      <c r="K69" s="2" t="e">
        <f>ROUND(I69*$C69,0)</f>
        <v>#REF!</v>
      </c>
      <c r="M69" s="20"/>
      <c r="N69" s="20"/>
      <c r="O69" s="279"/>
      <c r="P69" s="74"/>
      <c r="Q69" s="20"/>
      <c r="R69" s="285"/>
      <c r="S69" s="276"/>
      <c r="T69" s="276"/>
      <c r="U69" s="279"/>
      <c r="V69" s="279"/>
      <c r="W69" s="283"/>
      <c r="X69" s="279"/>
      <c r="Y69" s="20"/>
      <c r="Z69" s="20"/>
      <c r="AA69" s="20"/>
      <c r="AB69" s="20"/>
      <c r="AC69" s="20"/>
      <c r="AE69" s="84"/>
    </row>
    <row r="70" spans="1:31">
      <c r="A70" s="3" t="s">
        <v>360</v>
      </c>
      <c r="C70" s="262"/>
      <c r="D70" s="262"/>
      <c r="E70" s="263"/>
      <c r="G70" s="2"/>
      <c r="H70" s="2"/>
      <c r="I70" s="263"/>
      <c r="K70" s="2"/>
      <c r="M70" s="20"/>
      <c r="N70" s="20"/>
      <c r="O70" s="279"/>
      <c r="P70" s="74"/>
      <c r="Q70" s="20"/>
      <c r="R70" s="285"/>
      <c r="S70" s="276"/>
      <c r="T70" s="276"/>
      <c r="U70" s="279"/>
      <c r="V70" s="279"/>
      <c r="W70" s="283"/>
      <c r="X70" s="279"/>
      <c r="Y70" s="20"/>
      <c r="Z70" s="20"/>
      <c r="AA70" s="20"/>
      <c r="AB70" s="20"/>
      <c r="AC70" s="20"/>
      <c r="AE70" s="84"/>
    </row>
    <row r="71" spans="1:31">
      <c r="A71" s="3" t="s">
        <v>361</v>
      </c>
      <c r="C71" s="262">
        <f>12</f>
        <v>12</v>
      </c>
      <c r="D71" s="262">
        <f>ROUND(C71*($D$76/$C$76),0)</f>
        <v>13</v>
      </c>
      <c r="E71" s="263">
        <f>$E$20</f>
        <v>10.92</v>
      </c>
      <c r="G71" s="2">
        <f>ROUND(E71*$C71,0)</f>
        <v>131</v>
      </c>
      <c r="H71" s="2">
        <f>ROUND(E71*$D71,0)</f>
        <v>142</v>
      </c>
      <c r="I71" s="263" t="e">
        <f>$I$20</f>
        <v>#REF!</v>
      </c>
      <c r="K71" s="2" t="e">
        <f>ROUND(I71*$C71,0)</f>
        <v>#REF!</v>
      </c>
      <c r="M71" s="20"/>
      <c r="N71" s="20"/>
      <c r="O71" s="279"/>
      <c r="P71" s="74"/>
      <c r="Q71" s="20"/>
      <c r="R71" s="285"/>
      <c r="S71" s="276"/>
      <c r="T71" s="276"/>
      <c r="U71" s="279"/>
      <c r="V71" s="279"/>
      <c r="W71" s="283"/>
      <c r="X71" s="279"/>
      <c r="Y71" s="20"/>
      <c r="Z71" s="20"/>
      <c r="AA71" s="20"/>
      <c r="AB71" s="20"/>
      <c r="AC71" s="20"/>
      <c r="AE71" s="84"/>
    </row>
    <row r="72" spans="1:31">
      <c r="A72" s="3" t="s">
        <v>362</v>
      </c>
      <c r="C72" s="262">
        <f>96+12</f>
        <v>108</v>
      </c>
      <c r="D72" s="262">
        <f>ROUND(C72*($D$76/$C$76),0)</f>
        <v>116</v>
      </c>
      <c r="E72" s="263">
        <f>$E$21</f>
        <v>16.04</v>
      </c>
      <c r="G72" s="2">
        <f>ROUND(E72*$C72,0)</f>
        <v>1732</v>
      </c>
      <c r="H72" s="2">
        <f>ROUND(E72*$D72,0)</f>
        <v>1861</v>
      </c>
      <c r="I72" s="263" t="e">
        <f>$I$21</f>
        <v>#REF!</v>
      </c>
      <c r="K72" s="2" t="e">
        <f>ROUND(I72*$C72,0)</f>
        <v>#REF!</v>
      </c>
      <c r="M72" s="20"/>
      <c r="N72" s="20"/>
      <c r="O72" s="279"/>
      <c r="P72" s="74"/>
      <c r="Q72" s="20"/>
      <c r="R72" s="285"/>
      <c r="S72" s="276"/>
      <c r="T72" s="276"/>
      <c r="U72" s="279"/>
      <c r="V72" s="279"/>
      <c r="W72" s="283"/>
      <c r="X72" s="279"/>
      <c r="Y72" s="20"/>
      <c r="Z72" s="20"/>
      <c r="AA72" s="20"/>
      <c r="AB72" s="20"/>
      <c r="AC72" s="20"/>
      <c r="AE72" s="84"/>
    </row>
    <row r="73" spans="1:31">
      <c r="A73" s="3" t="s">
        <v>363</v>
      </c>
      <c r="C73" s="262">
        <f>36</f>
        <v>36</v>
      </c>
      <c r="D73" s="262">
        <f>ROUND(C73*($D$76/$C$76),0)</f>
        <v>39</v>
      </c>
      <c r="E73" s="263">
        <f>$E$22</f>
        <v>25.88</v>
      </c>
      <c r="G73" s="2">
        <f>ROUND(E73*$C73,0)</f>
        <v>932</v>
      </c>
      <c r="H73" s="2">
        <f>ROUND(E73*$D73,0)</f>
        <v>1009</v>
      </c>
      <c r="I73" s="263" t="e">
        <f>$I$22</f>
        <v>#REF!</v>
      </c>
      <c r="K73" s="2" t="e">
        <f>ROUND(I73*$C73,0)</f>
        <v>#REF!</v>
      </c>
      <c r="M73" s="20"/>
      <c r="N73" s="20"/>
      <c r="O73" s="279"/>
      <c r="P73" s="74"/>
      <c r="Q73" s="20"/>
      <c r="R73" s="285"/>
      <c r="S73" s="276"/>
      <c r="T73" s="276"/>
      <c r="U73" s="279"/>
      <c r="V73" s="279"/>
      <c r="W73" s="283"/>
      <c r="X73" s="279"/>
      <c r="Y73" s="20"/>
      <c r="Z73" s="20"/>
      <c r="AA73" s="20"/>
      <c r="AB73" s="20"/>
      <c r="AC73" s="20"/>
      <c r="AE73" s="84"/>
    </row>
    <row r="74" spans="1:31">
      <c r="A74" s="3" t="s">
        <v>364</v>
      </c>
      <c r="C74" s="262">
        <f>132</f>
        <v>132</v>
      </c>
      <c r="D74" s="262">
        <f>ROUND(C74*($D$76/$C$76),0)</f>
        <v>142</v>
      </c>
      <c r="E74" s="263">
        <f>$E$23</f>
        <v>1</v>
      </c>
      <c r="F74" s="20"/>
      <c r="G74" s="270">
        <f>ROUND(E74*$C74,0)</f>
        <v>132</v>
      </c>
      <c r="H74" s="270">
        <f>ROUND(E74*$D74,0)</f>
        <v>142</v>
      </c>
      <c r="I74" s="267">
        <f>$I$23</f>
        <v>1</v>
      </c>
      <c r="J74" s="20"/>
      <c r="K74" s="270">
        <f>ROUND(I74*$C74,0)</f>
        <v>132</v>
      </c>
      <c r="M74" s="276"/>
      <c r="N74" s="276"/>
      <c r="O74" s="279"/>
      <c r="P74" s="74"/>
      <c r="Q74" s="20"/>
      <c r="R74" s="276"/>
      <c r="S74" s="276"/>
      <c r="T74" s="276"/>
      <c r="U74" s="279"/>
      <c r="V74" s="279"/>
      <c r="W74" s="279"/>
      <c r="X74" s="279"/>
      <c r="Y74" s="20"/>
      <c r="Z74" s="20"/>
      <c r="AA74" s="20"/>
      <c r="AB74" s="20"/>
      <c r="AC74" s="20"/>
      <c r="AE74" s="84"/>
    </row>
    <row r="75" spans="1:31">
      <c r="A75" s="3" t="s">
        <v>365</v>
      </c>
      <c r="C75" s="262">
        <f>520+228</f>
        <v>748</v>
      </c>
      <c r="D75" s="262">
        <v>61.916666666666664</v>
      </c>
      <c r="E75" s="263"/>
      <c r="G75" s="2"/>
      <c r="H75" s="2"/>
      <c r="I75" s="263"/>
      <c r="K75" s="2"/>
      <c r="M75" s="276"/>
      <c r="N75" s="276"/>
      <c r="O75" s="276"/>
      <c r="P75" s="276"/>
      <c r="Q75" s="276"/>
      <c r="R75" s="276"/>
      <c r="S75" s="276"/>
      <c r="T75" s="276"/>
      <c r="U75" s="286"/>
      <c r="V75" s="276"/>
      <c r="W75" s="276"/>
      <c r="X75" s="276"/>
      <c r="Y75" s="20"/>
      <c r="Z75" s="20"/>
      <c r="AA75" s="20"/>
      <c r="AB75" s="20"/>
      <c r="AC75" s="20"/>
      <c r="AE75" s="84"/>
    </row>
    <row r="76" spans="1:31">
      <c r="A76" s="3" t="s">
        <v>35</v>
      </c>
      <c r="C76" s="262">
        <f>124900+31167</f>
        <v>156067</v>
      </c>
      <c r="D76" s="262">
        <v>167748.79783190461</v>
      </c>
      <c r="E76" s="267"/>
      <c r="F76" s="20"/>
      <c r="G76" s="270">
        <f>SUM(G67:G74)</f>
        <v>18725</v>
      </c>
      <c r="H76" s="270">
        <f>SUM(H67:H74)</f>
        <v>20159</v>
      </c>
      <c r="I76" s="267"/>
      <c r="J76" s="20"/>
      <c r="K76" s="270" t="e">
        <f>SUM(K67:K74)</f>
        <v>#REF!</v>
      </c>
      <c r="M76" s="276"/>
      <c r="N76" s="276"/>
      <c r="O76" s="285"/>
      <c r="P76" s="276"/>
      <c r="Q76" s="20"/>
      <c r="R76" s="20"/>
      <c r="S76" s="20"/>
      <c r="T76" s="276"/>
      <c r="U76" s="276"/>
      <c r="V76" s="276"/>
      <c r="W76" s="276"/>
      <c r="X76" s="276"/>
      <c r="Y76" s="20"/>
      <c r="Z76" s="20"/>
      <c r="AA76" s="20"/>
      <c r="AB76" s="20"/>
      <c r="AC76" s="20"/>
      <c r="AE76" s="84"/>
    </row>
    <row r="77" spans="1:31">
      <c r="A77" s="3" t="s">
        <v>366</v>
      </c>
      <c r="C77" s="262" t="e">
        <f>#REF!</f>
        <v>#REF!</v>
      </c>
      <c r="D77" s="262">
        <v>0</v>
      </c>
      <c r="E77" s="267"/>
      <c r="F77" s="20"/>
      <c r="G77" s="270" t="e">
        <f>#REF!</f>
        <v>#REF!</v>
      </c>
      <c r="H77" s="270">
        <v>0</v>
      </c>
      <c r="I77" s="267"/>
      <c r="J77" s="20"/>
      <c r="K77" s="270" t="e">
        <f>G77</f>
        <v>#REF!</v>
      </c>
      <c r="M77" s="442"/>
      <c r="N77" s="442"/>
      <c r="O77" s="285"/>
      <c r="P77" s="276"/>
      <c r="Q77" s="276"/>
      <c r="R77" s="281"/>
      <c r="S77" s="279"/>
      <c r="T77" s="276"/>
      <c r="U77" s="276"/>
      <c r="V77" s="276"/>
      <c r="W77" s="276"/>
      <c r="X77" s="276"/>
      <c r="Y77" s="20"/>
      <c r="Z77" s="20"/>
      <c r="AA77" s="20"/>
      <c r="AB77" s="20"/>
      <c r="AC77" s="20"/>
      <c r="AE77" s="84"/>
    </row>
    <row r="78" spans="1:31" ht="16.5" thickBot="1">
      <c r="A78" s="3" t="s">
        <v>9</v>
      </c>
      <c r="C78" s="271" t="e">
        <f>C76+C77</f>
        <v>#REF!</v>
      </c>
      <c r="D78" s="271">
        <f>SUM(D76:D77)</f>
        <v>167748.79783190461</v>
      </c>
      <c r="E78" s="272"/>
      <c r="F78" s="272"/>
      <c r="G78" s="272" t="e">
        <f>G76+G77</f>
        <v>#REF!</v>
      </c>
      <c r="H78" s="272">
        <f>H76+H77</f>
        <v>20159</v>
      </c>
      <c r="I78" s="272"/>
      <c r="J78" s="272"/>
      <c r="K78" s="272" t="e">
        <f>K76+K77</f>
        <v>#REF!</v>
      </c>
      <c r="M78" s="409"/>
      <c r="N78" s="409"/>
      <c r="O78" s="468"/>
      <c r="P78" s="276"/>
      <c r="Q78" s="276"/>
      <c r="R78" s="276"/>
      <c r="S78" s="276"/>
      <c r="T78" s="276"/>
      <c r="U78" s="276"/>
      <c r="V78" s="276"/>
      <c r="W78" s="276"/>
      <c r="X78" s="276"/>
      <c r="Y78" s="20"/>
      <c r="Z78" s="20"/>
      <c r="AA78" s="20"/>
      <c r="AB78" s="20"/>
      <c r="AC78" s="20"/>
      <c r="AE78" s="84"/>
    </row>
    <row r="79" spans="1:31" ht="16.5" thickTop="1">
      <c r="C79" s="273"/>
      <c r="D79" s="273"/>
      <c r="E79" s="273"/>
      <c r="F79" s="273"/>
      <c r="G79" s="261"/>
      <c r="H79" s="261"/>
      <c r="I79" s="1" t="s">
        <v>31</v>
      </c>
      <c r="J79" s="273"/>
      <c r="K79" s="2" t="s">
        <v>31</v>
      </c>
      <c r="M79" s="20"/>
      <c r="N79" s="20"/>
      <c r="O79" s="74"/>
      <c r="P79" s="74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E79" s="84"/>
    </row>
    <row r="80" spans="1:31">
      <c r="A80" s="291" t="s">
        <v>371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20"/>
      <c r="N80" s="20"/>
      <c r="O80" s="74"/>
      <c r="P80" s="74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E80" s="84"/>
    </row>
    <row r="81" spans="1:31">
      <c r="A81" s="1" t="s">
        <v>372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469"/>
      <c r="N81" s="469"/>
      <c r="O81" s="74"/>
      <c r="P81" s="74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E81" s="84"/>
    </row>
    <row r="82" spans="1:31">
      <c r="A82" s="295"/>
      <c r="B82" s="1"/>
      <c r="C82" s="1"/>
      <c r="D82" s="1"/>
      <c r="E82" s="21"/>
      <c r="F82" s="21"/>
      <c r="G82" s="1"/>
      <c r="H82" s="1"/>
      <c r="I82" s="21"/>
      <c r="J82" s="1"/>
      <c r="K82" s="1"/>
      <c r="M82" s="20"/>
      <c r="N82" s="20"/>
      <c r="O82" s="74"/>
      <c r="P82" s="74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E82" s="84"/>
    </row>
    <row r="83" spans="1:31">
      <c r="A83" s="1" t="s">
        <v>373</v>
      </c>
      <c r="B83" s="1"/>
      <c r="C83" s="21">
        <f t="shared" ref="C83:D90" si="4">C96+C109+C122+C135</f>
        <v>1229595</v>
      </c>
      <c r="D83" s="21">
        <f t="shared" si="4"/>
        <v>1221387</v>
      </c>
      <c r="E83" s="296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296">
        <v>6.75</v>
      </c>
      <c r="J83" s="1"/>
      <c r="K83" s="2">
        <f t="shared" ref="K83:K89" si="6">K96+K109+K122+K135</f>
        <v>8299768</v>
      </c>
      <c r="M83" s="84">
        <f>I83*D83</f>
        <v>8244362.25</v>
      </c>
      <c r="O83" s="14">
        <f t="shared" ref="O83:O88" si="7">(I83-E83)/E83</f>
        <v>0.125</v>
      </c>
      <c r="T83" s="3" t="s">
        <v>374</v>
      </c>
      <c r="U83" s="3" t="s">
        <v>307</v>
      </c>
      <c r="V83" s="3" t="s">
        <v>375</v>
      </c>
      <c r="W83" s="3" t="s">
        <v>317</v>
      </c>
      <c r="X83" s="20"/>
      <c r="Y83" s="20"/>
      <c r="Z83" s="20"/>
      <c r="AA83" s="20"/>
      <c r="AB83" s="20"/>
      <c r="AC83" s="20"/>
      <c r="AE83" s="84"/>
    </row>
    <row r="84" spans="1:31">
      <c r="A84" s="1" t="s">
        <v>376</v>
      </c>
      <c r="B84" s="1"/>
      <c r="C84" s="21" t="e">
        <f t="shared" si="4"/>
        <v>#REF!</v>
      </c>
      <c r="D84" s="21">
        <f t="shared" si="4"/>
        <v>670554218.28816807</v>
      </c>
      <c r="E84" s="297">
        <v>4.9139999999999997</v>
      </c>
      <c r="F84" s="1" t="s">
        <v>377</v>
      </c>
      <c r="G84" s="2" t="e">
        <f t="shared" si="5"/>
        <v>#REF!</v>
      </c>
      <c r="H84" s="2">
        <f t="shared" si="5"/>
        <v>32951033</v>
      </c>
      <c r="I84" s="297">
        <v>5.4039999999999999</v>
      </c>
      <c r="J84" s="1" t="s">
        <v>377</v>
      </c>
      <c r="K84" s="2" t="e">
        <f t="shared" si="6"/>
        <v>#REF!</v>
      </c>
      <c r="M84" s="84">
        <f>(I84/100)*D84</f>
        <v>36236749.956292599</v>
      </c>
      <c r="O84" s="14">
        <f t="shared" si="7"/>
        <v>9.9715099715099759E-2</v>
      </c>
      <c r="Q84" s="235">
        <f>(E85-E84)/E84</f>
        <v>0.57733007733007746</v>
      </c>
      <c r="S84" s="3" t="s">
        <v>20</v>
      </c>
      <c r="T84" s="84">
        <f>H83</f>
        <v>7328322</v>
      </c>
      <c r="U84" s="84">
        <f>K83</f>
        <v>8299768</v>
      </c>
      <c r="V84" s="106">
        <v>10560201.731189568</v>
      </c>
      <c r="W84" s="235">
        <f>U84/V84</f>
        <v>0.78594786456461585</v>
      </c>
      <c r="X84" s="20"/>
      <c r="Y84" s="20"/>
      <c r="Z84" s="20"/>
      <c r="AA84" s="20"/>
      <c r="AB84" s="20"/>
      <c r="AC84" s="20"/>
      <c r="AE84" s="84"/>
    </row>
    <row r="85" spans="1:31">
      <c r="A85" s="1" t="s">
        <v>378</v>
      </c>
      <c r="B85" s="1"/>
      <c r="C85" s="21" t="e">
        <f t="shared" si="4"/>
        <v>#REF!</v>
      </c>
      <c r="D85" s="21">
        <f t="shared" si="4"/>
        <v>958583102.59308743</v>
      </c>
      <c r="E85" s="297">
        <v>7.7510000000000003</v>
      </c>
      <c r="F85" s="1" t="s">
        <v>377</v>
      </c>
      <c r="G85" s="2" t="e">
        <f t="shared" si="5"/>
        <v>#REF!</v>
      </c>
      <c r="H85" s="2">
        <f t="shared" si="5"/>
        <v>74299776</v>
      </c>
      <c r="I85" s="297">
        <f>ROUND((E85/E84*I84),3)-0.003</f>
        <v>8.520999999999999</v>
      </c>
      <c r="J85" s="1" t="s">
        <v>377</v>
      </c>
      <c r="K85" s="2" t="e">
        <f t="shared" si="6"/>
        <v>#REF!</v>
      </c>
      <c r="M85" s="84">
        <f>(I85/100)*D85</f>
        <v>81680866.171956971</v>
      </c>
      <c r="N85" s="298"/>
      <c r="O85" s="14">
        <f t="shared" si="7"/>
        <v>9.9342020384466351E-2</v>
      </c>
      <c r="Q85" s="235">
        <f>(I85-I84)/I84</f>
        <v>0.57679496669133956</v>
      </c>
      <c r="S85" s="3" t="s">
        <v>379</v>
      </c>
      <c r="T85" s="106">
        <f>E84*(D84+D85)/100</f>
        <v>80055807.948104903</v>
      </c>
      <c r="U85" s="106">
        <f>I84*(D84+D85)/100</f>
        <v>88038580.820423052</v>
      </c>
      <c r="V85" s="106">
        <v>74901422.706720337</v>
      </c>
      <c r="W85" s="235">
        <f>U85/V85</f>
        <v>1.1753926379361552</v>
      </c>
      <c r="X85" s="20"/>
      <c r="Y85" s="20"/>
      <c r="Z85" s="20"/>
      <c r="AA85" s="20"/>
      <c r="AB85" s="20"/>
      <c r="AC85" s="20"/>
      <c r="AE85" s="84"/>
    </row>
    <row r="86" spans="1:31">
      <c r="A86" s="1" t="s">
        <v>380</v>
      </c>
      <c r="B86" s="1"/>
      <c r="C86" s="21">
        <f t="shared" si="4"/>
        <v>5923</v>
      </c>
      <c r="D86" s="21">
        <f t="shared" si="4"/>
        <v>6971.808259255954</v>
      </c>
      <c r="E86" s="299">
        <v>1.55</v>
      </c>
      <c r="F86" s="1"/>
      <c r="G86" s="2">
        <f t="shared" si="5"/>
        <v>9181</v>
      </c>
      <c r="H86" s="2">
        <f t="shared" si="5"/>
        <v>10806</v>
      </c>
      <c r="I86" s="299">
        <v>1.65</v>
      </c>
      <c r="J86" s="1"/>
      <c r="K86" s="2">
        <f t="shared" si="6"/>
        <v>9773</v>
      </c>
      <c r="M86" s="84">
        <f>I86*D86</f>
        <v>11503.483627772324</v>
      </c>
      <c r="O86" s="14">
        <f t="shared" si="7"/>
        <v>6.4516129032257979E-2</v>
      </c>
      <c r="S86" s="3" t="s">
        <v>381</v>
      </c>
      <c r="T86" s="84">
        <f>H84+H85-T85</f>
        <v>27195001.051895097</v>
      </c>
      <c r="U86" s="84" t="e">
        <f>K84+K85-U85</f>
        <v>#REF!</v>
      </c>
      <c r="V86" s="106">
        <v>33130328.65840701</v>
      </c>
      <c r="W86" s="235" t="e">
        <f>U86/V86</f>
        <v>#REF!</v>
      </c>
      <c r="X86" s="20"/>
      <c r="Y86" s="20"/>
      <c r="Z86" s="20"/>
      <c r="AA86" s="20"/>
      <c r="AB86" s="20"/>
      <c r="AC86" s="20"/>
      <c r="AE86" s="84"/>
    </row>
    <row r="87" spans="1:31">
      <c r="A87" s="301" t="s">
        <v>382</v>
      </c>
      <c r="B87" s="301"/>
      <c r="C87" s="21">
        <f t="shared" si="4"/>
        <v>979</v>
      </c>
      <c r="D87" s="21">
        <f t="shared" si="4"/>
        <v>1152.184035507054</v>
      </c>
      <c r="E87" s="299">
        <v>3</v>
      </c>
      <c r="F87" s="301"/>
      <c r="G87" s="2">
        <f t="shared" si="5"/>
        <v>2937</v>
      </c>
      <c r="H87" s="2">
        <f t="shared" si="5"/>
        <v>3457</v>
      </c>
      <c r="I87" s="299">
        <f>ROUND(I86/E86*E87,2)+0.01</f>
        <v>3.1999999999999997</v>
      </c>
      <c r="J87" s="301"/>
      <c r="K87" s="2">
        <f t="shared" si="6"/>
        <v>3132</v>
      </c>
      <c r="M87" s="84">
        <f>I87*D87</f>
        <v>3686.9889136225725</v>
      </c>
      <c r="O87" s="14">
        <f t="shared" si="7"/>
        <v>6.6666666666666582E-2</v>
      </c>
      <c r="X87" s="20"/>
      <c r="Y87" s="20"/>
      <c r="Z87" s="20"/>
      <c r="AA87" s="20"/>
      <c r="AB87" s="20"/>
      <c r="AC87" s="20"/>
      <c r="AE87" s="84"/>
    </row>
    <row r="88" spans="1:31">
      <c r="A88" s="301" t="s">
        <v>383</v>
      </c>
      <c r="B88" s="301"/>
      <c r="C88" s="21">
        <f t="shared" si="4"/>
        <v>70</v>
      </c>
      <c r="D88" s="21">
        <f t="shared" si="4"/>
        <v>82.551683985472636</v>
      </c>
      <c r="E88" s="302">
        <v>-1.55</v>
      </c>
      <c r="F88" s="301"/>
      <c r="G88" s="2">
        <f t="shared" si="5"/>
        <v>-108</v>
      </c>
      <c r="H88" s="2">
        <f t="shared" si="5"/>
        <v>-128</v>
      </c>
      <c r="I88" s="302">
        <f>-I86</f>
        <v>-1.65</v>
      </c>
      <c r="J88" s="301"/>
      <c r="K88" s="2">
        <f t="shared" si="6"/>
        <v>-115</v>
      </c>
      <c r="M88" s="84">
        <f>I88*D88</f>
        <v>-136.21027857602985</v>
      </c>
      <c r="O88" s="14">
        <f t="shared" si="7"/>
        <v>6.4516129032257979E-2</v>
      </c>
      <c r="X88" s="20"/>
      <c r="Y88" s="20"/>
      <c r="Z88" s="20"/>
      <c r="AA88" s="20"/>
      <c r="AB88" s="20"/>
      <c r="AC88" s="20"/>
      <c r="AE88" s="84"/>
    </row>
    <row r="89" spans="1:31">
      <c r="A89" s="1" t="s">
        <v>384</v>
      </c>
      <c r="B89" s="303"/>
      <c r="C89" s="21" t="e">
        <f t="shared" si="4"/>
        <v>#REF!</v>
      </c>
      <c r="D89" s="21">
        <f t="shared" si="4"/>
        <v>1629137320.8812554</v>
      </c>
      <c r="E89" s="304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84">
        <f>SUM(M83:M88)</f>
        <v>126177032.64051239</v>
      </c>
      <c r="O89" s="14"/>
      <c r="X89" s="20"/>
      <c r="Y89" s="20"/>
      <c r="Z89" s="20"/>
      <c r="AA89" s="20"/>
      <c r="AB89" s="20"/>
      <c r="AC89" s="20"/>
      <c r="AE89" s="84"/>
    </row>
    <row r="90" spans="1:31">
      <c r="A90" s="1" t="s">
        <v>366</v>
      </c>
      <c r="B90" s="305"/>
      <c r="C90" s="306" t="e">
        <f t="shared" si="4"/>
        <v>#REF!</v>
      </c>
      <c r="D90" s="306">
        <f t="shared" si="4"/>
        <v>0</v>
      </c>
      <c r="E90" s="307"/>
      <c r="F90" s="307"/>
      <c r="G90" s="308" t="e">
        <f t="shared" si="5"/>
        <v>#REF!</v>
      </c>
      <c r="H90" s="308">
        <f t="shared" si="5"/>
        <v>0</v>
      </c>
      <c r="I90" s="307"/>
      <c r="J90" s="307"/>
      <c r="K90" s="308" t="e">
        <f>G90</f>
        <v>#REF!</v>
      </c>
      <c r="X90" s="20"/>
      <c r="Y90" s="20"/>
      <c r="Z90" s="20"/>
      <c r="AA90" s="20"/>
      <c r="AB90" s="20"/>
      <c r="AC90" s="20"/>
      <c r="AE90" s="84"/>
    </row>
    <row r="91" spans="1:31" ht="16.5" thickBot="1">
      <c r="A91" s="1" t="s">
        <v>385</v>
      </c>
      <c r="B91" s="1"/>
      <c r="C91" s="309" t="e">
        <f>C89+C90</f>
        <v>#REF!</v>
      </c>
      <c r="D91" s="309">
        <f>D84+D85+D90</f>
        <v>1629137320.8812556</v>
      </c>
      <c r="E91" s="310"/>
      <c r="F91" s="310"/>
      <c r="G91" s="310" t="e">
        <f>G89+G90</f>
        <v>#REF!</v>
      </c>
      <c r="H91" s="310">
        <f>H89+H90</f>
        <v>114593266</v>
      </c>
      <c r="I91" s="310"/>
      <c r="J91" s="310"/>
      <c r="K91" s="310" t="e">
        <f>K89+K90</f>
        <v>#REF!</v>
      </c>
      <c r="N91" s="3" t="s">
        <v>367</v>
      </c>
      <c r="O91" s="69" t="e">
        <f>#REF!*1000</f>
        <v>#REF!</v>
      </c>
      <c r="X91" s="20"/>
      <c r="Y91" s="20"/>
      <c r="Z91" s="20"/>
      <c r="AA91" s="20"/>
      <c r="AB91" s="20"/>
      <c r="AC91" s="20"/>
      <c r="AE91" s="84"/>
    </row>
    <row r="92" spans="1:31" ht="16.5" thickTop="1">
      <c r="A92" s="1"/>
      <c r="B92" s="311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265</v>
      </c>
      <c r="O92" s="69" t="e">
        <f>O91-K91</f>
        <v>#REF!</v>
      </c>
      <c r="P92" s="312" t="e">
        <f>(O91-K91)/K91</f>
        <v>#REF!</v>
      </c>
      <c r="X92" s="20"/>
      <c r="Y92" s="20"/>
      <c r="Z92" s="20"/>
      <c r="AA92" s="20"/>
      <c r="AB92" s="20"/>
      <c r="AC92" s="20"/>
      <c r="AE92" s="84"/>
    </row>
    <row r="93" spans="1:31">
      <c r="A93" s="291" t="s">
        <v>386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M93" s="20"/>
      <c r="N93" s="20"/>
      <c r="O93" s="239"/>
      <c r="P93" s="74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E93" s="84"/>
    </row>
    <row r="94" spans="1:31">
      <c r="A94" s="1" t="s">
        <v>333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M94" s="20"/>
      <c r="N94" s="20"/>
      <c r="O94" s="74"/>
      <c r="P94" s="74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E94" s="84"/>
    </row>
    <row r="95" spans="1:31">
      <c r="A95" s="295"/>
      <c r="B95" s="1"/>
      <c r="C95" s="1"/>
      <c r="D95" s="1"/>
      <c r="E95" s="21"/>
      <c r="F95" s="21"/>
      <c r="G95" s="1"/>
      <c r="H95" s="1"/>
      <c r="I95" s="21"/>
      <c r="J95" s="1"/>
      <c r="K95" s="1"/>
      <c r="M95" s="20"/>
      <c r="N95" s="20"/>
      <c r="O95" s="74"/>
      <c r="P95" s="74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E95" s="84"/>
    </row>
    <row r="96" spans="1:31">
      <c r="A96" s="1" t="s">
        <v>373</v>
      </c>
      <c r="B96" s="1"/>
      <c r="C96" s="21">
        <f>1191112+6</f>
        <v>1191118</v>
      </c>
      <c r="D96" s="21">
        <f>1191112+6</f>
        <v>1191118</v>
      </c>
      <c r="E96" s="296">
        <f>$E$83</f>
        <v>6</v>
      </c>
      <c r="F96" s="1"/>
      <c r="G96" s="2">
        <f>ROUND(E96*$C96,0)</f>
        <v>7146708</v>
      </c>
      <c r="H96" s="2">
        <f>ROUND(E96*$D96,0)</f>
        <v>7146708</v>
      </c>
      <c r="I96" s="296">
        <f>$I$83</f>
        <v>6.75</v>
      </c>
      <c r="J96" s="1"/>
      <c r="K96" s="2">
        <f>ROUND(I96*$C96,0)</f>
        <v>8040047</v>
      </c>
      <c r="M96" s="20"/>
      <c r="N96" s="20"/>
      <c r="O96" s="74"/>
      <c r="P96" s="74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E96" s="84"/>
    </row>
    <row r="97" spans="1:31">
      <c r="A97" s="1" t="s">
        <v>376</v>
      </c>
      <c r="B97" s="1"/>
      <c r="C97" s="21" t="e">
        <f>652855208+600+#REF!*1000</f>
        <v>#REF!</v>
      </c>
      <c r="D97" s="21">
        <f>652855208+600</f>
        <v>652855808</v>
      </c>
      <c r="E97" s="297">
        <f>$E$84</f>
        <v>4.9139999999999997</v>
      </c>
      <c r="F97" s="1" t="s">
        <v>377</v>
      </c>
      <c r="G97" s="2" t="e">
        <f>ROUND(E97*$C97/100,0)</f>
        <v>#REF!</v>
      </c>
      <c r="H97" s="2">
        <f>ROUND(E97*$D97/100,0)</f>
        <v>32081334</v>
      </c>
      <c r="I97" s="297">
        <f>$I$84</f>
        <v>5.4039999999999999</v>
      </c>
      <c r="J97" s="1" t="s">
        <v>377</v>
      </c>
      <c r="K97" s="2" t="e">
        <f>ROUND(I97*$C97/100,0)</f>
        <v>#REF!</v>
      </c>
      <c r="M97" s="20"/>
      <c r="N97" s="20"/>
      <c r="O97" s="74"/>
      <c r="P97" s="74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E97" s="84"/>
    </row>
    <row r="98" spans="1:31">
      <c r="A98" s="1" t="s">
        <v>378</v>
      </c>
      <c r="B98" s="21"/>
      <c r="C98" s="21" t="e">
        <f>1582245854+1297-C97+#REF!*1000</f>
        <v>#REF!</v>
      </c>
      <c r="D98" s="21">
        <f>1582245854+1297-D97</f>
        <v>929391343</v>
      </c>
      <c r="E98" s="297">
        <f>$E$85</f>
        <v>7.7510000000000003</v>
      </c>
      <c r="F98" s="1" t="s">
        <v>377</v>
      </c>
      <c r="G98" s="2" t="e">
        <f>ROUND(E98*$C98/100,0)</f>
        <v>#REF!</v>
      </c>
      <c r="H98" s="2">
        <f>ROUND(E98*$D98/100,0)</f>
        <v>72037123</v>
      </c>
      <c r="I98" s="297">
        <f>$I$85</f>
        <v>8.520999999999999</v>
      </c>
      <c r="J98" s="1" t="s">
        <v>377</v>
      </c>
      <c r="K98" s="2" t="e">
        <f>ROUND(I98*$C98/100,0)</f>
        <v>#REF!</v>
      </c>
      <c r="M98" s="20"/>
      <c r="N98" s="20"/>
      <c r="O98" s="74"/>
      <c r="P98" s="74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E98" s="84"/>
    </row>
    <row r="99" spans="1:31">
      <c r="A99" s="1" t="s">
        <v>380</v>
      </c>
      <c r="B99" s="1"/>
      <c r="C99" s="21">
        <v>0</v>
      </c>
      <c r="D99" s="21">
        <v>0</v>
      </c>
      <c r="E99" s="299">
        <f>$E$86</f>
        <v>1.55</v>
      </c>
      <c r="F99" s="1"/>
      <c r="G99" s="2">
        <f>ROUND(E99*$C99,0)</f>
        <v>0</v>
      </c>
      <c r="H99" s="2">
        <v>0</v>
      </c>
      <c r="I99" s="299">
        <f>$I$86</f>
        <v>1.65</v>
      </c>
      <c r="J99" s="1"/>
      <c r="K99" s="2">
        <f>ROUND(I99*$C99,0)</f>
        <v>0</v>
      </c>
      <c r="M99" s="20"/>
      <c r="N99" s="20"/>
      <c r="O99" s="74"/>
      <c r="P99" s="74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E99" s="84"/>
    </row>
    <row r="100" spans="1:31">
      <c r="A100" s="301" t="s">
        <v>382</v>
      </c>
      <c r="B100" s="301"/>
      <c r="C100" s="21">
        <v>0</v>
      </c>
      <c r="D100" s="21">
        <v>0</v>
      </c>
      <c r="E100" s="299">
        <f>$E$87</f>
        <v>3</v>
      </c>
      <c r="F100" s="301"/>
      <c r="G100" s="2">
        <f>ROUND(E100*$C100,0)</f>
        <v>0</v>
      </c>
      <c r="H100" s="2">
        <v>0</v>
      </c>
      <c r="I100" s="299">
        <f>$I$87</f>
        <v>3.1999999999999997</v>
      </c>
      <c r="J100" s="301"/>
      <c r="K100" s="2">
        <f>ROUND(I100*$C100,0)</f>
        <v>0</v>
      </c>
      <c r="M100" s="20"/>
      <c r="N100" s="20"/>
      <c r="O100" s="74"/>
      <c r="P100" s="74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E100" s="84"/>
    </row>
    <row r="101" spans="1:31">
      <c r="A101" s="301" t="s">
        <v>383</v>
      </c>
      <c r="B101" s="301"/>
      <c r="C101" s="21">
        <v>0</v>
      </c>
      <c r="D101" s="21">
        <v>0</v>
      </c>
      <c r="E101" s="302">
        <f>-E99</f>
        <v>-1.55</v>
      </c>
      <c r="F101" s="301"/>
      <c r="G101" s="2">
        <f>ROUND(E101*$C101,0)</f>
        <v>0</v>
      </c>
      <c r="H101" s="2">
        <v>0</v>
      </c>
      <c r="I101" s="302">
        <f>-I99</f>
        <v>-1.65</v>
      </c>
      <c r="J101" s="301"/>
      <c r="K101" s="2">
        <f>ROUND(I101*$C101,0)</f>
        <v>0</v>
      </c>
      <c r="M101" s="20"/>
      <c r="N101" s="20"/>
      <c r="O101" s="74"/>
      <c r="P101" s="74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E101" s="84"/>
    </row>
    <row r="102" spans="1:31">
      <c r="A102" s="1" t="s">
        <v>384</v>
      </c>
      <c r="B102" s="303"/>
      <c r="C102" s="21" t="e">
        <f>SUM(C97:C98)</f>
        <v>#REF!</v>
      </c>
      <c r="D102" s="21">
        <f>SUM(D97:D98)</f>
        <v>1582247151</v>
      </c>
      <c r="E102" s="304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20"/>
      <c r="N102" s="20"/>
      <c r="O102" s="51"/>
      <c r="P102" s="74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E102" s="84"/>
    </row>
    <row r="103" spans="1:31">
      <c r="A103" s="1" t="s">
        <v>366</v>
      </c>
      <c r="B103" s="305"/>
      <c r="C103" s="315" t="e">
        <f>#REF!</f>
        <v>#REF!</v>
      </c>
      <c r="D103" s="306">
        <v>0</v>
      </c>
      <c r="E103" s="307"/>
      <c r="F103" s="307"/>
      <c r="G103" s="308" t="e">
        <f>#REF!</f>
        <v>#REF!</v>
      </c>
      <c r="H103" s="306">
        <v>0</v>
      </c>
      <c r="I103" s="307"/>
      <c r="J103" s="307"/>
      <c r="K103" s="308" t="e">
        <f>G103</f>
        <v>#REF!</v>
      </c>
      <c r="M103" s="442"/>
      <c r="N103" s="442"/>
      <c r="O103" s="285"/>
      <c r="P103" s="74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E103" s="84"/>
    </row>
    <row r="104" spans="1:31" ht="16.5" thickBot="1">
      <c r="A104" s="1" t="s">
        <v>385</v>
      </c>
      <c r="B104" s="1"/>
      <c r="C104" s="309" t="e">
        <f>C102+C103</f>
        <v>#REF!</v>
      </c>
      <c r="D104" s="309">
        <f>SUM(D102:D103)</f>
        <v>1582247151</v>
      </c>
      <c r="E104" s="310"/>
      <c r="F104" s="310"/>
      <c r="G104" s="310" t="e">
        <f>G102+G103</f>
        <v>#REF!</v>
      </c>
      <c r="H104" s="316">
        <f>SUM(H102:H103)</f>
        <v>111265165</v>
      </c>
      <c r="I104" s="310"/>
      <c r="J104" s="310"/>
      <c r="K104" s="310" t="e">
        <f>K102+K103</f>
        <v>#REF!</v>
      </c>
      <c r="M104" s="409"/>
      <c r="N104" s="409"/>
      <c r="O104" s="468"/>
      <c r="P104" s="74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E104" s="84"/>
    </row>
    <row r="105" spans="1:31" ht="16.5" thickTop="1">
      <c r="A105" s="1"/>
      <c r="B105" s="311"/>
      <c r="C105" s="21"/>
      <c r="D105" s="21"/>
      <c r="E105" s="21"/>
      <c r="F105" s="21"/>
      <c r="I105" s="1" t="s">
        <v>31</v>
      </c>
      <c r="J105" s="1"/>
      <c r="K105" s="2" t="s">
        <v>31</v>
      </c>
      <c r="M105" s="20"/>
      <c r="N105" s="20"/>
      <c r="O105" s="74"/>
      <c r="P105" s="74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E105" s="84"/>
    </row>
    <row r="106" spans="1:31">
      <c r="A106" s="291" t="s">
        <v>387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M106" s="20"/>
      <c r="N106" s="20"/>
      <c r="O106" s="74"/>
      <c r="P106" s="74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E106" s="84"/>
    </row>
    <row r="107" spans="1:31">
      <c r="A107" s="1" t="s">
        <v>333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M107" s="20"/>
      <c r="N107" s="20"/>
      <c r="O107" s="74"/>
      <c r="P107" s="74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E107" s="84"/>
    </row>
    <row r="108" spans="1:31">
      <c r="A108" s="295"/>
      <c r="B108" s="1"/>
      <c r="C108" s="1"/>
      <c r="D108" s="1"/>
      <c r="E108" s="21"/>
      <c r="F108" s="21"/>
      <c r="G108" s="1"/>
      <c r="H108" s="1"/>
      <c r="I108" s="21"/>
      <c r="J108" s="1"/>
      <c r="K108" s="1"/>
      <c r="M108" s="20"/>
      <c r="N108" s="20"/>
      <c r="O108" s="74"/>
      <c r="P108" s="74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E108" s="84"/>
    </row>
    <row r="109" spans="1:31">
      <c r="A109" s="1" t="s">
        <v>373</v>
      </c>
      <c r="B109" s="1"/>
      <c r="C109" s="21">
        <f>36986</f>
        <v>36986</v>
      </c>
      <c r="D109" s="21">
        <v>28799</v>
      </c>
      <c r="E109" s="296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296">
        <f>$I$83</f>
        <v>6.75</v>
      </c>
      <c r="J109" s="1"/>
      <c r="K109" s="2">
        <f>ROUND(I109*$C109,0)</f>
        <v>249656</v>
      </c>
      <c r="M109" s="20"/>
      <c r="N109" s="20"/>
      <c r="O109" s="74"/>
      <c r="P109" s="74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E109" s="84"/>
    </row>
    <row r="110" spans="1:31">
      <c r="A110" s="1" t="s">
        <v>376</v>
      </c>
      <c r="B110" s="1"/>
      <c r="C110" s="21">
        <f>21464809</f>
        <v>21464809</v>
      </c>
      <c r="D110" s="21">
        <v>16847282.170853201</v>
      </c>
      <c r="E110" s="297">
        <f>$E$84</f>
        <v>4.9139999999999997</v>
      </c>
      <c r="F110" s="1" t="s">
        <v>377</v>
      </c>
      <c r="G110" s="2">
        <f>ROUND(E110*$C110/100,0)</f>
        <v>1054781</v>
      </c>
      <c r="H110" s="2">
        <f>ROUND(E110*$D110/100,0)</f>
        <v>827875</v>
      </c>
      <c r="I110" s="297">
        <f>$I$84</f>
        <v>5.4039999999999999</v>
      </c>
      <c r="J110" s="1" t="s">
        <v>377</v>
      </c>
      <c r="K110" s="2">
        <f>ROUND(I110*$C110/100,0)</f>
        <v>1159958</v>
      </c>
      <c r="M110" s="20"/>
      <c r="N110" s="20"/>
      <c r="O110" s="74"/>
      <c r="P110" s="74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E110" s="84"/>
    </row>
    <row r="111" spans="1:31">
      <c r="A111" s="1" t="s">
        <v>378</v>
      </c>
      <c r="B111" s="1"/>
      <c r="C111" s="21">
        <f>55153831-C110</f>
        <v>33689022</v>
      </c>
      <c r="D111" s="21">
        <v>26441812.722120248</v>
      </c>
      <c r="E111" s="297">
        <f>$E$85</f>
        <v>7.7510000000000003</v>
      </c>
      <c r="F111" s="1" t="s">
        <v>377</v>
      </c>
      <c r="G111" s="2">
        <f>ROUND(E111*$C111/100,0)</f>
        <v>2611236</v>
      </c>
      <c r="H111" s="2">
        <f>ROUND(E111*$D111/100,0)</f>
        <v>2049505</v>
      </c>
      <c r="I111" s="297">
        <f>$I$85</f>
        <v>8.520999999999999</v>
      </c>
      <c r="J111" s="1" t="s">
        <v>377</v>
      </c>
      <c r="K111" s="2">
        <f>ROUND(I111*$C111/100,0)</f>
        <v>2870642</v>
      </c>
      <c r="M111" s="20"/>
      <c r="N111" s="20"/>
      <c r="O111" s="74"/>
      <c r="P111" s="74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E111" s="84"/>
    </row>
    <row r="112" spans="1:31">
      <c r="A112" s="1" t="s">
        <v>380</v>
      </c>
      <c r="B112" s="1"/>
      <c r="C112" s="21">
        <v>0</v>
      </c>
      <c r="D112" s="21">
        <v>0</v>
      </c>
      <c r="E112" s="299">
        <f>$E$86</f>
        <v>1.55</v>
      </c>
      <c r="F112" s="1"/>
      <c r="G112" s="2">
        <f>ROUND(E112*$C112,0)</f>
        <v>0</v>
      </c>
      <c r="H112" s="2">
        <v>0</v>
      </c>
      <c r="I112" s="299">
        <f>$I$86</f>
        <v>1.65</v>
      </c>
      <c r="J112" s="1"/>
      <c r="K112" s="2">
        <f>ROUND(I112*$C112,0)</f>
        <v>0</v>
      </c>
      <c r="M112" s="20"/>
      <c r="N112" s="20"/>
      <c r="O112" s="74"/>
      <c r="P112" s="74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E112" s="84"/>
    </row>
    <row r="113" spans="1:31">
      <c r="A113" s="301" t="s">
        <v>382</v>
      </c>
      <c r="B113" s="301"/>
      <c r="C113" s="21">
        <v>0</v>
      </c>
      <c r="D113" s="21">
        <v>0</v>
      </c>
      <c r="E113" s="299">
        <f>$E$87</f>
        <v>3</v>
      </c>
      <c r="F113" s="301"/>
      <c r="G113" s="2">
        <f>ROUND(E113*$C113,0)</f>
        <v>0</v>
      </c>
      <c r="H113" s="2">
        <v>0</v>
      </c>
      <c r="I113" s="299">
        <f>$I$87</f>
        <v>3.1999999999999997</v>
      </c>
      <c r="J113" s="301"/>
      <c r="K113" s="2">
        <f>ROUND(I113*$C113,0)</f>
        <v>0</v>
      </c>
      <c r="M113" s="20"/>
      <c r="N113" s="20"/>
      <c r="O113" s="74"/>
      <c r="P113" s="74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E113" s="84"/>
    </row>
    <row r="114" spans="1:31">
      <c r="A114" s="301" t="s">
        <v>383</v>
      </c>
      <c r="B114" s="301"/>
      <c r="C114" s="21">
        <v>0</v>
      </c>
      <c r="D114" s="21">
        <v>0</v>
      </c>
      <c r="E114" s="302">
        <f>-E112</f>
        <v>-1.55</v>
      </c>
      <c r="F114" s="301"/>
      <c r="G114" s="2">
        <f>ROUND(E114*$C114,0)</f>
        <v>0</v>
      </c>
      <c r="H114" s="2">
        <v>0</v>
      </c>
      <c r="I114" s="302">
        <f>-I112</f>
        <v>-1.65</v>
      </c>
      <c r="J114" s="301"/>
      <c r="K114" s="2">
        <f>ROUND(I114*$C114,0)</f>
        <v>0</v>
      </c>
      <c r="M114" s="20"/>
      <c r="N114" s="20"/>
      <c r="O114" s="74"/>
      <c r="P114" s="74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E114" s="84"/>
    </row>
    <row r="115" spans="1:31">
      <c r="A115" s="1" t="s">
        <v>384</v>
      </c>
      <c r="B115" s="1"/>
      <c r="C115" s="21">
        <f>SUM(C110:C111)</f>
        <v>55153831</v>
      </c>
      <c r="D115" s="21">
        <v>43289094.892973453</v>
      </c>
      <c r="E115" s="304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20"/>
      <c r="N115" s="20"/>
      <c r="O115" s="74"/>
      <c r="P115" s="74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E115" s="84"/>
    </row>
    <row r="116" spans="1:31">
      <c r="A116" s="1" t="s">
        <v>366</v>
      </c>
      <c r="B116" s="1"/>
      <c r="C116" s="315" t="e">
        <f>#REF!</f>
        <v>#REF!</v>
      </c>
      <c r="D116" s="306">
        <v>0</v>
      </c>
      <c r="E116" s="307"/>
      <c r="F116" s="307"/>
      <c r="G116" s="308" t="e">
        <f>#REF!</f>
        <v>#REF!</v>
      </c>
      <c r="H116" s="306">
        <v>0</v>
      </c>
      <c r="I116" s="307"/>
      <c r="J116" s="307"/>
      <c r="K116" s="308" t="e">
        <f>G116</f>
        <v>#REF!</v>
      </c>
      <c r="M116" s="442"/>
      <c r="N116" s="442"/>
      <c r="O116" s="285"/>
      <c r="P116" s="74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E116" s="84"/>
    </row>
    <row r="117" spans="1:31" ht="16.5" thickBot="1">
      <c r="A117" s="1" t="s">
        <v>385</v>
      </c>
      <c r="B117" s="1"/>
      <c r="C117" s="309" t="e">
        <f>C115+C116</f>
        <v>#REF!</v>
      </c>
      <c r="D117" s="309">
        <f>SUM(D115:D116)</f>
        <v>43289094.892973453</v>
      </c>
      <c r="E117" s="310"/>
      <c r="F117" s="310"/>
      <c r="G117" s="310" t="e">
        <f>G115+G116</f>
        <v>#REF!</v>
      </c>
      <c r="H117" s="316">
        <f>SUM(H115:H116)</f>
        <v>3050174</v>
      </c>
      <c r="I117" s="310"/>
      <c r="J117" s="310"/>
      <c r="K117" s="310" t="e">
        <f>K115+K116</f>
        <v>#REF!</v>
      </c>
      <c r="M117" s="409"/>
      <c r="N117" s="409"/>
      <c r="O117" s="468"/>
      <c r="P117" s="74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E117" s="84"/>
    </row>
    <row r="118" spans="1:31" ht="16.5" thickTop="1">
      <c r="A118" s="1"/>
      <c r="B118" s="311"/>
      <c r="C118" s="21"/>
      <c r="D118" s="21"/>
      <c r="E118" s="21"/>
      <c r="F118" s="21"/>
      <c r="I118" s="1" t="s">
        <v>31</v>
      </c>
      <c r="J118" s="1"/>
      <c r="K118" s="2" t="s">
        <v>31</v>
      </c>
      <c r="M118" s="20"/>
      <c r="N118" s="20"/>
      <c r="O118" s="74"/>
      <c r="P118" s="74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E118" s="84"/>
    </row>
    <row r="119" spans="1:31">
      <c r="A119" s="291" t="s">
        <v>388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M119" s="20"/>
      <c r="N119" s="20"/>
      <c r="O119" s="74"/>
      <c r="P119" s="74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E119" s="84"/>
    </row>
    <row r="120" spans="1:31">
      <c r="A120" s="1" t="s">
        <v>333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M120" s="20"/>
      <c r="N120" s="20"/>
      <c r="O120" s="74"/>
      <c r="P120" s="74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E120" s="84"/>
    </row>
    <row r="121" spans="1:31">
      <c r="A121" s="295"/>
      <c r="B121" s="1"/>
      <c r="C121" s="1"/>
      <c r="D121" s="1"/>
      <c r="E121" s="21"/>
      <c r="F121" s="21"/>
      <c r="G121" s="1"/>
      <c r="H121" s="1"/>
      <c r="I121" s="21"/>
      <c r="J121" s="1"/>
      <c r="K121" s="1"/>
      <c r="M121" s="20"/>
      <c r="N121" s="20"/>
      <c r="O121" s="74"/>
      <c r="P121" s="74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E121" s="84"/>
    </row>
    <row r="122" spans="1:31">
      <c r="A122" s="1" t="s">
        <v>373</v>
      </c>
      <c r="B122" s="1"/>
      <c r="C122" s="21">
        <v>1189</v>
      </c>
      <c r="D122" s="21">
        <v>1155</v>
      </c>
      <c r="E122" s="296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296">
        <f>$I$83</f>
        <v>6.75</v>
      </c>
      <c r="J122" s="1"/>
      <c r="K122" s="2">
        <f>ROUND(I122*$C122,0)</f>
        <v>8026</v>
      </c>
      <c r="M122" s="20"/>
      <c r="N122" s="20"/>
      <c r="O122" s="74"/>
      <c r="P122" s="74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E122" s="84"/>
    </row>
    <row r="123" spans="1:31">
      <c r="A123" s="1" t="s">
        <v>376</v>
      </c>
      <c r="B123" s="1"/>
      <c r="C123" s="21" t="e">
        <f>651938+#REF!*1000</f>
        <v>#REF!</v>
      </c>
      <c r="D123" s="21">
        <v>640984.27568677999</v>
      </c>
      <c r="E123" s="297">
        <f>$E$84</f>
        <v>4.9139999999999997</v>
      </c>
      <c r="F123" s="1" t="s">
        <v>377</v>
      </c>
      <c r="G123" s="2" t="e">
        <f>ROUND(E123*$C123/100,0)</f>
        <v>#REF!</v>
      </c>
      <c r="H123" s="2">
        <f>ROUND(E123*$D123/100,0)</f>
        <v>31498</v>
      </c>
      <c r="I123" s="297">
        <f>$I$84</f>
        <v>5.4039999999999999</v>
      </c>
      <c r="J123" s="1" t="s">
        <v>377</v>
      </c>
      <c r="K123" s="2" t="e">
        <f>ROUND(I123*$C123/100,0)</f>
        <v>#REF!</v>
      </c>
      <c r="M123" s="20"/>
      <c r="N123" s="20"/>
      <c r="O123" s="74"/>
      <c r="P123" s="74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E123" s="84"/>
    </row>
    <row r="124" spans="1:31">
      <c r="A124" s="1" t="s">
        <v>378</v>
      </c>
      <c r="B124" s="1"/>
      <c r="C124" s="21" t="e">
        <f>2681515-C123+#REF!*1000+#REF!*1000</f>
        <v>#REF!</v>
      </c>
      <c r="D124" s="21">
        <v>2201637.146921176</v>
      </c>
      <c r="E124" s="297">
        <f>$E$85</f>
        <v>7.7510000000000003</v>
      </c>
      <c r="F124" s="1" t="s">
        <v>377</v>
      </c>
      <c r="G124" s="2" t="e">
        <f>ROUND(E124*$C124/100,0)</f>
        <v>#REF!</v>
      </c>
      <c r="H124" s="2">
        <f>ROUND(E124*$D124/100,0)</f>
        <v>170649</v>
      </c>
      <c r="I124" s="297">
        <f>$I$85</f>
        <v>8.520999999999999</v>
      </c>
      <c r="J124" s="1" t="s">
        <v>377</v>
      </c>
      <c r="K124" s="2" t="e">
        <f>ROUND(I124*$C124/100,0)</f>
        <v>#REF!</v>
      </c>
      <c r="M124" s="20"/>
      <c r="N124" s="20"/>
      <c r="O124" s="74"/>
      <c r="P124" s="74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E124" s="84"/>
    </row>
    <row r="125" spans="1:31">
      <c r="A125" s="1" t="s">
        <v>380</v>
      </c>
      <c r="B125" s="1"/>
      <c r="C125" s="21">
        <v>4907</v>
      </c>
      <c r="D125" s="21">
        <v>5762.7171576037508</v>
      </c>
      <c r="E125" s="299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299">
        <f>$I$86</f>
        <v>1.65</v>
      </c>
      <c r="J125" s="1"/>
      <c r="K125" s="2">
        <f>ROUND(I125*$C125,0)</f>
        <v>8097</v>
      </c>
      <c r="M125" s="20"/>
      <c r="N125" s="20"/>
      <c r="O125" s="74"/>
      <c r="P125" s="74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E125" s="84"/>
    </row>
    <row r="126" spans="1:31">
      <c r="A126" s="301" t="s">
        <v>382</v>
      </c>
      <c r="B126" s="301"/>
      <c r="C126" s="21">
        <v>822</v>
      </c>
      <c r="D126" s="21">
        <v>965.3461388934752</v>
      </c>
      <c r="E126" s="299">
        <f>$E$87</f>
        <v>3</v>
      </c>
      <c r="F126" s="301"/>
      <c r="G126" s="2">
        <f>ROUND(E126*$C126,0)</f>
        <v>2466</v>
      </c>
      <c r="H126" s="2">
        <f>ROUND(E126*$D126,0)</f>
        <v>2896</v>
      </c>
      <c r="I126" s="299">
        <f>$I$87</f>
        <v>3.1999999999999997</v>
      </c>
      <c r="J126" s="301"/>
      <c r="K126" s="2">
        <f>ROUND(I126*$C126,0)</f>
        <v>2630</v>
      </c>
      <c r="M126" s="20"/>
      <c r="N126" s="20"/>
      <c r="O126" s="74"/>
      <c r="P126" s="74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E126" s="84"/>
    </row>
    <row r="127" spans="1:31">
      <c r="A127" s="301" t="s">
        <v>383</v>
      </c>
      <c r="B127" s="301"/>
      <c r="C127" s="21">
        <v>48</v>
      </c>
      <c r="D127" s="21">
        <v>56.370577453633587</v>
      </c>
      <c r="E127" s="302">
        <f>-E125</f>
        <v>-1.55</v>
      </c>
      <c r="F127" s="301"/>
      <c r="G127" s="2">
        <f>ROUND(E127*$C127,0)</f>
        <v>-74</v>
      </c>
      <c r="H127" s="2">
        <f>ROUND(E127*$D127,0)</f>
        <v>-87</v>
      </c>
      <c r="I127" s="302">
        <f>-I125</f>
        <v>-1.65</v>
      </c>
      <c r="J127" s="301"/>
      <c r="K127" s="2">
        <f>ROUND(I127*$C127,0)</f>
        <v>-79</v>
      </c>
      <c r="M127" s="20"/>
      <c r="N127" s="20"/>
      <c r="O127" s="74"/>
      <c r="P127" s="74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E127" s="84"/>
    </row>
    <row r="128" spans="1:31">
      <c r="A128" s="1" t="s">
        <v>384</v>
      </c>
      <c r="B128" s="303"/>
      <c r="C128" s="21" t="e">
        <f>SUM(C123:C124)</f>
        <v>#REF!</v>
      </c>
      <c r="D128" s="21">
        <v>2842621.4226079565</v>
      </c>
      <c r="E128" s="304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20"/>
      <c r="N128" s="20"/>
      <c r="O128" s="74"/>
      <c r="P128" s="74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E128" s="84"/>
    </row>
    <row r="129" spans="1:31">
      <c r="A129" s="1" t="s">
        <v>366</v>
      </c>
      <c r="B129" s="25"/>
      <c r="C129" s="315" t="e">
        <f>#REF!</f>
        <v>#REF!</v>
      </c>
      <c r="D129" s="306">
        <v>0</v>
      </c>
      <c r="E129" s="307"/>
      <c r="F129" s="307"/>
      <c r="G129" s="308" t="e">
        <f>#REF!</f>
        <v>#REF!</v>
      </c>
      <c r="H129" s="308">
        <v>0</v>
      </c>
      <c r="I129" s="307"/>
      <c r="J129" s="307"/>
      <c r="K129" s="308" t="e">
        <f>G129</f>
        <v>#REF!</v>
      </c>
      <c r="M129" s="442"/>
      <c r="N129" s="442"/>
      <c r="O129" s="285"/>
      <c r="P129" s="74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E129" s="84"/>
    </row>
    <row r="130" spans="1:31" ht="16.5" thickBot="1">
      <c r="A130" s="1" t="s">
        <v>385</v>
      </c>
      <c r="B130" s="1"/>
      <c r="C130" s="309" t="e">
        <f>C128+C129</f>
        <v>#REF!</v>
      </c>
      <c r="D130" s="309">
        <f>SUM(D128:D129)</f>
        <v>2842621.4226079565</v>
      </c>
      <c r="E130" s="310"/>
      <c r="F130" s="310"/>
      <c r="G130" s="310" t="e">
        <f>G128+G129</f>
        <v>#REF!</v>
      </c>
      <c r="H130" s="310">
        <f>H128+H129</f>
        <v>220818</v>
      </c>
      <c r="I130" s="310"/>
      <c r="J130" s="310"/>
      <c r="K130" s="310" t="e">
        <f>K128+K129</f>
        <v>#REF!</v>
      </c>
      <c r="M130" s="409"/>
      <c r="N130" s="409"/>
      <c r="O130" s="468"/>
      <c r="P130" s="74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E130" s="84"/>
    </row>
    <row r="131" spans="1:31" ht="16.5" thickTop="1">
      <c r="A131" s="1"/>
      <c r="B131" s="311"/>
      <c r="C131" s="21"/>
      <c r="D131" s="21"/>
      <c r="E131" s="21"/>
      <c r="F131" s="21"/>
      <c r="I131" s="1" t="s">
        <v>31</v>
      </c>
      <c r="J131" s="1"/>
      <c r="K131" s="2" t="s">
        <v>31</v>
      </c>
      <c r="M131" s="20"/>
      <c r="N131" s="20"/>
      <c r="O131" s="74"/>
      <c r="P131" s="74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E131" s="84"/>
    </row>
    <row r="132" spans="1:31">
      <c r="A132" s="291" t="s">
        <v>389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M132" s="20"/>
      <c r="N132" s="20"/>
      <c r="O132" s="74"/>
      <c r="P132" s="74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E132" s="84"/>
    </row>
    <row r="133" spans="1:31">
      <c r="A133" s="1" t="s">
        <v>333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M133" s="20"/>
      <c r="N133" s="20"/>
      <c r="O133" s="74"/>
      <c r="P133" s="74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E133" s="84"/>
    </row>
    <row r="134" spans="1:31">
      <c r="A134" s="295"/>
      <c r="B134" s="1"/>
      <c r="C134" s="1"/>
      <c r="D134" s="1"/>
      <c r="E134" s="21"/>
      <c r="F134" s="21"/>
      <c r="G134" s="1"/>
      <c r="H134" s="1"/>
      <c r="I134" s="21"/>
      <c r="J134" s="1"/>
      <c r="K134" s="1"/>
      <c r="M134" s="20"/>
      <c r="N134" s="20"/>
      <c r="O134" s="74"/>
      <c r="P134" s="74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E134" s="84"/>
    </row>
    <row r="135" spans="1:31">
      <c r="A135" s="1" t="s">
        <v>373</v>
      </c>
      <c r="B135" s="1"/>
      <c r="C135" s="21">
        <v>302</v>
      </c>
      <c r="D135" s="21">
        <v>315</v>
      </c>
      <c r="E135" s="296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296">
        <f>$I$83</f>
        <v>6.75</v>
      </c>
      <c r="J135" s="1"/>
      <c r="K135" s="2">
        <f>ROUND(I135*$C135,0)</f>
        <v>2039</v>
      </c>
      <c r="M135" s="20"/>
      <c r="N135" s="20"/>
      <c r="O135" s="74"/>
      <c r="P135" s="74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E135" s="84"/>
    </row>
    <row r="136" spans="1:31">
      <c r="A136" s="1" t="s">
        <v>376</v>
      </c>
      <c r="B136" s="1"/>
      <c r="C136" s="21">
        <v>176584</v>
      </c>
      <c r="D136" s="21">
        <v>210143.84162810302</v>
      </c>
      <c r="E136" s="297">
        <f>$E$84</f>
        <v>4.9139999999999997</v>
      </c>
      <c r="F136" s="1" t="s">
        <v>377</v>
      </c>
      <c r="G136" s="2">
        <f>ROUND(E136*$C136/100,0)</f>
        <v>8677</v>
      </c>
      <c r="H136" s="2">
        <f>ROUND(E136*$D136/100,0)</f>
        <v>10326</v>
      </c>
      <c r="I136" s="297">
        <f>$I$84</f>
        <v>5.4039999999999999</v>
      </c>
      <c r="J136" s="1" t="s">
        <v>377</v>
      </c>
      <c r="K136" s="2">
        <f>ROUND(I136*$C136/100,0)</f>
        <v>9543</v>
      </c>
      <c r="M136" s="20"/>
      <c r="N136" s="20"/>
      <c r="O136" s="74"/>
      <c r="P136" s="74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E136" s="84"/>
    </row>
    <row r="137" spans="1:31">
      <c r="A137" s="1" t="s">
        <v>378</v>
      </c>
      <c r="B137" s="1"/>
      <c r="C137" s="21">
        <f>637329-C136</f>
        <v>460745</v>
      </c>
      <c r="D137" s="21">
        <v>548309.72404600831</v>
      </c>
      <c r="E137" s="297">
        <f>$E$85</f>
        <v>7.7510000000000003</v>
      </c>
      <c r="F137" s="1" t="s">
        <v>377</v>
      </c>
      <c r="G137" s="2">
        <f>ROUND(E137*$C137/100,0)</f>
        <v>35712</v>
      </c>
      <c r="H137" s="2">
        <f>ROUND(E137*$D137/100,0)</f>
        <v>42499</v>
      </c>
      <c r="I137" s="297">
        <f>$I$85</f>
        <v>8.520999999999999</v>
      </c>
      <c r="J137" s="1" t="s">
        <v>377</v>
      </c>
      <c r="K137" s="2">
        <f>ROUND(I137*$C137/100,0)</f>
        <v>39260</v>
      </c>
      <c r="M137" s="20"/>
      <c r="N137" s="20"/>
      <c r="O137" s="74"/>
      <c r="P137" s="74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E137" s="84"/>
    </row>
    <row r="138" spans="1:31">
      <c r="A138" s="1" t="s">
        <v>380</v>
      </c>
      <c r="B138" s="1"/>
      <c r="C138" s="21">
        <v>1016</v>
      </c>
      <c r="D138" s="21">
        <v>1209.0911016522034</v>
      </c>
      <c r="E138" s="299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299">
        <f>$I$86</f>
        <v>1.65</v>
      </c>
      <c r="J138" s="1"/>
      <c r="K138" s="2">
        <f>ROUND(I138*$C138,0)</f>
        <v>1676</v>
      </c>
      <c r="M138" s="20"/>
      <c r="N138" s="20"/>
      <c r="O138" s="74"/>
      <c r="P138" s="74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E138" s="84"/>
    </row>
    <row r="139" spans="1:31">
      <c r="A139" s="301" t="s">
        <v>382</v>
      </c>
      <c r="B139" s="301"/>
      <c r="C139" s="21">
        <v>157</v>
      </c>
      <c r="D139" s="21">
        <v>186.83789661357866</v>
      </c>
      <c r="E139" s="299">
        <f>$E$87</f>
        <v>3</v>
      </c>
      <c r="F139" s="301"/>
      <c r="G139" s="2">
        <f>ROUND(E139*$C139,0)</f>
        <v>471</v>
      </c>
      <c r="H139" s="2">
        <f>ROUND(E139*$D139,0)</f>
        <v>561</v>
      </c>
      <c r="I139" s="299">
        <f>$I$87</f>
        <v>3.1999999999999997</v>
      </c>
      <c r="J139" s="301"/>
      <c r="K139" s="2">
        <f>ROUND(I139*$C139,0)</f>
        <v>502</v>
      </c>
      <c r="M139" s="20"/>
      <c r="N139" s="20"/>
      <c r="O139" s="74"/>
      <c r="P139" s="74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E139" s="84"/>
    </row>
    <row r="140" spans="1:31">
      <c r="A140" s="301" t="s">
        <v>383</v>
      </c>
      <c r="B140" s="301"/>
      <c r="C140" s="21">
        <v>22</v>
      </c>
      <c r="D140" s="21">
        <v>26.181106531839049</v>
      </c>
      <c r="E140" s="302">
        <f>-E138</f>
        <v>-1.55</v>
      </c>
      <c r="F140" s="301"/>
      <c r="G140" s="2">
        <f>ROUND(E140*$C140,0)</f>
        <v>-34</v>
      </c>
      <c r="H140" s="2">
        <f>ROUND(E140*$D140,0)</f>
        <v>-41</v>
      </c>
      <c r="I140" s="302">
        <f>-I138</f>
        <v>-1.65</v>
      </c>
      <c r="J140" s="301"/>
      <c r="K140" s="2">
        <f>ROUND(I140*$C140,0)</f>
        <v>-36</v>
      </c>
      <c r="M140" s="20"/>
      <c r="N140" s="20"/>
      <c r="O140" s="74"/>
      <c r="P140" s="74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E140" s="84"/>
    </row>
    <row r="141" spans="1:31">
      <c r="A141" s="1" t="s">
        <v>384</v>
      </c>
      <c r="B141" s="1"/>
      <c r="C141" s="21">
        <f>SUM(C136:C137)</f>
        <v>637329</v>
      </c>
      <c r="D141" s="21">
        <v>758453.56567411136</v>
      </c>
      <c r="E141" s="304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20"/>
      <c r="N141" s="20"/>
      <c r="O141" s="74"/>
      <c r="P141" s="74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E141" s="84"/>
    </row>
    <row r="142" spans="1:31">
      <c r="A142" s="1" t="s">
        <v>366</v>
      </c>
      <c r="B142" s="1"/>
      <c r="C142" s="315" t="e">
        <f>#REF!</f>
        <v>#REF!</v>
      </c>
      <c r="D142" s="306">
        <v>0</v>
      </c>
      <c r="E142" s="307"/>
      <c r="F142" s="307"/>
      <c r="G142" s="308" t="e">
        <f>#REF!</f>
        <v>#REF!</v>
      </c>
      <c r="H142" s="308">
        <v>0</v>
      </c>
      <c r="I142" s="307"/>
      <c r="J142" s="307"/>
      <c r="K142" s="308" t="e">
        <f>G142</f>
        <v>#REF!</v>
      </c>
      <c r="M142" s="442"/>
      <c r="N142" s="442"/>
      <c r="O142" s="285"/>
      <c r="P142" s="74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E142" s="84"/>
    </row>
    <row r="143" spans="1:31" ht="16.5" thickBot="1">
      <c r="A143" s="1" t="s">
        <v>385</v>
      </c>
      <c r="B143" s="1"/>
      <c r="C143" s="309" t="e">
        <f>C141+C142</f>
        <v>#REF!</v>
      </c>
      <c r="D143" s="309">
        <f>SUM(D141:D142)</f>
        <v>758453.56567411136</v>
      </c>
      <c r="E143" s="310"/>
      <c r="F143" s="310"/>
      <c r="G143" s="310" t="e">
        <f>G141+G142</f>
        <v>#REF!</v>
      </c>
      <c r="H143" s="310">
        <f>H141+H142</f>
        <v>57109</v>
      </c>
      <c r="I143" s="310"/>
      <c r="J143" s="310"/>
      <c r="K143" s="310" t="e">
        <f>K141+K142</f>
        <v>#REF!</v>
      </c>
      <c r="M143" s="409"/>
      <c r="N143" s="409"/>
      <c r="O143" s="468"/>
      <c r="P143" s="74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E143" s="84"/>
    </row>
    <row r="144" spans="1:31" ht="16.5" thickTop="1">
      <c r="A144" s="1"/>
      <c r="B144" s="311"/>
      <c r="C144" s="21"/>
      <c r="D144" s="21"/>
      <c r="E144" s="21"/>
      <c r="F144" s="21"/>
      <c r="I144" s="1" t="s">
        <v>31</v>
      </c>
      <c r="J144" s="1"/>
      <c r="K144" s="2" t="s">
        <v>31</v>
      </c>
      <c r="M144" s="20"/>
      <c r="N144" s="20"/>
      <c r="O144" s="74"/>
      <c r="P144" s="74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E144" s="84"/>
    </row>
    <row r="145" spans="1:31">
      <c r="A145" s="291" t="s">
        <v>390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M145" s="20"/>
      <c r="N145" s="20"/>
      <c r="O145" s="74"/>
      <c r="P145" s="74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E145" s="84"/>
    </row>
    <row r="146" spans="1:31">
      <c r="A146" s="1" t="s">
        <v>391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20"/>
      <c r="N146" s="20"/>
      <c r="O146" s="74"/>
      <c r="P146" s="74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20"/>
      <c r="N147" s="20"/>
      <c r="P147" s="74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E147" s="84"/>
    </row>
    <row r="148" spans="1:31">
      <c r="A148" s="1" t="s">
        <v>392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20"/>
      <c r="N148" s="20"/>
      <c r="O148" s="74"/>
      <c r="P148" s="74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E148" s="84"/>
    </row>
    <row r="149" spans="1:31">
      <c r="A149" s="1" t="s">
        <v>393</v>
      </c>
      <c r="B149" s="1"/>
      <c r="C149" s="21">
        <f>C384</f>
        <v>1</v>
      </c>
      <c r="D149" s="21">
        <f>D384</f>
        <v>1</v>
      </c>
      <c r="E149" s="296">
        <v>90.36</v>
      </c>
      <c r="F149" s="2"/>
      <c r="G149" s="2">
        <f t="shared" ref="G149:H151" si="8">G355</f>
        <v>90</v>
      </c>
      <c r="H149" s="2">
        <f t="shared" si="8"/>
        <v>90</v>
      </c>
      <c r="I149" s="296">
        <f>I153*12</f>
        <v>96</v>
      </c>
      <c r="J149" s="1"/>
      <c r="K149" s="2">
        <f>K355</f>
        <v>96</v>
      </c>
      <c r="M149" s="84">
        <f>I149*D149</f>
        <v>96</v>
      </c>
      <c r="O149" s="14">
        <f>(I149-E149)/E149</f>
        <v>6.2416998671978759E-2</v>
      </c>
      <c r="T149" s="3" t="s">
        <v>374</v>
      </c>
      <c r="U149" s="3" t="s">
        <v>307</v>
      </c>
      <c r="V149" s="3" t="s">
        <v>375</v>
      </c>
      <c r="W149" s="3" t="s">
        <v>317</v>
      </c>
      <c r="X149" s="20"/>
      <c r="Y149" s="20"/>
      <c r="Z149" s="20"/>
      <c r="AA149" s="20"/>
      <c r="AB149" s="20"/>
      <c r="AC149" s="20"/>
      <c r="AE149" s="84"/>
    </row>
    <row r="150" spans="1:31">
      <c r="A150" s="1" t="s">
        <v>394</v>
      </c>
      <c r="B150" s="1"/>
      <c r="C150" s="21">
        <f>C356</f>
        <v>107</v>
      </c>
      <c r="D150" s="21">
        <f>D356</f>
        <v>109.09090909090909</v>
      </c>
      <c r="E150" s="296">
        <v>134.16</v>
      </c>
      <c r="F150" s="2"/>
      <c r="G150" s="2">
        <f t="shared" si="8"/>
        <v>14355</v>
      </c>
      <c r="H150" s="2">
        <f t="shared" si="8"/>
        <v>14635</v>
      </c>
      <c r="I150" s="296">
        <f>I154*12</f>
        <v>142.53386454183266</v>
      </c>
      <c r="J150" s="1"/>
      <c r="K150" s="2">
        <f>K356</f>
        <v>15252</v>
      </c>
      <c r="M150" s="84">
        <f>I150*D150</f>
        <v>15549.148859109018</v>
      </c>
      <c r="N150" s="84"/>
      <c r="O150" s="14">
        <f>(I150-E150)/E150</f>
        <v>6.2416998671978682E-2</v>
      </c>
      <c r="S150" s="3" t="s">
        <v>20</v>
      </c>
      <c r="T150" s="84">
        <f>H149+H150+H153+H154</f>
        <v>1828725</v>
      </c>
      <c r="U150" s="84">
        <f>K149+K150+K153+K154</f>
        <v>1959163</v>
      </c>
      <c r="V150" s="106">
        <v>1916638.7857408486</v>
      </c>
      <c r="W150" s="235">
        <f>U150/V150</f>
        <v>1.0221868693128393</v>
      </c>
      <c r="X150" s="20"/>
      <c r="Y150" s="20"/>
      <c r="Z150" s="20"/>
      <c r="AA150" s="20"/>
      <c r="AB150" s="20"/>
      <c r="AC150" s="20"/>
      <c r="AE150" s="84"/>
    </row>
    <row r="151" spans="1:31">
      <c r="A151" s="1" t="s">
        <v>395</v>
      </c>
      <c r="B151" s="1"/>
      <c r="C151" s="21">
        <f>C357</f>
        <v>4321</v>
      </c>
      <c r="D151" s="21">
        <f>D357</f>
        <v>1974</v>
      </c>
      <c r="E151" s="296">
        <v>9.36</v>
      </c>
      <c r="F151" s="2"/>
      <c r="G151" s="2">
        <f t="shared" si="8"/>
        <v>40445</v>
      </c>
      <c r="H151" s="2">
        <f t="shared" si="8"/>
        <v>18476</v>
      </c>
      <c r="I151" s="296">
        <v>9.94</v>
      </c>
      <c r="J151" s="1"/>
      <c r="K151" s="2">
        <f>K357</f>
        <v>42951</v>
      </c>
      <c r="M151" s="84">
        <f>I151*D151</f>
        <v>19621.559999999998</v>
      </c>
      <c r="O151" s="14">
        <f>(I151-E151)/E151</f>
        <v>6.1965811965811975E-2</v>
      </c>
      <c r="R151" s="3" t="s">
        <v>31</v>
      </c>
      <c r="S151" s="3" t="s">
        <v>407</v>
      </c>
      <c r="T151" s="84" t="e">
        <f>H155</f>
        <v>#REF!</v>
      </c>
      <c r="U151" s="84">
        <f>K155</f>
        <v>1061210</v>
      </c>
      <c r="V151" s="106">
        <v>5367292.197431691</v>
      </c>
      <c r="W151" s="235">
        <f>U151/V151</f>
        <v>0.19771794807590329</v>
      </c>
      <c r="X151" s="20"/>
      <c r="Y151" s="20"/>
      <c r="Z151" s="20"/>
      <c r="AA151" s="20"/>
      <c r="AB151" s="20"/>
      <c r="AC151" s="20"/>
      <c r="AE151" s="84"/>
    </row>
    <row r="152" spans="1:31">
      <c r="A152" s="1" t="s">
        <v>396</v>
      </c>
      <c r="B152" s="1"/>
      <c r="C152" s="317"/>
      <c r="D152" s="317"/>
      <c r="E152" s="2"/>
      <c r="F152" s="2"/>
      <c r="G152" s="1"/>
      <c r="H152" s="1"/>
      <c r="I152" s="2"/>
      <c r="J152" s="1"/>
      <c r="K152" s="1"/>
      <c r="O152" s="318"/>
      <c r="S152" s="3" t="s">
        <v>379</v>
      </c>
      <c r="T152" s="84" t="e">
        <f>SUM(H159:H161)-Q159</f>
        <v>#REF!</v>
      </c>
      <c r="U152" s="84" t="e">
        <f>SUM(K159:K161)-R159</f>
        <v>#REF!</v>
      </c>
      <c r="V152" s="106">
        <v>26743743.576655678</v>
      </c>
      <c r="W152" s="235" t="e">
        <f>U152/V152</f>
        <v>#REF!</v>
      </c>
      <c r="X152" s="20"/>
      <c r="Y152" s="20"/>
      <c r="Z152" s="20"/>
      <c r="AA152" s="20"/>
      <c r="AB152" s="20"/>
      <c r="AC152" s="20"/>
      <c r="AE152" s="84"/>
    </row>
    <row r="153" spans="1:31">
      <c r="A153" s="1" t="s">
        <v>393</v>
      </c>
      <c r="B153" s="1"/>
      <c r="C153" s="317">
        <f t="shared" ref="C153:D155" si="9">C183+C267</f>
        <v>153375</v>
      </c>
      <c r="D153" s="317">
        <f t="shared" si="9"/>
        <v>152066</v>
      </c>
      <c r="E153" s="296">
        <v>7.53</v>
      </c>
      <c r="F153" s="319"/>
      <c r="G153" s="320">
        <f t="shared" ref="G153:H155" si="10">G183+G267</f>
        <v>1154913</v>
      </c>
      <c r="H153" s="320">
        <f t="shared" si="10"/>
        <v>1145056</v>
      </c>
      <c r="I153" s="296">
        <v>8</v>
      </c>
      <c r="J153" s="321"/>
      <c r="K153" s="320">
        <f>K183+K267</f>
        <v>1227000</v>
      </c>
      <c r="M153" s="84">
        <f>I153*D153</f>
        <v>1216528</v>
      </c>
      <c r="O153" s="14">
        <f>(I153-E153)/E153</f>
        <v>6.2416998671978717E-2</v>
      </c>
      <c r="S153" s="3" t="s">
        <v>409</v>
      </c>
      <c r="T153" s="84" t="e">
        <f>H158+Q159</f>
        <v>#REF!</v>
      </c>
      <c r="U153" s="84" t="e">
        <f>K158+R159</f>
        <v>#REF!</v>
      </c>
      <c r="V153" s="106">
        <v>4454867.4522770187</v>
      </c>
      <c r="W153" s="235" t="e">
        <f>U153/V153</f>
        <v>#REF!</v>
      </c>
      <c r="X153" s="20"/>
      <c r="Y153" s="20"/>
      <c r="Z153" s="20"/>
      <c r="AA153" s="20"/>
      <c r="AB153" s="20"/>
      <c r="AC153" s="20"/>
      <c r="AE153" s="84"/>
    </row>
    <row r="154" spans="1:31">
      <c r="A154" s="1" t="s">
        <v>394</v>
      </c>
      <c r="B154" s="1"/>
      <c r="C154" s="317">
        <f t="shared" si="9"/>
        <v>60349</v>
      </c>
      <c r="D154" s="317">
        <f t="shared" si="9"/>
        <v>59834</v>
      </c>
      <c r="E154" s="296">
        <v>11.18</v>
      </c>
      <c r="F154" s="322"/>
      <c r="G154" s="320">
        <f t="shared" si="10"/>
        <v>674702</v>
      </c>
      <c r="H154" s="320">
        <f t="shared" si="10"/>
        <v>668944</v>
      </c>
      <c r="I154" s="296">
        <f>I153/E153*E154</f>
        <v>11.877822045152721</v>
      </c>
      <c r="J154" s="323"/>
      <c r="K154" s="320">
        <f>K184+K268</f>
        <v>716815</v>
      </c>
      <c r="M154" s="84">
        <f>I154*D154</f>
        <v>710697.60424966784</v>
      </c>
      <c r="O154" s="14">
        <f>(I154-E154)/E154</f>
        <v>6.2416998671978627E-2</v>
      </c>
      <c r="Q154" s="84"/>
      <c r="V154" s="20"/>
      <c r="W154" s="20"/>
      <c r="X154" s="20"/>
      <c r="Y154" s="20"/>
      <c r="Z154" s="20"/>
      <c r="AA154" s="20"/>
      <c r="AB154" s="20"/>
      <c r="AC154" s="20"/>
      <c r="AE154" s="84"/>
    </row>
    <row r="155" spans="1:31">
      <c r="A155" s="1" t="s">
        <v>395</v>
      </c>
      <c r="B155" s="1"/>
      <c r="C155" s="317">
        <f t="shared" si="9"/>
        <v>1278566</v>
      </c>
      <c r="D155" s="317" t="e">
        <f t="shared" si="9"/>
        <v>#REF!</v>
      </c>
      <c r="E155" s="296">
        <v>0.78</v>
      </c>
      <c r="F155" s="322"/>
      <c r="G155" s="320">
        <f t="shared" si="10"/>
        <v>997281</v>
      </c>
      <c r="H155" s="320" t="e">
        <f t="shared" si="10"/>
        <v>#REF!</v>
      </c>
      <c r="I155" s="296">
        <v>0.83</v>
      </c>
      <c r="J155" s="323"/>
      <c r="K155" s="320">
        <f>K185+K269</f>
        <v>1061210</v>
      </c>
      <c r="M155" s="84" t="e">
        <f>I155*D155</f>
        <v>#REF!</v>
      </c>
      <c r="O155" s="14">
        <f>(I155-E155)/E155</f>
        <v>6.4102564102564014E-2</v>
      </c>
      <c r="R155" s="15"/>
      <c r="S155" s="15"/>
      <c r="V155" s="20"/>
      <c r="W155" s="20"/>
      <c r="X155" s="20"/>
      <c r="Y155" s="20"/>
      <c r="Z155" s="20"/>
      <c r="AA155" s="20"/>
      <c r="AB155" s="20"/>
      <c r="AC155" s="20"/>
      <c r="AE155" s="84"/>
    </row>
    <row r="156" spans="1:31">
      <c r="A156" s="1" t="s">
        <v>397</v>
      </c>
      <c r="B156" s="1"/>
      <c r="C156" s="317">
        <f>SUM(C153:C154)</f>
        <v>213724</v>
      </c>
      <c r="D156" s="317">
        <f>SUM(D153:D154)</f>
        <v>211900</v>
      </c>
      <c r="E156" s="296"/>
      <c r="F156" s="319"/>
      <c r="G156" s="320"/>
      <c r="H156" s="320"/>
      <c r="I156" s="296"/>
      <c r="J156" s="321"/>
      <c r="K156" s="320"/>
      <c r="O156" s="318"/>
      <c r="V156" s="20"/>
      <c r="W156" s="20"/>
      <c r="X156" s="20"/>
      <c r="Y156" s="20"/>
      <c r="Z156" s="20"/>
      <c r="AA156" s="20"/>
      <c r="AB156" s="20"/>
      <c r="AC156" s="20"/>
      <c r="AE156" s="84"/>
    </row>
    <row r="157" spans="1:31">
      <c r="A157" s="1" t="s">
        <v>365</v>
      </c>
      <c r="B157" s="1"/>
      <c r="C157" s="317">
        <f t="shared" ref="C157:C162" si="11">C186+C271+C359</f>
        <v>211679</v>
      </c>
      <c r="D157" s="317">
        <f>D186+D271+D358</f>
        <v>208713.84090909091</v>
      </c>
      <c r="E157" s="296"/>
      <c r="F157" s="319"/>
      <c r="G157" s="320"/>
      <c r="H157" s="320"/>
      <c r="I157" s="296"/>
      <c r="J157" s="321"/>
      <c r="K157" s="320"/>
      <c r="O157" s="318"/>
      <c r="V157" s="20"/>
      <c r="W157" s="20"/>
      <c r="X157" s="20"/>
      <c r="Y157" s="20"/>
      <c r="Z157" s="20"/>
      <c r="AA157" s="20"/>
      <c r="AB157" s="20"/>
      <c r="AC157" s="20"/>
      <c r="AE157" s="84"/>
    </row>
    <row r="158" spans="1:31">
      <c r="A158" s="1" t="s">
        <v>398</v>
      </c>
      <c r="B158" s="1"/>
      <c r="C158" s="317">
        <f t="shared" si="11"/>
        <v>834211</v>
      </c>
      <c r="D158" s="317" t="e">
        <f>D187+D272+D360</f>
        <v>#REF!</v>
      </c>
      <c r="E158" s="296">
        <v>2.88</v>
      </c>
      <c r="F158" s="321"/>
      <c r="G158" s="320">
        <f t="shared" ref="G158:H162" si="12">G187+G272+G360</f>
        <v>2402528</v>
      </c>
      <c r="H158" s="320" t="e">
        <f t="shared" si="12"/>
        <v>#REF!</v>
      </c>
      <c r="I158" s="296">
        <v>2.97</v>
      </c>
      <c r="J158" s="321"/>
      <c r="K158" s="320">
        <f>K187+K272+K360</f>
        <v>2477606</v>
      </c>
      <c r="M158" s="84" t="e">
        <f>I158*D158</f>
        <v>#REF!</v>
      </c>
      <c r="O158" s="14">
        <f>(I158-E158)/E158</f>
        <v>3.1250000000000104E-2</v>
      </c>
      <c r="Q158" s="3" t="s">
        <v>399</v>
      </c>
      <c r="V158" s="20"/>
      <c r="W158" s="20"/>
      <c r="X158" s="20"/>
      <c r="Y158" s="20"/>
      <c r="Z158" s="20"/>
      <c r="AA158" s="20"/>
      <c r="AB158" s="20"/>
      <c r="AC158" s="20"/>
      <c r="AE158" s="84"/>
    </row>
    <row r="159" spans="1:31">
      <c r="A159" s="1" t="s">
        <v>400</v>
      </c>
      <c r="B159" s="1"/>
      <c r="C159" s="317" t="e">
        <f t="shared" si="11"/>
        <v>#REF!</v>
      </c>
      <c r="D159" s="317" t="e">
        <f>D188+D273+D361</f>
        <v>#REF!</v>
      </c>
      <c r="E159" s="297">
        <v>8.0890000000000004</v>
      </c>
      <c r="F159" s="321" t="s">
        <v>377</v>
      </c>
      <c r="G159" s="320" t="e">
        <f t="shared" si="12"/>
        <v>#REF!</v>
      </c>
      <c r="H159" s="320" t="e">
        <f t="shared" si="12"/>
        <v>#REF!</v>
      </c>
      <c r="I159" s="297">
        <v>8.8109999999999999</v>
      </c>
      <c r="J159" s="321" t="s">
        <v>377</v>
      </c>
      <c r="K159" s="320" t="e">
        <f>K188+K273+K361</f>
        <v>#REF!</v>
      </c>
      <c r="M159" s="84" t="e">
        <f>(I159/100)*D159</f>
        <v>#REF!</v>
      </c>
      <c r="O159" s="14">
        <f>(I159-E159)/E159</f>
        <v>8.9257015700333731E-2</v>
      </c>
      <c r="Q159" s="234" t="e">
        <f>H159+H160-(D159+D160)*E161/100</f>
        <v>#REF!</v>
      </c>
      <c r="R159" s="234" t="e">
        <f>K159+K160-(D159+D160)*I161/100</f>
        <v>#REF!</v>
      </c>
      <c r="V159" s="20"/>
      <c r="W159" s="20"/>
      <c r="X159" s="20"/>
      <c r="Y159" s="20"/>
      <c r="Z159" s="20"/>
      <c r="AA159" s="20"/>
      <c r="AB159" s="20"/>
      <c r="AC159" s="20"/>
      <c r="AE159" s="84"/>
    </row>
    <row r="160" spans="1:31">
      <c r="A160" s="1" t="s">
        <v>401</v>
      </c>
      <c r="B160" s="1"/>
      <c r="C160" s="317" t="e">
        <f t="shared" si="11"/>
        <v>#REF!</v>
      </c>
      <c r="D160" s="317" t="e">
        <f>D189+D274+D362</f>
        <v>#REF!</v>
      </c>
      <c r="E160" s="297">
        <v>5.5839999999999996</v>
      </c>
      <c r="F160" s="321" t="s">
        <v>377</v>
      </c>
      <c r="G160" s="320" t="e">
        <f t="shared" si="12"/>
        <v>#REF!</v>
      </c>
      <c r="H160" s="320" t="e">
        <f t="shared" si="12"/>
        <v>#REF!</v>
      </c>
      <c r="I160" s="297">
        <f>ROUND(I159/E159*E160,3)</f>
        <v>6.0819999999999999</v>
      </c>
      <c r="J160" s="321" t="s">
        <v>377</v>
      </c>
      <c r="K160" s="320" t="e">
        <f>K189+K274+K362</f>
        <v>#REF!</v>
      </c>
      <c r="M160" s="84" t="e">
        <f>(I160/100)*D160</f>
        <v>#REF!</v>
      </c>
      <c r="N160" s="327"/>
      <c r="O160" s="14">
        <f>(I160-E160)/E160</f>
        <v>8.9183381088825259E-2</v>
      </c>
      <c r="V160" s="20"/>
      <c r="W160" s="20"/>
      <c r="X160" s="20"/>
      <c r="Y160" s="20"/>
      <c r="Z160" s="20"/>
      <c r="AA160" s="20"/>
      <c r="AB160" s="20"/>
      <c r="AC160" s="20"/>
      <c r="AE160" s="84"/>
    </row>
    <row r="161" spans="1:31">
      <c r="A161" s="1" t="s">
        <v>402</v>
      </c>
      <c r="B161" s="1"/>
      <c r="C161" s="317" t="e">
        <f t="shared" si="11"/>
        <v>#REF!</v>
      </c>
      <c r="D161" s="317" t="e">
        <f>D190+D275+D363</f>
        <v>#REF!</v>
      </c>
      <c r="E161" s="297">
        <v>4.8099999999999996</v>
      </c>
      <c r="F161" s="321" t="s">
        <v>377</v>
      </c>
      <c r="G161" s="320" t="e">
        <f t="shared" si="12"/>
        <v>#REF!</v>
      </c>
      <c r="H161" s="320" t="e">
        <f t="shared" si="12"/>
        <v>#REF!</v>
      </c>
      <c r="I161" s="297">
        <f>ROUND(I159/E159*E161,3)+0.001</f>
        <v>5.24</v>
      </c>
      <c r="J161" s="321" t="s">
        <v>377</v>
      </c>
      <c r="K161" s="320" t="e">
        <f>K190+K275+K363</f>
        <v>#REF!</v>
      </c>
      <c r="M161" s="84" t="e">
        <f>(I161/100)*D161</f>
        <v>#REF!</v>
      </c>
      <c r="N161" s="298"/>
      <c r="O161" s="14">
        <f>(I161-E161)/E161</f>
        <v>8.9397089397089527E-2</v>
      </c>
      <c r="Q161" s="84" t="e">
        <f>K159+K160+K161-R159</f>
        <v>#REF!</v>
      </c>
      <c r="V161" s="20"/>
      <c r="W161" s="20"/>
      <c r="X161" s="20"/>
      <c r="Y161" s="20"/>
      <c r="Z161" s="20"/>
      <c r="AA161" s="20"/>
      <c r="AB161" s="20"/>
      <c r="AC161" s="20"/>
      <c r="AE161" s="84"/>
    </row>
    <row r="162" spans="1:31">
      <c r="A162" s="1" t="s">
        <v>403</v>
      </c>
      <c r="B162" s="1"/>
      <c r="C162" s="317">
        <f t="shared" si="11"/>
        <v>93898</v>
      </c>
      <c r="D162" s="317" t="e">
        <f>D191+D276+D364</f>
        <v>#REF!</v>
      </c>
      <c r="E162" s="328">
        <v>45</v>
      </c>
      <c r="F162" s="319" t="s">
        <v>377</v>
      </c>
      <c r="G162" s="320">
        <f t="shared" si="12"/>
        <v>42254</v>
      </c>
      <c r="H162" s="320" t="e">
        <f t="shared" si="12"/>
        <v>#REF!</v>
      </c>
      <c r="I162" s="328">
        <v>50</v>
      </c>
      <c r="J162" s="321" t="s">
        <v>377</v>
      </c>
      <c r="K162" s="320">
        <f>K191+K276+K364</f>
        <v>46950</v>
      </c>
      <c r="M162" s="84" t="e">
        <f>(I162/100)*D162</f>
        <v>#REF!</v>
      </c>
      <c r="O162" s="14">
        <f>(I162-E162)/E162</f>
        <v>0.1111111111111111</v>
      </c>
      <c r="V162" s="20"/>
      <c r="W162" s="20"/>
      <c r="X162" s="20"/>
      <c r="Y162" s="20"/>
      <c r="Z162" s="20"/>
      <c r="AA162" s="20"/>
      <c r="AB162" s="20"/>
      <c r="AC162" s="20"/>
      <c r="AE162" s="84"/>
    </row>
    <row r="163" spans="1:31">
      <c r="A163" s="329" t="s">
        <v>404</v>
      </c>
      <c r="B163" s="1"/>
      <c r="C163" s="317"/>
      <c r="D163" s="317"/>
      <c r="E163" s="330">
        <v>-0.01</v>
      </c>
      <c r="F163" s="319"/>
      <c r="G163" s="320"/>
      <c r="H163" s="320"/>
      <c r="I163" s="330">
        <v>-0.01</v>
      </c>
      <c r="J163" s="321"/>
      <c r="K163" s="320"/>
      <c r="O163" s="331"/>
      <c r="V163" s="20"/>
      <c r="W163" s="20"/>
      <c r="X163" s="20"/>
      <c r="Y163" s="20"/>
      <c r="Z163" s="20"/>
      <c r="AA163" s="20"/>
      <c r="AB163" s="20"/>
      <c r="AC163" s="20"/>
      <c r="AE163" s="84"/>
    </row>
    <row r="164" spans="1:31">
      <c r="A164" s="1" t="s">
        <v>393</v>
      </c>
      <c r="B164" s="1"/>
      <c r="C164" s="317">
        <f t="shared" ref="C164:D175" si="13">C193+C278+C366</f>
        <v>48</v>
      </c>
      <c r="D164" s="317">
        <f t="shared" si="13"/>
        <v>48</v>
      </c>
      <c r="E164" s="332">
        <f>E153</f>
        <v>7.53</v>
      </c>
      <c r="F164" s="319"/>
      <c r="G164" s="320">
        <f t="shared" ref="G164:H175" si="14">G193+G278+G366</f>
        <v>-4</v>
      </c>
      <c r="H164" s="320">
        <f t="shared" si="14"/>
        <v>-4</v>
      </c>
      <c r="I164" s="332">
        <f>I153</f>
        <v>8</v>
      </c>
      <c r="J164" s="319"/>
      <c r="K164" s="320">
        <f t="shared" ref="K164:K174" si="15">K193+K278+K366</f>
        <v>-4</v>
      </c>
      <c r="M164" s="84">
        <f>-(I164/100)*D164</f>
        <v>-3.84</v>
      </c>
      <c r="V164" s="20"/>
      <c r="W164" s="20"/>
      <c r="X164" s="20"/>
      <c r="Y164" s="20"/>
      <c r="Z164" s="20"/>
      <c r="AA164" s="20"/>
      <c r="AB164" s="20"/>
      <c r="AC164" s="20"/>
      <c r="AE164" s="84"/>
    </row>
    <row r="165" spans="1:31">
      <c r="A165" s="1" t="s">
        <v>394</v>
      </c>
      <c r="B165" s="1"/>
      <c r="C165" s="317">
        <f t="shared" si="13"/>
        <v>93</v>
      </c>
      <c r="D165" s="317">
        <f t="shared" si="13"/>
        <v>92</v>
      </c>
      <c r="E165" s="332">
        <f>E154</f>
        <v>11.18</v>
      </c>
      <c r="F165" s="319"/>
      <c r="G165" s="320">
        <f t="shared" si="14"/>
        <v>-10</v>
      </c>
      <c r="H165" s="320">
        <f t="shared" si="14"/>
        <v>-10</v>
      </c>
      <c r="I165" s="332">
        <f>I154</f>
        <v>11.877822045152721</v>
      </c>
      <c r="J165" s="319"/>
      <c r="K165" s="320">
        <f t="shared" si="15"/>
        <v>-11</v>
      </c>
      <c r="M165" s="84">
        <f>-(I165/100)*D165</f>
        <v>-10.927596281540502</v>
      </c>
      <c r="X165" s="20"/>
      <c r="Y165" s="20"/>
      <c r="Z165" s="20"/>
      <c r="AA165" s="20"/>
      <c r="AB165" s="20"/>
      <c r="AC165" s="20"/>
      <c r="AE165" s="84"/>
    </row>
    <row r="166" spans="1:31">
      <c r="A166" s="1" t="s">
        <v>405</v>
      </c>
      <c r="B166" s="1"/>
      <c r="C166" s="317">
        <f t="shared" si="13"/>
        <v>3543</v>
      </c>
      <c r="D166" s="317" t="e">
        <f t="shared" si="13"/>
        <v>#REF!</v>
      </c>
      <c r="E166" s="332">
        <f>E155</f>
        <v>0.78</v>
      </c>
      <c r="F166" s="319"/>
      <c r="G166" s="320">
        <f t="shared" si="14"/>
        <v>-28</v>
      </c>
      <c r="H166" s="320" t="e">
        <f t="shared" si="14"/>
        <v>#REF!</v>
      </c>
      <c r="I166" s="332">
        <f>I155</f>
        <v>0.83</v>
      </c>
      <c r="J166" s="319"/>
      <c r="K166" s="320">
        <f t="shared" si="15"/>
        <v>-29</v>
      </c>
      <c r="M166" s="84" t="e">
        <f>-(I166/100)*D166</f>
        <v>#REF!</v>
      </c>
      <c r="X166" s="20"/>
      <c r="Y166" s="20"/>
      <c r="Z166" s="20"/>
      <c r="AA166" s="20"/>
      <c r="AB166" s="20"/>
      <c r="AC166" s="20"/>
      <c r="AE166" s="84"/>
    </row>
    <row r="167" spans="1:31">
      <c r="A167" s="1" t="s">
        <v>406</v>
      </c>
      <c r="B167" s="1"/>
      <c r="C167" s="317">
        <f t="shared" si="13"/>
        <v>1576</v>
      </c>
      <c r="D167" s="317" t="e">
        <f t="shared" si="13"/>
        <v>#REF!</v>
      </c>
      <c r="E167" s="332">
        <f>E158</f>
        <v>2.88</v>
      </c>
      <c r="F167" s="321"/>
      <c r="G167" s="320">
        <f t="shared" si="14"/>
        <v>-45</v>
      </c>
      <c r="H167" s="320" t="e">
        <f t="shared" si="14"/>
        <v>#REF!</v>
      </c>
      <c r="I167" s="332">
        <f>I158</f>
        <v>2.97</v>
      </c>
      <c r="J167" s="321"/>
      <c r="K167" s="320">
        <f t="shared" si="15"/>
        <v>-47</v>
      </c>
      <c r="M167" s="84" t="e">
        <f>-(I167/100)*D167</f>
        <v>#REF!</v>
      </c>
      <c r="X167" s="20"/>
      <c r="Y167" s="20"/>
      <c r="Z167" s="20"/>
      <c r="AA167" s="20"/>
      <c r="AB167" s="20"/>
      <c r="AC167" s="20"/>
      <c r="AE167" s="84"/>
    </row>
    <row r="168" spans="1:31">
      <c r="A168" s="1" t="s">
        <v>408</v>
      </c>
      <c r="B168" s="1"/>
      <c r="C168" s="317">
        <f t="shared" si="13"/>
        <v>84935</v>
      </c>
      <c r="D168" s="317" t="e">
        <f t="shared" si="13"/>
        <v>#REF!</v>
      </c>
      <c r="E168" s="333">
        <f>E159</f>
        <v>8.0890000000000004</v>
      </c>
      <c r="F168" s="321" t="s">
        <v>377</v>
      </c>
      <c r="G168" s="320">
        <f t="shared" si="14"/>
        <v>-69</v>
      </c>
      <c r="H168" s="320" t="e">
        <f t="shared" si="14"/>
        <v>#REF!</v>
      </c>
      <c r="I168" s="333">
        <f>I159</f>
        <v>8.8109999999999999</v>
      </c>
      <c r="J168" s="321" t="s">
        <v>377</v>
      </c>
      <c r="K168" s="320">
        <f t="shared" si="15"/>
        <v>-75</v>
      </c>
      <c r="M168" s="84" t="e">
        <f>-((I168/100)*D168)/100</f>
        <v>#REF!</v>
      </c>
      <c r="X168" s="20"/>
      <c r="Y168" s="20"/>
      <c r="Z168" s="20"/>
      <c r="AA168" s="20"/>
      <c r="AB168" s="20"/>
      <c r="AC168" s="20"/>
      <c r="AE168" s="84"/>
    </row>
    <row r="169" spans="1:31">
      <c r="A169" s="1" t="s">
        <v>401</v>
      </c>
      <c r="B169" s="1"/>
      <c r="C169" s="317">
        <f t="shared" si="13"/>
        <v>270692</v>
      </c>
      <c r="D169" s="317" t="e">
        <f t="shared" si="13"/>
        <v>#REF!</v>
      </c>
      <c r="E169" s="333">
        <f>E160</f>
        <v>5.5839999999999996</v>
      </c>
      <c r="F169" s="321" t="s">
        <v>377</v>
      </c>
      <c r="G169" s="320">
        <f t="shared" si="14"/>
        <v>-151</v>
      </c>
      <c r="H169" s="320" t="e">
        <f t="shared" si="14"/>
        <v>#REF!</v>
      </c>
      <c r="I169" s="333">
        <f>I160</f>
        <v>6.0819999999999999</v>
      </c>
      <c r="J169" s="321" t="s">
        <v>377</v>
      </c>
      <c r="K169" s="320">
        <f t="shared" si="15"/>
        <v>-165</v>
      </c>
      <c r="M169" s="84" t="e">
        <f>-((I169/100)*D169)/100</f>
        <v>#REF!</v>
      </c>
      <c r="X169" s="20"/>
      <c r="Y169" s="20"/>
      <c r="Z169" s="20"/>
      <c r="AA169" s="20"/>
      <c r="AB169" s="20"/>
      <c r="AC169" s="20"/>
      <c r="AE169" s="84"/>
    </row>
    <row r="170" spans="1:31">
      <c r="A170" s="1" t="s">
        <v>402</v>
      </c>
      <c r="B170" s="1"/>
      <c r="C170" s="317">
        <f t="shared" si="13"/>
        <v>65960</v>
      </c>
      <c r="D170" s="317" t="e">
        <f t="shared" si="13"/>
        <v>#REF!</v>
      </c>
      <c r="E170" s="333">
        <f>E161</f>
        <v>4.8099999999999996</v>
      </c>
      <c r="F170" s="321" t="s">
        <v>377</v>
      </c>
      <c r="G170" s="320">
        <f t="shared" si="14"/>
        <v>-32</v>
      </c>
      <c r="H170" s="320" t="e">
        <f t="shared" si="14"/>
        <v>#REF!</v>
      </c>
      <c r="I170" s="333">
        <f>I161</f>
        <v>5.24</v>
      </c>
      <c r="J170" s="321" t="s">
        <v>377</v>
      </c>
      <c r="K170" s="320">
        <f t="shared" si="15"/>
        <v>-35</v>
      </c>
      <c r="M170" s="84" t="e">
        <f>-((I170/100)*D170)/100</f>
        <v>#REF!</v>
      </c>
      <c r="V170" s="20"/>
      <c r="W170" s="20"/>
      <c r="X170" s="20"/>
      <c r="Y170" s="20"/>
      <c r="Z170" s="20"/>
      <c r="AA170" s="20"/>
      <c r="AB170" s="20"/>
      <c r="AC170" s="20"/>
      <c r="AE170" s="84"/>
    </row>
    <row r="171" spans="1:31">
      <c r="A171" s="1" t="s">
        <v>403</v>
      </c>
      <c r="B171" s="1"/>
      <c r="C171" s="317">
        <f t="shared" si="13"/>
        <v>2996</v>
      </c>
      <c r="D171" s="317" t="e">
        <f t="shared" si="13"/>
        <v>#REF!</v>
      </c>
      <c r="E171" s="334">
        <f>E162</f>
        <v>45</v>
      </c>
      <c r="F171" s="321" t="s">
        <v>377</v>
      </c>
      <c r="G171" s="320">
        <f t="shared" si="14"/>
        <v>-13</v>
      </c>
      <c r="H171" s="320" t="e">
        <f t="shared" si="14"/>
        <v>#REF!</v>
      </c>
      <c r="I171" s="334">
        <f>I162</f>
        <v>50</v>
      </c>
      <c r="J171" s="321" t="s">
        <v>377</v>
      </c>
      <c r="K171" s="320">
        <f t="shared" si="15"/>
        <v>-15</v>
      </c>
      <c r="M171" s="84" t="e">
        <f>-((I171/100)*D171)/100</f>
        <v>#REF!</v>
      </c>
      <c r="V171" s="20"/>
      <c r="W171" s="20"/>
      <c r="X171" s="20"/>
      <c r="Y171" s="20"/>
      <c r="Z171" s="20"/>
      <c r="AA171" s="20"/>
      <c r="AB171" s="20"/>
      <c r="AC171" s="20"/>
      <c r="AE171" s="84"/>
    </row>
    <row r="172" spans="1:31">
      <c r="A172" s="1" t="s">
        <v>410</v>
      </c>
      <c r="B172" s="1"/>
      <c r="C172" s="317">
        <f t="shared" si="13"/>
        <v>108</v>
      </c>
      <c r="D172" s="317" t="e">
        <f t="shared" si="13"/>
        <v>#REF!</v>
      </c>
      <c r="E172" s="335">
        <f>'Blocking - detail'!E172</f>
        <v>60</v>
      </c>
      <c r="F172" s="319"/>
      <c r="G172" s="320">
        <f t="shared" si="14"/>
        <v>6480</v>
      </c>
      <c r="H172" s="320" t="e">
        <f t="shared" si="14"/>
        <v>#REF!</v>
      </c>
      <c r="I172" s="335">
        <f>'Blocking - detail'!$I$172</f>
        <v>60</v>
      </c>
      <c r="J172" s="321"/>
      <c r="K172" s="320">
        <f t="shared" si="15"/>
        <v>6480</v>
      </c>
      <c r="M172" s="84" t="e">
        <f>I172*D172</f>
        <v>#REF!</v>
      </c>
      <c r="V172" s="20"/>
      <c r="W172" s="20"/>
      <c r="X172" s="20"/>
      <c r="Y172" s="20"/>
      <c r="Z172" s="20"/>
      <c r="AA172" s="20"/>
      <c r="AB172" s="20"/>
      <c r="AC172" s="20"/>
      <c r="AE172" s="84"/>
    </row>
    <row r="173" spans="1:31">
      <c r="A173" s="1" t="s">
        <v>411</v>
      </c>
      <c r="B173" s="1"/>
      <c r="C173" s="317">
        <f t="shared" si="13"/>
        <v>3624</v>
      </c>
      <c r="D173" s="317" t="e">
        <f t="shared" si="13"/>
        <v>#REF!</v>
      </c>
      <c r="E173" s="337">
        <f>'Blocking - detail'!E173</f>
        <v>-30</v>
      </c>
      <c r="F173" s="319" t="s">
        <v>377</v>
      </c>
      <c r="G173" s="320">
        <f t="shared" si="14"/>
        <v>-1087</v>
      </c>
      <c r="H173" s="320" t="e">
        <f t="shared" si="14"/>
        <v>#REF!</v>
      </c>
      <c r="I173" s="337">
        <f>'Blocking - detail'!$I$173</f>
        <v>-30</v>
      </c>
      <c r="J173" s="321" t="s">
        <v>377</v>
      </c>
      <c r="K173" s="320">
        <f t="shared" si="15"/>
        <v>-1087</v>
      </c>
      <c r="M173" s="84" t="e">
        <f>(I173/100)*D173</f>
        <v>#REF!</v>
      </c>
      <c r="Q173" s="292"/>
      <c r="V173" s="20"/>
      <c r="W173" s="20"/>
      <c r="X173" s="20"/>
      <c r="Y173" s="20"/>
      <c r="Z173" s="20"/>
      <c r="AA173" s="20"/>
      <c r="AB173" s="20"/>
      <c r="AC173" s="20"/>
      <c r="AE173" s="84"/>
    </row>
    <row r="174" spans="1:31">
      <c r="A174" s="1" t="s">
        <v>384</v>
      </c>
      <c r="B174" s="262"/>
      <c r="C174" s="317" t="e">
        <f t="shared" si="13"/>
        <v>#REF!</v>
      </c>
      <c r="D174" s="317">
        <f t="shared" si="13"/>
        <v>529663208.81107259</v>
      </c>
      <c r="E174" s="328"/>
      <c r="F174" s="2"/>
      <c r="G174" s="320" t="e">
        <f t="shared" si="14"/>
        <v>#REF!</v>
      </c>
      <c r="H174" s="320" t="e">
        <f t="shared" si="14"/>
        <v>#REF!</v>
      </c>
      <c r="I174" s="328"/>
      <c r="J174" s="321"/>
      <c r="K174" s="320" t="e">
        <f t="shared" si="15"/>
        <v>#REF!</v>
      </c>
      <c r="M174" s="84" t="e">
        <f>SUM(M149:M173)</f>
        <v>#REF!</v>
      </c>
      <c r="V174" s="20"/>
      <c r="W174" s="20"/>
      <c r="X174" s="20"/>
      <c r="Y174" s="20"/>
      <c r="Z174" s="20"/>
      <c r="AA174" s="20"/>
      <c r="AB174" s="20"/>
      <c r="AC174" s="20"/>
      <c r="AE174" s="84"/>
    </row>
    <row r="175" spans="1:31">
      <c r="A175" s="1" t="s">
        <v>366</v>
      </c>
      <c r="B175" s="25"/>
      <c r="C175" s="338" t="e">
        <f t="shared" si="13"/>
        <v>#REF!</v>
      </c>
      <c r="D175" s="338">
        <f t="shared" si="13"/>
        <v>0</v>
      </c>
      <c r="E175" s="307"/>
      <c r="F175" s="307"/>
      <c r="G175" s="339" t="e">
        <f t="shared" si="14"/>
        <v>#REF!</v>
      </c>
      <c r="H175" s="339">
        <f t="shared" si="14"/>
        <v>0</v>
      </c>
      <c r="I175" s="307"/>
      <c r="J175" s="307"/>
      <c r="K175" s="339" t="e">
        <f>G175</f>
        <v>#REF!</v>
      </c>
      <c r="M175" s="287"/>
      <c r="V175" s="20"/>
      <c r="W175" s="20"/>
      <c r="X175" s="20"/>
      <c r="Y175" s="20"/>
      <c r="Z175" s="20"/>
      <c r="AA175" s="20"/>
      <c r="AB175" s="20"/>
      <c r="AC175" s="20"/>
      <c r="AE175" s="84"/>
    </row>
    <row r="176" spans="1:31" ht="16.5" thickBot="1">
      <c r="A176" s="1" t="s">
        <v>385</v>
      </c>
      <c r="B176" s="1"/>
      <c r="C176" s="309" t="e">
        <f>SUM(C174:C175)</f>
        <v>#REF!</v>
      </c>
      <c r="D176" s="309">
        <f>SUM(D174:D175)</f>
        <v>529663208.81107259</v>
      </c>
      <c r="E176" s="340"/>
      <c r="F176" s="341"/>
      <c r="G176" s="342" t="e">
        <f>G174+G175</f>
        <v>#REF!</v>
      </c>
      <c r="H176" s="342" t="e">
        <f>H174+H175</f>
        <v>#REF!</v>
      </c>
      <c r="I176" s="470"/>
      <c r="J176" s="343"/>
      <c r="K176" s="342" t="e">
        <f>K174+K175</f>
        <v>#REF!</v>
      </c>
      <c r="M176" s="289"/>
      <c r="N176" s="3" t="s">
        <v>412</v>
      </c>
      <c r="O176" s="84" t="e">
        <f>#REF!*1000</f>
        <v>#REF!</v>
      </c>
      <c r="P176" s="14"/>
      <c r="V176" s="20"/>
      <c r="W176" s="20"/>
      <c r="X176" s="20"/>
      <c r="Y176" s="20"/>
      <c r="Z176" s="20"/>
      <c r="AA176" s="20"/>
      <c r="AB176" s="20"/>
      <c r="AC176" s="20"/>
      <c r="AE176" s="84"/>
    </row>
    <row r="177" spans="1:31" ht="16.5" thickTop="1">
      <c r="A177" s="1"/>
      <c r="B177" s="1"/>
      <c r="C177" s="21"/>
      <c r="D177" s="21"/>
      <c r="E177" s="335"/>
      <c r="F177" s="2"/>
      <c r="G177" s="2"/>
      <c r="H177" s="2"/>
      <c r="I177" s="335"/>
      <c r="J177" s="1"/>
      <c r="K177" s="2" t="s">
        <v>31</v>
      </c>
      <c r="N177" s="3" t="s">
        <v>265</v>
      </c>
      <c r="O177" s="84" t="e">
        <f>O176-K176</f>
        <v>#REF!</v>
      </c>
      <c r="P177" s="274" t="e">
        <f>(O176-K176)/K176</f>
        <v>#REF!</v>
      </c>
      <c r="V177" s="20"/>
      <c r="W177" s="20"/>
      <c r="X177" s="20"/>
      <c r="Y177" s="20"/>
      <c r="Z177" s="20"/>
      <c r="AA177" s="20"/>
      <c r="AB177" s="20"/>
      <c r="AC177" s="20"/>
      <c r="AE177" s="84"/>
    </row>
    <row r="178" spans="1:31">
      <c r="A178" s="1"/>
      <c r="B178" s="1"/>
      <c r="C178" s="21"/>
      <c r="D178" s="21"/>
      <c r="E178" s="335"/>
      <c r="F178" s="2"/>
      <c r="G178" s="2"/>
      <c r="H178" s="2"/>
      <c r="I178" s="335"/>
      <c r="J178" s="1"/>
      <c r="V178" s="20"/>
      <c r="W178" s="20"/>
      <c r="X178" s="20"/>
      <c r="Y178" s="20"/>
      <c r="Z178" s="20"/>
      <c r="AA178" s="20"/>
      <c r="AB178" s="20"/>
      <c r="AC178" s="20"/>
      <c r="AE178" s="84"/>
    </row>
    <row r="179" spans="1:31">
      <c r="A179" s="291" t="s">
        <v>390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O179" s="344" t="s">
        <v>31</v>
      </c>
      <c r="P179" s="14"/>
      <c r="V179" s="20"/>
      <c r="W179" s="20"/>
      <c r="X179" s="20"/>
      <c r="Y179" s="20"/>
      <c r="Z179" s="20"/>
      <c r="AA179" s="20"/>
      <c r="AB179" s="20"/>
      <c r="AC179" s="20"/>
      <c r="AE179" s="84"/>
    </row>
    <row r="180" spans="1:31">
      <c r="A180" s="1" t="s">
        <v>413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14"/>
      <c r="N180" s="414"/>
      <c r="O180" s="74"/>
      <c r="P180" s="74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14"/>
      <c r="N181" s="414"/>
      <c r="O181" s="74"/>
      <c r="P181" s="74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E181" s="84"/>
    </row>
    <row r="182" spans="1:31">
      <c r="A182" s="1" t="s">
        <v>396</v>
      </c>
      <c r="B182" s="1"/>
      <c r="C182" s="317"/>
      <c r="D182" s="317"/>
      <c r="E182" s="2"/>
      <c r="F182" s="2"/>
      <c r="G182" s="1"/>
      <c r="H182" s="1"/>
      <c r="I182" s="2"/>
      <c r="J182" s="1"/>
      <c r="K182" s="1"/>
      <c r="M182" s="20"/>
      <c r="N182" s="20"/>
      <c r="O182" s="74"/>
      <c r="P182" s="74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E182" s="84"/>
    </row>
    <row r="183" spans="1:31">
      <c r="A183" s="1" t="s">
        <v>393</v>
      </c>
      <c r="B183" s="1"/>
      <c r="C183" s="317">
        <f t="shared" ref="C183:D185" si="16">C211+C239</f>
        <v>148451</v>
      </c>
      <c r="D183" s="317">
        <f t="shared" si="16"/>
        <v>147153</v>
      </c>
      <c r="E183" s="296">
        <f>$E$153</f>
        <v>7.53</v>
      </c>
      <c r="F183" s="319"/>
      <c r="G183" s="2">
        <f t="shared" ref="G183:H185" si="17">G211+G239</f>
        <v>1117836</v>
      </c>
      <c r="H183" s="2">
        <f t="shared" si="17"/>
        <v>1108062</v>
      </c>
      <c r="I183" s="296">
        <f>$I$153</f>
        <v>8</v>
      </c>
      <c r="J183" s="321"/>
      <c r="K183" s="2">
        <f>K211+K239</f>
        <v>1187608</v>
      </c>
      <c r="M183" s="20"/>
      <c r="N183" s="20"/>
      <c r="O183" s="74"/>
      <c r="P183" s="74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E183" s="84"/>
    </row>
    <row r="184" spans="1:31">
      <c r="A184" s="1" t="s">
        <v>394</v>
      </c>
      <c r="B184" s="1"/>
      <c r="C184" s="317">
        <f t="shared" si="16"/>
        <v>60349</v>
      </c>
      <c r="D184" s="317">
        <f t="shared" si="16"/>
        <v>59834</v>
      </c>
      <c r="E184" s="296">
        <f>$E$154</f>
        <v>11.18</v>
      </c>
      <c r="F184" s="322"/>
      <c r="G184" s="2">
        <f t="shared" si="17"/>
        <v>674702</v>
      </c>
      <c r="H184" s="2">
        <f t="shared" si="17"/>
        <v>668944</v>
      </c>
      <c r="I184" s="296">
        <f>$I$154</f>
        <v>11.877822045152721</v>
      </c>
      <c r="J184" s="323"/>
      <c r="K184" s="2">
        <f>K212+K240</f>
        <v>716815</v>
      </c>
      <c r="M184" s="20"/>
      <c r="N184" s="20"/>
      <c r="O184" s="74"/>
      <c r="P184" s="74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E184" s="84"/>
    </row>
    <row r="185" spans="1:31">
      <c r="A185" s="1" t="s">
        <v>395</v>
      </c>
      <c r="B185" s="1"/>
      <c r="C185" s="317">
        <f t="shared" si="16"/>
        <v>1278566</v>
      </c>
      <c r="D185" s="317" t="e">
        <f t="shared" si="16"/>
        <v>#REF!</v>
      </c>
      <c r="E185" s="296">
        <f>$E$155</f>
        <v>0.78</v>
      </c>
      <c r="F185" s="322"/>
      <c r="G185" s="2">
        <f t="shared" si="17"/>
        <v>997281</v>
      </c>
      <c r="H185" s="2" t="e">
        <f t="shared" si="17"/>
        <v>#REF!</v>
      </c>
      <c r="I185" s="296">
        <f>$I$155</f>
        <v>0.83</v>
      </c>
      <c r="J185" s="323"/>
      <c r="K185" s="2">
        <f>K213+K241</f>
        <v>1061210</v>
      </c>
      <c r="M185" s="20"/>
      <c r="N185" s="20"/>
      <c r="O185" s="74"/>
      <c r="P185" s="74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E185" s="84"/>
    </row>
    <row r="186" spans="1:31">
      <c r="A186" s="1" t="s">
        <v>397</v>
      </c>
      <c r="B186" s="1"/>
      <c r="C186" s="317">
        <f>SUM(C183:C184)</f>
        <v>208800</v>
      </c>
      <c r="D186" s="317">
        <f>SUM(D183:D184)</f>
        <v>206987</v>
      </c>
      <c r="E186" s="296"/>
      <c r="F186" s="319"/>
      <c r="G186" s="2"/>
      <c r="H186" s="2"/>
      <c r="I186" s="296"/>
      <c r="J186" s="321"/>
      <c r="K186" s="2"/>
      <c r="M186" s="20"/>
      <c r="N186" s="20"/>
      <c r="O186" s="74"/>
      <c r="P186" s="74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E186" s="84"/>
    </row>
    <row r="187" spans="1:31">
      <c r="A187" s="1" t="s">
        <v>398</v>
      </c>
      <c r="B187" s="1"/>
      <c r="C187" s="317">
        <f t="shared" ref="C187:D191" si="18">C215+C243</f>
        <v>822251</v>
      </c>
      <c r="D187" s="317" t="e">
        <f t="shared" si="18"/>
        <v>#REF!</v>
      </c>
      <c r="E187" s="324">
        <f>$E$158</f>
        <v>2.88</v>
      </c>
      <c r="F187" s="321"/>
      <c r="G187" s="2">
        <f t="shared" ref="G187:H191" si="19">G215+G243</f>
        <v>2368083</v>
      </c>
      <c r="H187" s="2" t="e">
        <f t="shared" si="19"/>
        <v>#REF!</v>
      </c>
      <c r="I187" s="324">
        <f>$I$158</f>
        <v>2.97</v>
      </c>
      <c r="J187" s="321"/>
      <c r="K187" s="2">
        <f>K215+K243</f>
        <v>2442085</v>
      </c>
      <c r="M187" s="20"/>
      <c r="N187" s="20"/>
      <c r="O187" s="74"/>
      <c r="P187" s="74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E187" s="84"/>
    </row>
    <row r="188" spans="1:31">
      <c r="A188" s="1" t="s">
        <v>400</v>
      </c>
      <c r="B188" s="1"/>
      <c r="C188" s="317" t="e">
        <f t="shared" si="18"/>
        <v>#REF!</v>
      </c>
      <c r="D188" s="317" t="e">
        <f t="shared" si="18"/>
        <v>#REF!</v>
      </c>
      <c r="E188" s="297">
        <f>$E$159</f>
        <v>8.0890000000000004</v>
      </c>
      <c r="F188" s="321" t="s">
        <v>377</v>
      </c>
      <c r="G188" s="2" t="e">
        <f t="shared" si="19"/>
        <v>#REF!</v>
      </c>
      <c r="H188" s="2" t="e">
        <f t="shared" si="19"/>
        <v>#REF!</v>
      </c>
      <c r="I188" s="297">
        <f>$I$159</f>
        <v>8.8109999999999999</v>
      </c>
      <c r="J188" s="321" t="s">
        <v>377</v>
      </c>
      <c r="K188" s="2" t="e">
        <f>K216+K244</f>
        <v>#REF!</v>
      </c>
      <c r="M188" s="20"/>
      <c r="N188" s="20"/>
      <c r="O188" s="74"/>
      <c r="P188" s="74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E188" s="84"/>
    </row>
    <row r="189" spans="1:31">
      <c r="A189" s="1" t="s">
        <v>401</v>
      </c>
      <c r="B189" s="1"/>
      <c r="C189" s="317" t="e">
        <f t="shared" si="18"/>
        <v>#REF!</v>
      </c>
      <c r="D189" s="317" t="e">
        <f t="shared" si="18"/>
        <v>#REF!</v>
      </c>
      <c r="E189" s="297">
        <f>$E$160</f>
        <v>5.5839999999999996</v>
      </c>
      <c r="F189" s="321" t="s">
        <v>377</v>
      </c>
      <c r="G189" s="2" t="e">
        <f t="shared" si="19"/>
        <v>#REF!</v>
      </c>
      <c r="H189" s="2" t="e">
        <f t="shared" si="19"/>
        <v>#REF!</v>
      </c>
      <c r="I189" s="297">
        <f>$I$160</f>
        <v>6.0819999999999999</v>
      </c>
      <c r="J189" s="321" t="s">
        <v>377</v>
      </c>
      <c r="K189" s="2" t="e">
        <f>K217+K245</f>
        <v>#REF!</v>
      </c>
      <c r="M189" s="20"/>
      <c r="N189" s="20"/>
      <c r="O189" s="74"/>
      <c r="P189" s="74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E189" s="84"/>
    </row>
    <row r="190" spans="1:31">
      <c r="A190" s="1" t="s">
        <v>402</v>
      </c>
      <c r="B190" s="1"/>
      <c r="C190" s="317" t="e">
        <f t="shared" si="18"/>
        <v>#REF!</v>
      </c>
      <c r="D190" s="317" t="e">
        <f t="shared" si="18"/>
        <v>#REF!</v>
      </c>
      <c r="E190" s="297">
        <f>$E$161</f>
        <v>4.8099999999999996</v>
      </c>
      <c r="F190" s="321" t="s">
        <v>377</v>
      </c>
      <c r="G190" s="2" t="e">
        <f t="shared" si="19"/>
        <v>#REF!</v>
      </c>
      <c r="H190" s="2" t="e">
        <f t="shared" si="19"/>
        <v>#REF!</v>
      </c>
      <c r="I190" s="297">
        <f>$I$161</f>
        <v>5.24</v>
      </c>
      <c r="J190" s="321" t="s">
        <v>377</v>
      </c>
      <c r="K190" s="2" t="e">
        <f>K218+K246</f>
        <v>#REF!</v>
      </c>
      <c r="M190" s="20"/>
      <c r="N190" s="20"/>
      <c r="O190" s="74"/>
      <c r="P190" s="74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E190" s="84"/>
    </row>
    <row r="191" spans="1:31">
      <c r="A191" s="1" t="s">
        <v>403</v>
      </c>
      <c r="B191" s="1"/>
      <c r="C191" s="317">
        <f t="shared" si="18"/>
        <v>92358</v>
      </c>
      <c r="D191" s="317" t="e">
        <f t="shared" si="18"/>
        <v>#REF!</v>
      </c>
      <c r="E191" s="328">
        <f>$E$162</f>
        <v>45</v>
      </c>
      <c r="F191" s="319" t="s">
        <v>377</v>
      </c>
      <c r="G191" s="2">
        <f t="shared" si="19"/>
        <v>41561</v>
      </c>
      <c r="H191" s="2" t="e">
        <f t="shared" si="19"/>
        <v>#REF!</v>
      </c>
      <c r="I191" s="328">
        <f>$I$162</f>
        <v>50</v>
      </c>
      <c r="J191" s="321" t="s">
        <v>377</v>
      </c>
      <c r="K191" s="2">
        <f>K219+K247</f>
        <v>46180</v>
      </c>
      <c r="M191" s="20"/>
      <c r="N191" s="20"/>
      <c r="O191" s="74"/>
      <c r="P191" s="74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E191" s="84"/>
    </row>
    <row r="192" spans="1:31">
      <c r="A192" s="329" t="s">
        <v>404</v>
      </c>
      <c r="B192" s="1"/>
      <c r="C192" s="317"/>
      <c r="D192" s="317"/>
      <c r="E192" s="330">
        <v>-0.01</v>
      </c>
      <c r="F192" s="319"/>
      <c r="G192" s="2"/>
      <c r="H192" s="2"/>
      <c r="I192" s="330">
        <v>-0.01</v>
      </c>
      <c r="J192" s="321"/>
      <c r="K192" s="2"/>
      <c r="M192" s="20"/>
      <c r="N192" s="20"/>
      <c r="O192" s="74"/>
      <c r="P192" s="74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E192" s="84"/>
    </row>
    <row r="193" spans="1:31">
      <c r="A193" s="1" t="s">
        <v>393</v>
      </c>
      <c r="B193" s="1"/>
      <c r="C193" s="317">
        <f t="shared" ref="C193:D204" si="20">C221+C249</f>
        <v>48</v>
      </c>
      <c r="D193" s="317">
        <f t="shared" si="20"/>
        <v>48</v>
      </c>
      <c r="E193" s="332">
        <f>E183</f>
        <v>7.53</v>
      </c>
      <c r="F193" s="319"/>
      <c r="G193" s="2">
        <f t="shared" ref="G193:H204" si="21">G221+G249</f>
        <v>-4</v>
      </c>
      <c r="H193" s="2">
        <f t="shared" si="21"/>
        <v>-4</v>
      </c>
      <c r="I193" s="332">
        <f>I183</f>
        <v>8</v>
      </c>
      <c r="J193" s="319"/>
      <c r="K193" s="2">
        <f t="shared" ref="K193:K203" si="22">K221+K249</f>
        <v>-4</v>
      </c>
      <c r="M193" s="20"/>
      <c r="N193" s="20"/>
      <c r="O193" s="74"/>
      <c r="P193" s="74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E193" s="84"/>
    </row>
    <row r="194" spans="1:31">
      <c r="A194" s="1" t="s">
        <v>394</v>
      </c>
      <c r="B194" s="1"/>
      <c r="C194" s="317">
        <f t="shared" si="20"/>
        <v>93</v>
      </c>
      <c r="D194" s="317">
        <f t="shared" si="20"/>
        <v>92</v>
      </c>
      <c r="E194" s="332">
        <f>E184</f>
        <v>11.18</v>
      </c>
      <c r="F194" s="319"/>
      <c r="G194" s="2">
        <f t="shared" si="21"/>
        <v>-10</v>
      </c>
      <c r="H194" s="2">
        <f t="shared" si="21"/>
        <v>-10</v>
      </c>
      <c r="I194" s="332">
        <f>I184</f>
        <v>11.877822045152721</v>
      </c>
      <c r="J194" s="319"/>
      <c r="K194" s="2">
        <f t="shared" si="22"/>
        <v>-11</v>
      </c>
      <c r="M194" s="20"/>
      <c r="N194" s="20"/>
      <c r="O194" s="74"/>
      <c r="P194" s="74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E194" s="84"/>
    </row>
    <row r="195" spans="1:31">
      <c r="A195" s="1" t="s">
        <v>405</v>
      </c>
      <c r="B195" s="1"/>
      <c r="C195" s="317">
        <f t="shared" si="20"/>
        <v>3543</v>
      </c>
      <c r="D195" s="317" t="e">
        <f t="shared" si="20"/>
        <v>#REF!</v>
      </c>
      <c r="E195" s="332">
        <f>E185</f>
        <v>0.78</v>
      </c>
      <c r="F195" s="319"/>
      <c r="G195" s="2">
        <f t="shared" si="21"/>
        <v>-28</v>
      </c>
      <c r="H195" s="2" t="e">
        <f t="shared" si="21"/>
        <v>#REF!</v>
      </c>
      <c r="I195" s="332">
        <f>I185</f>
        <v>0.83</v>
      </c>
      <c r="J195" s="319"/>
      <c r="K195" s="2">
        <f t="shared" si="22"/>
        <v>-29</v>
      </c>
      <c r="M195" s="20"/>
      <c r="N195" s="20"/>
      <c r="O195" s="74"/>
      <c r="P195" s="74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E195" s="84"/>
    </row>
    <row r="196" spans="1:31">
      <c r="A196" s="1" t="s">
        <v>406</v>
      </c>
      <c r="B196" s="1"/>
      <c r="C196" s="317">
        <f t="shared" si="20"/>
        <v>1576</v>
      </c>
      <c r="D196" s="317" t="e">
        <f t="shared" si="20"/>
        <v>#REF!</v>
      </c>
      <c r="E196" s="332">
        <f>E187</f>
        <v>2.88</v>
      </c>
      <c r="F196" s="321"/>
      <c r="G196" s="2">
        <f t="shared" si="21"/>
        <v>-45</v>
      </c>
      <c r="H196" s="2" t="e">
        <f t="shared" si="21"/>
        <v>#REF!</v>
      </c>
      <c r="I196" s="332">
        <f>I187</f>
        <v>2.97</v>
      </c>
      <c r="J196" s="321"/>
      <c r="K196" s="2">
        <f t="shared" si="22"/>
        <v>-47</v>
      </c>
      <c r="M196" s="20"/>
      <c r="N196" s="20"/>
      <c r="O196" s="74"/>
      <c r="P196" s="74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E196" s="84"/>
    </row>
    <row r="197" spans="1:31">
      <c r="A197" s="1" t="s">
        <v>408</v>
      </c>
      <c r="B197" s="1"/>
      <c r="C197" s="317">
        <f t="shared" si="20"/>
        <v>84935</v>
      </c>
      <c r="D197" s="317" t="e">
        <f t="shared" si="20"/>
        <v>#REF!</v>
      </c>
      <c r="E197" s="333">
        <f>E188</f>
        <v>8.0890000000000004</v>
      </c>
      <c r="F197" s="321" t="s">
        <v>377</v>
      </c>
      <c r="G197" s="2">
        <f t="shared" si="21"/>
        <v>-69</v>
      </c>
      <c r="H197" s="2" t="e">
        <f t="shared" si="21"/>
        <v>#REF!</v>
      </c>
      <c r="I197" s="333">
        <f>I188</f>
        <v>8.8109999999999999</v>
      </c>
      <c r="J197" s="321" t="s">
        <v>377</v>
      </c>
      <c r="K197" s="2">
        <f t="shared" si="22"/>
        <v>-75</v>
      </c>
      <c r="M197" s="20"/>
      <c r="N197" s="20"/>
      <c r="O197" s="74"/>
      <c r="P197" s="74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E197" s="84"/>
    </row>
    <row r="198" spans="1:31">
      <c r="A198" s="1" t="s">
        <v>401</v>
      </c>
      <c r="B198" s="1"/>
      <c r="C198" s="317">
        <f t="shared" si="20"/>
        <v>270692</v>
      </c>
      <c r="D198" s="317" t="e">
        <f t="shared" si="20"/>
        <v>#REF!</v>
      </c>
      <c r="E198" s="333">
        <f>E189</f>
        <v>5.5839999999999996</v>
      </c>
      <c r="F198" s="321" t="s">
        <v>377</v>
      </c>
      <c r="G198" s="2">
        <f t="shared" si="21"/>
        <v>-151</v>
      </c>
      <c r="H198" s="2" t="e">
        <f t="shared" si="21"/>
        <v>#REF!</v>
      </c>
      <c r="I198" s="333">
        <f>I189</f>
        <v>6.0819999999999999</v>
      </c>
      <c r="J198" s="321" t="s">
        <v>377</v>
      </c>
      <c r="K198" s="2">
        <f t="shared" si="22"/>
        <v>-165</v>
      </c>
      <c r="M198" s="20"/>
      <c r="N198" s="20"/>
      <c r="O198" s="74"/>
      <c r="P198" s="74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E198" s="84"/>
    </row>
    <row r="199" spans="1:31">
      <c r="A199" s="1" t="s">
        <v>402</v>
      </c>
      <c r="B199" s="1"/>
      <c r="C199" s="317">
        <f t="shared" si="20"/>
        <v>65960</v>
      </c>
      <c r="D199" s="317" t="e">
        <f t="shared" si="20"/>
        <v>#REF!</v>
      </c>
      <c r="E199" s="333">
        <f>E190</f>
        <v>4.8099999999999996</v>
      </c>
      <c r="F199" s="321" t="s">
        <v>377</v>
      </c>
      <c r="G199" s="2">
        <f t="shared" si="21"/>
        <v>-32</v>
      </c>
      <c r="H199" s="2" t="e">
        <f t="shared" si="21"/>
        <v>#REF!</v>
      </c>
      <c r="I199" s="333">
        <f>I190</f>
        <v>5.24</v>
      </c>
      <c r="J199" s="321" t="s">
        <v>377</v>
      </c>
      <c r="K199" s="2">
        <f t="shared" si="22"/>
        <v>-35</v>
      </c>
      <c r="M199" s="20"/>
      <c r="N199" s="20"/>
      <c r="O199" s="74"/>
      <c r="P199" s="74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E199" s="84"/>
    </row>
    <row r="200" spans="1:31">
      <c r="A200" s="1" t="s">
        <v>403</v>
      </c>
      <c r="B200" s="1"/>
      <c r="C200" s="317">
        <f t="shared" si="20"/>
        <v>2996</v>
      </c>
      <c r="D200" s="317" t="e">
        <f t="shared" si="20"/>
        <v>#REF!</v>
      </c>
      <c r="E200" s="334">
        <f>E191</f>
        <v>45</v>
      </c>
      <c r="F200" s="321" t="s">
        <v>377</v>
      </c>
      <c r="G200" s="2">
        <f t="shared" si="21"/>
        <v>-13</v>
      </c>
      <c r="H200" s="2" t="e">
        <f t="shared" si="21"/>
        <v>#REF!</v>
      </c>
      <c r="I200" s="334">
        <f>I191</f>
        <v>50</v>
      </c>
      <c r="J200" s="321" t="s">
        <v>377</v>
      </c>
      <c r="K200" s="2">
        <f t="shared" si="22"/>
        <v>-15</v>
      </c>
      <c r="M200" s="20"/>
      <c r="N200" s="20"/>
      <c r="O200" s="74"/>
      <c r="P200" s="74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E200" s="84"/>
    </row>
    <row r="201" spans="1:31">
      <c r="A201" s="1" t="s">
        <v>410</v>
      </c>
      <c r="B201" s="1"/>
      <c r="C201" s="317">
        <f t="shared" si="20"/>
        <v>108</v>
      </c>
      <c r="D201" s="317" t="e">
        <f t="shared" si="20"/>
        <v>#REF!</v>
      </c>
      <c r="E201" s="335">
        <f>$E$172</f>
        <v>60</v>
      </c>
      <c r="F201" s="319"/>
      <c r="G201" s="2">
        <f t="shared" si="21"/>
        <v>6480</v>
      </c>
      <c r="H201" s="2" t="e">
        <f t="shared" si="21"/>
        <v>#REF!</v>
      </c>
      <c r="I201" s="335">
        <f>$I$172</f>
        <v>60</v>
      </c>
      <c r="J201" s="321"/>
      <c r="K201" s="2">
        <f t="shared" si="22"/>
        <v>6480</v>
      </c>
      <c r="M201" s="20"/>
      <c r="N201" s="20"/>
      <c r="O201" s="74"/>
      <c r="P201" s="7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E201" s="84"/>
    </row>
    <row r="202" spans="1:31">
      <c r="A202" s="1" t="s">
        <v>411</v>
      </c>
      <c r="B202" s="1"/>
      <c r="C202" s="317">
        <f t="shared" si="20"/>
        <v>3624</v>
      </c>
      <c r="D202" s="317" t="e">
        <f t="shared" si="20"/>
        <v>#REF!</v>
      </c>
      <c r="E202" s="337">
        <f>$E$173</f>
        <v>-30</v>
      </c>
      <c r="F202" s="319" t="s">
        <v>377</v>
      </c>
      <c r="G202" s="2">
        <f t="shared" si="21"/>
        <v>-1087</v>
      </c>
      <c r="H202" s="2" t="e">
        <f t="shared" si="21"/>
        <v>#REF!</v>
      </c>
      <c r="I202" s="337">
        <f>$I$173</f>
        <v>-30</v>
      </c>
      <c r="J202" s="321" t="s">
        <v>377</v>
      </c>
      <c r="K202" s="2">
        <f t="shared" si="22"/>
        <v>-1087</v>
      </c>
      <c r="M202" s="20"/>
      <c r="N202" s="20"/>
      <c r="O202" s="74"/>
      <c r="P202" s="74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E202" s="84"/>
    </row>
    <row r="203" spans="1:31">
      <c r="A203" s="1" t="s">
        <v>384</v>
      </c>
      <c r="B203" s="262"/>
      <c r="C203" s="317" t="e">
        <f t="shared" si="20"/>
        <v>#REF!</v>
      </c>
      <c r="D203" s="317">
        <f t="shared" si="20"/>
        <v>527850595.24192303</v>
      </c>
      <c r="E203" s="328"/>
      <c r="F203" s="2"/>
      <c r="G203" s="2" t="e">
        <f t="shared" si="21"/>
        <v>#REF!</v>
      </c>
      <c r="H203" s="2" t="e">
        <f t="shared" si="21"/>
        <v>#REF!</v>
      </c>
      <c r="I203" s="328"/>
      <c r="J203" s="321"/>
      <c r="K203" s="2" t="e">
        <f t="shared" si="22"/>
        <v>#REF!</v>
      </c>
      <c r="M203" s="20"/>
      <c r="N203" s="20"/>
      <c r="O203" s="74"/>
      <c r="P203" s="74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E203" s="84"/>
    </row>
    <row r="204" spans="1:31">
      <c r="A204" s="1" t="s">
        <v>366</v>
      </c>
      <c r="B204" s="345"/>
      <c r="C204" s="338" t="e">
        <f t="shared" si="20"/>
        <v>#REF!</v>
      </c>
      <c r="D204" s="338">
        <f t="shared" si="20"/>
        <v>0</v>
      </c>
      <c r="E204" s="307"/>
      <c r="F204" s="307"/>
      <c r="G204" s="339" t="e">
        <f t="shared" si="21"/>
        <v>#REF!</v>
      </c>
      <c r="H204" s="339">
        <f t="shared" si="21"/>
        <v>0</v>
      </c>
      <c r="I204" s="307"/>
      <c r="J204" s="307"/>
      <c r="K204" s="339" t="e">
        <f>G204</f>
        <v>#REF!</v>
      </c>
      <c r="M204" s="442"/>
      <c r="N204" s="442"/>
      <c r="O204" s="285"/>
      <c r="P204" s="74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E204" s="84"/>
    </row>
    <row r="205" spans="1:31" ht="16.5" thickBot="1">
      <c r="A205" s="1" t="s">
        <v>385</v>
      </c>
      <c r="B205" s="1"/>
      <c r="C205" s="309" t="e">
        <f>SUM(C203:C204)</f>
        <v>#REF!</v>
      </c>
      <c r="D205" s="309">
        <f>SUM(D203:D204)</f>
        <v>527850595.24192303</v>
      </c>
      <c r="E205" s="340"/>
      <c r="F205" s="341"/>
      <c r="G205" s="342" t="e">
        <f>G203+G204</f>
        <v>#REF!</v>
      </c>
      <c r="H205" s="342" t="e">
        <f>H203+H204</f>
        <v>#REF!</v>
      </c>
      <c r="I205" s="340"/>
      <c r="J205" s="343"/>
      <c r="K205" s="342" t="e">
        <f>K203+K204</f>
        <v>#REF!</v>
      </c>
      <c r="M205" s="409"/>
      <c r="N205" s="409"/>
      <c r="O205" s="468"/>
      <c r="P205" s="7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E205" s="84"/>
    </row>
    <row r="206" spans="1:31" ht="16.5" thickTop="1">
      <c r="A206" s="1"/>
      <c r="B206" s="1"/>
      <c r="C206" s="21"/>
      <c r="D206" s="21"/>
      <c r="E206" s="335"/>
      <c r="F206" s="2"/>
      <c r="G206" s="2"/>
      <c r="H206" s="2"/>
      <c r="I206" s="335"/>
      <c r="J206" s="1"/>
      <c r="K206" s="2" t="s">
        <v>31</v>
      </c>
      <c r="M206" s="20"/>
      <c r="N206" s="20"/>
      <c r="O206" s="74"/>
      <c r="P206" s="74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E206" s="84"/>
    </row>
    <row r="207" spans="1:31">
      <c r="A207" s="291" t="s">
        <v>390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M207" s="20"/>
      <c r="N207" s="20"/>
      <c r="O207" s="74"/>
      <c r="P207" s="74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E207" s="84"/>
    </row>
    <row r="208" spans="1:31">
      <c r="A208" s="1" t="s">
        <v>414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M208" s="20"/>
      <c r="N208" s="20"/>
      <c r="O208" s="74"/>
      <c r="P208" s="74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E208" s="84"/>
    </row>
    <row r="209" spans="1:31">
      <c r="A209" s="346" t="s">
        <v>415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M209" s="20"/>
      <c r="N209" s="20"/>
      <c r="O209" s="74"/>
      <c r="P209" s="74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E209" s="84"/>
    </row>
    <row r="210" spans="1:31">
      <c r="A210" s="1" t="s">
        <v>396</v>
      </c>
      <c r="B210" s="1"/>
      <c r="C210" s="317"/>
      <c r="D210" s="317"/>
      <c r="E210" s="2"/>
      <c r="F210" s="2"/>
      <c r="G210" s="1"/>
      <c r="H210" s="1"/>
      <c r="I210" s="2"/>
      <c r="J210" s="1"/>
      <c r="K210" s="1"/>
      <c r="M210" s="20"/>
      <c r="N210" s="20"/>
      <c r="O210" s="74"/>
      <c r="P210" s="74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E210" s="84"/>
    </row>
    <row r="211" spans="1:31">
      <c r="A211" s="1" t="s">
        <v>393</v>
      </c>
      <c r="B211" s="1"/>
      <c r="C211" s="317">
        <f>31559+48+114515+12+1+4</f>
        <v>146139</v>
      </c>
      <c r="D211" s="317">
        <v>144846</v>
      </c>
      <c r="E211" s="296">
        <f>$E$153</f>
        <v>7.53</v>
      </c>
      <c r="F211" s="319"/>
      <c r="G211" s="2">
        <f>ROUND(E211*$C211,0)</f>
        <v>1100427</v>
      </c>
      <c r="H211" s="2">
        <f>ROUND(E211*$D211,0)</f>
        <v>1090690</v>
      </c>
      <c r="I211" s="296">
        <f>$I$153</f>
        <v>8</v>
      </c>
      <c r="J211" s="321"/>
      <c r="K211" s="2">
        <f>ROUND(I211*$C211,0)</f>
        <v>1169112</v>
      </c>
      <c r="M211" s="20"/>
      <c r="N211" s="20"/>
      <c r="O211" s="74"/>
      <c r="P211" s="74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E211" s="84"/>
    </row>
    <row r="212" spans="1:31">
      <c r="A212" s="1" t="s">
        <v>394</v>
      </c>
      <c r="B212" s="1"/>
      <c r="C212" s="317">
        <f>11+7148+42+33+60+49632</f>
        <v>56926</v>
      </c>
      <c r="D212" s="317">
        <v>56418</v>
      </c>
      <c r="E212" s="296">
        <f>$E$154</f>
        <v>11.18</v>
      </c>
      <c r="F212" s="322"/>
      <c r="G212" s="2">
        <f>ROUND(E212*$C212,0)</f>
        <v>636433</v>
      </c>
      <c r="H212" s="2">
        <f>ROUND(E212*$D212,0)</f>
        <v>630753</v>
      </c>
      <c r="I212" s="296">
        <f>$I$154</f>
        <v>11.877822045152721</v>
      </c>
      <c r="J212" s="323"/>
      <c r="K212" s="2">
        <f>ROUND(I212*$C212,0)</f>
        <v>676157</v>
      </c>
      <c r="M212" s="20"/>
      <c r="N212" s="20"/>
      <c r="O212" s="74"/>
      <c r="P212" s="74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E212" s="84"/>
    </row>
    <row r="213" spans="1:31">
      <c r="A213" s="1" t="s">
        <v>395</v>
      </c>
      <c r="B213" s="1"/>
      <c r="C213" s="317">
        <f>19363+72181+143+261091+506+425+2975+845224</f>
        <v>1201908</v>
      </c>
      <c r="D213" s="317" t="e">
        <f>ROUND(($D$231/'Billing Determinants (2)'!$C$231)*C213,0)</f>
        <v>#REF!</v>
      </c>
      <c r="E213" s="296">
        <f>$E$155</f>
        <v>0.78</v>
      </c>
      <c r="F213" s="322"/>
      <c r="G213" s="2">
        <f>ROUND(E213*$C213,0)</f>
        <v>937488</v>
      </c>
      <c r="H213" s="2" t="e">
        <f>ROUND(E213*$D213,0)</f>
        <v>#REF!</v>
      </c>
      <c r="I213" s="296">
        <f>$I$155</f>
        <v>0.83</v>
      </c>
      <c r="J213" s="323"/>
      <c r="K213" s="2">
        <f>ROUND(I213*$C213,0)</f>
        <v>997584</v>
      </c>
      <c r="M213" s="20"/>
      <c r="N213" s="20"/>
      <c r="O213" s="74"/>
      <c r="P213" s="74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E213" s="84"/>
    </row>
    <row r="214" spans="1:31">
      <c r="A214" s="1" t="s">
        <v>397</v>
      </c>
      <c r="B214" s="1"/>
      <c r="C214" s="317">
        <f>SUM(C211:C212)</f>
        <v>203065</v>
      </c>
      <c r="D214" s="317">
        <f>SUM(D211:D212)</f>
        <v>201264</v>
      </c>
      <c r="E214" s="296"/>
      <c r="F214" s="319"/>
      <c r="G214" s="2"/>
      <c r="H214" s="2"/>
      <c r="I214" s="296"/>
      <c r="J214" s="321"/>
      <c r="K214" s="2"/>
      <c r="M214" s="20"/>
      <c r="N214" s="20"/>
      <c r="O214" s="74"/>
      <c r="P214" s="74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E214" s="84"/>
    </row>
    <row r="215" spans="1:31">
      <c r="A215" s="1" t="s">
        <v>398</v>
      </c>
      <c r="B215" s="1"/>
      <c r="C215" s="317">
        <f>12010+42566+76+150357+258+319+1181+570824</f>
        <v>777591</v>
      </c>
      <c r="D215" s="317" t="e">
        <f>ROUND(($D$231/'Billing Determinants (2)'!$C$231)*C215,0)</f>
        <v>#REF!</v>
      </c>
      <c r="E215" s="324">
        <f>$E$158</f>
        <v>2.88</v>
      </c>
      <c r="F215" s="321"/>
      <c r="G215" s="2">
        <f>ROUND(E215*$C215,0)</f>
        <v>2239462</v>
      </c>
      <c r="H215" s="2" t="e">
        <f>ROUND(E215*$D215,0)</f>
        <v>#REF!</v>
      </c>
      <c r="I215" s="324">
        <f>$I$158</f>
        <v>2.97</v>
      </c>
      <c r="J215" s="321"/>
      <c r="K215" s="2">
        <f>ROUND(I215*$C215,0)</f>
        <v>2309445</v>
      </c>
      <c r="M215" s="20"/>
      <c r="N215" s="20"/>
      <c r="O215" s="74"/>
      <c r="P215" s="74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E215" s="84"/>
    </row>
    <row r="216" spans="1:31">
      <c r="A216" s="1" t="s">
        <v>400</v>
      </c>
      <c r="B216" s="317"/>
      <c r="C216" s="317" t="e">
        <f>10637140+2511+3968456+48093+68224697+41262+14709+22133+40160890+910+1497+3016+#REF!*1000</f>
        <v>#REF!</v>
      </c>
      <c r="D216" s="317" t="e">
        <f>ROUND(($D$231/$C$231)*C216,0)</f>
        <v>#REF!</v>
      </c>
      <c r="E216" s="297">
        <f>$E$159</f>
        <v>8.0890000000000004</v>
      </c>
      <c r="F216" s="321" t="s">
        <v>377</v>
      </c>
      <c r="G216" s="2" t="e">
        <f>ROUND(E216*$C216/100,0)</f>
        <v>#REF!</v>
      </c>
      <c r="H216" s="2" t="e">
        <f>ROUND(E216*$D216/100,0)</f>
        <v>#REF!</v>
      </c>
      <c r="I216" s="297">
        <f>$I$159</f>
        <v>8.8109999999999999</v>
      </c>
      <c r="J216" s="321" t="s">
        <v>377</v>
      </c>
      <c r="K216" s="2" t="e">
        <f>ROUND(I216*$C216/100,0)</f>
        <v>#REF!</v>
      </c>
      <c r="M216" s="471"/>
      <c r="N216" s="471"/>
      <c r="O216" s="74"/>
      <c r="P216" s="74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E216" s="84"/>
    </row>
    <row r="217" spans="1:31">
      <c r="A217" s="1" t="s">
        <v>401</v>
      </c>
      <c r="B217" s="317"/>
      <c r="C217" s="317" t="e">
        <f>6716987+667+10550295+89698+100459984+191610+96267+84727+156443365+471+#REF!*1000</f>
        <v>#REF!</v>
      </c>
      <c r="D217" s="317" t="e">
        <f>ROUND(($D$231/'Billing Determinants (2)'!$C$231)*C217,0)</f>
        <v>#REF!</v>
      </c>
      <c r="E217" s="297">
        <f>$E$160</f>
        <v>5.5839999999999996</v>
      </c>
      <c r="F217" s="321" t="s">
        <v>377</v>
      </c>
      <c r="G217" s="2" t="e">
        <f>ROUND(E217*$C217/100,0)</f>
        <v>#REF!</v>
      </c>
      <c r="H217" s="2" t="e">
        <f>ROUND(E217*$D217/100,0)</f>
        <v>#REF!</v>
      </c>
      <c r="I217" s="297">
        <f>$I$160</f>
        <v>6.0819999999999999</v>
      </c>
      <c r="J217" s="321" t="s">
        <v>377</v>
      </c>
      <c r="K217" s="2" t="e">
        <f>ROUND(I217*$C217/100,0)</f>
        <v>#REF!</v>
      </c>
      <c r="M217" s="471"/>
      <c r="N217" s="471"/>
      <c r="O217" s="74"/>
      <c r="P217" s="74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E217" s="84"/>
    </row>
    <row r="218" spans="1:31">
      <c r="A218" s="1" t="s">
        <v>402</v>
      </c>
      <c r="B218" s="317"/>
      <c r="C218" s="317" t="e">
        <f>974972+8370324+11474735+34390+61460+4500+93253467+#REF!*1000</f>
        <v>#REF!</v>
      </c>
      <c r="D218" s="317" t="e">
        <f>ROUND(($D$231/'Billing Determinants (2)'!$C$231)*C218,0)</f>
        <v>#REF!</v>
      </c>
      <c r="E218" s="297">
        <f>$E$161</f>
        <v>4.8099999999999996</v>
      </c>
      <c r="F218" s="321" t="s">
        <v>377</v>
      </c>
      <c r="G218" s="2" t="e">
        <f>ROUND(E218*$C218/100,0)</f>
        <v>#REF!</v>
      </c>
      <c r="H218" s="2" t="e">
        <f>ROUND(E218*$D218/100,0)</f>
        <v>#REF!</v>
      </c>
      <c r="I218" s="297">
        <f>$I$161</f>
        <v>5.24</v>
      </c>
      <c r="J218" s="321" t="s">
        <v>377</v>
      </c>
      <c r="K218" s="2" t="e">
        <f>ROUND(I218*$C218/100,0)</f>
        <v>#REF!</v>
      </c>
      <c r="M218" s="471"/>
      <c r="N218" s="471"/>
      <c r="O218" s="74"/>
      <c r="P218" s="74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E218" s="84"/>
    </row>
    <row r="219" spans="1:31">
      <c r="A219" s="1" t="s">
        <v>403</v>
      </c>
      <c r="B219" s="21"/>
      <c r="C219" s="317">
        <f>1+8222+516+2+2994+65942</f>
        <v>77677</v>
      </c>
      <c r="D219" s="317" t="e">
        <f>ROUND(($D$231/'Billing Determinants (2)'!$C$231)*C219,0)</f>
        <v>#REF!</v>
      </c>
      <c r="E219" s="328">
        <f>$E$162</f>
        <v>45</v>
      </c>
      <c r="F219" s="319" t="s">
        <v>377</v>
      </c>
      <c r="G219" s="2">
        <f>ROUND(E219*$C219/100,0)</f>
        <v>34955</v>
      </c>
      <c r="H219" s="2" t="e">
        <f>ROUND(E219*$D219/100,0)</f>
        <v>#REF!</v>
      </c>
      <c r="I219" s="328">
        <f>$I$162</f>
        <v>50</v>
      </c>
      <c r="J219" s="321" t="s">
        <v>377</v>
      </c>
      <c r="K219" s="2">
        <f>ROUND(I219*$C219/100,0)</f>
        <v>38839</v>
      </c>
      <c r="M219" s="20"/>
      <c r="N219" s="20"/>
      <c r="O219" s="74"/>
      <c r="P219" s="74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E219" s="84"/>
    </row>
    <row r="220" spans="1:31">
      <c r="A220" s="329" t="s">
        <v>404</v>
      </c>
      <c r="B220" s="21"/>
      <c r="C220" s="317"/>
      <c r="D220" s="317"/>
      <c r="E220" s="330">
        <v>-0.01</v>
      </c>
      <c r="F220" s="319"/>
      <c r="G220" s="2"/>
      <c r="H220" s="2"/>
      <c r="I220" s="330">
        <v>-0.01</v>
      </c>
      <c r="J220" s="321"/>
      <c r="K220" s="2"/>
      <c r="M220" s="20"/>
      <c r="N220" s="20"/>
      <c r="O220" s="74"/>
      <c r="P220" s="74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E220" s="84"/>
    </row>
    <row r="221" spans="1:31">
      <c r="A221" s="1" t="s">
        <v>393</v>
      </c>
      <c r="B221" s="1"/>
      <c r="C221" s="317">
        <f>48</f>
        <v>48</v>
      </c>
      <c r="D221" s="317">
        <v>48</v>
      </c>
      <c r="E221" s="332">
        <f>E211</f>
        <v>7.53</v>
      </c>
      <c r="F221" s="319"/>
      <c r="G221" s="2">
        <f>-ROUND(E221*$C221/100,0)</f>
        <v>-4</v>
      </c>
      <c r="H221" s="2">
        <f>-ROUND(E221*$D221/100,0)</f>
        <v>-4</v>
      </c>
      <c r="I221" s="332">
        <f>I211</f>
        <v>8</v>
      </c>
      <c r="J221" s="319"/>
      <c r="K221" s="2">
        <f>-ROUND(I221*$C221/100,0)</f>
        <v>-4</v>
      </c>
      <c r="M221" s="20"/>
      <c r="N221" s="20"/>
      <c r="O221" s="74"/>
      <c r="P221" s="74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E221" s="84"/>
    </row>
    <row r="222" spans="1:31">
      <c r="A222" s="1" t="s">
        <v>394</v>
      </c>
      <c r="B222" s="1"/>
      <c r="C222" s="317">
        <f>33+60</f>
        <v>93</v>
      </c>
      <c r="D222" s="317">
        <v>92</v>
      </c>
      <c r="E222" s="332">
        <f>E212</f>
        <v>11.18</v>
      </c>
      <c r="F222" s="319"/>
      <c r="G222" s="2">
        <f>-ROUND(E222*$C222/100,0)</f>
        <v>-10</v>
      </c>
      <c r="H222" s="2">
        <f>-ROUND(E222*$D222/100,0)</f>
        <v>-10</v>
      </c>
      <c r="I222" s="332">
        <f>I212</f>
        <v>11.877822045152721</v>
      </c>
      <c r="J222" s="319"/>
      <c r="K222" s="2">
        <f>-ROUND(I222*$C222/100,0)</f>
        <v>-11</v>
      </c>
      <c r="M222" s="20"/>
      <c r="N222" s="20"/>
      <c r="O222" s="74"/>
      <c r="P222" s="74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E222" s="84"/>
    </row>
    <row r="223" spans="1:31">
      <c r="A223" s="1" t="s">
        <v>405</v>
      </c>
      <c r="B223" s="1"/>
      <c r="C223" s="317">
        <f>143+425+2975</f>
        <v>3543</v>
      </c>
      <c r="D223" s="317" t="e">
        <f>ROUND(($D$231/'Billing Determinants (2)'!$C$231)*C223,0)</f>
        <v>#REF!</v>
      </c>
      <c r="E223" s="332">
        <f>E213</f>
        <v>0.78</v>
      </c>
      <c r="F223" s="319"/>
      <c r="G223" s="2">
        <f>-ROUND(E223*$C223/100,0)</f>
        <v>-28</v>
      </c>
      <c r="H223" s="2" t="e">
        <f>-ROUND(E223*$D223/100,0)</f>
        <v>#REF!</v>
      </c>
      <c r="I223" s="332">
        <f>I213</f>
        <v>0.83</v>
      </c>
      <c r="J223" s="319"/>
      <c r="K223" s="2">
        <f>-ROUND(I223*$C223/100,0)</f>
        <v>-29</v>
      </c>
      <c r="M223" s="20"/>
      <c r="N223" s="20"/>
      <c r="O223" s="74"/>
      <c r="P223" s="74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E223" s="84"/>
    </row>
    <row r="224" spans="1:31">
      <c r="A224" s="1" t="s">
        <v>416</v>
      </c>
      <c r="B224" s="1"/>
      <c r="C224" s="317">
        <f>76+319+1181</f>
        <v>1576</v>
      </c>
      <c r="D224" s="317" t="e">
        <f>ROUND(($D$231/'Billing Determinants (2)'!$C$231)*C224,0)</f>
        <v>#REF!</v>
      </c>
      <c r="E224" s="332">
        <f>E215</f>
        <v>2.88</v>
      </c>
      <c r="F224" s="321"/>
      <c r="G224" s="2">
        <f>-ROUND(E224*$C224/100,0)</f>
        <v>-45</v>
      </c>
      <c r="H224" s="2" t="e">
        <f>-ROUND(E224*$D224/100,0)</f>
        <v>#REF!</v>
      </c>
      <c r="I224" s="332">
        <f>I215</f>
        <v>2.97</v>
      </c>
      <c r="J224" s="321"/>
      <c r="K224" s="2">
        <f>-ROUND(I224*$C224/100,0)</f>
        <v>-47</v>
      </c>
      <c r="M224" s="20"/>
      <c r="N224" s="20"/>
      <c r="O224" s="74"/>
      <c r="P224" s="74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E224" s="84"/>
    </row>
    <row r="225" spans="1:31">
      <c r="A225" s="1" t="s">
        <v>408</v>
      </c>
      <c r="B225" s="1"/>
      <c r="C225" s="317">
        <f>48093+14709+22133</f>
        <v>84935</v>
      </c>
      <c r="D225" s="317" t="e">
        <f>ROUND(($D$231/'Billing Determinants (2)'!$C$231)*C225,0)</f>
        <v>#REF!</v>
      </c>
      <c r="E225" s="333">
        <f>E216</f>
        <v>8.0890000000000004</v>
      </c>
      <c r="F225" s="321" t="s">
        <v>377</v>
      </c>
      <c r="G225" s="2">
        <f>ROUND(E225*$C225/100*E220,0)</f>
        <v>-69</v>
      </c>
      <c r="H225" s="2" t="e">
        <f>ROUND(E225*$D225/100*E220,0)</f>
        <v>#REF!</v>
      </c>
      <c r="I225" s="333">
        <f>I216</f>
        <v>8.8109999999999999</v>
      </c>
      <c r="J225" s="321" t="s">
        <v>377</v>
      </c>
      <c r="K225" s="2">
        <f>ROUND(I225*$C225/100*I220,0)</f>
        <v>-75</v>
      </c>
      <c r="M225" s="20"/>
      <c r="N225" s="20"/>
      <c r="O225" s="74"/>
      <c r="P225" s="74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E225" s="84"/>
    </row>
    <row r="226" spans="1:31">
      <c r="A226" s="1" t="s">
        <v>401</v>
      </c>
      <c r="B226" s="1"/>
      <c r="C226" s="317">
        <f>89698+96267+84727</f>
        <v>270692</v>
      </c>
      <c r="D226" s="317" t="e">
        <f>ROUND(($D$231/'Billing Determinants (2)'!$C$231)*C226,0)</f>
        <v>#REF!</v>
      </c>
      <c r="E226" s="333">
        <f>E217</f>
        <v>5.5839999999999996</v>
      </c>
      <c r="F226" s="321" t="s">
        <v>377</v>
      </c>
      <c r="G226" s="2">
        <f>ROUND(E226*$C226/100*E220,0)</f>
        <v>-151</v>
      </c>
      <c r="H226" s="2" t="e">
        <f>ROUND(E226*$D226/100*E220,0)</f>
        <v>#REF!</v>
      </c>
      <c r="I226" s="333">
        <f>I217</f>
        <v>6.0819999999999999</v>
      </c>
      <c r="J226" s="321" t="s">
        <v>377</v>
      </c>
      <c r="K226" s="2">
        <f>ROUND(I226*$C226/100*I220,0)</f>
        <v>-165</v>
      </c>
      <c r="M226" s="20"/>
      <c r="N226" s="20"/>
      <c r="O226" s="74"/>
      <c r="P226" s="74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E226" s="84"/>
    </row>
    <row r="227" spans="1:31">
      <c r="A227" s="1" t="s">
        <v>402</v>
      </c>
      <c r="B227" s="1"/>
      <c r="C227" s="317">
        <f>137791+172436+111360-C225-C226</f>
        <v>65960</v>
      </c>
      <c r="D227" s="317" t="e">
        <f>ROUND(($D$231/'Billing Determinants (2)'!$C$231)*C227,0)</f>
        <v>#REF!</v>
      </c>
      <c r="E227" s="333">
        <f>E218</f>
        <v>4.8099999999999996</v>
      </c>
      <c r="F227" s="321" t="s">
        <v>377</v>
      </c>
      <c r="G227" s="2">
        <f>ROUND(E227*$C227/100*E220,0)</f>
        <v>-32</v>
      </c>
      <c r="H227" s="2" t="e">
        <f>ROUND(E227*$D227/100*E220,0)</f>
        <v>#REF!</v>
      </c>
      <c r="I227" s="333">
        <f>I218</f>
        <v>5.24</v>
      </c>
      <c r="J227" s="321" t="s">
        <v>377</v>
      </c>
      <c r="K227" s="2">
        <f>ROUND(I227*$C227/100*I220,0)</f>
        <v>-35</v>
      </c>
      <c r="M227" s="20"/>
      <c r="N227" s="20"/>
      <c r="O227" s="74"/>
      <c r="P227" s="74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E227" s="84"/>
    </row>
    <row r="228" spans="1:31">
      <c r="A228" s="1" t="s">
        <v>403</v>
      </c>
      <c r="B228" s="1"/>
      <c r="C228" s="317">
        <f>2+2994</f>
        <v>2996</v>
      </c>
      <c r="D228" s="317" t="e">
        <f>ROUND(($D$231/'Billing Determinants (2)'!$C$231)*C228,0)</f>
        <v>#REF!</v>
      </c>
      <c r="E228" s="334">
        <f>E219</f>
        <v>45</v>
      </c>
      <c r="F228" s="321" t="s">
        <v>377</v>
      </c>
      <c r="G228" s="2">
        <f>ROUND(E228*$C228/100*E220,0)</f>
        <v>-13</v>
      </c>
      <c r="H228" s="2" t="e">
        <f>ROUND(E228*$D228/100*E220,0)</f>
        <v>#REF!</v>
      </c>
      <c r="I228" s="334">
        <f>I219</f>
        <v>50</v>
      </c>
      <c r="J228" s="321" t="s">
        <v>377</v>
      </c>
      <c r="K228" s="2">
        <f>ROUND(I228*$C228/100*I220,0)</f>
        <v>-15</v>
      </c>
      <c r="M228" s="20"/>
      <c r="N228" s="20"/>
      <c r="O228" s="74"/>
      <c r="P228" s="74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E228" s="84"/>
    </row>
    <row r="229" spans="1:31">
      <c r="A229" s="1" t="s">
        <v>410</v>
      </c>
      <c r="B229" s="1"/>
      <c r="C229" s="317">
        <f>48+60</f>
        <v>108</v>
      </c>
      <c r="D229" s="317" t="e">
        <f>ROUND(($D$231/'Billing Determinants (2)'!$C$231)*C229,0)</f>
        <v>#REF!</v>
      </c>
      <c r="E229" s="335">
        <f>$E$172</f>
        <v>60</v>
      </c>
      <c r="F229" s="319"/>
      <c r="G229" s="2">
        <f>ROUND(E229*$C229,0)</f>
        <v>6480</v>
      </c>
      <c r="H229" s="2" t="e">
        <f>ROUND(E229*$D229,0)</f>
        <v>#REF!</v>
      </c>
      <c r="I229" s="335">
        <f>$I$172</f>
        <v>60</v>
      </c>
      <c r="J229" s="321"/>
      <c r="K229" s="2">
        <f>ROUND(I229*$C229,0)</f>
        <v>6480</v>
      </c>
      <c r="M229" s="20"/>
      <c r="N229" s="20"/>
      <c r="O229" s="74"/>
      <c r="P229" s="74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E229" s="84"/>
    </row>
    <row r="230" spans="1:31">
      <c r="A230" s="1" t="s">
        <v>411</v>
      </c>
      <c r="B230" s="1"/>
      <c r="C230" s="317">
        <f>143+506+2975</f>
        <v>3624</v>
      </c>
      <c r="D230" s="317" t="e">
        <f>ROUND(($D$231/'Billing Determinants (2)'!$C$231)*C230,0)</f>
        <v>#REF!</v>
      </c>
      <c r="E230" s="337">
        <f>$E$173</f>
        <v>-30</v>
      </c>
      <c r="F230" s="319" t="s">
        <v>377</v>
      </c>
      <c r="G230" s="2">
        <f>ROUND(E230*$C230/100,0)</f>
        <v>-1087</v>
      </c>
      <c r="H230" s="2" t="e">
        <f>ROUND(E230*$D230/100,0)</f>
        <v>#REF!</v>
      </c>
      <c r="I230" s="337">
        <f>$I$173</f>
        <v>-30</v>
      </c>
      <c r="J230" s="321" t="s">
        <v>377</v>
      </c>
      <c r="K230" s="2">
        <f>ROUND(I230*$C230/100,0)</f>
        <v>-1087</v>
      </c>
      <c r="M230" s="20"/>
      <c r="N230" s="20"/>
      <c r="O230" s="74"/>
      <c r="P230" s="74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E230" s="84"/>
    </row>
    <row r="231" spans="1:31">
      <c r="A231" s="1" t="s">
        <v>384</v>
      </c>
      <c r="B231" s="305"/>
      <c r="C231" s="317" t="e">
        <f>SUM(C216:C218)</f>
        <v>#REF!</v>
      </c>
      <c r="D231" s="317">
        <v>505220047.82638693</v>
      </c>
      <c r="E231" s="328"/>
      <c r="F231" s="2"/>
      <c r="G231" s="2" t="e">
        <f>SUM(G211:G230)</f>
        <v>#REF!</v>
      </c>
      <c r="H231" s="2" t="e">
        <f>SUM(H211:H230)</f>
        <v>#REF!</v>
      </c>
      <c r="I231" s="328"/>
      <c r="J231" s="321"/>
      <c r="K231" s="2" t="e">
        <f>SUM(K211:K230)</f>
        <v>#REF!</v>
      </c>
      <c r="M231" s="414"/>
      <c r="N231" s="414"/>
      <c r="O231" s="74"/>
      <c r="P231" s="74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E231" s="84"/>
    </row>
    <row r="232" spans="1:31">
      <c r="A232" s="1" t="s">
        <v>366</v>
      </c>
      <c r="B232" s="1"/>
      <c r="C232" s="347" t="e">
        <f>#REF!</f>
        <v>#REF!</v>
      </c>
      <c r="D232" s="338">
        <v>0</v>
      </c>
      <c r="E232" s="307"/>
      <c r="F232" s="307"/>
      <c r="G232" s="339" t="e">
        <f>#REF!</f>
        <v>#REF!</v>
      </c>
      <c r="H232" s="339">
        <v>0</v>
      </c>
      <c r="I232" s="307"/>
      <c r="J232" s="307"/>
      <c r="K232" s="339" t="e">
        <f>G232</f>
        <v>#REF!</v>
      </c>
      <c r="M232" s="442"/>
      <c r="N232" s="442"/>
      <c r="O232" s="285"/>
      <c r="P232" s="74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E232" s="84"/>
    </row>
    <row r="233" spans="1:31" ht="16.5" thickBot="1">
      <c r="A233" s="1" t="s">
        <v>385</v>
      </c>
      <c r="B233" s="1"/>
      <c r="C233" s="309" t="e">
        <f>SUM(C231:C232)</f>
        <v>#REF!</v>
      </c>
      <c r="D233" s="309">
        <f>SUM(D231:D232)</f>
        <v>505220047.82638693</v>
      </c>
      <c r="E233" s="340"/>
      <c r="F233" s="341"/>
      <c r="G233" s="342" t="e">
        <f>G231+G232</f>
        <v>#REF!</v>
      </c>
      <c r="H233" s="342" t="e">
        <f>H231+H232</f>
        <v>#REF!</v>
      </c>
      <c r="I233" s="340"/>
      <c r="J233" s="343"/>
      <c r="K233" s="342" t="e">
        <f>K231+K232</f>
        <v>#REF!</v>
      </c>
      <c r="M233" s="409"/>
      <c r="N233" s="409"/>
      <c r="O233" s="468"/>
      <c r="P233" s="74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E233" s="84"/>
    </row>
    <row r="234" spans="1:31" ht="16.5" thickTop="1">
      <c r="A234" s="1"/>
      <c r="B234" s="1"/>
      <c r="C234" s="21"/>
      <c r="D234" s="21"/>
      <c r="E234" s="335"/>
      <c r="F234" s="2"/>
      <c r="G234" s="2"/>
      <c r="H234" s="2"/>
      <c r="I234" s="335"/>
      <c r="J234" s="1"/>
      <c r="K234" s="2" t="s">
        <v>31</v>
      </c>
      <c r="M234" s="20"/>
      <c r="N234" s="20"/>
      <c r="O234" s="74"/>
      <c r="P234" s="74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E234" s="84"/>
    </row>
    <row r="235" spans="1:31">
      <c r="A235" s="291" t="s">
        <v>390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M235" s="20"/>
      <c r="N235" s="20"/>
      <c r="O235" s="74"/>
      <c r="P235" s="74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E235" s="84"/>
    </row>
    <row r="236" spans="1:31">
      <c r="A236" s="1" t="s">
        <v>417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M236" s="20"/>
      <c r="N236" s="20"/>
      <c r="O236" s="74"/>
      <c r="P236" s="74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20"/>
      <c r="N237" s="20"/>
      <c r="O237" s="74"/>
      <c r="P237" s="74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E237" s="84"/>
    </row>
    <row r="238" spans="1:31">
      <c r="A238" s="1" t="s">
        <v>396</v>
      </c>
      <c r="B238" s="1"/>
      <c r="C238" s="317"/>
      <c r="D238" s="317"/>
      <c r="E238" s="2"/>
      <c r="F238" s="2"/>
      <c r="G238" s="1"/>
      <c r="H238" s="1"/>
      <c r="I238" s="2"/>
      <c r="J238" s="1"/>
      <c r="K238" s="1"/>
      <c r="M238" s="20"/>
      <c r="N238" s="20"/>
      <c r="O238" s="74"/>
      <c r="P238" s="74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E238" s="84"/>
    </row>
    <row r="239" spans="1:31">
      <c r="A239" s="1" t="s">
        <v>393</v>
      </c>
      <c r="B239" s="1"/>
      <c r="C239" s="317">
        <f>564+1748</f>
        <v>2312</v>
      </c>
      <c r="D239" s="317">
        <f>ROUND(($D$242/'Billing Determinants (2)'!$C$242)*C239,0)</f>
        <v>2307</v>
      </c>
      <c r="E239" s="296">
        <f>$E$153</f>
        <v>7.53</v>
      </c>
      <c r="F239" s="319"/>
      <c r="G239" s="2">
        <f>ROUND(E239*$C239,0)</f>
        <v>17409</v>
      </c>
      <c r="H239" s="2">
        <f>ROUND(E239*$D239,0)</f>
        <v>17372</v>
      </c>
      <c r="I239" s="296">
        <f>$I$153</f>
        <v>8</v>
      </c>
      <c r="J239" s="321"/>
      <c r="K239" s="2">
        <f>ROUND(I239*$C239,0)</f>
        <v>18496</v>
      </c>
      <c r="M239" s="20"/>
      <c r="N239" s="20"/>
      <c r="O239" s="74"/>
      <c r="P239" s="74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E239" s="84"/>
    </row>
    <row r="240" spans="1:31">
      <c r="A240" s="1" t="s">
        <v>394</v>
      </c>
      <c r="B240" s="1"/>
      <c r="C240" s="317">
        <f>690+2733</f>
        <v>3423</v>
      </c>
      <c r="D240" s="317">
        <f>ROUND(($D$242/'Billing Determinants (2)'!$C$242)*C240,0)</f>
        <v>3416</v>
      </c>
      <c r="E240" s="296">
        <f>$E$154</f>
        <v>11.18</v>
      </c>
      <c r="F240" s="322"/>
      <c r="G240" s="2">
        <f>ROUND(E240*$C240,0)</f>
        <v>38269</v>
      </c>
      <c r="H240" s="2">
        <f>ROUND(E240*$D240,0)</f>
        <v>38191</v>
      </c>
      <c r="I240" s="296">
        <f>$I$154</f>
        <v>11.877822045152721</v>
      </c>
      <c r="J240" s="323"/>
      <c r="K240" s="2">
        <f>ROUND(I240*$C240,0)</f>
        <v>40658</v>
      </c>
      <c r="M240" s="20"/>
      <c r="N240" s="20"/>
      <c r="O240" s="74"/>
      <c r="P240" s="74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E240" s="84"/>
    </row>
    <row r="241" spans="1:31">
      <c r="A241" s="1" t="s">
        <v>395</v>
      </c>
      <c r="B241" s="1"/>
      <c r="C241" s="317">
        <f>878+12793+3580+59407</f>
        <v>76658</v>
      </c>
      <c r="D241" s="317">
        <f>ROUND(($D$259/$C$259)*C241,0)</f>
        <v>86045</v>
      </c>
      <c r="E241" s="296">
        <f>$E$155</f>
        <v>0.78</v>
      </c>
      <c r="F241" s="322"/>
      <c r="G241" s="2">
        <f>ROUND(E241*$C241,0)</f>
        <v>59793</v>
      </c>
      <c r="H241" s="2">
        <f>ROUND(E241*$D241,0)</f>
        <v>67115</v>
      </c>
      <c r="I241" s="296">
        <f>$I$155</f>
        <v>0.83</v>
      </c>
      <c r="J241" s="323"/>
      <c r="K241" s="2">
        <f>ROUND(I241*$C241,0)</f>
        <v>63626</v>
      </c>
      <c r="M241" s="20"/>
      <c r="N241" s="20"/>
      <c r="O241" s="74"/>
      <c r="P241" s="74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E241" s="84"/>
    </row>
    <row r="242" spans="1:31">
      <c r="A242" s="1" t="s">
        <v>397</v>
      </c>
      <c r="B242" s="1"/>
      <c r="C242" s="317">
        <f>SUM(C239:C240)</f>
        <v>5735</v>
      </c>
      <c r="D242" s="317">
        <v>5723</v>
      </c>
      <c r="E242" s="296"/>
      <c r="F242" s="319"/>
      <c r="G242" s="2"/>
      <c r="H242" s="2"/>
      <c r="I242" s="296"/>
      <c r="J242" s="321"/>
      <c r="K242" s="2"/>
      <c r="M242" s="20"/>
      <c r="N242" s="20"/>
      <c r="O242" s="74"/>
      <c r="P242" s="74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E242" s="84"/>
    </row>
    <row r="243" spans="1:31">
      <c r="A243" s="1" t="s">
        <v>398</v>
      </c>
      <c r="B243" s="1"/>
      <c r="C243" s="317">
        <f>571+5841+2000+36248</f>
        <v>44660</v>
      </c>
      <c r="D243" s="317">
        <f>ROUND(($D$259/$C$259)*C243,0)</f>
        <v>50129</v>
      </c>
      <c r="E243" s="324">
        <f>$E$158</f>
        <v>2.88</v>
      </c>
      <c r="F243" s="321"/>
      <c r="G243" s="2">
        <f>ROUND(E243*$C243,0)</f>
        <v>128621</v>
      </c>
      <c r="H243" s="2">
        <f>ROUND(E243*$D243,0)</f>
        <v>144372</v>
      </c>
      <c r="I243" s="324">
        <f>$I$158</f>
        <v>2.97</v>
      </c>
      <c r="J243" s="321"/>
      <c r="K243" s="2">
        <f>ROUND(I243*$C243,0)</f>
        <v>132640</v>
      </c>
      <c r="M243" s="20"/>
      <c r="N243" s="20"/>
      <c r="O243" s="74"/>
      <c r="P243" s="74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E243" s="84"/>
    </row>
    <row r="244" spans="1:31">
      <c r="A244" s="1" t="s">
        <v>400</v>
      </c>
      <c r="B244" s="1"/>
      <c r="C244" s="317">
        <f>194181+404382+1030706+2158260</f>
        <v>3787529</v>
      </c>
      <c r="D244" s="317">
        <f>ROUND(($D$259/$C$259)*C244,0)</f>
        <v>4251317</v>
      </c>
      <c r="E244" s="297">
        <f>$E$159</f>
        <v>8.0890000000000004</v>
      </c>
      <c r="F244" s="321" t="s">
        <v>377</v>
      </c>
      <c r="G244" s="2">
        <f>ROUND(E244*$C244/100,0)</f>
        <v>306373</v>
      </c>
      <c r="H244" s="2">
        <f>ROUND(E244*$D244/100,0)</f>
        <v>343889</v>
      </c>
      <c r="I244" s="297">
        <f>$I$159</f>
        <v>8.8109999999999999</v>
      </c>
      <c r="J244" s="321" t="s">
        <v>377</v>
      </c>
      <c r="K244" s="2">
        <f>ROUND(I244*$C244/100,0)</f>
        <v>333719</v>
      </c>
      <c r="M244" s="20"/>
      <c r="N244" s="20"/>
      <c r="O244" s="74"/>
      <c r="P244" s="74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E244" s="84"/>
    </row>
    <row r="245" spans="1:31">
      <c r="A245" s="1" t="s">
        <v>401</v>
      </c>
      <c r="B245" s="1"/>
      <c r="C245" s="317">
        <f>303929+1124643+1689326+8117436</f>
        <v>11235334</v>
      </c>
      <c r="D245" s="317">
        <f>ROUND(($D$259/$C$259)*C245,0)</f>
        <v>12611116</v>
      </c>
      <c r="E245" s="297">
        <f>$E$160</f>
        <v>5.5839999999999996</v>
      </c>
      <c r="F245" s="321" t="s">
        <v>377</v>
      </c>
      <c r="G245" s="2">
        <f>ROUND(E245*$C245/100,0)</f>
        <v>627381</v>
      </c>
      <c r="H245" s="2">
        <f>ROUND(E245*$D245/100,0)</f>
        <v>704205</v>
      </c>
      <c r="I245" s="297">
        <f>$I$160</f>
        <v>6.0819999999999999</v>
      </c>
      <c r="J245" s="321" t="s">
        <v>377</v>
      </c>
      <c r="K245" s="2">
        <f>ROUND(I245*$C245/100,0)</f>
        <v>683333</v>
      </c>
      <c r="M245" s="20"/>
      <c r="N245" s="20"/>
      <c r="O245" s="74"/>
      <c r="P245" s="74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E245" s="84"/>
    </row>
    <row r="246" spans="1:31">
      <c r="A246" s="1" t="s">
        <v>402</v>
      </c>
      <c r="B246" s="1"/>
      <c r="C246" s="317">
        <f>570154+2394034+2847736+14349793-C245-C244</f>
        <v>5138854</v>
      </c>
      <c r="D246" s="317">
        <f>ROUND(($D$259/$C$259)*C246,0)</f>
        <v>5768114</v>
      </c>
      <c r="E246" s="297">
        <f>$E$161</f>
        <v>4.8099999999999996</v>
      </c>
      <c r="F246" s="321" t="s">
        <v>377</v>
      </c>
      <c r="G246" s="2">
        <f>ROUND(E246*$C246/100,0)</f>
        <v>247179</v>
      </c>
      <c r="H246" s="2">
        <f>ROUND(E246*$D246/100,0)</f>
        <v>277446</v>
      </c>
      <c r="I246" s="297">
        <f>$I$161</f>
        <v>5.24</v>
      </c>
      <c r="J246" s="321" t="s">
        <v>377</v>
      </c>
      <c r="K246" s="2">
        <f>ROUND(I246*$C246/100,0)</f>
        <v>269276</v>
      </c>
      <c r="M246" s="20"/>
      <c r="N246" s="20"/>
      <c r="O246" s="74"/>
      <c r="P246" s="74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E246" s="84"/>
    </row>
    <row r="247" spans="1:31">
      <c r="A247" s="1" t="s">
        <v>403</v>
      </c>
      <c r="B247" s="1"/>
      <c r="C247" s="317">
        <f>2748+11933</f>
        <v>14681</v>
      </c>
      <c r="D247" s="317">
        <f>ROUND(($D$259/$C$259)*C247,0)</f>
        <v>16479</v>
      </c>
      <c r="E247" s="328">
        <f>$E$162</f>
        <v>45</v>
      </c>
      <c r="F247" s="319" t="s">
        <v>377</v>
      </c>
      <c r="G247" s="2">
        <f>ROUND(E247*$C247/100,0)</f>
        <v>6606</v>
      </c>
      <c r="H247" s="2">
        <f>ROUND(E247*$D247/100,0)</f>
        <v>7416</v>
      </c>
      <c r="I247" s="328">
        <f>$I$162</f>
        <v>50</v>
      </c>
      <c r="J247" s="321" t="s">
        <v>377</v>
      </c>
      <c r="K247" s="2">
        <f>ROUND(I247*$C247/100,0)</f>
        <v>7341</v>
      </c>
      <c r="M247" s="20"/>
      <c r="N247" s="20"/>
      <c r="O247" s="74"/>
      <c r="P247" s="74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E247" s="84"/>
    </row>
    <row r="248" spans="1:31">
      <c r="A248" s="329" t="s">
        <v>404</v>
      </c>
      <c r="B248" s="1"/>
      <c r="C248" s="317"/>
      <c r="D248" s="317"/>
      <c r="E248" s="330">
        <v>-0.01</v>
      </c>
      <c r="F248" s="319"/>
      <c r="G248" s="2"/>
      <c r="H248" s="2"/>
      <c r="I248" s="330">
        <v>-0.01</v>
      </c>
      <c r="J248" s="321"/>
      <c r="K248" s="2"/>
      <c r="M248" s="20"/>
      <c r="N248" s="20"/>
      <c r="O248" s="74"/>
      <c r="P248" s="74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E248" s="84"/>
    </row>
    <row r="249" spans="1:31">
      <c r="A249" s="1" t="s">
        <v>393</v>
      </c>
      <c r="B249" s="1"/>
      <c r="C249" s="317">
        <v>0</v>
      </c>
      <c r="D249" s="317">
        <f t="shared" ref="D249:D258" si="23">ROUND(($D$259/$C$259)*C249,0)</f>
        <v>0</v>
      </c>
      <c r="E249" s="332">
        <f>E239</f>
        <v>7.53</v>
      </c>
      <c r="F249" s="319"/>
      <c r="G249" s="2">
        <f>-ROUND(E249*$C249/100,0)</f>
        <v>0</v>
      </c>
      <c r="H249" s="2">
        <f>-ROUND(E249*$D249/100,0)</f>
        <v>0</v>
      </c>
      <c r="I249" s="332">
        <f>I239</f>
        <v>8</v>
      </c>
      <c r="J249" s="319"/>
      <c r="K249" s="2">
        <f>-ROUND(I249*$C249/100,0)</f>
        <v>0</v>
      </c>
      <c r="M249" s="20"/>
      <c r="N249" s="20"/>
      <c r="O249" s="74"/>
      <c r="P249" s="74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E249" s="84"/>
    </row>
    <row r="250" spans="1:31">
      <c r="A250" s="1" t="s">
        <v>394</v>
      </c>
      <c r="B250" s="1"/>
      <c r="C250" s="317">
        <v>0</v>
      </c>
      <c r="D250" s="317">
        <f t="shared" si="23"/>
        <v>0</v>
      </c>
      <c r="E250" s="332">
        <f>E240</f>
        <v>11.18</v>
      </c>
      <c r="F250" s="319"/>
      <c r="G250" s="2">
        <f>-ROUND(E250*$C250/100,0)</f>
        <v>0</v>
      </c>
      <c r="H250" s="2">
        <f>-ROUND(E250*$D250/100,0)</f>
        <v>0</v>
      </c>
      <c r="I250" s="332">
        <f>I240</f>
        <v>11.877822045152721</v>
      </c>
      <c r="J250" s="319"/>
      <c r="K250" s="2">
        <f>-ROUND(I250*$C250/100,0)</f>
        <v>0</v>
      </c>
      <c r="M250" s="20"/>
      <c r="N250" s="20"/>
      <c r="O250" s="74"/>
      <c r="P250" s="74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E250" s="84"/>
    </row>
    <row r="251" spans="1:31">
      <c r="A251" s="1" t="s">
        <v>405</v>
      </c>
      <c r="B251" s="1"/>
      <c r="C251" s="317">
        <v>0</v>
      </c>
      <c r="D251" s="317">
        <f t="shared" si="23"/>
        <v>0</v>
      </c>
      <c r="E251" s="332">
        <f>E241</f>
        <v>0.78</v>
      </c>
      <c r="F251" s="319"/>
      <c r="G251" s="2">
        <f>-ROUND(E251*$C251/100,0)</f>
        <v>0</v>
      </c>
      <c r="H251" s="2">
        <f>-ROUND(E251*$D251/100,0)</f>
        <v>0</v>
      </c>
      <c r="I251" s="332">
        <f>I241</f>
        <v>0.83</v>
      </c>
      <c r="J251" s="319"/>
      <c r="K251" s="2">
        <f>-ROUND(I251*$C251/100,0)</f>
        <v>0</v>
      </c>
      <c r="M251" s="20"/>
      <c r="N251" s="20"/>
      <c r="O251" s="74"/>
      <c r="P251" s="74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E251" s="84"/>
    </row>
    <row r="252" spans="1:31">
      <c r="A252" s="1" t="s">
        <v>406</v>
      </c>
      <c r="B252" s="1"/>
      <c r="C252" s="317">
        <v>0</v>
      </c>
      <c r="D252" s="317">
        <f t="shared" si="23"/>
        <v>0</v>
      </c>
      <c r="E252" s="332">
        <f>E243</f>
        <v>2.88</v>
      </c>
      <c r="F252" s="321"/>
      <c r="G252" s="2">
        <f>-ROUND(E252*$C252/100,0)</f>
        <v>0</v>
      </c>
      <c r="H252" s="2">
        <f>-ROUND(E252*$D252/100,0)</f>
        <v>0</v>
      </c>
      <c r="I252" s="332">
        <f>I243</f>
        <v>2.97</v>
      </c>
      <c r="J252" s="321"/>
      <c r="K252" s="2">
        <f>-ROUND(I252*$C252/100,0)</f>
        <v>0</v>
      </c>
      <c r="M252" s="20"/>
      <c r="N252" s="20"/>
      <c r="O252" s="74"/>
      <c r="P252" s="74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E252" s="84"/>
    </row>
    <row r="253" spans="1:31">
      <c r="A253" s="1" t="s">
        <v>408</v>
      </c>
      <c r="B253" s="1"/>
      <c r="C253" s="317">
        <v>0</v>
      </c>
      <c r="D253" s="317">
        <f t="shared" si="23"/>
        <v>0</v>
      </c>
      <c r="E253" s="333">
        <f>E244</f>
        <v>8.0890000000000004</v>
      </c>
      <c r="F253" s="321" t="s">
        <v>377</v>
      </c>
      <c r="G253" s="2">
        <f>ROUND(E253*$C253/100*E248,0)</f>
        <v>0</v>
      </c>
      <c r="H253" s="2">
        <f>ROUND(E253*$D253/100*E248,0)</f>
        <v>0</v>
      </c>
      <c r="I253" s="333">
        <f>I244</f>
        <v>8.8109999999999999</v>
      </c>
      <c r="J253" s="321" t="s">
        <v>377</v>
      </c>
      <c r="K253" s="2">
        <f>ROUND(I253*$C253/100*I248,0)</f>
        <v>0</v>
      </c>
      <c r="M253" s="20"/>
      <c r="N253" s="20"/>
      <c r="O253" s="74"/>
      <c r="P253" s="74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E253" s="84"/>
    </row>
    <row r="254" spans="1:31">
      <c r="A254" s="1" t="s">
        <v>401</v>
      </c>
      <c r="B254" s="1"/>
      <c r="C254" s="317">
        <v>0</v>
      </c>
      <c r="D254" s="317">
        <f t="shared" si="23"/>
        <v>0</v>
      </c>
      <c r="E254" s="333">
        <f>E245</f>
        <v>5.5839999999999996</v>
      </c>
      <c r="F254" s="321" t="s">
        <v>377</v>
      </c>
      <c r="G254" s="2">
        <f>ROUND(E254*$C254/100*E248,0)</f>
        <v>0</v>
      </c>
      <c r="H254" s="2">
        <f>ROUND(E254*$D254/100*E248,0)</f>
        <v>0</v>
      </c>
      <c r="I254" s="333">
        <f>I245</f>
        <v>6.0819999999999999</v>
      </c>
      <c r="J254" s="321" t="s">
        <v>377</v>
      </c>
      <c r="K254" s="2">
        <f>ROUND(I254*$C254/100*I248,0)</f>
        <v>0</v>
      </c>
      <c r="M254" s="20"/>
      <c r="N254" s="20"/>
      <c r="O254" s="74"/>
      <c r="P254" s="74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E254" s="84"/>
    </row>
    <row r="255" spans="1:31">
      <c r="A255" s="1" t="s">
        <v>402</v>
      </c>
      <c r="B255" s="1"/>
      <c r="C255" s="317">
        <v>0</v>
      </c>
      <c r="D255" s="317">
        <f t="shared" si="23"/>
        <v>0</v>
      </c>
      <c r="E255" s="333">
        <f>E246</f>
        <v>4.8099999999999996</v>
      </c>
      <c r="F255" s="321" t="s">
        <v>377</v>
      </c>
      <c r="G255" s="2">
        <f>ROUND(E255*$C255/100*E248,0)</f>
        <v>0</v>
      </c>
      <c r="H255" s="2">
        <f>ROUND(E255*$D255/100*E248,0)</f>
        <v>0</v>
      </c>
      <c r="I255" s="333">
        <f>I246</f>
        <v>5.24</v>
      </c>
      <c r="J255" s="321" t="s">
        <v>377</v>
      </c>
      <c r="K255" s="2">
        <f>ROUND(I255*$C255/100*I248,0)</f>
        <v>0</v>
      </c>
      <c r="M255" s="20"/>
      <c r="N255" s="20"/>
      <c r="O255" s="74"/>
      <c r="P255" s="74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E255" s="84"/>
    </row>
    <row r="256" spans="1:31">
      <c r="A256" s="1" t="s">
        <v>403</v>
      </c>
      <c r="B256" s="1"/>
      <c r="C256" s="317">
        <v>0</v>
      </c>
      <c r="D256" s="317">
        <f t="shared" si="23"/>
        <v>0</v>
      </c>
      <c r="E256" s="334">
        <f>E247</f>
        <v>45</v>
      </c>
      <c r="F256" s="321" t="s">
        <v>377</v>
      </c>
      <c r="G256" s="2">
        <f>ROUND(E256*$C256/100*E248,0)</f>
        <v>0</v>
      </c>
      <c r="H256" s="2">
        <f>ROUND(E256*$D256/100*E248,0)</f>
        <v>0</v>
      </c>
      <c r="I256" s="334">
        <f>I247</f>
        <v>50</v>
      </c>
      <c r="J256" s="321" t="s">
        <v>377</v>
      </c>
      <c r="K256" s="2">
        <f>ROUND(I256*$C256/100*I248,0)</f>
        <v>0</v>
      </c>
      <c r="M256" s="20"/>
      <c r="N256" s="20"/>
      <c r="O256" s="74"/>
      <c r="P256" s="74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E256" s="84"/>
    </row>
    <row r="257" spans="1:31">
      <c r="A257" s="1" t="s">
        <v>410</v>
      </c>
      <c r="B257" s="1"/>
      <c r="C257" s="317">
        <v>0</v>
      </c>
      <c r="D257" s="317">
        <f t="shared" si="23"/>
        <v>0</v>
      </c>
      <c r="E257" s="335">
        <f>$E$172</f>
        <v>60</v>
      </c>
      <c r="F257" s="319"/>
      <c r="G257" s="2">
        <f>ROUND(E257*$C257,0)</f>
        <v>0</v>
      </c>
      <c r="H257" s="2">
        <f>ROUND(E257*$D257,0)</f>
        <v>0</v>
      </c>
      <c r="I257" s="335">
        <f>$I$172</f>
        <v>60</v>
      </c>
      <c r="J257" s="321"/>
      <c r="K257" s="2">
        <f>ROUND(I257*$C257,0)</f>
        <v>0</v>
      </c>
      <c r="M257" s="20"/>
      <c r="N257" s="20"/>
      <c r="O257" s="74"/>
      <c r="P257" s="74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E257" s="84"/>
    </row>
    <row r="258" spans="1:31">
      <c r="A258" s="1" t="s">
        <v>411</v>
      </c>
      <c r="B258" s="1"/>
      <c r="C258" s="317">
        <v>0</v>
      </c>
      <c r="D258" s="317">
        <f t="shared" si="23"/>
        <v>0</v>
      </c>
      <c r="E258" s="337">
        <f>$E$173</f>
        <v>-30</v>
      </c>
      <c r="F258" s="319" t="s">
        <v>377</v>
      </c>
      <c r="G258" s="2">
        <f>ROUND(E258*$C258/100,0)</f>
        <v>0</v>
      </c>
      <c r="H258" s="2">
        <f>ROUND(E258*$D258/100,0)</f>
        <v>0</v>
      </c>
      <c r="I258" s="337">
        <f>$I$173</f>
        <v>-30</v>
      </c>
      <c r="J258" s="321" t="s">
        <v>377</v>
      </c>
      <c r="K258" s="2">
        <f>ROUND(I258*$C258/100,0)</f>
        <v>0</v>
      </c>
      <c r="M258" s="20"/>
      <c r="N258" s="20"/>
      <c r="O258" s="74"/>
      <c r="P258" s="74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E258" s="84"/>
    </row>
    <row r="259" spans="1:31">
      <c r="A259" s="1" t="s">
        <v>384</v>
      </c>
      <c r="B259" s="1"/>
      <c r="C259" s="317">
        <f>SUM(C244:C246)</f>
        <v>20161717</v>
      </c>
      <c r="D259" s="317">
        <v>22630547.415536091</v>
      </c>
      <c r="E259" s="328"/>
      <c r="F259" s="2"/>
      <c r="G259" s="2">
        <f>SUM(G239:G258)</f>
        <v>1431631</v>
      </c>
      <c r="H259" s="2">
        <f>SUM(H239:H258)</f>
        <v>1600006</v>
      </c>
      <c r="I259" s="328"/>
      <c r="J259" s="321"/>
      <c r="K259" s="2">
        <f>SUM(K239:K258)</f>
        <v>1549089</v>
      </c>
      <c r="M259" s="20"/>
      <c r="N259" s="20"/>
      <c r="O259" s="74"/>
      <c r="P259" s="74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E259" s="84"/>
    </row>
    <row r="260" spans="1:31">
      <c r="A260" s="1" t="s">
        <v>366</v>
      </c>
      <c r="B260" s="1"/>
      <c r="C260" s="347" t="e">
        <f>#REF!</f>
        <v>#REF!</v>
      </c>
      <c r="D260" s="338">
        <v>0</v>
      </c>
      <c r="E260" s="307"/>
      <c r="F260" s="307"/>
      <c r="G260" s="339" t="e">
        <f>#REF!</f>
        <v>#REF!</v>
      </c>
      <c r="H260" s="339">
        <v>0</v>
      </c>
      <c r="I260" s="307"/>
      <c r="J260" s="307"/>
      <c r="K260" s="339" t="e">
        <f>G260</f>
        <v>#REF!</v>
      </c>
      <c r="M260" s="442"/>
      <c r="N260" s="442"/>
      <c r="O260" s="285"/>
      <c r="P260" s="74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E260" s="84"/>
    </row>
    <row r="261" spans="1:31" ht="16.5" thickBot="1">
      <c r="A261" s="1" t="s">
        <v>385</v>
      </c>
      <c r="B261" s="1"/>
      <c r="C261" s="309" t="e">
        <f>SUM(C259:C260)</f>
        <v>#REF!</v>
      </c>
      <c r="D261" s="309">
        <f>SUM(D259:D260)</f>
        <v>22630547.415536091</v>
      </c>
      <c r="E261" s="340"/>
      <c r="F261" s="341"/>
      <c r="G261" s="342" t="e">
        <f>G259+G260</f>
        <v>#REF!</v>
      </c>
      <c r="H261" s="342">
        <f>H259+H260</f>
        <v>1600006</v>
      </c>
      <c r="I261" s="340"/>
      <c r="J261" s="343"/>
      <c r="K261" s="342" t="e">
        <f>K259+K260</f>
        <v>#REF!</v>
      </c>
      <c r="M261" s="409"/>
      <c r="N261" s="409"/>
      <c r="O261" s="468"/>
      <c r="P261" s="74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E261" s="84"/>
    </row>
    <row r="262" spans="1:31" ht="16.5" thickTop="1">
      <c r="A262" s="1"/>
      <c r="B262" s="1"/>
      <c r="C262" s="348"/>
      <c r="D262" s="348"/>
      <c r="E262" s="349"/>
      <c r="F262" s="350"/>
      <c r="G262" s="320"/>
      <c r="H262" s="320"/>
      <c r="I262" s="349"/>
      <c r="J262" s="23"/>
      <c r="K262" s="320"/>
      <c r="M262" s="20"/>
      <c r="N262" s="20"/>
      <c r="O262" s="74"/>
      <c r="P262" s="74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E262" s="84"/>
    </row>
    <row r="263" spans="1:31">
      <c r="A263" s="291" t="s">
        <v>418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M263" s="20"/>
      <c r="N263" s="20"/>
      <c r="O263" s="74"/>
      <c r="P263" s="7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E263" s="84"/>
    </row>
    <row r="264" spans="1:31">
      <c r="A264" s="1" t="s">
        <v>413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20"/>
      <c r="N264" s="20"/>
      <c r="O264" s="74"/>
      <c r="P264" s="74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20"/>
      <c r="N265" s="20"/>
      <c r="O265" s="74"/>
      <c r="P265" s="74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E265" s="84"/>
    </row>
    <row r="266" spans="1:31">
      <c r="A266" s="1" t="s">
        <v>396</v>
      </c>
      <c r="B266" s="1"/>
      <c r="C266" s="317"/>
      <c r="D266" s="317"/>
      <c r="E266" s="2"/>
      <c r="F266" s="2"/>
      <c r="G266" s="1"/>
      <c r="H266" s="1"/>
      <c r="I266" s="2"/>
      <c r="J266" s="1"/>
      <c r="K266" s="1"/>
      <c r="M266" s="20"/>
      <c r="N266" s="20"/>
      <c r="O266" s="74"/>
      <c r="P266" s="74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E266" s="84"/>
    </row>
    <row r="267" spans="1:31">
      <c r="A267" s="1" t="s">
        <v>419</v>
      </c>
      <c r="B267" s="1"/>
      <c r="C267" s="317">
        <f t="shared" ref="C267:D269" si="24">C296+C325</f>
        <v>4924</v>
      </c>
      <c r="D267" s="317">
        <f t="shared" si="24"/>
        <v>4913</v>
      </c>
      <c r="E267" s="296">
        <f>$E$153</f>
        <v>7.53</v>
      </c>
      <c r="F267" s="319"/>
      <c r="G267" s="2">
        <f t="shared" ref="G267:H269" si="25">G296+G325</f>
        <v>37077</v>
      </c>
      <c r="H267" s="2">
        <f t="shared" si="25"/>
        <v>36994</v>
      </c>
      <c r="I267" s="296">
        <f>$I$153</f>
        <v>8</v>
      </c>
      <c r="J267" s="321"/>
      <c r="K267" s="2">
        <f>K296+K325</f>
        <v>39392</v>
      </c>
      <c r="M267" s="20"/>
      <c r="N267" s="20"/>
      <c r="O267" s="74"/>
      <c r="P267" s="7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E267" s="84"/>
    </row>
    <row r="268" spans="1:31">
      <c r="A268" s="1" t="s">
        <v>394</v>
      </c>
      <c r="B268" s="1"/>
      <c r="C268" s="317">
        <f t="shared" si="24"/>
        <v>0</v>
      </c>
      <c r="D268" s="317">
        <f t="shared" si="24"/>
        <v>0</v>
      </c>
      <c r="E268" s="296">
        <f>$E$154</f>
        <v>11.18</v>
      </c>
      <c r="F268" s="322"/>
      <c r="G268" s="2">
        <f t="shared" si="25"/>
        <v>0</v>
      </c>
      <c r="H268" s="2">
        <f t="shared" si="25"/>
        <v>0</v>
      </c>
      <c r="I268" s="296">
        <f>$I$154</f>
        <v>11.877822045152721</v>
      </c>
      <c r="J268" s="323"/>
      <c r="K268" s="2">
        <f>K297+K326</f>
        <v>0</v>
      </c>
      <c r="M268" s="20"/>
      <c r="N268" s="20"/>
      <c r="O268" s="74"/>
      <c r="P268" s="74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E268" s="84"/>
    </row>
    <row r="269" spans="1:31">
      <c r="A269" s="1" t="s">
        <v>395</v>
      </c>
      <c r="B269" s="1"/>
      <c r="C269" s="317">
        <f t="shared" si="24"/>
        <v>0</v>
      </c>
      <c r="D269" s="317">
        <f t="shared" si="24"/>
        <v>0</v>
      </c>
      <c r="E269" s="296">
        <f>$E$155</f>
        <v>0.78</v>
      </c>
      <c r="F269" s="322"/>
      <c r="G269" s="2">
        <f t="shared" si="25"/>
        <v>0</v>
      </c>
      <c r="H269" s="2">
        <f t="shared" si="25"/>
        <v>0</v>
      </c>
      <c r="I269" s="296">
        <f>$I$155</f>
        <v>0.83</v>
      </c>
      <c r="J269" s="323"/>
      <c r="K269" s="2">
        <f>K298+K327</f>
        <v>0</v>
      </c>
      <c r="M269" s="20"/>
      <c r="N269" s="20"/>
      <c r="O269" s="74"/>
      <c r="P269" s="74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E269" s="84"/>
    </row>
    <row r="270" spans="1:31">
      <c r="A270" s="1" t="s">
        <v>397</v>
      </c>
      <c r="B270" s="1"/>
      <c r="C270" s="317">
        <f>SUM(C267:C268)</f>
        <v>4924</v>
      </c>
      <c r="D270" s="317">
        <f>SUM(D267:D268)</f>
        <v>4913</v>
      </c>
      <c r="E270" s="296"/>
      <c r="F270" s="319"/>
      <c r="G270" s="2"/>
      <c r="H270" s="2"/>
      <c r="I270" s="296"/>
      <c r="J270" s="321"/>
      <c r="K270" s="2"/>
      <c r="M270" s="20"/>
      <c r="N270" s="20"/>
      <c r="O270" s="74"/>
      <c r="P270" s="74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E270" s="84"/>
    </row>
    <row r="271" spans="1:31">
      <c r="A271" s="1" t="s">
        <v>365</v>
      </c>
      <c r="B271" s="1"/>
      <c r="C271" s="317">
        <f t="shared" ref="C271:D276" si="26">C300+C329</f>
        <v>1621</v>
      </c>
      <c r="D271" s="317">
        <f t="shared" si="26"/>
        <v>1617</v>
      </c>
      <c r="E271" s="296"/>
      <c r="F271" s="319"/>
      <c r="G271" s="2"/>
      <c r="H271" s="2"/>
      <c r="I271" s="296"/>
      <c r="J271" s="321"/>
      <c r="K271" s="2"/>
      <c r="M271" s="20"/>
      <c r="N271" s="20"/>
      <c r="O271" s="74"/>
      <c r="P271" s="74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E271" s="84"/>
    </row>
    <row r="272" spans="1:31">
      <c r="A272" s="1" t="s">
        <v>398</v>
      </c>
      <c r="B272" s="1"/>
      <c r="C272" s="317">
        <f t="shared" si="26"/>
        <v>0</v>
      </c>
      <c r="D272" s="317">
        <f t="shared" si="26"/>
        <v>0</v>
      </c>
      <c r="E272" s="324">
        <f>$E$158</f>
        <v>2.88</v>
      </c>
      <c r="F272" s="321"/>
      <c r="G272" s="2">
        <f t="shared" ref="G272:H276" si="27">G301+G330</f>
        <v>0</v>
      </c>
      <c r="H272" s="2">
        <f t="shared" si="27"/>
        <v>0</v>
      </c>
      <c r="I272" s="324">
        <f>$I$158</f>
        <v>2.97</v>
      </c>
      <c r="J272" s="321"/>
      <c r="K272" s="2">
        <f>K301+K330</f>
        <v>0</v>
      </c>
      <c r="M272" s="20"/>
      <c r="N272" s="20"/>
      <c r="O272" s="74"/>
      <c r="P272" s="74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E272" s="84"/>
    </row>
    <row r="273" spans="1:31">
      <c r="A273" s="1" t="s">
        <v>400</v>
      </c>
      <c r="B273" s="1"/>
      <c r="C273" s="317">
        <f t="shared" si="26"/>
        <v>1398823</v>
      </c>
      <c r="D273" s="317">
        <f t="shared" si="26"/>
        <v>1445705</v>
      </c>
      <c r="E273" s="297">
        <f>$E$159</f>
        <v>8.0890000000000004</v>
      </c>
      <c r="F273" s="321" t="s">
        <v>377</v>
      </c>
      <c r="G273" s="2">
        <f t="shared" si="27"/>
        <v>113151</v>
      </c>
      <c r="H273" s="2">
        <f t="shared" si="27"/>
        <v>116943</v>
      </c>
      <c r="I273" s="297">
        <f>$I$159</f>
        <v>8.8109999999999999</v>
      </c>
      <c r="J273" s="321" t="s">
        <v>377</v>
      </c>
      <c r="K273" s="2">
        <f>K302+K331</f>
        <v>123250</v>
      </c>
      <c r="M273" s="20"/>
      <c r="N273" s="20"/>
      <c r="O273" s="74"/>
      <c r="P273" s="74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E273" s="84"/>
    </row>
    <row r="274" spans="1:31">
      <c r="A274" s="1" t="s">
        <v>401</v>
      </c>
      <c r="B274" s="1"/>
      <c r="C274" s="317">
        <f t="shared" si="26"/>
        <v>64813</v>
      </c>
      <c r="D274" s="317">
        <f t="shared" si="26"/>
        <v>66790</v>
      </c>
      <c r="E274" s="297">
        <f>$E$160</f>
        <v>5.5839999999999996</v>
      </c>
      <c r="F274" s="321" t="s">
        <v>377</v>
      </c>
      <c r="G274" s="2">
        <f t="shared" si="27"/>
        <v>3619</v>
      </c>
      <c r="H274" s="2">
        <f t="shared" si="27"/>
        <v>3730</v>
      </c>
      <c r="I274" s="297">
        <f>$I$160</f>
        <v>6.0819999999999999</v>
      </c>
      <c r="J274" s="321" t="s">
        <v>377</v>
      </c>
      <c r="K274" s="2">
        <f>K303+K332</f>
        <v>3942</v>
      </c>
      <c r="M274" s="20"/>
      <c r="N274" s="20"/>
      <c r="O274" s="74"/>
      <c r="P274" s="74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E274" s="84"/>
    </row>
    <row r="275" spans="1:31">
      <c r="A275" s="1" t="s">
        <v>402</v>
      </c>
      <c r="B275" s="1"/>
      <c r="C275" s="317">
        <f t="shared" si="26"/>
        <v>0</v>
      </c>
      <c r="D275" s="317">
        <f t="shared" si="26"/>
        <v>0</v>
      </c>
      <c r="E275" s="297">
        <f>$E$161</f>
        <v>4.8099999999999996</v>
      </c>
      <c r="F275" s="321" t="s">
        <v>377</v>
      </c>
      <c r="G275" s="2">
        <f t="shared" si="27"/>
        <v>0</v>
      </c>
      <c r="H275" s="2">
        <f t="shared" si="27"/>
        <v>0</v>
      </c>
      <c r="I275" s="297">
        <f>$I$161</f>
        <v>5.24</v>
      </c>
      <c r="J275" s="321" t="s">
        <v>377</v>
      </c>
      <c r="K275" s="2">
        <f>K304+K333</f>
        <v>0</v>
      </c>
      <c r="M275" s="20"/>
      <c r="N275" s="20"/>
      <c r="O275" s="74"/>
      <c r="P275" s="74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E275" s="84"/>
    </row>
    <row r="276" spans="1:31">
      <c r="A276" s="1" t="s">
        <v>403</v>
      </c>
      <c r="B276" s="1"/>
      <c r="C276" s="317">
        <f t="shared" si="26"/>
        <v>0</v>
      </c>
      <c r="D276" s="317">
        <f t="shared" si="26"/>
        <v>0</v>
      </c>
      <c r="E276" s="328">
        <f>$E$162</f>
        <v>45</v>
      </c>
      <c r="F276" s="319" t="s">
        <v>377</v>
      </c>
      <c r="G276" s="2">
        <f t="shared" si="27"/>
        <v>0</v>
      </c>
      <c r="H276" s="2">
        <f t="shared" si="27"/>
        <v>0</v>
      </c>
      <c r="I276" s="328">
        <f>$I$162</f>
        <v>50</v>
      </c>
      <c r="J276" s="321" t="s">
        <v>377</v>
      </c>
      <c r="K276" s="2">
        <f>K305+K334</f>
        <v>0</v>
      </c>
      <c r="M276" s="20"/>
      <c r="N276" s="20"/>
      <c r="O276" s="74"/>
      <c r="P276" s="74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E276" s="84"/>
    </row>
    <row r="277" spans="1:31">
      <c r="A277" s="329" t="s">
        <v>404</v>
      </c>
      <c r="B277" s="1"/>
      <c r="C277" s="317"/>
      <c r="D277" s="317"/>
      <c r="E277" s="330">
        <v>-0.01</v>
      </c>
      <c r="F277" s="319"/>
      <c r="G277" s="2"/>
      <c r="H277" s="2"/>
      <c r="I277" s="330">
        <v>-0.01</v>
      </c>
      <c r="J277" s="321"/>
      <c r="K277" s="2"/>
      <c r="M277" s="20"/>
      <c r="N277" s="20"/>
      <c r="O277" s="74"/>
      <c r="P277" s="74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E277" s="84"/>
    </row>
    <row r="278" spans="1:31">
      <c r="A278" s="1" t="s">
        <v>393</v>
      </c>
      <c r="B278" s="1"/>
      <c r="C278" s="317">
        <v>0</v>
      </c>
      <c r="D278" s="317">
        <v>0</v>
      </c>
      <c r="E278" s="332">
        <f>E267</f>
        <v>7.53</v>
      </c>
      <c r="F278" s="319"/>
      <c r="G278" s="2">
        <f t="shared" ref="G278:H289" si="28">G307+G336</f>
        <v>0</v>
      </c>
      <c r="H278" s="2">
        <f t="shared" si="28"/>
        <v>0</v>
      </c>
      <c r="I278" s="332">
        <f>I267</f>
        <v>8</v>
      </c>
      <c r="J278" s="319"/>
      <c r="K278" s="2">
        <f t="shared" ref="K278:K288" si="29">K307+K336</f>
        <v>0</v>
      </c>
      <c r="M278" s="20"/>
      <c r="N278" s="20"/>
      <c r="O278" s="74"/>
      <c r="P278" s="74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E278" s="84"/>
    </row>
    <row r="279" spans="1:31">
      <c r="A279" s="1" t="s">
        <v>394</v>
      </c>
      <c r="B279" s="1"/>
      <c r="C279" s="317">
        <v>0</v>
      </c>
      <c r="D279" s="317">
        <v>0</v>
      </c>
      <c r="E279" s="332">
        <f>E268</f>
        <v>11.18</v>
      </c>
      <c r="F279" s="319"/>
      <c r="G279" s="2">
        <f t="shared" si="28"/>
        <v>0</v>
      </c>
      <c r="H279" s="2">
        <f t="shared" si="28"/>
        <v>0</v>
      </c>
      <c r="I279" s="332">
        <f>I268</f>
        <v>11.877822045152721</v>
      </c>
      <c r="J279" s="319"/>
      <c r="K279" s="2">
        <f t="shared" si="29"/>
        <v>0</v>
      </c>
      <c r="M279" s="20"/>
      <c r="N279" s="20"/>
      <c r="O279" s="74"/>
      <c r="P279" s="74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E279" s="84"/>
    </row>
    <row r="280" spans="1:31">
      <c r="A280" s="1" t="s">
        <v>405</v>
      </c>
      <c r="B280" s="1"/>
      <c r="C280" s="317">
        <v>0</v>
      </c>
      <c r="D280" s="317">
        <v>0</v>
      </c>
      <c r="E280" s="332">
        <f>E269</f>
        <v>0.78</v>
      </c>
      <c r="F280" s="319"/>
      <c r="G280" s="2">
        <f t="shared" si="28"/>
        <v>0</v>
      </c>
      <c r="H280" s="2">
        <f t="shared" si="28"/>
        <v>0</v>
      </c>
      <c r="I280" s="332">
        <f>I269</f>
        <v>0.83</v>
      </c>
      <c r="J280" s="319"/>
      <c r="K280" s="2">
        <f t="shared" si="29"/>
        <v>0</v>
      </c>
      <c r="M280" s="20"/>
      <c r="N280" s="20"/>
      <c r="O280" s="74"/>
      <c r="P280" s="74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E280" s="84"/>
    </row>
    <row r="281" spans="1:31">
      <c r="A281" s="1" t="s">
        <v>406</v>
      </c>
      <c r="B281" s="1"/>
      <c r="C281" s="317">
        <v>0</v>
      </c>
      <c r="D281" s="317">
        <v>0</v>
      </c>
      <c r="E281" s="332">
        <f>E272</f>
        <v>2.88</v>
      </c>
      <c r="F281" s="321"/>
      <c r="G281" s="2">
        <f t="shared" si="28"/>
        <v>0</v>
      </c>
      <c r="H281" s="2">
        <f t="shared" si="28"/>
        <v>0</v>
      </c>
      <c r="I281" s="332">
        <f>I272</f>
        <v>2.97</v>
      </c>
      <c r="J281" s="321"/>
      <c r="K281" s="2">
        <f t="shared" si="29"/>
        <v>0</v>
      </c>
      <c r="M281" s="20"/>
      <c r="N281" s="20"/>
      <c r="O281" s="74"/>
      <c r="P281" s="74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E281" s="84"/>
    </row>
    <row r="282" spans="1:31">
      <c r="A282" s="1" t="s">
        <v>408</v>
      </c>
      <c r="B282" s="1"/>
      <c r="C282" s="317">
        <v>0</v>
      </c>
      <c r="D282" s="317">
        <v>0</v>
      </c>
      <c r="E282" s="333">
        <f>E273</f>
        <v>8.0890000000000004</v>
      </c>
      <c r="F282" s="321" t="s">
        <v>377</v>
      </c>
      <c r="G282" s="2">
        <f t="shared" si="28"/>
        <v>0</v>
      </c>
      <c r="H282" s="2">
        <f t="shared" si="28"/>
        <v>0</v>
      </c>
      <c r="I282" s="333">
        <f>I273</f>
        <v>8.8109999999999999</v>
      </c>
      <c r="J282" s="321" t="s">
        <v>377</v>
      </c>
      <c r="K282" s="2">
        <f t="shared" si="29"/>
        <v>0</v>
      </c>
      <c r="M282" s="20"/>
      <c r="N282" s="20"/>
      <c r="O282" s="74"/>
      <c r="P282" s="74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E282" s="84"/>
    </row>
    <row r="283" spans="1:31">
      <c r="A283" s="1" t="s">
        <v>401</v>
      </c>
      <c r="B283" s="1"/>
      <c r="C283" s="317">
        <v>0</v>
      </c>
      <c r="D283" s="317">
        <v>0</v>
      </c>
      <c r="E283" s="333">
        <f>E274</f>
        <v>5.5839999999999996</v>
      </c>
      <c r="F283" s="321" t="s">
        <v>377</v>
      </c>
      <c r="G283" s="2">
        <f t="shared" si="28"/>
        <v>0</v>
      </c>
      <c r="H283" s="2">
        <f t="shared" si="28"/>
        <v>0</v>
      </c>
      <c r="I283" s="333">
        <f>I274</f>
        <v>6.0819999999999999</v>
      </c>
      <c r="J283" s="321" t="s">
        <v>377</v>
      </c>
      <c r="K283" s="2">
        <f t="shared" si="29"/>
        <v>0</v>
      </c>
      <c r="M283" s="20"/>
      <c r="N283" s="20"/>
      <c r="O283" s="74"/>
      <c r="P283" s="74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E283" s="84"/>
    </row>
    <row r="284" spans="1:31">
      <c r="A284" s="1" t="s">
        <v>402</v>
      </c>
      <c r="B284" s="1"/>
      <c r="C284" s="317">
        <v>0</v>
      </c>
      <c r="D284" s="317">
        <v>0</v>
      </c>
      <c r="E284" s="333">
        <f>E275</f>
        <v>4.8099999999999996</v>
      </c>
      <c r="F284" s="321" t="s">
        <v>377</v>
      </c>
      <c r="G284" s="2">
        <f t="shared" si="28"/>
        <v>0</v>
      </c>
      <c r="H284" s="2">
        <f t="shared" si="28"/>
        <v>0</v>
      </c>
      <c r="I284" s="333">
        <f>I275</f>
        <v>5.24</v>
      </c>
      <c r="J284" s="321" t="s">
        <v>377</v>
      </c>
      <c r="K284" s="2">
        <f t="shared" si="29"/>
        <v>0</v>
      </c>
      <c r="M284" s="20"/>
      <c r="N284" s="20"/>
      <c r="O284" s="74"/>
      <c r="P284" s="74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E284" s="84"/>
    </row>
    <row r="285" spans="1:31">
      <c r="A285" s="1" t="s">
        <v>403</v>
      </c>
      <c r="B285" s="1"/>
      <c r="C285" s="317">
        <v>0</v>
      </c>
      <c r="D285" s="317">
        <v>0</v>
      </c>
      <c r="E285" s="334">
        <f>E276</f>
        <v>45</v>
      </c>
      <c r="F285" s="321" t="s">
        <v>377</v>
      </c>
      <c r="G285" s="2">
        <f t="shared" si="28"/>
        <v>0</v>
      </c>
      <c r="H285" s="2">
        <f t="shared" si="28"/>
        <v>0</v>
      </c>
      <c r="I285" s="334">
        <f>I276</f>
        <v>50</v>
      </c>
      <c r="J285" s="321" t="s">
        <v>377</v>
      </c>
      <c r="K285" s="2">
        <f t="shared" si="29"/>
        <v>0</v>
      </c>
      <c r="M285" s="20"/>
      <c r="N285" s="20"/>
      <c r="O285" s="74"/>
      <c r="P285" s="74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E285" s="84"/>
    </row>
    <row r="286" spans="1:31">
      <c r="A286" s="1" t="s">
        <v>410</v>
      </c>
      <c r="B286" s="1"/>
      <c r="C286" s="317">
        <v>0</v>
      </c>
      <c r="D286" s="317">
        <v>0</v>
      </c>
      <c r="E286" s="335">
        <f>$E$172</f>
        <v>60</v>
      </c>
      <c r="F286" s="319"/>
      <c r="G286" s="2">
        <f t="shared" si="28"/>
        <v>0</v>
      </c>
      <c r="H286" s="2">
        <f t="shared" si="28"/>
        <v>0</v>
      </c>
      <c r="I286" s="335">
        <f>$I$172</f>
        <v>60</v>
      </c>
      <c r="J286" s="321"/>
      <c r="K286" s="2">
        <f t="shared" si="29"/>
        <v>0</v>
      </c>
      <c r="M286" s="20"/>
      <c r="N286" s="20"/>
      <c r="O286" s="74"/>
      <c r="P286" s="74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E286" s="84"/>
    </row>
    <row r="287" spans="1:31">
      <c r="A287" s="1" t="s">
        <v>411</v>
      </c>
      <c r="B287" s="1"/>
      <c r="C287" s="317">
        <v>0</v>
      </c>
      <c r="D287" s="317">
        <v>0</v>
      </c>
      <c r="E287" s="337">
        <f>$E$173</f>
        <v>-30</v>
      </c>
      <c r="F287" s="319" t="s">
        <v>377</v>
      </c>
      <c r="G287" s="2">
        <f t="shared" si="28"/>
        <v>0</v>
      </c>
      <c r="H287" s="2">
        <f t="shared" si="28"/>
        <v>0</v>
      </c>
      <c r="I287" s="337">
        <f>$I$173</f>
        <v>-30</v>
      </c>
      <c r="J287" s="321" t="s">
        <v>377</v>
      </c>
      <c r="K287" s="2">
        <f t="shared" si="29"/>
        <v>0</v>
      </c>
      <c r="M287" s="20"/>
      <c r="N287" s="20"/>
      <c r="O287" s="74"/>
      <c r="P287" s="74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E287" s="84"/>
    </row>
    <row r="288" spans="1:31">
      <c r="A288" s="1" t="s">
        <v>384</v>
      </c>
      <c r="B288" s="1"/>
      <c r="C288" s="317">
        <f>C317+C346</f>
        <v>1463636</v>
      </c>
      <c r="D288" s="317">
        <f>D317+D346</f>
        <v>1512494.9193898283</v>
      </c>
      <c r="E288" s="328"/>
      <c r="F288" s="2"/>
      <c r="G288" s="2">
        <f t="shared" si="28"/>
        <v>153847</v>
      </c>
      <c r="H288" s="2">
        <f t="shared" si="28"/>
        <v>157667</v>
      </c>
      <c r="I288" s="328"/>
      <c r="J288" s="321"/>
      <c r="K288" s="2">
        <f t="shared" si="29"/>
        <v>166584</v>
      </c>
      <c r="M288" s="20"/>
      <c r="N288" s="20"/>
      <c r="O288" s="74"/>
      <c r="P288" s="74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E288" s="84"/>
    </row>
    <row r="289" spans="1:31">
      <c r="A289" s="1" t="s">
        <v>366</v>
      </c>
      <c r="B289" s="1"/>
      <c r="C289" s="338" t="e">
        <f>C318+C347</f>
        <v>#REF!</v>
      </c>
      <c r="D289" s="338">
        <f>D318+D347</f>
        <v>0</v>
      </c>
      <c r="E289" s="307"/>
      <c r="F289" s="307"/>
      <c r="G289" s="339" t="e">
        <f t="shared" si="28"/>
        <v>#REF!</v>
      </c>
      <c r="H289" s="339">
        <f t="shared" si="28"/>
        <v>0</v>
      </c>
      <c r="I289" s="307"/>
      <c r="J289" s="307"/>
      <c r="K289" s="339" t="e">
        <f>G289</f>
        <v>#REF!</v>
      </c>
      <c r="M289" s="442"/>
      <c r="N289" s="442"/>
      <c r="O289" s="285"/>
      <c r="P289" s="74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E289" s="84"/>
    </row>
    <row r="290" spans="1:31" ht="16.5" thickBot="1">
      <c r="A290" s="1" t="s">
        <v>385</v>
      </c>
      <c r="B290" s="1"/>
      <c r="C290" s="309" t="e">
        <f>SUM(C288:C289)</f>
        <v>#REF!</v>
      </c>
      <c r="D290" s="309">
        <f>SUM(D288:D289)</f>
        <v>1512494.9193898283</v>
      </c>
      <c r="E290" s="340"/>
      <c r="F290" s="341"/>
      <c r="G290" s="342" t="e">
        <f>G288+G289</f>
        <v>#REF!</v>
      </c>
      <c r="H290" s="342">
        <f>H288+H289</f>
        <v>157667</v>
      </c>
      <c r="I290" s="340"/>
      <c r="J290" s="343"/>
      <c r="K290" s="342" t="e">
        <f>K288+K289</f>
        <v>#REF!</v>
      </c>
      <c r="M290" s="409"/>
      <c r="N290" s="409"/>
      <c r="O290" s="468"/>
      <c r="P290" s="74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E290" s="84"/>
    </row>
    <row r="291" spans="1:31" ht="16.5" thickTop="1">
      <c r="A291" s="1"/>
      <c r="B291" s="1"/>
      <c r="C291" s="21"/>
      <c r="D291" s="21"/>
      <c r="E291" s="335"/>
      <c r="F291" s="2"/>
      <c r="G291" s="2"/>
      <c r="H291" s="2"/>
      <c r="I291" s="335"/>
      <c r="J291" s="1"/>
      <c r="K291" s="2" t="s">
        <v>31</v>
      </c>
      <c r="M291" s="20"/>
      <c r="N291" s="20"/>
      <c r="O291" s="74"/>
      <c r="P291" s="74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E291" s="84"/>
    </row>
    <row r="292" spans="1:31">
      <c r="A292" s="291" t="s">
        <v>418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M292" s="20"/>
      <c r="N292" s="20"/>
      <c r="O292" s="74"/>
      <c r="P292" s="74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E292" s="84"/>
    </row>
    <row r="293" spans="1:31">
      <c r="A293" s="1" t="s">
        <v>414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20"/>
      <c r="N293" s="20"/>
      <c r="O293" s="74"/>
      <c r="P293" s="74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20"/>
      <c r="N294" s="20"/>
      <c r="O294" s="74"/>
      <c r="P294" s="74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E294" s="84"/>
    </row>
    <row r="295" spans="1:31">
      <c r="A295" s="1" t="s">
        <v>396</v>
      </c>
      <c r="B295" s="1"/>
      <c r="C295" s="317"/>
      <c r="D295" s="317"/>
      <c r="E295" s="2"/>
      <c r="F295" s="2"/>
      <c r="G295" s="1"/>
      <c r="H295" s="1"/>
      <c r="I295" s="2"/>
      <c r="J295" s="1"/>
      <c r="K295" s="1"/>
      <c r="M295" s="20"/>
      <c r="N295" s="20"/>
      <c r="O295" s="74"/>
      <c r="P295" s="74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E295" s="84"/>
    </row>
    <row r="296" spans="1:31">
      <c r="A296" s="1" t="s">
        <v>419</v>
      </c>
      <c r="B296" s="1"/>
      <c r="C296" s="317">
        <f>3953+455</f>
        <v>4408</v>
      </c>
      <c r="D296" s="317">
        <f>ROUND((D300/C300)*C296,0)</f>
        <v>4397</v>
      </c>
      <c r="E296" s="296">
        <f>$E$153</f>
        <v>7.53</v>
      </c>
      <c r="F296" s="319"/>
      <c r="G296" s="2">
        <f>ROUND(E296*$C296,0)</f>
        <v>33192</v>
      </c>
      <c r="H296" s="2">
        <f>ROUND(E296*$D296,0)</f>
        <v>33109</v>
      </c>
      <c r="I296" s="296">
        <f>$I$153</f>
        <v>8</v>
      </c>
      <c r="J296" s="321"/>
      <c r="K296" s="2">
        <f>ROUND(I296*$C296,0)</f>
        <v>35264</v>
      </c>
      <c r="M296" s="20"/>
      <c r="N296" s="20"/>
      <c r="O296" s="74"/>
      <c r="P296" s="74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E296" s="84"/>
    </row>
    <row r="297" spans="1:31">
      <c r="A297" s="1" t="s">
        <v>394</v>
      </c>
      <c r="B297" s="1"/>
      <c r="C297" s="317">
        <v>0</v>
      </c>
      <c r="D297" s="317">
        <v>0</v>
      </c>
      <c r="E297" s="296">
        <f>$E$154</f>
        <v>11.18</v>
      </c>
      <c r="F297" s="322"/>
      <c r="G297" s="2">
        <f>ROUND(E297*$C297,0)</f>
        <v>0</v>
      </c>
      <c r="H297" s="2">
        <f>ROUND(E297*$D297,0)</f>
        <v>0</v>
      </c>
      <c r="I297" s="296">
        <f>$I$154</f>
        <v>11.877822045152721</v>
      </c>
      <c r="J297" s="323"/>
      <c r="K297" s="2">
        <f>ROUND(I297*$C297,0)</f>
        <v>0</v>
      </c>
      <c r="M297" s="20"/>
      <c r="N297" s="20"/>
      <c r="O297" s="74"/>
      <c r="P297" s="74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E297" s="84"/>
    </row>
    <row r="298" spans="1:31">
      <c r="A298" s="1" t="s">
        <v>395</v>
      </c>
      <c r="B298" s="1"/>
      <c r="C298" s="317">
        <v>0</v>
      </c>
      <c r="D298" s="317">
        <v>0</v>
      </c>
      <c r="E298" s="296">
        <f>$E$155</f>
        <v>0.78</v>
      </c>
      <c r="F298" s="322"/>
      <c r="G298" s="2">
        <f>ROUND(E298*$C298,0)</f>
        <v>0</v>
      </c>
      <c r="H298" s="2">
        <f>ROUND(E298*$D298,0)</f>
        <v>0</v>
      </c>
      <c r="I298" s="296">
        <f>$I$155</f>
        <v>0.83</v>
      </c>
      <c r="J298" s="323"/>
      <c r="K298" s="2">
        <f>ROUND(I298*$C298,0)</f>
        <v>0</v>
      </c>
      <c r="M298" s="20"/>
      <c r="N298" s="20"/>
      <c r="O298" s="74"/>
      <c r="P298" s="74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E298" s="84"/>
    </row>
    <row r="299" spans="1:31">
      <c r="A299" s="1" t="s">
        <v>397</v>
      </c>
      <c r="B299" s="1"/>
      <c r="C299" s="317">
        <f>SUM(C296:C297)</f>
        <v>4408</v>
      </c>
      <c r="D299" s="317">
        <f>ROUND((D300/C300)*C299,0)</f>
        <v>4397</v>
      </c>
      <c r="E299" s="296"/>
      <c r="F299" s="319"/>
      <c r="G299" s="2"/>
      <c r="H299" s="2"/>
      <c r="I299" s="296"/>
      <c r="J299" s="321"/>
      <c r="K299" s="2"/>
      <c r="M299" s="20"/>
      <c r="N299" s="20"/>
      <c r="O299" s="74"/>
      <c r="P299" s="74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E299" s="84"/>
    </row>
    <row r="300" spans="1:31">
      <c r="A300" s="1" t="s">
        <v>365</v>
      </c>
      <c r="B300" s="1"/>
      <c r="C300" s="317">
        <f>108+1465</f>
        <v>1573</v>
      </c>
      <c r="D300" s="317">
        <v>1569</v>
      </c>
      <c r="E300" s="296"/>
      <c r="F300" s="319"/>
      <c r="G300" s="2"/>
      <c r="H300" s="2"/>
      <c r="I300" s="296"/>
      <c r="J300" s="321"/>
      <c r="K300" s="2"/>
      <c r="M300" s="20"/>
      <c r="N300" s="20"/>
      <c r="O300" s="74"/>
      <c r="P300" s="74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E300" s="84"/>
    </row>
    <row r="301" spans="1:31">
      <c r="A301" s="1" t="s">
        <v>398</v>
      </c>
      <c r="B301" s="1"/>
      <c r="C301" s="317">
        <v>0</v>
      </c>
      <c r="D301" s="317">
        <v>0</v>
      </c>
      <c r="E301" s="324">
        <f>$E$158</f>
        <v>2.88</v>
      </c>
      <c r="F301" s="321"/>
      <c r="G301" s="2">
        <f>ROUND(E301*$C301,0)</f>
        <v>0</v>
      </c>
      <c r="H301" s="2">
        <f>ROUND(E301*$D301,0)</f>
        <v>0</v>
      </c>
      <c r="I301" s="324">
        <f>$I$158</f>
        <v>2.97</v>
      </c>
      <c r="J301" s="321"/>
      <c r="K301" s="2">
        <f>ROUND(I301*$C301,0)</f>
        <v>0</v>
      </c>
      <c r="M301" s="20"/>
      <c r="N301" s="20"/>
      <c r="O301" s="74"/>
      <c r="P301" s="74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E301" s="84"/>
    </row>
    <row r="302" spans="1:31">
      <c r="A302" s="1" t="s">
        <v>400</v>
      </c>
      <c r="B302" s="1"/>
      <c r="C302" s="317">
        <f>36361+1146150+183000</f>
        <v>1365511</v>
      </c>
      <c r="D302" s="317">
        <f>ROUND(($D$317/'Billing Determinants (2)'!$C$317)*C302,0)</f>
        <v>1407168</v>
      </c>
      <c r="E302" s="297">
        <f>$E$159</f>
        <v>8.0890000000000004</v>
      </c>
      <c r="F302" s="321" t="s">
        <v>377</v>
      </c>
      <c r="G302" s="2">
        <f>ROUND(E302*$C302/100,0)</f>
        <v>110456</v>
      </c>
      <c r="H302" s="2">
        <f>ROUND(E302*$D302/100,0)</f>
        <v>113826</v>
      </c>
      <c r="I302" s="297">
        <f>$I$159</f>
        <v>8.8109999999999999</v>
      </c>
      <c r="J302" s="321" t="s">
        <v>377</v>
      </c>
      <c r="K302" s="2">
        <f>ROUND(I302*$C302/100,0)</f>
        <v>120315</v>
      </c>
      <c r="M302" s="20"/>
      <c r="N302" s="20"/>
      <c r="O302" s="74"/>
      <c r="P302" s="74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E302" s="84"/>
    </row>
    <row r="303" spans="1:31">
      <c r="A303" s="1" t="s">
        <v>401</v>
      </c>
      <c r="B303" s="21"/>
      <c r="C303" s="317">
        <f>64813</f>
        <v>64813</v>
      </c>
      <c r="D303" s="317">
        <f>ROUND(($D$317/'Billing Determinants (2)'!$C$317)*C303,0)</f>
        <v>66790</v>
      </c>
      <c r="E303" s="297">
        <f>$E$160</f>
        <v>5.5839999999999996</v>
      </c>
      <c r="F303" s="321" t="s">
        <v>377</v>
      </c>
      <c r="G303" s="2">
        <f>ROUND(E303*$C303/100,0)</f>
        <v>3619</v>
      </c>
      <c r="H303" s="2">
        <f>ROUND(E303*$D303/100,0)</f>
        <v>3730</v>
      </c>
      <c r="I303" s="297">
        <f>$I$160</f>
        <v>6.0819999999999999</v>
      </c>
      <c r="J303" s="321" t="s">
        <v>377</v>
      </c>
      <c r="K303" s="2">
        <f>ROUND(I303*$C303/100,0)</f>
        <v>3942</v>
      </c>
      <c r="M303" s="20"/>
      <c r="N303" s="20"/>
      <c r="O303" s="74"/>
      <c r="P303" s="74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E303" s="84"/>
    </row>
    <row r="304" spans="1:31">
      <c r="A304" s="1" t="s">
        <v>402</v>
      </c>
      <c r="B304" s="1"/>
      <c r="C304" s="317">
        <f>36361+1210963+183000-C302-C303</f>
        <v>0</v>
      </c>
      <c r="D304" s="317">
        <f>ROUND(($D$317/'Billing Determinants (2)'!$C$317)*C304,0)</f>
        <v>0</v>
      </c>
      <c r="E304" s="297">
        <f>$E$161</f>
        <v>4.8099999999999996</v>
      </c>
      <c r="F304" s="321" t="s">
        <v>377</v>
      </c>
      <c r="G304" s="2">
        <f>ROUND(E304*$C304/100,0)</f>
        <v>0</v>
      </c>
      <c r="H304" s="2">
        <f>ROUND(E304*$D304/100,0)</f>
        <v>0</v>
      </c>
      <c r="I304" s="297">
        <f>$I$161</f>
        <v>5.24</v>
      </c>
      <c r="J304" s="321" t="s">
        <v>377</v>
      </c>
      <c r="K304" s="2">
        <f>ROUND(I304*$C304/100,0)</f>
        <v>0</v>
      </c>
      <c r="M304" s="20"/>
      <c r="N304" s="20"/>
      <c r="O304" s="74"/>
      <c r="P304" s="74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E304" s="84"/>
    </row>
    <row r="305" spans="1:31">
      <c r="A305" s="1" t="s">
        <v>403</v>
      </c>
      <c r="B305" s="1"/>
      <c r="C305" s="317">
        <v>0</v>
      </c>
      <c r="D305" s="317">
        <f>ROUND(($D$317/'Billing Determinants (2)'!$C$317)*C305,0)</f>
        <v>0</v>
      </c>
      <c r="E305" s="328">
        <f>$E$162</f>
        <v>45</v>
      </c>
      <c r="F305" s="319" t="s">
        <v>377</v>
      </c>
      <c r="G305" s="2">
        <f>ROUND(E305*$C305/100,0)</f>
        <v>0</v>
      </c>
      <c r="H305" s="2">
        <f>ROUND(E305*$D305/100,0)</f>
        <v>0</v>
      </c>
      <c r="I305" s="328">
        <f>$I$162</f>
        <v>50</v>
      </c>
      <c r="J305" s="321" t="s">
        <v>377</v>
      </c>
      <c r="K305" s="2">
        <f>ROUND(I305*$C305/100,0)</f>
        <v>0</v>
      </c>
      <c r="M305" s="20"/>
      <c r="N305" s="20"/>
      <c r="O305" s="74"/>
      <c r="P305" s="74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E305" s="84"/>
    </row>
    <row r="306" spans="1:31">
      <c r="A306" s="329" t="s">
        <v>404</v>
      </c>
      <c r="B306" s="1"/>
      <c r="C306" s="317"/>
      <c r="D306" s="317"/>
      <c r="E306" s="330">
        <v>-0.01</v>
      </c>
      <c r="F306" s="319"/>
      <c r="G306" s="2"/>
      <c r="H306" s="2"/>
      <c r="I306" s="330">
        <v>-0.01</v>
      </c>
      <c r="J306" s="321"/>
      <c r="K306" s="2"/>
      <c r="M306" s="20"/>
      <c r="N306" s="20"/>
      <c r="O306" s="74"/>
      <c r="P306" s="74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E306" s="84"/>
    </row>
    <row r="307" spans="1:31">
      <c r="A307" s="1" t="s">
        <v>393</v>
      </c>
      <c r="B307" s="1"/>
      <c r="C307" s="317">
        <v>0</v>
      </c>
      <c r="D307" s="317">
        <v>0</v>
      </c>
      <c r="E307" s="332">
        <f>E296</f>
        <v>7.53</v>
      </c>
      <c r="F307" s="319"/>
      <c r="G307" s="2">
        <f>-ROUND(E307*$C307/100,0)</f>
        <v>0</v>
      </c>
      <c r="H307" s="2">
        <f t="shared" ref="H307:H316" si="30">-ROUND(E307*$D307/100,0)</f>
        <v>0</v>
      </c>
      <c r="I307" s="332">
        <f>I296</f>
        <v>8</v>
      </c>
      <c r="J307" s="319"/>
      <c r="K307" s="2">
        <f>-ROUND(I307*$C307/100,0)</f>
        <v>0</v>
      </c>
      <c r="M307" s="20"/>
      <c r="N307" s="20"/>
      <c r="O307" s="74"/>
      <c r="P307" s="74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E307" s="84"/>
    </row>
    <row r="308" spans="1:31">
      <c r="A308" s="1" t="s">
        <v>394</v>
      </c>
      <c r="B308" s="1"/>
      <c r="C308" s="317">
        <v>0</v>
      </c>
      <c r="D308" s="317">
        <v>0</v>
      </c>
      <c r="E308" s="332">
        <f>E297</f>
        <v>11.18</v>
      </c>
      <c r="F308" s="319"/>
      <c r="G308" s="2">
        <f>-ROUND(E308*$C308/100,0)</f>
        <v>0</v>
      </c>
      <c r="H308" s="2">
        <f t="shared" si="30"/>
        <v>0</v>
      </c>
      <c r="I308" s="332">
        <f>I297</f>
        <v>11.877822045152721</v>
      </c>
      <c r="J308" s="319"/>
      <c r="K308" s="2">
        <f>-ROUND(I308*$C308/100,0)</f>
        <v>0</v>
      </c>
      <c r="M308" s="20"/>
      <c r="N308" s="20"/>
      <c r="O308" s="74"/>
      <c r="P308" s="74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E308" s="84"/>
    </row>
    <row r="309" spans="1:31">
      <c r="A309" s="1" t="s">
        <v>405</v>
      </c>
      <c r="B309" s="1"/>
      <c r="C309" s="317">
        <v>0</v>
      </c>
      <c r="D309" s="317">
        <f>ROUND(($D$317/'Billing Determinants (2)'!$C$317)*C309,0)</f>
        <v>0</v>
      </c>
      <c r="E309" s="332">
        <f>E298</f>
        <v>0.78</v>
      </c>
      <c r="F309" s="319"/>
      <c r="G309" s="2">
        <f>-ROUND(E309*$C309/100,0)</f>
        <v>0</v>
      </c>
      <c r="H309" s="2">
        <f t="shared" si="30"/>
        <v>0</v>
      </c>
      <c r="I309" s="332">
        <f>I298</f>
        <v>0.83</v>
      </c>
      <c r="J309" s="319"/>
      <c r="K309" s="2">
        <f>-ROUND(I309*$C309/100,0)</f>
        <v>0</v>
      </c>
      <c r="M309" s="20"/>
      <c r="N309" s="20"/>
      <c r="O309" s="74"/>
      <c r="P309" s="74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E309" s="84"/>
    </row>
    <row r="310" spans="1:31">
      <c r="A310" s="1" t="s">
        <v>406</v>
      </c>
      <c r="B310" s="1"/>
      <c r="C310" s="317">
        <v>0</v>
      </c>
      <c r="D310" s="317">
        <f>ROUND(($D$317/'Billing Determinants (2)'!$C$317)*C310,0)</f>
        <v>0</v>
      </c>
      <c r="E310" s="332">
        <f>E301</f>
        <v>2.88</v>
      </c>
      <c r="F310" s="321"/>
      <c r="G310" s="2">
        <f>-ROUND(E310*$C310/100,0)</f>
        <v>0</v>
      </c>
      <c r="H310" s="2">
        <f t="shared" si="30"/>
        <v>0</v>
      </c>
      <c r="I310" s="332">
        <f>I301</f>
        <v>2.97</v>
      </c>
      <c r="J310" s="321"/>
      <c r="K310" s="2">
        <f>-ROUND(I310*$C310/100,0)</f>
        <v>0</v>
      </c>
      <c r="M310" s="20"/>
      <c r="N310" s="20"/>
      <c r="O310" s="74"/>
      <c r="P310" s="74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E310" s="84"/>
    </row>
    <row r="311" spans="1:31">
      <c r="A311" s="1" t="s">
        <v>408</v>
      </c>
      <c r="B311" s="1"/>
      <c r="C311" s="317">
        <v>0</v>
      </c>
      <c r="D311" s="317">
        <f>ROUND(($D$317/'Billing Determinants (2)'!$C$317)*C311,0)</f>
        <v>0</v>
      </c>
      <c r="E311" s="333">
        <f>E302</f>
        <v>8.0890000000000004</v>
      </c>
      <c r="F311" s="321" t="s">
        <v>377</v>
      </c>
      <c r="G311" s="2">
        <f>ROUND(E311*$C311/100*E306,0)</f>
        <v>0</v>
      </c>
      <c r="H311" s="2">
        <f t="shared" si="30"/>
        <v>0</v>
      </c>
      <c r="I311" s="333">
        <f>I302</f>
        <v>8.8109999999999999</v>
      </c>
      <c r="J311" s="321" t="s">
        <v>377</v>
      </c>
      <c r="K311" s="2">
        <f>ROUND(I311*$C311/100*I306,0)</f>
        <v>0</v>
      </c>
      <c r="M311" s="20"/>
      <c r="N311" s="20"/>
      <c r="O311" s="74"/>
      <c r="P311" s="74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E311" s="84"/>
    </row>
    <row r="312" spans="1:31">
      <c r="A312" s="1" t="s">
        <v>401</v>
      </c>
      <c r="B312" s="1"/>
      <c r="C312" s="317">
        <v>0</v>
      </c>
      <c r="D312" s="317">
        <f>ROUND(($D$317/'Billing Determinants (2)'!$C$317)*C312,0)</f>
        <v>0</v>
      </c>
      <c r="E312" s="333">
        <f>E303</f>
        <v>5.5839999999999996</v>
      </c>
      <c r="F312" s="321" t="s">
        <v>377</v>
      </c>
      <c r="G312" s="2">
        <f>ROUND(E312*$C312/100*E306,0)</f>
        <v>0</v>
      </c>
      <c r="H312" s="2">
        <f t="shared" si="30"/>
        <v>0</v>
      </c>
      <c r="I312" s="333">
        <f>I303</f>
        <v>6.0819999999999999</v>
      </c>
      <c r="J312" s="321" t="s">
        <v>377</v>
      </c>
      <c r="K312" s="2">
        <f>ROUND(I312*$C312/100*I306,0)</f>
        <v>0</v>
      </c>
      <c r="M312" s="20"/>
      <c r="N312" s="20"/>
      <c r="O312" s="74"/>
      <c r="P312" s="74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E312" s="84"/>
    </row>
    <row r="313" spans="1:31">
      <c r="A313" s="1" t="s">
        <v>402</v>
      </c>
      <c r="B313" s="1"/>
      <c r="C313" s="317">
        <v>0</v>
      </c>
      <c r="D313" s="317">
        <f>ROUND(($D$317/'Billing Determinants (2)'!$C$317)*C313,0)</f>
        <v>0</v>
      </c>
      <c r="E313" s="333">
        <f>E304</f>
        <v>4.8099999999999996</v>
      </c>
      <c r="F313" s="321" t="s">
        <v>377</v>
      </c>
      <c r="G313" s="2">
        <f>ROUND(E313*$C313/100*E306,0)</f>
        <v>0</v>
      </c>
      <c r="H313" s="2">
        <f t="shared" si="30"/>
        <v>0</v>
      </c>
      <c r="I313" s="333">
        <f>I304</f>
        <v>5.24</v>
      </c>
      <c r="J313" s="321" t="s">
        <v>377</v>
      </c>
      <c r="K313" s="2">
        <f>ROUND(I313*$C313/100*I306,0)</f>
        <v>0</v>
      </c>
      <c r="M313" s="20"/>
      <c r="N313" s="20"/>
      <c r="O313" s="74"/>
      <c r="P313" s="74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E313" s="84"/>
    </row>
    <row r="314" spans="1:31">
      <c r="A314" s="1" t="s">
        <v>403</v>
      </c>
      <c r="B314" s="1"/>
      <c r="C314" s="317">
        <v>0</v>
      </c>
      <c r="D314" s="317">
        <f>ROUND(($D$317/'Billing Determinants (2)'!$C$317)*C314,0)</f>
        <v>0</v>
      </c>
      <c r="E314" s="334">
        <f>E305</f>
        <v>45</v>
      </c>
      <c r="F314" s="321" t="s">
        <v>377</v>
      </c>
      <c r="G314" s="2">
        <f>ROUND(E314*$C314/100*E306,0)</f>
        <v>0</v>
      </c>
      <c r="H314" s="2">
        <f t="shared" si="30"/>
        <v>0</v>
      </c>
      <c r="I314" s="334">
        <f>I305</f>
        <v>50</v>
      </c>
      <c r="J314" s="321" t="s">
        <v>377</v>
      </c>
      <c r="K314" s="2">
        <f>ROUND(I314*$C314/100*I306,0)</f>
        <v>0</v>
      </c>
      <c r="M314" s="20"/>
      <c r="N314" s="20"/>
      <c r="O314" s="74"/>
      <c r="P314" s="74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E314" s="84"/>
    </row>
    <row r="315" spans="1:31">
      <c r="A315" s="1" t="s">
        <v>410</v>
      </c>
      <c r="B315" s="1"/>
      <c r="C315" s="317">
        <v>0</v>
      </c>
      <c r="D315" s="317">
        <f>ROUND(($D$317/'Billing Determinants (2)'!$C$317)*C315,0)</f>
        <v>0</v>
      </c>
      <c r="E315" s="335">
        <f>$E$172</f>
        <v>60</v>
      </c>
      <c r="F315" s="319"/>
      <c r="G315" s="2">
        <f>ROUND(E315*$C315,0)</f>
        <v>0</v>
      </c>
      <c r="H315" s="2">
        <f t="shared" si="30"/>
        <v>0</v>
      </c>
      <c r="I315" s="335">
        <f>$I$172</f>
        <v>60</v>
      </c>
      <c r="J315" s="321"/>
      <c r="K315" s="2">
        <f>ROUND(I315*$C315,0)</f>
        <v>0</v>
      </c>
      <c r="M315" s="20"/>
      <c r="N315" s="20"/>
      <c r="O315" s="74"/>
      <c r="P315" s="74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E315" s="84"/>
    </row>
    <row r="316" spans="1:31">
      <c r="A316" s="1" t="s">
        <v>411</v>
      </c>
      <c r="B316" s="1"/>
      <c r="C316" s="317">
        <v>0</v>
      </c>
      <c r="D316" s="317">
        <f>ROUND(($D$317/'Billing Determinants (2)'!$C$317)*C316,0)</f>
        <v>0</v>
      </c>
      <c r="E316" s="337">
        <f>$E$173</f>
        <v>-30</v>
      </c>
      <c r="F316" s="319" t="s">
        <v>377</v>
      </c>
      <c r="G316" s="2">
        <f>ROUND(E316*$C316/100,0)</f>
        <v>0</v>
      </c>
      <c r="H316" s="2">
        <f t="shared" si="30"/>
        <v>0</v>
      </c>
      <c r="I316" s="337">
        <f>$I$173</f>
        <v>-30</v>
      </c>
      <c r="J316" s="321" t="s">
        <v>377</v>
      </c>
      <c r="K316" s="2">
        <f>ROUND(I316*$C316/100,0)</f>
        <v>0</v>
      </c>
      <c r="M316" s="20"/>
      <c r="N316" s="20"/>
      <c r="O316" s="74"/>
      <c r="P316" s="74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E316" s="84"/>
    </row>
    <row r="317" spans="1:31">
      <c r="A317" s="1" t="s">
        <v>384</v>
      </c>
      <c r="B317" s="1"/>
      <c r="C317" s="317">
        <f>SUM(C302:C304)</f>
        <v>1430324</v>
      </c>
      <c r="D317" s="317">
        <v>1473957.9193898283</v>
      </c>
      <c r="E317" s="328"/>
      <c r="F317" s="2"/>
      <c r="G317" s="2">
        <f>SUM(G296:G316)</f>
        <v>147267</v>
      </c>
      <c r="H317" s="2">
        <f>SUM(H296:H316)</f>
        <v>150665</v>
      </c>
      <c r="I317" s="328"/>
      <c r="J317" s="321"/>
      <c r="K317" s="2">
        <f>SUM(K296:K316)</f>
        <v>159521</v>
      </c>
      <c r="M317" s="20"/>
      <c r="N317" s="20"/>
      <c r="O317" s="74"/>
      <c r="P317" s="74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E317" s="84"/>
    </row>
    <row r="318" spans="1:31">
      <c r="A318" s="1" t="s">
        <v>366</v>
      </c>
      <c r="B318" s="1"/>
      <c r="C318" s="347" t="e">
        <f>#REF!</f>
        <v>#REF!</v>
      </c>
      <c r="D318" s="338">
        <v>0</v>
      </c>
      <c r="E318" s="307"/>
      <c r="F318" s="307"/>
      <c r="G318" s="339" t="e">
        <f>#REF!</f>
        <v>#REF!</v>
      </c>
      <c r="H318" s="339">
        <v>0</v>
      </c>
      <c r="I318" s="307"/>
      <c r="J318" s="307"/>
      <c r="K318" s="339" t="e">
        <f>G318</f>
        <v>#REF!</v>
      </c>
      <c r="M318" s="442"/>
      <c r="N318" s="442"/>
      <c r="O318" s="285"/>
      <c r="P318" s="74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E318" s="84"/>
    </row>
    <row r="319" spans="1:31" ht="16.5" thickBot="1">
      <c r="A319" s="1" t="s">
        <v>385</v>
      </c>
      <c r="B319" s="1"/>
      <c r="C319" s="309" t="e">
        <f>SUM(C317:C318)</f>
        <v>#REF!</v>
      </c>
      <c r="D319" s="309">
        <f>SUM(D317:D318)</f>
        <v>1473957.9193898283</v>
      </c>
      <c r="E319" s="340"/>
      <c r="F319" s="341"/>
      <c r="G319" s="342" t="e">
        <f>G317+G318</f>
        <v>#REF!</v>
      </c>
      <c r="H319" s="342">
        <f>H317+H318</f>
        <v>150665</v>
      </c>
      <c r="I319" s="340"/>
      <c r="J319" s="343"/>
      <c r="K319" s="342" t="e">
        <f>K317+K318</f>
        <v>#REF!</v>
      </c>
      <c r="M319" s="409"/>
      <c r="N319" s="409"/>
      <c r="O319" s="468"/>
      <c r="P319" s="74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E319" s="84"/>
    </row>
    <row r="320" spans="1:31" ht="16.5" thickTop="1">
      <c r="A320" s="1"/>
      <c r="B320" s="1"/>
      <c r="C320" s="21"/>
      <c r="D320" s="21"/>
      <c r="E320" s="335"/>
      <c r="F320" s="2"/>
      <c r="G320" s="2"/>
      <c r="H320" s="2"/>
      <c r="I320" s="335"/>
      <c r="J320" s="1"/>
      <c r="K320" s="2" t="s">
        <v>31</v>
      </c>
      <c r="M320" s="20"/>
      <c r="N320" s="20"/>
      <c r="O320" s="74"/>
      <c r="P320" s="74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E320" s="84"/>
    </row>
    <row r="321" spans="1:31">
      <c r="A321" s="291" t="s">
        <v>418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M321" s="20"/>
      <c r="N321" s="20"/>
      <c r="O321" s="74"/>
      <c r="P321" s="74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E321" s="84"/>
    </row>
    <row r="322" spans="1:31">
      <c r="A322" s="1" t="s">
        <v>417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20"/>
      <c r="N322" s="20"/>
      <c r="O322" s="74"/>
      <c r="P322" s="74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20"/>
      <c r="N323" s="20"/>
      <c r="O323" s="74"/>
      <c r="P323" s="74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E323" s="84"/>
    </row>
    <row r="324" spans="1:31">
      <c r="A324" s="1" t="s">
        <v>396</v>
      </c>
      <c r="B324" s="1"/>
      <c r="C324" s="317"/>
      <c r="D324" s="317"/>
      <c r="E324" s="2"/>
      <c r="F324" s="2"/>
      <c r="G324" s="1"/>
      <c r="H324" s="1"/>
      <c r="I324" s="2"/>
      <c r="J324" s="1"/>
      <c r="K324" s="1"/>
      <c r="M324" s="20"/>
      <c r="N324" s="20"/>
      <c r="O324" s="74"/>
      <c r="P324" s="74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E324" s="84"/>
    </row>
    <row r="325" spans="1:31">
      <c r="A325" s="1" t="s">
        <v>419</v>
      </c>
      <c r="B325" s="1"/>
      <c r="C325" s="317">
        <v>516</v>
      </c>
      <c r="D325" s="317">
        <f>ROUND((D329/C329)*C325,0)</f>
        <v>516</v>
      </c>
      <c r="E325" s="296">
        <f>$E$153</f>
        <v>7.53</v>
      </c>
      <c r="F325" s="319"/>
      <c r="G325" s="2">
        <f>ROUND(E325*$C325,0)</f>
        <v>3885</v>
      </c>
      <c r="H325" s="2">
        <f>ROUND(E325*$D325,0)</f>
        <v>3885</v>
      </c>
      <c r="I325" s="296">
        <f>$I$153</f>
        <v>8</v>
      </c>
      <c r="J325" s="321"/>
      <c r="K325" s="2">
        <f>ROUND(I325*$C325,0)</f>
        <v>4128</v>
      </c>
      <c r="M325" s="20"/>
      <c r="N325" s="20"/>
      <c r="O325" s="74"/>
      <c r="P325" s="74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E325" s="84"/>
    </row>
    <row r="326" spans="1:31">
      <c r="A326" s="1" t="s">
        <v>394</v>
      </c>
      <c r="B326" s="1"/>
      <c r="C326" s="317">
        <v>0</v>
      </c>
      <c r="D326" s="317">
        <v>0</v>
      </c>
      <c r="E326" s="296">
        <f>$E$154</f>
        <v>11.18</v>
      </c>
      <c r="F326" s="322"/>
      <c r="G326" s="2">
        <f>ROUND(E326*$C326,0)</f>
        <v>0</v>
      </c>
      <c r="H326" s="2">
        <f>ROUND(E326*$D326,0)</f>
        <v>0</v>
      </c>
      <c r="I326" s="296">
        <f>$I$154</f>
        <v>11.877822045152721</v>
      </c>
      <c r="J326" s="323"/>
      <c r="K326" s="2">
        <f>ROUND(I326*$C326,0)</f>
        <v>0</v>
      </c>
      <c r="M326" s="20"/>
      <c r="N326" s="20"/>
      <c r="O326" s="74"/>
      <c r="P326" s="74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E326" s="84"/>
    </row>
    <row r="327" spans="1:31">
      <c r="A327" s="1" t="s">
        <v>395</v>
      </c>
      <c r="B327" s="1"/>
      <c r="C327" s="317">
        <v>0</v>
      </c>
      <c r="D327" s="317">
        <v>0</v>
      </c>
      <c r="E327" s="296">
        <f>$E$155</f>
        <v>0.78</v>
      </c>
      <c r="F327" s="322"/>
      <c r="G327" s="2">
        <f>ROUND(E327*$C327,0)</f>
        <v>0</v>
      </c>
      <c r="H327" s="2">
        <f>ROUND(E327*$D327,0)</f>
        <v>0</v>
      </c>
      <c r="I327" s="296">
        <f>$I$155</f>
        <v>0.83</v>
      </c>
      <c r="J327" s="323"/>
      <c r="K327" s="2">
        <f>ROUND(I327*$C327,0)</f>
        <v>0</v>
      </c>
      <c r="M327" s="20"/>
      <c r="N327" s="20"/>
      <c r="O327" s="74"/>
      <c r="P327" s="74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E327" s="84"/>
    </row>
    <row r="328" spans="1:31">
      <c r="A328" s="1" t="s">
        <v>397</v>
      </c>
      <c r="B328" s="1"/>
      <c r="C328" s="317">
        <f>SUM(C325:C326)</f>
        <v>516</v>
      </c>
      <c r="D328" s="317">
        <f>ROUND((D329/C329)*C328,0)</f>
        <v>516</v>
      </c>
      <c r="E328" s="296"/>
      <c r="F328" s="319"/>
      <c r="G328" s="2"/>
      <c r="H328" s="2"/>
      <c r="I328" s="296"/>
      <c r="J328" s="321"/>
      <c r="K328" s="2"/>
      <c r="M328" s="20"/>
      <c r="N328" s="20"/>
      <c r="O328" s="74"/>
      <c r="P328" s="74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E328" s="84"/>
    </row>
    <row r="329" spans="1:31">
      <c r="A329" s="1" t="s">
        <v>365</v>
      </c>
      <c r="B329" s="1"/>
      <c r="C329" s="317">
        <v>48</v>
      </c>
      <c r="D329" s="317">
        <v>48</v>
      </c>
      <c r="E329" s="296"/>
      <c r="F329" s="319"/>
      <c r="G329" s="2"/>
      <c r="H329" s="2"/>
      <c r="I329" s="296"/>
      <c r="J329" s="321"/>
      <c r="K329" s="2"/>
      <c r="M329" s="20"/>
      <c r="N329" s="20"/>
      <c r="O329" s="74"/>
      <c r="P329" s="74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E329" s="84"/>
    </row>
    <row r="330" spans="1:31">
      <c r="A330" s="1" t="s">
        <v>398</v>
      </c>
      <c r="B330" s="1"/>
      <c r="C330" s="317">
        <v>0</v>
      </c>
      <c r="D330" s="317">
        <v>0</v>
      </c>
      <c r="E330" s="324">
        <f>$E$158</f>
        <v>2.88</v>
      </c>
      <c r="F330" s="321"/>
      <c r="G330" s="2">
        <f>ROUND(E330*$C330,0)</f>
        <v>0</v>
      </c>
      <c r="H330" s="2">
        <f>ROUND(E330*$D330,0)</f>
        <v>0</v>
      </c>
      <c r="I330" s="324">
        <f>$I$158</f>
        <v>2.97</v>
      </c>
      <c r="J330" s="321"/>
      <c r="K330" s="2">
        <f>ROUND(I330*$C330,0)</f>
        <v>0</v>
      </c>
      <c r="M330" s="20"/>
      <c r="N330" s="20"/>
      <c r="O330" s="74"/>
      <c r="P330" s="74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E330" s="84"/>
    </row>
    <row r="331" spans="1:31">
      <c r="A331" s="1" t="s">
        <v>400</v>
      </c>
      <c r="B331" s="1"/>
      <c r="C331" s="317">
        <f>33312</f>
        <v>33312</v>
      </c>
      <c r="D331" s="317">
        <f>ROUND(($D$346/'Billing Determinants (2)'!$C$346)*C331,0)</f>
        <v>38537</v>
      </c>
      <c r="E331" s="297">
        <f>$E$159</f>
        <v>8.0890000000000004</v>
      </c>
      <c r="F331" s="321" t="s">
        <v>377</v>
      </c>
      <c r="G331" s="2">
        <f>ROUND(E331*$C331/100,0)</f>
        <v>2695</v>
      </c>
      <c r="H331" s="2">
        <f>ROUND(E331*$D331/100,0)</f>
        <v>3117</v>
      </c>
      <c r="I331" s="297">
        <f>$I$159</f>
        <v>8.8109999999999999</v>
      </c>
      <c r="J331" s="321" t="s">
        <v>377</v>
      </c>
      <c r="K331" s="2">
        <f>ROUND(I331*$C331/100,0)</f>
        <v>2935</v>
      </c>
      <c r="M331" s="20"/>
      <c r="N331" s="20"/>
      <c r="O331" s="74"/>
      <c r="P331" s="74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E331" s="84"/>
    </row>
    <row r="332" spans="1:31">
      <c r="A332" s="1" t="s">
        <v>401</v>
      </c>
      <c r="B332" s="1"/>
      <c r="C332" s="317">
        <v>0</v>
      </c>
      <c r="D332" s="317">
        <v>0</v>
      </c>
      <c r="E332" s="297">
        <f>$E$160</f>
        <v>5.5839999999999996</v>
      </c>
      <c r="F332" s="321" t="s">
        <v>377</v>
      </c>
      <c r="G332" s="2">
        <f>ROUND(E332*$C332/100,0)</f>
        <v>0</v>
      </c>
      <c r="H332" s="2">
        <f>ROUND(E332*$D332/100,0)</f>
        <v>0</v>
      </c>
      <c r="I332" s="297">
        <f>$I$160</f>
        <v>6.0819999999999999</v>
      </c>
      <c r="J332" s="321" t="s">
        <v>377</v>
      </c>
      <c r="K332" s="2">
        <f>ROUND(I332*$C332/100,0)</f>
        <v>0</v>
      </c>
      <c r="M332" s="20"/>
      <c r="N332" s="20"/>
      <c r="O332" s="74"/>
      <c r="P332" s="74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E332" s="84"/>
    </row>
    <row r="333" spans="1:31">
      <c r="A333" s="1" t="s">
        <v>402</v>
      </c>
      <c r="B333" s="1"/>
      <c r="C333" s="317">
        <f>33312-C331</f>
        <v>0</v>
      </c>
      <c r="D333" s="317">
        <v>0</v>
      </c>
      <c r="E333" s="297">
        <f>$E$161</f>
        <v>4.8099999999999996</v>
      </c>
      <c r="F333" s="321" t="s">
        <v>377</v>
      </c>
      <c r="G333" s="2">
        <f>ROUND(E333*$C333/100,0)</f>
        <v>0</v>
      </c>
      <c r="H333" s="2">
        <f>ROUND(E333*$D333/100,0)</f>
        <v>0</v>
      </c>
      <c r="I333" s="297">
        <f>$I$161</f>
        <v>5.24</v>
      </c>
      <c r="J333" s="321" t="s">
        <v>377</v>
      </c>
      <c r="K333" s="2">
        <f>ROUND(I333*$C333/100,0)</f>
        <v>0</v>
      </c>
      <c r="M333" s="20"/>
      <c r="N333" s="20"/>
      <c r="O333" s="74"/>
      <c r="P333" s="74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E333" s="84"/>
    </row>
    <row r="334" spans="1:31">
      <c r="A334" s="1" t="s">
        <v>403</v>
      </c>
      <c r="B334" s="1"/>
      <c r="C334" s="317">
        <v>0</v>
      </c>
      <c r="D334" s="317">
        <v>0</v>
      </c>
      <c r="E334" s="328">
        <f>$E$162</f>
        <v>45</v>
      </c>
      <c r="F334" s="319" t="s">
        <v>377</v>
      </c>
      <c r="G334" s="2">
        <f>ROUND(E334*$C334/100,0)</f>
        <v>0</v>
      </c>
      <c r="H334" s="2">
        <f>ROUND(E334*$D334/100,0)</f>
        <v>0</v>
      </c>
      <c r="I334" s="328">
        <f>$I$162</f>
        <v>50</v>
      </c>
      <c r="J334" s="321" t="s">
        <v>377</v>
      </c>
      <c r="K334" s="2">
        <f>ROUND(I334*$C334/100,0)</f>
        <v>0</v>
      </c>
      <c r="M334" s="20"/>
      <c r="N334" s="20"/>
      <c r="O334" s="74"/>
      <c r="P334" s="74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E334" s="84"/>
    </row>
    <row r="335" spans="1:31">
      <c r="A335" s="329" t="s">
        <v>404</v>
      </c>
      <c r="B335" s="1"/>
      <c r="C335" s="317"/>
      <c r="D335" s="317"/>
      <c r="E335" s="330">
        <v>-0.01</v>
      </c>
      <c r="F335" s="319"/>
      <c r="G335" s="2"/>
      <c r="H335" s="2"/>
      <c r="I335" s="330">
        <v>-0.01</v>
      </c>
      <c r="J335" s="321"/>
      <c r="K335" s="2"/>
      <c r="M335" s="20"/>
      <c r="N335" s="20"/>
      <c r="O335" s="74"/>
      <c r="P335" s="74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E335" s="84"/>
    </row>
    <row r="336" spans="1:31">
      <c r="A336" s="1" t="s">
        <v>393</v>
      </c>
      <c r="B336" s="1"/>
      <c r="C336" s="317">
        <v>0</v>
      </c>
      <c r="D336" s="317">
        <v>0</v>
      </c>
      <c r="E336" s="332">
        <f>E325</f>
        <v>7.53</v>
      </c>
      <c r="F336" s="319"/>
      <c r="G336" s="2">
        <f>-ROUND(E336*$C336/100,0)</f>
        <v>0</v>
      </c>
      <c r="H336" s="2">
        <f t="shared" ref="H336:H345" si="31">-ROUND(E336*$D336/100,0)</f>
        <v>0</v>
      </c>
      <c r="I336" s="332">
        <f>I325</f>
        <v>8</v>
      </c>
      <c r="J336" s="319"/>
      <c r="K336" s="2">
        <f>-ROUND(I336*$C336/100,0)</f>
        <v>0</v>
      </c>
      <c r="M336" s="20"/>
      <c r="N336" s="20"/>
      <c r="O336" s="74"/>
      <c r="P336" s="74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E336" s="84"/>
    </row>
    <row r="337" spans="1:31">
      <c r="A337" s="1" t="s">
        <v>394</v>
      </c>
      <c r="B337" s="1"/>
      <c r="C337" s="317">
        <v>0</v>
      </c>
      <c r="D337" s="317">
        <v>0</v>
      </c>
      <c r="E337" s="332">
        <f>E326</f>
        <v>11.18</v>
      </c>
      <c r="F337" s="319"/>
      <c r="G337" s="2">
        <f>-ROUND(E337*$C337/100,0)</f>
        <v>0</v>
      </c>
      <c r="H337" s="2">
        <f t="shared" si="31"/>
        <v>0</v>
      </c>
      <c r="I337" s="332">
        <f>I326</f>
        <v>11.877822045152721</v>
      </c>
      <c r="J337" s="319"/>
      <c r="K337" s="2">
        <f>-ROUND(I337*$C337/100,0)</f>
        <v>0</v>
      </c>
      <c r="M337" s="20"/>
      <c r="N337" s="20"/>
      <c r="O337" s="74"/>
      <c r="P337" s="74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E337" s="84"/>
    </row>
    <row r="338" spans="1:31">
      <c r="A338" s="1" t="s">
        <v>405</v>
      </c>
      <c r="B338" s="1"/>
      <c r="C338" s="317">
        <v>0</v>
      </c>
      <c r="D338" s="317">
        <v>0</v>
      </c>
      <c r="E338" s="332">
        <f>E327</f>
        <v>0.78</v>
      </c>
      <c r="F338" s="319"/>
      <c r="G338" s="2">
        <f>-ROUND(E338*$C338/100,0)</f>
        <v>0</v>
      </c>
      <c r="H338" s="2">
        <f t="shared" si="31"/>
        <v>0</v>
      </c>
      <c r="I338" s="332">
        <f>I327</f>
        <v>0.83</v>
      </c>
      <c r="J338" s="319"/>
      <c r="K338" s="2">
        <f>-ROUND(I338*$C338/100,0)</f>
        <v>0</v>
      </c>
      <c r="M338" s="20"/>
      <c r="N338" s="20"/>
      <c r="O338" s="74"/>
      <c r="P338" s="74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E338" s="84"/>
    </row>
    <row r="339" spans="1:31">
      <c r="A339" s="1" t="s">
        <v>406</v>
      </c>
      <c r="B339" s="1"/>
      <c r="C339" s="317">
        <v>0</v>
      </c>
      <c r="D339" s="317">
        <v>0</v>
      </c>
      <c r="E339" s="332">
        <f>E330</f>
        <v>2.88</v>
      </c>
      <c r="F339" s="321"/>
      <c r="G339" s="2">
        <f>-ROUND(E339*$C339/100,0)</f>
        <v>0</v>
      </c>
      <c r="H339" s="2">
        <f t="shared" si="31"/>
        <v>0</v>
      </c>
      <c r="I339" s="332">
        <f>I330</f>
        <v>2.97</v>
      </c>
      <c r="J339" s="321"/>
      <c r="K339" s="2">
        <f>-ROUND(I339*$C339/100,0)</f>
        <v>0</v>
      </c>
      <c r="M339" s="20"/>
      <c r="N339" s="20"/>
      <c r="O339" s="74"/>
      <c r="P339" s="74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E339" s="84"/>
    </row>
    <row r="340" spans="1:31">
      <c r="A340" s="1" t="s">
        <v>408</v>
      </c>
      <c r="B340" s="1"/>
      <c r="C340" s="317">
        <v>0</v>
      </c>
      <c r="D340" s="317">
        <v>0</v>
      </c>
      <c r="E340" s="333">
        <f>E331</f>
        <v>8.0890000000000004</v>
      </c>
      <c r="F340" s="321" t="s">
        <v>377</v>
      </c>
      <c r="G340" s="2">
        <f>ROUND(E340*$C340/100*E335,0)</f>
        <v>0</v>
      </c>
      <c r="H340" s="2">
        <f t="shared" si="31"/>
        <v>0</v>
      </c>
      <c r="I340" s="333">
        <f>I331</f>
        <v>8.8109999999999999</v>
      </c>
      <c r="J340" s="321" t="s">
        <v>377</v>
      </c>
      <c r="K340" s="2">
        <f>ROUND(I340*$C340/100*I335,0)</f>
        <v>0</v>
      </c>
      <c r="M340" s="20"/>
      <c r="N340" s="20"/>
      <c r="O340" s="74"/>
      <c r="P340" s="74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E340" s="84"/>
    </row>
    <row r="341" spans="1:31">
      <c r="A341" s="1" t="s">
        <v>401</v>
      </c>
      <c r="B341" s="1"/>
      <c r="C341" s="317">
        <v>0</v>
      </c>
      <c r="D341" s="317">
        <v>0</v>
      </c>
      <c r="E341" s="333">
        <f>E332</f>
        <v>5.5839999999999996</v>
      </c>
      <c r="F341" s="321" t="s">
        <v>377</v>
      </c>
      <c r="G341" s="2">
        <f>ROUND(E341*$C341/100*E335,0)</f>
        <v>0</v>
      </c>
      <c r="H341" s="2">
        <f t="shared" si="31"/>
        <v>0</v>
      </c>
      <c r="I341" s="333">
        <f>I332</f>
        <v>6.0819999999999999</v>
      </c>
      <c r="J341" s="321" t="s">
        <v>377</v>
      </c>
      <c r="K341" s="2">
        <f>ROUND(I341*$C341/100*I335,0)</f>
        <v>0</v>
      </c>
      <c r="M341" s="20"/>
      <c r="N341" s="20"/>
      <c r="O341" s="74"/>
      <c r="P341" s="74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E341" s="84"/>
    </row>
    <row r="342" spans="1:31">
      <c r="A342" s="1" t="s">
        <v>402</v>
      </c>
      <c r="B342" s="1"/>
      <c r="C342" s="317">
        <v>0</v>
      </c>
      <c r="D342" s="317">
        <v>0</v>
      </c>
      <c r="E342" s="333">
        <f>E333</f>
        <v>4.8099999999999996</v>
      </c>
      <c r="F342" s="321" t="s">
        <v>377</v>
      </c>
      <c r="G342" s="2">
        <f>ROUND(E342*$C342/100*E335,0)</f>
        <v>0</v>
      </c>
      <c r="H342" s="2">
        <f t="shared" si="31"/>
        <v>0</v>
      </c>
      <c r="I342" s="333">
        <f>I333</f>
        <v>5.24</v>
      </c>
      <c r="J342" s="321" t="s">
        <v>377</v>
      </c>
      <c r="K342" s="2">
        <f>ROUND(I342*$C342/100*I335,0)</f>
        <v>0</v>
      </c>
      <c r="M342" s="20"/>
      <c r="N342" s="20"/>
      <c r="O342" s="74"/>
      <c r="P342" s="74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E342" s="84"/>
    </row>
    <row r="343" spans="1:31">
      <c r="A343" s="1" t="s">
        <v>403</v>
      </c>
      <c r="B343" s="1"/>
      <c r="C343" s="317">
        <v>0</v>
      </c>
      <c r="D343" s="317">
        <v>0</v>
      </c>
      <c r="E343" s="334">
        <f>E334</f>
        <v>45</v>
      </c>
      <c r="F343" s="321" t="s">
        <v>377</v>
      </c>
      <c r="G343" s="2">
        <f>ROUND(E343*$C343/100*E335,0)</f>
        <v>0</v>
      </c>
      <c r="H343" s="2">
        <f t="shared" si="31"/>
        <v>0</v>
      </c>
      <c r="I343" s="334">
        <f>I334</f>
        <v>50</v>
      </c>
      <c r="J343" s="321" t="s">
        <v>377</v>
      </c>
      <c r="K343" s="2">
        <f>ROUND(I343*$C343/100*I335,0)</f>
        <v>0</v>
      </c>
      <c r="M343" s="20"/>
      <c r="N343" s="20"/>
      <c r="O343" s="74"/>
      <c r="P343" s="74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E343" s="84"/>
    </row>
    <row r="344" spans="1:31">
      <c r="A344" s="1" t="s">
        <v>410</v>
      </c>
      <c r="B344" s="1"/>
      <c r="C344" s="317">
        <v>0</v>
      </c>
      <c r="D344" s="317">
        <v>0</v>
      </c>
      <c r="E344" s="335">
        <f>$E$172</f>
        <v>60</v>
      </c>
      <c r="F344" s="319"/>
      <c r="G344" s="2">
        <f>ROUND(E344*$C344,0)</f>
        <v>0</v>
      </c>
      <c r="H344" s="2">
        <f t="shared" si="31"/>
        <v>0</v>
      </c>
      <c r="I344" s="335">
        <f>$I$172</f>
        <v>60</v>
      </c>
      <c r="J344" s="321"/>
      <c r="K344" s="2">
        <f>ROUND(I344*$C344,0)</f>
        <v>0</v>
      </c>
      <c r="M344" s="20"/>
      <c r="N344" s="20"/>
      <c r="O344" s="74"/>
      <c r="P344" s="74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E344" s="84"/>
    </row>
    <row r="345" spans="1:31">
      <c r="A345" s="1" t="s">
        <v>411</v>
      </c>
      <c r="B345" s="1"/>
      <c r="C345" s="317">
        <v>0</v>
      </c>
      <c r="D345" s="317">
        <v>0</v>
      </c>
      <c r="E345" s="337">
        <f>$E$173</f>
        <v>-30</v>
      </c>
      <c r="F345" s="319" t="s">
        <v>377</v>
      </c>
      <c r="G345" s="2">
        <f>ROUND(E345*$C345/100,0)</f>
        <v>0</v>
      </c>
      <c r="H345" s="2">
        <f t="shared" si="31"/>
        <v>0</v>
      </c>
      <c r="I345" s="337">
        <f>$I$173</f>
        <v>-30</v>
      </c>
      <c r="J345" s="321" t="s">
        <v>377</v>
      </c>
      <c r="K345" s="2">
        <f>ROUND(I345*$C345/100,0)</f>
        <v>0</v>
      </c>
      <c r="M345" s="20"/>
      <c r="N345" s="20"/>
      <c r="O345" s="74"/>
      <c r="P345" s="74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E345" s="84"/>
    </row>
    <row r="346" spans="1:31">
      <c r="A346" s="1" t="s">
        <v>384</v>
      </c>
      <c r="B346" s="1"/>
      <c r="C346" s="317">
        <f>SUM(C331:C333)</f>
        <v>33312</v>
      </c>
      <c r="D346" s="317">
        <v>38537</v>
      </c>
      <c r="E346" s="328"/>
      <c r="F346" s="2"/>
      <c r="G346" s="2">
        <f>SUM(G325:G345)</f>
        <v>6580</v>
      </c>
      <c r="H346" s="2">
        <f>SUM(H325:H345)</f>
        <v>7002</v>
      </c>
      <c r="I346" s="328"/>
      <c r="J346" s="321"/>
      <c r="K346" s="2">
        <f>SUM(K325:K345)</f>
        <v>7063</v>
      </c>
      <c r="M346" s="20"/>
      <c r="N346" s="20"/>
      <c r="O346" s="74"/>
      <c r="P346" s="74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E346" s="84"/>
    </row>
    <row r="347" spans="1:31">
      <c r="A347" s="1" t="s">
        <v>366</v>
      </c>
      <c r="B347" s="1"/>
      <c r="C347" s="347" t="e">
        <f>#REF!</f>
        <v>#REF!</v>
      </c>
      <c r="D347" s="338">
        <v>0</v>
      </c>
      <c r="E347" s="307"/>
      <c r="F347" s="307"/>
      <c r="G347" s="339" t="e">
        <f>#REF!</f>
        <v>#REF!</v>
      </c>
      <c r="H347" s="339">
        <v>0</v>
      </c>
      <c r="I347" s="307"/>
      <c r="J347" s="307"/>
      <c r="K347" s="339" t="e">
        <f>G347</f>
        <v>#REF!</v>
      </c>
      <c r="M347" s="442"/>
      <c r="N347" s="442"/>
      <c r="O347" s="285"/>
      <c r="P347" s="74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E347" s="84"/>
    </row>
    <row r="348" spans="1:31" ht="16.5" thickBot="1">
      <c r="A348" s="1" t="s">
        <v>385</v>
      </c>
      <c r="B348" s="1"/>
      <c r="C348" s="309" t="e">
        <f>SUM(C346:C347)</f>
        <v>#REF!</v>
      </c>
      <c r="D348" s="309">
        <f>SUM(D346:D347)</f>
        <v>38537</v>
      </c>
      <c r="E348" s="340"/>
      <c r="F348" s="341"/>
      <c r="G348" s="342" t="e">
        <f>G346+G347</f>
        <v>#REF!</v>
      </c>
      <c r="H348" s="342">
        <f>H346+H347</f>
        <v>7002</v>
      </c>
      <c r="I348" s="340"/>
      <c r="J348" s="343"/>
      <c r="K348" s="342" t="e">
        <f>K346+K347</f>
        <v>#REF!</v>
      </c>
      <c r="M348" s="409"/>
      <c r="N348" s="409"/>
      <c r="O348" s="468"/>
      <c r="P348" s="74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E348" s="84"/>
    </row>
    <row r="349" spans="1:31" ht="16.5" thickTop="1">
      <c r="A349" s="1"/>
      <c r="B349" s="1"/>
      <c r="C349" s="21"/>
      <c r="D349" s="21"/>
      <c r="E349" s="335"/>
      <c r="F349" s="2"/>
      <c r="G349" s="2"/>
      <c r="H349" s="2"/>
      <c r="I349" s="351" t="s">
        <v>31</v>
      </c>
      <c r="J349" s="1"/>
      <c r="K349" s="2" t="s">
        <v>31</v>
      </c>
      <c r="M349" s="20"/>
      <c r="N349" s="20"/>
      <c r="O349" s="74"/>
      <c r="P349" s="74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E349" s="84"/>
    </row>
    <row r="350" spans="1:31">
      <c r="A350" s="1"/>
      <c r="B350" s="1"/>
      <c r="C350" s="21"/>
      <c r="D350" s="21"/>
      <c r="E350" s="335"/>
      <c r="F350" s="2"/>
      <c r="G350" s="2"/>
      <c r="H350" s="2"/>
      <c r="I350" s="351" t="s">
        <v>31</v>
      </c>
      <c r="J350" s="1"/>
      <c r="K350" s="2" t="s">
        <v>31</v>
      </c>
      <c r="M350" s="20"/>
      <c r="N350" s="20"/>
      <c r="O350" s="74"/>
      <c r="P350" s="74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E350" s="84"/>
    </row>
    <row r="351" spans="1:31">
      <c r="A351" s="291" t="s">
        <v>420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M351" s="20"/>
      <c r="N351" s="20"/>
      <c r="O351" s="74"/>
      <c r="P351" s="74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E351" s="84"/>
    </row>
    <row r="352" spans="1:31">
      <c r="A352" s="1" t="s">
        <v>413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20"/>
      <c r="N352" s="20"/>
      <c r="O352" s="74"/>
      <c r="P352" s="74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</row>
    <row r="353" spans="1:29">
      <c r="A353" s="1" t="s">
        <v>421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20"/>
      <c r="N353" s="20"/>
      <c r="O353" s="74"/>
      <c r="P353" s="74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</row>
    <row r="354" spans="1:29">
      <c r="A354" s="1" t="s">
        <v>396</v>
      </c>
      <c r="B354" s="1"/>
      <c r="C354" s="317"/>
      <c r="D354" s="317"/>
      <c r="E354" s="2"/>
      <c r="F354" s="2"/>
      <c r="G354" s="1"/>
      <c r="H354" s="1"/>
      <c r="I354" s="2"/>
      <c r="J354" s="1"/>
      <c r="K354" s="1"/>
      <c r="M354" s="20"/>
      <c r="N354" s="20"/>
      <c r="O354" s="74"/>
      <c r="P354" s="74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</row>
    <row r="355" spans="1:29">
      <c r="A355" s="1" t="s">
        <v>393</v>
      </c>
      <c r="B355" s="1"/>
      <c r="C355" s="317">
        <f t="shared" ref="C355:D364" si="32">C384+C413</f>
        <v>1</v>
      </c>
      <c r="D355" s="317">
        <f t="shared" si="32"/>
        <v>1</v>
      </c>
      <c r="E355" s="296">
        <f>$E$149</f>
        <v>90.36</v>
      </c>
      <c r="F355" s="319"/>
      <c r="G355" s="2">
        <f t="shared" ref="G355:H357" si="33">G384+G413</f>
        <v>90</v>
      </c>
      <c r="H355" s="2">
        <f t="shared" si="33"/>
        <v>90</v>
      </c>
      <c r="I355" s="296">
        <f>$I$149</f>
        <v>96</v>
      </c>
      <c r="J355" s="321"/>
      <c r="K355" s="2">
        <f>K384+K413</f>
        <v>96</v>
      </c>
      <c r="M355" s="20"/>
      <c r="N355" s="20"/>
      <c r="O355" s="74"/>
      <c r="P355" s="74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</row>
    <row r="356" spans="1:29">
      <c r="A356" s="1" t="s">
        <v>394</v>
      </c>
      <c r="B356" s="1"/>
      <c r="C356" s="317">
        <f t="shared" si="32"/>
        <v>107</v>
      </c>
      <c r="D356" s="317">
        <f t="shared" si="32"/>
        <v>109.09090909090909</v>
      </c>
      <c r="E356" s="296">
        <f>$E$150</f>
        <v>134.16</v>
      </c>
      <c r="F356" s="322"/>
      <c r="G356" s="2">
        <f t="shared" si="33"/>
        <v>14355</v>
      </c>
      <c r="H356" s="2">
        <f t="shared" si="33"/>
        <v>14635</v>
      </c>
      <c r="I356" s="296">
        <f>$I$150</f>
        <v>142.53386454183266</v>
      </c>
      <c r="J356" s="323"/>
      <c r="K356" s="2">
        <f>K385+K414</f>
        <v>15252</v>
      </c>
      <c r="M356" s="20"/>
      <c r="N356" s="20"/>
      <c r="O356" s="74"/>
      <c r="P356" s="74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</row>
    <row r="357" spans="1:29">
      <c r="A357" s="1" t="s">
        <v>395</v>
      </c>
      <c r="B357" s="1"/>
      <c r="C357" s="317">
        <f t="shared" si="32"/>
        <v>4321</v>
      </c>
      <c r="D357" s="317">
        <f t="shared" si="32"/>
        <v>1974</v>
      </c>
      <c r="E357" s="296">
        <f>$E$151</f>
        <v>9.36</v>
      </c>
      <c r="F357" s="322"/>
      <c r="G357" s="2">
        <f t="shared" si="33"/>
        <v>40445</v>
      </c>
      <c r="H357" s="2">
        <f t="shared" si="33"/>
        <v>18476</v>
      </c>
      <c r="I357" s="296">
        <f>$I$151</f>
        <v>9.94</v>
      </c>
      <c r="J357" s="323"/>
      <c r="K357" s="2">
        <f>K386+K415</f>
        <v>42951</v>
      </c>
      <c r="M357" s="20"/>
      <c r="N357" s="20"/>
      <c r="O357" s="74"/>
      <c r="P357" s="74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</row>
    <row r="358" spans="1:29">
      <c r="A358" s="1" t="s">
        <v>397</v>
      </c>
      <c r="B358" s="1"/>
      <c r="C358" s="317">
        <f t="shared" si="32"/>
        <v>108</v>
      </c>
      <c r="D358" s="317">
        <f t="shared" si="32"/>
        <v>109.84090909090909</v>
      </c>
      <c r="E358" s="296"/>
      <c r="F358" s="319"/>
      <c r="G358" s="2"/>
      <c r="H358" s="2"/>
      <c r="I358" s="296"/>
      <c r="J358" s="321"/>
      <c r="K358" s="2"/>
      <c r="M358" s="20"/>
      <c r="N358" s="20"/>
      <c r="O358" s="74"/>
      <c r="P358" s="74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</row>
    <row r="359" spans="1:29">
      <c r="A359" s="1" t="s">
        <v>422</v>
      </c>
      <c r="B359" s="1"/>
      <c r="C359" s="317">
        <f t="shared" si="32"/>
        <v>1258</v>
      </c>
      <c r="D359" s="317">
        <f t="shared" si="32"/>
        <v>1279</v>
      </c>
      <c r="E359" s="296"/>
      <c r="F359" s="319"/>
      <c r="G359" s="2"/>
      <c r="H359" s="2"/>
      <c r="I359" s="296"/>
      <c r="J359" s="321"/>
      <c r="K359" s="2"/>
      <c r="M359" s="20"/>
      <c r="N359" s="20"/>
      <c r="O359" s="74"/>
      <c r="P359" s="74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</row>
    <row r="360" spans="1:29">
      <c r="A360" s="1" t="s">
        <v>398</v>
      </c>
      <c r="B360" s="1"/>
      <c r="C360" s="317">
        <f t="shared" si="32"/>
        <v>11960</v>
      </c>
      <c r="D360" s="317">
        <f t="shared" si="32"/>
        <v>5447</v>
      </c>
      <c r="E360" s="324">
        <f>$E$158</f>
        <v>2.88</v>
      </c>
      <c r="F360" s="321"/>
      <c r="G360" s="2">
        <f t="shared" ref="G360:H364" si="34">G389+G418</f>
        <v>34445</v>
      </c>
      <c r="H360" s="2">
        <f t="shared" si="34"/>
        <v>15687</v>
      </c>
      <c r="I360" s="324">
        <f>$I$158</f>
        <v>2.97</v>
      </c>
      <c r="J360" s="321"/>
      <c r="K360" s="2">
        <f>K389+K418</f>
        <v>35521</v>
      </c>
      <c r="M360" s="20"/>
      <c r="N360" s="20"/>
      <c r="O360" s="74"/>
      <c r="P360" s="74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</row>
    <row r="361" spans="1:29">
      <c r="A361" s="1" t="s">
        <v>400</v>
      </c>
      <c r="B361" s="1"/>
      <c r="C361" s="317">
        <f t="shared" si="32"/>
        <v>212823</v>
      </c>
      <c r="D361" s="317">
        <f t="shared" si="32"/>
        <v>96758</v>
      </c>
      <c r="E361" s="297">
        <f>$E$159</f>
        <v>8.0890000000000004</v>
      </c>
      <c r="F361" s="321" t="s">
        <v>377</v>
      </c>
      <c r="G361" s="2">
        <f t="shared" si="34"/>
        <v>17216</v>
      </c>
      <c r="H361" s="2">
        <f t="shared" si="34"/>
        <v>7826</v>
      </c>
      <c r="I361" s="297">
        <f>$I$159</f>
        <v>8.8109999999999999</v>
      </c>
      <c r="J361" s="321" t="s">
        <v>377</v>
      </c>
      <c r="K361" s="2">
        <f>K390+K419</f>
        <v>18752</v>
      </c>
      <c r="M361" s="20"/>
      <c r="N361" s="20"/>
      <c r="O361" s="74"/>
      <c r="P361" s="74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</row>
    <row r="362" spans="1:29">
      <c r="A362" s="1" t="s">
        <v>401</v>
      </c>
      <c r="B362" s="1"/>
      <c r="C362" s="317">
        <f t="shared" si="32"/>
        <v>426085</v>
      </c>
      <c r="D362" s="317">
        <f t="shared" si="32"/>
        <v>194138</v>
      </c>
      <c r="E362" s="297">
        <f>$E$189</f>
        <v>5.5839999999999996</v>
      </c>
      <c r="F362" s="321" t="s">
        <v>377</v>
      </c>
      <c r="G362" s="2">
        <f t="shared" si="34"/>
        <v>23793</v>
      </c>
      <c r="H362" s="2">
        <f t="shared" si="34"/>
        <v>10841</v>
      </c>
      <c r="I362" s="297">
        <f>$I$160</f>
        <v>6.0819999999999999</v>
      </c>
      <c r="J362" s="321" t="s">
        <v>377</v>
      </c>
      <c r="K362" s="2">
        <f>K391+K420</f>
        <v>25915</v>
      </c>
      <c r="M362" s="20"/>
      <c r="N362" s="20"/>
      <c r="O362" s="74"/>
      <c r="P362" s="74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</row>
    <row r="363" spans="1:29">
      <c r="A363" s="1" t="s">
        <v>402</v>
      </c>
      <c r="B363" s="1"/>
      <c r="C363" s="317">
        <f t="shared" si="32"/>
        <v>20189</v>
      </c>
      <c r="D363" s="317">
        <f t="shared" si="32"/>
        <v>9223</v>
      </c>
      <c r="E363" s="297">
        <f>$E$161</f>
        <v>4.8099999999999996</v>
      </c>
      <c r="F363" s="321" t="s">
        <v>377</v>
      </c>
      <c r="G363" s="2">
        <f t="shared" si="34"/>
        <v>971</v>
      </c>
      <c r="H363" s="2">
        <f t="shared" si="34"/>
        <v>444</v>
      </c>
      <c r="I363" s="297">
        <f>$I$161</f>
        <v>5.24</v>
      </c>
      <c r="J363" s="321" t="s">
        <v>377</v>
      </c>
      <c r="K363" s="2">
        <f>K392+K421</f>
        <v>1058</v>
      </c>
      <c r="M363" s="20"/>
      <c r="N363" s="20"/>
      <c r="O363" s="74"/>
      <c r="P363" s="74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</row>
    <row r="364" spans="1:29">
      <c r="A364" s="1" t="s">
        <v>403</v>
      </c>
      <c r="B364" s="1"/>
      <c r="C364" s="317">
        <f t="shared" si="32"/>
        <v>1540</v>
      </c>
      <c r="D364" s="317">
        <f t="shared" si="32"/>
        <v>704</v>
      </c>
      <c r="E364" s="328">
        <f>$E$162</f>
        <v>45</v>
      </c>
      <c r="F364" s="319" t="s">
        <v>377</v>
      </c>
      <c r="G364" s="2">
        <f t="shared" si="34"/>
        <v>693</v>
      </c>
      <c r="H364" s="2">
        <f t="shared" si="34"/>
        <v>317</v>
      </c>
      <c r="I364" s="328">
        <f>$I$162</f>
        <v>50</v>
      </c>
      <c r="J364" s="321" t="s">
        <v>377</v>
      </c>
      <c r="K364" s="2">
        <f>K393+K422</f>
        <v>770</v>
      </c>
      <c r="M364" s="20"/>
      <c r="N364" s="20"/>
      <c r="O364" s="74"/>
      <c r="P364" s="74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</row>
    <row r="365" spans="1:29">
      <c r="A365" s="329" t="s">
        <v>404</v>
      </c>
      <c r="B365" s="1"/>
      <c r="C365" s="317"/>
      <c r="D365" s="317"/>
      <c r="E365" s="330">
        <v>-0.01</v>
      </c>
      <c r="F365" s="319"/>
      <c r="G365" s="2"/>
      <c r="H365" s="2"/>
      <c r="I365" s="330">
        <v>-0.01</v>
      </c>
      <c r="J365" s="321"/>
      <c r="K365" s="2"/>
      <c r="M365" s="20"/>
      <c r="N365" s="20"/>
      <c r="O365" s="74"/>
      <c r="P365" s="74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</row>
    <row r="366" spans="1:29">
      <c r="A366" s="1" t="s">
        <v>393</v>
      </c>
      <c r="B366" s="1"/>
      <c r="C366" s="317">
        <v>0</v>
      </c>
      <c r="D366" s="317">
        <v>0</v>
      </c>
      <c r="E366" s="332">
        <f>E355</f>
        <v>90.36</v>
      </c>
      <c r="F366" s="319"/>
      <c r="G366" s="2">
        <f t="shared" ref="G366:H377" si="35">G395+G424</f>
        <v>0</v>
      </c>
      <c r="H366" s="2">
        <f t="shared" si="35"/>
        <v>0</v>
      </c>
      <c r="I366" s="332">
        <f>I355</f>
        <v>96</v>
      </c>
      <c r="J366" s="319"/>
      <c r="K366" s="2">
        <f t="shared" ref="K366:K376" si="36">K395+K424</f>
        <v>0</v>
      </c>
      <c r="M366" s="20"/>
      <c r="N366" s="20"/>
      <c r="O366" s="74"/>
      <c r="P366" s="74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</row>
    <row r="367" spans="1:29">
      <c r="A367" s="1" t="s">
        <v>394</v>
      </c>
      <c r="B367" s="1"/>
      <c r="C367" s="317">
        <v>0</v>
      </c>
      <c r="D367" s="317">
        <v>0</v>
      </c>
      <c r="E367" s="332">
        <f>E356</f>
        <v>134.16</v>
      </c>
      <c r="F367" s="319"/>
      <c r="G367" s="2">
        <f t="shared" si="35"/>
        <v>0</v>
      </c>
      <c r="H367" s="2">
        <f t="shared" si="35"/>
        <v>0</v>
      </c>
      <c r="I367" s="332">
        <f>I356</f>
        <v>142.53386454183266</v>
      </c>
      <c r="J367" s="319"/>
      <c r="K367" s="2">
        <f t="shared" si="36"/>
        <v>0</v>
      </c>
      <c r="M367" s="20"/>
      <c r="N367" s="20"/>
      <c r="O367" s="74"/>
      <c r="P367" s="74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</row>
    <row r="368" spans="1:29">
      <c r="A368" s="1" t="s">
        <v>405</v>
      </c>
      <c r="B368" s="1"/>
      <c r="C368" s="317">
        <v>0</v>
      </c>
      <c r="D368" s="317">
        <v>0</v>
      </c>
      <c r="E368" s="332">
        <f>E357</f>
        <v>9.36</v>
      </c>
      <c r="F368" s="319"/>
      <c r="G368" s="2">
        <f t="shared" si="35"/>
        <v>0</v>
      </c>
      <c r="H368" s="2">
        <f t="shared" si="35"/>
        <v>0</v>
      </c>
      <c r="I368" s="332">
        <f>I357</f>
        <v>9.94</v>
      </c>
      <c r="J368" s="319"/>
      <c r="K368" s="2">
        <f t="shared" si="36"/>
        <v>0</v>
      </c>
      <c r="M368" s="20"/>
      <c r="N368" s="20"/>
      <c r="O368" s="74"/>
      <c r="P368" s="74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</row>
    <row r="369" spans="1:29">
      <c r="A369" s="1" t="s">
        <v>406</v>
      </c>
      <c r="B369" s="1"/>
      <c r="C369" s="317">
        <v>0</v>
      </c>
      <c r="D369" s="317">
        <v>0</v>
      </c>
      <c r="E369" s="332">
        <f>E360</f>
        <v>2.88</v>
      </c>
      <c r="F369" s="321"/>
      <c r="G369" s="2">
        <f t="shared" si="35"/>
        <v>0</v>
      </c>
      <c r="H369" s="2">
        <f t="shared" si="35"/>
        <v>0</v>
      </c>
      <c r="I369" s="332">
        <f>I360</f>
        <v>2.97</v>
      </c>
      <c r="J369" s="321"/>
      <c r="K369" s="2">
        <f t="shared" si="36"/>
        <v>0</v>
      </c>
      <c r="M369" s="20"/>
      <c r="N369" s="20"/>
      <c r="O369" s="74"/>
      <c r="P369" s="74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</row>
    <row r="370" spans="1:29">
      <c r="A370" s="1" t="s">
        <v>408</v>
      </c>
      <c r="B370" s="1"/>
      <c r="C370" s="317">
        <v>0</v>
      </c>
      <c r="D370" s="317">
        <v>0</v>
      </c>
      <c r="E370" s="333">
        <f>E361</f>
        <v>8.0890000000000004</v>
      </c>
      <c r="F370" s="321" t="s">
        <v>377</v>
      </c>
      <c r="G370" s="2">
        <f t="shared" si="35"/>
        <v>0</v>
      </c>
      <c r="H370" s="2">
        <f t="shared" si="35"/>
        <v>0</v>
      </c>
      <c r="I370" s="333">
        <f>I361</f>
        <v>8.8109999999999999</v>
      </c>
      <c r="J370" s="321" t="s">
        <v>377</v>
      </c>
      <c r="K370" s="2">
        <f t="shared" si="36"/>
        <v>0</v>
      </c>
      <c r="M370" s="20"/>
      <c r="N370" s="20"/>
      <c r="O370" s="74"/>
      <c r="P370" s="74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</row>
    <row r="371" spans="1:29">
      <c r="A371" s="1" t="s">
        <v>401</v>
      </c>
      <c r="B371" s="1"/>
      <c r="C371" s="317">
        <v>0</v>
      </c>
      <c r="D371" s="317">
        <v>0</v>
      </c>
      <c r="E371" s="333">
        <f>E362</f>
        <v>5.5839999999999996</v>
      </c>
      <c r="F371" s="321" t="s">
        <v>377</v>
      </c>
      <c r="G371" s="2">
        <f t="shared" si="35"/>
        <v>0</v>
      </c>
      <c r="H371" s="2">
        <f t="shared" si="35"/>
        <v>0</v>
      </c>
      <c r="I371" s="333">
        <f>I362</f>
        <v>6.0819999999999999</v>
      </c>
      <c r="J371" s="321" t="s">
        <v>377</v>
      </c>
      <c r="K371" s="2">
        <f t="shared" si="36"/>
        <v>0</v>
      </c>
      <c r="M371" s="20"/>
      <c r="N371" s="20"/>
      <c r="O371" s="74"/>
      <c r="P371" s="74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</row>
    <row r="372" spans="1:29">
      <c r="A372" s="1" t="s">
        <v>402</v>
      </c>
      <c r="B372" s="1"/>
      <c r="C372" s="317">
        <v>0</v>
      </c>
      <c r="D372" s="317">
        <v>0</v>
      </c>
      <c r="E372" s="333">
        <f>E363</f>
        <v>4.8099999999999996</v>
      </c>
      <c r="F372" s="321" t="s">
        <v>377</v>
      </c>
      <c r="G372" s="2">
        <f t="shared" si="35"/>
        <v>0</v>
      </c>
      <c r="H372" s="2">
        <f t="shared" si="35"/>
        <v>0</v>
      </c>
      <c r="I372" s="333">
        <f>I363</f>
        <v>5.24</v>
      </c>
      <c r="J372" s="321" t="s">
        <v>377</v>
      </c>
      <c r="K372" s="2">
        <f t="shared" si="36"/>
        <v>0</v>
      </c>
      <c r="M372" s="20"/>
      <c r="N372" s="20"/>
      <c r="O372" s="74"/>
      <c r="P372" s="74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1:29">
      <c r="A373" s="1" t="s">
        <v>403</v>
      </c>
      <c r="B373" s="1"/>
      <c r="C373" s="317">
        <v>0</v>
      </c>
      <c r="D373" s="317">
        <v>0</v>
      </c>
      <c r="E373" s="334">
        <f>E364</f>
        <v>45</v>
      </c>
      <c r="F373" s="321" t="s">
        <v>377</v>
      </c>
      <c r="G373" s="2">
        <f t="shared" si="35"/>
        <v>0</v>
      </c>
      <c r="H373" s="2">
        <f t="shared" si="35"/>
        <v>0</v>
      </c>
      <c r="I373" s="334">
        <f>I364</f>
        <v>50</v>
      </c>
      <c r="J373" s="321" t="s">
        <v>377</v>
      </c>
      <c r="K373" s="2">
        <f t="shared" si="36"/>
        <v>0</v>
      </c>
      <c r="M373" s="20"/>
      <c r="N373" s="20"/>
      <c r="O373" s="74"/>
      <c r="P373" s="74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</row>
    <row r="374" spans="1:29">
      <c r="A374" s="1" t="s">
        <v>410</v>
      </c>
      <c r="B374" s="1"/>
      <c r="C374" s="317">
        <v>0</v>
      </c>
      <c r="D374" s="317">
        <v>0</v>
      </c>
      <c r="E374" s="335">
        <f>$E$172</f>
        <v>60</v>
      </c>
      <c r="F374" s="319"/>
      <c r="G374" s="2">
        <f t="shared" si="35"/>
        <v>0</v>
      </c>
      <c r="H374" s="2">
        <f t="shared" si="35"/>
        <v>0</v>
      </c>
      <c r="I374" s="335">
        <f>$I$172</f>
        <v>60</v>
      </c>
      <c r="J374" s="321"/>
      <c r="K374" s="2">
        <f t="shared" si="36"/>
        <v>0</v>
      </c>
      <c r="M374" s="20"/>
      <c r="N374" s="20"/>
      <c r="O374" s="74"/>
      <c r="P374" s="74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</row>
    <row r="375" spans="1:29">
      <c r="A375" s="1" t="s">
        <v>411</v>
      </c>
      <c r="B375" s="1"/>
      <c r="C375" s="317">
        <v>0</v>
      </c>
      <c r="D375" s="317">
        <v>0</v>
      </c>
      <c r="E375" s="337">
        <f>$E$173</f>
        <v>-30</v>
      </c>
      <c r="F375" s="319" t="s">
        <v>377</v>
      </c>
      <c r="G375" s="2">
        <f t="shared" si="35"/>
        <v>0</v>
      </c>
      <c r="H375" s="2">
        <f t="shared" si="35"/>
        <v>0</v>
      </c>
      <c r="I375" s="337">
        <f>$I$173</f>
        <v>-30</v>
      </c>
      <c r="J375" s="321" t="s">
        <v>377</v>
      </c>
      <c r="K375" s="2">
        <f t="shared" si="36"/>
        <v>0</v>
      </c>
      <c r="M375" s="20"/>
      <c r="N375" s="20"/>
      <c r="O375" s="74"/>
      <c r="P375" s="74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</row>
    <row r="376" spans="1:29">
      <c r="A376" s="1" t="s">
        <v>384</v>
      </c>
      <c r="B376" s="1"/>
      <c r="C376" s="317">
        <f>C405+C434</f>
        <v>659097</v>
      </c>
      <c r="D376" s="317">
        <f>D405+D434</f>
        <v>300118.64975971833</v>
      </c>
      <c r="E376" s="328"/>
      <c r="F376" s="2"/>
      <c r="G376" s="2">
        <f t="shared" si="35"/>
        <v>132008</v>
      </c>
      <c r="H376" s="2">
        <f t="shared" si="35"/>
        <v>68316</v>
      </c>
      <c r="I376" s="2"/>
      <c r="J376" s="321"/>
      <c r="K376" s="2">
        <f t="shared" si="36"/>
        <v>140315</v>
      </c>
      <c r="M376" s="20"/>
      <c r="N376" s="20"/>
      <c r="O376" s="74"/>
      <c r="P376" s="74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</row>
    <row r="377" spans="1:29">
      <c r="A377" s="1" t="s">
        <v>366</v>
      </c>
      <c r="B377" s="1"/>
      <c r="C377" s="338" t="e">
        <f>C406+C435</f>
        <v>#REF!</v>
      </c>
      <c r="D377" s="338">
        <f>D406+D435</f>
        <v>0</v>
      </c>
      <c r="E377" s="307"/>
      <c r="F377" s="307"/>
      <c r="G377" s="339" t="e">
        <f t="shared" si="35"/>
        <v>#REF!</v>
      </c>
      <c r="H377" s="339">
        <f t="shared" si="35"/>
        <v>0</v>
      </c>
      <c r="I377" s="307"/>
      <c r="J377" s="307"/>
      <c r="K377" s="339" t="e">
        <f>G377</f>
        <v>#REF!</v>
      </c>
      <c r="M377" s="442"/>
      <c r="N377" s="442"/>
      <c r="O377" s="285"/>
      <c r="P377" s="74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</row>
    <row r="378" spans="1:29" ht="16.5" thickBot="1">
      <c r="A378" s="1" t="s">
        <v>385</v>
      </c>
      <c r="B378" s="1"/>
      <c r="C378" s="309" t="e">
        <f>SUM(C376:C377)</f>
        <v>#REF!</v>
      </c>
      <c r="D378" s="309">
        <f>SUM(D376:D377)</f>
        <v>300118.64975971833</v>
      </c>
      <c r="E378" s="340"/>
      <c r="F378" s="341"/>
      <c r="G378" s="342" t="e">
        <f>G376+G377</f>
        <v>#REF!</v>
      </c>
      <c r="H378" s="342">
        <f>H376+H377</f>
        <v>68316</v>
      </c>
      <c r="I378" s="340"/>
      <c r="J378" s="343"/>
      <c r="K378" s="342" t="e">
        <f>K376+K377</f>
        <v>#REF!</v>
      </c>
      <c r="M378" s="409"/>
      <c r="N378" s="409"/>
      <c r="O378" s="468"/>
      <c r="P378" s="74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</row>
    <row r="379" spans="1:29" ht="16.5" thickTop="1">
      <c r="A379" s="1"/>
      <c r="B379" s="1"/>
      <c r="C379" s="21"/>
      <c r="D379" s="21"/>
      <c r="E379" s="335"/>
      <c r="F379" s="2"/>
      <c r="G379" s="2"/>
      <c r="H379" s="2"/>
      <c r="I379" s="351" t="s">
        <v>31</v>
      </c>
      <c r="J379" s="1"/>
      <c r="K379" s="2" t="s">
        <v>31</v>
      </c>
      <c r="M379" s="20"/>
      <c r="N379" s="20"/>
      <c r="O379" s="74"/>
      <c r="P379" s="74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</row>
    <row r="380" spans="1:29">
      <c r="A380" s="291" t="s">
        <v>420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  <c r="M380" s="20"/>
      <c r="N380" s="20"/>
      <c r="O380" s="74"/>
      <c r="P380" s="74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</row>
    <row r="381" spans="1:29">
      <c r="A381" s="1" t="s">
        <v>414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20"/>
      <c r="N381" s="20"/>
      <c r="O381" s="74"/>
      <c r="P381" s="74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</row>
    <row r="382" spans="1:29">
      <c r="A382" s="1" t="s">
        <v>421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20"/>
      <c r="N382" s="20"/>
      <c r="O382" s="74"/>
      <c r="P382" s="74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</row>
    <row r="383" spans="1:29">
      <c r="A383" s="1" t="s">
        <v>396</v>
      </c>
      <c r="B383" s="1"/>
      <c r="C383" s="317"/>
      <c r="D383" s="317"/>
      <c r="E383" s="2"/>
      <c r="F383" s="2"/>
      <c r="G383" s="1"/>
      <c r="H383" s="1"/>
      <c r="I383" s="2"/>
      <c r="J383" s="1"/>
      <c r="K383" s="1"/>
      <c r="M383" s="20"/>
      <c r="N383" s="20"/>
      <c r="O383" s="74"/>
      <c r="P383" s="74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</row>
    <row r="384" spans="1:29">
      <c r="A384" s="1" t="s">
        <v>393</v>
      </c>
      <c r="B384" s="1"/>
      <c r="C384" s="317">
        <v>1</v>
      </c>
      <c r="D384" s="317">
        <f>ROUND(($D$387/$C$387)*C384,0)</f>
        <v>1</v>
      </c>
      <c r="E384" s="296">
        <f>$E$149</f>
        <v>90.36</v>
      </c>
      <c r="F384" s="319"/>
      <c r="G384" s="2">
        <f>ROUND(E384*$C384,0)</f>
        <v>90</v>
      </c>
      <c r="H384" s="2">
        <f>ROUND(E384*$D384,0)</f>
        <v>90</v>
      </c>
      <c r="I384" s="296">
        <f>$I$149</f>
        <v>96</v>
      </c>
      <c r="J384" s="321"/>
      <c r="K384" s="2">
        <f>ROUND(I384*$C384,0)</f>
        <v>96</v>
      </c>
      <c r="M384" s="20"/>
      <c r="N384" s="20"/>
      <c r="O384" s="74"/>
      <c r="P384" s="74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</row>
    <row r="385" spans="1:29">
      <c r="A385" s="1" t="s">
        <v>394</v>
      </c>
      <c r="B385" s="1"/>
      <c r="C385" s="317">
        <v>106</v>
      </c>
      <c r="D385" s="317">
        <f>ROUND(($D$387/$C$387)*C385,0)</f>
        <v>108</v>
      </c>
      <c r="E385" s="296">
        <f>$E$150</f>
        <v>134.16</v>
      </c>
      <c r="F385" s="322"/>
      <c r="G385" s="2">
        <f>ROUND(E385*$C385,0)</f>
        <v>14221</v>
      </c>
      <c r="H385" s="2">
        <f>ROUND(E385*$D385,0)</f>
        <v>14489</v>
      </c>
      <c r="I385" s="296">
        <f>$I$150</f>
        <v>142.53386454183266</v>
      </c>
      <c r="J385" s="323"/>
      <c r="K385" s="2">
        <f>ROUND(I385*$C385,0)</f>
        <v>15109</v>
      </c>
      <c r="M385" s="20"/>
      <c r="N385" s="20"/>
      <c r="O385" s="74"/>
      <c r="P385" s="74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</row>
    <row r="386" spans="1:29">
      <c r="A386" s="1" t="s">
        <v>395</v>
      </c>
      <c r="B386" s="1"/>
      <c r="C386" s="317">
        <v>4246</v>
      </c>
      <c r="D386" s="317">
        <f>ROUND(($D$405/$C$405)*C386,0)</f>
        <v>1940</v>
      </c>
      <c r="E386" s="296">
        <f>$E$151</f>
        <v>9.36</v>
      </c>
      <c r="F386" s="322"/>
      <c r="G386" s="2">
        <f>ROUND(E386*$C386,0)</f>
        <v>39743</v>
      </c>
      <c r="H386" s="2">
        <f>ROUND(E386*$D386,0)</f>
        <v>18158</v>
      </c>
      <c r="I386" s="296">
        <f>$I$151</f>
        <v>9.94</v>
      </c>
      <c r="J386" s="323"/>
      <c r="K386" s="2">
        <f>ROUND(I386*$C386,0)</f>
        <v>42205</v>
      </c>
      <c r="M386" s="20"/>
      <c r="N386" s="20"/>
      <c r="O386" s="74"/>
      <c r="P386" s="74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</row>
    <row r="387" spans="1:29">
      <c r="A387" s="1" t="s">
        <v>397</v>
      </c>
      <c r="B387" s="1"/>
      <c r="C387" s="317">
        <f>SUM(C384:C385)</f>
        <v>107</v>
      </c>
      <c r="D387" s="317">
        <v>108.75</v>
      </c>
      <c r="E387" s="296"/>
      <c r="F387" s="319"/>
      <c r="G387" s="2"/>
      <c r="H387" s="2"/>
      <c r="I387" s="296"/>
      <c r="J387" s="321"/>
      <c r="K387" s="2"/>
      <c r="M387" s="20"/>
      <c r="N387" s="20"/>
      <c r="O387" s="74"/>
      <c r="P387" s="74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</row>
    <row r="388" spans="1:29">
      <c r="A388" s="1" t="s">
        <v>422</v>
      </c>
      <c r="B388" s="1"/>
      <c r="C388" s="317">
        <f>11+1236</f>
        <v>1247</v>
      </c>
      <c r="D388" s="317">
        <f>ROUND(($D$387/$C$387)*C388,0)</f>
        <v>1267</v>
      </c>
      <c r="E388" s="296"/>
      <c r="F388" s="319"/>
      <c r="G388" s="2"/>
      <c r="H388" s="2"/>
      <c r="I388" s="296"/>
      <c r="J388" s="321"/>
      <c r="K388" s="2"/>
      <c r="M388" s="20"/>
      <c r="N388" s="20"/>
      <c r="O388" s="74"/>
      <c r="P388" s="74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</row>
    <row r="389" spans="1:29">
      <c r="A389" s="1" t="s">
        <v>398</v>
      </c>
      <c r="B389" s="1"/>
      <c r="C389" s="317">
        <v>11707</v>
      </c>
      <c r="D389" s="317">
        <f>ROUND(($D$405/$C$405)*C389,0)</f>
        <v>5348</v>
      </c>
      <c r="E389" s="324">
        <f>$E$158</f>
        <v>2.88</v>
      </c>
      <c r="F389" s="321"/>
      <c r="G389" s="2">
        <f>ROUND(E389*$C389,0)</f>
        <v>33716</v>
      </c>
      <c r="H389" s="2">
        <f>ROUND(E389*$D389,0)</f>
        <v>15402</v>
      </c>
      <c r="I389" s="324">
        <f>$I$158</f>
        <v>2.97</v>
      </c>
      <c r="J389" s="321"/>
      <c r="K389" s="2">
        <f>ROUND(I389*$C389,0)</f>
        <v>34770</v>
      </c>
      <c r="M389" s="20"/>
      <c r="N389" s="20"/>
      <c r="O389" s="74"/>
      <c r="P389" s="74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</row>
    <row r="390" spans="1:29">
      <c r="A390" s="1" t="s">
        <v>400</v>
      </c>
      <c r="B390" s="1"/>
      <c r="C390" s="317">
        <f>4783+201108</f>
        <v>205891</v>
      </c>
      <c r="D390" s="317">
        <f>ROUND(($D$405/$C$405)*C390,0)</f>
        <v>94057</v>
      </c>
      <c r="E390" s="297">
        <f>$E$159</f>
        <v>8.0890000000000004</v>
      </c>
      <c r="F390" s="321" t="s">
        <v>377</v>
      </c>
      <c r="G390" s="2">
        <f>ROUND(E390*$C390/100,0)</f>
        <v>16655</v>
      </c>
      <c r="H390" s="2">
        <f>ROUND(E390*$D390/100,0)</f>
        <v>7608</v>
      </c>
      <c r="I390" s="297">
        <f>$I$159</f>
        <v>8.8109999999999999</v>
      </c>
      <c r="J390" s="321" t="s">
        <v>377</v>
      </c>
      <c r="K390" s="2">
        <f>ROUND(I390*$C390/100,0)</f>
        <v>18141</v>
      </c>
      <c r="M390" s="20"/>
      <c r="N390" s="20"/>
      <c r="O390" s="74"/>
      <c r="P390" s="74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</row>
    <row r="391" spans="1:29">
      <c r="A391" s="1" t="s">
        <v>401</v>
      </c>
      <c r="B391" s="1"/>
      <c r="C391" s="317">
        <f>417691+806</f>
        <v>418497</v>
      </c>
      <c r="D391" s="317">
        <f>ROUND(($D$405/$C$405)*C391,0)</f>
        <v>191182</v>
      </c>
      <c r="E391" s="297">
        <f>$E$189</f>
        <v>5.5839999999999996</v>
      </c>
      <c r="F391" s="321" t="s">
        <v>377</v>
      </c>
      <c r="G391" s="2">
        <f>ROUND(E391*$C391/100,0)</f>
        <v>23369</v>
      </c>
      <c r="H391" s="2">
        <f>ROUND(E391*$D391/100,0)</f>
        <v>10676</v>
      </c>
      <c r="I391" s="297">
        <f>$I$160</f>
        <v>6.0819999999999999</v>
      </c>
      <c r="J391" s="321" t="s">
        <v>377</v>
      </c>
      <c r="K391" s="2">
        <f>ROUND(I391*$C391/100,0)</f>
        <v>25453</v>
      </c>
      <c r="M391" s="20"/>
      <c r="N391" s="20"/>
      <c r="O391" s="74"/>
      <c r="P391" s="74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</row>
    <row r="392" spans="1:29">
      <c r="A392" s="1" t="s">
        <v>402</v>
      </c>
      <c r="B392" s="1"/>
      <c r="C392" s="317">
        <v>20189</v>
      </c>
      <c r="D392" s="317">
        <f>ROUND(($D$405/$C$405)*C392,0)</f>
        <v>9223</v>
      </c>
      <c r="E392" s="297">
        <f>$E$161</f>
        <v>4.8099999999999996</v>
      </c>
      <c r="F392" s="321" t="s">
        <v>377</v>
      </c>
      <c r="G392" s="2">
        <f>ROUND(E392*$C392/100,0)</f>
        <v>971</v>
      </c>
      <c r="H392" s="2">
        <f>ROUND(E392*$D392/100,0)</f>
        <v>444</v>
      </c>
      <c r="I392" s="297">
        <f>$I$161</f>
        <v>5.24</v>
      </c>
      <c r="J392" s="321" t="s">
        <v>377</v>
      </c>
      <c r="K392" s="2">
        <f>ROUND(I392*$C392/100,0)</f>
        <v>1058</v>
      </c>
      <c r="M392" s="20"/>
      <c r="N392" s="20"/>
      <c r="O392" s="74"/>
      <c r="P392" s="74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</row>
    <row r="393" spans="1:29">
      <c r="A393" s="1" t="s">
        <v>403</v>
      </c>
      <c r="B393" s="1"/>
      <c r="C393" s="317">
        <v>1540</v>
      </c>
      <c r="D393" s="317">
        <f>ROUND(($D$405/$C$405)*C393,0)</f>
        <v>704</v>
      </c>
      <c r="E393" s="328">
        <f>$E$162</f>
        <v>45</v>
      </c>
      <c r="F393" s="319" t="s">
        <v>377</v>
      </c>
      <c r="G393" s="2">
        <f>ROUND(E393*$C393/100,0)</f>
        <v>693</v>
      </c>
      <c r="H393" s="2">
        <f>ROUND(E393*$D393/100,0)</f>
        <v>317</v>
      </c>
      <c r="I393" s="328">
        <f>$I$162</f>
        <v>50</v>
      </c>
      <c r="J393" s="321" t="s">
        <v>377</v>
      </c>
      <c r="K393" s="2">
        <f>ROUND(I393*$C393/100,0)</f>
        <v>770</v>
      </c>
      <c r="M393" s="20"/>
      <c r="N393" s="20"/>
      <c r="O393" s="74"/>
      <c r="P393" s="74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</row>
    <row r="394" spans="1:29">
      <c r="A394" s="329" t="s">
        <v>404</v>
      </c>
      <c r="B394" s="1"/>
      <c r="C394" s="317"/>
      <c r="D394" s="317"/>
      <c r="E394" s="330">
        <v>-0.01</v>
      </c>
      <c r="F394" s="319"/>
      <c r="G394" s="2"/>
      <c r="H394" s="2"/>
      <c r="I394" s="330">
        <v>-0.01</v>
      </c>
      <c r="J394" s="321"/>
      <c r="K394" s="2"/>
      <c r="M394" s="20"/>
      <c r="N394" s="20"/>
      <c r="O394" s="74"/>
      <c r="P394" s="74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</row>
    <row r="395" spans="1:29">
      <c r="A395" s="1" t="s">
        <v>393</v>
      </c>
      <c r="B395" s="1"/>
      <c r="C395" s="317">
        <v>0</v>
      </c>
      <c r="D395" s="317">
        <f>ROUND(($D$387/$C$387)*C395,0)</f>
        <v>0</v>
      </c>
      <c r="E395" s="332">
        <f>E384</f>
        <v>90.36</v>
      </c>
      <c r="F395" s="319"/>
      <c r="G395" s="2">
        <f>-ROUND(E395*$C395/100,0)</f>
        <v>0</v>
      </c>
      <c r="H395" s="2">
        <f>-ROUND(E395*$D395/100,0)</f>
        <v>0</v>
      </c>
      <c r="I395" s="332">
        <f>I384</f>
        <v>96</v>
      </c>
      <c r="J395" s="319"/>
      <c r="K395" s="2">
        <f>-ROUND(I395*$C395/100,0)</f>
        <v>0</v>
      </c>
      <c r="M395" s="20"/>
      <c r="N395" s="20"/>
      <c r="O395" s="74"/>
      <c r="P395" s="74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</row>
    <row r="396" spans="1:29">
      <c r="A396" s="1" t="s">
        <v>394</v>
      </c>
      <c r="B396" s="1"/>
      <c r="C396" s="317">
        <v>0</v>
      </c>
      <c r="D396" s="317">
        <f>ROUND(($D$387/$C$387)*C396,0)</f>
        <v>0</v>
      </c>
      <c r="E396" s="332">
        <f>E385</f>
        <v>134.16</v>
      </c>
      <c r="F396" s="319"/>
      <c r="G396" s="2">
        <f>-ROUND(E396*$C396/100,0)</f>
        <v>0</v>
      </c>
      <c r="H396" s="2">
        <f>-ROUND(E396*$D396/100,0)</f>
        <v>0</v>
      </c>
      <c r="I396" s="332">
        <f>I385</f>
        <v>142.53386454183266</v>
      </c>
      <c r="J396" s="319"/>
      <c r="K396" s="2">
        <f>-ROUND(I396*$C396/100,0)</f>
        <v>0</v>
      </c>
      <c r="M396" s="20"/>
      <c r="N396" s="20"/>
      <c r="O396" s="74"/>
      <c r="P396" s="74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</row>
    <row r="397" spans="1:29">
      <c r="A397" s="1" t="s">
        <v>405</v>
      </c>
      <c r="B397" s="1"/>
      <c r="C397" s="317">
        <v>0</v>
      </c>
      <c r="D397" s="317">
        <f t="shared" ref="D397:D402" si="37">ROUND(($D$405/$C$405)*C397,0)</f>
        <v>0</v>
      </c>
      <c r="E397" s="332">
        <f>E386</f>
        <v>9.36</v>
      </c>
      <c r="F397" s="319"/>
      <c r="G397" s="2">
        <f>-ROUND(E397*$C397/100,0)</f>
        <v>0</v>
      </c>
      <c r="H397" s="2">
        <f>-ROUND(E397*$D397/100,0)</f>
        <v>0</v>
      </c>
      <c r="I397" s="332">
        <f>I386</f>
        <v>9.94</v>
      </c>
      <c r="J397" s="319"/>
      <c r="K397" s="2">
        <f>-ROUND(I397*$C397/100,0)</f>
        <v>0</v>
      </c>
      <c r="M397" s="20"/>
      <c r="N397" s="20"/>
      <c r="O397" s="74"/>
      <c r="P397" s="74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</row>
    <row r="398" spans="1:29">
      <c r="A398" s="1" t="s">
        <v>406</v>
      </c>
      <c r="B398" s="1"/>
      <c r="C398" s="317">
        <v>0</v>
      </c>
      <c r="D398" s="317">
        <f t="shared" si="37"/>
        <v>0</v>
      </c>
      <c r="E398" s="332">
        <f>E389</f>
        <v>2.88</v>
      </c>
      <c r="F398" s="321"/>
      <c r="G398" s="2">
        <f>-ROUND(E398*$C398/100,0)</f>
        <v>0</v>
      </c>
      <c r="H398" s="2">
        <f>-ROUND(E398*$D398/100,0)</f>
        <v>0</v>
      </c>
      <c r="I398" s="332">
        <f>I389</f>
        <v>2.97</v>
      </c>
      <c r="J398" s="321"/>
      <c r="K398" s="2">
        <f>-ROUND(I398*$C398/100,0)</f>
        <v>0</v>
      </c>
      <c r="M398" s="20"/>
      <c r="N398" s="20"/>
      <c r="O398" s="74"/>
      <c r="P398" s="74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</row>
    <row r="399" spans="1:29">
      <c r="A399" s="1" t="s">
        <v>408</v>
      </c>
      <c r="B399" s="1"/>
      <c r="C399" s="317">
        <v>0</v>
      </c>
      <c r="D399" s="317">
        <f t="shared" si="37"/>
        <v>0</v>
      </c>
      <c r="E399" s="333">
        <f>E390</f>
        <v>8.0890000000000004</v>
      </c>
      <c r="F399" s="321" t="s">
        <v>377</v>
      </c>
      <c r="G399" s="2">
        <f>ROUND(E399*$C399/100*E394,0)</f>
        <v>0</v>
      </c>
      <c r="H399" s="2">
        <f>ROUND(E399*$D399/100*E394,0)</f>
        <v>0</v>
      </c>
      <c r="I399" s="333">
        <f>I390</f>
        <v>8.8109999999999999</v>
      </c>
      <c r="J399" s="321" t="s">
        <v>377</v>
      </c>
      <c r="K399" s="2">
        <f>ROUND(I399*$C399/100*I394,0)</f>
        <v>0</v>
      </c>
      <c r="M399" s="20"/>
      <c r="N399" s="20"/>
      <c r="O399" s="74"/>
      <c r="P399" s="74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</row>
    <row r="400" spans="1:29">
      <c r="A400" s="1" t="s">
        <v>401</v>
      </c>
      <c r="B400" s="1"/>
      <c r="C400" s="317">
        <v>0</v>
      </c>
      <c r="D400" s="317">
        <f t="shared" si="37"/>
        <v>0</v>
      </c>
      <c r="E400" s="333">
        <f>E391</f>
        <v>5.5839999999999996</v>
      </c>
      <c r="F400" s="321" t="s">
        <v>377</v>
      </c>
      <c r="G400" s="2">
        <f>ROUND(E400*$C400/100*E394,0)</f>
        <v>0</v>
      </c>
      <c r="H400" s="2">
        <f>ROUND(E400*$D400/100*E394,0)</f>
        <v>0</v>
      </c>
      <c r="I400" s="333">
        <f>I391</f>
        <v>6.0819999999999999</v>
      </c>
      <c r="J400" s="321" t="s">
        <v>377</v>
      </c>
      <c r="K400" s="2">
        <f>ROUND(I400*$C400/100*I394,0)</f>
        <v>0</v>
      </c>
      <c r="M400" s="20"/>
      <c r="N400" s="20"/>
      <c r="O400" s="74"/>
      <c r="P400" s="74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</row>
    <row r="401" spans="1:29">
      <c r="A401" s="1" t="s">
        <v>402</v>
      </c>
      <c r="B401" s="1"/>
      <c r="C401" s="317">
        <v>0</v>
      </c>
      <c r="D401" s="317">
        <f t="shared" si="37"/>
        <v>0</v>
      </c>
      <c r="E401" s="333">
        <f>E392</f>
        <v>4.8099999999999996</v>
      </c>
      <c r="F401" s="321" t="s">
        <v>377</v>
      </c>
      <c r="G401" s="2">
        <f>ROUND(E401*$C401/100*E394,0)</f>
        <v>0</v>
      </c>
      <c r="H401" s="2">
        <f>ROUND(E401*$D401/100*E394,0)</f>
        <v>0</v>
      </c>
      <c r="I401" s="333">
        <f>I392</f>
        <v>5.24</v>
      </c>
      <c r="J401" s="321" t="s">
        <v>377</v>
      </c>
      <c r="K401" s="2">
        <f>ROUND(I401*$C401/100*I394,0)</f>
        <v>0</v>
      </c>
      <c r="M401" s="20"/>
      <c r="N401" s="20"/>
      <c r="O401" s="74"/>
      <c r="P401" s="74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</row>
    <row r="402" spans="1:29">
      <c r="A402" s="1" t="s">
        <v>403</v>
      </c>
      <c r="B402" s="1"/>
      <c r="C402" s="317">
        <v>0</v>
      </c>
      <c r="D402" s="317">
        <f t="shared" si="37"/>
        <v>0</v>
      </c>
      <c r="E402" s="334">
        <f>E393</f>
        <v>45</v>
      </c>
      <c r="F402" s="321" t="s">
        <v>377</v>
      </c>
      <c r="G402" s="2">
        <f>ROUND(E402*$C402/100*E394,0)</f>
        <v>0</v>
      </c>
      <c r="H402" s="2">
        <f>ROUND(E402*$D402/100*E394,0)</f>
        <v>0</v>
      </c>
      <c r="I402" s="334">
        <f>I393</f>
        <v>50</v>
      </c>
      <c r="J402" s="321" t="s">
        <v>377</v>
      </c>
      <c r="K402" s="2">
        <f>ROUND(I402*$C402/100*I394,0)</f>
        <v>0</v>
      </c>
      <c r="M402" s="20"/>
      <c r="N402" s="20"/>
      <c r="O402" s="74"/>
      <c r="P402" s="74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</row>
    <row r="403" spans="1:29">
      <c r="A403" s="1" t="s">
        <v>410</v>
      </c>
      <c r="B403" s="1"/>
      <c r="C403" s="317">
        <v>0</v>
      </c>
      <c r="D403" s="317">
        <f>ROUND(($D$387/$C$387)*C403,0)</f>
        <v>0</v>
      </c>
      <c r="E403" s="335">
        <f>$E$172</f>
        <v>60</v>
      </c>
      <c r="F403" s="319"/>
      <c r="G403" s="2">
        <f>ROUND(E403*$C403,0)</f>
        <v>0</v>
      </c>
      <c r="H403" s="2">
        <f>ROUND(E403*$D403,0)</f>
        <v>0</v>
      </c>
      <c r="I403" s="335">
        <f>$I$172</f>
        <v>60</v>
      </c>
      <c r="J403" s="321"/>
      <c r="K403" s="2">
        <f>ROUND(I403*$C403,0)</f>
        <v>0</v>
      </c>
      <c r="M403" s="20"/>
      <c r="N403" s="20"/>
      <c r="O403" s="74"/>
      <c r="P403" s="74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</row>
    <row r="404" spans="1:29">
      <c r="A404" s="1" t="s">
        <v>411</v>
      </c>
      <c r="B404" s="1"/>
      <c r="C404" s="317">
        <v>0</v>
      </c>
      <c r="D404" s="317">
        <f>ROUND(($D$405/$C$405)*C404,0)</f>
        <v>0</v>
      </c>
      <c r="E404" s="337">
        <f>$E$173</f>
        <v>-30</v>
      </c>
      <c r="F404" s="319" t="s">
        <v>377</v>
      </c>
      <c r="G404" s="2">
        <f>ROUND(E404*$C404/100,0)</f>
        <v>0</v>
      </c>
      <c r="H404" s="2">
        <f>ROUND(E404*$D404/100,0)</f>
        <v>0</v>
      </c>
      <c r="I404" s="337">
        <f>$I$173</f>
        <v>-30</v>
      </c>
      <c r="J404" s="321" t="s">
        <v>377</v>
      </c>
      <c r="K404" s="2">
        <f>ROUND(I404*$C404/100,0)</f>
        <v>0</v>
      </c>
      <c r="M404" s="20"/>
      <c r="N404" s="20"/>
      <c r="O404" s="74"/>
      <c r="P404" s="74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</row>
    <row r="405" spans="1:29">
      <c r="A405" s="1" t="s">
        <v>384</v>
      </c>
      <c r="B405" s="1"/>
      <c r="C405" s="317">
        <f>SUM(C390:C392)</f>
        <v>644577</v>
      </c>
      <c r="D405" s="317">
        <v>294461.5</v>
      </c>
      <c r="E405" s="328"/>
      <c r="F405" s="2"/>
      <c r="G405" s="2">
        <f>SUM(G384:G404)</f>
        <v>129458</v>
      </c>
      <c r="H405" s="2">
        <f>SUM(H384:H404)</f>
        <v>67184</v>
      </c>
      <c r="I405" s="328"/>
      <c r="J405" s="321"/>
      <c r="K405" s="2">
        <f>SUM(K384:K404)</f>
        <v>137602</v>
      </c>
      <c r="M405" s="20"/>
      <c r="N405" s="20"/>
      <c r="O405" s="74"/>
      <c r="P405" s="74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</row>
    <row r="406" spans="1:29">
      <c r="A406" s="1" t="s">
        <v>366</v>
      </c>
      <c r="B406" s="1"/>
      <c r="C406" s="347" t="e">
        <f>#REF!</f>
        <v>#REF!</v>
      </c>
      <c r="D406" s="347">
        <v>0</v>
      </c>
      <c r="E406" s="307"/>
      <c r="F406" s="307"/>
      <c r="G406" s="339" t="e">
        <f>#REF!</f>
        <v>#REF!</v>
      </c>
      <c r="H406" s="339">
        <v>0</v>
      </c>
      <c r="I406" s="307"/>
      <c r="J406" s="307"/>
      <c r="K406" s="339" t="e">
        <f>G406</f>
        <v>#REF!</v>
      </c>
      <c r="M406" s="442"/>
      <c r="N406" s="442"/>
      <c r="O406" s="285"/>
      <c r="P406" s="74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</row>
    <row r="407" spans="1:29" ht="16.5" thickBot="1">
      <c r="A407" s="1" t="s">
        <v>385</v>
      </c>
      <c r="B407" s="1"/>
      <c r="C407" s="309" t="e">
        <f>SUM(C405:C406)</f>
        <v>#REF!</v>
      </c>
      <c r="D407" s="309">
        <f>SUM(D405:D406)</f>
        <v>294461.5</v>
      </c>
      <c r="E407" s="340"/>
      <c r="F407" s="341"/>
      <c r="G407" s="342" t="e">
        <f>G405+G406</f>
        <v>#REF!</v>
      </c>
      <c r="H407" s="342">
        <f>H405+H406</f>
        <v>67184</v>
      </c>
      <c r="I407" s="340"/>
      <c r="J407" s="343"/>
      <c r="K407" s="342" t="e">
        <f>K405+K406</f>
        <v>#REF!</v>
      </c>
      <c r="M407" s="409"/>
      <c r="N407" s="409"/>
      <c r="O407" s="468"/>
      <c r="P407" s="74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</row>
    <row r="408" spans="1:29" ht="16.5" thickTop="1">
      <c r="A408" s="1"/>
      <c r="B408" s="1"/>
      <c r="C408" s="21"/>
      <c r="D408" s="21"/>
      <c r="E408" s="335"/>
      <c r="F408" s="2"/>
      <c r="G408" s="2"/>
      <c r="H408" s="2"/>
      <c r="I408" s="351" t="s">
        <v>31</v>
      </c>
      <c r="J408" s="1"/>
      <c r="K408" s="2" t="s">
        <v>31</v>
      </c>
      <c r="M408" s="20"/>
      <c r="N408" s="20"/>
      <c r="O408" s="74"/>
      <c r="P408" s="74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</row>
    <row r="409" spans="1:29">
      <c r="A409" s="291" t="s">
        <v>420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  <c r="M409" s="20"/>
      <c r="N409" s="20"/>
      <c r="O409" s="74"/>
      <c r="P409" s="74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</row>
    <row r="410" spans="1:29">
      <c r="A410" s="1" t="s">
        <v>417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20"/>
      <c r="N410" s="20"/>
      <c r="O410" s="74"/>
      <c r="P410" s="74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</row>
    <row r="411" spans="1:29">
      <c r="A411" s="1" t="s">
        <v>421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20"/>
      <c r="N411" s="20"/>
      <c r="O411" s="74"/>
      <c r="P411" s="74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</row>
    <row r="412" spans="1:29">
      <c r="A412" s="1" t="s">
        <v>396</v>
      </c>
      <c r="B412" s="1"/>
      <c r="C412" s="317"/>
      <c r="D412" s="317"/>
      <c r="E412" s="2"/>
      <c r="F412" s="2"/>
      <c r="G412" s="1"/>
      <c r="H412" s="1"/>
      <c r="I412" s="2"/>
      <c r="J412" s="1"/>
      <c r="K412" s="1"/>
      <c r="M412" s="20"/>
      <c r="N412" s="20"/>
      <c r="O412" s="74"/>
      <c r="P412" s="74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</row>
    <row r="413" spans="1:29">
      <c r="A413" s="1" t="s">
        <v>393</v>
      </c>
      <c r="B413" s="1"/>
      <c r="C413" s="317">
        <v>0</v>
      </c>
      <c r="D413" s="317">
        <f>$D$417/$C$417*C413</f>
        <v>0</v>
      </c>
      <c r="E413" s="296">
        <f>$E$149</f>
        <v>90.36</v>
      </c>
      <c r="F413" s="319"/>
      <c r="G413" s="2">
        <f>ROUND(E413*$C413,0)</f>
        <v>0</v>
      </c>
      <c r="H413" s="2">
        <f>ROUND(E413*$D413,0)</f>
        <v>0</v>
      </c>
      <c r="I413" s="296">
        <f>$I$149</f>
        <v>96</v>
      </c>
      <c r="J413" s="321"/>
      <c r="K413" s="2">
        <f>ROUND(I413*$C413,0)</f>
        <v>0</v>
      </c>
      <c r="M413" s="20"/>
      <c r="N413" s="20"/>
      <c r="O413" s="74"/>
      <c r="P413" s="74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</row>
    <row r="414" spans="1:29">
      <c r="A414" s="1" t="s">
        <v>394</v>
      </c>
      <c r="B414" s="1"/>
      <c r="C414" s="317">
        <v>1</v>
      </c>
      <c r="D414" s="317">
        <f>$D$417/$C$417*C414</f>
        <v>1.0909090909090908</v>
      </c>
      <c r="E414" s="296">
        <f>$E$150</f>
        <v>134.16</v>
      </c>
      <c r="F414" s="322"/>
      <c r="G414" s="2">
        <f>ROUND(E414*$C414,0)</f>
        <v>134</v>
      </c>
      <c r="H414" s="2">
        <f>ROUND(E414*$D414,0)</f>
        <v>146</v>
      </c>
      <c r="I414" s="296">
        <f>$I$150</f>
        <v>142.53386454183266</v>
      </c>
      <c r="J414" s="323"/>
      <c r="K414" s="2">
        <f>ROUND(I414*$C414,0)</f>
        <v>143</v>
      </c>
      <c r="M414" s="20"/>
      <c r="N414" s="20"/>
      <c r="O414" s="74"/>
      <c r="P414" s="74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</row>
    <row r="415" spans="1:29">
      <c r="A415" s="1" t="s">
        <v>395</v>
      </c>
      <c r="B415" s="1"/>
      <c r="C415" s="317">
        <v>75</v>
      </c>
      <c r="D415" s="317">
        <v>34</v>
      </c>
      <c r="E415" s="296">
        <f>$E$151</f>
        <v>9.36</v>
      </c>
      <c r="F415" s="322"/>
      <c r="G415" s="2">
        <f>ROUND(E415*$C415,0)</f>
        <v>702</v>
      </c>
      <c r="H415" s="2">
        <f>ROUND(E415*$D415,0)</f>
        <v>318</v>
      </c>
      <c r="I415" s="296">
        <f>$I$151</f>
        <v>9.94</v>
      </c>
      <c r="J415" s="323"/>
      <c r="K415" s="2">
        <f>ROUND(I415*$C415,0)</f>
        <v>746</v>
      </c>
      <c r="M415" s="20"/>
      <c r="N415" s="20"/>
      <c r="O415" s="74"/>
      <c r="P415" s="74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</row>
    <row r="416" spans="1:29">
      <c r="A416" s="1" t="s">
        <v>397</v>
      </c>
      <c r="B416" s="1"/>
      <c r="C416" s="317">
        <f>SUM(C413:C414)</f>
        <v>1</v>
      </c>
      <c r="D416" s="317">
        <f>SUM(D413:D414)</f>
        <v>1.0909090909090908</v>
      </c>
      <c r="E416" s="296"/>
      <c r="F416" s="319"/>
      <c r="G416" s="2"/>
      <c r="H416" s="2"/>
      <c r="I416" s="296"/>
      <c r="J416" s="321"/>
      <c r="K416" s="2"/>
      <c r="M416" s="20"/>
      <c r="N416" s="20"/>
      <c r="O416" s="74"/>
      <c r="P416" s="74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</row>
    <row r="417" spans="1:29">
      <c r="A417" s="1" t="s">
        <v>422</v>
      </c>
      <c r="B417" s="1"/>
      <c r="C417" s="317">
        <v>11</v>
      </c>
      <c r="D417" s="317">
        <v>12</v>
      </c>
      <c r="E417" s="296"/>
      <c r="F417" s="319"/>
      <c r="G417" s="2"/>
      <c r="H417" s="2"/>
      <c r="I417" s="296"/>
      <c r="J417" s="321"/>
      <c r="K417" s="2"/>
      <c r="M417" s="20"/>
      <c r="N417" s="20"/>
      <c r="O417" s="74"/>
      <c r="P417" s="74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</row>
    <row r="418" spans="1:29">
      <c r="A418" s="1" t="s">
        <v>398</v>
      </c>
      <c r="B418" s="1"/>
      <c r="C418" s="317">
        <v>253</v>
      </c>
      <c r="D418" s="317">
        <f>ROUND(($D$434/$C$434)*C418,0)</f>
        <v>99</v>
      </c>
      <c r="E418" s="324">
        <f>$E$158</f>
        <v>2.88</v>
      </c>
      <c r="F418" s="321"/>
      <c r="G418" s="2">
        <f>ROUND(E418*$C418,0)</f>
        <v>729</v>
      </c>
      <c r="H418" s="2">
        <f>ROUND(E418*$D418,0)</f>
        <v>285</v>
      </c>
      <c r="I418" s="324">
        <f>$I$158</f>
        <v>2.97</v>
      </c>
      <c r="J418" s="321"/>
      <c r="K418" s="2">
        <f>ROUND(I418*$C418,0)</f>
        <v>751</v>
      </c>
      <c r="M418" s="20"/>
      <c r="N418" s="20"/>
      <c r="O418" s="74"/>
      <c r="P418" s="74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</row>
    <row r="419" spans="1:29">
      <c r="A419" s="1" t="s">
        <v>400</v>
      </c>
      <c r="B419" s="1"/>
      <c r="C419" s="317">
        <v>6932</v>
      </c>
      <c r="D419" s="317">
        <f>ROUND(($D$434/$C$434)*C419,0)</f>
        <v>2701</v>
      </c>
      <c r="E419" s="297">
        <f>$E$159</f>
        <v>8.0890000000000004</v>
      </c>
      <c r="F419" s="321" t="s">
        <v>377</v>
      </c>
      <c r="G419" s="2">
        <f>ROUND(E419*$C419/100,0)</f>
        <v>561</v>
      </c>
      <c r="H419" s="2">
        <f>ROUND(E419*$D419/100,0)</f>
        <v>218</v>
      </c>
      <c r="I419" s="297">
        <f>$I$159</f>
        <v>8.8109999999999999</v>
      </c>
      <c r="J419" s="321" t="s">
        <v>377</v>
      </c>
      <c r="K419" s="2">
        <f>ROUND(I419*$C419/100,0)</f>
        <v>611</v>
      </c>
      <c r="M419" s="20"/>
      <c r="N419" s="20"/>
      <c r="O419" s="74"/>
      <c r="P419" s="74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</row>
    <row r="420" spans="1:29">
      <c r="A420" s="1" t="s">
        <v>401</v>
      </c>
      <c r="B420" s="1"/>
      <c r="C420" s="317">
        <v>7588</v>
      </c>
      <c r="D420" s="317">
        <f>ROUND(($D$434/$C$434)*C420,0)</f>
        <v>2956</v>
      </c>
      <c r="E420" s="297">
        <f>$E$189</f>
        <v>5.5839999999999996</v>
      </c>
      <c r="F420" s="321" t="s">
        <v>377</v>
      </c>
      <c r="G420" s="2">
        <f>ROUND(E420*$C420/100,0)</f>
        <v>424</v>
      </c>
      <c r="H420" s="2">
        <f>ROUND(E420*$D420/100,0)</f>
        <v>165</v>
      </c>
      <c r="I420" s="297">
        <f>$I$160</f>
        <v>6.0819999999999999</v>
      </c>
      <c r="J420" s="321" t="s">
        <v>377</v>
      </c>
      <c r="K420" s="2">
        <f>ROUND(I420*$C420/100,0)</f>
        <v>462</v>
      </c>
      <c r="M420" s="20"/>
      <c r="N420" s="20"/>
      <c r="O420" s="74"/>
      <c r="P420" s="74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</row>
    <row r="421" spans="1:29">
      <c r="A421" s="1" t="s">
        <v>402</v>
      </c>
      <c r="B421" s="1"/>
      <c r="C421" s="317">
        <v>0</v>
      </c>
      <c r="D421" s="317">
        <f>ROUND(($D$434/$C$434)*C421,0)</f>
        <v>0</v>
      </c>
      <c r="E421" s="297">
        <f>$E$161</f>
        <v>4.8099999999999996</v>
      </c>
      <c r="F421" s="321" t="s">
        <v>377</v>
      </c>
      <c r="G421" s="2">
        <f>ROUND(E421*$C421/100,0)</f>
        <v>0</v>
      </c>
      <c r="H421" s="2">
        <f>ROUND(E421*$D421/100,0)</f>
        <v>0</v>
      </c>
      <c r="I421" s="297">
        <f>$I$161</f>
        <v>5.24</v>
      </c>
      <c r="J421" s="321" t="s">
        <v>377</v>
      </c>
      <c r="K421" s="2">
        <f>ROUND(I421*$C421/100,0)</f>
        <v>0</v>
      </c>
      <c r="M421" s="20"/>
      <c r="N421" s="20"/>
      <c r="O421" s="74"/>
      <c r="P421" s="74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</row>
    <row r="422" spans="1:29">
      <c r="A422" s="1" t="s">
        <v>403</v>
      </c>
      <c r="B422" s="1"/>
      <c r="C422" s="317">
        <v>0</v>
      </c>
      <c r="D422" s="317">
        <f>ROUND(($D$434/$C$434)*C422,0)</f>
        <v>0</v>
      </c>
      <c r="E422" s="328">
        <f>$E$162</f>
        <v>45</v>
      </c>
      <c r="F422" s="319" t="s">
        <v>377</v>
      </c>
      <c r="G422" s="2">
        <f>ROUND(E422*$C422/100,0)</f>
        <v>0</v>
      </c>
      <c r="H422" s="2">
        <f>ROUND(E422*$D422/100,0)</f>
        <v>0</v>
      </c>
      <c r="I422" s="328">
        <f>$I$162</f>
        <v>50</v>
      </c>
      <c r="J422" s="321" t="s">
        <v>377</v>
      </c>
      <c r="K422" s="2">
        <f>ROUND(I422*$C422/100,0)</f>
        <v>0</v>
      </c>
      <c r="M422" s="20"/>
      <c r="N422" s="20"/>
      <c r="O422" s="74"/>
      <c r="P422" s="74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</row>
    <row r="423" spans="1:29">
      <c r="A423" s="329" t="s">
        <v>404</v>
      </c>
      <c r="B423" s="1"/>
      <c r="C423" s="317"/>
      <c r="D423" s="317"/>
      <c r="E423" s="330">
        <v>-0.01</v>
      </c>
      <c r="F423" s="319"/>
      <c r="G423" s="2"/>
      <c r="H423" s="2"/>
      <c r="I423" s="330">
        <v>-0.01</v>
      </c>
      <c r="J423" s="321"/>
      <c r="K423" s="2"/>
      <c r="M423" s="20"/>
      <c r="N423" s="20"/>
      <c r="O423" s="74"/>
      <c r="P423" s="74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</row>
    <row r="424" spans="1:29">
      <c r="A424" s="1" t="s">
        <v>393</v>
      </c>
      <c r="B424" s="1"/>
      <c r="C424" s="317">
        <v>0</v>
      </c>
      <c r="D424" s="317">
        <f>$D$417/$C$417*C424</f>
        <v>0</v>
      </c>
      <c r="E424" s="332">
        <f>E413</f>
        <v>90.36</v>
      </c>
      <c r="F424" s="319"/>
      <c r="G424" s="2">
        <f>-ROUND(E424*$C424/100,0)</f>
        <v>0</v>
      </c>
      <c r="H424" s="2">
        <f>-ROUND(E424*$D424/100,0)</f>
        <v>0</v>
      </c>
      <c r="I424" s="332">
        <f>I413</f>
        <v>96</v>
      </c>
      <c r="J424" s="319"/>
      <c r="K424" s="2">
        <f>-ROUND(I424*$C424/100,0)</f>
        <v>0</v>
      </c>
      <c r="M424" s="20"/>
      <c r="N424" s="20"/>
      <c r="O424" s="74"/>
      <c r="P424" s="74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</row>
    <row r="425" spans="1:29">
      <c r="A425" s="1" t="s">
        <v>394</v>
      </c>
      <c r="B425" s="1"/>
      <c r="C425" s="317">
        <v>0</v>
      </c>
      <c r="D425" s="317">
        <f>$D$417/$C$417*C425</f>
        <v>0</v>
      </c>
      <c r="E425" s="332">
        <f>E414</f>
        <v>134.16</v>
      </c>
      <c r="F425" s="319"/>
      <c r="G425" s="2">
        <f>-ROUND(E425*$C425/100,0)</f>
        <v>0</v>
      </c>
      <c r="H425" s="2">
        <f>-ROUND(E425*$D425/100,0)</f>
        <v>0</v>
      </c>
      <c r="I425" s="332">
        <f>I414</f>
        <v>142.53386454183266</v>
      </c>
      <c r="J425" s="319"/>
      <c r="K425" s="2">
        <f>-ROUND(I425*$C425/100,0)</f>
        <v>0</v>
      </c>
      <c r="M425" s="20"/>
      <c r="N425" s="20"/>
      <c r="O425" s="74"/>
      <c r="P425" s="74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</row>
    <row r="426" spans="1:29">
      <c r="A426" s="1" t="s">
        <v>405</v>
      </c>
      <c r="B426" s="1"/>
      <c r="C426" s="317">
        <v>0</v>
      </c>
      <c r="D426" s="317">
        <f t="shared" ref="D426:D431" si="38">ROUND(($D$434/$C$434)*C426,0)</f>
        <v>0</v>
      </c>
      <c r="E426" s="332">
        <f>E415</f>
        <v>9.36</v>
      </c>
      <c r="F426" s="319"/>
      <c r="G426" s="2">
        <f>-ROUND(E426*$C426/100,0)</f>
        <v>0</v>
      </c>
      <c r="H426" s="2">
        <f>-ROUND(E426*$D426/100,0)</f>
        <v>0</v>
      </c>
      <c r="I426" s="332">
        <f>I415</f>
        <v>9.94</v>
      </c>
      <c r="J426" s="319"/>
      <c r="K426" s="2">
        <f>-ROUND(I426*$C426/100,0)</f>
        <v>0</v>
      </c>
      <c r="M426" s="20"/>
      <c r="N426" s="20"/>
      <c r="O426" s="74"/>
      <c r="P426" s="74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</row>
    <row r="427" spans="1:29">
      <c r="A427" s="1" t="s">
        <v>406</v>
      </c>
      <c r="B427" s="1"/>
      <c r="C427" s="317">
        <v>0</v>
      </c>
      <c r="D427" s="317">
        <f t="shared" si="38"/>
        <v>0</v>
      </c>
      <c r="E427" s="332">
        <f>E418</f>
        <v>2.88</v>
      </c>
      <c r="F427" s="321"/>
      <c r="G427" s="2">
        <f>-ROUND(E427*$C427/100,0)</f>
        <v>0</v>
      </c>
      <c r="H427" s="2">
        <f>-ROUND(E427*$D427/100,0)</f>
        <v>0</v>
      </c>
      <c r="I427" s="332">
        <f>I418</f>
        <v>2.97</v>
      </c>
      <c r="J427" s="321"/>
      <c r="K427" s="2">
        <f>-ROUND(I427*$C427/100,0)</f>
        <v>0</v>
      </c>
      <c r="M427" s="20"/>
      <c r="N427" s="20"/>
      <c r="O427" s="74"/>
      <c r="P427" s="74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</row>
    <row r="428" spans="1:29">
      <c r="A428" s="1" t="s">
        <v>408</v>
      </c>
      <c r="B428" s="1"/>
      <c r="C428" s="317">
        <v>0</v>
      </c>
      <c r="D428" s="317">
        <f t="shared" si="38"/>
        <v>0</v>
      </c>
      <c r="E428" s="333">
        <f>E419</f>
        <v>8.0890000000000004</v>
      </c>
      <c r="F428" s="321" t="s">
        <v>377</v>
      </c>
      <c r="G428" s="2">
        <f>ROUND(E428*$C428/100*E423,0)</f>
        <v>0</v>
      </c>
      <c r="H428" s="2">
        <f>ROUND(E428*$D428/100*E423,0)</f>
        <v>0</v>
      </c>
      <c r="I428" s="333">
        <f>I419</f>
        <v>8.8109999999999999</v>
      </c>
      <c r="J428" s="321" t="s">
        <v>377</v>
      </c>
      <c r="K428" s="2">
        <f>ROUND(I428*$C428/100*I423,0)</f>
        <v>0</v>
      </c>
      <c r="M428" s="20"/>
      <c r="N428" s="20"/>
      <c r="O428" s="74"/>
      <c r="P428" s="74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</row>
    <row r="429" spans="1:29">
      <c r="A429" s="1" t="s">
        <v>401</v>
      </c>
      <c r="B429" s="1"/>
      <c r="C429" s="317">
        <v>0</v>
      </c>
      <c r="D429" s="317">
        <f t="shared" si="38"/>
        <v>0</v>
      </c>
      <c r="E429" s="333">
        <f>E420</f>
        <v>5.5839999999999996</v>
      </c>
      <c r="F429" s="321" t="s">
        <v>377</v>
      </c>
      <c r="G429" s="2">
        <f>ROUND(E429*$C429/100*E423,0)</f>
        <v>0</v>
      </c>
      <c r="H429" s="2">
        <f>ROUND(E429*$D429/100*E423,0)</f>
        <v>0</v>
      </c>
      <c r="I429" s="333">
        <f>I420</f>
        <v>6.0819999999999999</v>
      </c>
      <c r="J429" s="321" t="s">
        <v>377</v>
      </c>
      <c r="K429" s="2">
        <f>ROUND(I429*$C429/100*I423,0)</f>
        <v>0</v>
      </c>
      <c r="M429" s="20"/>
      <c r="N429" s="20"/>
      <c r="O429" s="74"/>
      <c r="P429" s="74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</row>
    <row r="430" spans="1:29">
      <c r="A430" s="1" t="s">
        <v>402</v>
      </c>
      <c r="B430" s="1"/>
      <c r="C430" s="317">
        <v>0</v>
      </c>
      <c r="D430" s="317">
        <f t="shared" si="38"/>
        <v>0</v>
      </c>
      <c r="E430" s="333">
        <f>E421</f>
        <v>4.8099999999999996</v>
      </c>
      <c r="F430" s="321" t="s">
        <v>377</v>
      </c>
      <c r="G430" s="2">
        <f>ROUND(E430*$C430/100*E423,0)</f>
        <v>0</v>
      </c>
      <c r="H430" s="2">
        <f>ROUND(E430*$D430/100*E423,0)</f>
        <v>0</v>
      </c>
      <c r="I430" s="333">
        <f>I421</f>
        <v>5.24</v>
      </c>
      <c r="J430" s="321" t="s">
        <v>377</v>
      </c>
      <c r="K430" s="2">
        <f>ROUND(I430*$C430/100*I423,0)</f>
        <v>0</v>
      </c>
      <c r="M430" s="20"/>
      <c r="N430" s="20"/>
      <c r="O430" s="74"/>
      <c r="P430" s="74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</row>
    <row r="431" spans="1:29">
      <c r="A431" s="1" t="s">
        <v>403</v>
      </c>
      <c r="B431" s="1"/>
      <c r="C431" s="317">
        <v>0</v>
      </c>
      <c r="D431" s="317">
        <f t="shared" si="38"/>
        <v>0</v>
      </c>
      <c r="E431" s="334">
        <f>E422</f>
        <v>45</v>
      </c>
      <c r="F431" s="321" t="s">
        <v>377</v>
      </c>
      <c r="G431" s="2">
        <f>ROUND(E431*$C431/100*E423,0)</f>
        <v>0</v>
      </c>
      <c r="H431" s="2">
        <f>ROUND(E431*$D431/100*E423,0)</f>
        <v>0</v>
      </c>
      <c r="I431" s="334">
        <f>I422</f>
        <v>50</v>
      </c>
      <c r="J431" s="321" t="s">
        <v>377</v>
      </c>
      <c r="K431" s="2">
        <f>ROUND(I431*$C431/100*I423,0)</f>
        <v>0</v>
      </c>
      <c r="M431" s="20"/>
      <c r="N431" s="20"/>
      <c r="O431" s="74"/>
      <c r="P431" s="74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</row>
    <row r="432" spans="1:29">
      <c r="A432" s="1" t="s">
        <v>410</v>
      </c>
      <c r="B432" s="1"/>
      <c r="C432" s="317">
        <v>0</v>
      </c>
      <c r="D432" s="317">
        <f>$D$417/$C$417*C432</f>
        <v>0</v>
      </c>
      <c r="E432" s="335">
        <f>$E$172</f>
        <v>60</v>
      </c>
      <c r="F432" s="319"/>
      <c r="G432" s="2">
        <f>ROUND(E432*$C432,0)</f>
        <v>0</v>
      </c>
      <c r="H432" s="2">
        <f>ROUND(E432*$D432,0)</f>
        <v>0</v>
      </c>
      <c r="I432" s="335">
        <f>$I$172</f>
        <v>60</v>
      </c>
      <c r="J432" s="321"/>
      <c r="K432" s="2">
        <f>ROUND(I432*$C432,0)</f>
        <v>0</v>
      </c>
      <c r="M432" s="20"/>
      <c r="N432" s="20"/>
      <c r="O432" s="74"/>
      <c r="P432" s="74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</row>
    <row r="433" spans="1:29">
      <c r="A433" s="1" t="s">
        <v>411</v>
      </c>
      <c r="B433" s="1"/>
      <c r="C433" s="317">
        <v>0</v>
      </c>
      <c r="D433" s="317">
        <f>ROUND(($D$434/$C$434)*C433,0)</f>
        <v>0</v>
      </c>
      <c r="E433" s="337">
        <f>$E$173</f>
        <v>-30</v>
      </c>
      <c r="F433" s="319" t="s">
        <v>377</v>
      </c>
      <c r="G433" s="2">
        <f>ROUND(E433*$C433/100,0)</f>
        <v>0</v>
      </c>
      <c r="H433" s="2">
        <f>ROUND(E433*$D433/100,0)</f>
        <v>0</v>
      </c>
      <c r="I433" s="337">
        <f>$I$173</f>
        <v>-30</v>
      </c>
      <c r="J433" s="321" t="s">
        <v>377</v>
      </c>
      <c r="K433" s="2">
        <f>ROUND(I433*$C433/100,0)</f>
        <v>0</v>
      </c>
      <c r="M433" s="20"/>
      <c r="N433" s="20"/>
      <c r="O433" s="74"/>
      <c r="P433" s="74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</row>
    <row r="434" spans="1:29">
      <c r="A434" s="1" t="s">
        <v>384</v>
      </c>
      <c r="B434" s="1"/>
      <c r="C434" s="317">
        <f>SUM(C419:C421)</f>
        <v>14520</v>
      </c>
      <c r="D434" s="317">
        <v>5657.1497597183234</v>
      </c>
      <c r="E434" s="328"/>
      <c r="F434" s="2"/>
      <c r="G434" s="2">
        <f>SUM(G413:G433)</f>
        <v>2550</v>
      </c>
      <c r="H434" s="2">
        <f>SUM(H413:H433)</f>
        <v>1132</v>
      </c>
      <c r="I434" s="328"/>
      <c r="J434" s="321"/>
      <c r="K434" s="2">
        <f>SUM(K413:K433)</f>
        <v>2713</v>
      </c>
      <c r="M434" s="20"/>
      <c r="N434" s="20"/>
      <c r="O434" s="74"/>
      <c r="P434" s="74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</row>
    <row r="435" spans="1:29">
      <c r="A435" s="1" t="s">
        <v>366</v>
      </c>
      <c r="B435" s="1"/>
      <c r="C435" s="347" t="e">
        <f>#REF!</f>
        <v>#REF!</v>
      </c>
      <c r="D435" s="347">
        <v>0</v>
      </c>
      <c r="E435" s="307"/>
      <c r="F435" s="307"/>
      <c r="G435" s="339" t="e">
        <f>#REF!</f>
        <v>#REF!</v>
      </c>
      <c r="H435" s="339">
        <v>0</v>
      </c>
      <c r="I435" s="307"/>
      <c r="J435" s="307"/>
      <c r="K435" s="339" t="e">
        <f>G435</f>
        <v>#REF!</v>
      </c>
      <c r="M435" s="442"/>
      <c r="N435" s="442"/>
      <c r="O435" s="285"/>
      <c r="P435" s="74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</row>
    <row r="436" spans="1:29" ht="16.5" thickBot="1">
      <c r="A436" s="1" t="s">
        <v>385</v>
      </c>
      <c r="B436" s="1"/>
      <c r="C436" s="309" t="e">
        <f>SUM(C434:C435)</f>
        <v>#REF!</v>
      </c>
      <c r="D436" s="309">
        <f>SUM(D434:D435)</f>
        <v>5657.1497597183234</v>
      </c>
      <c r="E436" s="340"/>
      <c r="F436" s="341"/>
      <c r="G436" s="342" t="e">
        <f>G434+G435</f>
        <v>#REF!</v>
      </c>
      <c r="H436" s="342">
        <f>H434+H435</f>
        <v>1132</v>
      </c>
      <c r="I436" s="340"/>
      <c r="J436" s="343"/>
      <c r="K436" s="342" t="e">
        <f>K434+K435</f>
        <v>#REF!</v>
      </c>
      <c r="M436" s="409"/>
      <c r="N436" s="409"/>
      <c r="O436" s="468"/>
      <c r="P436" s="74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1:29" ht="16.5" thickTop="1">
      <c r="A437" s="1"/>
      <c r="B437" s="1"/>
      <c r="C437" s="21"/>
      <c r="D437" s="21"/>
      <c r="E437" s="335"/>
      <c r="F437" s="2"/>
      <c r="G437" s="2"/>
      <c r="H437" s="2"/>
      <c r="I437" s="351" t="s">
        <v>31</v>
      </c>
      <c r="J437" s="1"/>
      <c r="K437" s="2" t="s">
        <v>31</v>
      </c>
      <c r="M437" s="20"/>
      <c r="N437" s="20"/>
      <c r="O437" s="74"/>
      <c r="P437" s="74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</row>
    <row r="438" spans="1:29">
      <c r="A438" s="1"/>
      <c r="B438" s="1"/>
      <c r="C438" s="21"/>
      <c r="D438" s="21"/>
      <c r="E438" s="335"/>
      <c r="F438" s="2"/>
      <c r="G438" s="2"/>
      <c r="H438" s="2"/>
      <c r="I438" s="351" t="s">
        <v>31</v>
      </c>
      <c r="J438" s="1"/>
      <c r="K438" s="2" t="s">
        <v>31</v>
      </c>
      <c r="M438" s="20"/>
      <c r="N438" s="20"/>
      <c r="O438" s="74"/>
      <c r="P438" s="74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</row>
    <row r="439" spans="1:29">
      <c r="A439" s="291" t="s">
        <v>423</v>
      </c>
      <c r="B439" s="1"/>
      <c r="C439" s="352"/>
      <c r="D439" s="352"/>
      <c r="E439" s="2"/>
      <c r="F439" s="2"/>
      <c r="G439" s="1"/>
      <c r="H439" s="1"/>
      <c r="I439" s="2"/>
      <c r="J439" s="1"/>
      <c r="K439" s="2" t="s">
        <v>31</v>
      </c>
      <c r="M439" s="20"/>
      <c r="N439" s="20"/>
      <c r="O439" s="74"/>
      <c r="P439" s="74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</row>
    <row r="440" spans="1:29">
      <c r="A440" s="321" t="s">
        <v>338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  <c r="M440" s="20"/>
      <c r="N440" s="20"/>
      <c r="O440" s="74"/>
      <c r="P440" s="74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</row>
    <row r="441" spans="1:29">
      <c r="A441" s="321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20"/>
      <c r="N441" s="20"/>
      <c r="O441" s="74"/>
      <c r="P441" s="74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</row>
    <row r="442" spans="1:29">
      <c r="A442" s="321" t="s">
        <v>396</v>
      </c>
      <c r="B442" s="1"/>
      <c r="C442" s="317"/>
      <c r="D442" s="317"/>
      <c r="E442" s="2"/>
      <c r="F442" s="2"/>
      <c r="G442" s="1"/>
      <c r="H442" s="1"/>
      <c r="I442" s="2"/>
      <c r="J442" s="1"/>
      <c r="K442" s="1"/>
      <c r="M442" s="20"/>
      <c r="N442" s="20"/>
      <c r="O442" s="74"/>
      <c r="P442" s="74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</row>
    <row r="443" spans="1:29">
      <c r="A443" s="321" t="s">
        <v>424</v>
      </c>
      <c r="B443" s="1"/>
      <c r="C443" s="317">
        <v>0</v>
      </c>
      <c r="D443" s="317">
        <v>0</v>
      </c>
      <c r="E443" s="353">
        <f>E480</f>
        <v>225</v>
      </c>
      <c r="F443" s="321"/>
      <c r="G443" s="319">
        <f t="shared" ref="G443:H445" si="39">ROUND(E443*$C443,0)</f>
        <v>0</v>
      </c>
      <c r="H443" s="319">
        <f t="shared" si="39"/>
        <v>0</v>
      </c>
      <c r="I443" s="353">
        <f>'Blocking - detail'!I443</f>
        <v>225</v>
      </c>
      <c r="J443" s="321"/>
      <c r="K443" s="319">
        <f>ROUND(I443*$C443,0)</f>
        <v>0</v>
      </c>
      <c r="M443" s="20"/>
      <c r="N443" s="20"/>
      <c r="O443" s="74"/>
      <c r="P443" s="74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</row>
    <row r="444" spans="1:29">
      <c r="A444" s="321" t="s">
        <v>425</v>
      </c>
      <c r="B444" s="1"/>
      <c r="C444" s="317">
        <v>0</v>
      </c>
      <c r="D444" s="317">
        <v>0</v>
      </c>
      <c r="E444" s="353">
        <f>E481</f>
        <v>83</v>
      </c>
      <c r="F444" s="321"/>
      <c r="G444" s="319">
        <f t="shared" si="39"/>
        <v>0</v>
      </c>
      <c r="H444" s="319">
        <f t="shared" si="39"/>
        <v>0</v>
      </c>
      <c r="I444" s="353">
        <f>'Blocking - detail'!I444</f>
        <v>83</v>
      </c>
      <c r="J444" s="321"/>
      <c r="K444" s="319">
        <f>ROUND(I444*$C444,0)</f>
        <v>0</v>
      </c>
      <c r="M444" s="20"/>
      <c r="N444" s="20"/>
      <c r="O444" s="74"/>
      <c r="P444" s="74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</row>
    <row r="445" spans="1:29">
      <c r="A445" s="321" t="s">
        <v>426</v>
      </c>
      <c r="B445" s="1"/>
      <c r="C445" s="317">
        <v>0</v>
      </c>
      <c r="D445" s="317">
        <v>0</v>
      </c>
      <c r="E445" s="353">
        <f>E482</f>
        <v>166</v>
      </c>
      <c r="F445" s="323"/>
      <c r="G445" s="319">
        <f t="shared" si="39"/>
        <v>0</v>
      </c>
      <c r="H445" s="319">
        <f t="shared" si="39"/>
        <v>0</v>
      </c>
      <c r="I445" s="353">
        <f>'Blocking - detail'!I445</f>
        <v>166</v>
      </c>
      <c r="J445" s="323"/>
      <c r="K445" s="319">
        <f>ROUND(I445*$C445,0)</f>
        <v>0</v>
      </c>
      <c r="M445" s="20"/>
      <c r="N445" s="20"/>
      <c r="O445" s="74"/>
      <c r="P445" s="74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</row>
    <row r="446" spans="1:29">
      <c r="A446" s="321" t="s">
        <v>397</v>
      </c>
      <c r="B446" s="1"/>
      <c r="C446" s="317">
        <f>SUM(C443:C445)</f>
        <v>0</v>
      </c>
      <c r="D446" s="317">
        <f>SUM(D443:D445)</f>
        <v>0</v>
      </c>
      <c r="E446" s="353"/>
      <c r="F446" s="321"/>
      <c r="G446" s="319"/>
      <c r="H446" s="319"/>
      <c r="I446" s="353"/>
      <c r="J446" s="321"/>
      <c r="K446" s="319"/>
      <c r="M446" s="20"/>
      <c r="N446" s="20"/>
      <c r="O446" s="74"/>
      <c r="P446" s="74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</row>
    <row r="447" spans="1:29">
      <c r="A447" s="321" t="s">
        <v>425</v>
      </c>
      <c r="B447" s="1"/>
      <c r="C447" s="317">
        <v>0</v>
      </c>
      <c r="D447" s="317">
        <v>0</v>
      </c>
      <c r="E447" s="353">
        <f>E484</f>
        <v>1.47</v>
      </c>
      <c r="F447" s="321" t="s">
        <v>31</v>
      </c>
      <c r="G447" s="319">
        <f>ROUND(E447*$C447,0)</f>
        <v>0</v>
      </c>
      <c r="H447" s="319">
        <f>ROUND(F447*$C447,0)</f>
        <v>0</v>
      </c>
      <c r="I447" s="353">
        <f>'Blocking - detail'!I447</f>
        <v>1.47</v>
      </c>
      <c r="J447" s="321" t="s">
        <v>31</v>
      </c>
      <c r="K447" s="319">
        <f>ROUND(I447*$C447,0)</f>
        <v>0</v>
      </c>
      <c r="M447" s="20"/>
      <c r="N447" s="20"/>
      <c r="O447" s="74"/>
      <c r="P447" s="74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</row>
    <row r="448" spans="1:29">
      <c r="A448" s="321" t="s">
        <v>426</v>
      </c>
      <c r="B448" s="1"/>
      <c r="C448" s="317">
        <v>0</v>
      </c>
      <c r="D448" s="317">
        <v>0</v>
      </c>
      <c r="E448" s="353">
        <f>E485</f>
        <v>1.2</v>
      </c>
      <c r="F448" s="321" t="s">
        <v>31</v>
      </c>
      <c r="G448" s="319">
        <f>ROUND(E448*$C448,0)</f>
        <v>0</v>
      </c>
      <c r="H448" s="319">
        <f>ROUND(F448*$C448,0)</f>
        <v>0</v>
      </c>
      <c r="I448" s="353">
        <f>'Blocking - detail'!I448</f>
        <v>1.2</v>
      </c>
      <c r="J448" s="321" t="s">
        <v>31</v>
      </c>
      <c r="K448" s="319">
        <f>ROUND(I448*$C448,0)</f>
        <v>0</v>
      </c>
      <c r="M448" s="20"/>
      <c r="N448" s="20"/>
      <c r="O448" s="74"/>
      <c r="P448" s="74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</row>
    <row r="449" spans="1:29">
      <c r="A449" s="307" t="s">
        <v>427</v>
      </c>
      <c r="B449" s="1"/>
      <c r="C449" s="317"/>
      <c r="D449" s="317"/>
      <c r="E449" s="353"/>
      <c r="F449" s="321"/>
      <c r="G449" s="319"/>
      <c r="H449" s="319"/>
      <c r="I449" s="353"/>
      <c r="J449" s="321"/>
      <c r="K449" s="319"/>
      <c r="M449" s="20"/>
      <c r="N449" s="20"/>
      <c r="O449" s="74"/>
      <c r="P449" s="74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</row>
    <row r="450" spans="1:29">
      <c r="A450" s="307" t="s">
        <v>428</v>
      </c>
      <c r="B450" s="1"/>
      <c r="C450" s="317">
        <v>0</v>
      </c>
      <c r="D450" s="317">
        <v>0</v>
      </c>
      <c r="E450" s="353">
        <f>E487</f>
        <v>3.75</v>
      </c>
      <c r="F450" s="321"/>
      <c r="G450" s="319">
        <f>ROUND(E450*$C450,0)</f>
        <v>0</v>
      </c>
      <c r="H450" s="319">
        <f>ROUND(F450*$C450,0)</f>
        <v>0</v>
      </c>
      <c r="I450" s="353">
        <f>'Blocking - detail'!I450</f>
        <v>3.75</v>
      </c>
      <c r="J450" s="321"/>
      <c r="K450" s="319">
        <f>ROUND(I450*$C450,0)</f>
        <v>0</v>
      </c>
      <c r="M450" s="20"/>
      <c r="N450" s="20"/>
      <c r="O450" s="74"/>
      <c r="P450" s="74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</row>
    <row r="451" spans="1:29">
      <c r="A451" s="321" t="s">
        <v>429</v>
      </c>
      <c r="B451" s="1"/>
      <c r="C451" s="317"/>
      <c r="D451" s="317"/>
      <c r="E451" s="354"/>
      <c r="F451" s="319"/>
      <c r="G451" s="319"/>
      <c r="H451" s="319"/>
      <c r="I451" s="354"/>
      <c r="J451" s="319"/>
      <c r="K451" s="319"/>
      <c r="M451" s="20"/>
      <c r="N451" s="20"/>
      <c r="O451" s="74"/>
      <c r="P451" s="74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</row>
    <row r="452" spans="1:29">
      <c r="A452" s="321" t="s">
        <v>430</v>
      </c>
      <c r="B452" s="1"/>
      <c r="C452" s="317">
        <v>0</v>
      </c>
      <c r="D452" s="317">
        <v>0</v>
      </c>
      <c r="E452" s="333">
        <f>E490</f>
        <v>4.3570000000000002</v>
      </c>
      <c r="F452" s="319" t="s">
        <v>377</v>
      </c>
      <c r="G452" s="319">
        <f>ROUND($C452*E452/100,0)</f>
        <v>0</v>
      </c>
      <c r="H452" s="319">
        <f>ROUND($C452*F452/100,0)</f>
        <v>0</v>
      </c>
      <c r="I452" s="333">
        <f>'Blocking - detail'!I452</f>
        <v>4.3570000000000002</v>
      </c>
      <c r="J452" s="319" t="s">
        <v>377</v>
      </c>
      <c r="K452" s="319">
        <f>ROUND($C452*I452/100,0)</f>
        <v>0</v>
      </c>
      <c r="M452" s="20"/>
      <c r="N452" s="20"/>
      <c r="O452" s="74"/>
      <c r="P452" s="74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</row>
    <row r="453" spans="1:29">
      <c r="A453" s="321" t="s">
        <v>402</v>
      </c>
      <c r="B453" s="1"/>
      <c r="C453" s="317">
        <v>0</v>
      </c>
      <c r="D453" s="317">
        <v>0</v>
      </c>
      <c r="E453" s="333">
        <f>E491</f>
        <v>3.9930000000000003</v>
      </c>
      <c r="F453" s="319" t="s">
        <v>377</v>
      </c>
      <c r="G453" s="319">
        <f>ROUND($C453*E453/100,0)</f>
        <v>0</v>
      </c>
      <c r="H453" s="319">
        <f>ROUND($C453*F453/100,0)</f>
        <v>0</v>
      </c>
      <c r="I453" s="333">
        <f>'Blocking - detail'!I453</f>
        <v>3.9930000000000003</v>
      </c>
      <c r="J453" s="319" t="s">
        <v>377</v>
      </c>
      <c r="K453" s="319">
        <f>ROUND($C453*I453/100,0)</f>
        <v>0</v>
      </c>
      <c r="M453" s="20"/>
      <c r="N453" s="20"/>
      <c r="O453" s="74"/>
      <c r="P453" s="74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</row>
    <row r="454" spans="1:29">
      <c r="A454" s="321" t="s">
        <v>403</v>
      </c>
      <c r="B454" s="1"/>
      <c r="C454" s="317">
        <v>0</v>
      </c>
      <c r="D454" s="317">
        <v>0</v>
      </c>
      <c r="E454" s="360">
        <f>'Blocking - detail'!E454</f>
        <v>45</v>
      </c>
      <c r="F454" s="319" t="s">
        <v>377</v>
      </c>
      <c r="G454" s="319">
        <f>ROUND(E454*$C454/100,0)</f>
        <v>0</v>
      </c>
      <c r="H454" s="319">
        <f>ROUND(F454*$C454/100,0)</f>
        <v>0</v>
      </c>
      <c r="I454" s="360">
        <f>'Blocking - detail'!I454</f>
        <v>45</v>
      </c>
      <c r="J454" s="319" t="s">
        <v>377</v>
      </c>
      <c r="K454" s="319">
        <f>ROUND(I454*$C454,0)</f>
        <v>0</v>
      </c>
      <c r="M454" s="20"/>
      <c r="N454" s="20"/>
      <c r="O454" s="74"/>
      <c r="P454" s="74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</row>
    <row r="455" spans="1:29">
      <c r="A455" s="321" t="s">
        <v>431</v>
      </c>
      <c r="B455" s="1"/>
      <c r="C455" s="317">
        <v>0</v>
      </c>
      <c r="D455" s="317">
        <v>0</v>
      </c>
      <c r="E455" s="357">
        <f>'Blocking - detail'!E455</f>
        <v>0.06</v>
      </c>
      <c r="F455" s="319"/>
      <c r="G455" s="319">
        <f>ROUND($C455*E455/100,0)</f>
        <v>0</v>
      </c>
      <c r="H455" s="319">
        <f>ROUND($C455*F455/100,0)</f>
        <v>0</v>
      </c>
      <c r="I455" s="357">
        <f>'Blocking - detail'!I455</f>
        <v>0.06</v>
      </c>
      <c r="J455" s="319"/>
      <c r="K455" s="319">
        <f>ROUND($C455*I455/100,0)</f>
        <v>0</v>
      </c>
      <c r="M455" s="20"/>
      <c r="N455" s="20"/>
      <c r="O455" s="74"/>
      <c r="P455" s="74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</row>
    <row r="456" spans="1:29">
      <c r="A456" s="358" t="s">
        <v>404</v>
      </c>
      <c r="B456" s="1" t="s">
        <v>31</v>
      </c>
      <c r="C456" s="317"/>
      <c r="D456" s="317"/>
      <c r="E456" s="330">
        <v>-0.01</v>
      </c>
      <c r="F456" s="359"/>
      <c r="G456" s="359"/>
      <c r="H456" s="359"/>
      <c r="I456" s="330">
        <v>-0.01</v>
      </c>
      <c r="J456" s="359"/>
      <c r="K456" s="2"/>
      <c r="M456" s="20"/>
      <c r="N456" s="20"/>
      <c r="O456" s="74"/>
      <c r="P456" s="74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</row>
    <row r="457" spans="1:29">
      <c r="A457" s="321" t="s">
        <v>424</v>
      </c>
      <c r="B457" s="1"/>
      <c r="C457" s="317">
        <v>0</v>
      </c>
      <c r="D457" s="317">
        <v>0</v>
      </c>
      <c r="E457" s="353">
        <f t="shared" ref="E457:E462" si="40">E494</f>
        <v>225</v>
      </c>
      <c r="F457" s="321"/>
      <c r="G457" s="319">
        <f t="shared" ref="G457:H462" si="41">ROUND(E457*$C457*$E$456,0)</f>
        <v>0</v>
      </c>
      <c r="H457" s="319">
        <f t="shared" si="41"/>
        <v>0</v>
      </c>
      <c r="I457" s="353">
        <f>'Blocking - detail'!I457</f>
        <v>225</v>
      </c>
      <c r="J457" s="321"/>
      <c r="K457" s="319">
        <f t="shared" ref="K457:K462" si="42">ROUND(I457*$C457*$E$456,0)</f>
        <v>0</v>
      </c>
      <c r="M457" s="20"/>
      <c r="N457" s="20"/>
      <c r="O457" s="74"/>
      <c r="P457" s="74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</row>
    <row r="458" spans="1:29">
      <c r="A458" s="321" t="s">
        <v>425</v>
      </c>
      <c r="B458" s="1"/>
      <c r="C458" s="317">
        <v>0</v>
      </c>
      <c r="D458" s="317">
        <v>0</v>
      </c>
      <c r="E458" s="353">
        <f t="shared" si="40"/>
        <v>83</v>
      </c>
      <c r="F458" s="321"/>
      <c r="G458" s="319">
        <f t="shared" si="41"/>
        <v>0</v>
      </c>
      <c r="H458" s="319">
        <f t="shared" si="41"/>
        <v>0</v>
      </c>
      <c r="I458" s="353">
        <f>'Blocking - detail'!I458</f>
        <v>83</v>
      </c>
      <c r="J458" s="321"/>
      <c r="K458" s="319">
        <f t="shared" si="42"/>
        <v>0</v>
      </c>
      <c r="M458" s="20"/>
      <c r="N458" s="20"/>
      <c r="O458" s="74"/>
      <c r="P458" s="74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</row>
    <row r="459" spans="1:29">
      <c r="A459" s="321" t="s">
        <v>426</v>
      </c>
      <c r="B459" s="1"/>
      <c r="C459" s="317">
        <v>0</v>
      </c>
      <c r="D459" s="317">
        <v>0</v>
      </c>
      <c r="E459" s="353">
        <f t="shared" si="40"/>
        <v>166</v>
      </c>
      <c r="F459" s="323"/>
      <c r="G459" s="319">
        <f t="shared" si="41"/>
        <v>0</v>
      </c>
      <c r="H459" s="319">
        <f t="shared" si="41"/>
        <v>0</v>
      </c>
      <c r="I459" s="353">
        <f>'Blocking - detail'!I459</f>
        <v>166</v>
      </c>
      <c r="J459" s="323"/>
      <c r="K459" s="319">
        <f t="shared" si="42"/>
        <v>0</v>
      </c>
      <c r="M459" s="20"/>
      <c r="N459" s="20"/>
      <c r="O459" s="74"/>
      <c r="P459" s="74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</row>
    <row r="460" spans="1:29">
      <c r="A460" s="321" t="s">
        <v>425</v>
      </c>
      <c r="B460" s="1"/>
      <c r="C460" s="317">
        <v>0</v>
      </c>
      <c r="D460" s="317">
        <v>0</v>
      </c>
      <c r="E460" s="353">
        <f t="shared" si="40"/>
        <v>1.47</v>
      </c>
      <c r="F460" s="321" t="s">
        <v>31</v>
      </c>
      <c r="G460" s="319">
        <f t="shared" si="41"/>
        <v>0</v>
      </c>
      <c r="H460" s="319">
        <f t="shared" si="41"/>
        <v>0</v>
      </c>
      <c r="I460" s="353">
        <f>'Blocking - detail'!I460</f>
        <v>1.47</v>
      </c>
      <c r="J460" s="321" t="s">
        <v>31</v>
      </c>
      <c r="K460" s="319">
        <f t="shared" si="42"/>
        <v>0</v>
      </c>
      <c r="M460" s="20"/>
      <c r="N460" s="20"/>
      <c r="O460" s="74"/>
      <c r="P460" s="74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</row>
    <row r="461" spans="1:29">
      <c r="A461" s="321" t="s">
        <v>426</v>
      </c>
      <c r="B461" s="1"/>
      <c r="C461" s="317">
        <v>0</v>
      </c>
      <c r="D461" s="317">
        <v>0</v>
      </c>
      <c r="E461" s="353">
        <f t="shared" si="40"/>
        <v>1.2</v>
      </c>
      <c r="F461" s="321" t="s">
        <v>31</v>
      </c>
      <c r="G461" s="319">
        <f t="shared" si="41"/>
        <v>0</v>
      </c>
      <c r="H461" s="319">
        <f t="shared" si="41"/>
        <v>0</v>
      </c>
      <c r="I461" s="353">
        <f>'Blocking - detail'!I461</f>
        <v>1.2</v>
      </c>
      <c r="J461" s="321" t="s">
        <v>31</v>
      </c>
      <c r="K461" s="319">
        <f t="shared" si="42"/>
        <v>0</v>
      </c>
      <c r="M461" s="20"/>
      <c r="N461" s="20"/>
      <c r="O461" s="74"/>
      <c r="P461" s="74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</row>
    <row r="462" spans="1:29">
      <c r="A462" s="307" t="s">
        <v>428</v>
      </c>
      <c r="B462" s="1"/>
      <c r="C462" s="317">
        <v>0</v>
      </c>
      <c r="D462" s="317">
        <v>0</v>
      </c>
      <c r="E462" s="353">
        <f t="shared" si="40"/>
        <v>3.75</v>
      </c>
      <c r="F462" s="321"/>
      <c r="G462" s="319">
        <f t="shared" si="41"/>
        <v>0</v>
      </c>
      <c r="H462" s="319">
        <f t="shared" si="41"/>
        <v>0</v>
      </c>
      <c r="I462" s="353">
        <f>'Blocking - detail'!I462</f>
        <v>3.75</v>
      </c>
      <c r="J462" s="321"/>
      <c r="K462" s="319">
        <f t="shared" si="42"/>
        <v>0</v>
      </c>
      <c r="M462" s="20"/>
      <c r="N462" s="20"/>
      <c r="O462" s="74"/>
      <c r="P462" s="74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</row>
    <row r="463" spans="1:29">
      <c r="A463" s="321" t="s">
        <v>430</v>
      </c>
      <c r="B463" s="1"/>
      <c r="C463" s="317">
        <v>0</v>
      </c>
      <c r="D463" s="317">
        <v>0</v>
      </c>
      <c r="E463" s="333">
        <f>E501</f>
        <v>4.3570000000000002</v>
      </c>
      <c r="F463" s="319" t="s">
        <v>377</v>
      </c>
      <c r="G463" s="319">
        <f>ROUND(E463/100*$C463*E456,0)</f>
        <v>0</v>
      </c>
      <c r="H463" s="319">
        <f>ROUND(F463/100*$C463*F456,0)</f>
        <v>0</v>
      </c>
      <c r="I463" s="333">
        <f>'Blocking - detail'!I463</f>
        <v>4.3570000000000002</v>
      </c>
      <c r="J463" s="319" t="s">
        <v>377</v>
      </c>
      <c r="K463" s="319">
        <f>ROUND(I463/100*$C463*E456,0)</f>
        <v>0</v>
      </c>
      <c r="M463" s="20"/>
      <c r="N463" s="20"/>
      <c r="O463" s="74"/>
      <c r="P463" s="74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</row>
    <row r="464" spans="1:29">
      <c r="A464" s="321" t="s">
        <v>402</v>
      </c>
      <c r="B464" s="1"/>
      <c r="C464" s="317">
        <v>0</v>
      </c>
      <c r="D464" s="317">
        <v>0</v>
      </c>
      <c r="E464" s="333">
        <f>E502</f>
        <v>3.9930000000000003</v>
      </c>
      <c r="F464" s="319" t="s">
        <v>377</v>
      </c>
      <c r="G464" s="319">
        <f>ROUND(E464/100*$C464*E456,0)</f>
        <v>0</v>
      </c>
      <c r="H464" s="319">
        <f>ROUND(F464/100*$C464*F456,0)</f>
        <v>0</v>
      </c>
      <c r="I464" s="333">
        <f>'Blocking - detail'!I464</f>
        <v>3.9930000000000003</v>
      </c>
      <c r="J464" s="319" t="s">
        <v>377</v>
      </c>
      <c r="K464" s="319">
        <f>ROUND(I464/100*$C464*E456,0)</f>
        <v>0</v>
      </c>
      <c r="M464" s="20"/>
      <c r="N464" s="20"/>
      <c r="O464" s="74"/>
      <c r="P464" s="74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</row>
    <row r="465" spans="1:29">
      <c r="A465" s="307" t="s">
        <v>432</v>
      </c>
      <c r="B465" s="1"/>
      <c r="C465" s="317">
        <v>0</v>
      </c>
      <c r="D465" s="317">
        <v>0</v>
      </c>
      <c r="E465" s="360">
        <f>E503</f>
        <v>45</v>
      </c>
      <c r="F465" s="319" t="s">
        <v>377</v>
      </c>
      <c r="G465" s="319">
        <f>ROUND(E465*$C465*$E$456,0)</f>
        <v>0</v>
      </c>
      <c r="H465" s="319">
        <f>ROUND(F465*$C465*$E$456,0)</f>
        <v>0</v>
      </c>
      <c r="I465" s="360">
        <f>'Blocking - detail'!I465</f>
        <v>45</v>
      </c>
      <c r="J465" s="319" t="s">
        <v>377</v>
      </c>
      <c r="K465" s="319">
        <f>ROUND(I465*$C465*$E$456,0)</f>
        <v>0</v>
      </c>
      <c r="M465" s="20"/>
      <c r="N465" s="20"/>
      <c r="O465" s="74"/>
      <c r="P465" s="74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</row>
    <row r="466" spans="1:29">
      <c r="A466" s="307" t="s">
        <v>433</v>
      </c>
      <c r="B466" s="1"/>
      <c r="C466" s="317">
        <v>0</v>
      </c>
      <c r="D466" s="317">
        <v>0</v>
      </c>
      <c r="E466" s="472">
        <f>'Blocking - detail'!E466</f>
        <v>0.06</v>
      </c>
      <c r="F466" s="319" t="s">
        <v>377</v>
      </c>
      <c r="G466" s="319">
        <f>ROUND(E466/100*$C466*E456,0)</f>
        <v>0</v>
      </c>
      <c r="H466" s="319">
        <f>ROUND(F466/100*$C466*F456,0)</f>
        <v>0</v>
      </c>
      <c r="I466" s="472">
        <f>'Blocking - detail'!I466</f>
        <v>0.06</v>
      </c>
      <c r="J466" s="319" t="s">
        <v>377</v>
      </c>
      <c r="K466" s="319">
        <f>ROUND(I466/100*$C466*I456,0)</f>
        <v>0</v>
      </c>
      <c r="M466" s="20"/>
      <c r="N466" s="20"/>
      <c r="O466" s="74"/>
      <c r="P466" s="74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</row>
    <row r="467" spans="1:29">
      <c r="A467" s="321" t="s">
        <v>434</v>
      </c>
      <c r="B467" s="1"/>
      <c r="C467" s="317">
        <v>0</v>
      </c>
      <c r="D467" s="317">
        <v>0</v>
      </c>
      <c r="E467" s="361">
        <v>60</v>
      </c>
      <c r="F467" s="359" t="s">
        <v>31</v>
      </c>
      <c r="G467" s="319">
        <f>ROUND(E467*$C467,0)</f>
        <v>0</v>
      </c>
      <c r="H467" s="319">
        <f>ROUND(F467*$C467,0)</f>
        <v>0</v>
      </c>
      <c r="I467" s="361">
        <v>60</v>
      </c>
      <c r="J467" s="362" t="s">
        <v>31</v>
      </c>
      <c r="K467" s="319">
        <f>ROUND(I467*$C467,0)</f>
        <v>0</v>
      </c>
      <c r="M467" s="20"/>
      <c r="N467" s="20"/>
      <c r="O467" s="74"/>
      <c r="P467" s="74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</row>
    <row r="468" spans="1:29">
      <c r="A468" s="321" t="s">
        <v>435</v>
      </c>
      <c r="B468" s="1"/>
      <c r="C468" s="317">
        <v>0</v>
      </c>
      <c r="D468" s="317">
        <v>0</v>
      </c>
      <c r="E468" s="334">
        <v>-30</v>
      </c>
      <c r="F468" s="319" t="s">
        <v>377</v>
      </c>
      <c r="G468" s="319">
        <f>ROUND(E468*$C468*$E$456,0)</f>
        <v>0</v>
      </c>
      <c r="H468" s="319">
        <f>ROUND(F468*$C468*$E$456,0)</f>
        <v>0</v>
      </c>
      <c r="I468" s="334">
        <v>-30</v>
      </c>
      <c r="J468" s="319" t="s">
        <v>377</v>
      </c>
      <c r="K468" s="319">
        <f>ROUND(I468*$C468*$E$456,0)</f>
        <v>0</v>
      </c>
      <c r="M468" s="20"/>
      <c r="N468" s="20"/>
      <c r="O468" s="74"/>
      <c r="P468" s="74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</row>
    <row r="469" spans="1:29">
      <c r="A469" s="307" t="s">
        <v>436</v>
      </c>
      <c r="B469" s="1"/>
      <c r="C469" s="317">
        <v>0</v>
      </c>
      <c r="D469" s="317">
        <v>0</v>
      </c>
      <c r="E469" s="332">
        <f>E450/2</f>
        <v>1.875</v>
      </c>
      <c r="F469" s="319"/>
      <c r="G469" s="319"/>
      <c r="H469" s="319"/>
      <c r="I469" s="353">
        <f>'Blocking - detail'!I469</f>
        <v>1.875</v>
      </c>
      <c r="J469" s="319"/>
      <c r="K469" s="319">
        <f>ROUND($C469*I469,0)</f>
        <v>0</v>
      </c>
      <c r="M469" s="20"/>
      <c r="N469" s="20"/>
      <c r="O469" s="74"/>
      <c r="P469" s="74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</row>
    <row r="470" spans="1:29">
      <c r="A470" s="307" t="s">
        <v>437</v>
      </c>
      <c r="B470" s="1"/>
      <c r="C470" s="317">
        <v>0</v>
      </c>
      <c r="D470" s="317">
        <v>0</v>
      </c>
      <c r="E470" s="332">
        <f>E450*4</f>
        <v>15</v>
      </c>
      <c r="F470" s="319"/>
      <c r="G470" s="319"/>
      <c r="H470" s="319"/>
      <c r="I470" s="353">
        <f>'Blocking - detail'!I470</f>
        <v>15</v>
      </c>
      <c r="J470" s="319"/>
      <c r="K470" s="319">
        <f>ROUND($C470*I470,0)</f>
        <v>0</v>
      </c>
      <c r="M470" s="20"/>
      <c r="N470" s="20"/>
      <c r="O470" s="74"/>
      <c r="P470" s="74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</row>
    <row r="471" spans="1:29">
      <c r="A471" s="3" t="s">
        <v>438</v>
      </c>
      <c r="B471" s="301"/>
      <c r="C471" s="317">
        <v>0</v>
      </c>
      <c r="D471" s="317">
        <v>0</v>
      </c>
      <c r="E471" s="333">
        <f>E453*4</f>
        <v>15.972000000000001</v>
      </c>
      <c r="F471" s="319" t="s">
        <v>377</v>
      </c>
      <c r="G471" s="319">
        <f>ROUND($C471*E471/100,0)</f>
        <v>0</v>
      </c>
      <c r="H471" s="319">
        <f>ROUND($C471*F471/100,0)</f>
        <v>0</v>
      </c>
      <c r="I471" s="333">
        <f>'Blocking - detail'!I471</f>
        <v>15.972000000000001</v>
      </c>
      <c r="J471" s="319" t="s">
        <v>377</v>
      </c>
      <c r="K471" s="319">
        <f>ROUND($C471*I471/100,0)</f>
        <v>0</v>
      </c>
      <c r="M471" s="20"/>
      <c r="N471" s="20"/>
      <c r="O471" s="74"/>
      <c r="P471" s="74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</row>
    <row r="472" spans="1:29">
      <c r="A472" s="1" t="s">
        <v>384</v>
      </c>
      <c r="B472" s="1"/>
      <c r="C472" s="317">
        <f>SUM(C452:C453)</f>
        <v>0</v>
      </c>
      <c r="D472" s="317">
        <f>SUM(D452:D453)</f>
        <v>0</v>
      </c>
      <c r="E472" s="328"/>
      <c r="F472" s="2"/>
      <c r="G472" s="2">
        <f>SUM(G443:G471)</f>
        <v>0</v>
      </c>
      <c r="H472" s="2">
        <f>SUM(H443:H471)</f>
        <v>0</v>
      </c>
      <c r="I472" s="328"/>
      <c r="J472" s="321"/>
      <c r="K472" s="2">
        <f>SUM(K443:K471)</f>
        <v>0</v>
      </c>
      <c r="M472" s="20"/>
      <c r="N472" s="20"/>
      <c r="O472" s="74"/>
      <c r="P472" s="74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</row>
    <row r="473" spans="1:29">
      <c r="A473" s="1" t="s">
        <v>366</v>
      </c>
      <c r="B473" s="1"/>
      <c r="C473" s="347">
        <v>0</v>
      </c>
      <c r="D473" s="347">
        <v>0</v>
      </c>
      <c r="E473" s="307"/>
      <c r="F473" s="307"/>
      <c r="G473" s="308">
        <v>0</v>
      </c>
      <c r="H473" s="308">
        <v>0</v>
      </c>
      <c r="I473" s="307"/>
      <c r="J473" s="307"/>
      <c r="K473" s="308">
        <v>0</v>
      </c>
      <c r="M473" s="442"/>
      <c r="N473" s="442"/>
      <c r="O473" s="285"/>
      <c r="P473" s="74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</row>
    <row r="474" spans="1:29" ht="16.5" thickBot="1">
      <c r="A474" s="1" t="s">
        <v>385</v>
      </c>
      <c r="B474" s="1"/>
      <c r="C474" s="364">
        <f>SUM(C472:C473)</f>
        <v>0</v>
      </c>
      <c r="D474" s="364">
        <f>SUM(D472:D473)</f>
        <v>0</v>
      </c>
      <c r="E474" s="340"/>
      <c r="F474" s="341"/>
      <c r="G474" s="342">
        <f>SUM(G472:G473)</f>
        <v>0</v>
      </c>
      <c r="H474" s="342">
        <f>SUM(H472:H473)</f>
        <v>0</v>
      </c>
      <c r="I474" s="340"/>
      <c r="J474" s="343"/>
      <c r="K474" s="342">
        <f>SUM(K472:K473)</f>
        <v>0</v>
      </c>
      <c r="M474" s="409"/>
      <c r="N474" s="409"/>
      <c r="O474" s="468"/>
      <c r="P474" s="74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</row>
    <row r="475" spans="1:29" ht="16.5" thickTop="1">
      <c r="A475" s="1"/>
      <c r="B475" s="365"/>
      <c r="C475" s="21"/>
      <c r="D475" s="21"/>
      <c r="E475" s="335"/>
      <c r="F475" s="2"/>
      <c r="G475" s="2"/>
      <c r="H475" s="2"/>
      <c r="I475" s="335"/>
      <c r="J475" s="1"/>
      <c r="K475" s="2"/>
      <c r="M475" s="20"/>
      <c r="N475" s="20"/>
      <c r="O475" s="74"/>
      <c r="P475" s="74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</row>
    <row r="476" spans="1:29">
      <c r="A476" s="291" t="s">
        <v>439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  <c r="M476" s="20"/>
      <c r="N476" s="20"/>
      <c r="O476" s="74"/>
      <c r="P476" s="74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</row>
    <row r="477" spans="1:29">
      <c r="A477" s="307" t="s">
        <v>440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20"/>
      <c r="N477" s="20"/>
      <c r="O477" s="74"/>
      <c r="P477" s="74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</row>
    <row r="478" spans="1:29">
      <c r="A478" s="321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20"/>
      <c r="N478" s="20"/>
      <c r="P478" s="74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</row>
    <row r="479" spans="1:29">
      <c r="A479" s="321" t="s">
        <v>396</v>
      </c>
      <c r="B479" s="1"/>
      <c r="C479" s="317"/>
      <c r="D479" s="317"/>
      <c r="E479" s="2"/>
      <c r="F479" s="2"/>
      <c r="G479" s="1"/>
      <c r="H479" s="1"/>
      <c r="I479" s="2"/>
      <c r="J479" s="1"/>
      <c r="K479" s="1"/>
      <c r="M479" s="20"/>
      <c r="N479" s="20"/>
      <c r="O479" s="74"/>
      <c r="P479" s="74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</row>
    <row r="480" spans="1:29">
      <c r="A480" s="321" t="s">
        <v>424</v>
      </c>
      <c r="B480" s="1"/>
      <c r="C480" s="317">
        <f t="shared" ref="C480:D482" si="43">C514+C548</f>
        <v>342</v>
      </c>
      <c r="D480" s="317">
        <f t="shared" si="43"/>
        <v>345</v>
      </c>
      <c r="E480" s="296">
        <v>225</v>
      </c>
      <c r="F480" s="321"/>
      <c r="G480" s="319">
        <f t="shared" ref="G480:H482" si="44">G514+G548</f>
        <v>76950</v>
      </c>
      <c r="H480" s="319">
        <f t="shared" si="44"/>
        <v>77625</v>
      </c>
      <c r="I480" s="296">
        <v>245</v>
      </c>
      <c r="J480" s="321"/>
      <c r="K480" s="319">
        <f>K514+K548</f>
        <v>83790</v>
      </c>
      <c r="M480" s="84">
        <f>I480*D480</f>
        <v>84525</v>
      </c>
      <c r="O480" s="14">
        <f>(I480-E480)/E480</f>
        <v>8.8888888888888892E-2</v>
      </c>
      <c r="P480" s="235" t="e">
        <f>SUM(K480:K485)/SUM(H480:H485)-1</f>
        <v>#REF!</v>
      </c>
      <c r="T480" s="3" t="s">
        <v>374</v>
      </c>
      <c r="U480" s="3" t="s">
        <v>307</v>
      </c>
      <c r="V480" s="3" t="s">
        <v>375</v>
      </c>
      <c r="W480" s="3" t="s">
        <v>317</v>
      </c>
      <c r="X480" s="20"/>
      <c r="Y480" s="20"/>
      <c r="Z480" s="20"/>
      <c r="AA480" s="20"/>
      <c r="AB480" s="20"/>
      <c r="AC480" s="20"/>
    </row>
    <row r="481" spans="1:29">
      <c r="A481" s="321" t="s">
        <v>425</v>
      </c>
      <c r="B481" s="1"/>
      <c r="C481" s="317">
        <f t="shared" si="43"/>
        <v>8833</v>
      </c>
      <c r="D481" s="317">
        <f t="shared" si="43"/>
        <v>8896</v>
      </c>
      <c r="E481" s="296">
        <v>83</v>
      </c>
      <c r="F481" s="321"/>
      <c r="G481" s="319">
        <f t="shared" si="44"/>
        <v>733139</v>
      </c>
      <c r="H481" s="319">
        <f t="shared" si="44"/>
        <v>738368</v>
      </c>
      <c r="I481" s="296">
        <v>90</v>
      </c>
      <c r="J481" s="321"/>
      <c r="K481" s="319">
        <f>K515+K549</f>
        <v>794970</v>
      </c>
      <c r="M481" s="84">
        <f>I481*D481</f>
        <v>800640</v>
      </c>
      <c r="O481" s="14">
        <f>(I481-E481)/E481</f>
        <v>8.4337349397590355E-2</v>
      </c>
      <c r="S481" s="3" t="s">
        <v>445</v>
      </c>
      <c r="T481" s="84" t="e">
        <f>SUM(H480:H485)</f>
        <v>#REF!</v>
      </c>
      <c r="U481" s="84">
        <f>SUM(K480:K485)</f>
        <v>6247027</v>
      </c>
      <c r="V481" s="106">
        <v>6297781.880353801</v>
      </c>
      <c r="W481" s="235">
        <f>U481/V481</f>
        <v>0.99194083229332963</v>
      </c>
      <c r="X481" s="20"/>
      <c r="Y481" s="20"/>
      <c r="Z481" s="20"/>
      <c r="AA481" s="20"/>
      <c r="AB481" s="20"/>
      <c r="AC481" s="20"/>
    </row>
    <row r="482" spans="1:29">
      <c r="A482" s="321" t="s">
        <v>426</v>
      </c>
      <c r="B482" s="1"/>
      <c r="C482" s="317">
        <f t="shared" si="43"/>
        <v>3531</v>
      </c>
      <c r="D482" s="317">
        <f t="shared" si="43"/>
        <v>3549</v>
      </c>
      <c r="E482" s="296">
        <v>166</v>
      </c>
      <c r="F482" s="323"/>
      <c r="G482" s="319">
        <f t="shared" si="44"/>
        <v>586146</v>
      </c>
      <c r="H482" s="319">
        <f t="shared" si="44"/>
        <v>589134</v>
      </c>
      <c r="I482" s="296">
        <v>180</v>
      </c>
      <c r="J482" s="323"/>
      <c r="K482" s="319">
        <f>K516+K550</f>
        <v>635580</v>
      </c>
      <c r="M482" s="84">
        <f>I482*D482</f>
        <v>638820</v>
      </c>
      <c r="O482" s="14">
        <f>(I482-E482)/E482</f>
        <v>8.4337349397590355E-2</v>
      </c>
      <c r="S482" s="3" t="s">
        <v>379</v>
      </c>
      <c r="T482" s="84" t="e">
        <f>SUM(H490:H491)</f>
        <v>#REF!</v>
      </c>
      <c r="U482" s="84" t="e">
        <f>SUM(K490:K491)</f>
        <v>#REF!</v>
      </c>
      <c r="V482" s="106">
        <v>43870359.484416999</v>
      </c>
      <c r="W482" s="235" t="e">
        <f>U482/V482</f>
        <v>#REF!</v>
      </c>
      <c r="X482" s="20"/>
      <c r="Y482" s="20"/>
      <c r="Z482" s="20"/>
      <c r="AA482" s="20"/>
      <c r="AB482" s="20"/>
      <c r="AC482" s="20"/>
    </row>
    <row r="483" spans="1:29">
      <c r="A483" s="321" t="s">
        <v>397</v>
      </c>
      <c r="B483" s="1"/>
      <c r="C483" s="317">
        <f>SUM(C480:C482)</f>
        <v>12706</v>
      </c>
      <c r="D483" s="317">
        <f>SUM(D480:D482)</f>
        <v>12790</v>
      </c>
      <c r="E483" s="296"/>
      <c r="F483" s="321"/>
      <c r="G483" s="319"/>
      <c r="H483" s="319"/>
      <c r="I483" s="296"/>
      <c r="J483" s="321"/>
      <c r="K483" s="319"/>
      <c r="S483" s="3" t="s">
        <v>409</v>
      </c>
      <c r="T483" s="84" t="e">
        <f>SUM(H487:H488)</f>
        <v>#REF!</v>
      </c>
      <c r="U483" s="84">
        <f>SUM(K487:K488)</f>
        <v>9987587</v>
      </c>
      <c r="V483" s="106">
        <v>6509411.4532006206</v>
      </c>
      <c r="W483" s="235">
        <f>U483/V483</f>
        <v>1.5343302650025588</v>
      </c>
      <c r="X483" s="20"/>
      <c r="Y483" s="20"/>
      <c r="Z483" s="20"/>
      <c r="AA483" s="20"/>
      <c r="AB483" s="20"/>
      <c r="AC483" s="20"/>
    </row>
    <row r="484" spans="1:29">
      <c r="A484" s="321" t="s">
        <v>425</v>
      </c>
      <c r="B484" s="1"/>
      <c r="C484" s="317">
        <f>C518+C552</f>
        <v>1522475</v>
      </c>
      <c r="D484" s="317" t="e">
        <f>D518+D552</f>
        <v>#REF!</v>
      </c>
      <c r="E484" s="296">
        <v>1.47</v>
      </c>
      <c r="F484" s="321" t="s">
        <v>31</v>
      </c>
      <c r="G484" s="319">
        <f>G518+G552</f>
        <v>2238038</v>
      </c>
      <c r="H484" s="319" t="e">
        <f>H518+H552</f>
        <v>#REF!</v>
      </c>
      <c r="I484" s="296">
        <v>1.6</v>
      </c>
      <c r="J484" s="321" t="s">
        <v>31</v>
      </c>
      <c r="K484" s="319">
        <f>K518+K552</f>
        <v>2435960</v>
      </c>
      <c r="M484" s="84" t="e">
        <f>I484*D484</f>
        <v>#REF!</v>
      </c>
      <c r="O484" s="14">
        <f>(I484-E484)/E484</f>
        <v>8.8435374149659948E-2</v>
      </c>
      <c r="W484" s="20"/>
      <c r="X484" s="20"/>
      <c r="Y484" s="20"/>
      <c r="Z484" s="20"/>
      <c r="AA484" s="20"/>
      <c r="AB484" s="20"/>
      <c r="AC484" s="20"/>
    </row>
    <row r="485" spans="1:29">
      <c r="A485" s="321" t="s">
        <v>426</v>
      </c>
      <c r="B485" s="1"/>
      <c r="C485" s="317">
        <f>C519+C553</f>
        <v>1766713</v>
      </c>
      <c r="D485" s="317" t="e">
        <f>D519+D553</f>
        <v>#REF!</v>
      </c>
      <c r="E485" s="296">
        <v>1.2</v>
      </c>
      <c r="F485" s="321" t="s">
        <v>31</v>
      </c>
      <c r="G485" s="319">
        <f>G519+G553</f>
        <v>2120056</v>
      </c>
      <c r="H485" s="319" t="e">
        <f>H519+H553</f>
        <v>#REF!</v>
      </c>
      <c r="I485" s="296">
        <v>1.3</v>
      </c>
      <c r="J485" s="321" t="s">
        <v>31</v>
      </c>
      <c r="K485" s="319">
        <f>K519+K553</f>
        <v>2296727</v>
      </c>
      <c r="M485" s="84" t="e">
        <f>I485*D485</f>
        <v>#REF!</v>
      </c>
      <c r="O485" s="14">
        <f>(I485-E485)/E485</f>
        <v>8.3333333333333412E-2</v>
      </c>
      <c r="W485" s="20"/>
      <c r="X485" s="20"/>
      <c r="Y485" s="20"/>
      <c r="Z485" s="20"/>
      <c r="AA485" s="20"/>
      <c r="AB485" s="20"/>
      <c r="AC485" s="20"/>
    </row>
    <row r="486" spans="1:29">
      <c r="A486" s="307" t="s">
        <v>427</v>
      </c>
      <c r="B486" s="1"/>
      <c r="C486" s="317"/>
      <c r="D486" s="317"/>
      <c r="E486" s="353"/>
      <c r="F486" s="321"/>
      <c r="G486" s="319"/>
      <c r="H486" s="319"/>
      <c r="I486" s="353"/>
      <c r="J486" s="321"/>
      <c r="K486" s="319"/>
      <c r="W486" s="20"/>
      <c r="X486" s="20"/>
      <c r="Y486" s="20"/>
      <c r="Z486" s="20"/>
      <c r="AA486" s="20"/>
      <c r="AB486" s="20"/>
      <c r="AC486" s="20"/>
    </row>
    <row r="487" spans="1:29">
      <c r="A487" s="307" t="s">
        <v>428</v>
      </c>
      <c r="B487" s="1"/>
      <c r="C487" s="317">
        <f>C521+C555</f>
        <v>2528503</v>
      </c>
      <c r="D487" s="317" t="e">
        <f>D521+D555</f>
        <v>#REF!</v>
      </c>
      <c r="E487" s="296">
        <v>3.75</v>
      </c>
      <c r="F487" s="321"/>
      <c r="G487" s="319">
        <f>G521+G555</f>
        <v>9481886</v>
      </c>
      <c r="H487" s="319" t="e">
        <f>H521+H555</f>
        <v>#REF!</v>
      </c>
      <c r="I487" s="296">
        <v>3.95</v>
      </c>
      <c r="J487" s="321"/>
      <c r="K487" s="319">
        <f>K521+K555</f>
        <v>9987587</v>
      </c>
      <c r="M487" s="84" t="e">
        <f>I487*D487</f>
        <v>#REF!</v>
      </c>
      <c r="O487" s="14">
        <f>(I487-E487)/E487</f>
        <v>5.3333333333333378E-2</v>
      </c>
      <c r="W487" s="20"/>
      <c r="X487" s="20"/>
      <c r="Y487" s="20"/>
      <c r="Z487" s="20"/>
      <c r="AA487" s="20"/>
      <c r="AB487" s="20"/>
      <c r="AC487" s="20"/>
    </row>
    <row r="488" spans="1:29">
      <c r="A488" s="307" t="s">
        <v>444</v>
      </c>
      <c r="B488" s="1"/>
      <c r="C488" s="317">
        <f>C522+C556</f>
        <v>0</v>
      </c>
      <c r="D488" s="317" t="e">
        <f>D522+D556</f>
        <v>#REF!</v>
      </c>
      <c r="E488" s="367">
        <f>E487</f>
        <v>3.75</v>
      </c>
      <c r="F488" s="321"/>
      <c r="G488" s="319">
        <f>G522+G556</f>
        <v>0</v>
      </c>
      <c r="H488" s="319" t="e">
        <f>H522+H556</f>
        <v>#REF!</v>
      </c>
      <c r="I488" s="367">
        <f>I487</f>
        <v>3.95</v>
      </c>
      <c r="J488" s="321"/>
      <c r="K488" s="319">
        <f>K522+K556</f>
        <v>0</v>
      </c>
      <c r="M488" s="84" t="e">
        <f>I488*D488</f>
        <v>#REF!</v>
      </c>
      <c r="O488" s="14">
        <f>(I488-E488)/E488</f>
        <v>5.3333333333333378E-2</v>
      </c>
      <c r="W488" s="20"/>
      <c r="X488" s="20"/>
      <c r="Y488" s="20"/>
      <c r="Z488" s="20"/>
      <c r="AA488" s="20"/>
      <c r="AB488" s="20"/>
      <c r="AC488" s="20"/>
    </row>
    <row r="489" spans="1:29">
      <c r="A489" s="321" t="s">
        <v>429</v>
      </c>
      <c r="B489" s="1"/>
      <c r="C489" s="317"/>
      <c r="D489" s="317"/>
      <c r="E489" s="296"/>
      <c r="F489" s="321"/>
      <c r="G489" s="319"/>
      <c r="H489" s="319"/>
      <c r="I489" s="296"/>
      <c r="J489" s="321"/>
      <c r="K489" s="319"/>
      <c r="W489" s="20"/>
      <c r="X489" s="20"/>
      <c r="Y489" s="20"/>
      <c r="Z489" s="20"/>
      <c r="AA489" s="20"/>
      <c r="AB489" s="20"/>
      <c r="AC489" s="20"/>
    </row>
    <row r="490" spans="1:29">
      <c r="A490" s="321" t="s">
        <v>430</v>
      </c>
      <c r="B490" s="317"/>
      <c r="C490" s="317" t="e">
        <f t="shared" ref="C490:D492" si="45">C524+C558</f>
        <v>#REF!</v>
      </c>
      <c r="D490" s="317" t="e">
        <f t="shared" si="45"/>
        <v>#REF!</v>
      </c>
      <c r="E490" s="325">
        <v>4.3570000000000002</v>
      </c>
      <c r="F490" s="321" t="s">
        <v>377</v>
      </c>
      <c r="G490" s="319" t="e">
        <f t="shared" ref="G490:H492" si="46">G524+G558</f>
        <v>#REF!</v>
      </c>
      <c r="H490" s="319" t="e">
        <f t="shared" si="46"/>
        <v>#REF!</v>
      </c>
      <c r="I490" s="325">
        <v>4.8559999999999999</v>
      </c>
      <c r="J490" s="321" t="s">
        <v>377</v>
      </c>
      <c r="K490" s="319" t="e">
        <f>K524+K558</f>
        <v>#REF!</v>
      </c>
      <c r="M490" s="84" t="e">
        <f>(I490/100)*D490</f>
        <v>#REF!</v>
      </c>
      <c r="O490" s="14">
        <f>(I490-E490)/E490</f>
        <v>0.11452834519164555</v>
      </c>
      <c r="W490" s="20"/>
      <c r="X490" s="20"/>
      <c r="Y490" s="20"/>
      <c r="Z490" s="20"/>
      <c r="AA490" s="20"/>
      <c r="AB490" s="20"/>
      <c r="AC490" s="20"/>
    </row>
    <row r="491" spans="1:29">
      <c r="A491" s="321" t="s">
        <v>402</v>
      </c>
      <c r="B491" s="317"/>
      <c r="C491" s="317" t="e">
        <f t="shared" si="45"/>
        <v>#REF!</v>
      </c>
      <c r="D491" s="317" t="e">
        <f t="shared" si="45"/>
        <v>#REF!</v>
      </c>
      <c r="E491" s="325">
        <v>3.9930000000000003</v>
      </c>
      <c r="F491" s="321" t="s">
        <v>377</v>
      </c>
      <c r="G491" s="319" t="e">
        <f t="shared" si="46"/>
        <v>#REF!</v>
      </c>
      <c r="H491" s="319" t="e">
        <f t="shared" si="46"/>
        <v>#REF!</v>
      </c>
      <c r="I491" s="325">
        <f>ROUND(I490/E490*E491,3)+0.005</f>
        <v>4.4550000000000001</v>
      </c>
      <c r="J491" s="321" t="s">
        <v>377</v>
      </c>
      <c r="K491" s="319" t="e">
        <f>K525+K559</f>
        <v>#REF!</v>
      </c>
      <c r="M491" s="84" t="e">
        <f>(I491/100)*D491</f>
        <v>#REF!</v>
      </c>
      <c r="O491" s="14">
        <f>(I491-E491)/E491</f>
        <v>0.1157024793388429</v>
      </c>
      <c r="X491" s="20"/>
      <c r="Y491" s="20"/>
      <c r="Z491" s="20"/>
      <c r="AA491" s="20"/>
      <c r="AB491" s="20"/>
      <c r="AC491" s="20"/>
    </row>
    <row r="492" spans="1:29">
      <c r="A492" s="321" t="s">
        <v>403</v>
      </c>
      <c r="B492" s="1"/>
      <c r="C492" s="317">
        <f t="shared" si="45"/>
        <v>525884</v>
      </c>
      <c r="D492" s="317" t="e">
        <f t="shared" si="45"/>
        <v>#REF!</v>
      </c>
      <c r="E492" s="610">
        <v>45</v>
      </c>
      <c r="F492" s="321" t="s">
        <v>377</v>
      </c>
      <c r="G492" s="319">
        <f t="shared" si="46"/>
        <v>236647</v>
      </c>
      <c r="H492" s="319" t="e">
        <f t="shared" si="46"/>
        <v>#REF!</v>
      </c>
      <c r="I492" s="473">
        <v>50</v>
      </c>
      <c r="J492" s="321" t="s">
        <v>377</v>
      </c>
      <c r="K492" s="319">
        <f>K526+K560</f>
        <v>262942</v>
      </c>
      <c r="M492" s="84" t="e">
        <f>(I492/100)*D492</f>
        <v>#REF!</v>
      </c>
      <c r="O492" s="14">
        <f>(I492-E492)/E492</f>
        <v>0.1111111111111111</v>
      </c>
      <c r="X492" s="20"/>
      <c r="Y492" s="20"/>
      <c r="Z492" s="20"/>
      <c r="AA492" s="20"/>
      <c r="AB492" s="20"/>
      <c r="AC492" s="20"/>
    </row>
    <row r="493" spans="1:29">
      <c r="A493" s="358" t="s">
        <v>404</v>
      </c>
      <c r="B493" s="1"/>
      <c r="C493" s="317"/>
      <c r="D493" s="317"/>
      <c r="E493" s="330">
        <v>-0.01</v>
      </c>
      <c r="F493" s="2"/>
      <c r="G493" s="319"/>
      <c r="H493" s="319"/>
      <c r="I493" s="330">
        <v>-0.01</v>
      </c>
      <c r="J493" s="1"/>
      <c r="K493" s="319"/>
      <c r="X493" s="20"/>
      <c r="Y493" s="20"/>
      <c r="Z493" s="20"/>
      <c r="AA493" s="20"/>
      <c r="AB493" s="20"/>
      <c r="AC493" s="20"/>
    </row>
    <row r="494" spans="1:29">
      <c r="A494" s="321" t="s">
        <v>424</v>
      </c>
      <c r="B494" s="1"/>
      <c r="C494" s="317">
        <f t="shared" ref="C494:D507" si="47">C528+C562</f>
        <v>7</v>
      </c>
      <c r="D494" s="317">
        <f t="shared" si="47"/>
        <v>7</v>
      </c>
      <c r="E494" s="302">
        <f>E480</f>
        <v>225</v>
      </c>
      <c r="F494" s="362"/>
      <c r="G494" s="319">
        <f t="shared" ref="G494:H507" si="48">G528+G562</f>
        <v>-16</v>
      </c>
      <c r="H494" s="319">
        <f t="shared" si="48"/>
        <v>-16</v>
      </c>
      <c r="I494" s="302">
        <f>I480</f>
        <v>245</v>
      </c>
      <c r="J494" s="291"/>
      <c r="K494" s="319">
        <f t="shared" ref="K494:K506" si="49">K528+K562</f>
        <v>-17</v>
      </c>
      <c r="M494" s="84">
        <f t="shared" ref="M494:M500" si="50">-(I494*D494)/100</f>
        <v>-17.149999999999999</v>
      </c>
      <c r="X494" s="20"/>
      <c r="Y494" s="20"/>
      <c r="Z494" s="20"/>
      <c r="AA494" s="20"/>
      <c r="AB494" s="20"/>
      <c r="AC494" s="20"/>
    </row>
    <row r="495" spans="1:29">
      <c r="A495" s="321" t="s">
        <v>425</v>
      </c>
      <c r="B495" s="1"/>
      <c r="C495" s="317">
        <f t="shared" si="47"/>
        <v>37</v>
      </c>
      <c r="D495" s="317">
        <f t="shared" si="47"/>
        <v>37</v>
      </c>
      <c r="E495" s="302">
        <f>E481</f>
        <v>83</v>
      </c>
      <c r="F495" s="362"/>
      <c r="G495" s="319">
        <f t="shared" si="48"/>
        <v>-31</v>
      </c>
      <c r="H495" s="319">
        <f t="shared" si="48"/>
        <v>-31</v>
      </c>
      <c r="I495" s="302">
        <f>I481</f>
        <v>90</v>
      </c>
      <c r="J495" s="291"/>
      <c r="K495" s="319">
        <f t="shared" si="49"/>
        <v>-34</v>
      </c>
      <c r="M495" s="84">
        <f t="shared" si="50"/>
        <v>-33.299999999999997</v>
      </c>
      <c r="O495" s="369"/>
      <c r="W495" s="20"/>
      <c r="X495" s="20"/>
      <c r="Y495" s="20"/>
      <c r="Z495" s="20"/>
      <c r="AA495" s="20"/>
      <c r="AB495" s="20"/>
      <c r="AC495" s="20"/>
    </row>
    <row r="496" spans="1:29">
      <c r="A496" s="321" t="s">
        <v>426</v>
      </c>
      <c r="B496" s="1"/>
      <c r="C496" s="317">
        <f t="shared" si="47"/>
        <v>121</v>
      </c>
      <c r="D496" s="317">
        <f t="shared" si="47"/>
        <v>122</v>
      </c>
      <c r="E496" s="302">
        <f>E482</f>
        <v>166</v>
      </c>
      <c r="F496" s="370"/>
      <c r="G496" s="319">
        <f t="shared" si="48"/>
        <v>-201</v>
      </c>
      <c r="H496" s="319">
        <f t="shared" si="48"/>
        <v>-203</v>
      </c>
      <c r="I496" s="302">
        <f>I482</f>
        <v>180</v>
      </c>
      <c r="J496" s="371"/>
      <c r="K496" s="319">
        <f t="shared" si="49"/>
        <v>-218</v>
      </c>
      <c r="M496" s="84">
        <f t="shared" si="50"/>
        <v>-219.6</v>
      </c>
      <c r="O496" s="369"/>
      <c r="W496" s="20"/>
      <c r="X496" s="20"/>
      <c r="Y496" s="20"/>
      <c r="Z496" s="20"/>
      <c r="AA496" s="20"/>
      <c r="AB496" s="20"/>
      <c r="AC496" s="20"/>
    </row>
    <row r="497" spans="1:29">
      <c r="A497" s="321" t="s">
        <v>425</v>
      </c>
      <c r="B497" s="1"/>
      <c r="C497" s="317">
        <f t="shared" si="47"/>
        <v>6452</v>
      </c>
      <c r="D497" s="317" t="e">
        <f t="shared" si="47"/>
        <v>#REF!</v>
      </c>
      <c r="E497" s="302">
        <f>E484</f>
        <v>1.47</v>
      </c>
      <c r="F497" s="362"/>
      <c r="G497" s="319">
        <f t="shared" si="48"/>
        <v>-94</v>
      </c>
      <c r="H497" s="319" t="e">
        <f t="shared" si="48"/>
        <v>#REF!</v>
      </c>
      <c r="I497" s="302">
        <f>I484</f>
        <v>1.6</v>
      </c>
      <c r="J497" s="291"/>
      <c r="K497" s="319">
        <f t="shared" si="49"/>
        <v>-103</v>
      </c>
      <c r="M497" s="84" t="e">
        <f t="shared" si="50"/>
        <v>#REF!</v>
      </c>
      <c r="W497" s="20"/>
      <c r="X497" s="20"/>
      <c r="Y497" s="20"/>
      <c r="Z497" s="20"/>
      <c r="AA497" s="20"/>
      <c r="AB497" s="20"/>
      <c r="AC497" s="20"/>
    </row>
    <row r="498" spans="1:29">
      <c r="A498" s="321" t="s">
        <v>426</v>
      </c>
      <c r="B498" s="1"/>
      <c r="C498" s="317">
        <f t="shared" si="47"/>
        <v>76044</v>
      </c>
      <c r="D498" s="317" t="e">
        <f t="shared" si="47"/>
        <v>#REF!</v>
      </c>
      <c r="E498" s="302">
        <f>E485</f>
        <v>1.2</v>
      </c>
      <c r="F498" s="362" t="s">
        <v>31</v>
      </c>
      <c r="G498" s="319">
        <f t="shared" si="48"/>
        <v>-913</v>
      </c>
      <c r="H498" s="319" t="e">
        <f t="shared" si="48"/>
        <v>#REF!</v>
      </c>
      <c r="I498" s="302">
        <f>I485</f>
        <v>1.3</v>
      </c>
      <c r="J498" s="291"/>
      <c r="K498" s="319">
        <f t="shared" si="49"/>
        <v>-989</v>
      </c>
      <c r="M498" s="84" t="e">
        <f t="shared" si="50"/>
        <v>#REF!</v>
      </c>
      <c r="W498" s="20"/>
      <c r="X498" s="20"/>
      <c r="Y498" s="20"/>
      <c r="Z498" s="20"/>
      <c r="AA498" s="20"/>
      <c r="AB498" s="20"/>
      <c r="AC498" s="20"/>
    </row>
    <row r="499" spans="1:29">
      <c r="A499" s="307" t="s">
        <v>428</v>
      </c>
      <c r="B499" s="1"/>
      <c r="C499" s="317">
        <f t="shared" si="47"/>
        <v>64762</v>
      </c>
      <c r="D499" s="317" t="e">
        <f t="shared" si="47"/>
        <v>#REF!</v>
      </c>
      <c r="E499" s="302">
        <f>E487</f>
        <v>3.75</v>
      </c>
      <c r="F499" s="362" t="s">
        <v>31</v>
      </c>
      <c r="G499" s="319">
        <f t="shared" si="48"/>
        <v>-2428</v>
      </c>
      <c r="H499" s="319" t="e">
        <f t="shared" si="48"/>
        <v>#REF!</v>
      </c>
      <c r="I499" s="302">
        <f>I487</f>
        <v>3.95</v>
      </c>
      <c r="J499" s="291"/>
      <c r="K499" s="319">
        <f t="shared" si="49"/>
        <v>-2558</v>
      </c>
      <c r="M499" s="84" t="e">
        <f t="shared" si="50"/>
        <v>#REF!</v>
      </c>
      <c r="W499" s="20"/>
      <c r="X499" s="20"/>
      <c r="Y499" s="20"/>
      <c r="Z499" s="20"/>
      <c r="AA499" s="20"/>
      <c r="AB499" s="20"/>
      <c r="AC499" s="20"/>
    </row>
    <row r="500" spans="1:29">
      <c r="A500" s="307" t="s">
        <v>444</v>
      </c>
      <c r="B500" s="1"/>
      <c r="C500" s="317">
        <f t="shared" si="47"/>
        <v>0</v>
      </c>
      <c r="D500" s="317" t="e">
        <f t="shared" si="47"/>
        <v>#REF!</v>
      </c>
      <c r="E500" s="302">
        <f>E488</f>
        <v>3.75</v>
      </c>
      <c r="F500" s="362" t="s">
        <v>31</v>
      </c>
      <c r="G500" s="319">
        <f t="shared" si="48"/>
        <v>0</v>
      </c>
      <c r="H500" s="319" t="e">
        <f t="shared" si="48"/>
        <v>#REF!</v>
      </c>
      <c r="I500" s="302">
        <f>I488</f>
        <v>3.95</v>
      </c>
      <c r="J500" s="291"/>
      <c r="K500" s="319">
        <f t="shared" si="49"/>
        <v>0</v>
      </c>
      <c r="M500" s="84" t="e">
        <f t="shared" si="50"/>
        <v>#REF!</v>
      </c>
      <c r="W500" s="20"/>
      <c r="X500" s="20"/>
      <c r="Y500" s="20"/>
      <c r="Z500" s="20"/>
      <c r="AA500" s="20"/>
      <c r="AB500" s="20"/>
      <c r="AC500" s="20"/>
    </row>
    <row r="501" spans="1:29">
      <c r="A501" s="321" t="s">
        <v>430</v>
      </c>
      <c r="B501" s="1"/>
      <c r="C501" s="317">
        <f t="shared" si="47"/>
        <v>6256747</v>
      </c>
      <c r="D501" s="317" t="e">
        <f t="shared" si="47"/>
        <v>#REF!</v>
      </c>
      <c r="E501" s="372">
        <f>E490</f>
        <v>4.3570000000000002</v>
      </c>
      <c r="F501" s="319" t="s">
        <v>377</v>
      </c>
      <c r="G501" s="319">
        <f t="shared" si="48"/>
        <v>-2726</v>
      </c>
      <c r="H501" s="319" t="e">
        <f t="shared" si="48"/>
        <v>#REF!</v>
      </c>
      <c r="I501" s="372">
        <f>I490</f>
        <v>4.8559999999999999</v>
      </c>
      <c r="J501" s="321" t="s">
        <v>377</v>
      </c>
      <c r="K501" s="319">
        <f t="shared" si="49"/>
        <v>-3038</v>
      </c>
      <c r="M501" s="84" t="e">
        <f>-((I501*D501)/100)/100</f>
        <v>#REF!</v>
      </c>
      <c r="W501" s="20"/>
      <c r="X501" s="20"/>
      <c r="Y501" s="20"/>
      <c r="Z501" s="20"/>
      <c r="AA501" s="20"/>
      <c r="AB501" s="20"/>
      <c r="AC501" s="20"/>
    </row>
    <row r="502" spans="1:29">
      <c r="A502" s="321" t="s">
        <v>402</v>
      </c>
      <c r="B502" s="1"/>
      <c r="C502" s="317">
        <f t="shared" si="47"/>
        <v>19639451</v>
      </c>
      <c r="D502" s="317" t="e">
        <f t="shared" si="47"/>
        <v>#REF!</v>
      </c>
      <c r="E502" s="372">
        <f>E491</f>
        <v>3.9930000000000003</v>
      </c>
      <c r="F502" s="319" t="s">
        <v>377</v>
      </c>
      <c r="G502" s="319">
        <f t="shared" si="48"/>
        <v>-7842</v>
      </c>
      <c r="H502" s="319" t="e">
        <f t="shared" si="48"/>
        <v>#REF!</v>
      </c>
      <c r="I502" s="372">
        <f>I491</f>
        <v>4.4550000000000001</v>
      </c>
      <c r="J502" s="321" t="s">
        <v>377</v>
      </c>
      <c r="K502" s="319">
        <f t="shared" si="49"/>
        <v>-8749</v>
      </c>
      <c r="M502" s="84" t="e">
        <f>-((I502*D502)/100)/100</f>
        <v>#REF!</v>
      </c>
      <c r="W502" s="20"/>
      <c r="X502" s="20"/>
      <c r="Y502" s="20"/>
      <c r="Z502" s="20"/>
      <c r="AA502" s="20"/>
      <c r="AB502" s="20"/>
      <c r="AC502" s="20"/>
    </row>
    <row r="503" spans="1:29">
      <c r="A503" s="321" t="s">
        <v>403</v>
      </c>
      <c r="B503" s="1"/>
      <c r="C503" s="317">
        <f t="shared" si="47"/>
        <v>14691</v>
      </c>
      <c r="D503" s="317" t="e">
        <f t="shared" si="47"/>
        <v>#REF!</v>
      </c>
      <c r="E503" s="373">
        <f>E492</f>
        <v>45</v>
      </c>
      <c r="F503" s="319" t="s">
        <v>377</v>
      </c>
      <c r="G503" s="319">
        <f t="shared" si="48"/>
        <v>-67</v>
      </c>
      <c r="H503" s="319" t="e">
        <f t="shared" si="48"/>
        <v>#REF!</v>
      </c>
      <c r="I503" s="373">
        <f>I492</f>
        <v>50</v>
      </c>
      <c r="J503" s="321" t="s">
        <v>377</v>
      </c>
      <c r="K503" s="319">
        <f t="shared" si="49"/>
        <v>-74</v>
      </c>
      <c r="M503" s="84" t="e">
        <f>-((I503*D503)/100)/100</f>
        <v>#REF!</v>
      </c>
      <c r="W503" s="20"/>
      <c r="X503" s="20"/>
      <c r="Y503" s="20"/>
      <c r="Z503" s="20"/>
      <c r="AA503" s="20"/>
      <c r="AB503" s="20"/>
      <c r="AC503" s="20"/>
    </row>
    <row r="504" spans="1:29">
      <c r="A504" s="321" t="s">
        <v>446</v>
      </c>
      <c r="B504" s="1"/>
      <c r="C504" s="317">
        <f t="shared" si="47"/>
        <v>165</v>
      </c>
      <c r="D504" s="317">
        <f t="shared" si="47"/>
        <v>166</v>
      </c>
      <c r="E504" s="296">
        <f>'Blocking - detail'!E504</f>
        <v>60</v>
      </c>
      <c r="F504" s="362" t="s">
        <v>31</v>
      </c>
      <c r="G504" s="319">
        <f t="shared" si="48"/>
        <v>9900</v>
      </c>
      <c r="H504" s="319">
        <f t="shared" si="48"/>
        <v>9960</v>
      </c>
      <c r="I504" s="296">
        <f>'Blocking - detail'!I504</f>
        <v>60</v>
      </c>
      <c r="J504" s="1"/>
      <c r="K504" s="319">
        <f t="shared" si="49"/>
        <v>9900</v>
      </c>
      <c r="M504" s="84">
        <f>I504*D504</f>
        <v>9960</v>
      </c>
      <c r="W504" s="20"/>
      <c r="X504" s="20"/>
      <c r="Y504" s="20"/>
      <c r="Z504" s="20"/>
      <c r="AA504" s="20"/>
      <c r="AB504" s="20"/>
      <c r="AC504" s="20"/>
    </row>
    <row r="505" spans="1:29">
      <c r="A505" s="321" t="s">
        <v>447</v>
      </c>
      <c r="B505" s="1"/>
      <c r="C505" s="317">
        <f t="shared" si="47"/>
        <v>78375</v>
      </c>
      <c r="D505" s="317" t="e">
        <f t="shared" si="47"/>
        <v>#REF!</v>
      </c>
      <c r="E505" s="337">
        <f>'Blocking - detail'!E505</f>
        <v>-30</v>
      </c>
      <c r="F505" s="319" t="s">
        <v>377</v>
      </c>
      <c r="G505" s="319">
        <f t="shared" si="48"/>
        <v>-23513</v>
      </c>
      <c r="H505" s="319" t="e">
        <f t="shared" si="48"/>
        <v>#REF!</v>
      </c>
      <c r="I505" s="337">
        <f>'Blocking - detail'!I505</f>
        <v>-30</v>
      </c>
      <c r="J505" s="319" t="s">
        <v>377</v>
      </c>
      <c r="K505" s="319">
        <f t="shared" si="49"/>
        <v>-23513</v>
      </c>
      <c r="M505" s="84" t="e">
        <f>(I505/100)*D505</f>
        <v>#REF!</v>
      </c>
      <c r="W505" s="20"/>
      <c r="X505" s="20"/>
      <c r="Y505" s="20"/>
      <c r="Z505" s="20"/>
      <c r="AA505" s="20"/>
      <c r="AB505" s="20"/>
      <c r="AC505" s="20"/>
    </row>
    <row r="506" spans="1:29">
      <c r="A506" s="1" t="s">
        <v>384</v>
      </c>
      <c r="B506" s="65"/>
      <c r="C506" s="317" t="e">
        <f t="shared" si="47"/>
        <v>#REF!</v>
      </c>
      <c r="D506" s="317">
        <f t="shared" si="47"/>
        <v>909584708.38655555</v>
      </c>
      <c r="E506" s="328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84" t="e">
        <f>SUM(M480:M505)</f>
        <v>#REF!</v>
      </c>
      <c r="P506" s="375"/>
      <c r="W506" s="20"/>
      <c r="X506" s="20"/>
      <c r="Y506" s="20"/>
      <c r="Z506" s="20"/>
      <c r="AA506" s="20"/>
      <c r="AB506" s="20"/>
      <c r="AC506" s="20"/>
    </row>
    <row r="507" spans="1:29">
      <c r="A507" s="1" t="s">
        <v>366</v>
      </c>
      <c r="B507" s="25"/>
      <c r="C507" s="338" t="e">
        <f t="shared" si="47"/>
        <v>#REF!</v>
      </c>
      <c r="D507" s="338">
        <f t="shared" si="47"/>
        <v>0</v>
      </c>
      <c r="E507" s="307"/>
      <c r="F507" s="307"/>
      <c r="G507" s="308" t="e">
        <f t="shared" si="48"/>
        <v>#REF!</v>
      </c>
      <c r="H507" s="308">
        <f t="shared" si="48"/>
        <v>0</v>
      </c>
      <c r="I507" s="307"/>
      <c r="J507" s="307"/>
      <c r="K507" s="308" t="e">
        <f>G507</f>
        <v>#REF!</v>
      </c>
      <c r="M507" s="287"/>
      <c r="N507" s="287"/>
      <c r="O507" s="288"/>
      <c r="W507" s="20"/>
      <c r="X507" s="20"/>
      <c r="Y507" s="20"/>
      <c r="Z507" s="20"/>
      <c r="AA507" s="20"/>
      <c r="AB507" s="20"/>
      <c r="AC507" s="20"/>
    </row>
    <row r="508" spans="1:29" ht="16.5" thickBot="1">
      <c r="A508" s="1" t="s">
        <v>385</v>
      </c>
      <c r="B508" s="1"/>
      <c r="C508" s="364" t="e">
        <f>SUM(C506)+C507</f>
        <v>#REF!</v>
      </c>
      <c r="D508" s="364" t="e">
        <f>SUM(D490:D491)+D507</f>
        <v>#REF!</v>
      </c>
      <c r="E508" s="340"/>
      <c r="F508" s="341"/>
      <c r="G508" s="342" t="e">
        <f>G506+G507</f>
        <v>#REF!</v>
      </c>
      <c r="H508" s="342" t="e">
        <f>H506+H507</f>
        <v>#REF!</v>
      </c>
      <c r="I508" s="340"/>
      <c r="J508" s="343"/>
      <c r="K508" s="342" t="e">
        <f>K506+K507</f>
        <v>#REF!</v>
      </c>
      <c r="M508" s="289"/>
      <c r="N508" s="3" t="s">
        <v>412</v>
      </c>
      <c r="O508" s="84" t="e">
        <f>#REF!*1000</f>
        <v>#REF!</v>
      </c>
      <c r="W508" s="20"/>
      <c r="X508" s="20"/>
      <c r="Y508" s="20"/>
      <c r="Z508" s="20"/>
      <c r="AA508" s="20"/>
      <c r="AB508" s="20"/>
      <c r="AC508" s="20"/>
    </row>
    <row r="509" spans="1:29" ht="16.5" thickTop="1">
      <c r="A509" s="1"/>
      <c r="B509" s="1"/>
      <c r="C509" s="21"/>
      <c r="D509" s="21"/>
      <c r="E509" s="335"/>
      <c r="F509" s="2"/>
      <c r="G509" s="2"/>
      <c r="H509" s="2"/>
      <c r="I509" s="351" t="s">
        <v>31</v>
      </c>
      <c r="J509" s="1"/>
      <c r="K509" s="2" t="s">
        <v>31</v>
      </c>
      <c r="N509" s="3" t="s">
        <v>265</v>
      </c>
      <c r="O509" s="84" t="e">
        <f>O508-K508</f>
        <v>#REF!</v>
      </c>
      <c r="P509" s="274" t="e">
        <f>(O508-K508)/K508</f>
        <v>#REF!</v>
      </c>
      <c r="W509" s="20"/>
      <c r="X509" s="20"/>
      <c r="Y509" s="20"/>
      <c r="Z509" s="20"/>
      <c r="AA509" s="20"/>
      <c r="AB509" s="20"/>
      <c r="AC509" s="20"/>
    </row>
    <row r="510" spans="1:29">
      <c r="A510" s="291" t="s">
        <v>439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  <c r="W510" s="20"/>
      <c r="X510" s="20"/>
      <c r="Y510" s="20"/>
      <c r="Z510" s="20"/>
      <c r="AA510" s="20"/>
      <c r="AB510" s="20"/>
      <c r="AC510" s="20"/>
    </row>
    <row r="511" spans="1:29">
      <c r="A511" s="307" t="s">
        <v>448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274" t="e">
        <f>O509/(K490+K491)</f>
        <v>#REF!</v>
      </c>
      <c r="W511" s="20"/>
      <c r="X511" s="20"/>
      <c r="Y511" s="20"/>
      <c r="Z511" s="20"/>
      <c r="AA511" s="20"/>
      <c r="AB511" s="20"/>
      <c r="AC511" s="20"/>
    </row>
    <row r="512" spans="1:29">
      <c r="A512" s="321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20"/>
      <c r="N512" s="20"/>
      <c r="O512" s="74"/>
      <c r="P512" s="74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</row>
    <row r="513" spans="1:29">
      <c r="A513" s="321" t="s">
        <v>396</v>
      </c>
      <c r="B513" s="1"/>
      <c r="C513" s="317"/>
      <c r="D513" s="317"/>
      <c r="E513" s="2"/>
      <c r="F513" s="2"/>
      <c r="G513" s="1"/>
      <c r="H513" s="1"/>
      <c r="I513" s="2"/>
      <c r="J513" s="1"/>
      <c r="K513" s="1"/>
      <c r="M513" s="20"/>
      <c r="N513" s="20"/>
      <c r="O513" s="74"/>
      <c r="P513" s="74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</row>
    <row r="514" spans="1:29">
      <c r="A514" s="321" t="s">
        <v>424</v>
      </c>
      <c r="B514" s="1"/>
      <c r="C514" s="317">
        <f>15+3+272</f>
        <v>290</v>
      </c>
      <c r="D514" s="317">
        <v>294</v>
      </c>
      <c r="E514" s="296">
        <f>$E$480</f>
        <v>225</v>
      </c>
      <c r="F514" s="321"/>
      <c r="G514" s="319">
        <f>ROUND(E514*$C514,0)</f>
        <v>65250</v>
      </c>
      <c r="H514" s="319">
        <f>ROUND(E514*$D514,0)</f>
        <v>66150</v>
      </c>
      <c r="I514" s="296">
        <f>$I$480</f>
        <v>245</v>
      </c>
      <c r="J514" s="321"/>
      <c r="K514" s="319">
        <f>ROUND(I514*$C514,0)</f>
        <v>71050</v>
      </c>
      <c r="M514" s="20"/>
      <c r="N514" s="20"/>
      <c r="O514" s="74"/>
      <c r="P514" s="74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</row>
    <row r="515" spans="1:29">
      <c r="A515" s="321" t="s">
        <v>425</v>
      </c>
      <c r="B515" s="1"/>
      <c r="C515" s="317">
        <f>891+24+6737</f>
        <v>7652</v>
      </c>
      <c r="D515" s="317">
        <v>7746</v>
      </c>
      <c r="E515" s="296">
        <f>$E$481</f>
        <v>83</v>
      </c>
      <c r="F515" s="321"/>
      <c r="G515" s="319">
        <f>ROUND(E515*$C515,0)</f>
        <v>635116</v>
      </c>
      <c r="H515" s="319">
        <f>ROUND(E515*$D515,0)</f>
        <v>642918</v>
      </c>
      <c r="I515" s="296">
        <f>$I$481</f>
        <v>90</v>
      </c>
      <c r="J515" s="321"/>
      <c r="K515" s="319">
        <f>ROUND(I515*$C515,0)</f>
        <v>688680</v>
      </c>
      <c r="M515" s="20"/>
      <c r="N515" s="20"/>
      <c r="O515" s="74"/>
      <c r="P515" s="74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</row>
    <row r="516" spans="1:29">
      <c r="A516" s="321" t="s">
        <v>426</v>
      </c>
      <c r="B516" s="1"/>
      <c r="C516" s="317">
        <f>218+106+2548</f>
        <v>2872</v>
      </c>
      <c r="D516" s="317">
        <v>2907</v>
      </c>
      <c r="E516" s="296">
        <f>$E$482</f>
        <v>166</v>
      </c>
      <c r="F516" s="323"/>
      <c r="G516" s="319">
        <f>ROUND(E516*$C516,0)</f>
        <v>476752</v>
      </c>
      <c r="H516" s="319">
        <f>ROUND(E516*$D516,0)</f>
        <v>482562</v>
      </c>
      <c r="I516" s="296">
        <f>$I$482</f>
        <v>180</v>
      </c>
      <c r="J516" s="323"/>
      <c r="K516" s="319">
        <f>ROUND(I516*$C516,0)</f>
        <v>516960</v>
      </c>
      <c r="M516" s="20"/>
      <c r="N516" s="20"/>
      <c r="O516" s="74"/>
      <c r="P516" s="74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</row>
    <row r="517" spans="1:29">
      <c r="A517" s="321" t="s">
        <v>397</v>
      </c>
      <c r="B517" s="1"/>
      <c r="C517" s="317">
        <f>SUM(C514:C516)</f>
        <v>10814</v>
      </c>
      <c r="D517" s="317">
        <f>SUM(D514:D516)</f>
        <v>10947</v>
      </c>
      <c r="E517" s="296"/>
      <c r="F517" s="321"/>
      <c r="G517" s="319"/>
      <c r="H517" s="319"/>
      <c r="I517" s="296"/>
      <c r="J517" s="321"/>
      <c r="K517" s="319"/>
      <c r="M517" s="20"/>
      <c r="N517" s="20"/>
      <c r="O517" s="74"/>
      <c r="P517" s="74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</row>
    <row r="518" spans="1:29">
      <c r="A518" s="321" t="s">
        <v>425</v>
      </c>
      <c r="B518" s="1"/>
      <c r="C518" s="317">
        <f>161511+4370+1155196</f>
        <v>1321077</v>
      </c>
      <c r="D518" s="317" t="e">
        <f>ROUND(($D$540/'Billing Determinants (2)'!$C$540)*C518,0)</f>
        <v>#REF!</v>
      </c>
      <c r="E518" s="296">
        <f>$E$484</f>
        <v>1.47</v>
      </c>
      <c r="F518" s="321" t="s">
        <v>31</v>
      </c>
      <c r="G518" s="319">
        <f>ROUND(E518*$C518,0)</f>
        <v>1941983</v>
      </c>
      <c r="H518" s="319" t="e">
        <f>ROUND(E518*$D518,0)</f>
        <v>#REF!</v>
      </c>
      <c r="I518" s="296">
        <f>$I$484</f>
        <v>1.6</v>
      </c>
      <c r="J518" s="321" t="s">
        <v>31</v>
      </c>
      <c r="K518" s="319">
        <f>ROUND(I518*$C518,0)</f>
        <v>2113723</v>
      </c>
      <c r="M518" s="20"/>
      <c r="N518" s="20"/>
      <c r="O518" s="74"/>
      <c r="P518" s="74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</row>
    <row r="519" spans="1:29">
      <c r="A519" s="321" t="s">
        <v>426</v>
      </c>
      <c r="B519" s="1"/>
      <c r="C519" s="317">
        <f>119211+61985+1218712</f>
        <v>1399908</v>
      </c>
      <c r="D519" s="317" t="e">
        <f>ROUND(($D$540/'Billing Determinants (2)'!$C$540)*C519,0)</f>
        <v>#REF!</v>
      </c>
      <c r="E519" s="296">
        <f>$E$485</f>
        <v>1.2</v>
      </c>
      <c r="F519" s="321" t="s">
        <v>31</v>
      </c>
      <c r="G519" s="319">
        <f>ROUND(E519*$C519,0)</f>
        <v>1679890</v>
      </c>
      <c r="H519" s="319" t="e">
        <f>ROUND(E519*$D519,0)</f>
        <v>#REF!</v>
      </c>
      <c r="I519" s="296">
        <f>$I$485</f>
        <v>1.3</v>
      </c>
      <c r="J519" s="321" t="s">
        <v>31</v>
      </c>
      <c r="K519" s="319">
        <f>ROUND(I519*$C519,0)</f>
        <v>1819880</v>
      </c>
      <c r="M519" s="20"/>
      <c r="N519" s="20"/>
      <c r="O519" s="74"/>
      <c r="P519" s="74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</row>
    <row r="520" spans="1:29">
      <c r="A520" s="307" t="s">
        <v>427</v>
      </c>
      <c r="B520" s="1"/>
      <c r="C520" s="317"/>
      <c r="D520" s="317"/>
      <c r="E520" s="353"/>
      <c r="F520" s="321"/>
      <c r="G520" s="319"/>
      <c r="H520" s="319"/>
      <c r="I520" s="353"/>
      <c r="J520" s="321"/>
      <c r="K520" s="319"/>
      <c r="M520" s="20"/>
      <c r="N520" s="20"/>
      <c r="O520" s="74"/>
      <c r="P520" s="74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</row>
    <row r="521" spans="1:29">
      <c r="A521" s="307" t="s">
        <v>428</v>
      </c>
      <c r="B521" s="1"/>
      <c r="C521" s="317">
        <f>1068+119254+79096+150+3376+49943+17200+887264+924289</f>
        <v>2081640</v>
      </c>
      <c r="D521" s="317" t="e">
        <f>ROUND(($D$540/'Billing Determinants (2)'!$C$540)*C521,0)</f>
        <v>#REF!</v>
      </c>
      <c r="E521" s="296">
        <f>$E$487</f>
        <v>3.75</v>
      </c>
      <c r="F521" s="321"/>
      <c r="G521" s="319">
        <f>ROUND(E521*$C521,0)</f>
        <v>7806150</v>
      </c>
      <c r="H521" s="319" t="e">
        <f>ROUND(E521*$D521,0)</f>
        <v>#REF!</v>
      </c>
      <c r="I521" s="296">
        <f>$I$487</f>
        <v>3.95</v>
      </c>
      <c r="J521" s="321"/>
      <c r="K521" s="319">
        <f>ROUND(I521*$C521,0)</f>
        <v>8222478</v>
      </c>
      <c r="M521" s="20"/>
      <c r="N521" s="20"/>
      <c r="O521" s="74"/>
      <c r="P521" s="74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</row>
    <row r="522" spans="1:29">
      <c r="A522" s="307" t="s">
        <v>444</v>
      </c>
      <c r="B522" s="1"/>
      <c r="C522" s="317">
        <v>0</v>
      </c>
      <c r="D522" s="317" t="e">
        <f>ROUND(($D$540/'Billing Determinants (2)'!$C$540)*C522,0)</f>
        <v>#REF!</v>
      </c>
      <c r="E522" s="367">
        <f>E521</f>
        <v>3.75</v>
      </c>
      <c r="F522" s="321"/>
      <c r="G522" s="319">
        <f>ROUND(E522*$C522,0)</f>
        <v>0</v>
      </c>
      <c r="H522" s="319" t="e">
        <f>ROUND(E522*$D522,0)</f>
        <v>#REF!</v>
      </c>
      <c r="I522" s="367">
        <f>I521</f>
        <v>3.95</v>
      </c>
      <c r="J522" s="321"/>
      <c r="K522" s="319">
        <f>ROUND(I522*$C522,0)</f>
        <v>0</v>
      </c>
      <c r="M522" s="20"/>
      <c r="N522" s="20"/>
      <c r="O522" s="74"/>
      <c r="P522" s="74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</row>
    <row r="523" spans="1:29">
      <c r="A523" s="321" t="s">
        <v>429</v>
      </c>
      <c r="B523" s="1"/>
      <c r="C523" s="317"/>
      <c r="D523" s="317"/>
      <c r="E523" s="296"/>
      <c r="F523" s="321"/>
      <c r="G523" s="319"/>
      <c r="H523" s="319"/>
      <c r="I523" s="296"/>
      <c r="J523" s="321"/>
      <c r="K523" s="319"/>
      <c r="M523" s="20"/>
      <c r="N523" s="20"/>
      <c r="O523" s="74"/>
      <c r="P523" s="74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</row>
    <row r="524" spans="1:29">
      <c r="A524" s="321" t="s">
        <v>430</v>
      </c>
      <c r="B524" s="317"/>
      <c r="C524" s="317" t="e">
        <f>251081+26399950+8327667+8480+907600+4146400+4006185+206696529+96381069+#REF!*1000</f>
        <v>#REF!</v>
      </c>
      <c r="D524" s="317" t="e">
        <f>ROUND(($D$540/'Billing Determinants (2)'!$C$540)*C524,0)</f>
        <v>#REF!</v>
      </c>
      <c r="E524" s="368">
        <f>$E$490</f>
        <v>4.3570000000000002</v>
      </c>
      <c r="F524" s="321" t="s">
        <v>377</v>
      </c>
      <c r="G524" s="319" t="e">
        <f>ROUND(E524*$C524/100,0)</f>
        <v>#REF!</v>
      </c>
      <c r="H524" s="319" t="e">
        <f>ROUND(E524*$D524/100,0)</f>
        <v>#REF!</v>
      </c>
      <c r="I524" s="325">
        <f>$I$490</f>
        <v>4.8559999999999999</v>
      </c>
      <c r="J524" s="321" t="s">
        <v>377</v>
      </c>
      <c r="K524" s="319" t="e">
        <f>ROUND(I524*$C524/100,0)</f>
        <v>#REF!</v>
      </c>
      <c r="M524" s="20"/>
      <c r="N524" s="20"/>
      <c r="O524" s="74"/>
      <c r="P524" s="74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</row>
    <row r="525" spans="1:29">
      <c r="A525" s="321" t="s">
        <v>402</v>
      </c>
      <c r="B525" s="317"/>
      <c r="C525" s="317" t="e">
        <f>251081+44206075+35863656+8480+1348200+18841920+4093885+288814372+368801759-C524+#REF!*1000+#REF!*1000</f>
        <v>#REF!</v>
      </c>
      <c r="D525" s="317" t="e">
        <f>ROUND(($D$540/'Billing Determinants (2)'!$C$540)*C525,0)</f>
        <v>#REF!</v>
      </c>
      <c r="E525" s="368">
        <f>$E$491</f>
        <v>3.9930000000000003</v>
      </c>
      <c r="F525" s="321" t="s">
        <v>377</v>
      </c>
      <c r="G525" s="319" t="e">
        <f>ROUND(E525*$C525/100,0)</f>
        <v>#REF!</v>
      </c>
      <c r="H525" s="319" t="e">
        <f>ROUND(E525*$D525/100,0)</f>
        <v>#REF!</v>
      </c>
      <c r="I525" s="325">
        <f>$I$491</f>
        <v>4.4550000000000001</v>
      </c>
      <c r="J525" s="321" t="s">
        <v>377</v>
      </c>
      <c r="K525" s="319" t="e">
        <f>ROUND(I525*$C525/100,0)</f>
        <v>#REF!</v>
      </c>
      <c r="M525" s="20"/>
      <c r="N525" s="20"/>
      <c r="O525" s="74"/>
      <c r="P525" s="74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</row>
    <row r="526" spans="1:29">
      <c r="A526" s="321" t="s">
        <v>403</v>
      </c>
      <c r="B526" s="1"/>
      <c r="C526" s="317">
        <f>25+26086+19444+27+10311+1383+154262+167734</f>
        <v>379272</v>
      </c>
      <c r="D526" s="317" t="e">
        <f>ROUND(($D$540/'Billing Determinants (2)'!$C$540)*C526,0)</f>
        <v>#REF!</v>
      </c>
      <c r="E526" s="337">
        <f>$E$492</f>
        <v>45</v>
      </c>
      <c r="F526" s="321" t="s">
        <v>377</v>
      </c>
      <c r="G526" s="319">
        <f>ROUND(E526*$C526/100,0)</f>
        <v>170672</v>
      </c>
      <c r="H526" s="319" t="e">
        <f>ROUND(E526*$D526/100,0)</f>
        <v>#REF!</v>
      </c>
      <c r="I526" s="473">
        <f>$I$492</f>
        <v>50</v>
      </c>
      <c r="J526" s="321" t="s">
        <v>377</v>
      </c>
      <c r="K526" s="319">
        <f>ROUND(I526*$C526/100,0)</f>
        <v>189636</v>
      </c>
      <c r="M526" s="20"/>
      <c r="N526" s="20"/>
      <c r="O526" s="74"/>
      <c r="P526" s="74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</row>
    <row r="527" spans="1:29">
      <c r="A527" s="358" t="s">
        <v>404</v>
      </c>
      <c r="B527" s="1"/>
      <c r="C527" s="317"/>
      <c r="D527" s="317"/>
      <c r="E527" s="330">
        <v>-0.01</v>
      </c>
      <c r="F527" s="2"/>
      <c r="G527" s="319"/>
      <c r="H527" s="319"/>
      <c r="I527" s="330">
        <v>-0.01</v>
      </c>
      <c r="J527" s="1"/>
      <c r="K527" s="319"/>
      <c r="M527" s="20"/>
      <c r="N527" s="20"/>
      <c r="O527" s="74"/>
      <c r="P527" s="74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</row>
    <row r="528" spans="1:29">
      <c r="A528" s="321" t="s">
        <v>424</v>
      </c>
      <c r="B528" s="21"/>
      <c r="C528" s="317">
        <v>3</v>
      </c>
      <c r="D528" s="317">
        <v>3</v>
      </c>
      <c r="E528" s="302">
        <f>E514</f>
        <v>225</v>
      </c>
      <c r="F528" s="362"/>
      <c r="G528" s="319">
        <f>ROUND(E528*$C528*E527,0)</f>
        <v>-7</v>
      </c>
      <c r="H528" s="319">
        <f>ROUND(E528*$D528*E527,0)</f>
        <v>-7</v>
      </c>
      <c r="I528" s="302">
        <f>I514</f>
        <v>245</v>
      </c>
      <c r="J528" s="291"/>
      <c r="K528" s="319">
        <f>ROUND(I528*$C528*I527,0)</f>
        <v>-7</v>
      </c>
      <c r="M528" s="20"/>
      <c r="N528" s="20"/>
      <c r="O528" s="74"/>
      <c r="P528" s="74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</row>
    <row r="529" spans="1:29">
      <c r="A529" s="321" t="s">
        <v>425</v>
      </c>
      <c r="B529" s="1"/>
      <c r="C529" s="317">
        <f>24</f>
        <v>24</v>
      </c>
      <c r="D529" s="317">
        <v>24</v>
      </c>
      <c r="E529" s="302">
        <f>E515</f>
        <v>83</v>
      </c>
      <c r="F529" s="362"/>
      <c r="G529" s="319">
        <f>ROUND(E529*$C529*E527,0)</f>
        <v>-20</v>
      </c>
      <c r="H529" s="319">
        <f>ROUND(E529*$D529*E527,0)</f>
        <v>-20</v>
      </c>
      <c r="I529" s="302">
        <f>I515</f>
        <v>90</v>
      </c>
      <c r="J529" s="291"/>
      <c r="K529" s="319">
        <f>ROUND(I529*$C529*I527,0)</f>
        <v>-22</v>
      </c>
      <c r="M529" s="20"/>
      <c r="N529" s="20"/>
      <c r="O529" s="74"/>
      <c r="P529" s="74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</row>
    <row r="530" spans="1:29">
      <c r="A530" s="321" t="s">
        <v>426</v>
      </c>
      <c r="B530" s="1"/>
      <c r="C530" s="317">
        <f>106</f>
        <v>106</v>
      </c>
      <c r="D530" s="317">
        <v>107</v>
      </c>
      <c r="E530" s="302">
        <f>E516</f>
        <v>166</v>
      </c>
      <c r="F530" s="370"/>
      <c r="G530" s="319">
        <f>ROUND(E530*$C530*E527,0)</f>
        <v>-176</v>
      </c>
      <c r="H530" s="319">
        <f>ROUND(E530*$D530*E527,0)</f>
        <v>-178</v>
      </c>
      <c r="I530" s="302">
        <f>I516</f>
        <v>180</v>
      </c>
      <c r="J530" s="371"/>
      <c r="K530" s="319">
        <f>ROUND(I530*$C530*I527,0)</f>
        <v>-191</v>
      </c>
      <c r="M530" s="20"/>
      <c r="N530" s="20"/>
      <c r="O530" s="74"/>
      <c r="P530" s="74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</row>
    <row r="531" spans="1:29">
      <c r="A531" s="321" t="s">
        <v>425</v>
      </c>
      <c r="B531" s="1"/>
      <c r="C531" s="317">
        <f>4585</f>
        <v>4585</v>
      </c>
      <c r="D531" s="317" t="e">
        <f>ROUND(($D$540/'Billing Determinants (2)'!$C$540)*C531,0)</f>
        <v>#REF!</v>
      </c>
      <c r="E531" s="302">
        <f>E518</f>
        <v>1.47</v>
      </c>
      <c r="F531" s="362"/>
      <c r="G531" s="319">
        <f>ROUND(E531*$C531*E527,0)</f>
        <v>-67</v>
      </c>
      <c r="H531" s="319" t="e">
        <f>ROUND(E531*$D531*E527,0)</f>
        <v>#REF!</v>
      </c>
      <c r="I531" s="302">
        <f>I518</f>
        <v>1.6</v>
      </c>
      <c r="J531" s="291"/>
      <c r="K531" s="319">
        <f>ROUND(I531*$C531*I527,0)</f>
        <v>-73</v>
      </c>
      <c r="M531" s="20"/>
      <c r="N531" s="20"/>
      <c r="O531" s="474"/>
      <c r="P531" s="74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</row>
    <row r="532" spans="1:29">
      <c r="A532" s="321" t="s">
        <v>426</v>
      </c>
      <c r="B532" s="1"/>
      <c r="C532" s="317">
        <v>65891</v>
      </c>
      <c r="D532" s="317" t="e">
        <f>ROUND(($D$540/'Billing Determinants (2)'!$C$540)*C532,0)</f>
        <v>#REF!</v>
      </c>
      <c r="E532" s="302">
        <f>E519</f>
        <v>1.2</v>
      </c>
      <c r="F532" s="362" t="s">
        <v>31</v>
      </c>
      <c r="G532" s="319">
        <f>ROUND(E532*$C532*E527,0)</f>
        <v>-791</v>
      </c>
      <c r="H532" s="319" t="e">
        <f>ROUND(E532*$D532*E527,0)</f>
        <v>#REF!</v>
      </c>
      <c r="I532" s="302">
        <f>I519</f>
        <v>1.3</v>
      </c>
      <c r="J532" s="291"/>
      <c r="K532" s="319">
        <f>ROUND(I532*$C532*I527,0)</f>
        <v>-857</v>
      </c>
      <c r="M532" s="20"/>
      <c r="N532" s="20"/>
      <c r="O532" s="74"/>
      <c r="P532" s="74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</row>
    <row r="533" spans="1:29">
      <c r="A533" s="307" t="s">
        <v>428</v>
      </c>
      <c r="B533" s="1"/>
      <c r="C533" s="317">
        <f>150+3376+49943</f>
        <v>53469</v>
      </c>
      <c r="D533" s="317" t="e">
        <f>ROUND(($D$540/'Billing Determinants (2)'!$C$540)*C533,0)</f>
        <v>#REF!</v>
      </c>
      <c r="E533" s="302">
        <f>E521</f>
        <v>3.75</v>
      </c>
      <c r="F533" s="362" t="s">
        <v>31</v>
      </c>
      <c r="G533" s="319">
        <f>ROUND(E533*$C533*E527,0)</f>
        <v>-2005</v>
      </c>
      <c r="H533" s="319" t="e">
        <f>ROUND(E533*$D533*E527,0)</f>
        <v>#REF!</v>
      </c>
      <c r="I533" s="302">
        <f>I521</f>
        <v>3.95</v>
      </c>
      <c r="J533" s="291"/>
      <c r="K533" s="319">
        <f>ROUND(I533*$C533*I527,0)</f>
        <v>-2112</v>
      </c>
      <c r="M533" s="20"/>
      <c r="N533" s="20"/>
      <c r="O533" s="74"/>
      <c r="P533" s="74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</row>
    <row r="534" spans="1:29">
      <c r="A534" s="307" t="s">
        <v>444</v>
      </c>
      <c r="B534" s="1"/>
      <c r="C534" s="317">
        <v>0</v>
      </c>
      <c r="D534" s="317" t="e">
        <f>ROUND(($D$540/'Billing Determinants (2)'!$C$540)*C534,0)</f>
        <v>#REF!</v>
      </c>
      <c r="E534" s="302">
        <f>E522</f>
        <v>3.75</v>
      </c>
      <c r="F534" s="362" t="s">
        <v>31</v>
      </c>
      <c r="G534" s="319">
        <f>ROUND(E534*$C534*E527,0)</f>
        <v>0</v>
      </c>
      <c r="H534" s="319" t="e">
        <f>ROUND(E534*$D534*E527,0)</f>
        <v>#REF!</v>
      </c>
      <c r="I534" s="302">
        <f>I522</f>
        <v>3.95</v>
      </c>
      <c r="J534" s="291"/>
      <c r="K534" s="319">
        <f>ROUND(I534*$C534*I527,0)</f>
        <v>0</v>
      </c>
      <c r="M534" s="20"/>
      <c r="N534" s="20"/>
      <c r="O534" s="74"/>
      <c r="P534" s="74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</row>
    <row r="535" spans="1:29">
      <c r="A535" s="321" t="s">
        <v>430</v>
      </c>
      <c r="B535" s="1"/>
      <c r="C535" s="317">
        <f>8480+907600+4146400</f>
        <v>5062480</v>
      </c>
      <c r="D535" s="317" t="e">
        <f>ROUND(($D$540/'Billing Determinants (2)'!$C$540)*C535,0)</f>
        <v>#REF!</v>
      </c>
      <c r="E535" s="372">
        <f>E524</f>
        <v>4.3570000000000002</v>
      </c>
      <c r="F535" s="319" t="s">
        <v>377</v>
      </c>
      <c r="G535" s="319">
        <f>ROUND(E535*$C535/100*E527,0)</f>
        <v>-2206</v>
      </c>
      <c r="H535" s="319" t="e">
        <f>ROUND(E535*$D535/100*E527,0)</f>
        <v>#REF!</v>
      </c>
      <c r="I535" s="372">
        <f>I524</f>
        <v>4.8559999999999999</v>
      </c>
      <c r="J535" s="321" t="s">
        <v>377</v>
      </c>
      <c r="K535" s="319">
        <f>ROUND(I535*$C535/100*I527,0)</f>
        <v>-2458</v>
      </c>
      <c r="M535" s="414"/>
      <c r="N535" s="414"/>
      <c r="O535" s="74"/>
      <c r="P535" s="74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</row>
    <row r="536" spans="1:29">
      <c r="A536" s="321" t="s">
        <v>402</v>
      </c>
      <c r="B536" s="1"/>
      <c r="C536" s="317">
        <f>8480+1348200+18841920-C535</f>
        <v>15136120</v>
      </c>
      <c r="D536" s="317" t="e">
        <f>ROUND(($D$540/'Billing Determinants (2)'!$C$540)*C536,0)</f>
        <v>#REF!</v>
      </c>
      <c r="E536" s="372">
        <f>E525</f>
        <v>3.9930000000000003</v>
      </c>
      <c r="F536" s="319" t="s">
        <v>377</v>
      </c>
      <c r="G536" s="319">
        <f>ROUND(E536*$C536/100*E527,0)</f>
        <v>-6044</v>
      </c>
      <c r="H536" s="319" t="e">
        <f>ROUND(E536*$D536/100*E527,0)</f>
        <v>#REF!</v>
      </c>
      <c r="I536" s="372">
        <f>I525</f>
        <v>4.4550000000000001</v>
      </c>
      <c r="J536" s="321" t="s">
        <v>377</v>
      </c>
      <c r="K536" s="319">
        <f>ROUND(I536*$C536/100*I527,0)</f>
        <v>-6743</v>
      </c>
      <c r="M536" s="20"/>
      <c r="N536" s="20"/>
      <c r="O536" s="74"/>
      <c r="P536" s="74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</row>
    <row r="537" spans="1:29">
      <c r="A537" s="321" t="s">
        <v>403</v>
      </c>
      <c r="B537" s="1"/>
      <c r="C537" s="317">
        <f>27+10311</f>
        <v>10338</v>
      </c>
      <c r="D537" s="317" t="e">
        <f>ROUND(($D$540/'Billing Determinants (2)'!$C$540)*C537,0)</f>
        <v>#REF!</v>
      </c>
      <c r="E537" s="373">
        <f>E526</f>
        <v>45</v>
      </c>
      <c r="F537" s="319" t="s">
        <v>377</v>
      </c>
      <c r="G537" s="319">
        <f>ROUND(E537*$C537/100*E527,0)</f>
        <v>-47</v>
      </c>
      <c r="H537" s="319" t="e">
        <f>ROUND(E537*$D537/100*E527,0)</f>
        <v>#REF!</v>
      </c>
      <c r="I537" s="373">
        <f>I526</f>
        <v>50</v>
      </c>
      <c r="J537" s="321" t="s">
        <v>377</v>
      </c>
      <c r="K537" s="319">
        <f>ROUND(I537*$C537/100*I527,0)</f>
        <v>-52</v>
      </c>
      <c r="M537" s="20"/>
      <c r="N537" s="20"/>
      <c r="O537" s="74"/>
      <c r="P537" s="74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</row>
    <row r="538" spans="1:29">
      <c r="A538" s="321" t="s">
        <v>446</v>
      </c>
      <c r="B538" s="1"/>
      <c r="C538" s="317">
        <f>3+24+106</f>
        <v>133</v>
      </c>
      <c r="D538" s="317">
        <v>135</v>
      </c>
      <c r="E538" s="296">
        <f>$E$504</f>
        <v>60</v>
      </c>
      <c r="F538" s="362" t="s">
        <v>31</v>
      </c>
      <c r="G538" s="319">
        <f>ROUND(E538*$C538,0)</f>
        <v>7980</v>
      </c>
      <c r="H538" s="319">
        <f>ROUND(E538*$D538,0)</f>
        <v>8100</v>
      </c>
      <c r="I538" s="296">
        <f>$I$504</f>
        <v>60</v>
      </c>
      <c r="J538" s="1"/>
      <c r="K538" s="319">
        <f>ROUND(I538*$C538,0)</f>
        <v>7980</v>
      </c>
      <c r="M538" s="20"/>
      <c r="N538" s="20"/>
      <c r="O538" s="74"/>
      <c r="P538" s="475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</row>
    <row r="539" spans="1:29">
      <c r="A539" s="321" t="s">
        <v>447</v>
      </c>
      <c r="B539" s="303"/>
      <c r="C539" s="317">
        <f>4370+61985</f>
        <v>66355</v>
      </c>
      <c r="D539" s="317" t="e">
        <f>ROUND(($D$540/'Billing Determinants (2)'!$C$540)*C539,0)</f>
        <v>#REF!</v>
      </c>
      <c r="E539" s="337">
        <f>$E$505</f>
        <v>-30</v>
      </c>
      <c r="F539" s="319" t="s">
        <v>377</v>
      </c>
      <c r="G539" s="319">
        <f>ROUND(E539*$C539/100,0)</f>
        <v>-19907</v>
      </c>
      <c r="H539" s="319" t="e">
        <f>ROUND(E539*$D539/100,0)</f>
        <v>#REF!</v>
      </c>
      <c r="I539" s="337">
        <f>$I$505</f>
        <v>-30</v>
      </c>
      <c r="J539" s="319" t="s">
        <v>377</v>
      </c>
      <c r="K539" s="319">
        <f>ROUND(I539*$C539/100,0)</f>
        <v>-19907</v>
      </c>
      <c r="M539" s="20"/>
      <c r="N539" s="20"/>
      <c r="O539" s="74"/>
      <c r="P539" s="74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</row>
    <row r="540" spans="1:29">
      <c r="A540" s="1" t="s">
        <v>384</v>
      </c>
      <c r="B540" s="305"/>
      <c r="C540" s="317" t="e">
        <f>SUM(C524:C525)</f>
        <v>#REF!</v>
      </c>
      <c r="D540" s="317">
        <v>762801321.03140867</v>
      </c>
      <c r="E540" s="328"/>
      <c r="F540" s="2"/>
      <c r="G540" s="2" t="e">
        <f>SUM(G514:G539)</f>
        <v>#REF!</v>
      </c>
      <c r="H540" s="2" t="e">
        <f>SUM(H514:H539)</f>
        <v>#REF!</v>
      </c>
      <c r="I540" s="328"/>
      <c r="J540" s="1"/>
      <c r="K540" s="2" t="e">
        <f>SUM(K514:K539)</f>
        <v>#REF!</v>
      </c>
      <c r="M540" s="20"/>
      <c r="N540" s="20"/>
      <c r="O540" s="74"/>
      <c r="P540" s="74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</row>
    <row r="541" spans="1:29">
      <c r="A541" s="1" t="s">
        <v>366</v>
      </c>
      <c r="B541" s="1"/>
      <c r="C541" s="347" t="e">
        <f>#REF!</f>
        <v>#REF!</v>
      </c>
      <c r="D541" s="338">
        <v>0</v>
      </c>
      <c r="E541" s="307"/>
      <c r="F541" s="307"/>
      <c r="G541" s="308" t="e">
        <f>#REF!</f>
        <v>#REF!</v>
      </c>
      <c r="H541" s="308">
        <v>0</v>
      </c>
      <c r="I541" s="307"/>
      <c r="J541" s="307"/>
      <c r="K541" s="308" t="e">
        <f>G541</f>
        <v>#REF!</v>
      </c>
      <c r="M541" s="442"/>
      <c r="N541" s="442"/>
      <c r="O541" s="285"/>
      <c r="P541" s="74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</row>
    <row r="542" spans="1:29" ht="16.5" thickBot="1">
      <c r="A542" s="1" t="s">
        <v>385</v>
      </c>
      <c r="B542" s="1"/>
      <c r="C542" s="364" t="e">
        <f>SUM(C540)+C541</f>
        <v>#REF!</v>
      </c>
      <c r="D542" s="364" t="e">
        <f>SUM(D524:D525)+D541</f>
        <v>#REF!</v>
      </c>
      <c r="E542" s="340"/>
      <c r="F542" s="341"/>
      <c r="G542" s="342" t="e">
        <f>G540+G541</f>
        <v>#REF!</v>
      </c>
      <c r="H542" s="342" t="e">
        <f>H540+H541</f>
        <v>#REF!</v>
      </c>
      <c r="I542" s="340"/>
      <c r="J542" s="343"/>
      <c r="K542" s="342" t="e">
        <f>K540+K541</f>
        <v>#REF!</v>
      </c>
      <c r="M542" s="409"/>
      <c r="N542" s="409"/>
      <c r="O542" s="468"/>
      <c r="P542" s="74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</row>
    <row r="543" spans="1:29" ht="16.5" thickTop="1">
      <c r="A543" s="1"/>
      <c r="B543" s="1"/>
      <c r="C543" s="21"/>
      <c r="D543" s="21"/>
      <c r="E543" s="335"/>
      <c r="F543" s="2"/>
      <c r="G543" s="2"/>
      <c r="H543" s="2"/>
      <c r="I543" s="351" t="s">
        <v>31</v>
      </c>
      <c r="J543" s="1"/>
      <c r="K543" s="2" t="s">
        <v>31</v>
      </c>
      <c r="M543" s="20"/>
      <c r="N543" s="20"/>
      <c r="O543" s="74"/>
      <c r="P543" s="74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</row>
    <row r="544" spans="1:29">
      <c r="A544" s="291" t="s">
        <v>439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  <c r="M544" s="20"/>
      <c r="N544" s="20"/>
      <c r="O544" s="74"/>
      <c r="P544" s="74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</row>
    <row r="545" spans="1:29">
      <c r="A545" s="307" t="s">
        <v>449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20"/>
      <c r="N545" s="20"/>
      <c r="O545" s="74"/>
      <c r="P545" s="74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</row>
    <row r="546" spans="1:29">
      <c r="A546" s="321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20"/>
      <c r="N546" s="20"/>
      <c r="O546" s="74"/>
      <c r="P546" s="74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</row>
    <row r="547" spans="1:29">
      <c r="A547" s="321" t="s">
        <v>396</v>
      </c>
      <c r="B547" s="21"/>
      <c r="C547" s="317"/>
      <c r="D547" s="317"/>
      <c r="E547" s="2"/>
      <c r="F547" s="2"/>
      <c r="G547" s="1"/>
      <c r="H547" s="1"/>
      <c r="I547" s="2"/>
      <c r="J547" s="1"/>
      <c r="K547" s="1"/>
      <c r="M547" s="20"/>
      <c r="N547" s="20"/>
      <c r="O547" s="74"/>
      <c r="P547" s="74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</row>
    <row r="548" spans="1:29">
      <c r="A548" s="321" t="s">
        <v>424</v>
      </c>
      <c r="B548" s="1"/>
      <c r="C548" s="317">
        <f>6+4+42</f>
        <v>52</v>
      </c>
      <c r="D548" s="317">
        <v>51</v>
      </c>
      <c r="E548" s="296">
        <f>$E$480</f>
        <v>225</v>
      </c>
      <c r="F548" s="321"/>
      <c r="G548" s="319">
        <f>ROUND(E548*$C548,0)</f>
        <v>11700</v>
      </c>
      <c r="H548" s="319">
        <f>ROUND(E548*$D548,0)</f>
        <v>11475</v>
      </c>
      <c r="I548" s="296">
        <f>$I$480</f>
        <v>245</v>
      </c>
      <c r="J548" s="321"/>
      <c r="K548" s="319">
        <f>ROUND(I548*$C548,0)</f>
        <v>12740</v>
      </c>
      <c r="M548" s="20"/>
      <c r="N548" s="20"/>
      <c r="O548" s="74"/>
      <c r="P548" s="74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</row>
    <row r="549" spans="1:29">
      <c r="A549" s="321" t="s">
        <v>425</v>
      </c>
      <c r="B549" s="1"/>
      <c r="C549" s="317">
        <f>320+13+848</f>
        <v>1181</v>
      </c>
      <c r="D549" s="317">
        <v>1150</v>
      </c>
      <c r="E549" s="296">
        <f>$E$481</f>
        <v>83</v>
      </c>
      <c r="F549" s="321"/>
      <c r="G549" s="319">
        <f>ROUND(E549*$C549,0)</f>
        <v>98023</v>
      </c>
      <c r="H549" s="319">
        <f>ROUND(E549*$D549,0)</f>
        <v>95450</v>
      </c>
      <c r="I549" s="296">
        <f>$I$481</f>
        <v>90</v>
      </c>
      <c r="J549" s="321"/>
      <c r="K549" s="319">
        <f>ROUND(I549*$C549,0)</f>
        <v>106290</v>
      </c>
      <c r="M549" s="20"/>
      <c r="N549" s="20"/>
      <c r="O549" s="74"/>
      <c r="P549" s="74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</row>
    <row r="550" spans="1:29">
      <c r="A550" s="321" t="s">
        <v>426</v>
      </c>
      <c r="B550" s="1"/>
      <c r="C550" s="317">
        <f>20+15+624</f>
        <v>659</v>
      </c>
      <c r="D550" s="317">
        <v>642</v>
      </c>
      <c r="E550" s="296">
        <f>$E$482</f>
        <v>166</v>
      </c>
      <c r="F550" s="323"/>
      <c r="G550" s="319">
        <f>ROUND(E550*$C550,0)</f>
        <v>109394</v>
      </c>
      <c r="H550" s="319">
        <f>ROUND(E550*$D550,0)</f>
        <v>106572</v>
      </c>
      <c r="I550" s="296">
        <f>$I$482</f>
        <v>180</v>
      </c>
      <c r="J550" s="323"/>
      <c r="K550" s="319">
        <f>ROUND(I550*$C550,0)</f>
        <v>118620</v>
      </c>
      <c r="M550" s="20"/>
      <c r="N550" s="20"/>
      <c r="O550" s="74"/>
      <c r="P550" s="74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</row>
    <row r="551" spans="1:29">
      <c r="A551" s="321" t="s">
        <v>397</v>
      </c>
      <c r="B551" s="1"/>
      <c r="C551" s="317">
        <f>SUM(C548:C550)</f>
        <v>1892</v>
      </c>
      <c r="D551" s="317">
        <f>SUM(D548:D550)</f>
        <v>1843</v>
      </c>
      <c r="E551" s="296"/>
      <c r="F551" s="321"/>
      <c r="G551" s="319"/>
      <c r="H551" s="319"/>
      <c r="I551" s="296"/>
      <c r="J551" s="321"/>
      <c r="K551" s="319"/>
      <c r="M551" s="20"/>
      <c r="N551" s="20"/>
      <c r="O551" s="74"/>
      <c r="P551" s="74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</row>
    <row r="552" spans="1:29">
      <c r="A552" s="321" t="s">
        <v>425</v>
      </c>
      <c r="B552" s="1"/>
      <c r="C552" s="317">
        <f>54864+1867+144667</f>
        <v>201398</v>
      </c>
      <c r="D552" s="317">
        <f>ROUND(($D$574/'Billing Determinants (2)'!$C$574)*C552,0)</f>
        <v>209360</v>
      </c>
      <c r="E552" s="296">
        <f>$E$484</f>
        <v>1.47</v>
      </c>
      <c r="F552" s="321" t="s">
        <v>31</v>
      </c>
      <c r="G552" s="319">
        <f>ROUND(E552*$C552,0)</f>
        <v>296055</v>
      </c>
      <c r="H552" s="319">
        <f>ROUND(E552*$D552,0)</f>
        <v>307759</v>
      </c>
      <c r="I552" s="296">
        <f>$I$484</f>
        <v>1.6</v>
      </c>
      <c r="J552" s="321" t="s">
        <v>31</v>
      </c>
      <c r="K552" s="319">
        <f>ROUND(I552*$C552,0)</f>
        <v>322237</v>
      </c>
      <c r="M552" s="20"/>
      <c r="N552" s="20"/>
      <c r="O552" s="74"/>
      <c r="P552" s="74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</row>
    <row r="553" spans="1:29">
      <c r="A553" s="321" t="s">
        <v>426</v>
      </c>
      <c r="B553" s="1"/>
      <c r="C553" s="317">
        <f>6093+10153+350559</f>
        <v>366805</v>
      </c>
      <c r="D553" s="317">
        <f>ROUND(($D$574/'Billing Determinants (2)'!$C$574)*C553,0)</f>
        <v>381307</v>
      </c>
      <c r="E553" s="296">
        <f>$E$485</f>
        <v>1.2</v>
      </c>
      <c r="F553" s="321" t="s">
        <v>31</v>
      </c>
      <c r="G553" s="319">
        <f>ROUND(E553*$C553,0)</f>
        <v>440166</v>
      </c>
      <c r="H553" s="319">
        <f>ROUND(E553*$D553,0)</f>
        <v>457568</v>
      </c>
      <c r="I553" s="296">
        <f>$I$485</f>
        <v>1.3</v>
      </c>
      <c r="J553" s="321" t="s">
        <v>31</v>
      </c>
      <c r="K553" s="319">
        <f>ROUND(I553*$C553,0)</f>
        <v>476847</v>
      </c>
      <c r="M553" s="20"/>
      <c r="N553" s="20"/>
      <c r="O553" s="74"/>
      <c r="P553" s="74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</row>
    <row r="554" spans="1:29">
      <c r="A554" s="307" t="s">
        <v>427</v>
      </c>
      <c r="B554" s="1"/>
      <c r="C554" s="317"/>
      <c r="D554" s="317"/>
      <c r="E554" s="353"/>
      <c r="F554" s="321"/>
      <c r="G554" s="319"/>
      <c r="H554" s="319"/>
      <c r="I554" s="353"/>
      <c r="J554" s="321"/>
      <c r="K554" s="319"/>
      <c r="M554" s="20"/>
      <c r="N554" s="20"/>
      <c r="O554" s="74"/>
      <c r="P554" s="74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</row>
    <row r="555" spans="1:29">
      <c r="A555" s="307" t="s">
        <v>428</v>
      </c>
      <c r="B555" s="1"/>
      <c r="C555" s="317">
        <f>300+25155+1985+244+1804+9245+2788+120834+284508</f>
        <v>446863</v>
      </c>
      <c r="D555" s="317">
        <f>ROUND(($D$574/'Billing Determinants (2)'!$C$574)*C555,0)</f>
        <v>464530</v>
      </c>
      <c r="E555" s="296">
        <f>$E$487</f>
        <v>3.75</v>
      </c>
      <c r="F555" s="321"/>
      <c r="G555" s="319">
        <f>ROUND(E555*$C555,0)</f>
        <v>1675736</v>
      </c>
      <c r="H555" s="319">
        <f>ROUND(E555*$D555,0)</f>
        <v>1741988</v>
      </c>
      <c r="I555" s="296">
        <f>$I$487</f>
        <v>3.95</v>
      </c>
      <c r="J555" s="321"/>
      <c r="K555" s="319">
        <f>ROUND(I555*$C555,0)</f>
        <v>1765109</v>
      </c>
      <c r="M555" s="20"/>
      <c r="N555" s="20"/>
      <c r="O555" s="74"/>
      <c r="P555" s="74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</row>
    <row r="556" spans="1:29">
      <c r="A556" s="307" t="s">
        <v>444</v>
      </c>
      <c r="B556" s="1"/>
      <c r="C556" s="317">
        <v>0</v>
      </c>
      <c r="D556" s="317">
        <f>ROUND(($D$574/'Billing Determinants (2)'!$C$574)*C556,0)</f>
        <v>0</v>
      </c>
      <c r="E556" s="367">
        <f>E555</f>
        <v>3.75</v>
      </c>
      <c r="F556" s="321"/>
      <c r="G556" s="319">
        <f>ROUND(E556*$C556,0)</f>
        <v>0</v>
      </c>
      <c r="H556" s="319">
        <f>ROUND(E556*$D556,0)</f>
        <v>0</v>
      </c>
      <c r="I556" s="367">
        <f>I555</f>
        <v>3.95</v>
      </c>
      <c r="J556" s="321"/>
      <c r="K556" s="319">
        <f>ROUND(I556*$C556,0)</f>
        <v>0</v>
      </c>
      <c r="M556" s="20"/>
      <c r="N556" s="20"/>
      <c r="O556" s="74"/>
      <c r="P556" s="74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</row>
    <row r="557" spans="1:29">
      <c r="A557" s="321" t="s">
        <v>429</v>
      </c>
      <c r="B557" s="1"/>
      <c r="C557" s="317"/>
      <c r="D557" s="317"/>
      <c r="E557" s="296"/>
      <c r="F557" s="321"/>
      <c r="G557" s="319"/>
      <c r="H557" s="319"/>
      <c r="I557" s="296"/>
      <c r="J557" s="321"/>
      <c r="K557" s="319"/>
      <c r="M557" s="20"/>
      <c r="N557" s="20"/>
      <c r="O557" s="74"/>
      <c r="P557" s="74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</row>
    <row r="558" spans="1:29">
      <c r="A558" s="321" t="s">
        <v>430</v>
      </c>
      <c r="B558" s="1"/>
      <c r="C558" s="317">
        <f>29360+2957989+147440+73200+518400+602667+369500+25799011+24094693</f>
        <v>54592260</v>
      </c>
      <c r="D558" s="317">
        <f>ROUND(($D$574/'Billing Determinants (2)'!$C$574)*C558,0)</f>
        <v>56750605</v>
      </c>
      <c r="E558" s="368">
        <f>$E$490</f>
        <v>4.3570000000000002</v>
      </c>
      <c r="F558" s="321" t="s">
        <v>377</v>
      </c>
      <c r="G558" s="319">
        <f>ROUND(E558*$C558/100,0)</f>
        <v>2378585</v>
      </c>
      <c r="H558" s="319">
        <f>ROUND(E558*$D558/100,0)</f>
        <v>2472624</v>
      </c>
      <c r="I558" s="325">
        <f>$I$490</f>
        <v>4.8559999999999999</v>
      </c>
      <c r="J558" s="321" t="s">
        <v>377</v>
      </c>
      <c r="K558" s="319">
        <f>ROUND(I558*$C558/100,0)</f>
        <v>2651000</v>
      </c>
      <c r="M558" s="20"/>
      <c r="N558" s="20"/>
      <c r="O558" s="74"/>
      <c r="P558" s="74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</row>
    <row r="559" spans="1:29">
      <c r="A559" s="321" t="s">
        <v>402</v>
      </c>
      <c r="B559" s="1"/>
      <c r="C559" s="317">
        <f>29360+3798842+224080+73200+1075199+4549199+369500+35089176+95992349-C558</f>
        <v>86608645</v>
      </c>
      <c r="D559" s="317">
        <f>ROUND(($D$574/'Billing Determinants (2)'!$C$574)*C559,0)</f>
        <v>90032782</v>
      </c>
      <c r="E559" s="368">
        <f>$E$491</f>
        <v>3.9930000000000003</v>
      </c>
      <c r="F559" s="321" t="s">
        <v>377</v>
      </c>
      <c r="G559" s="319">
        <f>ROUND(E559*$C559/100,0)</f>
        <v>3458283</v>
      </c>
      <c r="H559" s="319">
        <f>ROUND(E559*$D559/100,0)</f>
        <v>3595009</v>
      </c>
      <c r="I559" s="325">
        <f>$I$491</f>
        <v>4.4550000000000001</v>
      </c>
      <c r="J559" s="321" t="s">
        <v>377</v>
      </c>
      <c r="K559" s="319">
        <f>ROUND(I559*$C559/100,0)</f>
        <v>3858415</v>
      </c>
      <c r="M559" s="20"/>
      <c r="N559" s="20"/>
      <c r="O559" s="74"/>
      <c r="P559" s="74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</row>
    <row r="560" spans="1:29">
      <c r="A560" s="321" t="s">
        <v>403</v>
      </c>
      <c r="B560" s="1"/>
      <c r="C560" s="317">
        <f>32+6144+487+15+1044+3294+435+35034+100127</f>
        <v>146612</v>
      </c>
      <c r="D560" s="317">
        <f>ROUND(($D$574/'Billing Determinants (2)'!$C$574)*C560,0)</f>
        <v>152408</v>
      </c>
      <c r="E560" s="337">
        <f>$E$492</f>
        <v>45</v>
      </c>
      <c r="F560" s="321" t="s">
        <v>377</v>
      </c>
      <c r="G560" s="319">
        <f>ROUND(E560*$C560/100,0)</f>
        <v>65975</v>
      </c>
      <c r="H560" s="319">
        <f>ROUND(E560*$D560/100,0)</f>
        <v>68584</v>
      </c>
      <c r="I560" s="473">
        <f>$I$492</f>
        <v>50</v>
      </c>
      <c r="J560" s="321" t="s">
        <v>377</v>
      </c>
      <c r="K560" s="319">
        <f>ROUND(I560*$C560/100,0)</f>
        <v>73306</v>
      </c>
      <c r="M560" s="20"/>
      <c r="N560" s="20"/>
      <c r="O560" s="74"/>
      <c r="P560" s="74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</row>
    <row r="561" spans="1:29">
      <c r="A561" s="358" t="s">
        <v>404</v>
      </c>
      <c r="B561" s="1"/>
      <c r="C561" s="317"/>
      <c r="D561" s="317"/>
      <c r="E561" s="330">
        <v>-0.01</v>
      </c>
      <c r="F561" s="2"/>
      <c r="G561" s="319"/>
      <c r="H561" s="319"/>
      <c r="I561" s="330">
        <v>-0.01</v>
      </c>
      <c r="J561" s="1"/>
      <c r="K561" s="319"/>
      <c r="M561" s="20"/>
      <c r="N561" s="20"/>
      <c r="O561" s="74"/>
      <c r="P561" s="74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</row>
    <row r="562" spans="1:29">
      <c r="A562" s="321" t="s">
        <v>424</v>
      </c>
      <c r="B562" s="1"/>
      <c r="C562" s="317">
        <v>4</v>
      </c>
      <c r="D562" s="317">
        <v>4</v>
      </c>
      <c r="E562" s="302">
        <f>E548</f>
        <v>225</v>
      </c>
      <c r="F562" s="362"/>
      <c r="G562" s="319">
        <f>ROUND(E562*$C562*E561,0)</f>
        <v>-9</v>
      </c>
      <c r="H562" s="319">
        <f>ROUND(E562*$D562*E561,0)</f>
        <v>-9</v>
      </c>
      <c r="I562" s="302">
        <f>I548</f>
        <v>245</v>
      </c>
      <c r="J562" s="291"/>
      <c r="K562" s="319">
        <f>ROUND(I562*$C562*I561,0)</f>
        <v>-10</v>
      </c>
      <c r="M562" s="20"/>
      <c r="N562" s="20"/>
      <c r="O562" s="74"/>
      <c r="P562" s="74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</row>
    <row r="563" spans="1:29">
      <c r="A563" s="321" t="s">
        <v>425</v>
      </c>
      <c r="B563" s="1"/>
      <c r="C563" s="317">
        <v>13</v>
      </c>
      <c r="D563" s="317">
        <v>13</v>
      </c>
      <c r="E563" s="302">
        <f>E549</f>
        <v>83</v>
      </c>
      <c r="F563" s="362"/>
      <c r="G563" s="319">
        <f>ROUND(E563*$C563*E561,0)</f>
        <v>-11</v>
      </c>
      <c r="H563" s="319">
        <f>ROUND(E563*$D563*E561,0)</f>
        <v>-11</v>
      </c>
      <c r="I563" s="302">
        <f>I549</f>
        <v>90</v>
      </c>
      <c r="J563" s="291"/>
      <c r="K563" s="319">
        <f>ROUND(I563*$C563*I561,0)</f>
        <v>-12</v>
      </c>
      <c r="M563" s="20"/>
      <c r="N563" s="20"/>
      <c r="O563" s="74"/>
      <c r="P563" s="74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</row>
    <row r="564" spans="1:29">
      <c r="A564" s="321" t="s">
        <v>426</v>
      </c>
      <c r="B564" s="1"/>
      <c r="C564" s="317">
        <v>15</v>
      </c>
      <c r="D564" s="317">
        <v>15</v>
      </c>
      <c r="E564" s="302">
        <f>E550</f>
        <v>166</v>
      </c>
      <c r="F564" s="370"/>
      <c r="G564" s="319">
        <f>ROUND(E564*$C564*E561,0)</f>
        <v>-25</v>
      </c>
      <c r="H564" s="319">
        <f>ROUND(E564*$D564*E561,0)</f>
        <v>-25</v>
      </c>
      <c r="I564" s="302">
        <f>I550</f>
        <v>180</v>
      </c>
      <c r="J564" s="371"/>
      <c r="K564" s="319">
        <f>ROUND(I564*$C564*I561,0)</f>
        <v>-27</v>
      </c>
      <c r="M564" s="20"/>
      <c r="N564" s="20"/>
      <c r="O564" s="74"/>
      <c r="P564" s="74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</row>
    <row r="565" spans="1:29">
      <c r="A565" s="321" t="s">
        <v>425</v>
      </c>
      <c r="B565" s="1"/>
      <c r="C565" s="317">
        <v>1867</v>
      </c>
      <c r="D565" s="317">
        <f>ROUND(($D$574/'Billing Determinants (2)'!$C$574)*C565,0)</f>
        <v>1941</v>
      </c>
      <c r="E565" s="302">
        <f>E552</f>
        <v>1.47</v>
      </c>
      <c r="F565" s="362"/>
      <c r="G565" s="319">
        <f>ROUND(E565*$C565*E561,0)</f>
        <v>-27</v>
      </c>
      <c r="H565" s="319">
        <f>ROUND(E565*$D565*E561,0)</f>
        <v>-29</v>
      </c>
      <c r="I565" s="302">
        <f>I552</f>
        <v>1.6</v>
      </c>
      <c r="J565" s="291"/>
      <c r="K565" s="319">
        <f>ROUND(I565*$C565*I561,0)</f>
        <v>-30</v>
      </c>
      <c r="M565" s="20"/>
      <c r="N565" s="20"/>
      <c r="O565" s="74"/>
      <c r="P565" s="74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</row>
    <row r="566" spans="1:29">
      <c r="A566" s="321" t="s">
        <v>426</v>
      </c>
      <c r="B566" s="1"/>
      <c r="C566" s="317">
        <v>10153</v>
      </c>
      <c r="D566" s="317">
        <f>ROUND(($D$574/'Billing Determinants (2)'!$C$574)*C566,0)</f>
        <v>10554</v>
      </c>
      <c r="E566" s="302">
        <f>E553</f>
        <v>1.2</v>
      </c>
      <c r="F566" s="362" t="s">
        <v>31</v>
      </c>
      <c r="G566" s="319">
        <f>ROUND(E566*$C566*E561,0)</f>
        <v>-122</v>
      </c>
      <c r="H566" s="319">
        <f>ROUND(E566*$D566*E561,0)</f>
        <v>-127</v>
      </c>
      <c r="I566" s="302">
        <f>I553</f>
        <v>1.3</v>
      </c>
      <c r="J566" s="291"/>
      <c r="K566" s="319">
        <f>ROUND(I566*$C566*I561,0)</f>
        <v>-132</v>
      </c>
      <c r="M566" s="20"/>
      <c r="N566" s="20"/>
      <c r="O566" s="74"/>
      <c r="P566" s="74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</row>
    <row r="567" spans="1:29">
      <c r="A567" s="307" t="s">
        <v>428</v>
      </c>
      <c r="B567" s="1"/>
      <c r="C567" s="317">
        <f>244+1804+9245</f>
        <v>11293</v>
      </c>
      <c r="D567" s="317">
        <f>ROUND(($D$574/'Billing Determinants (2)'!$C$574)*C567,0)</f>
        <v>11739</v>
      </c>
      <c r="E567" s="302">
        <f>E555</f>
        <v>3.75</v>
      </c>
      <c r="F567" s="362" t="s">
        <v>31</v>
      </c>
      <c r="G567" s="319">
        <f>ROUND(E567*$C567*E561,0)</f>
        <v>-423</v>
      </c>
      <c r="H567" s="319">
        <f>ROUND(E567*$D567*E561,0)</f>
        <v>-440</v>
      </c>
      <c r="I567" s="302">
        <f>I555</f>
        <v>3.95</v>
      </c>
      <c r="J567" s="291"/>
      <c r="K567" s="319">
        <f>ROUND(I567*$C567*I561,0)</f>
        <v>-446</v>
      </c>
      <c r="M567" s="20"/>
      <c r="N567" s="20"/>
      <c r="O567" s="74"/>
      <c r="P567" s="74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</row>
    <row r="568" spans="1:29">
      <c r="A568" s="307" t="s">
        <v>444</v>
      </c>
      <c r="B568" s="1"/>
      <c r="C568" s="317">
        <v>0</v>
      </c>
      <c r="D568" s="317">
        <f>ROUND(($D$574/'Billing Determinants (2)'!$C$574)*C568,0)</f>
        <v>0</v>
      </c>
      <c r="E568" s="302">
        <f>E556</f>
        <v>3.75</v>
      </c>
      <c r="F568" s="362" t="s">
        <v>31</v>
      </c>
      <c r="G568" s="319">
        <f>ROUND(E568*$C568*E561,0)</f>
        <v>0</v>
      </c>
      <c r="H568" s="319">
        <f>ROUND(E568*$D568*E561,0)</f>
        <v>0</v>
      </c>
      <c r="I568" s="302">
        <f>I556</f>
        <v>3.95</v>
      </c>
      <c r="J568" s="291"/>
      <c r="K568" s="319">
        <f>ROUND(I568*$C568*I561,0)</f>
        <v>0</v>
      </c>
      <c r="M568" s="20"/>
      <c r="N568" s="20"/>
      <c r="O568" s="74"/>
      <c r="P568" s="74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</row>
    <row r="569" spans="1:29">
      <c r="A569" s="321" t="s">
        <v>430</v>
      </c>
      <c r="B569" s="1"/>
      <c r="C569" s="317">
        <f>73200+518400+602667</f>
        <v>1194267</v>
      </c>
      <c r="D569" s="317">
        <f>ROUND(($D$574/'Billing Determinants (2)'!$C$574)*C569,0)</f>
        <v>1241483</v>
      </c>
      <c r="E569" s="372">
        <f>E558</f>
        <v>4.3570000000000002</v>
      </c>
      <c r="F569" s="319" t="s">
        <v>377</v>
      </c>
      <c r="G569" s="319">
        <f>ROUND(E569*$C569/100*E561,0)</f>
        <v>-520</v>
      </c>
      <c r="H569" s="319">
        <f>ROUND(E569*$D569/100*E561,0)</f>
        <v>-541</v>
      </c>
      <c r="I569" s="372">
        <f>I558</f>
        <v>4.8559999999999999</v>
      </c>
      <c r="J569" s="321" t="s">
        <v>377</v>
      </c>
      <c r="K569" s="319">
        <f>ROUND(I569*$C569/100*I561,0)</f>
        <v>-580</v>
      </c>
      <c r="M569" s="20"/>
      <c r="N569" s="20"/>
      <c r="O569" s="74"/>
      <c r="P569" s="74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</row>
    <row r="570" spans="1:29">
      <c r="A570" s="321" t="s">
        <v>402</v>
      </c>
      <c r="B570" s="1"/>
      <c r="C570" s="317">
        <f>73200+1075199+4549199-C569</f>
        <v>4503331</v>
      </c>
      <c r="D570" s="317">
        <f>ROUND(($D$574/'Billing Determinants (2)'!$C$574)*C570,0)</f>
        <v>4681374</v>
      </c>
      <c r="E570" s="372">
        <f>E559</f>
        <v>3.9930000000000003</v>
      </c>
      <c r="F570" s="319" t="s">
        <v>377</v>
      </c>
      <c r="G570" s="319">
        <f>ROUND(E570*$C570/100*E561,0)</f>
        <v>-1798</v>
      </c>
      <c r="H570" s="319">
        <f>ROUND(E570*$D570/100*E561,0)</f>
        <v>-1869</v>
      </c>
      <c r="I570" s="372">
        <f>I559</f>
        <v>4.4550000000000001</v>
      </c>
      <c r="J570" s="321" t="s">
        <v>377</v>
      </c>
      <c r="K570" s="319">
        <f>ROUND(I570*$C570/100*I561,0)</f>
        <v>-2006</v>
      </c>
      <c r="M570" s="20"/>
      <c r="N570" s="20"/>
      <c r="O570" s="74"/>
      <c r="P570" s="74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</row>
    <row r="571" spans="1:29">
      <c r="A571" s="321" t="s">
        <v>403</v>
      </c>
      <c r="B571" s="1"/>
      <c r="C571" s="317">
        <f>15+1044+3294</f>
        <v>4353</v>
      </c>
      <c r="D571" s="317">
        <f>ROUND(($D$574/'Billing Determinants (2)'!$C$574)*C571,0)</f>
        <v>4525</v>
      </c>
      <c r="E571" s="373">
        <f>E560</f>
        <v>45</v>
      </c>
      <c r="F571" s="319" t="s">
        <v>377</v>
      </c>
      <c r="G571" s="319">
        <f>ROUND(E571*$C571/100*E561,0)</f>
        <v>-20</v>
      </c>
      <c r="H571" s="319">
        <f>ROUND(E571*$D571/100*E561,0)</f>
        <v>-20</v>
      </c>
      <c r="I571" s="373">
        <f>I560</f>
        <v>50</v>
      </c>
      <c r="J571" s="321" t="s">
        <v>377</v>
      </c>
      <c r="K571" s="319">
        <f>ROUND(I571*$C571/100*I561,0)</f>
        <v>-22</v>
      </c>
      <c r="M571" s="20"/>
      <c r="N571" s="20"/>
      <c r="O571" s="74"/>
      <c r="P571" s="74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</row>
    <row r="572" spans="1:29">
      <c r="A572" s="321" t="s">
        <v>446</v>
      </c>
      <c r="B572" s="1"/>
      <c r="C572" s="317">
        <f>C562+C563+C564</f>
        <v>32</v>
      </c>
      <c r="D572" s="317">
        <v>31</v>
      </c>
      <c r="E572" s="296">
        <f>$E$504</f>
        <v>60</v>
      </c>
      <c r="F572" s="362" t="s">
        <v>31</v>
      </c>
      <c r="G572" s="319">
        <f>ROUND(E572*$C572,0)</f>
        <v>1920</v>
      </c>
      <c r="H572" s="319">
        <f>ROUND(E572*$D572,0)</f>
        <v>1860</v>
      </c>
      <c r="I572" s="296">
        <f>$I$504</f>
        <v>60</v>
      </c>
      <c r="J572" s="1"/>
      <c r="K572" s="319">
        <f>ROUND(I572*$C572,0)</f>
        <v>1920</v>
      </c>
      <c r="M572" s="20"/>
      <c r="N572" s="20"/>
      <c r="O572" s="74"/>
      <c r="P572" s="74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</row>
    <row r="573" spans="1:29">
      <c r="A573" s="321" t="s">
        <v>447</v>
      </c>
      <c r="B573" s="1"/>
      <c r="C573" s="317">
        <f>C565+C566</f>
        <v>12020</v>
      </c>
      <c r="D573" s="317">
        <f>ROUND(($D$574/'Billing Determinants (2)'!$C$574)*C573,0)</f>
        <v>12495</v>
      </c>
      <c r="E573" s="337">
        <f>$E$505</f>
        <v>-30</v>
      </c>
      <c r="F573" s="319" t="s">
        <v>377</v>
      </c>
      <c r="G573" s="319">
        <f>ROUND(E573*$C573/100,0)</f>
        <v>-3606</v>
      </c>
      <c r="H573" s="319">
        <f>ROUND(E573*$D573/100,0)</f>
        <v>-3749</v>
      </c>
      <c r="I573" s="337">
        <f>$I$505</f>
        <v>-30</v>
      </c>
      <c r="J573" s="319" t="s">
        <v>377</v>
      </c>
      <c r="K573" s="319">
        <f>ROUND(I573*$C573/100,0)</f>
        <v>-3606</v>
      </c>
      <c r="M573" s="20"/>
      <c r="N573" s="20"/>
      <c r="O573" s="74"/>
      <c r="P573" s="74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</row>
    <row r="574" spans="1:29">
      <c r="A574" s="1" t="s">
        <v>384</v>
      </c>
      <c r="B574" s="1"/>
      <c r="C574" s="317">
        <f>SUM(C558:C559)</f>
        <v>141200905</v>
      </c>
      <c r="D574" s="317">
        <v>146783387.35514688</v>
      </c>
      <c r="E574" s="328"/>
      <c r="F574" s="2"/>
      <c r="G574" s="2">
        <f>SUM(G548:G573)</f>
        <v>8529276</v>
      </c>
      <c r="H574" s="2">
        <f>SUM(H548:H573)</f>
        <v>8852069</v>
      </c>
      <c r="I574" s="328"/>
      <c r="J574" s="1"/>
      <c r="K574" s="2">
        <f>SUM(K548:K573)</f>
        <v>9379613</v>
      </c>
      <c r="M574" s="20"/>
      <c r="N574" s="20"/>
      <c r="O574" s="74"/>
      <c r="P574" s="74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</row>
    <row r="575" spans="1:29">
      <c r="A575" s="1" t="s">
        <v>366</v>
      </c>
      <c r="B575" s="1"/>
      <c r="C575" s="347" t="e">
        <f>#REF!</f>
        <v>#REF!</v>
      </c>
      <c r="D575" s="338">
        <v>0</v>
      </c>
      <c r="E575" s="307"/>
      <c r="F575" s="307"/>
      <c r="G575" s="308" t="e">
        <f>#REF!</f>
        <v>#REF!</v>
      </c>
      <c r="H575" s="308">
        <v>0</v>
      </c>
      <c r="I575" s="307"/>
      <c r="J575" s="307"/>
      <c r="K575" s="308" t="e">
        <f>G575</f>
        <v>#REF!</v>
      </c>
      <c r="M575" s="442"/>
      <c r="N575" s="442"/>
      <c r="O575" s="285"/>
      <c r="P575" s="74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</row>
    <row r="576" spans="1:29" ht="16.5" thickBot="1">
      <c r="A576" s="1" t="s">
        <v>385</v>
      </c>
      <c r="B576" s="1"/>
      <c r="C576" s="364" t="e">
        <f>SUM(C574)+C575</f>
        <v>#REF!</v>
      </c>
      <c r="D576" s="364">
        <f>SUM(D558:D559)+D575</f>
        <v>146783387</v>
      </c>
      <c r="E576" s="340"/>
      <c r="F576" s="341"/>
      <c r="G576" s="342" t="e">
        <f>G574+G575</f>
        <v>#REF!</v>
      </c>
      <c r="H576" s="342">
        <f>H574+H575</f>
        <v>8852069</v>
      </c>
      <c r="I576" s="340"/>
      <c r="J576" s="343"/>
      <c r="K576" s="342" t="e">
        <f>K574+K575</f>
        <v>#REF!</v>
      </c>
      <c r="M576" s="409"/>
      <c r="N576" s="409"/>
      <c r="O576" s="468"/>
      <c r="P576" s="74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</row>
    <row r="577" spans="1:29" ht="16.5" thickTop="1">
      <c r="A577" s="301"/>
      <c r="B577" s="376"/>
      <c r="C577" s="301"/>
      <c r="D577" s="301"/>
      <c r="E577" s="21"/>
      <c r="F577" s="21"/>
      <c r="G577" s="377"/>
      <c r="H577" s="377"/>
      <c r="I577" s="301"/>
      <c r="J577" s="301"/>
      <c r="K577" s="301"/>
      <c r="M577" s="20"/>
      <c r="N577" s="20"/>
      <c r="O577" s="74"/>
      <c r="P577" s="74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</row>
    <row r="578" spans="1:29">
      <c r="A578" s="291" t="s">
        <v>450</v>
      </c>
      <c r="B578" s="1"/>
      <c r="C578" s="21"/>
      <c r="D578" s="21"/>
      <c r="E578" s="335"/>
      <c r="F578" s="2"/>
      <c r="G578" s="2"/>
      <c r="H578" s="2"/>
      <c r="I578" s="335"/>
      <c r="J578" s="1"/>
      <c r="K578" s="2"/>
      <c r="M578" s="20"/>
      <c r="N578" s="20"/>
      <c r="O578" s="74"/>
      <c r="P578" s="74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</row>
    <row r="579" spans="1:29">
      <c r="A579" s="307" t="s">
        <v>451</v>
      </c>
      <c r="B579" s="1"/>
      <c r="C579" s="21"/>
      <c r="D579" s="21"/>
      <c r="E579" s="335"/>
      <c r="F579" s="2"/>
      <c r="G579" s="2"/>
      <c r="H579" s="2"/>
      <c r="I579" s="335"/>
      <c r="J579" s="1"/>
      <c r="K579" s="2"/>
      <c r="M579" s="20"/>
      <c r="N579" s="20"/>
      <c r="O579" s="74"/>
      <c r="P579" s="74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</row>
    <row r="580" spans="1:29">
      <c r="A580" s="321"/>
      <c r="B580" s="1"/>
      <c r="C580" s="21"/>
      <c r="D580" s="21"/>
      <c r="E580" s="335"/>
      <c r="F580" s="2"/>
      <c r="G580" s="378"/>
      <c r="H580" s="378"/>
      <c r="I580" s="335"/>
      <c r="J580" s="1"/>
      <c r="K580" s="379"/>
      <c r="M580" s="20"/>
      <c r="N580" s="20"/>
      <c r="O580" s="74"/>
      <c r="P580" s="74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</row>
    <row r="581" spans="1:29">
      <c r="A581" s="307" t="s">
        <v>452</v>
      </c>
      <c r="B581" s="1"/>
      <c r="C581" s="317"/>
      <c r="D581" s="317"/>
      <c r="E581" s="2" t="s">
        <v>31</v>
      </c>
      <c r="F581" s="2"/>
      <c r="G581" s="1"/>
      <c r="H581" s="1"/>
      <c r="I581" s="2" t="s">
        <v>31</v>
      </c>
      <c r="J581" s="1"/>
      <c r="K581" s="1"/>
      <c r="M581" s="20"/>
      <c r="N581" s="20"/>
      <c r="O581" s="74"/>
      <c r="P581" s="74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</row>
    <row r="582" spans="1:29">
      <c r="A582" s="307" t="s">
        <v>453</v>
      </c>
      <c r="B582" s="1"/>
      <c r="C582" s="317">
        <f>C633+C684</f>
        <v>1048</v>
      </c>
      <c r="D582" s="317">
        <f>D633+D684</f>
        <v>1059</v>
      </c>
      <c r="E582" s="335">
        <v>0</v>
      </c>
      <c r="F582" s="322"/>
      <c r="G582" s="319">
        <f>G633+G684</f>
        <v>0</v>
      </c>
      <c r="H582" s="319">
        <f>H633+H684</f>
        <v>0</v>
      </c>
      <c r="I582" s="335">
        <f>'Blocking - detail'!I582</f>
        <v>0</v>
      </c>
      <c r="J582" s="322"/>
      <c r="K582" s="319">
        <f>K633+K684</f>
        <v>0</v>
      </c>
      <c r="M582" s="84">
        <f>I582*D582</f>
        <v>0</v>
      </c>
      <c r="O582" s="14"/>
      <c r="P582" s="69" t="s">
        <v>31</v>
      </c>
      <c r="R582" s="327"/>
      <c r="T582" s="3" t="s">
        <v>374</v>
      </c>
      <c r="U582" s="3" t="s">
        <v>307</v>
      </c>
      <c r="V582" s="3" t="s">
        <v>375</v>
      </c>
      <c r="W582" s="3" t="s">
        <v>317</v>
      </c>
      <c r="X582" s="20"/>
      <c r="Y582" s="20"/>
      <c r="Z582" s="20"/>
      <c r="AA582" s="20"/>
      <c r="AB582" s="20"/>
      <c r="AC582" s="20"/>
    </row>
    <row r="583" spans="1:29">
      <c r="A583" s="307" t="s">
        <v>454</v>
      </c>
      <c r="B583" s="1"/>
      <c r="C583" s="317"/>
      <c r="D583" s="317"/>
      <c r="E583" s="335"/>
      <c r="F583" s="322"/>
      <c r="G583" s="319"/>
      <c r="H583" s="319"/>
      <c r="I583" s="335"/>
      <c r="J583" s="322"/>
      <c r="K583" s="319"/>
      <c r="R583" s="327"/>
      <c r="S583" s="3" t="s">
        <v>445</v>
      </c>
      <c r="T583" s="84">
        <f>SUM(H582:H597)</f>
        <v>1968384</v>
      </c>
      <c r="U583" s="84">
        <f>SUM(K582:K597)</f>
        <v>2343533.4900000002</v>
      </c>
      <c r="V583" s="106">
        <v>2708270.4985879958</v>
      </c>
      <c r="W583" s="235">
        <f>U583/V583</f>
        <v>0.86532474921609281</v>
      </c>
      <c r="X583" s="20"/>
      <c r="Y583" s="20"/>
      <c r="Z583" s="20"/>
      <c r="AA583" s="20"/>
      <c r="AB583" s="20"/>
      <c r="AC583" s="20"/>
    </row>
    <row r="584" spans="1:29">
      <c r="A584" s="307" t="s">
        <v>455</v>
      </c>
      <c r="B584" s="1"/>
      <c r="C584" s="317">
        <f t="shared" ref="C584:D589" si="51">C635+C686</f>
        <v>3799</v>
      </c>
      <c r="D584" s="317">
        <f t="shared" si="51"/>
        <v>3832</v>
      </c>
      <c r="E584" s="335">
        <v>0</v>
      </c>
      <c r="F584" s="322"/>
      <c r="G584" s="319">
        <f t="shared" ref="G584:H586" si="52">G635+G686</f>
        <v>0</v>
      </c>
      <c r="H584" s="319">
        <f t="shared" si="52"/>
        <v>0</v>
      </c>
      <c r="I584" s="335">
        <v>0</v>
      </c>
      <c r="J584" s="322"/>
      <c r="K584" s="319">
        <f>K635+K686</f>
        <v>0</v>
      </c>
      <c r="M584" s="84">
        <f>I584*D584</f>
        <v>0</v>
      </c>
      <c r="N584" s="53"/>
      <c r="S584" s="3" t="s">
        <v>462</v>
      </c>
      <c r="T584" s="84">
        <f>H602</f>
        <v>8116487</v>
      </c>
      <c r="U584" s="84">
        <f>K602</f>
        <v>9717128</v>
      </c>
      <c r="V584" s="106">
        <v>8051434.7234117109</v>
      </c>
      <c r="W584" s="235">
        <f>U584/V584</f>
        <v>1.2068815476755761</v>
      </c>
      <c r="X584" s="20"/>
      <c r="Y584" s="20"/>
      <c r="Z584" s="20"/>
      <c r="AA584" s="20"/>
      <c r="AB584" s="20"/>
      <c r="AC584" s="20"/>
    </row>
    <row r="585" spans="1:29">
      <c r="A585" s="307" t="s">
        <v>456</v>
      </c>
      <c r="B585" s="1"/>
      <c r="C585" s="317">
        <f t="shared" si="51"/>
        <v>387</v>
      </c>
      <c r="D585" s="317">
        <f t="shared" si="51"/>
        <v>390</v>
      </c>
      <c r="E585" s="335">
        <v>301</v>
      </c>
      <c r="F585" s="322"/>
      <c r="G585" s="319">
        <f t="shared" si="52"/>
        <v>116487</v>
      </c>
      <c r="H585" s="319">
        <f t="shared" si="52"/>
        <v>117390</v>
      </c>
      <c r="I585" s="335">
        <f>ROUND(E585+(E585*$P$627),0)+2</f>
        <v>333</v>
      </c>
      <c r="J585" s="322"/>
      <c r="K585" s="319">
        <f>K636+K687</f>
        <v>128871</v>
      </c>
      <c r="M585" s="84">
        <f>I585*D585</f>
        <v>129870</v>
      </c>
      <c r="N585" s="69"/>
      <c r="O585" s="14">
        <f>(I585-E585)/E585</f>
        <v>0.10631229235880399</v>
      </c>
      <c r="S585" s="327"/>
      <c r="U585" s="327"/>
      <c r="V585" s="20"/>
      <c r="W585" s="20"/>
      <c r="X585" s="20"/>
      <c r="Y585" s="20"/>
      <c r="Z585" s="20"/>
      <c r="AA585" s="20"/>
      <c r="AB585" s="20"/>
      <c r="AC585" s="20"/>
    </row>
    <row r="586" spans="1:29">
      <c r="A586" s="307" t="s">
        <v>457</v>
      </c>
      <c r="B586" s="1"/>
      <c r="C586" s="317">
        <f t="shared" si="51"/>
        <v>11</v>
      </c>
      <c r="D586" s="317">
        <f t="shared" si="51"/>
        <v>11</v>
      </c>
      <c r="E586" s="335">
        <v>1215</v>
      </c>
      <c r="F586" s="322"/>
      <c r="G586" s="319">
        <f t="shared" si="52"/>
        <v>13365</v>
      </c>
      <c r="H586" s="319">
        <f t="shared" si="52"/>
        <v>13365</v>
      </c>
      <c r="I586" s="335">
        <f>ROUND(E586+(E586*$P$627),0)</f>
        <v>1335</v>
      </c>
      <c r="J586" s="322"/>
      <c r="K586" s="319">
        <f>K637+K688</f>
        <v>14685</v>
      </c>
      <c r="M586" s="84">
        <f>I586*D586</f>
        <v>14685</v>
      </c>
      <c r="N586" s="69"/>
      <c r="O586" s="14">
        <f>(I586-E586)/E586</f>
        <v>9.8765432098765427E-2</v>
      </c>
      <c r="V586" s="20"/>
      <c r="W586" s="20"/>
      <c r="X586" s="20"/>
      <c r="Y586" s="20"/>
      <c r="Z586" s="20"/>
      <c r="AA586" s="20"/>
      <c r="AB586" s="20"/>
      <c r="AC586" s="20"/>
    </row>
    <row r="587" spans="1:29">
      <c r="A587" s="307" t="s">
        <v>365</v>
      </c>
      <c r="B587" s="1"/>
      <c r="C587" s="317">
        <f t="shared" si="51"/>
        <v>5245</v>
      </c>
      <c r="D587" s="317">
        <f t="shared" si="51"/>
        <v>5292.9166666666661</v>
      </c>
      <c r="E587" s="335"/>
      <c r="F587" s="322"/>
      <c r="G587" s="319"/>
      <c r="H587" s="319"/>
      <c r="I587" s="335"/>
      <c r="J587" s="322"/>
      <c r="K587" s="319"/>
      <c r="M587" s="69"/>
      <c r="N587" s="69"/>
      <c r="O587" s="318"/>
      <c r="S587" s="327"/>
      <c r="U587" s="327"/>
      <c r="V587" s="20"/>
      <c r="W587" s="20"/>
      <c r="X587" s="20"/>
      <c r="Y587" s="20"/>
      <c r="Z587" s="20"/>
      <c r="AA587" s="20"/>
      <c r="AB587" s="20"/>
      <c r="AC587" s="20"/>
    </row>
    <row r="588" spans="1:29">
      <c r="A588" s="307" t="s">
        <v>458</v>
      </c>
      <c r="B588" s="1"/>
      <c r="C588" s="317">
        <f t="shared" si="51"/>
        <v>34182</v>
      </c>
      <c r="D588" s="317">
        <f t="shared" si="51"/>
        <v>34504</v>
      </c>
      <c r="E588" s="335"/>
      <c r="F588" s="322"/>
      <c r="G588" s="319"/>
      <c r="H588" s="319"/>
      <c r="I588" s="335"/>
      <c r="J588" s="322"/>
      <c r="K588" s="319"/>
      <c r="M588" s="69"/>
      <c r="N588" s="69"/>
      <c r="V588" s="20"/>
      <c r="W588" s="20"/>
      <c r="X588" s="20"/>
      <c r="Y588" s="20"/>
      <c r="Z588" s="20"/>
      <c r="AA588" s="20"/>
      <c r="AB588" s="20"/>
      <c r="AC588" s="20"/>
    </row>
    <row r="589" spans="1:29">
      <c r="A589" s="307" t="s">
        <v>104</v>
      </c>
      <c r="B589" s="1"/>
      <c r="C589" s="317">
        <f t="shared" si="51"/>
        <v>5727</v>
      </c>
      <c r="D589" s="317">
        <f t="shared" si="51"/>
        <v>5781</v>
      </c>
      <c r="E589" s="335"/>
      <c r="F589" s="319"/>
      <c r="G589" s="319"/>
      <c r="H589" s="319"/>
      <c r="I589" s="335"/>
      <c r="J589" s="319"/>
      <c r="K589" s="332">
        <f>I591*3</f>
        <v>65.489999999999995</v>
      </c>
      <c r="M589" s="69"/>
      <c r="N589" s="69"/>
      <c r="O589" s="318"/>
      <c r="P589" s="292"/>
      <c r="V589" s="20"/>
      <c r="W589" s="20"/>
      <c r="X589" s="20"/>
      <c r="Y589" s="20"/>
      <c r="Z589" s="20"/>
      <c r="AA589" s="20"/>
      <c r="AB589" s="20"/>
      <c r="AC589" s="20"/>
    </row>
    <row r="590" spans="1:29">
      <c r="A590" s="307" t="s">
        <v>459</v>
      </c>
      <c r="B590" s="1"/>
      <c r="C590" s="317"/>
      <c r="D590" s="317"/>
      <c r="E590" s="335"/>
      <c r="F590" s="322"/>
      <c r="G590" s="319"/>
      <c r="H590" s="319"/>
      <c r="I590" s="335"/>
      <c r="J590" s="322"/>
      <c r="K590" s="319"/>
      <c r="M590" s="69"/>
      <c r="N590" s="69"/>
      <c r="O590" s="318"/>
      <c r="V590" s="20"/>
      <c r="W590" s="20"/>
      <c r="X590" s="20"/>
      <c r="Y590" s="20"/>
      <c r="Z590" s="20"/>
      <c r="AA590" s="20"/>
      <c r="AB590" s="20"/>
      <c r="AC590" s="20"/>
    </row>
    <row r="591" spans="1:29">
      <c r="A591" s="307" t="s">
        <v>460</v>
      </c>
      <c r="B591" s="1"/>
      <c r="C591" s="317">
        <f>C642+C693</f>
        <v>5248</v>
      </c>
      <c r="D591" s="317">
        <f>D642+D693</f>
        <v>4813</v>
      </c>
      <c r="E591" s="335">
        <v>19.87</v>
      </c>
      <c r="F591" s="322"/>
      <c r="G591" s="319">
        <f>G642+G693</f>
        <v>104277</v>
      </c>
      <c r="H591" s="319">
        <f>H642+H693</f>
        <v>95634</v>
      </c>
      <c r="I591" s="335">
        <f>ROUND(E591+(E591*$P$627),2)</f>
        <v>21.83</v>
      </c>
      <c r="J591" s="322"/>
      <c r="K591" s="319">
        <f>K642+K693</f>
        <v>114564</v>
      </c>
      <c r="M591" s="84">
        <f>I591*D591</f>
        <v>105067.79</v>
      </c>
      <c r="N591" s="374"/>
      <c r="O591" s="14">
        <f>(I591-E591)/E591</f>
        <v>9.8641167589330503E-2</v>
      </c>
      <c r="X591" s="20"/>
      <c r="Y591" s="20"/>
      <c r="Z591" s="20"/>
      <c r="AA591" s="20"/>
      <c r="AB591" s="20"/>
      <c r="AC591" s="20"/>
    </row>
    <row r="592" spans="1:29">
      <c r="A592" s="307" t="s">
        <v>461</v>
      </c>
      <c r="B592" s="1"/>
      <c r="C592" s="317"/>
      <c r="D592" s="317"/>
      <c r="E592" s="335"/>
      <c r="F592" s="322"/>
      <c r="G592" s="319"/>
      <c r="H592" s="319"/>
      <c r="I592" s="335"/>
      <c r="J592" s="322"/>
      <c r="K592" s="319"/>
      <c r="M592" s="374"/>
      <c r="N592" s="374"/>
      <c r="O592" s="318"/>
      <c r="X592" s="20"/>
      <c r="Y592" s="20"/>
      <c r="Z592" s="20"/>
      <c r="AA592" s="20"/>
      <c r="AB592" s="20"/>
      <c r="AC592" s="20"/>
    </row>
    <row r="593" spans="1:29">
      <c r="A593" s="307" t="s">
        <v>455</v>
      </c>
      <c r="B593" s="1"/>
      <c r="C593" s="317">
        <f t="shared" ref="C593:D597" si="53">C644+C695</f>
        <v>55399</v>
      </c>
      <c r="D593" s="317">
        <f t="shared" si="53"/>
        <v>50834</v>
      </c>
      <c r="E593" s="335">
        <v>19.87</v>
      </c>
      <c r="F593" s="322"/>
      <c r="G593" s="319">
        <f t="shared" ref="G593:H597" si="54">G644+G695</f>
        <v>1100778</v>
      </c>
      <c r="H593" s="319">
        <f t="shared" si="54"/>
        <v>1010072</v>
      </c>
      <c r="I593" s="335">
        <f>ROUND(E593+(E593*$P$627),2)</f>
        <v>21.83</v>
      </c>
      <c r="J593" s="322"/>
      <c r="K593" s="319">
        <f>K644+K695</f>
        <v>1209360</v>
      </c>
      <c r="M593" s="84">
        <f>I593*D593</f>
        <v>1109706.22</v>
      </c>
      <c r="N593" s="374"/>
      <c r="O593" s="14">
        <f>(I593-E593)/E593</f>
        <v>9.8641167589330503E-2</v>
      </c>
      <c r="X593" s="20"/>
      <c r="Y593" s="20"/>
      <c r="Z593" s="20"/>
      <c r="AA593" s="20"/>
      <c r="AB593" s="20"/>
      <c r="AC593" s="20"/>
    </row>
    <row r="594" spans="1:29">
      <c r="A594" s="307" t="s">
        <v>456</v>
      </c>
      <c r="B594" s="1"/>
      <c r="C594" s="317">
        <f t="shared" si="53"/>
        <v>37462</v>
      </c>
      <c r="D594" s="317">
        <f t="shared" si="53"/>
        <v>34379</v>
      </c>
      <c r="E594" s="335">
        <v>13.64</v>
      </c>
      <c r="F594" s="322"/>
      <c r="G594" s="319">
        <f t="shared" si="54"/>
        <v>510982</v>
      </c>
      <c r="H594" s="319">
        <f t="shared" si="54"/>
        <v>468929</v>
      </c>
      <c r="I594" s="335">
        <f>ROUND(E594+(E594*$P$627),2)</f>
        <v>14.98</v>
      </c>
      <c r="J594" s="322"/>
      <c r="K594" s="319">
        <f>K645+K696</f>
        <v>561181</v>
      </c>
      <c r="M594" s="84">
        <f>I594*D594</f>
        <v>514997.42000000004</v>
      </c>
      <c r="N594" s="374"/>
      <c r="O594" s="14">
        <f>(I594-E594)/E594</f>
        <v>9.8240469208211126E-2</v>
      </c>
      <c r="R594" s="84"/>
      <c r="S594" s="84"/>
      <c r="T594" s="106"/>
      <c r="U594" s="235"/>
      <c r="V594" s="20"/>
      <c r="W594" s="20"/>
      <c r="X594" s="20"/>
      <c r="Y594" s="20"/>
      <c r="Z594" s="20"/>
      <c r="AA594" s="20"/>
      <c r="AB594" s="20"/>
      <c r="AC594" s="20"/>
    </row>
    <row r="595" spans="1:29">
      <c r="A595" s="307" t="s">
        <v>457</v>
      </c>
      <c r="B595" s="1" t="s">
        <v>31</v>
      </c>
      <c r="C595" s="317">
        <f t="shared" si="53"/>
        <v>4358</v>
      </c>
      <c r="D595" s="317">
        <f t="shared" si="53"/>
        <v>3996</v>
      </c>
      <c r="E595" s="335">
        <v>10.62</v>
      </c>
      <c r="F595" s="322"/>
      <c r="G595" s="319">
        <f t="shared" si="54"/>
        <v>46282</v>
      </c>
      <c r="H595" s="319">
        <f t="shared" si="54"/>
        <v>42437</v>
      </c>
      <c r="I595" s="335">
        <f>ROUND(E595+(E595*$P$627),2)</f>
        <v>11.67</v>
      </c>
      <c r="J595" s="322"/>
      <c r="K595" s="319">
        <f>K646+K697</f>
        <v>50858</v>
      </c>
      <c r="M595" s="84">
        <f>I595*D595</f>
        <v>46633.32</v>
      </c>
      <c r="N595" s="374"/>
      <c r="O595" s="14">
        <f>(I595-E595)/E595</f>
        <v>9.8870056497175215E-2</v>
      </c>
      <c r="V595" s="20"/>
      <c r="W595" s="20"/>
      <c r="X595" s="20"/>
      <c r="Y595" s="20"/>
      <c r="Z595" s="20"/>
      <c r="AA595" s="20"/>
      <c r="AB595" s="20"/>
      <c r="AC595" s="20"/>
    </row>
    <row r="596" spans="1:29">
      <c r="A596" s="307" t="s">
        <v>463</v>
      </c>
      <c r="B596" s="1"/>
      <c r="C596" s="317">
        <f t="shared" si="53"/>
        <v>157</v>
      </c>
      <c r="D596" s="317">
        <f t="shared" si="53"/>
        <v>144</v>
      </c>
      <c r="E596" s="335">
        <v>59.61</v>
      </c>
      <c r="F596" s="322"/>
      <c r="G596" s="319">
        <f t="shared" si="54"/>
        <v>9359</v>
      </c>
      <c r="H596" s="319">
        <f t="shared" si="54"/>
        <v>8584</v>
      </c>
      <c r="I596" s="335">
        <f>ROUND(E596+(E596*$P$627),2)</f>
        <v>65.48</v>
      </c>
      <c r="J596" s="322"/>
      <c r="K596" s="319">
        <f>K647+K698</f>
        <v>10280</v>
      </c>
      <c r="M596" s="84">
        <f>I596*D596</f>
        <v>9429.1200000000008</v>
      </c>
      <c r="N596" s="69"/>
      <c r="O596" s="14">
        <f>(I596-E596)/E596</f>
        <v>9.8473410501593764E-2</v>
      </c>
      <c r="V596" s="20"/>
      <c r="W596" s="20"/>
      <c r="X596" s="20"/>
      <c r="Y596" s="20"/>
      <c r="Z596" s="20"/>
      <c r="AA596" s="20"/>
      <c r="AB596" s="20"/>
      <c r="AC596" s="20"/>
    </row>
    <row r="597" spans="1:29">
      <c r="A597" s="307" t="s">
        <v>464</v>
      </c>
      <c r="B597" s="1"/>
      <c r="C597" s="317">
        <f t="shared" si="53"/>
        <v>1937</v>
      </c>
      <c r="D597" s="317">
        <f t="shared" si="53"/>
        <v>1778</v>
      </c>
      <c r="E597" s="335">
        <v>119.22</v>
      </c>
      <c r="F597" s="322"/>
      <c r="G597" s="319">
        <f t="shared" si="54"/>
        <v>230930</v>
      </c>
      <c r="H597" s="319">
        <f t="shared" si="54"/>
        <v>211973</v>
      </c>
      <c r="I597" s="335">
        <f>ROUND(E597+(E597*$P$627),2)</f>
        <v>130.96</v>
      </c>
      <c r="J597" s="322"/>
      <c r="K597" s="319">
        <f>K648+K699</f>
        <v>253669</v>
      </c>
      <c r="M597" s="84">
        <f>I597*D597</f>
        <v>232846.88</v>
      </c>
      <c r="N597" s="69"/>
      <c r="O597" s="14">
        <f>(I597-E597)/E597</f>
        <v>9.8473410501593764E-2</v>
      </c>
      <c r="V597" s="20"/>
      <c r="W597" s="20"/>
      <c r="X597" s="20"/>
      <c r="Y597" s="20"/>
      <c r="Z597" s="20"/>
      <c r="AA597" s="20"/>
      <c r="AB597" s="20"/>
      <c r="AC597" s="20"/>
    </row>
    <row r="598" spans="1:29">
      <c r="A598" s="307" t="s">
        <v>465</v>
      </c>
      <c r="B598" s="1"/>
      <c r="C598" s="317"/>
      <c r="D598" s="317"/>
      <c r="E598" s="335"/>
      <c r="F598" s="322"/>
      <c r="G598" s="319"/>
      <c r="H598" s="319"/>
      <c r="I598" s="335"/>
      <c r="J598" s="322"/>
      <c r="K598" s="319"/>
      <c r="M598" s="69"/>
      <c r="N598" s="69"/>
      <c r="O598" s="3"/>
      <c r="V598" s="20"/>
      <c r="W598" s="20"/>
      <c r="X598" s="20"/>
      <c r="Y598" s="20"/>
      <c r="Z598" s="20"/>
      <c r="AA598" s="20"/>
      <c r="AB598" s="20"/>
      <c r="AC598" s="20"/>
    </row>
    <row r="599" spans="1:29">
      <c r="A599" s="307" t="s">
        <v>460</v>
      </c>
      <c r="B599" s="1"/>
      <c r="C599" s="317">
        <f>C650+C701</f>
        <v>96</v>
      </c>
      <c r="D599" s="317">
        <f>D650+D701</f>
        <v>88</v>
      </c>
      <c r="E599" s="361">
        <f>-E591</f>
        <v>-19.87</v>
      </c>
      <c r="F599" s="322"/>
      <c r="G599" s="319">
        <f>G650+G701</f>
        <v>-1908</v>
      </c>
      <c r="H599" s="319">
        <f>H650+H701</f>
        <v>-1748</v>
      </c>
      <c r="I599" s="361">
        <f>-I591</f>
        <v>-21.83</v>
      </c>
      <c r="J599" s="322"/>
      <c r="K599" s="319">
        <f>K650+K701</f>
        <v>-2096</v>
      </c>
      <c r="M599" s="84">
        <f>I599*D599</f>
        <v>-1921.04</v>
      </c>
      <c r="N599" s="69"/>
      <c r="O599" s="3"/>
      <c r="V599" s="20"/>
      <c r="W599" s="20"/>
      <c r="X599" s="20"/>
      <c r="Y599" s="20"/>
      <c r="Z599" s="20"/>
      <c r="AA599" s="20"/>
      <c r="AB599" s="20"/>
      <c r="AC599" s="20"/>
    </row>
    <row r="600" spans="1:29">
      <c r="A600" s="307" t="s">
        <v>466</v>
      </c>
      <c r="B600" s="1"/>
      <c r="C600" s="317">
        <f>C651+C702</f>
        <v>12387</v>
      </c>
      <c r="D600" s="317">
        <f>D651+D702</f>
        <v>11369</v>
      </c>
      <c r="E600" s="361">
        <f>-E593</f>
        <v>-19.87</v>
      </c>
      <c r="F600" s="322"/>
      <c r="G600" s="319">
        <f>G651+G702</f>
        <v>-246129</v>
      </c>
      <c r="H600" s="319">
        <f>H651+H702</f>
        <v>-225902</v>
      </c>
      <c r="I600" s="361">
        <f>-I593</f>
        <v>-21.83</v>
      </c>
      <c r="J600" s="322"/>
      <c r="K600" s="319">
        <f>K651+K702</f>
        <v>-270408</v>
      </c>
      <c r="M600" s="84">
        <f>I600*D600</f>
        <v>-248185.27</v>
      </c>
      <c r="N600" s="69"/>
      <c r="O600" s="3"/>
      <c r="V600" s="20"/>
      <c r="W600" s="20"/>
      <c r="X600" s="20"/>
      <c r="Y600" s="20"/>
      <c r="Z600" s="20"/>
      <c r="AA600" s="20"/>
      <c r="AB600" s="20"/>
      <c r="AC600" s="20"/>
    </row>
    <row r="601" spans="1:29">
      <c r="A601" s="321" t="s">
        <v>429</v>
      </c>
      <c r="B601" s="1"/>
      <c r="C601" s="317"/>
      <c r="D601" s="317"/>
      <c r="E601" s="335"/>
      <c r="F601" s="319"/>
      <c r="G601" s="319"/>
      <c r="H601" s="319"/>
      <c r="I601" s="335"/>
      <c r="J601" s="319"/>
      <c r="K601" s="319"/>
      <c r="M601" s="69"/>
      <c r="N601" s="69"/>
      <c r="O601" s="3"/>
      <c r="Q601" s="3" t="s">
        <v>31</v>
      </c>
      <c r="V601" s="20"/>
      <c r="W601" s="20"/>
      <c r="X601" s="20"/>
      <c r="Y601" s="20"/>
      <c r="Z601" s="20"/>
      <c r="AA601" s="20"/>
      <c r="AB601" s="20"/>
      <c r="AC601" s="20"/>
    </row>
    <row r="602" spans="1:29">
      <c r="A602" s="307" t="s">
        <v>467</v>
      </c>
      <c r="B602" s="1"/>
      <c r="C602" s="317">
        <f>C653+C704</f>
        <v>164697090</v>
      </c>
      <c r="D602" s="317">
        <f>D653+D704</f>
        <v>151116862</v>
      </c>
      <c r="E602" s="381">
        <v>5.3710000000000004</v>
      </c>
      <c r="F602" s="319" t="s">
        <v>377</v>
      </c>
      <c r="G602" s="319">
        <f>G653+G704</f>
        <v>8845880</v>
      </c>
      <c r="H602" s="319">
        <f>H653+H704</f>
        <v>8116487</v>
      </c>
      <c r="I602" s="381">
        <f>ROUND(E602+(E602*$P$627),3)</f>
        <v>5.9</v>
      </c>
      <c r="J602" s="319" t="s">
        <v>377</v>
      </c>
      <c r="K602" s="319">
        <f>K653+K704</f>
        <v>9717128</v>
      </c>
      <c r="M602" s="84">
        <f>(I602/100)*D602</f>
        <v>8915894.8580000009</v>
      </c>
      <c r="N602" s="336"/>
      <c r="O602" s="14">
        <f>(I602-E602)/E602</f>
        <v>9.8491900949543826E-2</v>
      </c>
      <c r="V602" s="20"/>
      <c r="W602" s="20"/>
      <c r="X602" s="20"/>
      <c r="Y602" s="20"/>
      <c r="Z602" s="20"/>
      <c r="AA602" s="20"/>
      <c r="AB602" s="20"/>
      <c r="AC602" s="20"/>
    </row>
    <row r="603" spans="1:29">
      <c r="A603" s="321" t="s">
        <v>403</v>
      </c>
      <c r="B603" s="1"/>
      <c r="C603" s="317">
        <f>C654+C705</f>
        <v>28883</v>
      </c>
      <c r="D603" s="317">
        <f>D654+D705</f>
        <v>26506</v>
      </c>
      <c r="E603" s="612">
        <v>45</v>
      </c>
      <c r="F603" s="321" t="s">
        <v>377</v>
      </c>
      <c r="G603" s="319">
        <f>G654+G705</f>
        <v>12997</v>
      </c>
      <c r="H603" s="319">
        <f>H654+H705</f>
        <v>11928</v>
      </c>
      <c r="I603" s="476">
        <v>50</v>
      </c>
      <c r="J603" s="321" t="s">
        <v>377</v>
      </c>
      <c r="K603" s="319">
        <f>K654+K705</f>
        <v>14442</v>
      </c>
      <c r="M603" s="84">
        <f>(I603/100)*D603</f>
        <v>13253</v>
      </c>
      <c r="O603" s="14">
        <f>(I603-E603)/E603</f>
        <v>0.1111111111111111</v>
      </c>
      <c r="V603" s="20"/>
      <c r="W603" s="20"/>
      <c r="X603" s="20"/>
      <c r="Y603" s="20"/>
      <c r="Z603" s="20"/>
      <c r="AA603" s="20"/>
      <c r="AB603" s="20"/>
      <c r="AC603" s="20"/>
    </row>
    <row r="604" spans="1:29">
      <c r="A604" s="358" t="s">
        <v>404</v>
      </c>
      <c r="B604" s="1"/>
      <c r="C604" s="317"/>
      <c r="D604" s="317"/>
      <c r="E604" s="330">
        <v>-0.01</v>
      </c>
      <c r="F604" s="2"/>
      <c r="G604" s="319"/>
      <c r="H604" s="319"/>
      <c r="I604" s="330">
        <v>-0.01</v>
      </c>
      <c r="J604" s="1"/>
      <c r="K604" s="319"/>
      <c r="V604" s="20"/>
      <c r="W604" s="20"/>
      <c r="X604" s="20"/>
      <c r="Y604" s="20"/>
      <c r="Z604" s="20"/>
      <c r="AA604" s="20"/>
      <c r="AB604" s="20"/>
      <c r="AC604" s="20"/>
    </row>
    <row r="605" spans="1:29">
      <c r="A605" s="307" t="s">
        <v>393</v>
      </c>
      <c r="B605" s="1"/>
      <c r="C605" s="317">
        <f>C656+C707</f>
        <v>0</v>
      </c>
      <c r="D605" s="317">
        <f>D656+D707</f>
        <v>0</v>
      </c>
      <c r="E605" s="382">
        <f>E582</f>
        <v>0</v>
      </c>
      <c r="F605" s="322"/>
      <c r="G605" s="319">
        <f>G656+G707</f>
        <v>0</v>
      </c>
      <c r="H605" s="319">
        <f>H656+H707</f>
        <v>0</v>
      </c>
      <c r="I605" s="382">
        <f>I582</f>
        <v>0</v>
      </c>
      <c r="J605" s="322"/>
      <c r="K605" s="319">
        <f>K656+K707</f>
        <v>0</v>
      </c>
      <c r="M605" s="84">
        <f>-(I605/100)*D605</f>
        <v>0</v>
      </c>
      <c r="V605" s="20"/>
      <c r="W605" s="20"/>
      <c r="X605" s="20"/>
      <c r="Y605" s="20"/>
      <c r="Z605" s="20"/>
      <c r="AA605" s="20"/>
      <c r="AB605" s="20"/>
      <c r="AC605" s="20"/>
    </row>
    <row r="606" spans="1:29">
      <c r="A606" s="307" t="s">
        <v>394</v>
      </c>
      <c r="B606" s="1"/>
      <c r="C606" s="317"/>
      <c r="D606" s="317"/>
      <c r="E606" s="382"/>
      <c r="F606" s="322"/>
      <c r="G606" s="319"/>
      <c r="H606" s="319"/>
      <c r="I606" s="382"/>
      <c r="J606" s="322"/>
      <c r="K606" s="319"/>
      <c r="V606" s="20"/>
      <c r="W606" s="20"/>
      <c r="X606" s="20"/>
      <c r="Y606" s="20"/>
      <c r="Z606" s="20"/>
      <c r="AA606" s="20"/>
      <c r="AB606" s="20"/>
      <c r="AC606" s="20"/>
    </row>
    <row r="607" spans="1:29">
      <c r="A607" s="307" t="s">
        <v>455</v>
      </c>
      <c r="B607" s="1"/>
      <c r="C607" s="317">
        <f t="shared" ref="C607:D610" si="55">C658+C709</f>
        <v>1</v>
      </c>
      <c r="D607" s="317">
        <f t="shared" si="55"/>
        <v>1</v>
      </c>
      <c r="E607" s="382">
        <f>E584</f>
        <v>0</v>
      </c>
      <c r="F607" s="322"/>
      <c r="G607" s="319">
        <f t="shared" ref="G607:H610" si="56">G658+G709</f>
        <v>0</v>
      </c>
      <c r="H607" s="319">
        <f t="shared" si="56"/>
        <v>0</v>
      </c>
      <c r="I607" s="382">
        <f>I584</f>
        <v>0</v>
      </c>
      <c r="J607" s="322"/>
      <c r="K607" s="319">
        <f>K658+K709</f>
        <v>0</v>
      </c>
      <c r="M607" s="84">
        <f>-(I607/100)*D607</f>
        <v>0</v>
      </c>
      <c r="V607" s="20"/>
      <c r="W607" s="20"/>
      <c r="X607" s="20"/>
      <c r="Y607" s="20"/>
      <c r="Z607" s="20"/>
      <c r="AA607" s="20"/>
      <c r="AB607" s="20"/>
      <c r="AC607" s="20"/>
    </row>
    <row r="608" spans="1:29">
      <c r="A608" s="307" t="s">
        <v>456</v>
      </c>
      <c r="B608" s="1"/>
      <c r="C608" s="317">
        <f t="shared" si="55"/>
        <v>0</v>
      </c>
      <c r="D608" s="317">
        <f t="shared" si="55"/>
        <v>0</v>
      </c>
      <c r="E608" s="382">
        <f>E585</f>
        <v>301</v>
      </c>
      <c r="F608" s="322"/>
      <c r="G608" s="319">
        <f t="shared" si="56"/>
        <v>0</v>
      </c>
      <c r="H608" s="319">
        <f t="shared" si="56"/>
        <v>0</v>
      </c>
      <c r="I608" s="382">
        <f>I585</f>
        <v>333</v>
      </c>
      <c r="J608" s="322"/>
      <c r="K608" s="319">
        <f>K659+K710</f>
        <v>0</v>
      </c>
      <c r="M608" s="84">
        <f>-(I608/100)*D608</f>
        <v>0</v>
      </c>
      <c r="V608" s="20"/>
      <c r="W608" s="20"/>
      <c r="X608" s="20"/>
      <c r="Y608" s="20"/>
      <c r="Z608" s="20"/>
      <c r="AA608" s="20"/>
      <c r="AB608" s="20"/>
      <c r="AC608" s="20"/>
    </row>
    <row r="609" spans="1:29">
      <c r="A609" s="307" t="s">
        <v>457</v>
      </c>
      <c r="B609" s="1"/>
      <c r="C609" s="317">
        <f t="shared" si="55"/>
        <v>0</v>
      </c>
      <c r="D609" s="317">
        <f t="shared" si="55"/>
        <v>0</v>
      </c>
      <c r="E609" s="382">
        <f>E586</f>
        <v>1215</v>
      </c>
      <c r="F609" s="322"/>
      <c r="G609" s="319">
        <f t="shared" si="56"/>
        <v>0</v>
      </c>
      <c r="H609" s="319">
        <f t="shared" si="56"/>
        <v>0</v>
      </c>
      <c r="I609" s="382">
        <f>I586</f>
        <v>1335</v>
      </c>
      <c r="J609" s="322"/>
      <c r="K609" s="319">
        <f>K660+K711</f>
        <v>0</v>
      </c>
      <c r="M609" s="84">
        <f>-(I609/100)*D609</f>
        <v>0</v>
      </c>
      <c r="V609" s="20"/>
      <c r="W609" s="20"/>
      <c r="X609" s="20"/>
      <c r="Y609" s="20"/>
      <c r="Z609" s="20"/>
      <c r="AA609" s="20"/>
      <c r="AB609" s="20"/>
      <c r="AC609" s="20"/>
    </row>
    <row r="610" spans="1:29">
      <c r="A610" s="307" t="s">
        <v>393</v>
      </c>
      <c r="B610" s="1"/>
      <c r="C610" s="317">
        <f t="shared" si="55"/>
        <v>0</v>
      </c>
      <c r="D610" s="317">
        <f t="shared" si="55"/>
        <v>0</v>
      </c>
      <c r="E610" s="382">
        <f>E591</f>
        <v>19.87</v>
      </c>
      <c r="F610" s="322"/>
      <c r="G610" s="319">
        <f t="shared" si="56"/>
        <v>0</v>
      </c>
      <c r="H610" s="319">
        <f t="shared" si="56"/>
        <v>0</v>
      </c>
      <c r="I610" s="382">
        <f>I591</f>
        <v>21.83</v>
      </c>
      <c r="J610" s="322"/>
      <c r="K610" s="319">
        <f>K661+K712</f>
        <v>0</v>
      </c>
      <c r="M610" s="84">
        <f>-(I610/100)*D610</f>
        <v>0</v>
      </c>
      <c r="V610" s="20"/>
      <c r="W610" s="20"/>
      <c r="X610" s="20"/>
      <c r="Y610" s="20"/>
      <c r="Z610" s="20"/>
      <c r="AA610" s="20"/>
      <c r="AB610" s="20"/>
      <c r="AC610" s="20"/>
    </row>
    <row r="611" spans="1:29">
      <c r="A611" s="307" t="s">
        <v>394</v>
      </c>
      <c r="B611" s="1"/>
      <c r="C611" s="317"/>
      <c r="D611" s="317"/>
      <c r="E611" s="382"/>
      <c r="F611" s="322"/>
      <c r="G611" s="319"/>
      <c r="H611" s="319"/>
      <c r="I611" s="382"/>
      <c r="J611" s="322"/>
      <c r="K611" s="319"/>
      <c r="V611" s="20"/>
      <c r="W611" s="20"/>
      <c r="X611" s="20"/>
      <c r="Y611" s="20"/>
      <c r="Z611" s="20"/>
      <c r="AA611" s="20"/>
      <c r="AB611" s="20"/>
      <c r="AC611" s="20"/>
    </row>
    <row r="612" spans="1:29">
      <c r="A612" s="307" t="s">
        <v>455</v>
      </c>
      <c r="B612" s="1"/>
      <c r="C612" s="317">
        <f t="shared" ref="C612:D616" si="57">C663+C714</f>
        <v>40</v>
      </c>
      <c r="D612" s="317">
        <f t="shared" si="57"/>
        <v>36</v>
      </c>
      <c r="E612" s="382">
        <f>E593</f>
        <v>19.87</v>
      </c>
      <c r="F612" s="322"/>
      <c r="G612" s="319">
        <f t="shared" ref="G612:H616" si="58">G663+G714</f>
        <v>-8</v>
      </c>
      <c r="H612" s="319">
        <f t="shared" si="58"/>
        <v>-7</v>
      </c>
      <c r="I612" s="382">
        <f>I593</f>
        <v>21.83</v>
      </c>
      <c r="J612" s="322"/>
      <c r="K612" s="319">
        <f>K663+K714</f>
        <v>-9</v>
      </c>
      <c r="M612" s="84">
        <f>-(I612/100)*D612</f>
        <v>-7.8587999999999996</v>
      </c>
      <c r="V612" s="20"/>
      <c r="W612" s="20"/>
      <c r="X612" s="20"/>
      <c r="Y612" s="20"/>
      <c r="Z612" s="20"/>
      <c r="AA612" s="20"/>
      <c r="AB612" s="20"/>
      <c r="AC612" s="20"/>
    </row>
    <row r="613" spans="1:29">
      <c r="A613" s="307" t="s">
        <v>456</v>
      </c>
      <c r="B613" s="1"/>
      <c r="C613" s="317">
        <f t="shared" si="57"/>
        <v>0</v>
      </c>
      <c r="D613" s="317">
        <f t="shared" si="57"/>
        <v>0</v>
      </c>
      <c r="E613" s="382">
        <f>E594</f>
        <v>13.64</v>
      </c>
      <c r="F613" s="322"/>
      <c r="G613" s="319">
        <f t="shared" si="58"/>
        <v>0</v>
      </c>
      <c r="H613" s="319">
        <f t="shared" si="58"/>
        <v>0</v>
      </c>
      <c r="I613" s="382">
        <f>I594</f>
        <v>14.98</v>
      </c>
      <c r="J613" s="322"/>
      <c r="K613" s="319">
        <f>K664+K715</f>
        <v>0</v>
      </c>
      <c r="M613" s="84">
        <f>-(I613/100)*D613</f>
        <v>0</v>
      </c>
      <c r="V613" s="20"/>
      <c r="W613" s="20"/>
      <c r="X613" s="20"/>
      <c r="Y613" s="20"/>
      <c r="Z613" s="20"/>
      <c r="AA613" s="20"/>
      <c r="AB613" s="20"/>
      <c r="AC613" s="20"/>
    </row>
    <row r="614" spans="1:29">
      <c r="A614" s="307" t="s">
        <v>457</v>
      </c>
      <c r="B614" s="1"/>
      <c r="C614" s="317">
        <f t="shared" si="57"/>
        <v>0</v>
      </c>
      <c r="D614" s="317">
        <f t="shared" si="57"/>
        <v>0</v>
      </c>
      <c r="E614" s="382">
        <f>E595</f>
        <v>10.62</v>
      </c>
      <c r="F614" s="322"/>
      <c r="G614" s="319">
        <f t="shared" si="58"/>
        <v>0</v>
      </c>
      <c r="H614" s="319">
        <f t="shared" si="58"/>
        <v>0</v>
      </c>
      <c r="I614" s="382">
        <f>I595</f>
        <v>11.67</v>
      </c>
      <c r="J614" s="322"/>
      <c r="K614" s="319">
        <f>K665+K716</f>
        <v>0</v>
      </c>
      <c r="M614" s="84">
        <f>-(I614/100)*D614</f>
        <v>0</v>
      </c>
      <c r="V614" s="20"/>
      <c r="W614" s="20"/>
      <c r="X614" s="20"/>
      <c r="Y614" s="20"/>
      <c r="Z614" s="20"/>
      <c r="AA614" s="20"/>
      <c r="AB614" s="20"/>
      <c r="AC614" s="20"/>
    </row>
    <row r="615" spans="1:29">
      <c r="A615" s="307" t="s">
        <v>468</v>
      </c>
      <c r="B615" s="1"/>
      <c r="C615" s="317">
        <f t="shared" si="57"/>
        <v>0</v>
      </c>
      <c r="D615" s="317">
        <f t="shared" si="57"/>
        <v>0</v>
      </c>
      <c r="E615" s="351">
        <f>E596</f>
        <v>59.61</v>
      </c>
      <c r="F615" s="322"/>
      <c r="G615" s="319">
        <f t="shared" si="58"/>
        <v>0</v>
      </c>
      <c r="H615" s="319">
        <f t="shared" si="58"/>
        <v>0</v>
      </c>
      <c r="I615" s="351">
        <f>I596</f>
        <v>65.48</v>
      </c>
      <c r="J615" s="322"/>
      <c r="K615" s="319">
        <f>K666+K717</f>
        <v>0</v>
      </c>
      <c r="M615" s="84">
        <f>-(I615/100)*D615</f>
        <v>0</v>
      </c>
      <c r="V615" s="20"/>
      <c r="W615" s="20"/>
      <c r="X615" s="20"/>
      <c r="Y615" s="20"/>
      <c r="Z615" s="20"/>
      <c r="AA615" s="20"/>
      <c r="AB615" s="20"/>
      <c r="AC615" s="20"/>
    </row>
    <row r="616" spans="1:29">
      <c r="A616" s="307" t="s">
        <v>469</v>
      </c>
      <c r="B616" s="1"/>
      <c r="C616" s="317">
        <f t="shared" si="57"/>
        <v>0</v>
      </c>
      <c r="D616" s="317">
        <f t="shared" si="57"/>
        <v>0</v>
      </c>
      <c r="E616" s="351">
        <f>E597</f>
        <v>119.22</v>
      </c>
      <c r="F616" s="322"/>
      <c r="G616" s="319">
        <f t="shared" si="58"/>
        <v>0</v>
      </c>
      <c r="H616" s="319">
        <f t="shared" si="58"/>
        <v>0</v>
      </c>
      <c r="I616" s="351">
        <f>I597</f>
        <v>130.96</v>
      </c>
      <c r="J616" s="322"/>
      <c r="K616" s="319">
        <f>K667+K718</f>
        <v>0</v>
      </c>
      <c r="M616" s="84">
        <f>-(I616/100)*D616</f>
        <v>0</v>
      </c>
      <c r="V616" s="20"/>
      <c r="W616" s="20"/>
      <c r="X616" s="20"/>
      <c r="Y616" s="20"/>
      <c r="Z616" s="20"/>
      <c r="AA616" s="20"/>
      <c r="AB616" s="20"/>
      <c r="AC616" s="20"/>
    </row>
    <row r="617" spans="1:29">
      <c r="A617" s="307" t="s">
        <v>465</v>
      </c>
      <c r="B617" s="1"/>
      <c r="C617" s="317"/>
      <c r="D617" s="317"/>
      <c r="E617" s="335"/>
      <c r="F617" s="322"/>
      <c r="G617" s="319"/>
      <c r="H617" s="319"/>
      <c r="I617" s="335"/>
      <c r="J617" s="322"/>
      <c r="K617" s="319"/>
      <c r="V617" s="20"/>
      <c r="W617" s="20"/>
      <c r="X617" s="20"/>
      <c r="Y617" s="20"/>
      <c r="Z617" s="20"/>
      <c r="AA617" s="20"/>
      <c r="AB617" s="20"/>
      <c r="AC617" s="20"/>
    </row>
    <row r="618" spans="1:29">
      <c r="A618" s="307" t="s">
        <v>460</v>
      </c>
      <c r="B618" s="1"/>
      <c r="C618" s="317">
        <f>C669+C720</f>
        <v>0</v>
      </c>
      <c r="D618" s="317">
        <f>D669+D720</f>
        <v>0</v>
      </c>
      <c r="E618" s="361">
        <f>E599</f>
        <v>-19.87</v>
      </c>
      <c r="F618" s="322"/>
      <c r="G618" s="319">
        <f>G669+G720</f>
        <v>0</v>
      </c>
      <c r="H618" s="319">
        <f>H669+H720</f>
        <v>0</v>
      </c>
      <c r="I618" s="361">
        <f>I599</f>
        <v>-21.83</v>
      </c>
      <c r="J618" s="322"/>
      <c r="K618" s="319">
        <f>K669+K720</f>
        <v>0</v>
      </c>
      <c r="M618" s="84">
        <f>-(I618/100)*D618</f>
        <v>0</v>
      </c>
      <c r="V618" s="20"/>
      <c r="W618" s="20"/>
      <c r="X618" s="20"/>
      <c r="Y618" s="20"/>
      <c r="Z618" s="20"/>
      <c r="AA618" s="20"/>
      <c r="AB618" s="20"/>
      <c r="AC618" s="20"/>
    </row>
    <row r="619" spans="1:29">
      <c r="A619" s="307" t="s">
        <v>466</v>
      </c>
      <c r="B619" s="1"/>
      <c r="C619" s="317">
        <f>C670+C721</f>
        <v>0</v>
      </c>
      <c r="D619" s="317">
        <f>D670+D721</f>
        <v>0</v>
      </c>
      <c r="E619" s="361">
        <f>E600</f>
        <v>-19.87</v>
      </c>
      <c r="F619" s="322"/>
      <c r="G619" s="319">
        <f>G670+G721</f>
        <v>0</v>
      </c>
      <c r="H619" s="319">
        <f>H670+H721</f>
        <v>0</v>
      </c>
      <c r="I619" s="361">
        <f>I600</f>
        <v>-21.83</v>
      </c>
      <c r="J619" s="322"/>
      <c r="K619" s="319">
        <f>K670+K721</f>
        <v>0</v>
      </c>
      <c r="M619" s="84">
        <f>-(I619/100)*D619</f>
        <v>0</v>
      </c>
      <c r="V619" s="20"/>
      <c r="W619" s="20"/>
      <c r="X619" s="20"/>
      <c r="Y619" s="20"/>
      <c r="Z619" s="20"/>
      <c r="AA619" s="20"/>
      <c r="AB619" s="20"/>
      <c r="AC619" s="20"/>
    </row>
    <row r="620" spans="1:29">
      <c r="A620" s="321" t="s">
        <v>429</v>
      </c>
      <c r="B620" s="1"/>
      <c r="C620" s="317"/>
      <c r="D620" s="317"/>
      <c r="E620" s="382"/>
      <c r="F620" s="319"/>
      <c r="G620" s="319"/>
      <c r="H620" s="319"/>
      <c r="I620" s="382"/>
      <c r="J620" s="319"/>
      <c r="K620" s="319"/>
      <c r="V620" s="20"/>
      <c r="W620" s="20"/>
      <c r="X620" s="20"/>
      <c r="Y620" s="20"/>
      <c r="Z620" s="20"/>
      <c r="AA620" s="20"/>
      <c r="AB620" s="20"/>
      <c r="AC620" s="20"/>
    </row>
    <row r="621" spans="1:29">
      <c r="A621" s="307" t="s">
        <v>467</v>
      </c>
      <c r="B621" s="1"/>
      <c r="C621" s="317">
        <f t="shared" ref="C621:D626" si="59">C672+C723</f>
        <v>25216</v>
      </c>
      <c r="D621" s="317">
        <f t="shared" si="59"/>
        <v>22993</v>
      </c>
      <c r="E621" s="383">
        <f>E602</f>
        <v>5.3710000000000004</v>
      </c>
      <c r="F621" s="319" t="s">
        <v>377</v>
      </c>
      <c r="G621" s="319">
        <f t="shared" ref="G621:H626" si="60">G672+G723</f>
        <v>-14</v>
      </c>
      <c r="H621" s="319">
        <f t="shared" si="60"/>
        <v>-12</v>
      </c>
      <c r="I621" s="383">
        <f>I602</f>
        <v>5.9</v>
      </c>
      <c r="J621" s="319" t="s">
        <v>377</v>
      </c>
      <c r="K621" s="319">
        <f>K672+K723</f>
        <v>-15</v>
      </c>
      <c r="M621" s="84">
        <f>-((I621/100)*D621)/100</f>
        <v>-13.56587</v>
      </c>
      <c r="V621" s="20"/>
      <c r="W621" s="20"/>
      <c r="X621" s="20"/>
      <c r="Y621" s="20"/>
      <c r="Z621" s="20"/>
      <c r="AA621" s="20"/>
      <c r="AB621" s="20"/>
      <c r="AC621" s="20"/>
    </row>
    <row r="622" spans="1:29">
      <c r="A622" s="321" t="s">
        <v>403</v>
      </c>
      <c r="B622" s="1"/>
      <c r="C622" s="317">
        <f t="shared" si="59"/>
        <v>0</v>
      </c>
      <c r="D622" s="317">
        <f t="shared" si="59"/>
        <v>0</v>
      </c>
      <c r="E622" s="373">
        <f>E603</f>
        <v>45</v>
      </c>
      <c r="F622" s="319" t="s">
        <v>377</v>
      </c>
      <c r="G622" s="319">
        <f t="shared" si="60"/>
        <v>0</v>
      </c>
      <c r="H622" s="319">
        <f t="shared" si="60"/>
        <v>0</v>
      </c>
      <c r="I622" s="373">
        <f>I603</f>
        <v>50</v>
      </c>
      <c r="J622" s="321" t="s">
        <v>377</v>
      </c>
      <c r="K622" s="319">
        <f>K673+K724</f>
        <v>0</v>
      </c>
      <c r="M622" s="84">
        <f>-((I622/100)*D622)/100</f>
        <v>0</v>
      </c>
      <c r="V622" s="20"/>
      <c r="W622" s="20"/>
      <c r="X622" s="20"/>
      <c r="Y622" s="20"/>
      <c r="Z622" s="20"/>
      <c r="AA622" s="20"/>
      <c r="AB622" s="20"/>
      <c r="AC622" s="20"/>
    </row>
    <row r="623" spans="1:29">
      <c r="A623" s="321" t="s">
        <v>446</v>
      </c>
      <c r="B623" s="1"/>
      <c r="C623" s="317">
        <f t="shared" si="59"/>
        <v>12</v>
      </c>
      <c r="D623" s="317">
        <f t="shared" si="59"/>
        <v>12</v>
      </c>
      <c r="E623" s="335">
        <f>'Blocking - detail'!E623</f>
        <v>60</v>
      </c>
      <c r="F623" s="362" t="s">
        <v>31</v>
      </c>
      <c r="G623" s="319">
        <f t="shared" si="60"/>
        <v>720</v>
      </c>
      <c r="H623" s="319">
        <f t="shared" si="60"/>
        <v>720</v>
      </c>
      <c r="I623" s="335">
        <f>'Blocking - detail'!I623</f>
        <v>60</v>
      </c>
      <c r="J623" s="1"/>
      <c r="K623" s="319">
        <f>K674+K725</f>
        <v>720</v>
      </c>
      <c r="M623" s="84">
        <f>I623*D623</f>
        <v>720</v>
      </c>
      <c r="V623" s="20"/>
      <c r="W623" s="20"/>
      <c r="X623" s="20"/>
      <c r="Y623" s="20"/>
      <c r="Z623" s="20"/>
      <c r="AA623" s="20"/>
      <c r="AB623" s="20"/>
      <c r="AC623" s="20"/>
    </row>
    <row r="624" spans="1:29">
      <c r="A624" s="321" t="s">
        <v>447</v>
      </c>
      <c r="B624" s="1"/>
      <c r="C624" s="317">
        <f t="shared" si="59"/>
        <v>320</v>
      </c>
      <c r="D624" s="317">
        <f t="shared" si="59"/>
        <v>292</v>
      </c>
      <c r="E624" s="476">
        <f>'Blocking - detail'!E624</f>
        <v>-30</v>
      </c>
      <c r="F624" s="319" t="s">
        <v>377</v>
      </c>
      <c r="G624" s="319">
        <f t="shared" si="60"/>
        <v>-96</v>
      </c>
      <c r="H624" s="319">
        <f t="shared" si="60"/>
        <v>-88</v>
      </c>
      <c r="I624" s="476">
        <f>'Blocking - detail'!I624</f>
        <v>-30</v>
      </c>
      <c r="J624" s="319" t="s">
        <v>377</v>
      </c>
      <c r="K624" s="319">
        <f>K675+K726</f>
        <v>-96</v>
      </c>
      <c r="M624" s="84">
        <f>(I624/100)*D624</f>
        <v>-87.6</v>
      </c>
      <c r="V624" s="20"/>
      <c r="W624" s="20"/>
      <c r="X624" s="20"/>
      <c r="Y624" s="20"/>
      <c r="Z624" s="20"/>
      <c r="AA624" s="20"/>
      <c r="AB624" s="20"/>
      <c r="AC624" s="20"/>
    </row>
    <row r="625" spans="1:29">
      <c r="A625" s="1" t="s">
        <v>384</v>
      </c>
      <c r="B625" s="1"/>
      <c r="C625" s="317">
        <f t="shared" si="59"/>
        <v>164697090</v>
      </c>
      <c r="D625" s="317">
        <f t="shared" si="59"/>
        <v>151116862.53785235</v>
      </c>
      <c r="E625" s="328"/>
      <c r="F625" s="2"/>
      <c r="G625" s="2">
        <f t="shared" si="60"/>
        <v>10743902</v>
      </c>
      <c r="H625" s="2">
        <f t="shared" si="60"/>
        <v>9869762</v>
      </c>
      <c r="I625" s="2"/>
      <c r="J625" s="321"/>
      <c r="K625" s="2">
        <f>K676+K727</f>
        <v>11803134</v>
      </c>
      <c r="M625" s="84">
        <f>SUM(M582:M624)</f>
        <v>10842888.273330001</v>
      </c>
      <c r="P625" s="274"/>
      <c r="V625" s="20"/>
      <c r="W625" s="20"/>
      <c r="X625" s="20"/>
      <c r="Y625" s="20"/>
      <c r="Z625" s="20"/>
      <c r="AA625" s="20"/>
      <c r="AB625" s="20"/>
      <c r="AC625" s="20"/>
    </row>
    <row r="626" spans="1:29">
      <c r="A626" s="1" t="s">
        <v>366</v>
      </c>
      <c r="B626" s="1"/>
      <c r="C626" s="338" t="e">
        <f t="shared" si="59"/>
        <v>#REF!</v>
      </c>
      <c r="D626" s="338">
        <f t="shared" si="59"/>
        <v>0</v>
      </c>
      <c r="E626" s="307"/>
      <c r="F626" s="307"/>
      <c r="G626" s="308" t="e">
        <f t="shared" si="60"/>
        <v>#REF!</v>
      </c>
      <c r="H626" s="308">
        <f t="shared" si="60"/>
        <v>0</v>
      </c>
      <c r="I626" s="307"/>
      <c r="J626" s="307"/>
      <c r="K626" s="308" t="e">
        <f>G626</f>
        <v>#REF!</v>
      </c>
      <c r="V626" s="20"/>
      <c r="W626" s="20"/>
      <c r="X626" s="20"/>
      <c r="Y626" s="20"/>
      <c r="Z626" s="20"/>
      <c r="AA626" s="20"/>
      <c r="AB626" s="20"/>
      <c r="AC626" s="20"/>
    </row>
    <row r="627" spans="1:29" ht="17.25" customHeight="1" thickBot="1">
      <c r="A627" s="1" t="s">
        <v>385</v>
      </c>
      <c r="B627" s="1"/>
      <c r="C627" s="364" t="e">
        <f>SUM(C625:C626)</f>
        <v>#REF!</v>
      </c>
      <c r="D627" s="364">
        <f>SUM(D625:D626)</f>
        <v>151116862.53785235</v>
      </c>
      <c r="E627" s="340"/>
      <c r="F627" s="341"/>
      <c r="G627" s="342" t="e">
        <f>G625+G626</f>
        <v>#REF!</v>
      </c>
      <c r="H627" s="342">
        <f>H625+H626</f>
        <v>9869762</v>
      </c>
      <c r="I627" s="340"/>
      <c r="J627" s="343"/>
      <c r="K627" s="342" t="e">
        <f>K625+K626</f>
        <v>#REF!</v>
      </c>
      <c r="N627" s="3" t="s">
        <v>367</v>
      </c>
      <c r="O627" s="69" t="e">
        <f>#REF!*1000</f>
        <v>#REF!</v>
      </c>
      <c r="P627" s="235">
        <v>9.8500000000000004E-2</v>
      </c>
      <c r="V627" s="20"/>
      <c r="W627" s="20"/>
      <c r="X627" s="20"/>
      <c r="Y627" s="20"/>
      <c r="Z627" s="20"/>
      <c r="AA627" s="20"/>
      <c r="AB627" s="20"/>
      <c r="AC627" s="20"/>
    </row>
    <row r="628" spans="1:29" ht="16.5" thickTop="1">
      <c r="A628" s="1"/>
      <c r="B628" s="1"/>
      <c r="C628" s="26"/>
      <c r="D628" s="26"/>
      <c r="E628" s="349"/>
      <c r="F628" s="350"/>
      <c r="G628" s="320"/>
      <c r="H628" s="320"/>
      <c r="I628" s="384" t="s">
        <v>31</v>
      </c>
      <c r="J628" s="23"/>
      <c r="K628" s="270" t="s">
        <v>31</v>
      </c>
      <c r="N628" s="3" t="s">
        <v>265</v>
      </c>
      <c r="O628" s="69" t="e">
        <f>O627-K627</f>
        <v>#REF!</v>
      </c>
      <c r="P628" s="312" t="e">
        <f>(O627-K627)/(K627-K603-K623-K624)</f>
        <v>#REF!</v>
      </c>
      <c r="V628" s="20"/>
      <c r="W628" s="20"/>
      <c r="X628" s="20"/>
      <c r="Y628" s="20"/>
      <c r="Z628" s="20"/>
      <c r="AA628" s="20"/>
      <c r="AB628" s="20"/>
      <c r="AC628" s="20"/>
    </row>
    <row r="629" spans="1:29">
      <c r="A629" s="291" t="s">
        <v>450</v>
      </c>
      <c r="B629" s="1"/>
      <c r="C629" s="21"/>
      <c r="D629" s="21"/>
      <c r="E629" s="335"/>
      <c r="F629" s="2"/>
      <c r="G629" s="2"/>
      <c r="H629" s="2"/>
      <c r="I629" s="335"/>
      <c r="J629" s="1"/>
      <c r="K629" s="2"/>
      <c r="V629" s="20"/>
      <c r="W629" s="20"/>
      <c r="X629" s="20"/>
      <c r="Y629" s="20"/>
      <c r="Z629" s="20"/>
      <c r="AA629" s="20"/>
      <c r="AB629" s="20"/>
      <c r="AC629" s="20"/>
    </row>
    <row r="630" spans="1:29">
      <c r="A630" s="307" t="s">
        <v>198</v>
      </c>
      <c r="B630" s="1"/>
      <c r="C630" s="21"/>
      <c r="D630" s="21"/>
      <c r="E630" s="335"/>
      <c r="F630" s="2"/>
      <c r="G630" s="2"/>
      <c r="H630" s="2"/>
      <c r="I630" s="335"/>
      <c r="J630" s="1"/>
      <c r="K630" s="2"/>
      <c r="M630" s="84"/>
      <c r="N630" s="84"/>
      <c r="O630" s="344" t="e">
        <f>O628/(K585+K586+K591+K593+K594+K595+K596+K597+K599+K600)</f>
        <v>#REF!</v>
      </c>
      <c r="P630" s="235"/>
      <c r="V630" s="20"/>
      <c r="W630" s="20"/>
      <c r="X630" s="20"/>
      <c r="Y630" s="20"/>
      <c r="Z630" s="20"/>
      <c r="AA630" s="20"/>
      <c r="AB630" s="20"/>
      <c r="AC630" s="20"/>
    </row>
    <row r="631" spans="1:29">
      <c r="A631" s="321"/>
      <c r="B631" s="1"/>
      <c r="C631" s="21"/>
      <c r="D631" s="21"/>
      <c r="E631" s="335"/>
      <c r="F631" s="2"/>
      <c r="G631" s="378"/>
      <c r="H631" s="378"/>
      <c r="I631" s="335"/>
      <c r="J631" s="1"/>
      <c r="K631" s="379"/>
      <c r="M631" s="20"/>
      <c r="N631" s="20"/>
      <c r="O631" s="74"/>
      <c r="P631" s="74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</row>
    <row r="632" spans="1:29">
      <c r="A632" s="307" t="s">
        <v>452</v>
      </c>
      <c r="B632" s="1"/>
      <c r="C632" s="317"/>
      <c r="D632" s="317"/>
      <c r="E632" s="2" t="s">
        <v>31</v>
      </c>
      <c r="F632" s="2"/>
      <c r="G632" s="1"/>
      <c r="H632" s="1"/>
      <c r="I632" s="2" t="s">
        <v>31</v>
      </c>
      <c r="J632" s="1"/>
      <c r="K632" s="1"/>
      <c r="M632" s="20"/>
      <c r="N632" s="20"/>
      <c r="O632" s="74"/>
      <c r="P632" s="74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</row>
    <row r="633" spans="1:29">
      <c r="A633" s="307" t="s">
        <v>453</v>
      </c>
      <c r="B633" s="1"/>
      <c r="C633" s="317">
        <f>887</f>
        <v>887</v>
      </c>
      <c r="D633" s="317">
        <v>892</v>
      </c>
      <c r="E633" s="335">
        <f>$E$582</f>
        <v>0</v>
      </c>
      <c r="F633" s="322"/>
      <c r="G633" s="319">
        <f>ROUND(E633*$C633,0)</f>
        <v>0</v>
      </c>
      <c r="H633" s="319">
        <f>ROUND(E633*$D633,0)</f>
        <v>0</v>
      </c>
      <c r="I633" s="335">
        <f>$I$582</f>
        <v>0</v>
      </c>
      <c r="J633" s="322"/>
      <c r="K633" s="319">
        <f>ROUND(I633*$C633,0)</f>
        <v>0</v>
      </c>
      <c r="M633" s="20"/>
      <c r="N633" s="20"/>
      <c r="O633" s="74"/>
      <c r="P633" s="74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</row>
    <row r="634" spans="1:29">
      <c r="A634" s="307" t="s">
        <v>454</v>
      </c>
      <c r="B634" s="1"/>
      <c r="C634" s="317"/>
      <c r="D634" s="317"/>
      <c r="E634" s="335"/>
      <c r="F634" s="322"/>
      <c r="G634" s="319"/>
      <c r="H634" s="319"/>
      <c r="I634" s="335"/>
      <c r="J634" s="322"/>
      <c r="K634" s="319"/>
      <c r="M634" s="20"/>
      <c r="N634" s="20"/>
      <c r="O634" s="74"/>
      <c r="P634" s="74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</row>
    <row r="635" spans="1:29">
      <c r="A635" s="307" t="s">
        <v>455</v>
      </c>
      <c r="B635" s="1"/>
      <c r="C635" s="317">
        <f>3412</f>
        <v>3412</v>
      </c>
      <c r="D635" s="317">
        <v>3431</v>
      </c>
      <c r="E635" s="335">
        <f>$E$584</f>
        <v>0</v>
      </c>
      <c r="F635" s="322"/>
      <c r="G635" s="319">
        <f>ROUND(E635*$C635,0)</f>
        <v>0</v>
      </c>
      <c r="H635" s="319">
        <f>ROUND(E635*$D635,0)</f>
        <v>0</v>
      </c>
      <c r="I635" s="335">
        <f>$I$584</f>
        <v>0</v>
      </c>
      <c r="J635" s="322"/>
      <c r="K635" s="319">
        <f>ROUND(I635*$C635,0)</f>
        <v>0</v>
      </c>
      <c r="M635" s="20"/>
      <c r="N635" s="20"/>
      <c r="O635" s="74"/>
      <c r="P635" s="74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</row>
    <row r="636" spans="1:29">
      <c r="A636" s="307" t="s">
        <v>456</v>
      </c>
      <c r="B636" s="1"/>
      <c r="C636" s="317">
        <f>350</f>
        <v>350</v>
      </c>
      <c r="D636" s="317">
        <v>352</v>
      </c>
      <c r="E636" s="335">
        <f>$E$585</f>
        <v>301</v>
      </c>
      <c r="F636" s="322"/>
      <c r="G636" s="319">
        <f>ROUND(E636*$C636,0)</f>
        <v>105350</v>
      </c>
      <c r="H636" s="319">
        <f>ROUND(E636*$D636,0)</f>
        <v>105952</v>
      </c>
      <c r="I636" s="335">
        <f>$I$585</f>
        <v>333</v>
      </c>
      <c r="J636" s="322"/>
      <c r="K636" s="319">
        <f>ROUND(I636*$C636,0)</f>
        <v>116550</v>
      </c>
      <c r="M636" s="20"/>
      <c r="N636" s="20"/>
      <c r="O636" s="74"/>
      <c r="P636" s="74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</row>
    <row r="637" spans="1:29">
      <c r="A637" s="307" t="s">
        <v>457</v>
      </c>
      <c r="B637" s="1"/>
      <c r="C637" s="317">
        <f>9</f>
        <v>9</v>
      </c>
      <c r="D637" s="317">
        <v>9</v>
      </c>
      <c r="E637" s="335">
        <f>$E$586</f>
        <v>1215</v>
      </c>
      <c r="F637" s="322"/>
      <c r="G637" s="319">
        <f>ROUND(E637*$C637,0)</f>
        <v>10935</v>
      </c>
      <c r="H637" s="319">
        <f>ROUND(E637*$D637,0)</f>
        <v>10935</v>
      </c>
      <c r="I637" s="335">
        <f>$I$586</f>
        <v>1335</v>
      </c>
      <c r="J637" s="322"/>
      <c r="K637" s="319">
        <f>ROUND(I637*$C637,0)</f>
        <v>12015</v>
      </c>
      <c r="M637" s="20"/>
      <c r="N637" s="20"/>
      <c r="O637" s="74"/>
      <c r="P637" s="74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</row>
    <row r="638" spans="1:29">
      <c r="A638" s="307" t="s">
        <v>365</v>
      </c>
      <c r="B638" s="1"/>
      <c r="C638" s="317">
        <f>SUM(C633:C637)</f>
        <v>4658</v>
      </c>
      <c r="D638" s="317">
        <v>4683.9852262627228</v>
      </c>
      <c r="E638" s="335"/>
      <c r="F638" s="322"/>
      <c r="G638" s="319"/>
      <c r="H638" s="319"/>
      <c r="I638" s="335"/>
      <c r="J638" s="322"/>
      <c r="K638" s="319"/>
      <c r="M638" s="20"/>
      <c r="N638" s="20"/>
      <c r="O638" s="74"/>
      <c r="P638" s="74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</row>
    <row r="639" spans="1:29">
      <c r="A639" s="307" t="s">
        <v>458</v>
      </c>
      <c r="B639" s="1"/>
      <c r="C639" s="317">
        <f>5697+21813+2492+69</f>
        <v>30071</v>
      </c>
      <c r="D639" s="317">
        <v>30239</v>
      </c>
      <c r="E639" s="335"/>
      <c r="F639" s="319"/>
      <c r="G639" s="319"/>
      <c r="H639" s="319"/>
      <c r="I639" s="335"/>
      <c r="J639" s="319"/>
      <c r="K639" s="319"/>
      <c r="M639" s="20"/>
      <c r="N639" s="20"/>
      <c r="O639" s="74"/>
      <c r="P639" s="74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</row>
    <row r="640" spans="1:29">
      <c r="A640" s="307" t="s">
        <v>104</v>
      </c>
      <c r="B640" s="1"/>
      <c r="C640" s="317">
        <f>960+3719+356+9</f>
        <v>5044</v>
      </c>
      <c r="D640" s="317">
        <v>5072</v>
      </c>
      <c r="E640" s="335"/>
      <c r="F640" s="319"/>
      <c r="G640" s="319"/>
      <c r="H640" s="319"/>
      <c r="I640" s="335"/>
      <c r="J640" s="319"/>
      <c r="K640" s="319"/>
      <c r="M640" s="20"/>
      <c r="N640" s="20"/>
      <c r="O640" s="74"/>
      <c r="P640" s="74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</row>
    <row r="641" spans="1:29">
      <c r="A641" s="307" t="s">
        <v>459</v>
      </c>
      <c r="B641" s="1"/>
      <c r="C641" s="317"/>
      <c r="D641" s="317"/>
      <c r="E641" s="335"/>
      <c r="F641" s="322"/>
      <c r="G641" s="319"/>
      <c r="H641" s="319"/>
      <c r="I641" s="335"/>
      <c r="J641" s="322"/>
      <c r="K641" s="319"/>
      <c r="M641" s="20"/>
      <c r="N641" s="20"/>
      <c r="O641" s="74"/>
      <c r="P641" s="74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</row>
    <row r="642" spans="1:29">
      <c r="A642" s="307" t="s">
        <v>460</v>
      </c>
      <c r="B642" s="1"/>
      <c r="C642" s="317">
        <f>4289</f>
        <v>4289</v>
      </c>
      <c r="D642" s="317">
        <v>3939</v>
      </c>
      <c r="E642" s="335">
        <f>$E$591</f>
        <v>19.87</v>
      </c>
      <c r="F642" s="322"/>
      <c r="G642" s="319">
        <f>ROUND(E642*$C642,0)</f>
        <v>85222</v>
      </c>
      <c r="H642" s="319">
        <f>ROUND(E642*$D642,0)</f>
        <v>78268</v>
      </c>
      <c r="I642" s="335">
        <f>$I$591</f>
        <v>21.83</v>
      </c>
      <c r="J642" s="322"/>
      <c r="K642" s="319">
        <f>ROUND(I642*$C642,0)</f>
        <v>93629</v>
      </c>
      <c r="M642" s="20"/>
      <c r="N642" s="20"/>
      <c r="O642" s="74"/>
      <c r="P642" s="74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</row>
    <row r="643" spans="1:29">
      <c r="A643" s="307" t="s">
        <v>461</v>
      </c>
      <c r="B643" s="1"/>
      <c r="C643" s="317"/>
      <c r="D643" s="317"/>
      <c r="E643" s="335"/>
      <c r="F643" s="322"/>
      <c r="G643" s="319"/>
      <c r="H643" s="319"/>
      <c r="I643" s="335"/>
      <c r="J643" s="322"/>
      <c r="K643" s="319"/>
      <c r="M643" s="20"/>
      <c r="N643" s="20"/>
      <c r="O643" s="74"/>
      <c r="P643" s="74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</row>
    <row r="644" spans="1:29">
      <c r="A644" s="307" t="s">
        <v>455</v>
      </c>
      <c r="B644" s="1"/>
      <c r="C644" s="317">
        <f>49028</f>
        <v>49028</v>
      </c>
      <c r="D644" s="317">
        <v>45025</v>
      </c>
      <c r="E644" s="335">
        <f>$E$593</f>
        <v>19.87</v>
      </c>
      <c r="F644" s="322"/>
      <c r="G644" s="319">
        <f>ROUND(E644*$C644,0)</f>
        <v>974186</v>
      </c>
      <c r="H644" s="319">
        <f>ROUND(E644*$D644,0)</f>
        <v>894647</v>
      </c>
      <c r="I644" s="335">
        <f>$I$593</f>
        <v>21.83</v>
      </c>
      <c r="J644" s="322"/>
      <c r="K644" s="319">
        <f>ROUND(I644*$C644,0)</f>
        <v>1070281</v>
      </c>
      <c r="M644" s="20"/>
      <c r="N644" s="20"/>
      <c r="O644" s="74"/>
      <c r="P644" s="74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</row>
    <row r="645" spans="1:29">
      <c r="A645" s="307" t="s">
        <v>456</v>
      </c>
      <c r="B645" s="1"/>
      <c r="C645" s="317">
        <f>33712</f>
        <v>33712</v>
      </c>
      <c r="D645" s="317">
        <v>30960</v>
      </c>
      <c r="E645" s="335">
        <f>$E$594</f>
        <v>13.64</v>
      </c>
      <c r="F645" s="322"/>
      <c r="G645" s="319">
        <f>ROUND(E645*$C645,0)</f>
        <v>459832</v>
      </c>
      <c r="H645" s="319">
        <f>ROUND(E645*$D645,0)</f>
        <v>422294</v>
      </c>
      <c r="I645" s="335">
        <f>$I$594</f>
        <v>14.98</v>
      </c>
      <c r="J645" s="322"/>
      <c r="K645" s="319">
        <f>ROUND(I645*$C645,0)</f>
        <v>505006</v>
      </c>
      <c r="M645" s="20"/>
      <c r="N645" s="20"/>
      <c r="O645" s="74"/>
      <c r="P645" s="74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</row>
    <row r="646" spans="1:29">
      <c r="A646" s="307" t="s">
        <v>457</v>
      </c>
      <c r="B646" s="1"/>
      <c r="C646" s="317">
        <f>3389</f>
        <v>3389</v>
      </c>
      <c r="D646" s="317">
        <v>3112</v>
      </c>
      <c r="E646" s="335">
        <f>$E$595</f>
        <v>10.62</v>
      </c>
      <c r="F646" s="322"/>
      <c r="G646" s="319">
        <f>ROUND(E646*$C646,0)</f>
        <v>35991</v>
      </c>
      <c r="H646" s="319">
        <f>ROUND(E646*$D646,0)</f>
        <v>33049</v>
      </c>
      <c r="I646" s="335">
        <f>$I$595</f>
        <v>11.67</v>
      </c>
      <c r="J646" s="322"/>
      <c r="K646" s="319">
        <f>ROUND(I646*$C646,0)</f>
        <v>39550</v>
      </c>
      <c r="M646" s="20"/>
      <c r="N646" s="20"/>
      <c r="O646" s="74"/>
      <c r="P646" s="74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</row>
    <row r="647" spans="1:29">
      <c r="A647" s="307" t="s">
        <v>463</v>
      </c>
      <c r="B647" s="1"/>
      <c r="C647" s="317">
        <v>126</v>
      </c>
      <c r="D647" s="317">
        <v>116</v>
      </c>
      <c r="E647" s="335">
        <f>$E$596</f>
        <v>59.61</v>
      </c>
      <c r="F647" s="322"/>
      <c r="G647" s="319">
        <f>ROUND(E647*$C647,0)</f>
        <v>7511</v>
      </c>
      <c r="H647" s="319">
        <f>ROUND(E647*$D647,0)</f>
        <v>6915</v>
      </c>
      <c r="I647" s="335">
        <f>$I$596</f>
        <v>65.48</v>
      </c>
      <c r="J647" s="322"/>
      <c r="K647" s="319">
        <f>ROUND(I647*$C647,0)</f>
        <v>8250</v>
      </c>
      <c r="M647" s="20"/>
      <c r="N647" s="20"/>
      <c r="O647" s="74"/>
      <c r="P647" s="74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</row>
    <row r="648" spans="1:29">
      <c r="A648" s="307" t="s">
        <v>464</v>
      </c>
      <c r="B648" s="1"/>
      <c r="C648" s="317">
        <v>1789</v>
      </c>
      <c r="D648" s="317">
        <v>1643</v>
      </c>
      <c r="E648" s="335">
        <f>$E$597</f>
        <v>119.22</v>
      </c>
      <c r="F648" s="322"/>
      <c r="G648" s="319">
        <f>ROUND(E648*$C648,0)</f>
        <v>213285</v>
      </c>
      <c r="H648" s="319">
        <f>ROUND(E648*$D648,0)</f>
        <v>195878</v>
      </c>
      <c r="I648" s="335">
        <f>$I$597</f>
        <v>130.96</v>
      </c>
      <c r="J648" s="322"/>
      <c r="K648" s="319">
        <f>ROUND(I648*$C648,0)</f>
        <v>234287</v>
      </c>
      <c r="M648" s="20"/>
      <c r="N648" s="20"/>
      <c r="O648" s="74"/>
      <c r="P648" s="74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</row>
    <row r="649" spans="1:29">
      <c r="A649" s="307" t="s">
        <v>465</v>
      </c>
      <c r="B649" s="1"/>
      <c r="C649" s="317"/>
      <c r="D649" s="317"/>
      <c r="E649" s="335"/>
      <c r="F649" s="322"/>
      <c r="G649" s="319"/>
      <c r="H649" s="319"/>
      <c r="I649" s="335"/>
      <c r="J649" s="322"/>
      <c r="K649" s="319"/>
      <c r="M649" s="20"/>
      <c r="N649" s="20"/>
      <c r="O649" s="74"/>
      <c r="P649" s="74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</row>
    <row r="650" spans="1:29">
      <c r="A650" s="307" t="s">
        <v>460</v>
      </c>
      <c r="B650" s="1"/>
      <c r="C650" s="317">
        <v>73</v>
      </c>
      <c r="D650" s="317">
        <f>ROUND(($D$676/$C$676)*C650,0)</f>
        <v>67</v>
      </c>
      <c r="E650" s="361">
        <f>-E642</f>
        <v>-19.87</v>
      </c>
      <c r="F650" s="322"/>
      <c r="G650" s="319">
        <f>ROUND(E650*$C650,0)</f>
        <v>-1451</v>
      </c>
      <c r="H650" s="319">
        <f>ROUND(E650*$D650,0)</f>
        <v>-1331</v>
      </c>
      <c r="I650" s="361">
        <f>-I642</f>
        <v>-21.83</v>
      </c>
      <c r="J650" s="322"/>
      <c r="K650" s="319">
        <f>ROUND(I650*$C650,0)</f>
        <v>-1594</v>
      </c>
      <c r="M650" s="20"/>
      <c r="N650" s="20"/>
      <c r="O650" s="74"/>
      <c r="P650" s="74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</row>
    <row r="651" spans="1:29">
      <c r="A651" s="307" t="s">
        <v>466</v>
      </c>
      <c r="B651" s="1"/>
      <c r="C651" s="317">
        <v>11428</v>
      </c>
      <c r="D651" s="317">
        <f>ROUND(($D$676/$C$676)*C651,0)</f>
        <v>10495</v>
      </c>
      <c r="E651" s="361">
        <f>-E644</f>
        <v>-19.87</v>
      </c>
      <c r="F651" s="322"/>
      <c r="G651" s="319">
        <f>ROUND(E651*$C651,0)</f>
        <v>-227074</v>
      </c>
      <c r="H651" s="319">
        <f>ROUND(E651*$D651,0)</f>
        <v>-208536</v>
      </c>
      <c r="I651" s="361">
        <f>-I644</f>
        <v>-21.83</v>
      </c>
      <c r="J651" s="322"/>
      <c r="K651" s="319">
        <f>ROUND(I651*$C651,0)</f>
        <v>-249473</v>
      </c>
      <c r="M651" s="20"/>
      <c r="N651" s="20"/>
      <c r="O651" s="74"/>
      <c r="P651" s="74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</row>
    <row r="652" spans="1:29">
      <c r="A652" s="321" t="s">
        <v>429</v>
      </c>
      <c r="B652" s="1"/>
      <c r="C652" s="317"/>
      <c r="D652" s="317"/>
      <c r="E652" s="335"/>
      <c r="F652" s="319"/>
      <c r="G652" s="319"/>
      <c r="H652" s="319"/>
      <c r="I652" s="335"/>
      <c r="J652" s="319"/>
      <c r="K652" s="319"/>
      <c r="M652" s="20"/>
      <c r="N652" s="20"/>
      <c r="O652" s="74"/>
      <c r="P652" s="74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</row>
    <row r="653" spans="1:29">
      <c r="A653" s="307" t="s">
        <v>467</v>
      </c>
      <c r="B653" s="1"/>
      <c r="C653" s="317">
        <f>5084272+75575644+56800989+6712400</f>
        <v>144173305</v>
      </c>
      <c r="D653" s="317">
        <f>ROUND(($D$676/$C$676)*C653,0)</f>
        <v>132402479</v>
      </c>
      <c r="E653" s="380">
        <f>$E$602</f>
        <v>5.3710000000000004</v>
      </c>
      <c r="F653" s="319" t="s">
        <v>377</v>
      </c>
      <c r="G653" s="319">
        <f>ROUND(E653/100*$C653,0)</f>
        <v>7743548</v>
      </c>
      <c r="H653" s="319">
        <f>ROUND(E653/100*$D653,0)</f>
        <v>7111337</v>
      </c>
      <c r="I653" s="380">
        <f>$I$602</f>
        <v>5.9</v>
      </c>
      <c r="J653" s="319" t="s">
        <v>377</v>
      </c>
      <c r="K653" s="319">
        <f>ROUND(I653/100*$C653,0)</f>
        <v>8506225</v>
      </c>
      <c r="M653" s="20"/>
      <c r="N653" s="20"/>
      <c r="O653" s="74"/>
      <c r="P653" s="74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</row>
    <row r="654" spans="1:29">
      <c r="A654" s="321" t="s">
        <v>403</v>
      </c>
      <c r="B654" s="1"/>
      <c r="C654" s="273">
        <f>1923+20850+3348</f>
        <v>26121</v>
      </c>
      <c r="D654" s="317">
        <f>ROUND(($D$676/$C$676)*C654,0)</f>
        <v>23988</v>
      </c>
      <c r="E654" s="337">
        <f>$E$603</f>
        <v>45</v>
      </c>
      <c r="F654" s="321" t="s">
        <v>377</v>
      </c>
      <c r="G654" s="319">
        <f>ROUND(E654*$C654/100,0)</f>
        <v>11754</v>
      </c>
      <c r="H654" s="319">
        <f>ROUND(E654*$D654/100,0)</f>
        <v>10795</v>
      </c>
      <c r="I654" s="337">
        <f>$I$603</f>
        <v>50</v>
      </c>
      <c r="J654" s="321" t="s">
        <v>377</v>
      </c>
      <c r="K654" s="319">
        <f>ROUND(I654*$C654/100,0)</f>
        <v>13061</v>
      </c>
      <c r="M654" s="20"/>
      <c r="N654" s="20"/>
      <c r="O654" s="74"/>
      <c r="P654" s="74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</row>
    <row r="655" spans="1:29">
      <c r="A655" s="358" t="s">
        <v>404</v>
      </c>
      <c r="B655" s="1"/>
      <c r="C655" s="317"/>
      <c r="D655" s="317"/>
      <c r="E655" s="330">
        <v>-0.01</v>
      </c>
      <c r="F655" s="2"/>
      <c r="G655" s="319"/>
      <c r="H655" s="319"/>
      <c r="I655" s="330">
        <v>-0.01</v>
      </c>
      <c r="J655" s="1"/>
      <c r="K655" s="319"/>
      <c r="M655" s="20"/>
      <c r="N655" s="20"/>
      <c r="O655" s="74"/>
      <c r="P655" s="74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</row>
    <row r="656" spans="1:29">
      <c r="A656" s="307" t="s">
        <v>393</v>
      </c>
      <c r="B656" s="1"/>
      <c r="C656" s="317">
        <v>0</v>
      </c>
      <c r="D656" s="317">
        <v>0</v>
      </c>
      <c r="E656" s="382">
        <f>E633</f>
        <v>0</v>
      </c>
      <c r="F656" s="322"/>
      <c r="G656" s="319">
        <f>ROUND(E656*$C656*$E$604,0)</f>
        <v>0</v>
      </c>
      <c r="H656" s="319">
        <f>ROUND(E656*$D656*$E$604,0)</f>
        <v>0</v>
      </c>
      <c r="I656" s="382">
        <f>I633</f>
        <v>0</v>
      </c>
      <c r="J656" s="322"/>
      <c r="K656" s="319">
        <f>ROUND(I656*$C656*$E$604,0)</f>
        <v>0</v>
      </c>
      <c r="M656" s="20"/>
      <c r="N656" s="20"/>
      <c r="O656" s="74"/>
      <c r="P656" s="74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</row>
    <row r="657" spans="1:29">
      <c r="A657" s="307" t="s">
        <v>394</v>
      </c>
      <c r="B657" s="1"/>
      <c r="C657" s="317"/>
      <c r="D657" s="317"/>
      <c r="E657" s="382"/>
      <c r="F657" s="322"/>
      <c r="G657" s="319"/>
      <c r="H657" s="319"/>
      <c r="I657" s="382"/>
      <c r="J657" s="322"/>
      <c r="K657" s="319"/>
      <c r="M657" s="20"/>
      <c r="N657" s="20"/>
      <c r="O657" s="74"/>
      <c r="P657" s="74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</row>
    <row r="658" spans="1:29">
      <c r="A658" s="307" t="s">
        <v>455</v>
      </c>
      <c r="B658" s="1"/>
      <c r="C658" s="317">
        <v>0</v>
      </c>
      <c r="D658" s="317">
        <v>0</v>
      </c>
      <c r="E658" s="382">
        <f>E635</f>
        <v>0</v>
      </c>
      <c r="F658" s="322"/>
      <c r="G658" s="319">
        <f>ROUND(E658*$C658*$E$604,0)</f>
        <v>0</v>
      </c>
      <c r="H658" s="319">
        <f>ROUND(E658*$D658*$E$604,0)</f>
        <v>0</v>
      </c>
      <c r="I658" s="382">
        <f>I635</f>
        <v>0</v>
      </c>
      <c r="J658" s="322"/>
      <c r="K658" s="319">
        <f>ROUND(I658*$C658*$E$604,0)</f>
        <v>0</v>
      </c>
      <c r="M658" s="20"/>
      <c r="N658" s="20"/>
      <c r="O658" s="74"/>
      <c r="P658" s="74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</row>
    <row r="659" spans="1:29">
      <c r="A659" s="307" t="s">
        <v>456</v>
      </c>
      <c r="B659" s="1"/>
      <c r="C659" s="317">
        <v>0</v>
      </c>
      <c r="D659" s="317">
        <v>0</v>
      </c>
      <c r="E659" s="382">
        <f>E636</f>
        <v>301</v>
      </c>
      <c r="F659" s="322"/>
      <c r="G659" s="319">
        <f>ROUND(E659*$C659*$E$604,0)</f>
        <v>0</v>
      </c>
      <c r="H659" s="319">
        <f>ROUND(E659*$D659*$E$604,0)</f>
        <v>0</v>
      </c>
      <c r="I659" s="382">
        <f>I636</f>
        <v>333</v>
      </c>
      <c r="J659" s="322"/>
      <c r="K659" s="319">
        <f>ROUND(I659*$C659*$E$604,0)</f>
        <v>0</v>
      </c>
      <c r="M659" s="20"/>
      <c r="N659" s="20"/>
      <c r="O659" s="74"/>
      <c r="P659" s="74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</row>
    <row r="660" spans="1:29">
      <c r="A660" s="307" t="s">
        <v>457</v>
      </c>
      <c r="B660" s="1"/>
      <c r="C660" s="317">
        <v>0</v>
      </c>
      <c r="D660" s="317">
        <v>0</v>
      </c>
      <c r="E660" s="382">
        <f>E637</f>
        <v>1215</v>
      </c>
      <c r="F660" s="322"/>
      <c r="G660" s="319">
        <f>ROUND(E660*$C660*$E$604,0)</f>
        <v>0</v>
      </c>
      <c r="H660" s="319">
        <f>ROUND(E660*$D660*$E$604,0)</f>
        <v>0</v>
      </c>
      <c r="I660" s="382">
        <f>I637</f>
        <v>1335</v>
      </c>
      <c r="J660" s="322"/>
      <c r="K660" s="319">
        <f>ROUND(I660*$C660*$E$604,0)</f>
        <v>0</v>
      </c>
      <c r="M660" s="20"/>
      <c r="N660" s="20"/>
      <c r="O660" s="74"/>
      <c r="P660" s="74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</row>
    <row r="661" spans="1:29">
      <c r="A661" s="307" t="s">
        <v>393</v>
      </c>
      <c r="B661" s="1"/>
      <c r="C661" s="317">
        <v>0</v>
      </c>
      <c r="D661" s="317">
        <v>0</v>
      </c>
      <c r="E661" s="382">
        <f>E642</f>
        <v>19.87</v>
      </c>
      <c r="F661" s="322"/>
      <c r="G661" s="319">
        <f>ROUND(E661*$C661*$E$604,0)</f>
        <v>0</v>
      </c>
      <c r="H661" s="319">
        <f>ROUND(E661*$D661*$E$604,0)</f>
        <v>0</v>
      </c>
      <c r="I661" s="382">
        <f>I642</f>
        <v>21.83</v>
      </c>
      <c r="J661" s="322"/>
      <c r="K661" s="319">
        <f>ROUND(I661*$C661*$E$604,0)</f>
        <v>0</v>
      </c>
      <c r="M661" s="20"/>
      <c r="N661" s="20"/>
      <c r="O661" s="74"/>
      <c r="P661" s="74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</row>
    <row r="662" spans="1:29">
      <c r="A662" s="307" t="s">
        <v>394</v>
      </c>
      <c r="B662" s="1"/>
      <c r="C662" s="317"/>
      <c r="D662" s="317"/>
      <c r="E662" s="382"/>
      <c r="F662" s="322"/>
      <c r="G662" s="319"/>
      <c r="H662" s="319"/>
      <c r="I662" s="382"/>
      <c r="J662" s="322"/>
      <c r="K662" s="319"/>
      <c r="M662" s="20"/>
      <c r="N662" s="20"/>
      <c r="O662" s="74"/>
      <c r="P662" s="74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</row>
    <row r="663" spans="1:29">
      <c r="A663" s="307" t="s">
        <v>455</v>
      </c>
      <c r="B663" s="1"/>
      <c r="C663" s="317">
        <v>0</v>
      </c>
      <c r="D663" s="317">
        <f>ROUND(($D$676/$C$676)*C663,0)</f>
        <v>0</v>
      </c>
      <c r="E663" s="382">
        <f>E644</f>
        <v>19.87</v>
      </c>
      <c r="F663" s="322"/>
      <c r="G663" s="319">
        <f>ROUND(E663*$C663*$E$604,0)</f>
        <v>0</v>
      </c>
      <c r="H663" s="319">
        <f>ROUND(E663*$D663*$E$604,0)</f>
        <v>0</v>
      </c>
      <c r="I663" s="382">
        <f>I644</f>
        <v>21.83</v>
      </c>
      <c r="J663" s="322"/>
      <c r="K663" s="319">
        <f>ROUND(I663*$C663*$E$604,0)</f>
        <v>0</v>
      </c>
      <c r="M663" s="20"/>
      <c r="N663" s="20"/>
      <c r="O663" s="74"/>
      <c r="P663" s="74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</row>
    <row r="664" spans="1:29">
      <c r="A664" s="307" t="s">
        <v>456</v>
      </c>
      <c r="B664" s="1"/>
      <c r="C664" s="317">
        <v>0</v>
      </c>
      <c r="D664" s="317">
        <f>ROUND(($D$676/$C$676)*C664,0)</f>
        <v>0</v>
      </c>
      <c r="E664" s="382">
        <f>E645</f>
        <v>13.64</v>
      </c>
      <c r="F664" s="322"/>
      <c r="G664" s="319">
        <f>ROUND(E664*$C664*$E$604,0)</f>
        <v>0</v>
      </c>
      <c r="H664" s="319">
        <f>ROUND(E664*$D664*$E$604,0)</f>
        <v>0</v>
      </c>
      <c r="I664" s="382">
        <f>I645</f>
        <v>14.98</v>
      </c>
      <c r="J664" s="322"/>
      <c r="K664" s="319">
        <f>ROUND(I664*$C664*$E$604,0)</f>
        <v>0</v>
      </c>
      <c r="M664" s="20"/>
      <c r="N664" s="20"/>
      <c r="O664" s="74"/>
      <c r="P664" s="74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</row>
    <row r="665" spans="1:29">
      <c r="A665" s="307" t="s">
        <v>457</v>
      </c>
      <c r="B665" s="1"/>
      <c r="C665" s="317">
        <v>0</v>
      </c>
      <c r="D665" s="317">
        <f>ROUND(($D$676/$C$676)*C665,0)</f>
        <v>0</v>
      </c>
      <c r="E665" s="382">
        <f>E646</f>
        <v>10.62</v>
      </c>
      <c r="F665" s="322"/>
      <c r="G665" s="319">
        <f>ROUND(E665*$C665*$E$604,0)</f>
        <v>0</v>
      </c>
      <c r="H665" s="319">
        <f>ROUND(E665*$D665*$E$604,0)</f>
        <v>0</v>
      </c>
      <c r="I665" s="382">
        <f>I646</f>
        <v>11.67</v>
      </c>
      <c r="J665" s="322"/>
      <c r="K665" s="319">
        <f>ROUND(I665*$C665*$E$604,0)</f>
        <v>0</v>
      </c>
      <c r="M665" s="20"/>
      <c r="N665" s="20"/>
      <c r="O665" s="74"/>
      <c r="P665" s="74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</row>
    <row r="666" spans="1:29">
      <c r="A666" s="307" t="s">
        <v>468</v>
      </c>
      <c r="B666" s="1"/>
      <c r="C666" s="317">
        <v>0</v>
      </c>
      <c r="D666" s="317">
        <v>0</v>
      </c>
      <c r="E666" s="351">
        <f>E647</f>
        <v>59.61</v>
      </c>
      <c r="F666" s="322"/>
      <c r="G666" s="319">
        <f>ROUND(E666*$C666*$E$604,0)</f>
        <v>0</v>
      </c>
      <c r="H666" s="319">
        <f>ROUND(E666*$D666*$E$604,0)</f>
        <v>0</v>
      </c>
      <c r="I666" s="351">
        <f>I647</f>
        <v>65.48</v>
      </c>
      <c r="J666" s="322"/>
      <c r="K666" s="319">
        <f>ROUND(I666*$C666*$E$604,0)</f>
        <v>0</v>
      </c>
      <c r="M666" s="20"/>
      <c r="N666" s="20"/>
      <c r="O666" s="74"/>
      <c r="P666" s="74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</row>
    <row r="667" spans="1:29">
      <c r="A667" s="307" t="s">
        <v>469</v>
      </c>
      <c r="B667" s="1"/>
      <c r="C667" s="317">
        <v>0</v>
      </c>
      <c r="D667" s="317">
        <v>0</v>
      </c>
      <c r="E667" s="351">
        <f>E648</f>
        <v>119.22</v>
      </c>
      <c r="F667" s="322"/>
      <c r="G667" s="319">
        <f>ROUND(E667*$C667*$E$604,0)</f>
        <v>0</v>
      </c>
      <c r="H667" s="319">
        <f>ROUND(E667*$D667*$E$604,0)</f>
        <v>0</v>
      </c>
      <c r="I667" s="351">
        <f>I648</f>
        <v>130.96</v>
      </c>
      <c r="J667" s="322"/>
      <c r="K667" s="319">
        <f>ROUND(I667*$C667*$E$604,0)</f>
        <v>0</v>
      </c>
      <c r="M667" s="20"/>
      <c r="N667" s="20"/>
      <c r="O667" s="74"/>
      <c r="P667" s="74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</row>
    <row r="668" spans="1:29">
      <c r="A668" s="307" t="s">
        <v>465</v>
      </c>
      <c r="B668" s="1"/>
      <c r="C668" s="317"/>
      <c r="D668" s="317"/>
      <c r="E668" s="335"/>
      <c r="F668" s="322"/>
      <c r="G668" s="319"/>
      <c r="H668" s="319"/>
      <c r="I668" s="335"/>
      <c r="J668" s="322"/>
      <c r="K668" s="319"/>
      <c r="M668" s="20"/>
      <c r="N668" s="20"/>
      <c r="O668" s="74"/>
      <c r="P668" s="74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</row>
    <row r="669" spans="1:29">
      <c r="A669" s="307" t="s">
        <v>460</v>
      </c>
      <c r="B669" s="1"/>
      <c r="C669" s="317">
        <v>0</v>
      </c>
      <c r="D669" s="317">
        <f>ROUND(($D$676/$C$676)*C669,0)</f>
        <v>0</v>
      </c>
      <c r="E669" s="361">
        <f>E650</f>
        <v>-19.87</v>
      </c>
      <c r="F669" s="322"/>
      <c r="G669" s="319">
        <f>ROUND(E669*$C669*$E$604,0)</f>
        <v>0</v>
      </c>
      <c r="H669" s="319">
        <f>ROUND(E669*$D669*$E$604,0)</f>
        <v>0</v>
      </c>
      <c r="I669" s="361">
        <f>I650</f>
        <v>-21.83</v>
      </c>
      <c r="J669" s="322"/>
      <c r="K669" s="319">
        <f>ROUND(I669*$C669*$E$604,0)</f>
        <v>0</v>
      </c>
      <c r="M669" s="20"/>
      <c r="N669" s="20"/>
      <c r="O669" s="74"/>
      <c r="P669" s="74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</row>
    <row r="670" spans="1:29">
      <c r="A670" s="307" t="s">
        <v>466</v>
      </c>
      <c r="B670" s="1"/>
      <c r="C670" s="317">
        <v>0</v>
      </c>
      <c r="D670" s="317">
        <f>ROUND(($D$676/$C$676)*C670,0)</f>
        <v>0</v>
      </c>
      <c r="E670" s="361">
        <f>E651</f>
        <v>-19.87</v>
      </c>
      <c r="F670" s="322"/>
      <c r="G670" s="319">
        <f>ROUND(E670*$C670*$E$604,0)</f>
        <v>0</v>
      </c>
      <c r="H670" s="319">
        <f>ROUND(E670*$D670*$E$604,0)</f>
        <v>0</v>
      </c>
      <c r="I670" s="361">
        <f>I651</f>
        <v>-21.83</v>
      </c>
      <c r="J670" s="322"/>
      <c r="K670" s="319">
        <f>ROUND(I670*$C670*$E$604,0)</f>
        <v>0</v>
      </c>
      <c r="M670" s="20"/>
      <c r="N670" s="20"/>
      <c r="O670" s="74"/>
      <c r="P670" s="74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</row>
    <row r="671" spans="1:29">
      <c r="A671" s="321" t="s">
        <v>429</v>
      </c>
      <c r="B671" s="1"/>
      <c r="C671" s="317"/>
      <c r="D671" s="317"/>
      <c r="E671" s="382"/>
      <c r="F671" s="319"/>
      <c r="G671" s="319"/>
      <c r="H671" s="319"/>
      <c r="I671" s="382"/>
      <c r="J671" s="319"/>
      <c r="K671" s="319"/>
      <c r="M671" s="20"/>
      <c r="N671" s="20"/>
      <c r="O671" s="74"/>
      <c r="P671" s="74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</row>
    <row r="672" spans="1:29">
      <c r="A672" s="307" t="s">
        <v>467</v>
      </c>
      <c r="B672" s="1"/>
      <c r="C672" s="317">
        <v>0</v>
      </c>
      <c r="D672" s="317">
        <f>ROUND(($D$676/$C$676)*C672,0)</f>
        <v>0</v>
      </c>
      <c r="E672" s="383">
        <f>E653</f>
        <v>5.3710000000000004</v>
      </c>
      <c r="F672" s="319" t="s">
        <v>377</v>
      </c>
      <c r="G672" s="319">
        <f>ROUND(E672/100*$C672*$E$604,0)</f>
        <v>0</v>
      </c>
      <c r="H672" s="319">
        <f>ROUND(E672/100*$D672*$E$604,0)</f>
        <v>0</v>
      </c>
      <c r="I672" s="383">
        <f>I653</f>
        <v>5.9</v>
      </c>
      <c r="J672" s="319" t="s">
        <v>377</v>
      </c>
      <c r="K672" s="319">
        <f>ROUND(I672/100*$C672*$E$604,0)</f>
        <v>0</v>
      </c>
      <c r="M672" s="20"/>
      <c r="N672" s="20"/>
      <c r="O672" s="74"/>
      <c r="P672" s="74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</row>
    <row r="673" spans="1:29">
      <c r="A673" s="321" t="s">
        <v>403</v>
      </c>
      <c r="B673" s="1"/>
      <c r="C673" s="317">
        <v>0</v>
      </c>
      <c r="D673" s="317">
        <f>ROUND(($D$676/$C$676)*C673,0)</f>
        <v>0</v>
      </c>
      <c r="E673" s="373">
        <f>E654</f>
        <v>45</v>
      </c>
      <c r="F673" s="319" t="s">
        <v>377</v>
      </c>
      <c r="G673" s="319">
        <f>ROUND(E673/100*$C673*$E$604,0)</f>
        <v>0</v>
      </c>
      <c r="H673" s="319">
        <f>ROUND(E673/100*$D673*$E$604,0)</f>
        <v>0</v>
      </c>
      <c r="I673" s="373">
        <f>I654</f>
        <v>50</v>
      </c>
      <c r="J673" s="321" t="s">
        <v>377</v>
      </c>
      <c r="K673" s="319">
        <f>ROUND(I673/100*$C673*$E$604,0)</f>
        <v>0</v>
      </c>
      <c r="M673" s="20"/>
      <c r="N673" s="20"/>
      <c r="O673" s="74"/>
      <c r="P673" s="74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</row>
    <row r="674" spans="1:29">
      <c r="A674" s="321" t="s">
        <v>446</v>
      </c>
      <c r="B674" s="1"/>
      <c r="C674" s="317">
        <v>0</v>
      </c>
      <c r="D674" s="317">
        <v>0</v>
      </c>
      <c r="E674" s="296">
        <f>$E$623</f>
        <v>60</v>
      </c>
      <c r="F674" s="362" t="s">
        <v>31</v>
      </c>
      <c r="G674" s="319">
        <f>ROUND(E674*$C674,0)</f>
        <v>0</v>
      </c>
      <c r="H674" s="319">
        <f>ROUND(E674*$D674,0)</f>
        <v>0</v>
      </c>
      <c r="I674" s="296">
        <f>$I$623</f>
        <v>60</v>
      </c>
      <c r="J674" s="1"/>
      <c r="K674" s="319">
        <f>ROUND(I674*$C674,0)</f>
        <v>0</v>
      </c>
      <c r="M674" s="20"/>
      <c r="N674" s="20"/>
      <c r="O674" s="74"/>
      <c r="P674" s="74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</row>
    <row r="675" spans="1:29">
      <c r="A675" s="321" t="s">
        <v>447</v>
      </c>
      <c r="B675" s="1"/>
      <c r="C675" s="317">
        <v>0</v>
      </c>
      <c r="D675" s="317">
        <f>ROUND(($D$676/$C$676)*C675,0)</f>
        <v>0</v>
      </c>
      <c r="E675" s="337">
        <f>$E$624</f>
        <v>-30</v>
      </c>
      <c r="F675" s="319" t="s">
        <v>377</v>
      </c>
      <c r="G675" s="319">
        <f>ROUND(E675*$C675,0)</f>
        <v>0</v>
      </c>
      <c r="H675" s="319">
        <f>ROUND(E675*$D675,0)</f>
        <v>0</v>
      </c>
      <c r="I675" s="337">
        <f>$I$624</f>
        <v>-30</v>
      </c>
      <c r="J675" s="319" t="s">
        <v>377</v>
      </c>
      <c r="K675" s="319">
        <f>ROUND(I675*$C675,0)</f>
        <v>0</v>
      </c>
      <c r="M675" s="20"/>
      <c r="N675" s="20"/>
      <c r="O675" s="74"/>
      <c r="P675" s="74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</row>
    <row r="676" spans="1:29">
      <c r="A676" s="1" t="s">
        <v>384</v>
      </c>
      <c r="B676" s="1"/>
      <c r="C676" s="317">
        <f>SUM(C653:C653)</f>
        <v>144173305</v>
      </c>
      <c r="D676" s="317">
        <v>132402479.40697747</v>
      </c>
      <c r="E676" s="328"/>
      <c r="F676" s="2"/>
      <c r="G676" s="2">
        <f>SUM(G633:G675)</f>
        <v>9419089</v>
      </c>
      <c r="H676" s="2">
        <f>SUM(H633:H675)</f>
        <v>8660203</v>
      </c>
      <c r="I676" s="328"/>
      <c r="J676" s="321"/>
      <c r="K676" s="2">
        <f>SUM(K633:K675)</f>
        <v>10347787</v>
      </c>
      <c r="M676" s="20"/>
      <c r="N676" s="20"/>
      <c r="O676" s="74"/>
      <c r="P676" s="74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</row>
    <row r="677" spans="1:29">
      <c r="A677" s="1" t="s">
        <v>366</v>
      </c>
      <c r="B677" s="1"/>
      <c r="C677" s="347" t="e">
        <f>#REF!</f>
        <v>#REF!</v>
      </c>
      <c r="D677" s="347">
        <v>0</v>
      </c>
      <c r="E677" s="307"/>
      <c r="F677" s="307"/>
      <c r="G677" s="308" t="e">
        <f>#REF!</f>
        <v>#REF!</v>
      </c>
      <c r="H677" s="308">
        <v>0</v>
      </c>
      <c r="I677" s="307"/>
      <c r="J677" s="307"/>
      <c r="K677" s="308" t="e">
        <f>G677</f>
        <v>#REF!</v>
      </c>
      <c r="M677" s="442"/>
      <c r="N677" s="442"/>
      <c r="O677" s="285"/>
      <c r="P677" s="74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</row>
    <row r="678" spans="1:29" ht="16.5" thickBot="1">
      <c r="A678" s="1" t="s">
        <v>385</v>
      </c>
      <c r="B678" s="1"/>
      <c r="C678" s="364" t="e">
        <f>SUM(C676:C677)</f>
        <v>#REF!</v>
      </c>
      <c r="D678" s="364">
        <f>SUM(D676:D677)</f>
        <v>132402479.40697747</v>
      </c>
      <c r="E678" s="340"/>
      <c r="F678" s="341"/>
      <c r="G678" s="342" t="e">
        <f>G676+G677</f>
        <v>#REF!</v>
      </c>
      <c r="H678" s="342">
        <f>H676+H677</f>
        <v>8660203</v>
      </c>
      <c r="I678" s="340"/>
      <c r="J678" s="343"/>
      <c r="K678" s="342" t="e">
        <f>K676+K677</f>
        <v>#REF!</v>
      </c>
      <c r="M678" s="409"/>
      <c r="N678" s="409"/>
      <c r="O678" s="468"/>
      <c r="P678" s="74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</row>
    <row r="679" spans="1:29" ht="16.5" thickTop="1">
      <c r="A679" s="1"/>
      <c r="B679" s="1"/>
      <c r="C679" s="26"/>
      <c r="D679" s="26"/>
      <c r="E679" s="349"/>
      <c r="F679" s="350"/>
      <c r="G679" s="320"/>
      <c r="H679" s="320"/>
      <c r="I679" s="384" t="s">
        <v>31</v>
      </c>
      <c r="J679" s="23"/>
      <c r="K679" s="270" t="s">
        <v>31</v>
      </c>
      <c r="M679" s="20"/>
      <c r="N679" s="20"/>
      <c r="O679" s="74"/>
      <c r="P679" s="74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</row>
    <row r="680" spans="1:29">
      <c r="A680" s="291" t="s">
        <v>470</v>
      </c>
      <c r="B680" s="1"/>
      <c r="C680" s="21"/>
      <c r="D680" s="21"/>
      <c r="E680" s="335"/>
      <c r="F680" s="2"/>
      <c r="G680" s="2"/>
      <c r="H680" s="2"/>
      <c r="I680" s="335"/>
      <c r="J680" s="1"/>
      <c r="K680" s="2"/>
      <c r="M680" s="20"/>
      <c r="N680" s="20"/>
      <c r="O680" s="74"/>
      <c r="P680" s="74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</row>
    <row r="681" spans="1:29">
      <c r="A681" s="307" t="s">
        <v>471</v>
      </c>
      <c r="B681" s="1"/>
      <c r="C681" s="21"/>
      <c r="D681" s="21"/>
      <c r="E681" s="335"/>
      <c r="F681" s="2"/>
      <c r="G681" s="2"/>
      <c r="H681" s="2"/>
      <c r="I681" s="335"/>
      <c r="J681" s="1"/>
      <c r="K681" s="2"/>
      <c r="M681" s="20"/>
      <c r="N681" s="20"/>
      <c r="O681" s="74"/>
      <c r="P681" s="74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</row>
    <row r="682" spans="1:29">
      <c r="A682" s="321"/>
      <c r="B682" s="1"/>
      <c r="C682" s="21"/>
      <c r="D682" s="21"/>
      <c r="E682" s="335"/>
      <c r="F682" s="2"/>
      <c r="G682" s="378"/>
      <c r="H682" s="378"/>
      <c r="I682" s="335"/>
      <c r="J682" s="1"/>
      <c r="K682" s="379"/>
      <c r="M682" s="20"/>
      <c r="N682" s="20"/>
      <c r="O682" s="74"/>
      <c r="P682" s="74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</row>
    <row r="683" spans="1:29">
      <c r="A683" s="307" t="s">
        <v>452</v>
      </c>
      <c r="B683" s="1"/>
      <c r="C683" s="317"/>
      <c r="D683" s="317"/>
      <c r="E683" s="2" t="s">
        <v>31</v>
      </c>
      <c r="F683" s="2"/>
      <c r="G683" s="1"/>
      <c r="H683" s="1"/>
      <c r="I683" s="2" t="s">
        <v>31</v>
      </c>
      <c r="J683" s="1"/>
      <c r="K683" s="1"/>
      <c r="M683" s="20"/>
      <c r="N683" s="20"/>
      <c r="O683" s="74"/>
      <c r="P683" s="74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</row>
    <row r="684" spans="1:29">
      <c r="A684" s="307" t="s">
        <v>453</v>
      </c>
      <c r="B684" s="1"/>
      <c r="C684" s="317">
        <v>161</v>
      </c>
      <c r="D684" s="317">
        <v>167</v>
      </c>
      <c r="E684" s="335">
        <f>$E$582</f>
        <v>0</v>
      </c>
      <c r="F684" s="322"/>
      <c r="G684" s="319">
        <f>ROUND(E684*$C684,0)</f>
        <v>0</v>
      </c>
      <c r="H684" s="319">
        <f>ROUND(E684*$D684,0)</f>
        <v>0</v>
      </c>
      <c r="I684" s="335">
        <f>$I$582</f>
        <v>0</v>
      </c>
      <c r="J684" s="322"/>
      <c r="K684" s="319">
        <f>ROUND(I684*$C684,0)</f>
        <v>0</v>
      </c>
      <c r="M684" s="20"/>
      <c r="N684" s="20"/>
      <c r="O684" s="74"/>
      <c r="P684" s="74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</row>
    <row r="685" spans="1:29">
      <c r="A685" s="307" t="s">
        <v>454</v>
      </c>
      <c r="B685" s="1"/>
      <c r="C685" s="317"/>
      <c r="D685" s="317"/>
      <c r="E685" s="335"/>
      <c r="F685" s="322"/>
      <c r="G685" s="319"/>
      <c r="H685" s="319"/>
      <c r="I685" s="335"/>
      <c r="J685" s="322"/>
      <c r="K685" s="319"/>
      <c r="M685" s="20"/>
      <c r="N685" s="20"/>
      <c r="O685" s="74"/>
      <c r="P685" s="74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</row>
    <row r="686" spans="1:29">
      <c r="A686" s="307" t="s">
        <v>455</v>
      </c>
      <c r="B686" s="1"/>
      <c r="C686" s="317">
        <v>387</v>
      </c>
      <c r="D686" s="317">
        <v>401</v>
      </c>
      <c r="E686" s="335">
        <f>$E$584</f>
        <v>0</v>
      </c>
      <c r="F686" s="322"/>
      <c r="G686" s="319">
        <f>ROUND(E686*$C686,0)</f>
        <v>0</v>
      </c>
      <c r="H686" s="319">
        <f>ROUND(E686*$D686,0)</f>
        <v>0</v>
      </c>
      <c r="I686" s="335">
        <f>$I$584</f>
        <v>0</v>
      </c>
      <c r="J686" s="322"/>
      <c r="K686" s="319">
        <f>ROUND(I686*$C686,0)</f>
        <v>0</v>
      </c>
      <c r="M686" s="20"/>
      <c r="N686" s="20"/>
      <c r="O686" s="74"/>
      <c r="P686" s="74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</row>
    <row r="687" spans="1:29">
      <c r="A687" s="307" t="s">
        <v>456</v>
      </c>
      <c r="B687" s="1"/>
      <c r="C687" s="317">
        <v>37</v>
      </c>
      <c r="D687" s="317">
        <v>38</v>
      </c>
      <c r="E687" s="335">
        <f>$E$585</f>
        <v>301</v>
      </c>
      <c r="F687" s="322"/>
      <c r="G687" s="319">
        <f>ROUND(E687*$C687,0)</f>
        <v>11137</v>
      </c>
      <c r="H687" s="319">
        <f>ROUND(E687*$D687,0)</f>
        <v>11438</v>
      </c>
      <c r="I687" s="335">
        <f>$I$585</f>
        <v>333</v>
      </c>
      <c r="J687" s="322"/>
      <c r="K687" s="319">
        <f>ROUND(I687*$C687,0)</f>
        <v>12321</v>
      </c>
      <c r="M687" s="20"/>
      <c r="N687" s="20"/>
      <c r="O687" s="74"/>
      <c r="P687" s="74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</row>
    <row r="688" spans="1:29">
      <c r="A688" s="307" t="s">
        <v>457</v>
      </c>
      <c r="B688" s="1"/>
      <c r="C688" s="317">
        <v>2</v>
      </c>
      <c r="D688" s="317">
        <v>2</v>
      </c>
      <c r="E688" s="335">
        <f>$E$586</f>
        <v>1215</v>
      </c>
      <c r="F688" s="322"/>
      <c r="G688" s="319">
        <f>ROUND(E688*$C688,0)</f>
        <v>2430</v>
      </c>
      <c r="H688" s="319">
        <f>ROUND(E688*$D688,0)</f>
        <v>2430</v>
      </c>
      <c r="I688" s="335">
        <f>$I$586</f>
        <v>1335</v>
      </c>
      <c r="J688" s="322"/>
      <c r="K688" s="319">
        <f>ROUND(I688*$C688,0)</f>
        <v>2670</v>
      </c>
      <c r="M688" s="20"/>
      <c r="N688" s="20"/>
      <c r="O688" s="74"/>
      <c r="P688" s="74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</row>
    <row r="689" spans="1:29">
      <c r="A689" s="307" t="s">
        <v>365</v>
      </c>
      <c r="B689" s="1"/>
      <c r="C689" s="317">
        <f>SUM(C684:C688)</f>
        <v>587</v>
      </c>
      <c r="D689" s="317">
        <v>608.93144040394361</v>
      </c>
      <c r="E689" s="335"/>
      <c r="F689" s="322"/>
      <c r="G689" s="319"/>
      <c r="H689" s="319"/>
      <c r="I689" s="335"/>
      <c r="J689" s="322"/>
      <c r="K689" s="319"/>
      <c r="M689" s="20"/>
      <c r="N689" s="20"/>
      <c r="O689" s="74"/>
      <c r="P689" s="74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</row>
    <row r="690" spans="1:29">
      <c r="A690" s="307" t="s">
        <v>458</v>
      </c>
      <c r="B690" s="1"/>
      <c r="C690" s="317">
        <f>4+8+1033+2769+281+16</f>
        <v>4111</v>
      </c>
      <c r="D690" s="317">
        <v>4265</v>
      </c>
      <c r="E690" s="335"/>
      <c r="F690" s="319"/>
      <c r="G690" s="319"/>
      <c r="H690" s="319"/>
      <c r="I690" s="335"/>
      <c r="J690" s="319"/>
      <c r="K690" s="319"/>
      <c r="M690" s="20"/>
      <c r="N690" s="20"/>
      <c r="O690" s="74"/>
      <c r="P690" s="74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</row>
    <row r="691" spans="1:29">
      <c r="A691" s="307" t="s">
        <v>104</v>
      </c>
      <c r="B691" s="1"/>
      <c r="C691" s="317">
        <f>1+1+181+460+38+2</f>
        <v>683</v>
      </c>
      <c r="D691" s="317">
        <v>709</v>
      </c>
      <c r="E691" s="335"/>
      <c r="F691" s="319"/>
      <c r="G691" s="319"/>
      <c r="H691" s="319"/>
      <c r="I691" s="335"/>
      <c r="J691" s="319"/>
      <c r="K691" s="319"/>
      <c r="M691" s="20"/>
      <c r="N691" s="20"/>
      <c r="O691" s="74"/>
      <c r="P691" s="74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</row>
    <row r="692" spans="1:29">
      <c r="A692" s="307" t="s">
        <v>459</v>
      </c>
      <c r="B692" s="1"/>
      <c r="C692" s="317"/>
      <c r="D692" s="317"/>
      <c r="E692" s="335"/>
      <c r="F692" s="322"/>
      <c r="G692" s="319"/>
      <c r="H692" s="319"/>
      <c r="I692" s="335"/>
      <c r="J692" s="322"/>
      <c r="K692" s="319"/>
      <c r="M692" s="20"/>
      <c r="N692" s="20"/>
      <c r="O692" s="74"/>
      <c r="P692" s="74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</row>
    <row r="693" spans="1:29">
      <c r="A693" s="307" t="s">
        <v>460</v>
      </c>
      <c r="B693" s="1"/>
      <c r="C693" s="317">
        <v>959</v>
      </c>
      <c r="D693" s="317">
        <f>ROUND(($D$727/$C$727)*C693,0)</f>
        <v>874</v>
      </c>
      <c r="E693" s="335">
        <f>$E$591</f>
        <v>19.87</v>
      </c>
      <c r="F693" s="322"/>
      <c r="G693" s="319">
        <f>ROUND(E693*$C693,0)</f>
        <v>19055</v>
      </c>
      <c r="H693" s="319">
        <f>ROUND(E693*$D693,0)</f>
        <v>17366</v>
      </c>
      <c r="I693" s="335">
        <f>$I$591</f>
        <v>21.83</v>
      </c>
      <c r="J693" s="322"/>
      <c r="K693" s="319">
        <f>ROUND(I693*$C693,0)</f>
        <v>20935</v>
      </c>
      <c r="M693" s="20"/>
      <c r="N693" s="20"/>
      <c r="O693" s="74"/>
      <c r="P693" s="74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</row>
    <row r="694" spans="1:29">
      <c r="A694" s="307" t="s">
        <v>461</v>
      </c>
      <c r="B694" s="1"/>
      <c r="C694" s="317"/>
      <c r="D694" s="317"/>
      <c r="E694" s="335"/>
      <c r="F694" s="322"/>
      <c r="G694" s="319"/>
      <c r="H694" s="319"/>
      <c r="I694" s="335"/>
      <c r="J694" s="322"/>
      <c r="K694" s="319"/>
      <c r="M694" s="20"/>
      <c r="N694" s="20"/>
      <c r="O694" s="74"/>
      <c r="P694" s="74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</row>
    <row r="695" spans="1:29">
      <c r="A695" s="307" t="s">
        <v>455</v>
      </c>
      <c r="B695" s="1"/>
      <c r="C695" s="317">
        <f>6331+40</f>
        <v>6371</v>
      </c>
      <c r="D695" s="317">
        <f>ROUND(($D$727/$C$727)*C695,0)</f>
        <v>5809</v>
      </c>
      <c r="E695" s="335">
        <f>$E$593</f>
        <v>19.87</v>
      </c>
      <c r="F695" s="322"/>
      <c r="G695" s="319">
        <f>ROUND(E695*$C695,0)</f>
        <v>126592</v>
      </c>
      <c r="H695" s="319">
        <f>ROUND(E695*$D695,0)</f>
        <v>115425</v>
      </c>
      <c r="I695" s="335">
        <f>$I$593</f>
        <v>21.83</v>
      </c>
      <c r="J695" s="322"/>
      <c r="K695" s="319">
        <f>ROUND(I695*$C695,0)</f>
        <v>139079</v>
      </c>
      <c r="M695" s="20"/>
      <c r="N695" s="20"/>
      <c r="O695" s="74"/>
      <c r="P695" s="74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</row>
    <row r="696" spans="1:29">
      <c r="A696" s="307" t="s">
        <v>456</v>
      </c>
      <c r="B696" s="1"/>
      <c r="C696" s="317">
        <f>3750</f>
        <v>3750</v>
      </c>
      <c r="D696" s="317">
        <f>ROUND(($D$727/$C$727)*C696,0)</f>
        <v>3419</v>
      </c>
      <c r="E696" s="335">
        <f>$E$594</f>
        <v>13.64</v>
      </c>
      <c r="F696" s="322"/>
      <c r="G696" s="319">
        <f>ROUND(E696*$C696,0)</f>
        <v>51150</v>
      </c>
      <c r="H696" s="319">
        <f>ROUND(E696*$D696,0)</f>
        <v>46635</v>
      </c>
      <c r="I696" s="335">
        <f>$I$594</f>
        <v>14.98</v>
      </c>
      <c r="J696" s="322"/>
      <c r="K696" s="319">
        <f>ROUND(I696*$C696,0)</f>
        <v>56175</v>
      </c>
      <c r="M696" s="20"/>
      <c r="N696" s="20"/>
      <c r="O696" s="74"/>
      <c r="P696" s="74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</row>
    <row r="697" spans="1:29">
      <c r="A697" s="307" t="s">
        <v>457</v>
      </c>
      <c r="B697" s="1"/>
      <c r="C697" s="317">
        <f>969</f>
        <v>969</v>
      </c>
      <c r="D697" s="317">
        <f>ROUND(($D$727/$C$727)*C697,0)</f>
        <v>884</v>
      </c>
      <c r="E697" s="335">
        <f>$E$595</f>
        <v>10.62</v>
      </c>
      <c r="F697" s="322"/>
      <c r="G697" s="319">
        <f>ROUND(E697*$C697,0)</f>
        <v>10291</v>
      </c>
      <c r="H697" s="319">
        <f>ROUND(E697*$D697,0)</f>
        <v>9388</v>
      </c>
      <c r="I697" s="335">
        <f>$I$595</f>
        <v>11.67</v>
      </c>
      <c r="J697" s="322"/>
      <c r="K697" s="319">
        <f>ROUND(I697*$C697,0)</f>
        <v>11308</v>
      </c>
      <c r="M697" s="20"/>
      <c r="N697" s="20"/>
      <c r="O697" s="74"/>
      <c r="P697" s="74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</row>
    <row r="698" spans="1:29">
      <c r="A698" s="307" t="s">
        <v>463</v>
      </c>
      <c r="B698" s="1"/>
      <c r="C698" s="317">
        <v>31</v>
      </c>
      <c r="D698" s="317">
        <v>28</v>
      </c>
      <c r="E698" s="335">
        <f>$E$596</f>
        <v>59.61</v>
      </c>
      <c r="F698" s="322"/>
      <c r="G698" s="319">
        <f>ROUND(E698*$C698,0)</f>
        <v>1848</v>
      </c>
      <c r="H698" s="319">
        <f>ROUND(E698*$D698,0)</f>
        <v>1669</v>
      </c>
      <c r="I698" s="335">
        <f>$I$596</f>
        <v>65.48</v>
      </c>
      <c r="J698" s="322"/>
      <c r="K698" s="319">
        <f>ROUND(I698*$C698,0)</f>
        <v>2030</v>
      </c>
      <c r="M698" s="20"/>
      <c r="N698" s="20"/>
      <c r="O698" s="74"/>
      <c r="P698" s="74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</row>
    <row r="699" spans="1:29">
      <c r="A699" s="307" t="s">
        <v>464</v>
      </c>
      <c r="B699" s="1"/>
      <c r="C699" s="317">
        <v>148</v>
      </c>
      <c r="D699" s="317">
        <v>135</v>
      </c>
      <c r="E699" s="335">
        <f>$E$597</f>
        <v>119.22</v>
      </c>
      <c r="F699" s="322"/>
      <c r="G699" s="319">
        <f>ROUND(E699*$C699,0)</f>
        <v>17645</v>
      </c>
      <c r="H699" s="319">
        <f>ROUND(E699*$D699,0)</f>
        <v>16095</v>
      </c>
      <c r="I699" s="335">
        <f>$I$597</f>
        <v>130.96</v>
      </c>
      <c r="J699" s="322"/>
      <c r="K699" s="319">
        <f>ROUND(I699*$C699,0)</f>
        <v>19382</v>
      </c>
      <c r="M699" s="20"/>
      <c r="N699" s="20"/>
      <c r="O699" s="74"/>
      <c r="P699" s="74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</row>
    <row r="700" spans="1:29">
      <c r="A700" s="307" t="s">
        <v>465</v>
      </c>
      <c r="B700" s="1"/>
      <c r="C700" s="317"/>
      <c r="D700" s="317"/>
      <c r="E700" s="335"/>
      <c r="F700" s="322"/>
      <c r="G700" s="319"/>
      <c r="H700" s="319"/>
      <c r="I700" s="335"/>
      <c r="J700" s="322"/>
      <c r="K700" s="319"/>
      <c r="M700" s="20"/>
      <c r="N700" s="20"/>
      <c r="O700" s="74"/>
      <c r="P700" s="74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</row>
    <row r="701" spans="1:29">
      <c r="A701" s="307" t="s">
        <v>460</v>
      </c>
      <c r="B701" s="1"/>
      <c r="C701" s="317">
        <v>23</v>
      </c>
      <c r="D701" s="317">
        <f>ROUND(($D$727/$C$727)*C701,0)</f>
        <v>21</v>
      </c>
      <c r="E701" s="361">
        <f>-E693</f>
        <v>-19.87</v>
      </c>
      <c r="F701" s="322"/>
      <c r="G701" s="319">
        <f>ROUND(E701*$C701,0)</f>
        <v>-457</v>
      </c>
      <c r="H701" s="319">
        <f>ROUND(E701*$D701,0)</f>
        <v>-417</v>
      </c>
      <c r="I701" s="361">
        <f>-I693</f>
        <v>-21.83</v>
      </c>
      <c r="J701" s="322"/>
      <c r="K701" s="319">
        <f>ROUND(I701*$C701,0)</f>
        <v>-502</v>
      </c>
      <c r="M701" s="20"/>
      <c r="N701" s="20"/>
      <c r="O701" s="74"/>
      <c r="P701" s="74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</row>
    <row r="702" spans="1:29">
      <c r="A702" s="307" t="s">
        <v>466</v>
      </c>
      <c r="B702" s="1"/>
      <c r="C702" s="317">
        <v>959</v>
      </c>
      <c r="D702" s="317">
        <f>ROUND(($D$727/$C$727)*C702,0)</f>
        <v>874</v>
      </c>
      <c r="E702" s="361">
        <f>-E695</f>
        <v>-19.87</v>
      </c>
      <c r="F702" s="322"/>
      <c r="G702" s="319">
        <f>ROUND(E702*$C702,0)</f>
        <v>-19055</v>
      </c>
      <c r="H702" s="319">
        <f>ROUND(E702*$D702,0)</f>
        <v>-17366</v>
      </c>
      <c r="I702" s="361">
        <f>-I695</f>
        <v>-21.83</v>
      </c>
      <c r="J702" s="322"/>
      <c r="K702" s="319">
        <f>ROUND(I702*$C702,0)</f>
        <v>-20935</v>
      </c>
      <c r="M702" s="20"/>
      <c r="N702" s="20"/>
      <c r="O702" s="74"/>
      <c r="P702" s="74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</row>
    <row r="703" spans="1:29">
      <c r="A703" s="321" t="s">
        <v>429</v>
      </c>
      <c r="B703" s="1"/>
      <c r="C703" s="317"/>
      <c r="D703" s="317"/>
      <c r="E703" s="335"/>
      <c r="F703" s="319"/>
      <c r="G703" s="319"/>
      <c r="H703" s="319"/>
      <c r="I703" s="335"/>
      <c r="J703" s="319"/>
      <c r="K703" s="319"/>
      <c r="M703" s="20"/>
      <c r="N703" s="20"/>
      <c r="O703" s="74"/>
      <c r="P703" s="74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</row>
    <row r="704" spans="1:29">
      <c r="A704" s="307" t="s">
        <v>467</v>
      </c>
      <c r="B704" s="1"/>
      <c r="C704" s="317">
        <f>25216+1069389+10368352+7152668+1908160</f>
        <v>20523785</v>
      </c>
      <c r="D704" s="317">
        <f>ROUND(($D$727/$C$727)*C704,0)</f>
        <v>18714383</v>
      </c>
      <c r="E704" s="380">
        <f>$E$602</f>
        <v>5.3710000000000004</v>
      </c>
      <c r="F704" s="319" t="s">
        <v>377</v>
      </c>
      <c r="G704" s="319">
        <f>ROUND(E704/100*$C704,0)</f>
        <v>1102332</v>
      </c>
      <c r="H704" s="319">
        <f>ROUND(E704/100*$D704,0)</f>
        <v>1005150</v>
      </c>
      <c r="I704" s="380">
        <f>$I$602</f>
        <v>5.9</v>
      </c>
      <c r="J704" s="319" t="s">
        <v>377</v>
      </c>
      <c r="K704" s="319">
        <f>ROUND(I704/100*$C704,0)</f>
        <v>1210903</v>
      </c>
      <c r="M704" s="20"/>
      <c r="N704" s="20"/>
      <c r="O704" s="74"/>
      <c r="P704" s="74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</row>
    <row r="705" spans="1:29">
      <c r="A705" s="321" t="s">
        <v>403</v>
      </c>
      <c r="B705" s="1"/>
      <c r="C705" s="317">
        <f>362+2244+156</f>
        <v>2762</v>
      </c>
      <c r="D705" s="317">
        <f>ROUND(($D$727/$C$727)*C705,0)</f>
        <v>2518</v>
      </c>
      <c r="E705" s="337">
        <f>$E$603</f>
        <v>45</v>
      </c>
      <c r="F705" s="321" t="s">
        <v>377</v>
      </c>
      <c r="G705" s="319">
        <f>ROUND(E705*$C705/100,0)</f>
        <v>1243</v>
      </c>
      <c r="H705" s="319">
        <f>ROUND(E705*$D705/100,0)</f>
        <v>1133</v>
      </c>
      <c r="I705" s="337">
        <f>$I$603</f>
        <v>50</v>
      </c>
      <c r="J705" s="321" t="s">
        <v>377</v>
      </c>
      <c r="K705" s="319">
        <f>ROUND(I705*$C705/100,0)</f>
        <v>1381</v>
      </c>
      <c r="M705" s="20"/>
      <c r="N705" s="20"/>
      <c r="O705" s="74"/>
      <c r="P705" s="74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</row>
    <row r="706" spans="1:29">
      <c r="A706" s="358" t="s">
        <v>404</v>
      </c>
      <c r="B706" s="1"/>
      <c r="C706" s="317"/>
      <c r="D706" s="317"/>
      <c r="E706" s="330">
        <v>-0.01</v>
      </c>
      <c r="F706" s="2"/>
      <c r="G706" s="319"/>
      <c r="H706" s="319"/>
      <c r="I706" s="330">
        <v>-0.01</v>
      </c>
      <c r="J706" s="1"/>
      <c r="K706" s="319"/>
      <c r="M706" s="20"/>
      <c r="N706" s="20"/>
      <c r="O706" s="74"/>
      <c r="P706" s="74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</row>
    <row r="707" spans="1:29">
      <c r="A707" s="307" t="s">
        <v>393</v>
      </c>
      <c r="B707" s="1"/>
      <c r="C707" s="317">
        <v>0</v>
      </c>
      <c r="D707" s="317">
        <v>0</v>
      </c>
      <c r="E707" s="382">
        <f>E684</f>
        <v>0</v>
      </c>
      <c r="F707" s="322"/>
      <c r="G707" s="319">
        <f>ROUND(E707*$C707*$E$604,0)</f>
        <v>0</v>
      </c>
      <c r="H707" s="319">
        <f>ROUND(E707*$D707*$E$604,0)</f>
        <v>0</v>
      </c>
      <c r="I707" s="382">
        <f>I684</f>
        <v>0</v>
      </c>
      <c r="J707" s="322"/>
      <c r="K707" s="319">
        <f>ROUND(I707*$C707*$E$604,0)</f>
        <v>0</v>
      </c>
      <c r="M707" s="20"/>
      <c r="N707" s="20"/>
      <c r="O707" s="74"/>
      <c r="P707" s="74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</row>
    <row r="708" spans="1:29">
      <c r="A708" s="307" t="s">
        <v>394</v>
      </c>
      <c r="B708" s="1"/>
      <c r="C708" s="317"/>
      <c r="D708" s="317"/>
      <c r="E708" s="382"/>
      <c r="F708" s="322"/>
      <c r="G708" s="319"/>
      <c r="H708" s="319"/>
      <c r="I708" s="382"/>
      <c r="J708" s="322"/>
      <c r="K708" s="319"/>
      <c r="M708" s="20"/>
      <c r="N708" s="20"/>
      <c r="O708" s="74"/>
      <c r="P708" s="74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</row>
    <row r="709" spans="1:29">
      <c r="A709" s="307" t="s">
        <v>455</v>
      </c>
      <c r="B709" s="1"/>
      <c r="C709" s="317">
        <v>1</v>
      </c>
      <c r="D709" s="317">
        <v>1</v>
      </c>
      <c r="E709" s="382">
        <f>E686</f>
        <v>0</v>
      </c>
      <c r="F709" s="322"/>
      <c r="G709" s="319">
        <f>ROUND(E709*$C709*$E$604,0)</f>
        <v>0</v>
      </c>
      <c r="H709" s="319">
        <f>ROUND(E709*$D709*$E$604,0)</f>
        <v>0</v>
      </c>
      <c r="I709" s="382">
        <f>I686</f>
        <v>0</v>
      </c>
      <c r="J709" s="322"/>
      <c r="K709" s="319">
        <f>ROUND(I709*$C709*$E$604,0)</f>
        <v>0</v>
      </c>
      <c r="M709" s="20"/>
      <c r="N709" s="20"/>
      <c r="O709" s="74"/>
      <c r="P709" s="74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</row>
    <row r="710" spans="1:29">
      <c r="A710" s="307" t="s">
        <v>456</v>
      </c>
      <c r="B710" s="1"/>
      <c r="C710" s="317">
        <v>0</v>
      </c>
      <c r="D710" s="317">
        <v>0</v>
      </c>
      <c r="E710" s="382">
        <f>E687</f>
        <v>301</v>
      </c>
      <c r="F710" s="322"/>
      <c r="G710" s="319">
        <f>ROUND(E710*$C710*$E$604,0)</f>
        <v>0</v>
      </c>
      <c r="H710" s="319">
        <f>ROUND(E710*$D710*$E$604,0)</f>
        <v>0</v>
      </c>
      <c r="I710" s="382">
        <f>I687</f>
        <v>333</v>
      </c>
      <c r="J710" s="322"/>
      <c r="K710" s="319">
        <f>ROUND(I710*$C710*$E$604,0)</f>
        <v>0</v>
      </c>
      <c r="M710" s="20"/>
      <c r="N710" s="20"/>
      <c r="O710" s="74"/>
      <c r="P710" s="74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</row>
    <row r="711" spans="1:29">
      <c r="A711" s="307" t="s">
        <v>457</v>
      </c>
      <c r="B711" s="1"/>
      <c r="C711" s="317">
        <v>0</v>
      </c>
      <c r="D711" s="317">
        <v>0</v>
      </c>
      <c r="E711" s="382">
        <f>E688</f>
        <v>1215</v>
      </c>
      <c r="F711" s="322"/>
      <c r="G711" s="319">
        <f>ROUND(E711*$C711*$E$604,0)</f>
        <v>0</v>
      </c>
      <c r="H711" s="319">
        <f>ROUND(E711*$D711*$E$604,0)</f>
        <v>0</v>
      </c>
      <c r="I711" s="382">
        <f>I688</f>
        <v>1335</v>
      </c>
      <c r="J711" s="322"/>
      <c r="K711" s="319">
        <f>ROUND(I711*$C711*$E$604,0)</f>
        <v>0</v>
      </c>
      <c r="M711" s="20"/>
      <c r="N711" s="20"/>
      <c r="O711" s="74"/>
      <c r="P711" s="74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</row>
    <row r="712" spans="1:29">
      <c r="A712" s="307" t="s">
        <v>393</v>
      </c>
      <c r="B712" s="1"/>
      <c r="C712" s="317">
        <v>0</v>
      </c>
      <c r="D712" s="317">
        <f>ROUND(($D$727/$C$727)*C712,0)</f>
        <v>0</v>
      </c>
      <c r="E712" s="382">
        <f>E693</f>
        <v>19.87</v>
      </c>
      <c r="F712" s="322"/>
      <c r="G712" s="319">
        <f>ROUND(E712*$C712*$E$604,0)</f>
        <v>0</v>
      </c>
      <c r="H712" s="319">
        <f>ROUND(E712*$D712*$E$604,0)</f>
        <v>0</v>
      </c>
      <c r="I712" s="382">
        <f>I693</f>
        <v>21.83</v>
      </c>
      <c r="J712" s="322"/>
      <c r="K712" s="319">
        <f>ROUND(I712*$C712*$E$604,0)</f>
        <v>0</v>
      </c>
      <c r="M712" s="20"/>
      <c r="N712" s="20"/>
      <c r="O712" s="74"/>
      <c r="P712" s="74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</row>
    <row r="713" spans="1:29">
      <c r="A713" s="307" t="s">
        <v>394</v>
      </c>
      <c r="B713" s="1"/>
      <c r="C713" s="317"/>
      <c r="D713" s="317"/>
      <c r="E713" s="382"/>
      <c r="F713" s="322"/>
      <c r="G713" s="319"/>
      <c r="H713" s="319"/>
      <c r="I713" s="382"/>
      <c r="J713" s="322"/>
      <c r="K713" s="319"/>
      <c r="M713" s="20"/>
      <c r="N713" s="20"/>
      <c r="O713" s="74"/>
      <c r="P713" s="74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</row>
    <row r="714" spans="1:29">
      <c r="A714" s="307" t="s">
        <v>455</v>
      </c>
      <c r="B714" s="1"/>
      <c r="C714" s="317">
        <v>40</v>
      </c>
      <c r="D714" s="317">
        <f>ROUND(($D$727/$C$727)*C714,0)</f>
        <v>36</v>
      </c>
      <c r="E714" s="382">
        <f>E695</f>
        <v>19.87</v>
      </c>
      <c r="F714" s="322"/>
      <c r="G714" s="319">
        <f>ROUND(E714*$C714*$E$604,0)</f>
        <v>-8</v>
      </c>
      <c r="H714" s="319">
        <f>ROUND(E714*$D714*$E$604,0)</f>
        <v>-7</v>
      </c>
      <c r="I714" s="382">
        <f>I695</f>
        <v>21.83</v>
      </c>
      <c r="J714" s="322"/>
      <c r="K714" s="319">
        <f>ROUND(I714*$C714*$E$604,0)</f>
        <v>-9</v>
      </c>
      <c r="M714" s="20"/>
      <c r="N714" s="20"/>
      <c r="O714" s="74"/>
      <c r="P714" s="74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</row>
    <row r="715" spans="1:29">
      <c r="A715" s="307" t="s">
        <v>456</v>
      </c>
      <c r="B715" s="1"/>
      <c r="C715" s="317">
        <v>0</v>
      </c>
      <c r="D715" s="317">
        <f>ROUND(($D$727/$C$727)*C715,0)</f>
        <v>0</v>
      </c>
      <c r="E715" s="382">
        <f>E696</f>
        <v>13.64</v>
      </c>
      <c r="F715" s="322"/>
      <c r="G715" s="319">
        <f>ROUND(E715*$C715*$E$604,0)</f>
        <v>0</v>
      </c>
      <c r="H715" s="319">
        <f>ROUND(E715*$D715*$E$604,0)</f>
        <v>0</v>
      </c>
      <c r="I715" s="382">
        <f>I696</f>
        <v>14.98</v>
      </c>
      <c r="J715" s="322"/>
      <c r="K715" s="319">
        <f>ROUND(I715*$C715*$E$604,0)</f>
        <v>0</v>
      </c>
      <c r="M715" s="20"/>
      <c r="N715" s="20"/>
      <c r="O715" s="74"/>
      <c r="P715" s="74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</row>
    <row r="716" spans="1:29">
      <c r="A716" s="307" t="s">
        <v>457</v>
      </c>
      <c r="B716" s="1"/>
      <c r="C716" s="317">
        <v>0</v>
      </c>
      <c r="D716" s="317">
        <f>ROUND(($D$727/$C$727)*C716,0)</f>
        <v>0</v>
      </c>
      <c r="E716" s="382">
        <f>E697</f>
        <v>10.62</v>
      </c>
      <c r="F716" s="322"/>
      <c r="G716" s="319">
        <f>ROUND(E716*$C716*$E$604,0)</f>
        <v>0</v>
      </c>
      <c r="H716" s="319">
        <f>ROUND(E716*$D716*$E$604,0)</f>
        <v>0</v>
      </c>
      <c r="I716" s="382">
        <f>I697</f>
        <v>11.67</v>
      </c>
      <c r="J716" s="322"/>
      <c r="K716" s="319">
        <f>ROUND(I716*$C716*$E$604,0)</f>
        <v>0</v>
      </c>
      <c r="M716" s="20"/>
      <c r="N716" s="20"/>
      <c r="O716" s="74"/>
      <c r="P716" s="74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</row>
    <row r="717" spans="1:29">
      <c r="A717" s="307" t="s">
        <v>468</v>
      </c>
      <c r="B717" s="1"/>
      <c r="C717" s="317">
        <v>0</v>
      </c>
      <c r="D717" s="317">
        <v>0</v>
      </c>
      <c r="E717" s="351">
        <f>E698</f>
        <v>59.61</v>
      </c>
      <c r="F717" s="322"/>
      <c r="G717" s="319">
        <f>ROUND(E717*$C717*$E$604,0)</f>
        <v>0</v>
      </c>
      <c r="H717" s="319">
        <f>ROUND(E717*$D717*$E$604,0)</f>
        <v>0</v>
      </c>
      <c r="I717" s="351">
        <f>I698</f>
        <v>65.48</v>
      </c>
      <c r="J717" s="322"/>
      <c r="K717" s="319">
        <f>ROUND(I717*$C717*$E$604,0)</f>
        <v>0</v>
      </c>
      <c r="M717" s="20"/>
      <c r="N717" s="20"/>
      <c r="O717" s="74"/>
      <c r="P717" s="74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</row>
    <row r="718" spans="1:29">
      <c r="A718" s="307" t="s">
        <v>469</v>
      </c>
      <c r="B718" s="1"/>
      <c r="C718" s="317">
        <v>0</v>
      </c>
      <c r="D718" s="317">
        <v>0</v>
      </c>
      <c r="E718" s="351">
        <f>E699</f>
        <v>119.22</v>
      </c>
      <c r="F718" s="322"/>
      <c r="G718" s="319">
        <f>ROUND(E718*$C718*$E$604,0)</f>
        <v>0</v>
      </c>
      <c r="H718" s="319">
        <f>ROUND(E718*$D718*$E$604,0)</f>
        <v>0</v>
      </c>
      <c r="I718" s="351">
        <f>I699</f>
        <v>130.96</v>
      </c>
      <c r="J718" s="322"/>
      <c r="K718" s="319">
        <f>ROUND(I718*$C718*$E$604,0)</f>
        <v>0</v>
      </c>
      <c r="M718" s="20"/>
      <c r="N718" s="20"/>
      <c r="O718" s="74"/>
      <c r="P718" s="74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</row>
    <row r="719" spans="1:29">
      <c r="A719" s="307" t="s">
        <v>465</v>
      </c>
      <c r="B719" s="1"/>
      <c r="C719" s="317"/>
      <c r="D719" s="317"/>
      <c r="E719" s="335"/>
      <c r="F719" s="322"/>
      <c r="G719" s="319"/>
      <c r="H719" s="319"/>
      <c r="I719" s="335"/>
      <c r="J719" s="322"/>
      <c r="K719" s="319"/>
      <c r="M719" s="20"/>
      <c r="N719" s="20"/>
      <c r="O719" s="74"/>
      <c r="P719" s="74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</row>
    <row r="720" spans="1:29">
      <c r="A720" s="307" t="s">
        <v>460</v>
      </c>
      <c r="B720" s="1"/>
      <c r="C720" s="317">
        <v>0</v>
      </c>
      <c r="D720" s="317">
        <f>ROUND(($D$727/$C$727)*C720,0)</f>
        <v>0</v>
      </c>
      <c r="E720" s="361">
        <f>E701</f>
        <v>-19.87</v>
      </c>
      <c r="F720" s="322"/>
      <c r="G720" s="319">
        <f>ROUND(E720*$C720*$E$604,0)</f>
        <v>0</v>
      </c>
      <c r="H720" s="319">
        <f>ROUND(E720*$D720*$E$604,0)</f>
        <v>0</v>
      </c>
      <c r="I720" s="361">
        <f>I701</f>
        <v>-21.83</v>
      </c>
      <c r="J720" s="322"/>
      <c r="K720" s="319">
        <f>ROUND(I720*$C720*$E$604,0)</f>
        <v>0</v>
      </c>
      <c r="M720" s="20"/>
      <c r="N720" s="20"/>
      <c r="O720" s="74"/>
      <c r="P720" s="74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</row>
    <row r="721" spans="1:29">
      <c r="A721" s="307" t="s">
        <v>466</v>
      </c>
      <c r="B721" s="1"/>
      <c r="C721" s="317">
        <v>0</v>
      </c>
      <c r="D721" s="317">
        <f>ROUND(($D$727/$C$727)*C721,0)</f>
        <v>0</v>
      </c>
      <c r="E721" s="361">
        <f>E702</f>
        <v>-19.87</v>
      </c>
      <c r="F721" s="322"/>
      <c r="G721" s="319">
        <f>ROUND(E721*$C721*$E$604,0)</f>
        <v>0</v>
      </c>
      <c r="H721" s="319">
        <f>ROUND(E721*$D721*$E$604,0)</f>
        <v>0</v>
      </c>
      <c r="I721" s="361">
        <f>I702</f>
        <v>-21.83</v>
      </c>
      <c r="J721" s="322"/>
      <c r="K721" s="319">
        <f>ROUND(I721*$C721*$E$604,0)</f>
        <v>0</v>
      </c>
      <c r="M721" s="20"/>
      <c r="N721" s="20"/>
      <c r="O721" s="74"/>
      <c r="P721" s="74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</row>
    <row r="722" spans="1:29">
      <c r="A722" s="321" t="s">
        <v>429</v>
      </c>
      <c r="B722" s="1"/>
      <c r="C722" s="317"/>
      <c r="D722" s="317"/>
      <c r="E722" s="382"/>
      <c r="F722" s="319"/>
      <c r="G722" s="319"/>
      <c r="H722" s="319"/>
      <c r="I722" s="382"/>
      <c r="J722" s="319"/>
      <c r="K722" s="319"/>
      <c r="M722" s="20"/>
      <c r="N722" s="20"/>
      <c r="O722" s="74"/>
      <c r="P722" s="74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</row>
    <row r="723" spans="1:29">
      <c r="A723" s="307" t="s">
        <v>467</v>
      </c>
      <c r="B723" s="1"/>
      <c r="C723" s="317">
        <f>25216</f>
        <v>25216</v>
      </c>
      <c r="D723" s="317">
        <f>ROUND(($D$727/$C$727)*C723,0)</f>
        <v>22993</v>
      </c>
      <c r="E723" s="383">
        <f>E704</f>
        <v>5.3710000000000004</v>
      </c>
      <c r="F723" s="319" t="s">
        <v>377</v>
      </c>
      <c r="G723" s="319">
        <f>ROUND(E723/100*$C723*$E$604,0)</f>
        <v>-14</v>
      </c>
      <c r="H723" s="319">
        <f>ROUND(E723/100*$D723*$E$604,0)</f>
        <v>-12</v>
      </c>
      <c r="I723" s="383">
        <f>I704</f>
        <v>5.9</v>
      </c>
      <c r="J723" s="319" t="s">
        <v>377</v>
      </c>
      <c r="K723" s="319">
        <f>ROUND(I723/100*$C723*$E$604,0)</f>
        <v>-15</v>
      </c>
      <c r="M723" s="20"/>
      <c r="N723" s="20"/>
      <c r="O723" s="74"/>
      <c r="P723" s="74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</row>
    <row r="724" spans="1:29">
      <c r="A724" s="321" t="s">
        <v>403</v>
      </c>
      <c r="B724" s="1"/>
      <c r="C724" s="317">
        <v>0</v>
      </c>
      <c r="D724" s="317">
        <f>ROUND(($D$727/$C$727)*C724,0)</f>
        <v>0</v>
      </c>
      <c r="E724" s="373">
        <f>E705</f>
        <v>45</v>
      </c>
      <c r="F724" s="319" t="s">
        <v>377</v>
      </c>
      <c r="G724" s="319">
        <f>ROUND(E724/100*$C724*$E$604,0)</f>
        <v>0</v>
      </c>
      <c r="H724" s="319">
        <f>ROUND(E724/100*$D724*$E$604,0)</f>
        <v>0</v>
      </c>
      <c r="I724" s="373">
        <f>I705</f>
        <v>50</v>
      </c>
      <c r="J724" s="321" t="s">
        <v>377</v>
      </c>
      <c r="K724" s="319">
        <f>ROUND(I724/100*$C724*$E$604,0)</f>
        <v>0</v>
      </c>
      <c r="M724" s="20"/>
      <c r="N724" s="20"/>
      <c r="O724" s="74"/>
      <c r="P724" s="74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</row>
    <row r="725" spans="1:29">
      <c r="A725" s="321" t="s">
        <v>446</v>
      </c>
      <c r="B725" s="1"/>
      <c r="C725" s="317">
        <f>5+7</f>
        <v>12</v>
      </c>
      <c r="D725" s="317">
        <v>12</v>
      </c>
      <c r="E725" s="296">
        <f>$E$623</f>
        <v>60</v>
      </c>
      <c r="F725" s="362" t="s">
        <v>31</v>
      </c>
      <c r="G725" s="319">
        <f>ROUND(E725*$C725,0)</f>
        <v>720</v>
      </c>
      <c r="H725" s="319">
        <f>ROUND(E725*$D725,0)</f>
        <v>720</v>
      </c>
      <c r="I725" s="296">
        <f>$I$623</f>
        <v>60</v>
      </c>
      <c r="J725" s="1"/>
      <c r="K725" s="319">
        <f>ROUND(I725*$C725,0)</f>
        <v>720</v>
      </c>
      <c r="M725" s="20"/>
      <c r="N725" s="20"/>
      <c r="O725" s="74"/>
      <c r="P725" s="74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</row>
    <row r="726" spans="1:29">
      <c r="A726" s="321" t="s">
        <v>447</v>
      </c>
      <c r="B726" s="1"/>
      <c r="C726" s="317">
        <f>8*C714</f>
        <v>320</v>
      </c>
      <c r="D726" s="317">
        <f>ROUND(($D$727/$C$727)*C726,0)</f>
        <v>292</v>
      </c>
      <c r="E726" s="337">
        <f>$E$624</f>
        <v>-30</v>
      </c>
      <c r="F726" s="319" t="s">
        <v>377</v>
      </c>
      <c r="G726" s="319">
        <f>ROUND(E726*$C726/100,0)</f>
        <v>-96</v>
      </c>
      <c r="H726" s="319">
        <f>ROUND(E726*$D726/100,0)</f>
        <v>-88</v>
      </c>
      <c r="I726" s="337">
        <f>$I$624</f>
        <v>-30</v>
      </c>
      <c r="J726" s="319" t="s">
        <v>377</v>
      </c>
      <c r="K726" s="319">
        <f>ROUND(I726*$C726/100,0)</f>
        <v>-96</v>
      </c>
      <c r="M726" s="20"/>
      <c r="N726" s="20"/>
      <c r="O726" s="74"/>
      <c r="P726" s="74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</row>
    <row r="727" spans="1:29">
      <c r="A727" s="1" t="s">
        <v>384</v>
      </c>
      <c r="B727" s="1"/>
      <c r="C727" s="317">
        <f>SUM(C704:C704)</f>
        <v>20523785</v>
      </c>
      <c r="D727" s="317">
        <v>18714383.130874861</v>
      </c>
      <c r="E727" s="328"/>
      <c r="F727" s="2"/>
      <c r="G727" s="2">
        <f>SUM(G684:G726)</f>
        <v>1324813</v>
      </c>
      <c r="H727" s="2">
        <f>SUM(H684:H726)</f>
        <v>1209559</v>
      </c>
      <c r="I727" s="328"/>
      <c r="J727" s="321"/>
      <c r="K727" s="2">
        <f>SUM(K684:K726)</f>
        <v>1455347</v>
      </c>
      <c r="M727" s="20"/>
      <c r="N727" s="20"/>
      <c r="O727" s="74"/>
      <c r="P727" s="74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</row>
    <row r="728" spans="1:29">
      <c r="A728" s="1" t="s">
        <v>366</v>
      </c>
      <c r="B728" s="1"/>
      <c r="C728" s="347" t="e">
        <f>#REF!</f>
        <v>#REF!</v>
      </c>
      <c r="D728" s="347">
        <v>0</v>
      </c>
      <c r="E728" s="307"/>
      <c r="F728" s="307"/>
      <c r="G728" s="308" t="e">
        <f>#REF!</f>
        <v>#REF!</v>
      </c>
      <c r="H728" s="308">
        <v>0</v>
      </c>
      <c r="I728" s="307"/>
      <c r="J728" s="307"/>
      <c r="K728" s="308" t="e">
        <f>G728</f>
        <v>#REF!</v>
      </c>
      <c r="M728" s="442"/>
      <c r="N728" s="442"/>
      <c r="O728" s="285"/>
      <c r="P728" s="74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</row>
    <row r="729" spans="1:29" ht="16.5" thickBot="1">
      <c r="A729" s="1" t="s">
        <v>385</v>
      </c>
      <c r="B729" s="1"/>
      <c r="C729" s="364" t="e">
        <f>SUM(C727:C728)</f>
        <v>#REF!</v>
      </c>
      <c r="D729" s="364">
        <f>SUM(D727:D728)</f>
        <v>18714383.130874861</v>
      </c>
      <c r="E729" s="340"/>
      <c r="F729" s="341"/>
      <c r="G729" s="342" t="e">
        <f>G727+G728</f>
        <v>#REF!</v>
      </c>
      <c r="H729" s="342">
        <f>H727+H728</f>
        <v>1209559</v>
      </c>
      <c r="I729" s="340"/>
      <c r="J729" s="343"/>
      <c r="K729" s="342" t="e">
        <f>K727+K728</f>
        <v>#REF!</v>
      </c>
      <c r="M729" s="409"/>
      <c r="N729" s="409"/>
      <c r="O729" s="468"/>
      <c r="P729" s="74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</row>
    <row r="730" spans="1:29" ht="16.5" thickTop="1">
      <c r="A730" s="301"/>
      <c r="B730" s="376"/>
      <c r="C730" s="301"/>
      <c r="D730" s="301"/>
      <c r="E730" s="21"/>
      <c r="F730" s="21"/>
      <c r="G730" s="377"/>
      <c r="H730" s="377"/>
      <c r="I730" s="301"/>
      <c r="J730" s="301"/>
      <c r="K730" s="301"/>
      <c r="M730" s="20"/>
      <c r="N730" s="20"/>
      <c r="O730" s="74"/>
      <c r="P730" s="74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</row>
    <row r="731" spans="1:29">
      <c r="A731" s="291" t="s">
        <v>472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20"/>
      <c r="N731" s="20"/>
      <c r="O731" s="74"/>
      <c r="P731" s="74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</row>
    <row r="732" spans="1:29">
      <c r="A732" s="307" t="s">
        <v>473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20"/>
      <c r="N732" s="20"/>
      <c r="O732" s="74"/>
      <c r="P732" s="74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</row>
    <row r="733" spans="1:29">
      <c r="A733" s="321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20"/>
      <c r="N733" s="20"/>
      <c r="O733" s="74"/>
      <c r="P733" s="74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</row>
    <row r="734" spans="1:29">
      <c r="A734" s="321" t="s">
        <v>396</v>
      </c>
      <c r="B734" s="1"/>
      <c r="C734" s="317"/>
      <c r="D734" s="317"/>
      <c r="E734" s="2"/>
      <c r="F734" s="2"/>
      <c r="G734" s="1"/>
      <c r="H734" s="1"/>
      <c r="I734" s="2"/>
      <c r="J734" s="1"/>
      <c r="K734" s="1"/>
      <c r="M734" s="20"/>
      <c r="N734" s="20"/>
      <c r="O734" s="74"/>
      <c r="P734" s="74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</row>
    <row r="735" spans="1:29">
      <c r="A735" s="321" t="s">
        <v>474</v>
      </c>
      <c r="B735" s="1"/>
      <c r="C735" s="317">
        <v>12</v>
      </c>
      <c r="D735" s="317">
        <v>12</v>
      </c>
      <c r="E735" s="382">
        <f t="shared" ref="E735:E740" si="61">E794</f>
        <v>1205</v>
      </c>
      <c r="F735" s="335"/>
      <c r="G735" s="2">
        <f>ROUND(E735*$C735,0)</f>
        <v>14460</v>
      </c>
      <c r="H735" s="2">
        <f>ROUND(E735*$D735,0)</f>
        <v>14460</v>
      </c>
      <c r="I735" s="382">
        <f t="shared" ref="I735:I740" si="62">I794</f>
        <v>1330</v>
      </c>
      <c r="J735" s="319"/>
      <c r="K735" s="2">
        <f>ROUND(I735*$C735,0)</f>
        <v>15960</v>
      </c>
      <c r="M735" s="84">
        <f>I735*D735</f>
        <v>15960</v>
      </c>
      <c r="O735" s="14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</row>
    <row r="736" spans="1:29">
      <c r="A736" s="321" t="s">
        <v>475</v>
      </c>
      <c r="B736" s="1"/>
      <c r="C736" s="317">
        <v>0</v>
      </c>
      <c r="D736" s="317">
        <v>0</v>
      </c>
      <c r="E736" s="382">
        <f t="shared" si="61"/>
        <v>1450</v>
      </c>
      <c r="F736" s="335"/>
      <c r="G736" s="2">
        <f>ROUND(E736*$C736,0)</f>
        <v>0</v>
      </c>
      <c r="H736" s="2">
        <f>ROUND(E736*$D736,0)</f>
        <v>0</v>
      </c>
      <c r="I736" s="382">
        <f t="shared" si="62"/>
        <v>1600</v>
      </c>
      <c r="J736" s="322"/>
      <c r="K736" s="2">
        <f>ROUND(I736*$C736,0)</f>
        <v>0</v>
      </c>
      <c r="M736" s="84">
        <f>I736*D736</f>
        <v>0</v>
      </c>
      <c r="O736" s="14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</row>
    <row r="737" spans="1:29">
      <c r="A737" s="321" t="s">
        <v>397</v>
      </c>
      <c r="B737" s="1"/>
      <c r="C737" s="317">
        <f>SUM(C735:C736)</f>
        <v>12</v>
      </c>
      <c r="D737" s="317">
        <f>SUM(D735:D736)</f>
        <v>12</v>
      </c>
      <c r="E737" s="382" t="str">
        <f t="shared" si="61"/>
        <v xml:space="preserve"> </v>
      </c>
      <c r="F737" s="335"/>
      <c r="G737" s="2" t="s">
        <v>31</v>
      </c>
      <c r="H737" s="2" t="s">
        <v>31</v>
      </c>
      <c r="I737" s="382" t="str">
        <f t="shared" si="62"/>
        <v xml:space="preserve"> </v>
      </c>
      <c r="J737" s="319"/>
      <c r="K737" s="2" t="s">
        <v>31</v>
      </c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</row>
    <row r="738" spans="1:29">
      <c r="A738" s="321" t="s">
        <v>476</v>
      </c>
      <c r="B738" s="1"/>
      <c r="C738" s="317">
        <f>14980</f>
        <v>14980</v>
      </c>
      <c r="D738" s="317">
        <f>ROUND(($D$758/$C$758)*C738,0)</f>
        <v>28971</v>
      </c>
      <c r="E738" s="382">
        <f t="shared" si="61"/>
        <v>0.91</v>
      </c>
      <c r="F738" s="335"/>
      <c r="G738" s="2">
        <f>ROUND(E738*$C738,0)</f>
        <v>13632</v>
      </c>
      <c r="H738" s="2">
        <f>ROUND(E738*$D738,0)</f>
        <v>26364</v>
      </c>
      <c r="I738" s="382">
        <f t="shared" si="62"/>
        <v>1.01</v>
      </c>
      <c r="J738" s="319"/>
      <c r="K738" s="2">
        <f>ROUND(I738*$C738,0)</f>
        <v>15130</v>
      </c>
      <c r="M738" s="84">
        <f>I738*D738</f>
        <v>29260.71</v>
      </c>
      <c r="O738" s="14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</row>
    <row r="739" spans="1:29">
      <c r="A739" s="321" t="s">
        <v>477</v>
      </c>
      <c r="B739" s="1"/>
      <c r="C739" s="317">
        <v>0</v>
      </c>
      <c r="D739" s="317">
        <v>0</v>
      </c>
      <c r="E739" s="382">
        <f t="shared" si="61"/>
        <v>0.83</v>
      </c>
      <c r="F739" s="335"/>
      <c r="G739" s="2">
        <f>ROUND(E739*$C739,0)</f>
        <v>0</v>
      </c>
      <c r="H739" s="2">
        <f>ROUND(E739*$D739,0)</f>
        <v>0</v>
      </c>
      <c r="I739" s="382">
        <f t="shared" si="62"/>
        <v>0.92</v>
      </c>
      <c r="J739" s="319"/>
      <c r="K739" s="2">
        <f>ROUND(I739*$C739,0)</f>
        <v>0</v>
      </c>
      <c r="M739" s="84">
        <f>I739*D739</f>
        <v>0</v>
      </c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</row>
    <row r="740" spans="1:29">
      <c r="A740" s="307" t="s">
        <v>406</v>
      </c>
      <c r="B740" s="1"/>
      <c r="C740" s="317">
        <f>10820</f>
        <v>10820</v>
      </c>
      <c r="D740" s="317">
        <f>ROUND(($D$758/$C$758)*C740,0)</f>
        <v>20926</v>
      </c>
      <c r="E740" s="382">
        <f t="shared" si="61"/>
        <v>6.03</v>
      </c>
      <c r="F740" s="335"/>
      <c r="G740" s="2">
        <f>ROUND(E740*$C740,0)</f>
        <v>65245</v>
      </c>
      <c r="H740" s="2">
        <f>ROUND(E740*$D740,0)</f>
        <v>126184</v>
      </c>
      <c r="I740" s="382">
        <f t="shared" si="62"/>
        <v>6.53</v>
      </c>
      <c r="J740" s="319"/>
      <c r="K740" s="2">
        <f>ROUND(I740*$C740,0)</f>
        <v>70655</v>
      </c>
      <c r="M740" s="84">
        <f>I740*D740</f>
        <v>136646.78</v>
      </c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</row>
    <row r="741" spans="1:29">
      <c r="A741" s="321" t="s">
        <v>429</v>
      </c>
      <c r="B741" s="1"/>
      <c r="C741" s="317"/>
      <c r="D741" s="317"/>
      <c r="E741" s="382"/>
      <c r="F741" s="335"/>
      <c r="G741" s="2"/>
      <c r="H741" s="2"/>
      <c r="I741" s="382"/>
      <c r="J741" s="319"/>
      <c r="K741" s="2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</row>
    <row r="742" spans="1:29">
      <c r="A742" s="321" t="s">
        <v>467</v>
      </c>
      <c r="B742" s="1"/>
      <c r="C742" s="317">
        <v>1248100</v>
      </c>
      <c r="D742" s="317">
        <f>ROUND(($D$758/$C$758)*C742,0)</f>
        <v>2413782</v>
      </c>
      <c r="E742" s="385">
        <f>E801</f>
        <v>3.4990000000000001</v>
      </c>
      <c r="F742" s="319" t="s">
        <v>377</v>
      </c>
      <c r="G742" s="2">
        <f>ROUND(E742/100*$C742,0)</f>
        <v>43671</v>
      </c>
      <c r="H742" s="2">
        <f>ROUND(E742/100*$D742,0)</f>
        <v>84458</v>
      </c>
      <c r="I742" s="385">
        <f>I801</f>
        <v>3.8719999999999999</v>
      </c>
      <c r="J742" s="319" t="s">
        <v>377</v>
      </c>
      <c r="K742" s="2">
        <f>ROUND(I742/100*$C742,0)</f>
        <v>48326</v>
      </c>
      <c r="M742" s="84">
        <f>(I742/100)*D742</f>
        <v>93461.639039999995</v>
      </c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</row>
    <row r="743" spans="1:29">
      <c r="A743" s="321" t="s">
        <v>403</v>
      </c>
      <c r="B743" s="1"/>
      <c r="C743" s="317">
        <v>6132</v>
      </c>
      <c r="D743" s="317">
        <f>ROUND(($D$758/$C$758)*C743,0)</f>
        <v>11859</v>
      </c>
      <c r="E743" s="382">
        <f>E802</f>
        <v>0.45</v>
      </c>
      <c r="F743" s="319"/>
      <c r="G743" s="2">
        <f>ROUND(E743*$C743,0)</f>
        <v>2759</v>
      </c>
      <c r="H743" s="2">
        <f>ROUND(E743*$D743,0)</f>
        <v>5337</v>
      </c>
      <c r="I743" s="382">
        <f>I802</f>
        <v>0.5</v>
      </c>
      <c r="J743" s="319"/>
      <c r="K743" s="2">
        <f>ROUND(I743*$C743,0)</f>
        <v>3066</v>
      </c>
      <c r="M743" s="84">
        <f>I743*D743</f>
        <v>5929.5</v>
      </c>
      <c r="N743" s="317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</row>
    <row r="744" spans="1:29">
      <c r="A744" s="307" t="s">
        <v>431</v>
      </c>
      <c r="B744" s="1"/>
      <c r="C744" s="317">
        <v>0</v>
      </c>
      <c r="D744" s="317">
        <v>0</v>
      </c>
      <c r="E744" s="386">
        <v>5.9999999999999995E-4</v>
      </c>
      <c r="F744" s="319"/>
      <c r="G744" s="2">
        <f>ROUND(E744*$C744,0)</f>
        <v>0</v>
      </c>
      <c r="H744" s="2">
        <f>ROUND(E744*$D744,0)</f>
        <v>0</v>
      </c>
      <c r="I744" s="386">
        <v>5.9999999999999995E-4</v>
      </c>
      <c r="J744" s="319"/>
      <c r="K744" s="2">
        <f>ROUND(I744*$C744,0)</f>
        <v>0</v>
      </c>
      <c r="M744" s="84">
        <f>I744*D744</f>
        <v>0</v>
      </c>
      <c r="N744" s="317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</row>
    <row r="745" spans="1:29">
      <c r="A745" s="358" t="s">
        <v>404</v>
      </c>
      <c r="B745" s="1"/>
      <c r="C745" s="317"/>
      <c r="D745" s="317"/>
      <c r="E745" s="387">
        <f>E803</f>
        <v>-0.01</v>
      </c>
      <c r="F745" s="330"/>
      <c r="G745" s="2"/>
      <c r="H745" s="2"/>
      <c r="I745" s="387">
        <f>I803</f>
        <v>-0.01</v>
      </c>
      <c r="J745" s="359"/>
      <c r="K745" s="2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</row>
    <row r="746" spans="1:29">
      <c r="A746" s="321" t="s">
        <v>474</v>
      </c>
      <c r="B746" s="1"/>
      <c r="C746" s="317">
        <v>0</v>
      </c>
      <c r="D746" s="317">
        <v>0</v>
      </c>
      <c r="E746" s="382">
        <f>E735</f>
        <v>1205</v>
      </c>
      <c r="F746" s="332"/>
      <c r="G746" s="319">
        <f>ROUND(E746*$C746*$E$803,0)</f>
        <v>0</v>
      </c>
      <c r="H746" s="319">
        <f>ROUND(E746*$D746*$E$803,0)</f>
        <v>0</v>
      </c>
      <c r="I746" s="382">
        <f>I735</f>
        <v>1330</v>
      </c>
      <c r="J746" s="319"/>
      <c r="K746" s="319">
        <f>ROUND(I746*$C746*$E$803,0)</f>
        <v>0</v>
      </c>
      <c r="M746" s="84">
        <f>-(I746*D746)/100</f>
        <v>0</v>
      </c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</row>
    <row r="747" spans="1:29">
      <c r="A747" s="321" t="s">
        <v>475</v>
      </c>
      <c r="B747" s="1"/>
      <c r="C747" s="317">
        <f>C736</f>
        <v>0</v>
      </c>
      <c r="D747" s="317">
        <v>0</v>
      </c>
      <c r="E747" s="382">
        <f>E736</f>
        <v>1450</v>
      </c>
      <c r="F747" s="332"/>
      <c r="G747" s="319">
        <f>ROUND(E747*$C747*$E$803,0)</f>
        <v>0</v>
      </c>
      <c r="H747" s="319">
        <f>ROUND(E747*$D747*$E$803,0)</f>
        <v>0</v>
      </c>
      <c r="I747" s="382">
        <f>I736</f>
        <v>1600</v>
      </c>
      <c r="J747" s="319"/>
      <c r="K747" s="319">
        <f>ROUND(I747*$C747*$E$803,0)</f>
        <v>0</v>
      </c>
      <c r="M747" s="84">
        <f>-(I747*D747)/100</f>
        <v>0</v>
      </c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</row>
    <row r="748" spans="1:29">
      <c r="A748" s="321" t="s">
        <v>476</v>
      </c>
      <c r="B748" s="1"/>
      <c r="C748" s="317">
        <v>0</v>
      </c>
      <c r="D748" s="317">
        <v>0</v>
      </c>
      <c r="E748" s="382">
        <f>E738</f>
        <v>0.91</v>
      </c>
      <c r="F748" s="332"/>
      <c r="G748" s="319">
        <f>ROUND(E748*$C748*$E$803,0)</f>
        <v>0</v>
      </c>
      <c r="H748" s="319">
        <f>ROUND(E748*$D748*$E$803,0)</f>
        <v>0</v>
      </c>
      <c r="I748" s="382">
        <f>I738</f>
        <v>1.01</v>
      </c>
      <c r="J748" s="319"/>
      <c r="K748" s="319">
        <f>ROUND(I748*$C748*$E$803,0)</f>
        <v>0</v>
      </c>
      <c r="M748" s="84">
        <f>-(I748*D748)/100</f>
        <v>0</v>
      </c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</row>
    <row r="749" spans="1:29">
      <c r="A749" s="321" t="s">
        <v>477</v>
      </c>
      <c r="B749" s="1"/>
      <c r="C749" s="317">
        <f>C739</f>
        <v>0</v>
      </c>
      <c r="D749" s="317">
        <v>0</v>
      </c>
      <c r="E749" s="382">
        <f>E739</f>
        <v>0.83</v>
      </c>
      <c r="F749" s="332"/>
      <c r="G749" s="319">
        <f>ROUND(E749*$C749*$E$803,0)</f>
        <v>0</v>
      </c>
      <c r="H749" s="319">
        <f>ROUND(E749*$D749*$E$803,0)</f>
        <v>0</v>
      </c>
      <c r="I749" s="382">
        <f>I739</f>
        <v>0.92</v>
      </c>
      <c r="J749" s="319"/>
      <c r="K749" s="319">
        <f>ROUND(I749*$C749*$E$803,0)</f>
        <v>0</v>
      </c>
      <c r="M749" s="84">
        <f>-(I749*D749)/100</f>
        <v>0</v>
      </c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</row>
    <row r="750" spans="1:29">
      <c r="A750" s="307" t="s">
        <v>406</v>
      </c>
      <c r="B750" s="378"/>
      <c r="C750" s="317">
        <v>0</v>
      </c>
      <c r="D750" s="317">
        <v>0</v>
      </c>
      <c r="E750" s="382">
        <f>E740</f>
        <v>6.03</v>
      </c>
      <c r="F750" s="335"/>
      <c r="G750" s="319">
        <f>ROUND(E750*$C750*$E$803,0)</f>
        <v>0</v>
      </c>
      <c r="H750" s="319">
        <f>ROUND(E750*$D750*$E$803,0)</f>
        <v>0</v>
      </c>
      <c r="I750" s="382">
        <f>I740</f>
        <v>6.53</v>
      </c>
      <c r="J750" s="319"/>
      <c r="K750" s="319">
        <f>ROUND(I750*$C750*$E$803,0)</f>
        <v>0</v>
      </c>
      <c r="M750" s="84">
        <f>-(I750*D750)/100</f>
        <v>0</v>
      </c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</row>
    <row r="751" spans="1:29">
      <c r="A751" s="321" t="s">
        <v>467</v>
      </c>
      <c r="B751" s="1"/>
      <c r="C751" s="317">
        <v>0</v>
      </c>
      <c r="D751" s="317">
        <v>0</v>
      </c>
      <c r="E751" s="388">
        <f>E742</f>
        <v>3.4990000000000001</v>
      </c>
      <c r="F751" s="319" t="s">
        <v>377</v>
      </c>
      <c r="G751" s="319">
        <f>ROUND(E751/100*$C751*$E$803,0)</f>
        <v>0</v>
      </c>
      <c r="H751" s="319">
        <f>ROUND(E751/100*$D751*$E$803,0)</f>
        <v>0</v>
      </c>
      <c r="I751" s="388">
        <f>I742</f>
        <v>3.8719999999999999</v>
      </c>
      <c r="J751" s="319" t="s">
        <v>377</v>
      </c>
      <c r="K751" s="319">
        <f>ROUND(I751/100*$C751*$E$803,0)</f>
        <v>0</v>
      </c>
      <c r="M751" s="84">
        <f>-((I751*D751)/100)/100</f>
        <v>0</v>
      </c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</row>
    <row r="752" spans="1:29">
      <c r="A752" s="321" t="s">
        <v>403</v>
      </c>
      <c r="B752" s="1"/>
      <c r="C752" s="317">
        <v>0</v>
      </c>
      <c r="D752" s="317">
        <v>0</v>
      </c>
      <c r="E752" s="382">
        <f>E743</f>
        <v>0.45</v>
      </c>
      <c r="F752" s="319"/>
      <c r="G752" s="319">
        <f>ROUND(E752*$C752*$E$803,0)</f>
        <v>0</v>
      </c>
      <c r="H752" s="319">
        <f>ROUND(E752*$D752*$E$803,0)</f>
        <v>0</v>
      </c>
      <c r="I752" s="382">
        <f>I743</f>
        <v>0.5</v>
      </c>
      <c r="J752" s="319"/>
      <c r="K752" s="319">
        <f>ROUND(I752*$C752*$E$803,0)</f>
        <v>0</v>
      </c>
      <c r="M752" s="84">
        <f>-(I752*D752)/100</f>
        <v>0</v>
      </c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</row>
    <row r="753" spans="1:29">
      <c r="A753" s="307" t="s">
        <v>478</v>
      </c>
      <c r="B753" s="1"/>
      <c r="C753" s="317">
        <v>0</v>
      </c>
      <c r="D753" s="317">
        <v>0</v>
      </c>
      <c r="E753" s="382">
        <f>E811</f>
        <v>60</v>
      </c>
      <c r="F753" s="335"/>
      <c r="G753" s="319">
        <f>ROUND(E753*$C753,0)</f>
        <v>0</v>
      </c>
      <c r="H753" s="319">
        <f>ROUND(E753*$D753,0)</f>
        <v>0</v>
      </c>
      <c r="I753" s="382">
        <f>I811</f>
        <v>60</v>
      </c>
      <c r="J753" s="319"/>
      <c r="K753" s="319">
        <f>ROUND(I753*$C753,0)</f>
        <v>0</v>
      </c>
      <c r="M753" s="84">
        <f>-(I753*D753)/100</f>
        <v>0</v>
      </c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</row>
    <row r="754" spans="1:29">
      <c r="A754" s="307" t="s">
        <v>447</v>
      </c>
      <c r="B754" s="1"/>
      <c r="C754" s="317">
        <v>0</v>
      </c>
      <c r="D754" s="317">
        <v>0</v>
      </c>
      <c r="E754" s="382">
        <f>E812</f>
        <v>-0.75</v>
      </c>
      <c r="F754" s="319"/>
      <c r="G754" s="319">
        <f>ROUND(E754*$C754,0)</f>
        <v>0</v>
      </c>
      <c r="H754" s="319">
        <f>ROUND(E754*$D754,0)</f>
        <v>0</v>
      </c>
      <c r="I754" s="382">
        <f>I812</f>
        <v>-0.75</v>
      </c>
      <c r="J754" s="319"/>
      <c r="K754" s="319">
        <f>ROUND(I754*$C754,0)</f>
        <v>0</v>
      </c>
      <c r="M754" s="84">
        <f>-(I754*D754)/100</f>
        <v>0</v>
      </c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</row>
    <row r="755" spans="1:29">
      <c r="A755" s="307" t="s">
        <v>436</v>
      </c>
      <c r="B755" s="1"/>
      <c r="C755" s="317">
        <v>1180</v>
      </c>
      <c r="D755" s="317">
        <f>ROUND(($D$758/$C$758)*C755,0)</f>
        <v>2282</v>
      </c>
      <c r="E755" s="389">
        <f>ROUND(E740/2,3)</f>
        <v>3.0150000000000001</v>
      </c>
      <c r="F755" s="319"/>
      <c r="G755" s="319">
        <f>ROUND(E755*$C755,0)</f>
        <v>3558</v>
      </c>
      <c r="H755" s="319">
        <f>ROUND(E755*$D755,0)</f>
        <v>6880</v>
      </c>
      <c r="I755" s="389">
        <f>ROUND(I740/2,3)</f>
        <v>3.2650000000000001</v>
      </c>
      <c r="J755" s="319"/>
      <c r="K755" s="319">
        <f>ROUND($C755*I755,0)</f>
        <v>3853</v>
      </c>
      <c r="M755" s="84">
        <f>I755*D755</f>
        <v>7450.7300000000005</v>
      </c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</row>
    <row r="756" spans="1:29">
      <c r="A756" s="307" t="s">
        <v>437</v>
      </c>
      <c r="B756" s="1"/>
      <c r="C756" s="317">
        <v>520</v>
      </c>
      <c r="D756" s="317">
        <f>ROUND(($D$758/$C$758)*C756,0)</f>
        <v>1006</v>
      </c>
      <c r="E756" s="332">
        <f>E740*4</f>
        <v>24.12</v>
      </c>
      <c r="F756" s="319"/>
      <c r="G756" s="319">
        <f>ROUND(E756*$C756,0)</f>
        <v>12542</v>
      </c>
      <c r="H756" s="319">
        <f>ROUND(E756*$D756,0)</f>
        <v>24265</v>
      </c>
      <c r="I756" s="332">
        <f>I740*4</f>
        <v>26.12</v>
      </c>
      <c r="J756" s="319"/>
      <c r="K756" s="319">
        <f>ROUND($C756*I756,0)</f>
        <v>13582</v>
      </c>
      <c r="M756" s="84">
        <f>I756*D756</f>
        <v>26276.720000000001</v>
      </c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</row>
    <row r="757" spans="1:29">
      <c r="A757" s="3" t="s">
        <v>438</v>
      </c>
      <c r="B757" s="301"/>
      <c r="C757" s="317">
        <v>11900</v>
      </c>
      <c r="D757" s="317">
        <f>ROUND(($D$758/$C$758)*C757,0)</f>
        <v>23014</v>
      </c>
      <c r="E757" s="390">
        <f>E742*4</f>
        <v>13.996</v>
      </c>
      <c r="F757" s="319" t="s">
        <v>377</v>
      </c>
      <c r="G757" s="319">
        <f>ROUND($C757*E757/100,0)</f>
        <v>1666</v>
      </c>
      <c r="H757" s="319">
        <f>ROUND($D757*E757/100,0)</f>
        <v>3221</v>
      </c>
      <c r="I757" s="390">
        <f>I742*4</f>
        <v>15.488</v>
      </c>
      <c r="J757" s="319" t="s">
        <v>377</v>
      </c>
      <c r="K757" s="319">
        <f>ROUND($C757*I757/100,0)</f>
        <v>1843</v>
      </c>
      <c r="M757" s="84">
        <f>(I757/100)*D757</f>
        <v>3564.4083199999995</v>
      </c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</row>
    <row r="758" spans="1:29">
      <c r="A758" s="1" t="s">
        <v>384</v>
      </c>
      <c r="B758" s="1"/>
      <c r="C758" s="317">
        <f>C742+C757</f>
        <v>1260000</v>
      </c>
      <c r="D758" s="317">
        <v>2436796.4482688801</v>
      </c>
      <c r="E758" s="328"/>
      <c r="F758" s="2"/>
      <c r="G758" s="2">
        <f>SUM(G735:G757)</f>
        <v>157533</v>
      </c>
      <c r="H758" s="2">
        <f>SUM(H735:H757)</f>
        <v>291169</v>
      </c>
      <c r="I758" s="328"/>
      <c r="J758" s="1"/>
      <c r="K758" s="2">
        <f>SUM(K735:K757)</f>
        <v>172415</v>
      </c>
      <c r="M758" s="84">
        <f>SUM(M735:M757)</f>
        <v>318550.48735999997</v>
      </c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</row>
    <row r="759" spans="1:29">
      <c r="A759" s="1" t="s">
        <v>366</v>
      </c>
      <c r="B759" s="1"/>
      <c r="C759" s="317" t="e">
        <f>#REF!</f>
        <v>#REF!</v>
      </c>
      <c r="D759" s="317">
        <v>0</v>
      </c>
      <c r="E759" s="307"/>
      <c r="F759" s="307"/>
      <c r="G759" s="339" t="e">
        <f>#REF!</f>
        <v>#REF!</v>
      </c>
      <c r="H759" s="339">
        <v>0</v>
      </c>
      <c r="I759" s="307"/>
      <c r="J759" s="307"/>
      <c r="K759" s="339" t="e">
        <f>G759</f>
        <v>#REF!</v>
      </c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</row>
    <row r="760" spans="1:29" ht="16.5" thickBot="1">
      <c r="A760" s="1" t="s">
        <v>385</v>
      </c>
      <c r="B760" s="1"/>
      <c r="C760" s="391" t="e">
        <f>SUM(C758)+C759</f>
        <v>#REF!</v>
      </c>
      <c r="D760" s="391">
        <f>SUM(D742)+D759</f>
        <v>2413782</v>
      </c>
      <c r="E760" s="340"/>
      <c r="F760" s="341"/>
      <c r="G760" s="342" t="e">
        <f>G758+G759</f>
        <v>#REF!</v>
      </c>
      <c r="H760" s="342">
        <f>H758+H759</f>
        <v>291169</v>
      </c>
      <c r="I760" s="340"/>
      <c r="J760" s="343"/>
      <c r="K760" s="342" t="e">
        <f>K758+K759</f>
        <v>#REF!</v>
      </c>
      <c r="N760" s="3" t="s">
        <v>367</v>
      </c>
      <c r="O760" s="69" t="e">
        <f>#REF!*1000</f>
        <v>#REF!</v>
      </c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</row>
    <row r="761" spans="1:29" ht="16.5" thickTop="1">
      <c r="A761" s="1"/>
      <c r="B761" s="1"/>
      <c r="C761" s="21"/>
      <c r="D761" s="21"/>
      <c r="E761" s="335"/>
      <c r="F761" s="2"/>
      <c r="G761" s="2"/>
      <c r="H761" s="2"/>
      <c r="I761" s="335"/>
      <c r="J761" s="1"/>
      <c r="K761" s="378"/>
      <c r="N761" s="3" t="s">
        <v>265</v>
      </c>
      <c r="O761" s="69" t="e">
        <f>O760-K760</f>
        <v>#REF!</v>
      </c>
      <c r="P761" s="14" t="e">
        <f>(O760-K760)/K760</f>
        <v>#REF!</v>
      </c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</row>
    <row r="762" spans="1:29">
      <c r="A762" s="291" t="s">
        <v>479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20"/>
      <c r="N762" s="20"/>
      <c r="O762" s="74"/>
      <c r="P762" s="74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</row>
    <row r="763" spans="1:29">
      <c r="A763" s="307" t="s">
        <v>480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20"/>
      <c r="N763" s="20"/>
      <c r="O763" s="74"/>
      <c r="P763" s="74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</row>
    <row r="764" spans="1:29">
      <c r="A764" s="321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20"/>
      <c r="N764" s="20"/>
      <c r="O764" s="74"/>
      <c r="P764" s="74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</row>
    <row r="765" spans="1:29">
      <c r="A765" s="321" t="s">
        <v>396</v>
      </c>
      <c r="B765" s="1"/>
      <c r="C765" s="317"/>
      <c r="D765" s="317"/>
      <c r="E765" s="2"/>
      <c r="F765" s="2"/>
      <c r="G765" s="1"/>
      <c r="H765" s="1"/>
      <c r="I765" s="2"/>
      <c r="J765" s="1"/>
      <c r="K765" s="1"/>
      <c r="M765" s="20"/>
      <c r="N765" s="20"/>
      <c r="O765" s="74"/>
      <c r="P765" s="74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</row>
    <row r="766" spans="1:29">
      <c r="A766" s="321" t="s">
        <v>474</v>
      </c>
      <c r="B766" s="1"/>
      <c r="C766" s="317">
        <f>C794+C877</f>
        <v>658</v>
      </c>
      <c r="D766" s="317">
        <f>D794+D877</f>
        <v>692</v>
      </c>
      <c r="E766" s="335">
        <v>1205</v>
      </c>
      <c r="F766" s="335"/>
      <c r="G766" s="2">
        <f>G794+G877</f>
        <v>792890</v>
      </c>
      <c r="H766" s="2">
        <f>H794+H877</f>
        <v>833860</v>
      </c>
      <c r="I766" s="335">
        <v>1330</v>
      </c>
      <c r="J766" s="319"/>
      <c r="K766" s="2">
        <f>K794+K877</f>
        <v>875140</v>
      </c>
      <c r="M766" s="84">
        <f>I766*D766</f>
        <v>920360</v>
      </c>
      <c r="O766" s="14">
        <f>(I766-E766)/E766</f>
        <v>0.1037344398340249</v>
      </c>
      <c r="P766" s="14"/>
      <c r="R766" s="327"/>
      <c r="T766" s="3" t="s">
        <v>374</v>
      </c>
      <c r="U766" s="3" t="s">
        <v>307</v>
      </c>
      <c r="V766" s="3" t="s">
        <v>375</v>
      </c>
      <c r="W766" s="3" t="s">
        <v>317</v>
      </c>
      <c r="X766" s="20"/>
      <c r="Y766" s="20"/>
      <c r="Z766" s="20"/>
      <c r="AA766" s="20"/>
      <c r="AB766" s="20"/>
      <c r="AC766" s="20"/>
    </row>
    <row r="767" spans="1:29">
      <c r="A767" s="321" t="s">
        <v>475</v>
      </c>
      <c r="B767" s="1"/>
      <c r="C767" s="317">
        <f>C795+C878</f>
        <v>60</v>
      </c>
      <c r="D767" s="317">
        <f>D795+D878</f>
        <v>62</v>
      </c>
      <c r="E767" s="335">
        <v>1450</v>
      </c>
      <c r="F767" s="335"/>
      <c r="G767" s="2">
        <f>G795+G878</f>
        <v>87000</v>
      </c>
      <c r="H767" s="2">
        <f>H795+H878</f>
        <v>89900</v>
      </c>
      <c r="I767" s="335">
        <v>1600</v>
      </c>
      <c r="J767" s="322"/>
      <c r="K767" s="2">
        <f>K795+K878</f>
        <v>95400</v>
      </c>
      <c r="M767" s="84">
        <f>I767*D767</f>
        <v>99200</v>
      </c>
      <c r="O767" s="14">
        <f>(I767-E767)/E767</f>
        <v>0.10344827586206896</v>
      </c>
      <c r="R767" s="327"/>
      <c r="S767" s="3" t="s">
        <v>20</v>
      </c>
      <c r="T767" s="106">
        <f>E766*(D766+D767+D735)</f>
        <v>923030</v>
      </c>
      <c r="U767" s="106">
        <f>I766*(D766+D767+D735)</f>
        <v>1018780</v>
      </c>
      <c r="V767" s="106">
        <v>20746.582883790943</v>
      </c>
      <c r="W767" s="235">
        <f>U767/V767</f>
        <v>49.105918102588383</v>
      </c>
      <c r="X767" s="20"/>
      <c r="Y767" s="20"/>
      <c r="Z767" s="20"/>
      <c r="AA767" s="20"/>
      <c r="AB767" s="20"/>
      <c r="AC767" s="20"/>
    </row>
    <row r="768" spans="1:29">
      <c r="A768" s="321" t="s">
        <v>397</v>
      </c>
      <c r="B768" s="1"/>
      <c r="C768" s="317">
        <f>SUM(C766:C767)</f>
        <v>718</v>
      </c>
      <c r="D768" s="317">
        <f>SUM(D766:D767)</f>
        <v>754</v>
      </c>
      <c r="E768" s="335" t="s">
        <v>31</v>
      </c>
      <c r="F768" s="335"/>
      <c r="G768" s="2"/>
      <c r="H768" s="2"/>
      <c r="I768" s="335" t="s">
        <v>31</v>
      </c>
      <c r="J768" s="319"/>
      <c r="K768" s="2"/>
      <c r="O768" s="318"/>
      <c r="S768" s="3" t="s">
        <v>407</v>
      </c>
      <c r="T768" s="106">
        <f>SUM(H766:H770)+SUM(H735:H739)-T767</f>
        <v>2074380</v>
      </c>
      <c r="U768" s="106">
        <f>SUM(K766:K770)+SUM(K735:K739)-U767</f>
        <v>1669410</v>
      </c>
      <c r="V768" s="106">
        <v>3811025.9901367896</v>
      </c>
      <c r="W768" s="235">
        <f>U768/V768</f>
        <v>0.43804739309586277</v>
      </c>
      <c r="X768" s="20"/>
      <c r="Y768" s="20"/>
      <c r="Z768" s="20"/>
      <c r="AA768" s="20"/>
      <c r="AB768" s="20"/>
      <c r="AC768" s="20"/>
    </row>
    <row r="769" spans="1:29">
      <c r="A769" s="321" t="s">
        <v>476</v>
      </c>
      <c r="B769" s="1"/>
      <c r="C769" s="317">
        <f t="shared" ref="C769:D771" si="63">C797+C880</f>
        <v>898711</v>
      </c>
      <c r="D769" s="317">
        <f t="shared" si="63"/>
        <v>1752134</v>
      </c>
      <c r="E769" s="335">
        <v>0.91</v>
      </c>
      <c r="F769" s="335"/>
      <c r="G769" s="2">
        <f t="shared" ref="G769:H771" si="64">G797+G880</f>
        <v>817827</v>
      </c>
      <c r="H769" s="2">
        <f t="shared" si="64"/>
        <v>1594442</v>
      </c>
      <c r="I769" s="335">
        <v>1.01</v>
      </c>
      <c r="J769" s="319"/>
      <c r="K769" s="2">
        <f>K797+K880</f>
        <v>907698</v>
      </c>
      <c r="M769" s="84">
        <f>I769*D769</f>
        <v>1769655.34</v>
      </c>
      <c r="O769" s="14">
        <f>(I769-E769)/E769</f>
        <v>0.10989010989010986</v>
      </c>
      <c r="S769" s="3" t="s">
        <v>445</v>
      </c>
      <c r="T769" s="106">
        <f>SUM(T767:T768)</f>
        <v>2997410</v>
      </c>
      <c r="U769" s="106">
        <f>SUM(U767:U768)</f>
        <v>2688190</v>
      </c>
      <c r="V769" s="106">
        <f>SUM(V767:V768)</f>
        <v>3831772.5730205807</v>
      </c>
      <c r="W769" s="235">
        <f>U769/V769</f>
        <v>0.70155259707412743</v>
      </c>
      <c r="X769" s="20"/>
      <c r="Y769" s="20"/>
      <c r="Z769" s="20"/>
      <c r="AA769" s="20"/>
      <c r="AB769" s="20"/>
      <c r="AC769" s="20"/>
    </row>
    <row r="770" spans="1:29">
      <c r="A770" s="321" t="s">
        <v>477</v>
      </c>
      <c r="B770" s="1"/>
      <c r="C770" s="317">
        <f t="shared" si="63"/>
        <v>875536</v>
      </c>
      <c r="D770" s="317">
        <f t="shared" si="63"/>
        <v>528174</v>
      </c>
      <c r="E770" s="335">
        <v>0.83</v>
      </c>
      <c r="F770" s="335"/>
      <c r="G770" s="2">
        <f t="shared" si="64"/>
        <v>726694</v>
      </c>
      <c r="H770" s="2">
        <f t="shared" si="64"/>
        <v>438384</v>
      </c>
      <c r="I770" s="335">
        <v>0.92</v>
      </c>
      <c r="J770" s="319"/>
      <c r="K770" s="2">
        <f>K798+K881</f>
        <v>778862</v>
      </c>
      <c r="M770" s="84">
        <f>I770*D770</f>
        <v>485920.08</v>
      </c>
      <c r="O770" s="14">
        <f>(I770-E770)/E770</f>
        <v>0.10843373493975914</v>
      </c>
      <c r="S770" s="3" t="s">
        <v>409</v>
      </c>
      <c r="T770" s="106">
        <f>H771</f>
        <v>11639274</v>
      </c>
      <c r="U770" s="106">
        <f>K771</f>
        <v>10175585</v>
      </c>
      <c r="V770" s="106">
        <v>5205301.8106998745</v>
      </c>
      <c r="W770" s="235">
        <f>U770/V770</f>
        <v>1.9548501451123061</v>
      </c>
      <c r="X770" s="20"/>
      <c r="Y770" s="20"/>
      <c r="Z770" s="20"/>
      <c r="AA770" s="20"/>
      <c r="AB770" s="20"/>
      <c r="AC770" s="20"/>
    </row>
    <row r="771" spans="1:29">
      <c r="A771" s="307" t="s">
        <v>406</v>
      </c>
      <c r="B771" s="1"/>
      <c r="C771" s="317">
        <f t="shared" si="63"/>
        <v>1557283</v>
      </c>
      <c r="D771" s="317">
        <f t="shared" si="63"/>
        <v>1930228</v>
      </c>
      <c r="E771" s="335">
        <v>6.03</v>
      </c>
      <c r="F771" s="335"/>
      <c r="G771" s="2">
        <f t="shared" si="64"/>
        <v>9390417</v>
      </c>
      <c r="H771" s="2">
        <f t="shared" si="64"/>
        <v>11639274</v>
      </c>
      <c r="I771" s="335">
        <v>6.53</v>
      </c>
      <c r="J771" s="319"/>
      <c r="K771" s="2">
        <f>K799+K882</f>
        <v>10175585</v>
      </c>
      <c r="M771" s="84">
        <f>I771*D771</f>
        <v>12604388.84</v>
      </c>
      <c r="O771" s="14">
        <f>(I771-E771)/E771</f>
        <v>8.2918739635157543E-2</v>
      </c>
      <c r="S771" s="3" t="s">
        <v>379</v>
      </c>
      <c r="T771" s="106">
        <f>H773</f>
        <v>31238595</v>
      </c>
      <c r="U771" s="106">
        <f>K773</f>
        <v>32828416</v>
      </c>
      <c r="V771" s="106">
        <v>38185452.241358206</v>
      </c>
      <c r="W771" s="235">
        <f>U771/V771</f>
        <v>0.85971002235358984</v>
      </c>
      <c r="X771" s="20"/>
      <c r="Y771" s="20"/>
      <c r="Z771" s="20"/>
      <c r="AA771" s="20"/>
      <c r="AB771" s="20"/>
      <c r="AC771" s="20"/>
    </row>
    <row r="772" spans="1:29">
      <c r="A772" s="321" t="s">
        <v>429</v>
      </c>
      <c r="B772" s="1"/>
      <c r="C772" s="317"/>
      <c r="D772" s="317"/>
      <c r="E772" s="335" t="s">
        <v>31</v>
      </c>
      <c r="F772" s="335"/>
      <c r="G772" s="2"/>
      <c r="H772" s="2"/>
      <c r="I772" s="335" t="s">
        <v>31</v>
      </c>
      <c r="J772" s="319"/>
      <c r="K772" s="2"/>
      <c r="O772" s="318"/>
      <c r="V772" s="20"/>
      <c r="W772" s="20"/>
      <c r="X772" s="20"/>
      <c r="Y772" s="20"/>
      <c r="Z772" s="20"/>
      <c r="AA772" s="20"/>
      <c r="AB772" s="20"/>
      <c r="AC772" s="20"/>
    </row>
    <row r="773" spans="1:29">
      <c r="A773" s="321" t="s">
        <v>467</v>
      </c>
      <c r="B773" s="1"/>
      <c r="C773" s="317">
        <f>C801+C884</f>
        <v>848518988</v>
      </c>
      <c r="D773" s="317">
        <f>D801+D884</f>
        <v>892786384</v>
      </c>
      <c r="E773" s="381">
        <v>3.4990000000000001</v>
      </c>
      <c r="F773" s="319" t="s">
        <v>377</v>
      </c>
      <c r="G773" s="2">
        <f>G801+G884</f>
        <v>29689679</v>
      </c>
      <c r="H773" s="2">
        <f>H801+H884</f>
        <v>31238595</v>
      </c>
      <c r="I773" s="393">
        <v>3.875</v>
      </c>
      <c r="J773" s="319" t="s">
        <v>377</v>
      </c>
      <c r="K773" s="2">
        <f>K801+K884</f>
        <v>32828416</v>
      </c>
      <c r="M773" s="84">
        <f>(I773/100)*D773</f>
        <v>34595472.380000003</v>
      </c>
      <c r="O773" s="14">
        <f>(I773-E773)/E773</f>
        <v>0.10745927407830805</v>
      </c>
      <c r="V773" s="20"/>
      <c r="W773" s="20"/>
      <c r="X773" s="20"/>
      <c r="Y773" s="20"/>
      <c r="Z773" s="20"/>
      <c r="AA773" s="20"/>
      <c r="AB773" s="20"/>
      <c r="AC773" s="20"/>
    </row>
    <row r="774" spans="1:29">
      <c r="A774" s="321" t="s">
        <v>403</v>
      </c>
      <c r="B774" s="1"/>
      <c r="C774" s="317">
        <f>C802+C885</f>
        <v>395613</v>
      </c>
      <c r="D774" s="317">
        <f>D802+D885</f>
        <v>541286</v>
      </c>
      <c r="E774" s="335">
        <v>0.45</v>
      </c>
      <c r="F774" s="319"/>
      <c r="G774" s="2">
        <f>G802+G885</f>
        <v>178026</v>
      </c>
      <c r="H774" s="2">
        <f>H802+H885</f>
        <v>243579</v>
      </c>
      <c r="I774" s="335">
        <v>0.5</v>
      </c>
      <c r="J774" s="319"/>
      <c r="K774" s="2">
        <f>K802+K885</f>
        <v>197807</v>
      </c>
      <c r="M774" s="84">
        <f>I774*D774</f>
        <v>270643</v>
      </c>
      <c r="N774" s="318"/>
      <c r="O774" s="14">
        <f>(I774-E774)/E774</f>
        <v>0.11111111111111108</v>
      </c>
      <c r="V774" s="20"/>
      <c r="W774" s="20"/>
      <c r="X774" s="20"/>
      <c r="Y774" s="20"/>
      <c r="Z774" s="20"/>
      <c r="AA774" s="20"/>
      <c r="AB774" s="20"/>
      <c r="AC774" s="20"/>
    </row>
    <row r="775" spans="1:29">
      <c r="A775" s="358" t="s">
        <v>404</v>
      </c>
      <c r="B775" s="1"/>
      <c r="C775" s="317"/>
      <c r="D775" s="317"/>
      <c r="E775" s="330">
        <v>-0.01</v>
      </c>
      <c r="F775" s="330"/>
      <c r="G775" s="2"/>
      <c r="H775" s="2"/>
      <c r="I775" s="330">
        <v>-0.01</v>
      </c>
      <c r="J775" s="359"/>
      <c r="K775" s="2"/>
      <c r="V775" s="20"/>
      <c r="W775" s="20"/>
      <c r="X775" s="20"/>
      <c r="Y775" s="20"/>
      <c r="Z775" s="20"/>
      <c r="AA775" s="20"/>
      <c r="AB775" s="20"/>
      <c r="AC775" s="20"/>
    </row>
    <row r="776" spans="1:29">
      <c r="A776" s="321" t="s">
        <v>474</v>
      </c>
      <c r="B776" s="1"/>
      <c r="C776" s="317">
        <f t="shared" ref="C776:D786" si="65">C804+C887</f>
        <v>135</v>
      </c>
      <c r="D776" s="317">
        <f t="shared" si="65"/>
        <v>143</v>
      </c>
      <c r="E776" s="332">
        <f>E766</f>
        <v>1205</v>
      </c>
      <c r="F776" s="332"/>
      <c r="G776" s="319">
        <f t="shared" ref="G776:H786" si="66">G804+G887</f>
        <v>-1627</v>
      </c>
      <c r="H776" s="319">
        <f t="shared" si="66"/>
        <v>-1723</v>
      </c>
      <c r="I776" s="332">
        <f>I766</f>
        <v>1330</v>
      </c>
      <c r="J776" s="319"/>
      <c r="K776" s="319">
        <f t="shared" ref="K776:K785" si="67">K804+K887</f>
        <v>-1795</v>
      </c>
      <c r="M776" s="84">
        <f>-(I776/100)*D776</f>
        <v>-1901.9</v>
      </c>
      <c r="V776" s="20"/>
      <c r="W776" s="20"/>
      <c r="X776" s="20"/>
      <c r="Y776" s="20"/>
      <c r="Z776" s="20"/>
      <c r="AA776" s="20"/>
      <c r="AB776" s="20"/>
      <c r="AC776" s="20"/>
    </row>
    <row r="777" spans="1:29">
      <c r="A777" s="321" t="s">
        <v>475</v>
      </c>
      <c r="B777" s="1"/>
      <c r="C777" s="317">
        <f t="shared" si="65"/>
        <v>35</v>
      </c>
      <c r="D777" s="317">
        <f t="shared" si="65"/>
        <v>36</v>
      </c>
      <c r="E777" s="332">
        <f>E767</f>
        <v>1450</v>
      </c>
      <c r="F777" s="332"/>
      <c r="G777" s="319">
        <f t="shared" si="66"/>
        <v>-508</v>
      </c>
      <c r="H777" s="319">
        <f t="shared" si="66"/>
        <v>-522</v>
      </c>
      <c r="I777" s="332">
        <f>I767</f>
        <v>1600</v>
      </c>
      <c r="J777" s="319"/>
      <c r="K777" s="319">
        <f t="shared" si="67"/>
        <v>-554</v>
      </c>
      <c r="M777" s="84">
        <f>-(I777/100)*D777</f>
        <v>-576</v>
      </c>
      <c r="V777" s="20"/>
      <c r="W777" s="20"/>
      <c r="X777" s="20"/>
      <c r="Y777" s="20"/>
      <c r="Z777" s="20"/>
      <c r="AA777" s="20"/>
      <c r="AB777" s="20"/>
      <c r="AC777" s="20"/>
    </row>
    <row r="778" spans="1:29">
      <c r="A778" s="321" t="s">
        <v>476</v>
      </c>
      <c r="B778" s="1"/>
      <c r="C778" s="317">
        <f t="shared" si="65"/>
        <v>189773</v>
      </c>
      <c r="D778" s="317">
        <f t="shared" si="65"/>
        <v>250152</v>
      </c>
      <c r="E778" s="332">
        <f>E769</f>
        <v>0.91</v>
      </c>
      <c r="F778" s="332"/>
      <c r="G778" s="319">
        <f t="shared" si="66"/>
        <v>-1727</v>
      </c>
      <c r="H778" s="319">
        <f t="shared" si="66"/>
        <v>-2276</v>
      </c>
      <c r="I778" s="332">
        <f>I769</f>
        <v>1.01</v>
      </c>
      <c r="J778" s="319"/>
      <c r="K778" s="319">
        <f t="shared" si="67"/>
        <v>-1917</v>
      </c>
      <c r="M778" s="84">
        <f>-(I778/100)*D778</f>
        <v>-2526.5351999999998</v>
      </c>
      <c r="V778" s="20"/>
      <c r="W778" s="20"/>
      <c r="X778" s="20"/>
      <c r="Y778" s="20"/>
      <c r="Z778" s="20"/>
      <c r="AA778" s="20"/>
      <c r="AB778" s="20"/>
      <c r="AC778" s="20"/>
    </row>
    <row r="779" spans="1:29">
      <c r="A779" s="321" t="s">
        <v>477</v>
      </c>
      <c r="B779" s="1"/>
      <c r="C779" s="317">
        <f t="shared" si="65"/>
        <v>767389</v>
      </c>
      <c r="D779" s="317">
        <f t="shared" si="65"/>
        <v>242431</v>
      </c>
      <c r="E779" s="332">
        <f>E770</f>
        <v>0.83</v>
      </c>
      <c r="F779" s="332"/>
      <c r="G779" s="319">
        <f t="shared" si="66"/>
        <v>-6369</v>
      </c>
      <c r="H779" s="319">
        <f t="shared" si="66"/>
        <v>-2012</v>
      </c>
      <c r="I779" s="332">
        <f>I770</f>
        <v>0.92</v>
      </c>
      <c r="J779" s="319"/>
      <c r="K779" s="319">
        <f t="shared" si="67"/>
        <v>-6793</v>
      </c>
      <c r="M779" s="84">
        <f>-(I779/100)*D779</f>
        <v>-2230.3652000000002</v>
      </c>
      <c r="V779" s="20"/>
      <c r="W779" s="20"/>
      <c r="X779" s="20"/>
      <c r="Y779" s="20"/>
      <c r="Z779" s="20"/>
      <c r="AA779" s="20"/>
      <c r="AB779" s="20"/>
      <c r="AC779" s="20"/>
    </row>
    <row r="780" spans="1:29">
      <c r="A780" s="307" t="s">
        <v>406</v>
      </c>
      <c r="B780" s="378"/>
      <c r="C780" s="317">
        <f t="shared" si="65"/>
        <v>887827</v>
      </c>
      <c r="D780" s="317">
        <f t="shared" si="65"/>
        <v>417760</v>
      </c>
      <c r="E780" s="332">
        <f>E771</f>
        <v>6.03</v>
      </c>
      <c r="F780" s="335"/>
      <c r="G780" s="319">
        <f t="shared" si="66"/>
        <v>-53535</v>
      </c>
      <c r="H780" s="319">
        <f t="shared" si="66"/>
        <v>-25191</v>
      </c>
      <c r="I780" s="332">
        <f>I771</f>
        <v>6.53</v>
      </c>
      <c r="J780" s="319"/>
      <c r="K780" s="319">
        <f t="shared" si="67"/>
        <v>-58041</v>
      </c>
      <c r="M780" s="84">
        <f>-(I780/100)*D780</f>
        <v>-27279.727999999999</v>
      </c>
      <c r="V780" s="20"/>
      <c r="W780" s="20"/>
      <c r="X780" s="20"/>
      <c r="Y780" s="20"/>
      <c r="Z780" s="20"/>
      <c r="AA780" s="20"/>
      <c r="AB780" s="20"/>
      <c r="AC780" s="20"/>
    </row>
    <row r="781" spans="1:29">
      <c r="A781" s="321" t="s">
        <v>467</v>
      </c>
      <c r="B781" s="1"/>
      <c r="C781" s="317">
        <f t="shared" si="65"/>
        <v>541097802</v>
      </c>
      <c r="D781" s="317">
        <f t="shared" si="65"/>
        <v>196350613</v>
      </c>
      <c r="E781" s="333">
        <f>E773</f>
        <v>3.4990000000000001</v>
      </c>
      <c r="F781" s="319" t="s">
        <v>377</v>
      </c>
      <c r="G781" s="319">
        <f t="shared" si="66"/>
        <v>-189330</v>
      </c>
      <c r="H781" s="319">
        <f t="shared" si="66"/>
        <v>-68703</v>
      </c>
      <c r="I781" s="333">
        <f>I773</f>
        <v>3.875</v>
      </c>
      <c r="J781" s="319" t="s">
        <v>377</v>
      </c>
      <c r="K781" s="319">
        <f t="shared" si="67"/>
        <v>-209251</v>
      </c>
      <c r="M781" s="84">
        <f>-((I781/100)*D781)/100</f>
        <v>-76085.862537499997</v>
      </c>
      <c r="V781" s="20"/>
      <c r="W781" s="20"/>
      <c r="X781" s="20"/>
      <c r="Y781" s="20"/>
      <c r="Z781" s="20"/>
      <c r="AA781" s="20"/>
      <c r="AB781" s="20"/>
      <c r="AC781" s="20"/>
    </row>
    <row r="782" spans="1:29">
      <c r="A782" s="321" t="s">
        <v>403</v>
      </c>
      <c r="B782" s="1"/>
      <c r="C782" s="317">
        <f t="shared" si="65"/>
        <v>208290</v>
      </c>
      <c r="D782" s="317">
        <f t="shared" si="65"/>
        <v>87611</v>
      </c>
      <c r="E782" s="382">
        <f>E774</f>
        <v>0.45</v>
      </c>
      <c r="F782" s="319"/>
      <c r="G782" s="319">
        <f t="shared" si="66"/>
        <v>-937</v>
      </c>
      <c r="H782" s="319">
        <f t="shared" si="66"/>
        <v>-394</v>
      </c>
      <c r="I782" s="382">
        <f>I774</f>
        <v>0.5</v>
      </c>
      <c r="J782" s="319"/>
      <c r="K782" s="319">
        <f t="shared" si="67"/>
        <v>-1041</v>
      </c>
      <c r="M782" s="84">
        <f>-(I782/100)*D782</f>
        <v>-438.05500000000001</v>
      </c>
      <c r="V782" s="20"/>
      <c r="W782" s="20"/>
      <c r="X782" s="20"/>
      <c r="Y782" s="20"/>
      <c r="Z782" s="20"/>
      <c r="AA782" s="20"/>
      <c r="AB782" s="20"/>
      <c r="AC782" s="20"/>
    </row>
    <row r="783" spans="1:29">
      <c r="A783" s="307" t="s">
        <v>478</v>
      </c>
      <c r="B783" s="1"/>
      <c r="C783" s="317">
        <f t="shared" si="65"/>
        <v>170</v>
      </c>
      <c r="D783" s="317">
        <f t="shared" si="65"/>
        <v>179</v>
      </c>
      <c r="E783" s="335">
        <v>60</v>
      </c>
      <c r="F783" s="335"/>
      <c r="G783" s="319">
        <f t="shared" si="66"/>
        <v>10200</v>
      </c>
      <c r="H783" s="319">
        <f t="shared" si="66"/>
        <v>10740</v>
      </c>
      <c r="I783" s="335">
        <f>'Blocking - detail'!I783</f>
        <v>60</v>
      </c>
      <c r="J783" s="319"/>
      <c r="K783" s="319">
        <f t="shared" si="67"/>
        <v>10200</v>
      </c>
      <c r="M783" s="84">
        <f>I783*D783</f>
        <v>10740</v>
      </c>
      <c r="V783" s="20"/>
      <c r="W783" s="20"/>
      <c r="X783" s="20"/>
      <c r="Y783" s="20"/>
      <c r="Z783" s="20"/>
      <c r="AA783" s="20"/>
      <c r="AB783" s="20"/>
      <c r="AC783" s="20"/>
    </row>
    <row r="784" spans="1:29">
      <c r="A784" s="307" t="s">
        <v>447</v>
      </c>
      <c r="B784" s="1"/>
      <c r="C784" s="317">
        <f t="shared" si="65"/>
        <v>957162</v>
      </c>
      <c r="D784" s="317">
        <f t="shared" si="65"/>
        <v>492583</v>
      </c>
      <c r="E784" s="335">
        <v>-0.75</v>
      </c>
      <c r="F784" s="319"/>
      <c r="G784" s="319">
        <f t="shared" si="66"/>
        <v>-717872</v>
      </c>
      <c r="H784" s="319">
        <f t="shared" si="66"/>
        <v>-369437</v>
      </c>
      <c r="I784" s="335">
        <f>'Blocking - detail'!I784</f>
        <v>-0.75</v>
      </c>
      <c r="J784" s="319"/>
      <c r="K784" s="319">
        <f t="shared" si="67"/>
        <v>-717872</v>
      </c>
      <c r="M784" s="84">
        <f>I784*D784</f>
        <v>-369437.25</v>
      </c>
      <c r="V784" s="20"/>
      <c r="W784" s="20"/>
      <c r="X784" s="20"/>
      <c r="Y784" s="20"/>
      <c r="Z784" s="20"/>
      <c r="AA784" s="20"/>
      <c r="AB784" s="20"/>
      <c r="AC784" s="20"/>
    </row>
    <row r="785" spans="1:29">
      <c r="A785" s="1" t="s">
        <v>384</v>
      </c>
      <c r="B785" s="1"/>
      <c r="C785" s="317">
        <f t="shared" si="65"/>
        <v>848518988</v>
      </c>
      <c r="D785" s="317">
        <f t="shared" si="65"/>
        <v>892786385.17848599</v>
      </c>
      <c r="E785" s="328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84">
        <f>SUM(M766:M784)</f>
        <v>50275903.944062501</v>
      </c>
      <c r="V785" s="20"/>
      <c r="W785" s="20"/>
      <c r="X785" s="20"/>
      <c r="Y785" s="20"/>
      <c r="Z785" s="20"/>
      <c r="AA785" s="20"/>
      <c r="AB785" s="20"/>
      <c r="AC785" s="20"/>
    </row>
    <row r="786" spans="1:29">
      <c r="A786" s="1" t="s">
        <v>366</v>
      </c>
      <c r="B786" s="1"/>
      <c r="C786" s="317" t="e">
        <f t="shared" si="65"/>
        <v>#REF!</v>
      </c>
      <c r="D786" s="317">
        <f t="shared" si="65"/>
        <v>0</v>
      </c>
      <c r="E786" s="307"/>
      <c r="F786" s="307"/>
      <c r="G786" s="339" t="e">
        <f t="shared" si="66"/>
        <v>#REF!</v>
      </c>
      <c r="H786" s="339">
        <f t="shared" si="66"/>
        <v>0</v>
      </c>
      <c r="I786" s="307"/>
      <c r="J786" s="307"/>
      <c r="K786" s="339" t="e">
        <f>G786</f>
        <v>#REF!</v>
      </c>
      <c r="Q786" s="274"/>
      <c r="V786" s="20"/>
      <c r="W786" s="20"/>
      <c r="X786" s="20"/>
      <c r="Y786" s="20"/>
      <c r="Z786" s="20"/>
      <c r="AA786" s="20"/>
      <c r="AB786" s="20"/>
      <c r="AC786" s="20"/>
    </row>
    <row r="787" spans="1:29" ht="16.5" thickBot="1">
      <c r="A787" s="1" t="s">
        <v>385</v>
      </c>
      <c r="B787" s="1"/>
      <c r="C787" s="391" t="e">
        <f>SUM(C785)+C786</f>
        <v>#REF!</v>
      </c>
      <c r="D787" s="391">
        <f>SUM(D773)+D786</f>
        <v>892786384</v>
      </c>
      <c r="E787" s="340"/>
      <c r="F787" s="341"/>
      <c r="G787" s="342" t="e">
        <f>G785+G786</f>
        <v>#REF!</v>
      </c>
      <c r="H787" s="342">
        <f>H785+H786</f>
        <v>45618516</v>
      </c>
      <c r="I787" s="340"/>
      <c r="J787" s="343"/>
      <c r="K787" s="342" t="e">
        <f>K785+K786</f>
        <v>#REF!</v>
      </c>
      <c r="N787" s="3" t="s">
        <v>367</v>
      </c>
      <c r="O787" s="69">
        <v>43704978.563067347</v>
      </c>
      <c r="V787" s="20"/>
      <c r="W787" s="20"/>
      <c r="X787" s="20"/>
      <c r="Y787" s="20"/>
      <c r="Z787" s="20"/>
      <c r="AA787" s="20"/>
      <c r="AB787" s="20"/>
      <c r="AC787" s="20"/>
    </row>
    <row r="788" spans="1:29" ht="16.5" thickTop="1">
      <c r="A788" s="1"/>
      <c r="B788" s="1"/>
      <c r="C788" s="21"/>
      <c r="D788" s="21"/>
      <c r="E788" s="335"/>
      <c r="F788" s="2"/>
      <c r="G788" s="2"/>
      <c r="H788" s="2"/>
      <c r="I788" s="351" t="s">
        <v>31</v>
      </c>
      <c r="J788" s="1"/>
      <c r="K788" s="2" t="s">
        <v>31</v>
      </c>
      <c r="N788" s="3" t="s">
        <v>265</v>
      </c>
      <c r="O788" s="69" t="e">
        <f>O787-K787</f>
        <v>#REF!</v>
      </c>
      <c r="P788" s="274" t="e">
        <f>(O787-K787)/K787</f>
        <v>#REF!</v>
      </c>
      <c r="V788" s="20"/>
      <c r="W788" s="20"/>
      <c r="X788" s="20"/>
      <c r="Y788" s="20"/>
      <c r="Z788" s="20"/>
      <c r="AA788" s="20"/>
      <c r="AB788" s="20"/>
      <c r="AC788" s="20"/>
    </row>
    <row r="789" spans="1:29">
      <c r="A789" s="1"/>
      <c r="B789" s="1"/>
      <c r="C789" s="21"/>
      <c r="D789" s="21"/>
      <c r="E789" s="335"/>
      <c r="F789" s="2"/>
      <c r="G789" s="2"/>
      <c r="H789" s="2"/>
      <c r="I789" s="335"/>
      <c r="J789" s="1"/>
      <c r="K789" s="378"/>
      <c r="M789" s="20"/>
      <c r="N789" s="20"/>
      <c r="O789" s="74"/>
      <c r="P789" s="74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</row>
    <row r="790" spans="1:29">
      <c r="A790" s="291" t="s">
        <v>479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414"/>
      <c r="N790" s="414"/>
      <c r="O790" s="74"/>
      <c r="P790" s="74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</row>
    <row r="791" spans="1:29">
      <c r="A791" s="307" t="s">
        <v>481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20"/>
      <c r="N791" s="20"/>
      <c r="O791" s="74"/>
      <c r="P791" s="74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</row>
    <row r="792" spans="1:29">
      <c r="A792" s="321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20"/>
      <c r="N792" s="20"/>
      <c r="O792" s="74"/>
      <c r="P792" s="74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</row>
    <row r="793" spans="1:29">
      <c r="A793" s="321" t="s">
        <v>396</v>
      </c>
      <c r="B793" s="1"/>
      <c r="C793" s="317"/>
      <c r="D793" s="317"/>
      <c r="E793" s="2"/>
      <c r="F793" s="2"/>
      <c r="G793" s="1"/>
      <c r="H793" s="1"/>
      <c r="I793" s="2"/>
      <c r="J793" s="1"/>
      <c r="K793" s="1"/>
      <c r="M793" s="20"/>
      <c r="N793" s="20"/>
      <c r="O793" s="69" t="s">
        <v>31</v>
      </c>
      <c r="P793" s="74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</row>
    <row r="794" spans="1:29">
      <c r="A794" s="321" t="s">
        <v>474</v>
      </c>
      <c r="B794" s="1"/>
      <c r="C794" s="317">
        <f>C822+C850</f>
        <v>658</v>
      </c>
      <c r="D794" s="317">
        <f>D822+D850</f>
        <v>692</v>
      </c>
      <c r="E794" s="335">
        <f>$E$766</f>
        <v>1205</v>
      </c>
      <c r="F794" s="335"/>
      <c r="G794" s="2">
        <f>G822+G850</f>
        <v>792890</v>
      </c>
      <c r="H794" s="2">
        <f>H822+H850</f>
        <v>833860</v>
      </c>
      <c r="I794" s="335">
        <v>1330</v>
      </c>
      <c r="J794" s="319"/>
      <c r="K794" s="2">
        <f>K822+K850</f>
        <v>875140</v>
      </c>
      <c r="M794" s="20"/>
      <c r="N794" s="20"/>
      <c r="O794" s="14">
        <f>(I794-E794)/E794</f>
        <v>0.1037344398340249</v>
      </c>
      <c r="P794" s="74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</row>
    <row r="795" spans="1:29">
      <c r="A795" s="321" t="s">
        <v>475</v>
      </c>
      <c r="B795" s="1"/>
      <c r="C795" s="317">
        <f>C823+C851</f>
        <v>48</v>
      </c>
      <c r="D795" s="317">
        <f>D823+D851</f>
        <v>50</v>
      </c>
      <c r="E795" s="335">
        <f>$E$767</f>
        <v>1450</v>
      </c>
      <c r="F795" s="335"/>
      <c r="G795" s="2">
        <f>G823+G851</f>
        <v>69600</v>
      </c>
      <c r="H795" s="2">
        <f>H823+H851</f>
        <v>72500</v>
      </c>
      <c r="I795" s="335">
        <v>1600</v>
      </c>
      <c r="J795" s="322"/>
      <c r="K795" s="2">
        <f>K823+K851</f>
        <v>76800</v>
      </c>
      <c r="M795" s="20"/>
      <c r="N795" s="20"/>
      <c r="O795" s="14">
        <f>(I795-E795)/E795</f>
        <v>0.10344827586206896</v>
      </c>
      <c r="P795" s="74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</row>
    <row r="796" spans="1:29">
      <c r="A796" s="321" t="s">
        <v>397</v>
      </c>
      <c r="B796" s="1"/>
      <c r="C796" s="317">
        <f>SUM(C794:C795)</f>
        <v>706</v>
      </c>
      <c r="D796" s="317">
        <f>SUM(D794:D795)</f>
        <v>742</v>
      </c>
      <c r="E796" s="335" t="s">
        <v>31</v>
      </c>
      <c r="F796" s="335"/>
      <c r="G796" s="2"/>
      <c r="H796" s="2"/>
      <c r="I796" s="335" t="s">
        <v>31</v>
      </c>
      <c r="J796" s="319"/>
      <c r="K796" s="2"/>
      <c r="M796" s="20"/>
      <c r="N796" s="20"/>
      <c r="O796" s="318"/>
      <c r="P796" s="74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</row>
    <row r="797" spans="1:29">
      <c r="A797" s="321" t="s">
        <v>476</v>
      </c>
      <c r="B797" s="1"/>
      <c r="C797" s="317">
        <f t="shared" ref="C797:D799" si="68">C825+C853</f>
        <v>898711</v>
      </c>
      <c r="D797" s="317">
        <f t="shared" si="68"/>
        <v>1752134</v>
      </c>
      <c r="E797" s="335">
        <f>$E$769</f>
        <v>0.91</v>
      </c>
      <c r="F797" s="335"/>
      <c r="G797" s="2">
        <f t="shared" ref="G797:H799" si="69">G825+G853</f>
        <v>817827</v>
      </c>
      <c r="H797" s="2">
        <f t="shared" si="69"/>
        <v>1594442</v>
      </c>
      <c r="I797" s="335">
        <v>1.01</v>
      </c>
      <c r="J797" s="319"/>
      <c r="K797" s="2">
        <f>K825+K853</f>
        <v>907698</v>
      </c>
      <c r="M797" s="20"/>
      <c r="N797" s="20"/>
      <c r="O797" s="14">
        <f>(I797-E797)/E797</f>
        <v>0.10989010989010986</v>
      </c>
      <c r="P797" s="74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</row>
    <row r="798" spans="1:29">
      <c r="A798" s="321" t="s">
        <v>477</v>
      </c>
      <c r="B798" s="1"/>
      <c r="C798" s="317">
        <f t="shared" si="68"/>
        <v>209743</v>
      </c>
      <c r="D798" s="317">
        <f t="shared" si="68"/>
        <v>487863</v>
      </c>
      <c r="E798" s="335">
        <f>$E$770</f>
        <v>0.83</v>
      </c>
      <c r="F798" s="335"/>
      <c r="G798" s="2">
        <f t="shared" si="69"/>
        <v>174086</v>
      </c>
      <c r="H798" s="2">
        <f t="shared" si="69"/>
        <v>404926</v>
      </c>
      <c r="I798" s="335">
        <v>0.92</v>
      </c>
      <c r="J798" s="319"/>
      <c r="K798" s="2">
        <f>K826+K854</f>
        <v>192964</v>
      </c>
      <c r="M798" s="20"/>
      <c r="N798" s="20"/>
      <c r="O798" s="14">
        <f>(I798-E798)/E798</f>
        <v>0.10843373493975914</v>
      </c>
      <c r="P798" s="74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</row>
    <row r="799" spans="1:29">
      <c r="A799" s="307" t="s">
        <v>406</v>
      </c>
      <c r="B799" s="1"/>
      <c r="C799" s="317">
        <f t="shared" si="68"/>
        <v>904657</v>
      </c>
      <c r="D799" s="317">
        <f t="shared" si="68"/>
        <v>1890714</v>
      </c>
      <c r="E799" s="335">
        <f>$E$771</f>
        <v>6.03</v>
      </c>
      <c r="F799" s="335"/>
      <c r="G799" s="2">
        <f t="shared" si="69"/>
        <v>5455082</v>
      </c>
      <c r="H799" s="2">
        <f t="shared" si="69"/>
        <v>11401005</v>
      </c>
      <c r="I799" s="335">
        <v>6.53</v>
      </c>
      <c r="J799" s="319"/>
      <c r="K799" s="2">
        <f>K827+K855</f>
        <v>5907411</v>
      </c>
      <c r="M799" s="20"/>
      <c r="N799" s="20"/>
      <c r="O799" s="14">
        <f>(I799-E799)/E799</f>
        <v>8.2918739635157543E-2</v>
      </c>
      <c r="P799" s="74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</row>
    <row r="800" spans="1:29">
      <c r="A800" s="321" t="s">
        <v>429</v>
      </c>
      <c r="B800" s="1"/>
      <c r="C800" s="317"/>
      <c r="D800" s="317"/>
      <c r="E800" s="335" t="s">
        <v>31</v>
      </c>
      <c r="F800" s="335"/>
      <c r="G800" s="2"/>
      <c r="H800" s="2"/>
      <c r="I800" s="335" t="s">
        <v>31</v>
      </c>
      <c r="J800" s="319"/>
      <c r="K800" s="2"/>
      <c r="M800" s="20"/>
      <c r="N800" s="20"/>
      <c r="O800" s="318"/>
      <c r="P800" s="74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</row>
    <row r="801" spans="1:29">
      <c r="A801" s="321" t="s">
        <v>467</v>
      </c>
      <c r="B801" s="1"/>
      <c r="C801" s="317">
        <f>C829+C857</f>
        <v>411194188</v>
      </c>
      <c r="D801" s="317">
        <f>D829+D857</f>
        <v>866308148</v>
      </c>
      <c r="E801" s="393">
        <f>$E$773</f>
        <v>3.4990000000000001</v>
      </c>
      <c r="F801" s="319" t="s">
        <v>377</v>
      </c>
      <c r="G801" s="2">
        <f>G829+G857</f>
        <v>14387684</v>
      </c>
      <c r="H801" s="2">
        <f>H829+H857</f>
        <v>30312122</v>
      </c>
      <c r="I801" s="393">
        <v>3.8719999999999999</v>
      </c>
      <c r="J801" s="319" t="s">
        <v>377</v>
      </c>
      <c r="K801" s="2">
        <f>K829+K857</f>
        <v>15921439</v>
      </c>
      <c r="M801" s="20"/>
      <c r="N801" s="20"/>
      <c r="O801" s="14">
        <f>(I801-E801)/E801</f>
        <v>0.10660188625321514</v>
      </c>
      <c r="P801" s="74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</row>
    <row r="802" spans="1:29">
      <c r="A802" s="321" t="s">
        <v>403</v>
      </c>
      <c r="B802" s="1"/>
      <c r="C802" s="317">
        <f>C830+C858</f>
        <v>226397</v>
      </c>
      <c r="D802" s="317">
        <f>D830+D858</f>
        <v>531041</v>
      </c>
      <c r="E802" s="335">
        <f>$E$774</f>
        <v>0.45</v>
      </c>
      <c r="F802" s="319"/>
      <c r="G802" s="2">
        <f>G830+G858</f>
        <v>101879</v>
      </c>
      <c r="H802" s="2">
        <f>H830+H858</f>
        <v>238969</v>
      </c>
      <c r="I802" s="335">
        <v>0.5</v>
      </c>
      <c r="J802" s="319"/>
      <c r="K802" s="2">
        <f>K830+K858</f>
        <v>113199</v>
      </c>
      <c r="M802" s="20"/>
      <c r="N802" s="20"/>
      <c r="O802" s="14">
        <f>(I802-E802)/E802</f>
        <v>0.11111111111111108</v>
      </c>
      <c r="P802" s="74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</row>
    <row r="803" spans="1:29">
      <c r="A803" s="358" t="s">
        <v>404</v>
      </c>
      <c r="B803" s="1"/>
      <c r="C803" s="317"/>
      <c r="D803" s="317"/>
      <c r="E803" s="330">
        <v>-0.01</v>
      </c>
      <c r="F803" s="330"/>
      <c r="G803" s="2"/>
      <c r="H803" s="2"/>
      <c r="I803" s="330">
        <v>-0.01</v>
      </c>
      <c r="J803" s="359"/>
      <c r="K803" s="2"/>
      <c r="M803" s="20"/>
      <c r="N803" s="20"/>
      <c r="O803" s="74"/>
      <c r="P803" s="74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</row>
    <row r="804" spans="1:29">
      <c r="A804" s="321" t="s">
        <v>474</v>
      </c>
      <c r="B804" s="1"/>
      <c r="C804" s="317">
        <f t="shared" ref="C804:D814" si="70">C832+C860</f>
        <v>135</v>
      </c>
      <c r="D804" s="317">
        <f t="shared" si="70"/>
        <v>143</v>
      </c>
      <c r="E804" s="332">
        <f>E794</f>
        <v>1205</v>
      </c>
      <c r="F804" s="332"/>
      <c r="G804" s="319">
        <f t="shared" ref="G804:H814" si="71">G832+G860</f>
        <v>-1627</v>
      </c>
      <c r="H804" s="319">
        <f t="shared" si="71"/>
        <v>-1723</v>
      </c>
      <c r="I804" s="332">
        <f>I794</f>
        <v>1330</v>
      </c>
      <c r="J804" s="319"/>
      <c r="K804" s="319">
        <f t="shared" ref="K804:K813" si="72">K832+K860</f>
        <v>-1795</v>
      </c>
      <c r="M804" s="20"/>
      <c r="N804" s="20"/>
      <c r="O804" s="74"/>
      <c r="P804" s="74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</row>
    <row r="805" spans="1:29">
      <c r="A805" s="321" t="s">
        <v>475</v>
      </c>
      <c r="B805" s="1"/>
      <c r="C805" s="317">
        <f t="shared" si="70"/>
        <v>23</v>
      </c>
      <c r="D805" s="317">
        <f t="shared" si="70"/>
        <v>24</v>
      </c>
      <c r="E805" s="332">
        <f>E795</f>
        <v>1450</v>
      </c>
      <c r="F805" s="332"/>
      <c r="G805" s="319">
        <f t="shared" si="71"/>
        <v>-334</v>
      </c>
      <c r="H805" s="319">
        <f t="shared" si="71"/>
        <v>-348</v>
      </c>
      <c r="I805" s="332">
        <f>I795</f>
        <v>1600</v>
      </c>
      <c r="J805" s="319"/>
      <c r="K805" s="319">
        <f t="shared" si="72"/>
        <v>-368</v>
      </c>
      <c r="M805" s="20"/>
      <c r="N805" s="20"/>
      <c r="O805" s="74"/>
      <c r="P805" s="74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</row>
    <row r="806" spans="1:29">
      <c r="A806" s="321" t="s">
        <v>476</v>
      </c>
      <c r="B806" s="1"/>
      <c r="C806" s="317">
        <f t="shared" si="70"/>
        <v>189773</v>
      </c>
      <c r="D806" s="317">
        <f t="shared" si="70"/>
        <v>250152</v>
      </c>
      <c r="E806" s="332">
        <f>E797</f>
        <v>0.91</v>
      </c>
      <c r="F806" s="332"/>
      <c r="G806" s="319">
        <f t="shared" si="71"/>
        <v>-1727</v>
      </c>
      <c r="H806" s="319">
        <f t="shared" si="71"/>
        <v>-2276</v>
      </c>
      <c r="I806" s="332">
        <f>I797</f>
        <v>1.01</v>
      </c>
      <c r="J806" s="319"/>
      <c r="K806" s="319">
        <f t="shared" si="72"/>
        <v>-1917</v>
      </c>
      <c r="M806" s="20"/>
      <c r="N806" s="20"/>
      <c r="O806" s="74"/>
      <c r="P806" s="74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</row>
    <row r="807" spans="1:29">
      <c r="A807" s="321" t="s">
        <v>477</v>
      </c>
      <c r="B807" s="1"/>
      <c r="C807" s="317">
        <f t="shared" si="70"/>
        <v>101596</v>
      </c>
      <c r="D807" s="317">
        <f t="shared" si="70"/>
        <v>202120</v>
      </c>
      <c r="E807" s="332">
        <f>E798</f>
        <v>0.83</v>
      </c>
      <c r="F807" s="332"/>
      <c r="G807" s="319">
        <f t="shared" si="71"/>
        <v>-843</v>
      </c>
      <c r="H807" s="319">
        <f t="shared" si="71"/>
        <v>-1677</v>
      </c>
      <c r="I807" s="332">
        <f>I798</f>
        <v>0.92</v>
      </c>
      <c r="J807" s="319"/>
      <c r="K807" s="319">
        <f t="shared" si="72"/>
        <v>-934</v>
      </c>
      <c r="M807" s="20"/>
      <c r="N807" s="20"/>
      <c r="O807" s="74"/>
      <c r="P807" s="74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</row>
    <row r="808" spans="1:29">
      <c r="A808" s="307" t="s">
        <v>406</v>
      </c>
      <c r="B808" s="378"/>
      <c r="C808" s="317">
        <f t="shared" si="70"/>
        <v>235201</v>
      </c>
      <c r="D808" s="317">
        <f t="shared" si="70"/>
        <v>378246</v>
      </c>
      <c r="E808" s="332">
        <f>E799</f>
        <v>6.03</v>
      </c>
      <c r="F808" s="335"/>
      <c r="G808" s="319">
        <f t="shared" si="71"/>
        <v>-14182</v>
      </c>
      <c r="H808" s="319">
        <f t="shared" si="71"/>
        <v>-22808</v>
      </c>
      <c r="I808" s="332">
        <f>I799</f>
        <v>6.53</v>
      </c>
      <c r="J808" s="319"/>
      <c r="K808" s="319">
        <f t="shared" si="72"/>
        <v>-15359</v>
      </c>
      <c r="M808" s="20"/>
      <c r="N808" s="20"/>
      <c r="O808" s="74"/>
      <c r="P808" s="74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</row>
    <row r="809" spans="1:29">
      <c r="A809" s="321" t="s">
        <v>467</v>
      </c>
      <c r="B809" s="1"/>
      <c r="C809" s="317">
        <f t="shared" si="70"/>
        <v>103773002</v>
      </c>
      <c r="D809" s="317">
        <f t="shared" si="70"/>
        <v>169872377</v>
      </c>
      <c r="E809" s="333">
        <f>E801</f>
        <v>3.4990000000000001</v>
      </c>
      <c r="F809" s="319" t="s">
        <v>377</v>
      </c>
      <c r="G809" s="319">
        <f t="shared" si="71"/>
        <v>-36310</v>
      </c>
      <c r="H809" s="319">
        <f t="shared" si="71"/>
        <v>-59438</v>
      </c>
      <c r="I809" s="333">
        <f>I801</f>
        <v>3.8719999999999999</v>
      </c>
      <c r="J809" s="319" t="s">
        <v>377</v>
      </c>
      <c r="K809" s="319">
        <f t="shared" si="72"/>
        <v>-40181</v>
      </c>
      <c r="M809" s="20"/>
      <c r="N809" s="20"/>
      <c r="O809" s="74"/>
      <c r="P809" s="74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</row>
    <row r="810" spans="1:29">
      <c r="A810" s="321" t="s">
        <v>403</v>
      </c>
      <c r="B810" s="1"/>
      <c r="C810" s="317">
        <f t="shared" si="70"/>
        <v>39074</v>
      </c>
      <c r="D810" s="317">
        <f t="shared" si="70"/>
        <v>77366</v>
      </c>
      <c r="E810" s="382">
        <f>E802</f>
        <v>0.45</v>
      </c>
      <c r="F810" s="319"/>
      <c r="G810" s="319">
        <f t="shared" si="71"/>
        <v>-176</v>
      </c>
      <c r="H810" s="319">
        <f t="shared" si="71"/>
        <v>-348</v>
      </c>
      <c r="I810" s="382">
        <f>I802</f>
        <v>0.5</v>
      </c>
      <c r="J810" s="319"/>
      <c r="K810" s="319">
        <f t="shared" si="72"/>
        <v>-195</v>
      </c>
      <c r="M810" s="20"/>
      <c r="N810" s="20"/>
      <c r="O810" s="74"/>
      <c r="P810" s="74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</row>
    <row r="811" spans="1:29">
      <c r="A811" s="307" t="s">
        <v>478</v>
      </c>
      <c r="B811" s="1"/>
      <c r="C811" s="317">
        <f t="shared" si="70"/>
        <v>158</v>
      </c>
      <c r="D811" s="317">
        <f t="shared" si="70"/>
        <v>167</v>
      </c>
      <c r="E811" s="335">
        <f>$E$783</f>
        <v>60</v>
      </c>
      <c r="F811" s="335"/>
      <c r="G811" s="319">
        <f t="shared" si="71"/>
        <v>9480</v>
      </c>
      <c r="H811" s="319">
        <f t="shared" si="71"/>
        <v>10020</v>
      </c>
      <c r="I811" s="335">
        <f>$I$783</f>
        <v>60</v>
      </c>
      <c r="J811" s="319"/>
      <c r="K811" s="319">
        <f t="shared" si="72"/>
        <v>9480</v>
      </c>
      <c r="M811" s="20"/>
      <c r="N811" s="20"/>
      <c r="O811" s="74"/>
      <c r="P811" s="74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</row>
    <row r="812" spans="1:29">
      <c r="A812" s="307" t="s">
        <v>447</v>
      </c>
      <c r="B812" s="1"/>
      <c r="C812" s="317">
        <f t="shared" si="70"/>
        <v>291369</v>
      </c>
      <c r="D812" s="317">
        <f t="shared" si="70"/>
        <v>452272</v>
      </c>
      <c r="E812" s="335">
        <f>$E$784</f>
        <v>-0.75</v>
      </c>
      <c r="F812" s="319"/>
      <c r="G812" s="319">
        <f t="shared" si="71"/>
        <v>-218527</v>
      </c>
      <c r="H812" s="319">
        <f t="shared" si="71"/>
        <v>-339204</v>
      </c>
      <c r="I812" s="335">
        <f>$I$784</f>
        <v>-0.75</v>
      </c>
      <c r="J812" s="319"/>
      <c r="K812" s="319">
        <f t="shared" si="72"/>
        <v>-218527</v>
      </c>
      <c r="M812" s="20"/>
      <c r="N812" s="20"/>
      <c r="O812" s="74"/>
      <c r="P812" s="74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</row>
    <row r="813" spans="1:29">
      <c r="A813" s="1" t="s">
        <v>384</v>
      </c>
      <c r="B813" s="1"/>
      <c r="C813" s="317">
        <f t="shared" si="70"/>
        <v>411194188</v>
      </c>
      <c r="D813" s="317">
        <f t="shared" si="70"/>
        <v>866308148.72444463</v>
      </c>
      <c r="E813" s="328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20"/>
      <c r="N813" s="20"/>
      <c r="O813" s="74"/>
      <c r="P813" s="74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</row>
    <row r="814" spans="1:29">
      <c r="A814" s="1" t="s">
        <v>366</v>
      </c>
      <c r="B814" s="1"/>
      <c r="C814" s="317" t="e">
        <f t="shared" si="70"/>
        <v>#REF!</v>
      </c>
      <c r="D814" s="317">
        <f t="shared" si="70"/>
        <v>0</v>
      </c>
      <c r="E814" s="307"/>
      <c r="F814" s="307"/>
      <c r="G814" s="339" t="e">
        <f t="shared" si="71"/>
        <v>#REF!</v>
      </c>
      <c r="H814" s="339">
        <f t="shared" si="71"/>
        <v>0</v>
      </c>
      <c r="I814" s="307"/>
      <c r="J814" s="307"/>
      <c r="K814" s="339" t="e">
        <f>G814</f>
        <v>#REF!</v>
      </c>
      <c r="M814" s="442"/>
      <c r="N814" s="442"/>
      <c r="O814" s="285"/>
      <c r="P814" s="74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</row>
    <row r="815" spans="1:29" ht="16.5" thickBot="1">
      <c r="A815" s="1" t="s">
        <v>385</v>
      </c>
      <c r="B815" s="1"/>
      <c r="C815" s="391" t="e">
        <f>SUM(C813)+C814</f>
        <v>#REF!</v>
      </c>
      <c r="D815" s="391">
        <f>SUM(D801)+D814</f>
        <v>866308148</v>
      </c>
      <c r="E815" s="340"/>
      <c r="F815" s="341"/>
      <c r="G815" s="342" t="e">
        <f>G813+G814</f>
        <v>#REF!</v>
      </c>
      <c r="H815" s="342">
        <f>H813+H814</f>
        <v>44440022</v>
      </c>
      <c r="I815" s="340"/>
      <c r="J815" s="343"/>
      <c r="K815" s="342" t="e">
        <f>K813+K814</f>
        <v>#REF!</v>
      </c>
      <c r="M815" s="409"/>
      <c r="N815" s="3" t="s">
        <v>367</v>
      </c>
      <c r="O815" s="69" t="e">
        <f>#REF!*1000+#REF!*1000</f>
        <v>#REF!</v>
      </c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</row>
    <row r="816" spans="1:29" ht="16.5" thickTop="1">
      <c r="A816" s="1"/>
      <c r="B816" s="1"/>
      <c r="C816" s="21"/>
      <c r="D816" s="21"/>
      <c r="E816" s="335"/>
      <c r="F816" s="2"/>
      <c r="G816" s="2"/>
      <c r="H816" s="2"/>
      <c r="I816" s="351" t="s">
        <v>31</v>
      </c>
      <c r="J816" s="1"/>
      <c r="K816" s="2" t="s">
        <v>31</v>
      </c>
      <c r="M816" s="20"/>
      <c r="N816" s="3" t="s">
        <v>265</v>
      </c>
      <c r="O816" s="69" t="e">
        <f>O815-K815-K760</f>
        <v>#REF!</v>
      </c>
      <c r="P816" s="274" t="e">
        <f>(O815-K815)/K815</f>
        <v>#REF!</v>
      </c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</row>
    <row r="817" spans="1:29">
      <c r="A817" s="1"/>
      <c r="B817" s="1"/>
      <c r="C817" s="21"/>
      <c r="D817" s="21"/>
      <c r="E817" s="335"/>
      <c r="F817" s="2"/>
      <c r="G817" s="2"/>
      <c r="H817" s="2"/>
      <c r="I817" s="335"/>
      <c r="J817" s="1"/>
      <c r="K817" s="378"/>
      <c r="M817" s="20"/>
      <c r="N817" s="20"/>
      <c r="O817" s="74"/>
      <c r="P817" s="74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</row>
    <row r="818" spans="1:29">
      <c r="A818" s="291" t="s">
        <v>479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20"/>
      <c r="N818" s="20"/>
      <c r="O818" s="74"/>
      <c r="P818" s="74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</row>
    <row r="819" spans="1:29">
      <c r="A819" s="307" t="s">
        <v>482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20"/>
      <c r="N819" s="20"/>
      <c r="O819" s="74"/>
      <c r="P819" s="74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</row>
    <row r="820" spans="1:29">
      <c r="A820" s="321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20"/>
      <c r="N820" s="20"/>
      <c r="O820" s="74"/>
      <c r="P820" s="74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</row>
    <row r="821" spans="1:29">
      <c r="A821" s="321" t="s">
        <v>396</v>
      </c>
      <c r="B821" s="1"/>
      <c r="C821" s="317"/>
      <c r="D821" s="317"/>
      <c r="E821" s="2"/>
      <c r="F821" s="2"/>
      <c r="G821" s="1"/>
      <c r="H821" s="1"/>
      <c r="I821" s="2"/>
      <c r="J821" s="1"/>
      <c r="K821" s="1"/>
      <c r="M821" s="20"/>
      <c r="N821" s="20"/>
      <c r="O821" s="74"/>
      <c r="P821" s="74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</row>
    <row r="822" spans="1:29">
      <c r="A822" s="321" t="s">
        <v>474</v>
      </c>
      <c r="B822" s="1"/>
      <c r="C822" s="317">
        <f>111+187</f>
        <v>298</v>
      </c>
      <c r="D822" s="317">
        <v>317</v>
      </c>
      <c r="E822" s="335">
        <f>$E$794</f>
        <v>1205</v>
      </c>
      <c r="F822" s="335"/>
      <c r="G822" s="2">
        <f>ROUND(E822*$C822,0)</f>
        <v>359090</v>
      </c>
      <c r="H822" s="2">
        <f>ROUND(E822*$D822,0)</f>
        <v>381985</v>
      </c>
      <c r="I822" s="335">
        <f>$I$794</f>
        <v>1330</v>
      </c>
      <c r="J822" s="319"/>
      <c r="K822" s="2">
        <f>ROUND(I822*$C822,0)</f>
        <v>396340</v>
      </c>
      <c r="M822" s="20"/>
      <c r="N822" s="20"/>
      <c r="O822" s="74"/>
      <c r="P822" s="74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</row>
    <row r="823" spans="1:29">
      <c r="A823" s="321" t="s">
        <v>475</v>
      </c>
      <c r="B823" s="1"/>
      <c r="C823" s="317">
        <v>11</v>
      </c>
      <c r="D823" s="317">
        <v>12</v>
      </c>
      <c r="E823" s="335">
        <f>$E$795</f>
        <v>1450</v>
      </c>
      <c r="F823" s="335"/>
      <c r="G823" s="2">
        <f>ROUND(E823*$C823,0)</f>
        <v>15950</v>
      </c>
      <c r="H823" s="2">
        <f>ROUND(E823*$D823,0)</f>
        <v>17400</v>
      </c>
      <c r="I823" s="335">
        <f>$I$795</f>
        <v>1600</v>
      </c>
      <c r="J823" s="322"/>
      <c r="K823" s="2">
        <f>ROUND(I823*$C823,0)</f>
        <v>17600</v>
      </c>
      <c r="M823" s="20"/>
      <c r="N823" s="20"/>
      <c r="O823" s="74"/>
      <c r="P823" s="74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</row>
    <row r="824" spans="1:29">
      <c r="A824" s="321" t="s">
        <v>397</v>
      </c>
      <c r="B824" s="1"/>
      <c r="C824" s="317">
        <f>SUM(C822:C823)</f>
        <v>309</v>
      </c>
      <c r="D824" s="317">
        <f>SUM(D822:D823)</f>
        <v>329</v>
      </c>
      <c r="E824" s="335" t="s">
        <v>31</v>
      </c>
      <c r="F824" s="335"/>
      <c r="G824" s="2" t="s">
        <v>31</v>
      </c>
      <c r="H824" s="2" t="s">
        <v>31</v>
      </c>
      <c r="I824" s="335" t="s">
        <v>31</v>
      </c>
      <c r="J824" s="319"/>
      <c r="K824" s="2" t="s">
        <v>31</v>
      </c>
      <c r="M824" s="20"/>
      <c r="N824" s="20"/>
      <c r="O824" s="74"/>
      <c r="P824" s="74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</row>
    <row r="825" spans="1:29">
      <c r="A825" s="321" t="s">
        <v>476</v>
      </c>
      <c r="B825" s="1"/>
      <c r="C825" s="317">
        <f>161644+238775</f>
        <v>400419</v>
      </c>
      <c r="D825" s="317">
        <f>ROUND((C825/$C$841)*$D$841,0)</f>
        <v>435560</v>
      </c>
      <c r="E825" s="335">
        <f>$E$797</f>
        <v>0.91</v>
      </c>
      <c r="F825" s="335"/>
      <c r="G825" s="2">
        <f>ROUND(E825*$C825,0)</f>
        <v>364381</v>
      </c>
      <c r="H825" s="2">
        <f>ROUND(E825*$D825,0)</f>
        <v>396360</v>
      </c>
      <c r="I825" s="335">
        <f>$I$797</f>
        <v>1.01</v>
      </c>
      <c r="J825" s="319"/>
      <c r="K825" s="2">
        <f>ROUND(I825*$C825,0)</f>
        <v>404423</v>
      </c>
      <c r="M825" s="20"/>
      <c r="N825" s="20"/>
      <c r="O825" s="74"/>
      <c r="P825" s="74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</row>
    <row r="826" spans="1:29">
      <c r="A826" s="321" t="s">
        <v>477</v>
      </c>
      <c r="B826" s="1"/>
      <c r="C826" s="317">
        <f>42662</f>
        <v>42662</v>
      </c>
      <c r="D826" s="317">
        <f>ROUND((C826/$C$841)*$D$841,0)</f>
        <v>46406</v>
      </c>
      <c r="E826" s="335">
        <f>$E$798</f>
        <v>0.83</v>
      </c>
      <c r="F826" s="335"/>
      <c r="G826" s="2">
        <f>ROUND(E826*$C826,0)</f>
        <v>35409</v>
      </c>
      <c r="H826" s="2">
        <f>ROUND(E826*$D826,0)</f>
        <v>38517</v>
      </c>
      <c r="I826" s="335">
        <f>$I$798</f>
        <v>0.92</v>
      </c>
      <c r="J826" s="319"/>
      <c r="K826" s="2">
        <f>ROUND(I826*$C826,0)</f>
        <v>39249</v>
      </c>
      <c r="M826" s="20"/>
      <c r="N826" s="20"/>
      <c r="O826" s="74"/>
      <c r="P826" s="74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</row>
    <row r="827" spans="1:29">
      <c r="A827" s="307" t="s">
        <v>406</v>
      </c>
      <c r="B827" s="1"/>
      <c r="C827" s="317">
        <f>121935+34520+164918</f>
        <v>321373</v>
      </c>
      <c r="D827" s="317">
        <f>ROUND((C827/$C$841)*$D$841,0)</f>
        <v>349577</v>
      </c>
      <c r="E827" s="335">
        <f>$E$799</f>
        <v>6.03</v>
      </c>
      <c r="F827" s="335"/>
      <c r="G827" s="2">
        <f>ROUND(E827*$C827,0)</f>
        <v>1937879</v>
      </c>
      <c r="H827" s="2">
        <f>ROUND(E827*$D827,0)</f>
        <v>2107949</v>
      </c>
      <c r="I827" s="335">
        <f>$I$799</f>
        <v>6.53</v>
      </c>
      <c r="J827" s="319"/>
      <c r="K827" s="2">
        <f>ROUND(I827*$C827,0)</f>
        <v>2098566</v>
      </c>
      <c r="M827" s="20"/>
      <c r="N827" s="20"/>
      <c r="O827" s="74"/>
      <c r="P827" s="74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</row>
    <row r="828" spans="1:29">
      <c r="A828" s="321" t="s">
        <v>429</v>
      </c>
      <c r="B828" s="1"/>
      <c r="C828" s="317"/>
      <c r="D828" s="317"/>
      <c r="E828" s="335" t="s">
        <v>31</v>
      </c>
      <c r="F828" s="335"/>
      <c r="G828" s="2"/>
      <c r="H828" s="2"/>
      <c r="I828" s="335" t="s">
        <v>31</v>
      </c>
      <c r="J828" s="319"/>
      <c r="K828" s="2"/>
      <c r="M828" s="20"/>
      <c r="N828" s="20"/>
      <c r="O828" s="74"/>
      <c r="P828" s="74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</row>
    <row r="829" spans="1:29">
      <c r="A829" s="321" t="s">
        <v>467</v>
      </c>
      <c r="B829" s="1"/>
      <c r="C829" s="317">
        <f>48095401+19012800+74513181</f>
        <v>141621382</v>
      </c>
      <c r="D829" s="317">
        <f>ROUND((C829/$C$841)*$D$841,0)</f>
        <v>154050076</v>
      </c>
      <c r="E829" s="393">
        <f>$E$801</f>
        <v>3.4990000000000001</v>
      </c>
      <c r="F829" s="319" t="s">
        <v>377</v>
      </c>
      <c r="G829" s="2">
        <f>ROUND(E829/100*$C829,0)</f>
        <v>4955332</v>
      </c>
      <c r="H829" s="2">
        <f>ROUND(E829/100*$D829,0)</f>
        <v>5390212</v>
      </c>
      <c r="I829" s="393">
        <f>$I$801</f>
        <v>3.8719999999999999</v>
      </c>
      <c r="J829" s="319" t="s">
        <v>377</v>
      </c>
      <c r="K829" s="2">
        <f>ROUND(I829/100*$C829,0)</f>
        <v>5483580</v>
      </c>
      <c r="M829" s="20"/>
      <c r="N829" s="20"/>
      <c r="O829" s="74"/>
      <c r="P829" s="74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</row>
    <row r="830" spans="1:29">
      <c r="A830" s="321" t="s">
        <v>403</v>
      </c>
      <c r="B830" s="1"/>
      <c r="C830" s="317">
        <f>10682+5964+26547</f>
        <v>43193</v>
      </c>
      <c r="D830" s="317">
        <f>ROUND((C830/$C$841)*$D$841,0)</f>
        <v>46984</v>
      </c>
      <c r="E830" s="335">
        <f>$E$802</f>
        <v>0.45</v>
      </c>
      <c r="F830" s="319"/>
      <c r="G830" s="2">
        <f>ROUND(E830*$C830,0)</f>
        <v>19437</v>
      </c>
      <c r="H830" s="2">
        <f>ROUND(E830*$D830,0)</f>
        <v>21143</v>
      </c>
      <c r="I830" s="335">
        <f>$I$802</f>
        <v>0.5</v>
      </c>
      <c r="J830" s="319"/>
      <c r="K830" s="2">
        <f>ROUND(I830*$C830,0)</f>
        <v>21597</v>
      </c>
      <c r="M830" s="20"/>
      <c r="N830" s="20"/>
      <c r="O830" s="74"/>
      <c r="P830" s="74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</row>
    <row r="831" spans="1:29">
      <c r="A831" s="358" t="s">
        <v>404</v>
      </c>
      <c r="B831" s="1"/>
      <c r="C831" s="317"/>
      <c r="D831" s="317"/>
      <c r="E831" s="330">
        <v>-0.01</v>
      </c>
      <c r="F831" s="330"/>
      <c r="G831" s="2"/>
      <c r="H831" s="2"/>
      <c r="I831" s="330">
        <v>-0.01</v>
      </c>
      <c r="J831" s="359"/>
      <c r="K831" s="2"/>
      <c r="M831" s="20"/>
      <c r="N831" s="20"/>
      <c r="O831" s="74"/>
      <c r="P831" s="74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</row>
    <row r="832" spans="1:29">
      <c r="A832" s="321" t="s">
        <v>474</v>
      </c>
      <c r="B832" s="1"/>
      <c r="C832" s="317">
        <v>111</v>
      </c>
      <c r="D832" s="317">
        <v>118</v>
      </c>
      <c r="E832" s="332">
        <f>E822</f>
        <v>1205</v>
      </c>
      <c r="F832" s="332"/>
      <c r="G832" s="319">
        <f>ROUND(E832*$C832*$E$803,0)</f>
        <v>-1338</v>
      </c>
      <c r="H832" s="319">
        <f>ROUND(E832*$D832*$E$803,0)</f>
        <v>-1422</v>
      </c>
      <c r="I832" s="332">
        <f>I822</f>
        <v>1330</v>
      </c>
      <c r="J832" s="319"/>
      <c r="K832" s="319">
        <f>ROUND(I832*$C832*$E$803,0)</f>
        <v>-1476</v>
      </c>
      <c r="M832" s="20"/>
      <c r="N832" s="20"/>
      <c r="O832" s="74"/>
      <c r="P832" s="74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</row>
    <row r="833" spans="1:29">
      <c r="A833" s="321" t="s">
        <v>475</v>
      </c>
      <c r="B833" s="1"/>
      <c r="C833" s="317">
        <v>11</v>
      </c>
      <c r="D833" s="317">
        <v>12</v>
      </c>
      <c r="E833" s="332">
        <f>E823</f>
        <v>1450</v>
      </c>
      <c r="F833" s="332"/>
      <c r="G833" s="319">
        <f>ROUND(E833*$C833*$E$803,0)</f>
        <v>-160</v>
      </c>
      <c r="H833" s="319">
        <f>ROUND(E833*$D833*$E$803,0)</f>
        <v>-174</v>
      </c>
      <c r="I833" s="332">
        <f>I823</f>
        <v>1600</v>
      </c>
      <c r="J833" s="319"/>
      <c r="K833" s="319">
        <f>ROUND(I833*$C833*$E$803,0)</f>
        <v>-176</v>
      </c>
      <c r="M833" s="20"/>
      <c r="N833" s="20"/>
      <c r="O833" s="74"/>
      <c r="P833" s="74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</row>
    <row r="834" spans="1:29">
      <c r="A834" s="321" t="s">
        <v>476</v>
      </c>
      <c r="B834" s="1"/>
      <c r="C834" s="317">
        <v>161644</v>
      </c>
      <c r="D834" s="317">
        <f>ROUND((C834/$C$841)*$D$841,0)</f>
        <v>175830</v>
      </c>
      <c r="E834" s="332">
        <f>E825</f>
        <v>0.91</v>
      </c>
      <c r="F834" s="332"/>
      <c r="G834" s="319">
        <f>ROUND(E834*$C834*$E$803,0)</f>
        <v>-1471</v>
      </c>
      <c r="H834" s="319">
        <f>ROUND(E834*$D834*$E$803,0)</f>
        <v>-1600</v>
      </c>
      <c r="I834" s="332">
        <f>I825</f>
        <v>1.01</v>
      </c>
      <c r="J834" s="319"/>
      <c r="K834" s="319">
        <f>ROUND(I834*$C834*$E$803,0)</f>
        <v>-1633</v>
      </c>
      <c r="M834" s="20"/>
      <c r="N834" s="20"/>
      <c r="O834" s="74"/>
      <c r="P834" s="74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</row>
    <row r="835" spans="1:29">
      <c r="A835" s="321" t="s">
        <v>477</v>
      </c>
      <c r="B835" s="1"/>
      <c r="C835" s="317">
        <v>42662</v>
      </c>
      <c r="D835" s="317">
        <f>ROUND((C835/$C$841)*$D$841,0)</f>
        <v>46406</v>
      </c>
      <c r="E835" s="332">
        <f>E826</f>
        <v>0.83</v>
      </c>
      <c r="F835" s="332"/>
      <c r="G835" s="319">
        <f>ROUND(E835*$C835*$E$803,0)</f>
        <v>-354</v>
      </c>
      <c r="H835" s="319">
        <f>ROUND(E835*$D835*$E$803,0)</f>
        <v>-385</v>
      </c>
      <c r="I835" s="332">
        <f>I826</f>
        <v>0.92</v>
      </c>
      <c r="J835" s="319"/>
      <c r="K835" s="319">
        <f>ROUND(I835*$C835*$E$803,0)</f>
        <v>-392</v>
      </c>
      <c r="M835" s="20"/>
      <c r="N835" s="20"/>
      <c r="O835" s="74"/>
      <c r="P835" s="74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</row>
    <row r="836" spans="1:29">
      <c r="A836" s="307" t="s">
        <v>406</v>
      </c>
      <c r="B836" s="378"/>
      <c r="C836" s="317">
        <f>121935+34520</f>
        <v>156455</v>
      </c>
      <c r="D836" s="317">
        <f>ROUND((C836/$C$841)*$D$841,0)</f>
        <v>170185</v>
      </c>
      <c r="E836" s="332">
        <f>E827</f>
        <v>6.03</v>
      </c>
      <c r="F836" s="335"/>
      <c r="G836" s="319">
        <f>ROUND(E836*$C836*$E$803,0)</f>
        <v>-9434</v>
      </c>
      <c r="H836" s="319">
        <f>ROUND(E836*$D836*$E$803,0)</f>
        <v>-10262</v>
      </c>
      <c r="I836" s="332">
        <f>I827</f>
        <v>6.53</v>
      </c>
      <c r="J836" s="319"/>
      <c r="K836" s="319">
        <f>ROUND(I836*$C836*$E$803,0)</f>
        <v>-10217</v>
      </c>
      <c r="M836" s="20"/>
      <c r="N836" s="20"/>
      <c r="O836" s="74"/>
      <c r="P836" s="74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</row>
    <row r="837" spans="1:29">
      <c r="A837" s="321" t="s">
        <v>467</v>
      </c>
      <c r="B837" s="1"/>
      <c r="C837" s="317">
        <f>48095401+19012800</f>
        <v>67108201</v>
      </c>
      <c r="D837" s="317">
        <f>ROUND((C837/$C$841)*$D$841,0)</f>
        <v>72997618</v>
      </c>
      <c r="E837" s="333">
        <f>E829</f>
        <v>3.4990000000000001</v>
      </c>
      <c r="F837" s="319" t="s">
        <v>377</v>
      </c>
      <c r="G837" s="319">
        <f>ROUND(E837/100*$C837*$E$803,0)</f>
        <v>-23481</v>
      </c>
      <c r="H837" s="319">
        <f>ROUND(E837/100*$D837*$E$803,0)</f>
        <v>-25542</v>
      </c>
      <c r="I837" s="333">
        <f>I829</f>
        <v>3.8719999999999999</v>
      </c>
      <c r="J837" s="319" t="s">
        <v>377</v>
      </c>
      <c r="K837" s="319">
        <f>ROUND(I837/100*$C837*$E$803,0)</f>
        <v>-25984</v>
      </c>
      <c r="M837" s="20"/>
      <c r="N837" s="20"/>
      <c r="O837" s="74"/>
      <c r="P837" s="74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</row>
    <row r="838" spans="1:29">
      <c r="A838" s="321" t="s">
        <v>403</v>
      </c>
      <c r="B838" s="1"/>
      <c r="C838" s="317">
        <f>10682+5964</f>
        <v>16646</v>
      </c>
      <c r="D838" s="317">
        <f>ROUND((C838/$C$841)*$D$841,0)</f>
        <v>18107</v>
      </c>
      <c r="E838" s="382">
        <f>E830</f>
        <v>0.45</v>
      </c>
      <c r="F838" s="319"/>
      <c r="G838" s="319">
        <f>ROUND(E838*$C838*$E$803,0)</f>
        <v>-75</v>
      </c>
      <c r="H838" s="319">
        <f>ROUND(E838*$D838*$E$803,0)</f>
        <v>-81</v>
      </c>
      <c r="I838" s="382">
        <f>I830</f>
        <v>0.5</v>
      </c>
      <c r="J838" s="319"/>
      <c r="K838" s="319">
        <f>ROUND(I838*$C838*$E$803,0)</f>
        <v>-83</v>
      </c>
      <c r="M838" s="20"/>
      <c r="N838" s="20"/>
      <c r="O838" s="74"/>
      <c r="P838" s="74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</row>
    <row r="839" spans="1:29">
      <c r="A839" s="307" t="s">
        <v>478</v>
      </c>
      <c r="B839" s="1"/>
      <c r="C839" s="317">
        <f>111+11</f>
        <v>122</v>
      </c>
      <c r="D839" s="317">
        <v>130</v>
      </c>
      <c r="E839" s="335">
        <f>$E$811</f>
        <v>60</v>
      </c>
      <c r="F839" s="335"/>
      <c r="G839" s="319">
        <f>ROUND(E839*$C839,0)</f>
        <v>7320</v>
      </c>
      <c r="H839" s="319">
        <f>ROUND(E839*$D839,0)</f>
        <v>7800</v>
      </c>
      <c r="I839" s="335">
        <f>$I$811</f>
        <v>60</v>
      </c>
      <c r="J839" s="319"/>
      <c r="K839" s="319">
        <f>ROUND(I839*$C839,0)</f>
        <v>7320</v>
      </c>
      <c r="M839" s="20"/>
      <c r="N839" s="20"/>
      <c r="O839" s="74"/>
      <c r="P839" s="74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</row>
    <row r="840" spans="1:29">
      <c r="A840" s="307" t="s">
        <v>447</v>
      </c>
      <c r="B840" s="1"/>
      <c r="C840" s="317">
        <f>161644+42662</f>
        <v>204306</v>
      </c>
      <c r="D840" s="317">
        <f>ROUND((C840/$C$841)*$D$841,0)</f>
        <v>222236</v>
      </c>
      <c r="E840" s="335">
        <f>$E$812</f>
        <v>-0.75</v>
      </c>
      <c r="F840" s="319"/>
      <c r="G840" s="319">
        <f>ROUND(E840*$C840,0)</f>
        <v>-153230</v>
      </c>
      <c r="H840" s="319">
        <f>ROUND(E840*$D840,0)</f>
        <v>-166677</v>
      </c>
      <c r="I840" s="335">
        <f>$I$812</f>
        <v>-0.75</v>
      </c>
      <c r="J840" s="319"/>
      <c r="K840" s="319">
        <f>ROUND(I840*$C840,0)</f>
        <v>-153230</v>
      </c>
      <c r="M840" s="20"/>
      <c r="N840" s="20"/>
      <c r="O840" s="74"/>
      <c r="P840" s="74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</row>
    <row r="841" spans="1:29">
      <c r="A841" s="1" t="s">
        <v>384</v>
      </c>
      <c r="B841" s="1"/>
      <c r="C841" s="317">
        <f>C829</f>
        <v>141621382</v>
      </c>
      <c r="D841" s="317">
        <v>154050076.39425009</v>
      </c>
      <c r="E841" s="328"/>
      <c r="F841" s="2"/>
      <c r="G841" s="2">
        <f>SUM(G822:G840)</f>
        <v>7505255</v>
      </c>
      <c r="H841" s="2">
        <f>SUM(H822:H840)</f>
        <v>8155223</v>
      </c>
      <c r="I841" s="328"/>
      <c r="J841" s="1"/>
      <c r="K841" s="2">
        <f>SUM(K822:K840)</f>
        <v>8275484</v>
      </c>
      <c r="M841" s="20"/>
      <c r="N841" s="20"/>
      <c r="O841" s="74"/>
      <c r="P841" s="74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</row>
    <row r="842" spans="1:29">
      <c r="A842" s="1" t="s">
        <v>366</v>
      </c>
      <c r="B842" s="1"/>
      <c r="C842" s="317" t="e">
        <f>#REF!</f>
        <v>#REF!</v>
      </c>
      <c r="D842" s="317">
        <v>0</v>
      </c>
      <c r="E842" s="307"/>
      <c r="F842" s="307"/>
      <c r="G842" s="339" t="e">
        <f>#REF!</f>
        <v>#REF!</v>
      </c>
      <c r="H842" s="339">
        <v>0</v>
      </c>
      <c r="I842" s="307"/>
      <c r="J842" s="307"/>
      <c r="K842" s="339" t="e">
        <f>G842</f>
        <v>#REF!</v>
      </c>
      <c r="M842" s="442"/>
      <c r="N842" s="442"/>
      <c r="O842" s="285"/>
      <c r="P842" s="74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</row>
    <row r="843" spans="1:29" ht="16.5" thickBot="1">
      <c r="A843" s="1" t="s">
        <v>385</v>
      </c>
      <c r="B843" s="1"/>
      <c r="C843" s="391" t="e">
        <f>SUM(C841)+C842</f>
        <v>#REF!</v>
      </c>
      <c r="D843" s="391">
        <f>SUM(D829)+D842</f>
        <v>154050076</v>
      </c>
      <c r="E843" s="340"/>
      <c r="F843" s="341"/>
      <c r="G843" s="342" t="e">
        <f>G841+G842</f>
        <v>#REF!</v>
      </c>
      <c r="H843" s="342">
        <f>H841+H842</f>
        <v>8155223</v>
      </c>
      <c r="I843" s="340"/>
      <c r="J843" s="343"/>
      <c r="K843" s="342" t="e">
        <f>K841+K842</f>
        <v>#REF!</v>
      </c>
      <c r="M843" s="409"/>
      <c r="N843" s="409"/>
      <c r="O843" s="468"/>
      <c r="P843" s="74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</row>
    <row r="844" spans="1:29" ht="16.5" thickTop="1">
      <c r="A844" s="1"/>
      <c r="B844" s="1"/>
      <c r="C844" s="21"/>
      <c r="D844" s="21"/>
      <c r="E844" s="335"/>
      <c r="F844" s="2"/>
      <c r="G844" s="2"/>
      <c r="H844" s="2"/>
      <c r="I844" s="351" t="s">
        <v>31</v>
      </c>
      <c r="J844" s="1"/>
      <c r="K844" s="2" t="s">
        <v>31</v>
      </c>
      <c r="M844" s="20"/>
      <c r="N844" s="20"/>
      <c r="O844" s="74"/>
      <c r="P844" s="74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spans="1:29">
      <c r="A845" s="1"/>
      <c r="B845" s="1"/>
      <c r="C845" s="21"/>
      <c r="D845" s="21"/>
      <c r="E845" s="335"/>
      <c r="F845" s="2"/>
      <c r="G845" s="2"/>
      <c r="H845" s="2"/>
      <c r="I845" s="335"/>
      <c r="J845" s="1"/>
      <c r="K845" s="378"/>
      <c r="M845" s="20"/>
      <c r="N845" s="20"/>
      <c r="O845" s="74"/>
      <c r="P845" s="74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</row>
    <row r="846" spans="1:29">
      <c r="A846" s="291" t="s">
        <v>479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20"/>
      <c r="N846" s="20"/>
      <c r="O846" s="74"/>
      <c r="P846" s="74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</row>
    <row r="847" spans="1:29">
      <c r="A847" s="307" t="s">
        <v>483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20"/>
      <c r="N847" s="20"/>
      <c r="O847" s="74"/>
      <c r="P847" s="74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</row>
    <row r="848" spans="1:29">
      <c r="A848" s="321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20"/>
      <c r="N848" s="20"/>
      <c r="O848" s="74"/>
      <c r="P848" s="74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</row>
    <row r="849" spans="1:29">
      <c r="A849" s="321" t="s">
        <v>396</v>
      </c>
      <c r="B849" s="1"/>
      <c r="C849" s="317"/>
      <c r="D849" s="317"/>
      <c r="E849" s="2"/>
      <c r="F849" s="2"/>
      <c r="G849" s="1"/>
      <c r="H849" s="1"/>
      <c r="I849" s="2"/>
      <c r="J849" s="1"/>
      <c r="K849" s="1"/>
      <c r="M849" s="20"/>
      <c r="N849" s="20"/>
      <c r="O849" s="74"/>
      <c r="P849" s="74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</row>
    <row r="850" spans="1:29">
      <c r="A850" s="321" t="s">
        <v>474</v>
      </c>
      <c r="B850" s="1"/>
      <c r="C850" s="317">
        <f>24+336</f>
        <v>360</v>
      </c>
      <c r="D850" s="317">
        <v>375</v>
      </c>
      <c r="E850" s="335">
        <f>$E$794</f>
        <v>1205</v>
      </c>
      <c r="F850" s="335"/>
      <c r="G850" s="2">
        <f>ROUND(E850*$C850,0)</f>
        <v>433800</v>
      </c>
      <c r="H850" s="2">
        <f>ROUND(E850*$D850,0)</f>
        <v>451875</v>
      </c>
      <c r="I850" s="335">
        <f>$I$794</f>
        <v>1330</v>
      </c>
      <c r="J850" s="319"/>
      <c r="K850" s="2">
        <f>ROUND(I850*$C850,0)</f>
        <v>478800</v>
      </c>
      <c r="M850" s="20"/>
      <c r="N850" s="20"/>
      <c r="O850" s="74"/>
      <c r="P850" s="74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</row>
    <row r="851" spans="1:29">
      <c r="A851" s="321" t="s">
        <v>475</v>
      </c>
      <c r="B851" s="1"/>
      <c r="C851" s="317">
        <f>24+25-C878</f>
        <v>37</v>
      </c>
      <c r="D851" s="317">
        <v>38</v>
      </c>
      <c r="E851" s="335">
        <f>$E$795</f>
        <v>1450</v>
      </c>
      <c r="F851" s="335"/>
      <c r="G851" s="2">
        <f>ROUND(E851*$C851,0)</f>
        <v>53650</v>
      </c>
      <c r="H851" s="2">
        <f>ROUND(E851*$D851,0)</f>
        <v>55100</v>
      </c>
      <c r="I851" s="335">
        <f>$I$795</f>
        <v>1600</v>
      </c>
      <c r="J851" s="322"/>
      <c r="K851" s="2">
        <f>ROUND(I851*$C851,0)</f>
        <v>59200</v>
      </c>
      <c r="M851" s="20"/>
      <c r="N851" s="20"/>
      <c r="O851" s="74"/>
      <c r="P851" s="74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</row>
    <row r="852" spans="1:29">
      <c r="A852" s="321" t="s">
        <v>397</v>
      </c>
      <c r="B852" s="1"/>
      <c r="C852" s="317">
        <f>SUM(C850:C851)</f>
        <v>397</v>
      </c>
      <c r="D852" s="317">
        <f>SUM(D850:D851)</f>
        <v>413</v>
      </c>
      <c r="E852" s="335" t="s">
        <v>31</v>
      </c>
      <c r="F852" s="335"/>
      <c r="G852" s="2" t="s">
        <v>31</v>
      </c>
      <c r="H852" s="2" t="s">
        <v>31</v>
      </c>
      <c r="I852" s="335" t="s">
        <v>31</v>
      </c>
      <c r="J852" s="319"/>
      <c r="K852" s="2" t="s">
        <v>31</v>
      </c>
      <c r="M852" s="20"/>
      <c r="N852" s="20"/>
      <c r="O852" s="74"/>
      <c r="P852" s="74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</row>
    <row r="853" spans="1:29">
      <c r="A853" s="321" t="s">
        <v>476</v>
      </c>
      <c r="B853" s="1"/>
      <c r="C853" s="317">
        <f>28129+470163</f>
        <v>498292</v>
      </c>
      <c r="D853" s="317">
        <f>ROUND(($D$869/$C$869)*C853,0)</f>
        <v>1316574</v>
      </c>
      <c r="E853" s="335">
        <f>$E$797</f>
        <v>0.91</v>
      </c>
      <c r="F853" s="335"/>
      <c r="G853" s="2">
        <f>ROUND(E853*$C853,0)</f>
        <v>453446</v>
      </c>
      <c r="H853" s="2">
        <f>ROUND(E853*$D853,0)</f>
        <v>1198082</v>
      </c>
      <c r="I853" s="335">
        <f>$I$797</f>
        <v>1.01</v>
      </c>
      <c r="J853" s="319"/>
      <c r="K853" s="2">
        <f>ROUND(I853*$C853,0)</f>
        <v>503275</v>
      </c>
      <c r="M853" s="20"/>
      <c r="N853" s="20"/>
      <c r="O853" s="74"/>
      <c r="P853" s="74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</row>
    <row r="854" spans="1:29">
      <c r="A854" s="321" t="s">
        <v>477</v>
      </c>
      <c r="B854" s="1"/>
      <c r="C854" s="317">
        <f>724727+108147-C881</f>
        <v>167081</v>
      </c>
      <c r="D854" s="317">
        <f>ROUND(($D$869/$C$869)*C854,0)</f>
        <v>441457</v>
      </c>
      <c r="E854" s="335">
        <f>$E$798</f>
        <v>0.83</v>
      </c>
      <c r="F854" s="335"/>
      <c r="G854" s="2">
        <f>ROUND(E854*$C854,0)</f>
        <v>138677</v>
      </c>
      <c r="H854" s="2">
        <f>ROUND(E854*$D854,0)</f>
        <v>366409</v>
      </c>
      <c r="I854" s="335">
        <f>$I$798</f>
        <v>0.92</v>
      </c>
      <c r="J854" s="319"/>
      <c r="K854" s="2">
        <f>ROUND(I854*$C854,0)</f>
        <v>153715</v>
      </c>
      <c r="M854" s="20"/>
      <c r="N854" s="20"/>
      <c r="O854" s="74"/>
      <c r="P854" s="74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</row>
    <row r="855" spans="1:29">
      <c r="A855" s="307" t="s">
        <v>406</v>
      </c>
      <c r="B855" s="1"/>
      <c r="C855" s="317">
        <f>23089+708283+406336+98202-C882</f>
        <v>583284</v>
      </c>
      <c r="D855" s="317">
        <f>ROUND(($D$869/$C$869)*C855,0)</f>
        <v>1541137</v>
      </c>
      <c r="E855" s="335">
        <f>$E$799</f>
        <v>6.03</v>
      </c>
      <c r="F855" s="335"/>
      <c r="G855" s="2">
        <f>ROUND(E855*$C855,0)</f>
        <v>3517203</v>
      </c>
      <c r="H855" s="2">
        <f>ROUND(E855*$D855,0)</f>
        <v>9293056</v>
      </c>
      <c r="I855" s="335">
        <f>$I$799</f>
        <v>6.53</v>
      </c>
      <c r="J855" s="319"/>
      <c r="K855" s="2">
        <f>ROUND(I855*$C855,0)</f>
        <v>3808845</v>
      </c>
      <c r="M855" s="20"/>
      <c r="N855" s="20"/>
      <c r="O855" s="74"/>
      <c r="P855" s="74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</row>
    <row r="856" spans="1:29">
      <c r="A856" s="321" t="s">
        <v>429</v>
      </c>
      <c r="B856" s="1"/>
      <c r="C856" s="317"/>
      <c r="D856" s="317"/>
      <c r="E856" s="335" t="s">
        <v>31</v>
      </c>
      <c r="F856" s="335"/>
      <c r="G856" s="2"/>
      <c r="H856" s="2"/>
      <c r="I856" s="335" t="s">
        <v>31</v>
      </c>
      <c r="J856" s="319"/>
      <c r="K856" s="2"/>
      <c r="M856" s="20"/>
      <c r="N856" s="20"/>
      <c r="O856" s="74"/>
      <c r="P856" s="74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</row>
    <row r="857" spans="1:29">
      <c r="A857" s="321" t="s">
        <v>467</v>
      </c>
      <c r="B857" s="1"/>
      <c r="C857" s="317">
        <f>5533801+468455800+177233604+55674401-C884</f>
        <v>269572806</v>
      </c>
      <c r="D857" s="317">
        <f>ROUND(($D$869/$C$869)*C857,0)</f>
        <v>712258072</v>
      </c>
      <c r="E857" s="393">
        <f>$E$801</f>
        <v>3.4990000000000001</v>
      </c>
      <c r="F857" s="319" t="s">
        <v>377</v>
      </c>
      <c r="G857" s="2">
        <f>ROUND(E857/100*$C857,0)</f>
        <v>9432352</v>
      </c>
      <c r="H857" s="2">
        <f>ROUND(E857/100*$D857,0)</f>
        <v>24921910</v>
      </c>
      <c r="I857" s="393">
        <f>$I$801</f>
        <v>3.8719999999999999</v>
      </c>
      <c r="J857" s="319" t="s">
        <v>377</v>
      </c>
      <c r="K857" s="2">
        <f>ROUND(I857/100*$C857,0)</f>
        <v>10437859</v>
      </c>
      <c r="M857" s="20"/>
      <c r="N857" s="20"/>
      <c r="O857" s="74"/>
      <c r="P857" s="74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</row>
    <row r="858" spans="1:29">
      <c r="A858" s="321" t="s">
        <v>403</v>
      </c>
      <c r="B858" s="1"/>
      <c r="C858" s="317">
        <f>6402+185242+134464+26312-C885</f>
        <v>183204</v>
      </c>
      <c r="D858" s="317">
        <f>ROUND(($D$869/$C$869)*C858,0)</f>
        <v>484057</v>
      </c>
      <c r="E858" s="335">
        <f>$E$802</f>
        <v>0.45</v>
      </c>
      <c r="F858" s="319"/>
      <c r="G858" s="2">
        <f>ROUND(E858*$C858,0)</f>
        <v>82442</v>
      </c>
      <c r="H858" s="2">
        <f>ROUND(E858*$D858,0)</f>
        <v>217826</v>
      </c>
      <c r="I858" s="335">
        <f>$I$802</f>
        <v>0.5</v>
      </c>
      <c r="J858" s="319"/>
      <c r="K858" s="2">
        <f>ROUND(I858*$C858,0)</f>
        <v>91602</v>
      </c>
      <c r="M858" s="20"/>
      <c r="N858" s="20"/>
      <c r="O858" s="74"/>
      <c r="P858" s="74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</row>
    <row r="859" spans="1:29">
      <c r="A859" s="358" t="s">
        <v>404</v>
      </c>
      <c r="B859" s="1"/>
      <c r="C859" s="317"/>
      <c r="D859" s="317"/>
      <c r="E859" s="330">
        <v>-0.01</v>
      </c>
      <c r="F859" s="330"/>
      <c r="G859" s="2"/>
      <c r="H859" s="2"/>
      <c r="I859" s="330">
        <v>-0.01</v>
      </c>
      <c r="J859" s="359"/>
      <c r="K859" s="2"/>
      <c r="M859" s="20"/>
      <c r="N859" s="20"/>
      <c r="O859" s="74"/>
      <c r="P859" s="74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</row>
    <row r="860" spans="1:29">
      <c r="A860" s="321" t="s">
        <v>474</v>
      </c>
      <c r="B860" s="1"/>
      <c r="C860" s="317">
        <v>24</v>
      </c>
      <c r="D860" s="317">
        <v>25</v>
      </c>
      <c r="E860" s="332">
        <f>E850</f>
        <v>1205</v>
      </c>
      <c r="F860" s="332"/>
      <c r="G860" s="319">
        <f>ROUND(E860*$C860*$E$803,0)</f>
        <v>-289</v>
      </c>
      <c r="H860" s="319">
        <f>ROUND(E860*$D860*$E$803,0)</f>
        <v>-301</v>
      </c>
      <c r="I860" s="332">
        <f>I850</f>
        <v>1330</v>
      </c>
      <c r="J860" s="319"/>
      <c r="K860" s="319">
        <f>ROUND(I860*$C860*$E$803,0)</f>
        <v>-319</v>
      </c>
      <c r="M860" s="20"/>
      <c r="N860" s="20"/>
      <c r="O860" s="74"/>
      <c r="P860" s="74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</row>
    <row r="861" spans="1:29">
      <c r="A861" s="321" t="s">
        <v>475</v>
      </c>
      <c r="B861" s="1"/>
      <c r="C861" s="317">
        <f>24-C888</f>
        <v>12</v>
      </c>
      <c r="D861" s="317">
        <v>12</v>
      </c>
      <c r="E861" s="332">
        <f>E851</f>
        <v>1450</v>
      </c>
      <c r="F861" s="332"/>
      <c r="G861" s="319">
        <f>ROUND(E861*$C861*$E$803,0)</f>
        <v>-174</v>
      </c>
      <c r="H861" s="319">
        <f>ROUND(E861*$D861*$E$803,0)</f>
        <v>-174</v>
      </c>
      <c r="I861" s="332">
        <f>I851</f>
        <v>1600</v>
      </c>
      <c r="J861" s="319"/>
      <c r="K861" s="319">
        <f>ROUND(I861*$C861*$E$803,0)</f>
        <v>-192</v>
      </c>
      <c r="M861" s="20"/>
      <c r="N861" s="20"/>
      <c r="O861" s="74"/>
      <c r="P861" s="74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</row>
    <row r="862" spans="1:29">
      <c r="A862" s="321" t="s">
        <v>476</v>
      </c>
      <c r="B862" s="1"/>
      <c r="C862" s="317">
        <v>28129</v>
      </c>
      <c r="D862" s="317">
        <f>ROUND(($D$869/$C$869)*C862,0)</f>
        <v>74322</v>
      </c>
      <c r="E862" s="332">
        <f>E853</f>
        <v>0.91</v>
      </c>
      <c r="F862" s="332"/>
      <c r="G862" s="319">
        <f>ROUND(E862*$C862*$E$803,0)</f>
        <v>-256</v>
      </c>
      <c r="H862" s="319">
        <f>ROUND(E862*$D862*$E$803,0)</f>
        <v>-676</v>
      </c>
      <c r="I862" s="332">
        <f>I853</f>
        <v>1.01</v>
      </c>
      <c r="J862" s="319"/>
      <c r="K862" s="319">
        <f>ROUND(I862*$C862*$E$803,0)</f>
        <v>-284</v>
      </c>
      <c r="M862" s="20"/>
      <c r="N862" s="20"/>
      <c r="O862" s="74"/>
      <c r="P862" s="74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</row>
    <row r="863" spans="1:29">
      <c r="A863" s="321" t="s">
        <v>477</v>
      </c>
      <c r="B863" s="1"/>
      <c r="C863" s="317">
        <f>724727-C881</f>
        <v>58934</v>
      </c>
      <c r="D863" s="317">
        <f>ROUND(($D$869/$C$869)*C863,0)</f>
        <v>155714</v>
      </c>
      <c r="E863" s="332">
        <f>E854</f>
        <v>0.83</v>
      </c>
      <c r="F863" s="332"/>
      <c r="G863" s="319">
        <f>ROUND(E863*$C863*$E$803,0)</f>
        <v>-489</v>
      </c>
      <c r="H863" s="319">
        <f>ROUND(E863*$D863*$E$803,0)</f>
        <v>-1292</v>
      </c>
      <c r="I863" s="332">
        <f>I854</f>
        <v>0.92</v>
      </c>
      <c r="J863" s="319"/>
      <c r="K863" s="319">
        <f>ROUND(I863*$C863*$E$803,0)</f>
        <v>-542</v>
      </c>
      <c r="M863" s="20"/>
      <c r="N863" s="20"/>
      <c r="O863" s="74"/>
      <c r="P863" s="74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</row>
    <row r="864" spans="1:29">
      <c r="A864" s="307" t="s">
        <v>406</v>
      </c>
      <c r="B864" s="378"/>
      <c r="C864" s="317">
        <f>23089+708283-C882</f>
        <v>78746</v>
      </c>
      <c r="D864" s="317">
        <f>ROUND(($D$869/$C$869)*C864,0)</f>
        <v>208061</v>
      </c>
      <c r="E864" s="332">
        <f>E855</f>
        <v>6.03</v>
      </c>
      <c r="F864" s="335"/>
      <c r="G864" s="319">
        <f>ROUND(E864*$C864*$E$803,0)</f>
        <v>-4748</v>
      </c>
      <c r="H864" s="319">
        <f>ROUND(E864*$D864*$E$803,0)</f>
        <v>-12546</v>
      </c>
      <c r="I864" s="332">
        <f>I855</f>
        <v>6.53</v>
      </c>
      <c r="J864" s="319"/>
      <c r="K864" s="319">
        <f>ROUND(I864*$C864*$E$803,0)</f>
        <v>-5142</v>
      </c>
      <c r="M864" s="20"/>
      <c r="N864" s="20"/>
      <c r="O864" s="74"/>
      <c r="P864" s="74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</row>
    <row r="865" spans="1:29">
      <c r="A865" s="321" t="s">
        <v>467</v>
      </c>
      <c r="B865" s="1"/>
      <c r="C865" s="317">
        <f>5533801+468455800-C884</f>
        <v>36664801</v>
      </c>
      <c r="D865" s="317">
        <f>ROUND(($D$869/$C$869)*C865,0)</f>
        <v>96874759</v>
      </c>
      <c r="E865" s="333">
        <f>E857</f>
        <v>3.4990000000000001</v>
      </c>
      <c r="F865" s="319" t="s">
        <v>377</v>
      </c>
      <c r="G865" s="319">
        <f>ROUND(E865/100*$C865*$E$803,0)</f>
        <v>-12829</v>
      </c>
      <c r="H865" s="319">
        <f>ROUND(E865/100*$D865*$E$803,0)</f>
        <v>-33896</v>
      </c>
      <c r="I865" s="333">
        <f>I857</f>
        <v>3.8719999999999999</v>
      </c>
      <c r="J865" s="319" t="s">
        <v>377</v>
      </c>
      <c r="K865" s="319">
        <f>ROUND(I865/100*$C865*$E$803,0)</f>
        <v>-14197</v>
      </c>
      <c r="M865" s="20"/>
      <c r="N865" s="20"/>
      <c r="O865" s="74"/>
      <c r="P865" s="74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</row>
    <row r="866" spans="1:29">
      <c r="A866" s="321" t="s">
        <v>403</v>
      </c>
      <c r="B866" s="1"/>
      <c r="C866" s="317">
        <f>6402+185242-C885</f>
        <v>22428</v>
      </c>
      <c r="D866" s="317">
        <f>ROUND(($D$869/$C$869)*C866,0)</f>
        <v>59259</v>
      </c>
      <c r="E866" s="382">
        <f>E858</f>
        <v>0.45</v>
      </c>
      <c r="F866" s="319"/>
      <c r="G866" s="319">
        <f>ROUND(E866*$C866*$E$803,0)</f>
        <v>-101</v>
      </c>
      <c r="H866" s="319">
        <f>ROUND(E866*$D866*$E$803,0)</f>
        <v>-267</v>
      </c>
      <c r="I866" s="382">
        <f>I858</f>
        <v>0.5</v>
      </c>
      <c r="J866" s="319"/>
      <c r="K866" s="319">
        <f>ROUND(I866*$C866*$E$803,0)</f>
        <v>-112</v>
      </c>
      <c r="M866" s="20"/>
      <c r="N866" s="20"/>
      <c r="O866" s="74"/>
      <c r="P866" s="74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</row>
    <row r="867" spans="1:29">
      <c r="A867" s="307" t="s">
        <v>478</v>
      </c>
      <c r="B867" s="1"/>
      <c r="C867" s="317">
        <f>24+24-C894</f>
        <v>36</v>
      </c>
      <c r="D867" s="317">
        <v>37</v>
      </c>
      <c r="E867" s="335">
        <f>$E$811</f>
        <v>60</v>
      </c>
      <c r="F867" s="335"/>
      <c r="G867" s="319">
        <f>ROUND(E867*$C867,0)</f>
        <v>2160</v>
      </c>
      <c r="H867" s="319">
        <f>ROUND(E867*$D867,0)</f>
        <v>2220</v>
      </c>
      <c r="I867" s="335">
        <f>$I$811</f>
        <v>60</v>
      </c>
      <c r="J867" s="319"/>
      <c r="K867" s="319">
        <f>ROUND(I867*$C867,0)</f>
        <v>2160</v>
      </c>
      <c r="M867" s="20"/>
      <c r="N867" s="20"/>
      <c r="O867" s="74"/>
      <c r="P867" s="74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</row>
    <row r="868" spans="1:29">
      <c r="A868" s="307" t="s">
        <v>447</v>
      </c>
      <c r="B868" s="1"/>
      <c r="C868" s="317">
        <f>28129+724727-C895</f>
        <v>87063</v>
      </c>
      <c r="D868" s="317">
        <f>ROUND(($D$869/$C$869)*C868,0)</f>
        <v>230036</v>
      </c>
      <c r="E868" s="335">
        <f>$E$812</f>
        <v>-0.75</v>
      </c>
      <c r="F868" s="319"/>
      <c r="G868" s="319">
        <f>ROUND(E868*$C868,0)</f>
        <v>-65297</v>
      </c>
      <c r="H868" s="319">
        <f>ROUND(E868*$D868,0)</f>
        <v>-172527</v>
      </c>
      <c r="I868" s="335">
        <f>$I$812</f>
        <v>-0.75</v>
      </c>
      <c r="J868" s="319"/>
      <c r="K868" s="319">
        <f>ROUND(I868*$C868,0)</f>
        <v>-65297</v>
      </c>
      <c r="M868" s="20"/>
      <c r="N868" s="20"/>
      <c r="O868" s="74"/>
      <c r="P868" s="74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</row>
    <row r="869" spans="1:29">
      <c r="A869" s="1" t="s">
        <v>384</v>
      </c>
      <c r="B869" s="1"/>
      <c r="C869" s="317">
        <f>C857</f>
        <v>269572806</v>
      </c>
      <c r="D869" s="317">
        <v>712258072.33019459</v>
      </c>
      <c r="E869" s="328"/>
      <c r="F869" s="2"/>
      <c r="G869" s="2">
        <f>SUM(G850:G868)</f>
        <v>14029547</v>
      </c>
      <c r="H869" s="2">
        <f>SUM(H850:H868)</f>
        <v>36284799</v>
      </c>
      <c r="I869" s="328"/>
      <c r="J869" s="1"/>
      <c r="K869" s="2">
        <f>SUM(K850:K868)</f>
        <v>15449371</v>
      </c>
      <c r="M869" s="20"/>
      <c r="N869" s="20"/>
      <c r="O869" s="74"/>
      <c r="P869" s="74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</row>
    <row r="870" spans="1:29">
      <c r="A870" s="1" t="s">
        <v>366</v>
      </c>
      <c r="B870" s="1"/>
      <c r="C870" s="317" t="e">
        <f>#REF!</f>
        <v>#REF!</v>
      </c>
      <c r="D870" s="317">
        <v>0</v>
      </c>
      <c r="E870" s="307"/>
      <c r="F870" s="307"/>
      <c r="G870" s="339" t="e">
        <f>#REF!</f>
        <v>#REF!</v>
      </c>
      <c r="H870" s="339">
        <v>0</v>
      </c>
      <c r="I870" s="307"/>
      <c r="J870" s="307"/>
      <c r="K870" s="339" t="e">
        <f>G870</f>
        <v>#REF!</v>
      </c>
      <c r="M870" s="442"/>
      <c r="N870" s="442"/>
      <c r="O870" s="285"/>
      <c r="P870" s="74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</row>
    <row r="871" spans="1:29" ht="16.5" thickBot="1">
      <c r="A871" s="1" t="s">
        <v>385</v>
      </c>
      <c r="B871" s="1"/>
      <c r="C871" s="391" t="e">
        <f>SUM(C869)+C870</f>
        <v>#REF!</v>
      </c>
      <c r="D871" s="391">
        <f>SUM(D857)+D870</f>
        <v>712258072</v>
      </c>
      <c r="E871" s="340"/>
      <c r="F871" s="341"/>
      <c r="G871" s="342" t="e">
        <f>G869+G870</f>
        <v>#REF!</v>
      </c>
      <c r="H871" s="342">
        <f>H869+H870</f>
        <v>36284799</v>
      </c>
      <c r="I871" s="340"/>
      <c r="J871" s="343"/>
      <c r="K871" s="342" t="e">
        <f>K869+K870</f>
        <v>#REF!</v>
      </c>
      <c r="M871" s="409"/>
      <c r="N871" s="409"/>
      <c r="O871" s="468"/>
      <c r="P871" s="74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</row>
    <row r="872" spans="1:29" ht="16.5" thickTop="1">
      <c r="A872" s="1"/>
      <c r="B872" s="1"/>
      <c r="C872" s="21"/>
      <c r="D872" s="21"/>
      <c r="E872" s="335"/>
      <c r="F872" s="2"/>
      <c r="G872" s="2"/>
      <c r="H872" s="2"/>
      <c r="I872" s="351" t="s">
        <v>31</v>
      </c>
      <c r="J872" s="1"/>
      <c r="K872" s="2" t="s">
        <v>31</v>
      </c>
      <c r="M872" s="20"/>
      <c r="N872" s="20"/>
      <c r="O872" s="74"/>
      <c r="P872" s="74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</row>
    <row r="873" spans="1:29">
      <c r="A873" s="291" t="s">
        <v>590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20"/>
      <c r="N873" s="20"/>
      <c r="O873" s="74"/>
      <c r="P873" s="74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</row>
    <row r="874" spans="1:29">
      <c r="A874" s="307" t="s">
        <v>626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20"/>
      <c r="N874" s="20"/>
      <c r="O874" s="74"/>
      <c r="P874" s="74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</row>
    <row r="875" spans="1:29">
      <c r="A875" s="321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20"/>
      <c r="N875" s="20"/>
      <c r="O875" s="74"/>
      <c r="P875" s="74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</row>
    <row r="876" spans="1:29">
      <c r="A876" s="321" t="s">
        <v>396</v>
      </c>
      <c r="B876" s="1"/>
      <c r="C876" s="317"/>
      <c r="D876" s="317"/>
      <c r="E876" s="2"/>
      <c r="F876" s="2"/>
      <c r="G876" s="1"/>
      <c r="H876" s="1"/>
      <c r="I876" s="2"/>
      <c r="J876" s="1"/>
      <c r="K876" s="1"/>
      <c r="M876" s="20"/>
      <c r="N876" s="20"/>
      <c r="P876" s="74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</row>
    <row r="877" spans="1:29">
      <c r="A877" s="321" t="s">
        <v>474</v>
      </c>
      <c r="B877" s="1"/>
      <c r="C877" s="317">
        <v>0</v>
      </c>
      <c r="D877" s="317">
        <v>0</v>
      </c>
      <c r="E877" s="335">
        <f>$E$766</f>
        <v>1205</v>
      </c>
      <c r="F877" s="335"/>
      <c r="G877" s="2">
        <f>ROUND(E877*$C877,0)</f>
        <v>0</v>
      </c>
      <c r="H877" s="2">
        <f>ROUND(E877*$D877,0)</f>
        <v>0</v>
      </c>
      <c r="I877" s="335">
        <v>1330</v>
      </c>
      <c r="J877" s="319"/>
      <c r="K877" s="2">
        <f>ROUND(I877*$C877,0)</f>
        <v>0</v>
      </c>
      <c r="M877" s="20"/>
      <c r="N877" s="20"/>
      <c r="O877" s="14">
        <f>(I877-E877)/E877</f>
        <v>0.1037344398340249</v>
      </c>
      <c r="P877" s="74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</row>
    <row r="878" spans="1:29">
      <c r="A878" s="321" t="s">
        <v>475</v>
      </c>
      <c r="B878" s="1"/>
      <c r="C878" s="317">
        <v>12</v>
      </c>
      <c r="D878" s="317">
        <v>12</v>
      </c>
      <c r="E878" s="335">
        <f>$E$767</f>
        <v>1450</v>
      </c>
      <c r="F878" s="335"/>
      <c r="G878" s="2">
        <f>ROUND(E878*$C878,0)</f>
        <v>17400</v>
      </c>
      <c r="H878" s="2">
        <f>ROUND(E878*$D878,0)</f>
        <v>17400</v>
      </c>
      <c r="I878" s="335">
        <v>1550</v>
      </c>
      <c r="J878" s="322"/>
      <c r="K878" s="2">
        <f>ROUND(I878*$C878,0)</f>
        <v>18600</v>
      </c>
      <c r="M878" s="20"/>
      <c r="N878" s="20"/>
      <c r="O878" s="14">
        <f>(I878-E878)/E878</f>
        <v>6.8965517241379309E-2</v>
      </c>
      <c r="P878" s="74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</row>
    <row r="879" spans="1:29">
      <c r="A879" s="321" t="s">
        <v>397</v>
      </c>
      <c r="B879" s="1"/>
      <c r="C879" s="317">
        <f>SUM(C877:C878)</f>
        <v>12</v>
      </c>
      <c r="D879" s="317">
        <v>12</v>
      </c>
      <c r="E879" s="335" t="s">
        <v>31</v>
      </c>
      <c r="F879" s="335"/>
      <c r="G879" s="2" t="s">
        <v>31</v>
      </c>
      <c r="H879" s="2" t="s">
        <v>31</v>
      </c>
      <c r="I879" s="335" t="s">
        <v>31</v>
      </c>
      <c r="J879" s="319"/>
      <c r="K879" s="2" t="s">
        <v>31</v>
      </c>
      <c r="M879" s="20"/>
      <c r="N879" s="20"/>
      <c r="O879" s="318"/>
      <c r="P879" s="74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</row>
    <row r="880" spans="1:29">
      <c r="A880" s="321" t="s">
        <v>476</v>
      </c>
      <c r="B880" s="1"/>
      <c r="C880" s="317">
        <v>0</v>
      </c>
      <c r="D880" s="317">
        <v>0</v>
      </c>
      <c r="E880" s="335">
        <f>$E$769</f>
        <v>0.91</v>
      </c>
      <c r="F880" s="335"/>
      <c r="G880" s="2">
        <f>ROUND(E880*$C880,0)</f>
        <v>0</v>
      </c>
      <c r="H880" s="2">
        <f>ROUND(E880*$D880,0)</f>
        <v>0</v>
      </c>
      <c r="I880" s="335">
        <v>1.01</v>
      </c>
      <c r="J880" s="319"/>
      <c r="K880" s="2">
        <f>ROUND(I880*$C880,0)</f>
        <v>0</v>
      </c>
      <c r="M880" s="20"/>
      <c r="N880" s="20"/>
      <c r="O880" s="14">
        <f>(I880-E880)/E880</f>
        <v>0.10989010989010986</v>
      </c>
      <c r="P880" s="74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</row>
    <row r="881" spans="1:29">
      <c r="A881" s="321" t="s">
        <v>477</v>
      </c>
      <c r="B881" s="1"/>
      <c r="C881" s="317">
        <v>665793</v>
      </c>
      <c r="D881" s="317">
        <f>ROUND(($D$896/$C$896)*C881,0)</f>
        <v>40311</v>
      </c>
      <c r="E881" s="335">
        <f>$E$770</f>
        <v>0.83</v>
      </c>
      <c r="F881" s="335"/>
      <c r="G881" s="2">
        <f>ROUND(E881*$C881,0)</f>
        <v>552608</v>
      </c>
      <c r="H881" s="2">
        <f>ROUND(E881*$D881,0)</f>
        <v>33458</v>
      </c>
      <c r="I881" s="335">
        <v>0.88</v>
      </c>
      <c r="J881" s="319"/>
      <c r="K881" s="2">
        <f>ROUND(I881*$C881,0)</f>
        <v>585898</v>
      </c>
      <c r="M881" s="20"/>
      <c r="N881" s="20"/>
      <c r="O881" s="14">
        <f>(I881-E881)/E881</f>
        <v>6.0240963855421742E-2</v>
      </c>
      <c r="P881" s="74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</row>
    <row r="882" spans="1:29">
      <c r="A882" s="307" t="s">
        <v>406</v>
      </c>
      <c r="B882" s="1"/>
      <c r="C882" s="317">
        <v>652626</v>
      </c>
      <c r="D882" s="317">
        <f>ROUND(($D$896/$C$896)*C882,0)</f>
        <v>39514</v>
      </c>
      <c r="E882" s="335">
        <f>$E$771</f>
        <v>6.03</v>
      </c>
      <c r="F882" s="335"/>
      <c r="G882" s="2">
        <f>ROUND(E882*$C882,0)</f>
        <v>3935335</v>
      </c>
      <c r="H882" s="2">
        <f>ROUND(E882*$D882,0)</f>
        <v>238269</v>
      </c>
      <c r="I882" s="335">
        <v>6.54</v>
      </c>
      <c r="J882" s="319"/>
      <c r="K882" s="2">
        <f>ROUND(I882*$C882,0)</f>
        <v>4268174</v>
      </c>
      <c r="M882" s="20"/>
      <c r="N882" s="20"/>
      <c r="O882" s="14">
        <f>(I882-E882)/E882</f>
        <v>8.4577114427860658E-2</v>
      </c>
      <c r="P882" s="74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</row>
    <row r="883" spans="1:29">
      <c r="A883" s="321" t="s">
        <v>429</v>
      </c>
      <c r="B883" s="1"/>
      <c r="C883" s="273" t="s">
        <v>31</v>
      </c>
      <c r="D883" s="317"/>
      <c r="E883" s="335" t="s">
        <v>31</v>
      </c>
      <c r="F883" s="335"/>
      <c r="G883" s="2"/>
      <c r="H883" s="2"/>
      <c r="I883" s="335" t="s">
        <v>31</v>
      </c>
      <c r="J883" s="319"/>
      <c r="K883" s="2"/>
      <c r="M883" s="20"/>
      <c r="N883" s="20"/>
      <c r="O883" s="318"/>
      <c r="P883" s="74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</row>
    <row r="884" spans="1:29">
      <c r="A884" s="321" t="s">
        <v>467</v>
      </c>
      <c r="B884" s="1"/>
      <c r="C884" s="317">
        <v>437324800</v>
      </c>
      <c r="D884" s="317">
        <f>ROUND(($D$896/$C$896)*C884,0)</f>
        <v>26478236</v>
      </c>
      <c r="E884" s="393">
        <f>$E$773</f>
        <v>3.4990000000000001</v>
      </c>
      <c r="F884" s="319" t="s">
        <v>377</v>
      </c>
      <c r="G884" s="2">
        <f>ROUND(E884/100*$C884,0)</f>
        <v>15301995</v>
      </c>
      <c r="H884" s="2">
        <f>ROUND(E884/100*$D884,0)</f>
        <v>926473</v>
      </c>
      <c r="I884" s="393">
        <v>3.8660000000000001</v>
      </c>
      <c r="J884" s="319" t="s">
        <v>377</v>
      </c>
      <c r="K884" s="2">
        <f>ROUND(I884/100*$C884,0)</f>
        <v>16906977</v>
      </c>
      <c r="M884" s="20"/>
      <c r="N884" s="20"/>
      <c r="O884" s="14">
        <f>(I884-E884)/E884</f>
        <v>0.10488711060302944</v>
      </c>
      <c r="P884" s="74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</row>
    <row r="885" spans="1:29">
      <c r="A885" s="321" t="s">
        <v>403</v>
      </c>
      <c r="B885" s="1"/>
      <c r="C885" s="317">
        <v>169216</v>
      </c>
      <c r="D885" s="317">
        <f>ROUND(($D$896/$C$896)*C885,0)</f>
        <v>10245</v>
      </c>
      <c r="E885" s="335">
        <f>$E$774</f>
        <v>0.45</v>
      </c>
      <c r="F885" s="319"/>
      <c r="G885" s="2">
        <f>ROUND(E885*$C885,0)</f>
        <v>76147</v>
      </c>
      <c r="H885" s="2">
        <f>ROUND(E885*$D885,0)</f>
        <v>4610</v>
      </c>
      <c r="I885" s="335">
        <v>0.5</v>
      </c>
      <c r="J885" s="319"/>
      <c r="K885" s="2">
        <f>ROUND(I885*$C885,0)</f>
        <v>84608</v>
      </c>
      <c r="M885" s="20"/>
      <c r="N885" s="20"/>
      <c r="O885" s="14">
        <f>(I885-E885)/E885</f>
        <v>0.11111111111111108</v>
      </c>
      <c r="P885" s="74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</row>
    <row r="886" spans="1:29">
      <c r="A886" s="358" t="s">
        <v>404</v>
      </c>
      <c r="B886" s="1"/>
      <c r="C886" s="317"/>
      <c r="D886" s="317"/>
      <c r="E886" s="330">
        <v>-0.01</v>
      </c>
      <c r="F886" s="330"/>
      <c r="G886" s="2"/>
      <c r="H886" s="2"/>
      <c r="I886" s="330">
        <v>-0.01</v>
      </c>
      <c r="J886" s="359"/>
      <c r="K886" s="2"/>
      <c r="M886" s="20"/>
      <c r="N886" s="20"/>
      <c r="O886" s="74"/>
      <c r="P886" s="74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</row>
    <row r="887" spans="1:29">
      <c r="A887" s="321" t="s">
        <v>474</v>
      </c>
      <c r="B887" s="1"/>
      <c r="C887" s="317">
        <v>0</v>
      </c>
      <c r="D887" s="317">
        <v>0</v>
      </c>
      <c r="E887" s="332">
        <f>E877</f>
        <v>1205</v>
      </c>
      <c r="F887" s="332"/>
      <c r="G887" s="319">
        <f>ROUND(E887*$C887*$E$803,0)</f>
        <v>0</v>
      </c>
      <c r="H887" s="319">
        <f>ROUND(E887*$D887*$E$803,0)</f>
        <v>0</v>
      </c>
      <c r="I887" s="332">
        <f>I877</f>
        <v>1330</v>
      </c>
      <c r="J887" s="319"/>
      <c r="K887" s="319">
        <f>ROUND(I887*$C887*$E$803,0)</f>
        <v>0</v>
      </c>
      <c r="M887" s="20"/>
      <c r="N887" s="20"/>
      <c r="O887" s="74"/>
      <c r="P887" s="74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</row>
    <row r="888" spans="1:29">
      <c r="A888" s="321" t="s">
        <v>475</v>
      </c>
      <c r="B888" s="1"/>
      <c r="C888" s="317">
        <v>12</v>
      </c>
      <c r="D888" s="317">
        <v>12</v>
      </c>
      <c r="E888" s="332">
        <f>E878</f>
        <v>1450</v>
      </c>
      <c r="F888" s="332"/>
      <c r="G888" s="319">
        <f>ROUND(E888*$C888*$E$803,0)</f>
        <v>-174</v>
      </c>
      <c r="H888" s="319">
        <f>ROUND(E888*$D888*$E$803,0)</f>
        <v>-174</v>
      </c>
      <c r="I888" s="332">
        <f>I878</f>
        <v>1550</v>
      </c>
      <c r="J888" s="319"/>
      <c r="K888" s="319">
        <f>ROUND(I888*$C888*$E$803,0)</f>
        <v>-186</v>
      </c>
      <c r="M888" s="20"/>
      <c r="N888" s="20"/>
      <c r="O888" s="69" t="e">
        <f>O898-K898</f>
        <v>#REF!</v>
      </c>
      <c r="P888" s="74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</row>
    <row r="889" spans="1:29">
      <c r="A889" s="321" t="s">
        <v>476</v>
      </c>
      <c r="B889" s="1"/>
      <c r="C889" s="317">
        <v>0</v>
      </c>
      <c r="D889" s="317">
        <v>0</v>
      </c>
      <c r="E889" s="332">
        <f>E880</f>
        <v>0.91</v>
      </c>
      <c r="F889" s="332"/>
      <c r="G889" s="319">
        <f>ROUND(E889*$C889*$E$803,0)</f>
        <v>0</v>
      </c>
      <c r="H889" s="319">
        <f>ROUND(E889*$D889*$E$803,0)</f>
        <v>0</v>
      </c>
      <c r="I889" s="332">
        <f>I880</f>
        <v>1.01</v>
      </c>
      <c r="J889" s="319"/>
      <c r="K889" s="319">
        <f>ROUND(I889*$C889*$E$803,0)</f>
        <v>0</v>
      </c>
      <c r="M889" s="20"/>
      <c r="N889" s="20"/>
      <c r="O889" s="74"/>
      <c r="P889" s="74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</row>
    <row r="890" spans="1:29">
      <c r="A890" s="321" t="s">
        <v>477</v>
      </c>
      <c r="B890" s="1"/>
      <c r="C890" s="317">
        <f>C881</f>
        <v>665793</v>
      </c>
      <c r="D890" s="317">
        <f>ROUND(($D$896/$C$896)*C890,0)</f>
        <v>40311</v>
      </c>
      <c r="E890" s="332">
        <f>E881</f>
        <v>0.83</v>
      </c>
      <c r="F890" s="332"/>
      <c r="G890" s="319">
        <f>ROUND(E890*$C890*$E$803,0)</f>
        <v>-5526</v>
      </c>
      <c r="H890" s="319">
        <f>ROUND(E890*$D890*$E$803,0)</f>
        <v>-335</v>
      </c>
      <c r="I890" s="332">
        <f>I881</f>
        <v>0.88</v>
      </c>
      <c r="J890" s="319"/>
      <c r="K890" s="319">
        <f>ROUND(I890*$C890*$E$803,0)</f>
        <v>-5859</v>
      </c>
      <c r="M890" s="20"/>
      <c r="N890" s="20"/>
      <c r="O890" s="74"/>
      <c r="P890" s="74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</row>
    <row r="891" spans="1:29">
      <c r="A891" s="307" t="s">
        <v>406</v>
      </c>
      <c r="B891" s="378"/>
      <c r="C891" s="317">
        <f>C882</f>
        <v>652626</v>
      </c>
      <c r="D891" s="317">
        <f>ROUND(($D$896/$C$896)*C891,0)</f>
        <v>39514</v>
      </c>
      <c r="E891" s="332">
        <f>E882</f>
        <v>6.03</v>
      </c>
      <c r="F891" s="335"/>
      <c r="G891" s="319">
        <f>ROUND(E891*$C891*$E$803,0)</f>
        <v>-39353</v>
      </c>
      <c r="H891" s="319">
        <f>ROUND(E891*$D891*$E$803,0)</f>
        <v>-2383</v>
      </c>
      <c r="I891" s="332">
        <f>I882</f>
        <v>6.54</v>
      </c>
      <c r="J891" s="319"/>
      <c r="K891" s="319">
        <f>ROUND(I891*$C891*$E$803,0)</f>
        <v>-42682</v>
      </c>
      <c r="M891" s="20"/>
      <c r="N891" s="20"/>
      <c r="O891" s="74"/>
      <c r="P891" s="74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</row>
    <row r="892" spans="1:29">
      <c r="A892" s="321" t="s">
        <v>467</v>
      </c>
      <c r="B892" s="1"/>
      <c r="C892" s="317">
        <f>C884</f>
        <v>437324800</v>
      </c>
      <c r="D892" s="317">
        <f>ROUND(($D$896/$C$896)*C892,0)</f>
        <v>26478236</v>
      </c>
      <c r="E892" s="333">
        <f>E884</f>
        <v>3.4990000000000001</v>
      </c>
      <c r="F892" s="319" t="s">
        <v>377</v>
      </c>
      <c r="G892" s="319">
        <f>ROUND(E892/100*$C892*$E$803,0)</f>
        <v>-153020</v>
      </c>
      <c r="H892" s="319">
        <f>ROUND(E892/100*$D892*$E$803,0)</f>
        <v>-9265</v>
      </c>
      <c r="I892" s="333">
        <f>I884</f>
        <v>3.8660000000000001</v>
      </c>
      <c r="J892" s="319" t="s">
        <v>377</v>
      </c>
      <c r="K892" s="319">
        <f>ROUND(I892/100*$C892*$E$803,0)</f>
        <v>-169070</v>
      </c>
      <c r="M892" s="20"/>
      <c r="N892" s="20"/>
      <c r="O892" s="74"/>
      <c r="P892" s="74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</row>
    <row r="893" spans="1:29">
      <c r="A893" s="321" t="s">
        <v>403</v>
      </c>
      <c r="B893" s="1"/>
      <c r="C893" s="317">
        <f>C885</f>
        <v>169216</v>
      </c>
      <c r="D893" s="317">
        <f>ROUND(($D$896/$C$896)*C893,0)</f>
        <v>10245</v>
      </c>
      <c r="E893" s="382">
        <f>E885</f>
        <v>0.45</v>
      </c>
      <c r="F893" s="319"/>
      <c r="G893" s="319">
        <f>ROUND(E893*$C893*$E$803,0)</f>
        <v>-761</v>
      </c>
      <c r="H893" s="319">
        <f>ROUND(E893*$D893*$E$803,0)</f>
        <v>-46</v>
      </c>
      <c r="I893" s="382">
        <f>I885</f>
        <v>0.5</v>
      </c>
      <c r="J893" s="319"/>
      <c r="K893" s="319">
        <f>ROUND(I893*$C893*$E$803,0)</f>
        <v>-846</v>
      </c>
      <c r="M893" s="20"/>
      <c r="N893" s="20"/>
      <c r="O893" s="74"/>
      <c r="P893" s="74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</row>
    <row r="894" spans="1:29">
      <c r="A894" s="307" t="s">
        <v>478</v>
      </c>
      <c r="B894" s="1"/>
      <c r="C894" s="317">
        <v>12</v>
      </c>
      <c r="D894" s="317">
        <v>12</v>
      </c>
      <c r="E894" s="335">
        <f>$E$783</f>
        <v>60</v>
      </c>
      <c r="F894" s="335"/>
      <c r="G894" s="319">
        <f>ROUND(E894*$C894,0)</f>
        <v>720</v>
      </c>
      <c r="H894" s="319">
        <f>ROUND(E894*$D894,0)</f>
        <v>720</v>
      </c>
      <c r="I894" s="335">
        <f>$I$783</f>
        <v>60</v>
      </c>
      <c r="J894" s="319"/>
      <c r="K894" s="319">
        <f>ROUND(I894*$C894,0)</f>
        <v>720</v>
      </c>
      <c r="M894" s="20"/>
      <c r="N894" s="20"/>
      <c r="O894" s="74"/>
      <c r="P894" s="74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</row>
    <row r="895" spans="1:29">
      <c r="A895" s="307" t="s">
        <v>447</v>
      </c>
      <c r="B895" s="1"/>
      <c r="C895" s="317">
        <f>C881</f>
        <v>665793</v>
      </c>
      <c r="D895" s="317">
        <f>ROUND(($D$896/$C$896)*C895,0)</f>
        <v>40311</v>
      </c>
      <c r="E895" s="335">
        <f>$E$784</f>
        <v>-0.75</v>
      </c>
      <c r="F895" s="319"/>
      <c r="G895" s="319">
        <f>ROUND(E895*$C895,0)</f>
        <v>-499345</v>
      </c>
      <c r="H895" s="319">
        <f>ROUND(E895*$D895,0)</f>
        <v>-30233</v>
      </c>
      <c r="I895" s="335">
        <f>$I$784</f>
        <v>-0.75</v>
      </c>
      <c r="J895" s="319"/>
      <c r="K895" s="319">
        <f>ROUND(I895*$C895,0)</f>
        <v>-499345</v>
      </c>
      <c r="M895" s="20"/>
      <c r="N895" s="20"/>
      <c r="O895" s="74"/>
      <c r="P895" s="74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</row>
    <row r="896" spans="1:29">
      <c r="A896" s="1" t="s">
        <v>384</v>
      </c>
      <c r="B896" s="1"/>
      <c r="C896" s="317">
        <f>C884</f>
        <v>437324800</v>
      </c>
      <c r="D896" s="317">
        <v>26478236.454041336</v>
      </c>
      <c r="E896" s="328"/>
      <c r="F896" s="2"/>
      <c r="G896" s="2">
        <f>SUM(G877:G895)</f>
        <v>19186026</v>
      </c>
      <c r="H896" s="2">
        <f>SUM(H877:H895)</f>
        <v>1178494</v>
      </c>
      <c r="I896" s="328"/>
      <c r="J896" s="1"/>
      <c r="K896" s="2">
        <f>SUM(K877:K895)</f>
        <v>21146989</v>
      </c>
      <c r="M896" s="20"/>
      <c r="N896" s="20"/>
      <c r="O896" s="74"/>
      <c r="P896" s="74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</row>
    <row r="897" spans="1:29">
      <c r="A897" s="1" t="s">
        <v>366</v>
      </c>
      <c r="B897" s="1"/>
      <c r="C897" s="317" t="e">
        <f>#REF!</f>
        <v>#REF!</v>
      </c>
      <c r="D897" s="317">
        <v>0</v>
      </c>
      <c r="E897" s="307"/>
      <c r="F897" s="307"/>
      <c r="G897" s="339" t="e">
        <f>#REF!</f>
        <v>#REF!</v>
      </c>
      <c r="H897" s="339">
        <v>0</v>
      </c>
      <c r="I897" s="307"/>
      <c r="J897" s="307"/>
      <c r="K897" s="339" t="e">
        <f>G897</f>
        <v>#REF!</v>
      </c>
      <c r="M897" s="442"/>
      <c r="N897" s="442"/>
      <c r="O897" s="285"/>
      <c r="P897" s="74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</row>
    <row r="898" spans="1:29" ht="16.5" thickBot="1">
      <c r="A898" s="1" t="s">
        <v>385</v>
      </c>
      <c r="B898" s="1"/>
      <c r="C898" s="391" t="e">
        <f>SUM(C896)+C897</f>
        <v>#REF!</v>
      </c>
      <c r="D898" s="391">
        <f>SUM(D884)+D897</f>
        <v>26478236</v>
      </c>
      <c r="E898" s="340"/>
      <c r="F898" s="341"/>
      <c r="G898" s="342" t="e">
        <f>G896+G897</f>
        <v>#REF!</v>
      </c>
      <c r="H898" s="342">
        <f>H896+H897</f>
        <v>1178494</v>
      </c>
      <c r="I898" s="340"/>
      <c r="J898" s="343"/>
      <c r="K898" s="342" t="e">
        <f>K896+K897</f>
        <v>#REF!</v>
      </c>
      <c r="M898" s="409"/>
      <c r="N898" s="3" t="s">
        <v>367</v>
      </c>
      <c r="O898" s="69" t="e">
        <f>#REF!*1000</f>
        <v>#REF!</v>
      </c>
      <c r="P898" s="74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</row>
    <row r="899" spans="1:29" ht="16.5" thickTop="1">
      <c r="A899" s="1"/>
      <c r="B899" s="1"/>
      <c r="C899" s="21"/>
      <c r="D899" s="21"/>
      <c r="E899" s="335"/>
      <c r="F899" s="2"/>
      <c r="G899" s="2"/>
      <c r="H899" s="2"/>
      <c r="I899" s="351" t="s">
        <v>31</v>
      </c>
      <c r="J899" s="1"/>
      <c r="K899" s="2" t="s">
        <v>31</v>
      </c>
      <c r="M899" s="20"/>
      <c r="N899" s="3" t="s">
        <v>265</v>
      </c>
      <c r="P899" s="74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</row>
    <row r="900" spans="1:29">
      <c r="A900" s="291" t="s">
        <v>485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20"/>
      <c r="N900" s="20"/>
      <c r="O900" s="74"/>
      <c r="P900" s="74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</row>
    <row r="901" spans="1:29">
      <c r="A901" s="1" t="s">
        <v>597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0"/>
      <c r="Z901" s="20"/>
      <c r="AA901" s="20"/>
      <c r="AB901" s="20"/>
      <c r="AC901" s="20"/>
    </row>
    <row r="902" spans="1:29">
      <c r="A902" s="1" t="s">
        <v>598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0"/>
      <c r="Z902" s="20"/>
      <c r="AA902" s="20"/>
      <c r="AB902" s="20"/>
      <c r="AC902" s="20"/>
    </row>
    <row r="903" spans="1:29">
      <c r="A903" s="1" t="s">
        <v>487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76"/>
      <c r="N903" s="276"/>
      <c r="O903" s="276"/>
      <c r="P903" s="74"/>
      <c r="Q903" s="277"/>
      <c r="R903" s="278"/>
      <c r="S903" s="279"/>
      <c r="T903" s="280"/>
      <c r="U903" s="276"/>
      <c r="V903" s="276"/>
      <c r="W903" s="276"/>
      <c r="X903" s="276"/>
      <c r="Y903" s="20"/>
      <c r="Z903" s="20"/>
      <c r="AA903" s="20"/>
      <c r="AB903" s="20"/>
      <c r="AC903" s="20"/>
    </row>
    <row r="904" spans="1:29">
      <c r="A904" s="3" t="s">
        <v>361</v>
      </c>
      <c r="C904" s="262">
        <f>15020</f>
        <v>15020</v>
      </c>
      <c r="D904" s="262">
        <f t="shared" ref="D904:D913" si="73">ROUND(($D$923/$C$923)*C904,0)</f>
        <v>14891</v>
      </c>
      <c r="E904" s="263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263" t="e">
        <f t="shared" ref="I904:I913" si="76">E904+(E904*$P$925)</f>
        <v>#REF!</v>
      </c>
      <c r="K904" s="2" t="e">
        <f t="shared" ref="K904:K913" si="77">ROUND(I904*$C904,0)</f>
        <v>#REF!</v>
      </c>
      <c r="M904" s="84" t="e">
        <f t="shared" ref="M904:M913" si="78">I904*D904</f>
        <v>#REF!</v>
      </c>
      <c r="O904" s="396">
        <v>31</v>
      </c>
      <c r="P904" s="397">
        <f t="shared" ref="P904:P913" si="79">O904*D904</f>
        <v>461621</v>
      </c>
      <c r="Q904" s="398" t="e">
        <f t="shared" ref="Q904:Q913" si="80">$P$924*O904</f>
        <v>#REF!</v>
      </c>
      <c r="R904" s="399" t="e">
        <f t="shared" ref="R904:R913" si="81">ROUND(E904+Q904,2)</f>
        <v>#REF!</v>
      </c>
      <c r="S904" s="282"/>
      <c r="T904" s="276"/>
      <c r="U904" s="279"/>
      <c r="V904" s="279"/>
      <c r="W904" s="283"/>
      <c r="X904" s="279"/>
      <c r="Y904" s="20"/>
      <c r="Z904" s="20"/>
      <c r="AA904" s="20"/>
      <c r="AB904" s="20"/>
      <c r="AC904" s="20"/>
    </row>
    <row r="905" spans="1:29">
      <c r="A905" s="3" t="s">
        <v>488</v>
      </c>
      <c r="C905" s="262">
        <f>15262</f>
        <v>15262</v>
      </c>
      <c r="D905" s="262">
        <f t="shared" si="73"/>
        <v>15131</v>
      </c>
      <c r="E905" s="263">
        <v>9.1300000000000008</v>
      </c>
      <c r="G905" s="2">
        <f t="shared" si="74"/>
        <v>139342</v>
      </c>
      <c r="H905" s="2">
        <f t="shared" si="75"/>
        <v>138146</v>
      </c>
      <c r="I905" s="263" t="e">
        <f t="shared" si="76"/>
        <v>#REF!</v>
      </c>
      <c r="K905" s="2" t="e">
        <f t="shared" si="77"/>
        <v>#REF!</v>
      </c>
      <c r="M905" s="84" t="e">
        <f t="shared" si="78"/>
        <v>#REF!</v>
      </c>
      <c r="O905" s="400">
        <v>44</v>
      </c>
      <c r="P905" s="74">
        <f t="shared" si="79"/>
        <v>665764</v>
      </c>
      <c r="Q905" s="401" t="e">
        <f t="shared" si="80"/>
        <v>#REF!</v>
      </c>
      <c r="R905" s="402" t="e">
        <f t="shared" si="81"/>
        <v>#REF!</v>
      </c>
      <c r="S905" s="276"/>
      <c r="T905" s="276"/>
      <c r="U905" s="279"/>
      <c r="V905" s="279"/>
      <c r="W905" s="283"/>
      <c r="X905" s="279"/>
      <c r="Y905" s="20"/>
      <c r="Z905" s="20"/>
      <c r="AA905" s="20"/>
      <c r="AB905" s="20"/>
      <c r="AC905" s="20"/>
    </row>
    <row r="906" spans="1:29">
      <c r="A906" s="3" t="s">
        <v>600</v>
      </c>
      <c r="C906" s="262">
        <v>0</v>
      </c>
      <c r="D906" s="262">
        <f t="shared" si="73"/>
        <v>0</v>
      </c>
      <c r="E906" s="263">
        <v>29.01</v>
      </c>
      <c r="G906" s="2">
        <f t="shared" si="74"/>
        <v>0</v>
      </c>
      <c r="H906" s="2">
        <f t="shared" si="75"/>
        <v>0</v>
      </c>
      <c r="I906" s="263" t="e">
        <f t="shared" si="76"/>
        <v>#REF!</v>
      </c>
      <c r="K906" s="2" t="e">
        <f t="shared" si="77"/>
        <v>#REF!</v>
      </c>
      <c r="M906" s="84" t="e">
        <f t="shared" si="78"/>
        <v>#REF!</v>
      </c>
      <c r="O906" s="400">
        <v>44</v>
      </c>
      <c r="P906" s="74">
        <f t="shared" si="79"/>
        <v>0</v>
      </c>
      <c r="Q906" s="401" t="e">
        <f t="shared" si="80"/>
        <v>#REF!</v>
      </c>
      <c r="R906" s="402" t="e">
        <f t="shared" si="81"/>
        <v>#REF!</v>
      </c>
      <c r="S906" s="276"/>
      <c r="T906" s="276"/>
      <c r="U906" s="279"/>
      <c r="V906" s="279"/>
      <c r="W906" s="283"/>
      <c r="X906" s="279"/>
      <c r="Y906" s="20"/>
      <c r="Z906" s="20"/>
      <c r="AA906" s="20"/>
      <c r="AB906" s="20"/>
      <c r="AC906" s="20"/>
    </row>
    <row r="907" spans="1:29">
      <c r="A907" s="3" t="s">
        <v>601</v>
      </c>
      <c r="C907" s="262">
        <v>0</v>
      </c>
      <c r="D907" s="262">
        <f t="shared" si="73"/>
        <v>0</v>
      </c>
      <c r="E907" s="263">
        <v>22.56</v>
      </c>
      <c r="G907" s="2">
        <f t="shared" si="74"/>
        <v>0</v>
      </c>
      <c r="H907" s="2">
        <f t="shared" si="75"/>
        <v>0</v>
      </c>
      <c r="I907" s="263" t="e">
        <f t="shared" si="76"/>
        <v>#REF!</v>
      </c>
      <c r="K907" s="2" t="e">
        <f t="shared" si="77"/>
        <v>#REF!</v>
      </c>
      <c r="M907" s="84" t="e">
        <f t="shared" si="78"/>
        <v>#REF!</v>
      </c>
      <c r="O907" s="400">
        <v>44</v>
      </c>
      <c r="P907" s="74">
        <f t="shared" si="79"/>
        <v>0</v>
      </c>
      <c r="Q907" s="401" t="e">
        <f t="shared" si="80"/>
        <v>#REF!</v>
      </c>
      <c r="R907" s="402" t="e">
        <f t="shared" si="81"/>
        <v>#REF!</v>
      </c>
      <c r="S907" s="276"/>
      <c r="T907" s="276"/>
      <c r="U907" s="279"/>
      <c r="V907" s="279"/>
      <c r="W907" s="283"/>
      <c r="X907" s="279"/>
      <c r="Y907" s="20"/>
      <c r="Z907" s="20"/>
      <c r="AA907" s="20"/>
      <c r="AB907" s="20"/>
      <c r="AC907" s="20"/>
    </row>
    <row r="908" spans="1:29">
      <c r="A908" s="3" t="s">
        <v>595</v>
      </c>
      <c r="C908" s="262">
        <v>0</v>
      </c>
      <c r="D908" s="262">
        <f t="shared" si="73"/>
        <v>0</v>
      </c>
      <c r="E908" s="263">
        <v>11.68</v>
      </c>
      <c r="G908" s="2">
        <f t="shared" si="74"/>
        <v>0</v>
      </c>
      <c r="H908" s="2">
        <f t="shared" si="75"/>
        <v>0</v>
      </c>
      <c r="I908" s="263" t="e">
        <f t="shared" si="76"/>
        <v>#REF!</v>
      </c>
      <c r="K908" s="2" t="e">
        <f t="shared" si="77"/>
        <v>#REF!</v>
      </c>
      <c r="M908" s="84" t="e">
        <f t="shared" si="78"/>
        <v>#REF!</v>
      </c>
      <c r="O908" s="400">
        <v>64</v>
      </c>
      <c r="P908" s="74">
        <f t="shared" si="79"/>
        <v>0</v>
      </c>
      <c r="Q908" s="401" t="e">
        <f t="shared" si="80"/>
        <v>#REF!</v>
      </c>
      <c r="R908" s="402" t="e">
        <f t="shared" si="81"/>
        <v>#REF!</v>
      </c>
      <c r="S908" s="276"/>
      <c r="T908" s="276"/>
      <c r="U908" s="279"/>
      <c r="V908" s="279"/>
      <c r="W908" s="283"/>
      <c r="X908" s="279"/>
      <c r="Y908" s="20"/>
      <c r="Z908" s="20"/>
      <c r="AA908" s="20"/>
      <c r="AB908" s="20"/>
      <c r="AC908" s="20"/>
    </row>
    <row r="909" spans="1:29">
      <c r="A909" s="3" t="s">
        <v>602</v>
      </c>
      <c r="C909" s="262">
        <v>0</v>
      </c>
      <c r="D909" s="262">
        <f t="shared" si="73"/>
        <v>0</v>
      </c>
      <c r="E909" s="263">
        <v>30.06</v>
      </c>
      <c r="G909" s="2">
        <f t="shared" si="74"/>
        <v>0</v>
      </c>
      <c r="H909" s="2">
        <f t="shared" si="75"/>
        <v>0</v>
      </c>
      <c r="I909" s="263" t="e">
        <f t="shared" si="76"/>
        <v>#REF!</v>
      </c>
      <c r="K909" s="2" t="e">
        <f t="shared" si="77"/>
        <v>#REF!</v>
      </c>
      <c r="M909" s="84" t="e">
        <f t="shared" si="78"/>
        <v>#REF!</v>
      </c>
      <c r="O909" s="400">
        <v>64</v>
      </c>
      <c r="P909" s="74">
        <f t="shared" si="79"/>
        <v>0</v>
      </c>
      <c r="Q909" s="401" t="e">
        <f t="shared" si="80"/>
        <v>#REF!</v>
      </c>
      <c r="R909" s="402" t="e">
        <f t="shared" si="81"/>
        <v>#REF!</v>
      </c>
      <c r="S909" s="276"/>
      <c r="T909" s="276"/>
      <c r="U909" s="279"/>
      <c r="V909" s="279"/>
      <c r="W909" s="283"/>
      <c r="X909" s="279"/>
      <c r="Y909" s="20"/>
      <c r="Z909" s="20"/>
      <c r="AA909" s="20"/>
      <c r="AB909" s="20"/>
      <c r="AC909" s="20"/>
    </row>
    <row r="910" spans="1:29">
      <c r="A910" s="3" t="s">
        <v>603</v>
      </c>
      <c r="C910" s="262">
        <v>0</v>
      </c>
      <c r="D910" s="262">
        <f t="shared" si="73"/>
        <v>0</v>
      </c>
      <c r="E910" s="263">
        <v>23.65</v>
      </c>
      <c r="G910" s="2">
        <f t="shared" si="74"/>
        <v>0</v>
      </c>
      <c r="H910" s="2">
        <f t="shared" si="75"/>
        <v>0</v>
      </c>
      <c r="I910" s="263" t="e">
        <f t="shared" si="76"/>
        <v>#REF!</v>
      </c>
      <c r="K910" s="2" t="e">
        <f t="shared" si="77"/>
        <v>#REF!</v>
      </c>
      <c r="M910" s="84" t="e">
        <f t="shared" si="78"/>
        <v>#REF!</v>
      </c>
      <c r="O910" s="400">
        <v>64</v>
      </c>
      <c r="P910" s="74">
        <f t="shared" si="79"/>
        <v>0</v>
      </c>
      <c r="Q910" s="401" t="e">
        <f t="shared" si="80"/>
        <v>#REF!</v>
      </c>
      <c r="R910" s="402" t="e">
        <f t="shared" si="81"/>
        <v>#REF!</v>
      </c>
      <c r="S910" s="276"/>
      <c r="T910" s="276"/>
      <c r="U910" s="279"/>
      <c r="V910" s="279"/>
      <c r="W910" s="283"/>
      <c r="X910" s="279"/>
      <c r="Y910" s="20"/>
      <c r="Z910" s="20"/>
      <c r="AA910" s="20"/>
      <c r="AB910" s="20"/>
      <c r="AC910" s="20"/>
    </row>
    <row r="911" spans="1:29">
      <c r="A911" s="3" t="s">
        <v>362</v>
      </c>
      <c r="C911" s="262">
        <f>18290</f>
        <v>18290</v>
      </c>
      <c r="D911" s="262">
        <f t="shared" si="73"/>
        <v>18133</v>
      </c>
      <c r="E911" s="263">
        <v>13.33</v>
      </c>
      <c r="G911" s="2">
        <f t="shared" si="74"/>
        <v>243806</v>
      </c>
      <c r="H911" s="2">
        <f t="shared" si="75"/>
        <v>241713</v>
      </c>
      <c r="I911" s="263" t="e">
        <f t="shared" si="76"/>
        <v>#REF!</v>
      </c>
      <c r="K911" s="2" t="e">
        <f t="shared" si="77"/>
        <v>#REF!</v>
      </c>
      <c r="M911" s="84" t="e">
        <f t="shared" si="78"/>
        <v>#REF!</v>
      </c>
      <c r="O911" s="400">
        <v>85</v>
      </c>
      <c r="P911" s="74">
        <f t="shared" si="79"/>
        <v>1541305</v>
      </c>
      <c r="Q911" s="401" t="e">
        <f t="shared" si="80"/>
        <v>#REF!</v>
      </c>
      <c r="R911" s="402" t="e">
        <f t="shared" si="81"/>
        <v>#REF!</v>
      </c>
      <c r="S911" s="276"/>
      <c r="T911" s="276"/>
      <c r="U911" s="279"/>
      <c r="V911" s="279"/>
      <c r="W911" s="283"/>
      <c r="X911" s="279"/>
      <c r="Y911" s="20"/>
      <c r="Z911" s="20"/>
      <c r="AA911" s="20"/>
      <c r="AB911" s="20"/>
      <c r="AC911" s="20"/>
    </row>
    <row r="912" spans="1:29">
      <c r="A912" s="3" t="s">
        <v>596</v>
      </c>
      <c r="C912" s="262">
        <v>0</v>
      </c>
      <c r="D912" s="262">
        <f t="shared" si="73"/>
        <v>0</v>
      </c>
      <c r="E912" s="263">
        <v>16.91</v>
      </c>
      <c r="G912" s="2">
        <f t="shared" si="74"/>
        <v>0</v>
      </c>
      <c r="H912" s="2">
        <f t="shared" si="75"/>
        <v>0</v>
      </c>
      <c r="I912" s="263" t="e">
        <f t="shared" si="76"/>
        <v>#REF!</v>
      </c>
      <c r="K912" s="2" t="e">
        <f t="shared" si="77"/>
        <v>#REF!</v>
      </c>
      <c r="M912" s="84" t="e">
        <f t="shared" si="78"/>
        <v>#REF!</v>
      </c>
      <c r="O912" s="400">
        <v>115</v>
      </c>
      <c r="P912" s="74">
        <f t="shared" si="79"/>
        <v>0</v>
      </c>
      <c r="Q912" s="401" t="e">
        <f t="shared" si="80"/>
        <v>#REF!</v>
      </c>
      <c r="R912" s="402" t="e">
        <f t="shared" si="81"/>
        <v>#REF!</v>
      </c>
      <c r="S912" s="276"/>
      <c r="T912" s="276"/>
      <c r="U912" s="279"/>
      <c r="V912" s="279"/>
      <c r="W912" s="283"/>
      <c r="X912" s="279"/>
      <c r="Y912" s="20"/>
      <c r="Z912" s="20"/>
      <c r="AA912" s="20"/>
      <c r="AB912" s="20"/>
      <c r="AC912" s="20"/>
    </row>
    <row r="913" spans="1:29">
      <c r="A913" s="3" t="s">
        <v>363</v>
      </c>
      <c r="C913" s="262">
        <f>1621</f>
        <v>1621</v>
      </c>
      <c r="D913" s="262">
        <f t="shared" si="73"/>
        <v>1607</v>
      </c>
      <c r="E913" s="263">
        <v>22.32</v>
      </c>
      <c r="G913" s="2">
        <f t="shared" si="74"/>
        <v>36181</v>
      </c>
      <c r="H913" s="2">
        <f t="shared" si="75"/>
        <v>35868</v>
      </c>
      <c r="I913" s="263" t="e">
        <f t="shared" si="76"/>
        <v>#REF!</v>
      </c>
      <c r="K913" s="2" t="e">
        <f t="shared" si="77"/>
        <v>#REF!</v>
      </c>
      <c r="M913" s="84" t="e">
        <f t="shared" si="78"/>
        <v>#REF!</v>
      </c>
      <c r="O913" s="400">
        <v>176</v>
      </c>
      <c r="P913" s="74">
        <f t="shared" si="79"/>
        <v>282832</v>
      </c>
      <c r="Q913" s="401" t="e">
        <f t="shared" si="80"/>
        <v>#REF!</v>
      </c>
      <c r="R913" s="402" t="e">
        <f t="shared" si="81"/>
        <v>#REF!</v>
      </c>
      <c r="S913" s="276"/>
      <c r="T913" s="276"/>
      <c r="U913" s="279"/>
      <c r="V913" s="279"/>
      <c r="W913" s="283"/>
      <c r="X913" s="279"/>
      <c r="Y913" s="20"/>
      <c r="Z913" s="20"/>
      <c r="AA913" s="20"/>
      <c r="AB913" s="20"/>
      <c r="AC913" s="20"/>
    </row>
    <row r="914" spans="1:29">
      <c r="A914" s="3" t="s">
        <v>599</v>
      </c>
      <c r="C914" s="262"/>
      <c r="D914" s="262"/>
      <c r="E914" s="263"/>
      <c r="G914" s="2"/>
      <c r="H914" s="2"/>
      <c r="I914" s="263"/>
      <c r="K914" s="2"/>
      <c r="M914" s="84"/>
      <c r="O914" s="400"/>
      <c r="P914" s="74"/>
      <c r="Q914" s="401"/>
      <c r="R914" s="402"/>
      <c r="S914" s="276"/>
      <c r="T914" s="276"/>
      <c r="U914" s="279"/>
      <c r="V914" s="279"/>
      <c r="W914" s="283"/>
      <c r="X914" s="279"/>
      <c r="Y914" s="20"/>
      <c r="Z914" s="20"/>
      <c r="AA914" s="20"/>
      <c r="AB914" s="20"/>
      <c r="AC914" s="20"/>
    </row>
    <row r="915" spans="1:29">
      <c r="A915" s="3" t="s">
        <v>604</v>
      </c>
      <c r="C915" s="262">
        <v>0</v>
      </c>
      <c r="D915" s="262">
        <f t="shared" ref="D915:D921" si="82">ROUND(($D$923/$C$923)*C915,0)</f>
        <v>0</v>
      </c>
      <c r="E915" s="263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263" t="e">
        <f t="shared" ref="I915:I921" si="85">E915+(E915*$P$925)</f>
        <v>#REF!</v>
      </c>
      <c r="K915" s="2" t="e">
        <f t="shared" ref="K915:K921" si="86">ROUND(I915*$C915,0)</f>
        <v>#REF!</v>
      </c>
      <c r="M915" s="84" t="e">
        <f t="shared" ref="M915:M921" si="87">I915*D915</f>
        <v>#REF!</v>
      </c>
      <c r="O915" s="400">
        <v>39</v>
      </c>
      <c r="P915" s="74">
        <f t="shared" ref="P915:P921" si="88">O915*D915</f>
        <v>0</v>
      </c>
      <c r="Q915" s="401" t="e">
        <f t="shared" ref="Q915:Q921" si="89">$P$924*O915</f>
        <v>#REF!</v>
      </c>
      <c r="R915" s="402" t="e">
        <f t="shared" ref="R915:R921" si="90">ROUND(E915+Q915,2)</f>
        <v>#REF!</v>
      </c>
      <c r="S915" s="276"/>
      <c r="T915" s="276"/>
      <c r="U915" s="279"/>
      <c r="V915" s="279"/>
      <c r="W915" s="283"/>
      <c r="X915" s="279"/>
      <c r="Y915" s="20"/>
      <c r="Z915" s="20"/>
      <c r="AA915" s="20"/>
      <c r="AB915" s="20"/>
      <c r="AC915" s="20"/>
    </row>
    <row r="916" spans="1:29">
      <c r="A916" s="3" t="s">
        <v>605</v>
      </c>
      <c r="C916" s="262">
        <v>0</v>
      </c>
      <c r="D916" s="262">
        <f t="shared" si="82"/>
        <v>0</v>
      </c>
      <c r="E916" s="263">
        <v>24.46</v>
      </c>
      <c r="G916" s="2">
        <f t="shared" si="83"/>
        <v>0</v>
      </c>
      <c r="H916" s="2">
        <f t="shared" si="84"/>
        <v>0</v>
      </c>
      <c r="I916" s="263" t="e">
        <f t="shared" si="85"/>
        <v>#REF!</v>
      </c>
      <c r="K916" s="2" t="e">
        <f t="shared" si="86"/>
        <v>#REF!</v>
      </c>
      <c r="M916" s="84" t="e">
        <f t="shared" si="87"/>
        <v>#REF!</v>
      </c>
      <c r="O916" s="400">
        <v>39</v>
      </c>
      <c r="P916" s="74">
        <f t="shared" si="88"/>
        <v>0</v>
      </c>
      <c r="Q916" s="401" t="e">
        <f t="shared" si="89"/>
        <v>#REF!</v>
      </c>
      <c r="R916" s="402" t="e">
        <f t="shared" si="90"/>
        <v>#REF!</v>
      </c>
      <c r="S916" s="276"/>
      <c r="T916" s="276"/>
      <c r="U916" s="279"/>
      <c r="V916" s="279"/>
      <c r="W916" s="283"/>
      <c r="X916" s="279"/>
      <c r="Y916" s="20"/>
      <c r="Z916" s="20"/>
      <c r="AA916" s="20"/>
      <c r="AB916" s="20"/>
      <c r="AC916" s="20"/>
    </row>
    <row r="917" spans="1:29">
      <c r="A917" s="3" t="s">
        <v>606</v>
      </c>
      <c r="C917" s="262">
        <v>0</v>
      </c>
      <c r="D917" s="262">
        <f t="shared" si="82"/>
        <v>0</v>
      </c>
      <c r="E917" s="263">
        <v>22.55</v>
      </c>
      <c r="G917" s="2">
        <f t="shared" si="83"/>
        <v>0</v>
      </c>
      <c r="H917" s="2">
        <f t="shared" si="84"/>
        <v>0</v>
      </c>
      <c r="I917" s="263" t="e">
        <f t="shared" si="85"/>
        <v>#REF!</v>
      </c>
      <c r="K917" s="2" t="e">
        <f t="shared" si="86"/>
        <v>#REF!</v>
      </c>
      <c r="M917" s="84" t="e">
        <f t="shared" si="87"/>
        <v>#REF!</v>
      </c>
      <c r="O917" s="400">
        <v>68</v>
      </c>
      <c r="P917" s="74">
        <f t="shared" si="88"/>
        <v>0</v>
      </c>
      <c r="Q917" s="401" t="e">
        <f t="shared" si="89"/>
        <v>#REF!</v>
      </c>
      <c r="R917" s="402" t="e">
        <f t="shared" si="90"/>
        <v>#REF!</v>
      </c>
      <c r="S917" s="276"/>
      <c r="T917" s="276"/>
      <c r="U917" s="279"/>
      <c r="V917" s="279"/>
      <c r="W917" s="283"/>
      <c r="X917" s="279"/>
      <c r="Y917" s="20"/>
      <c r="Z917" s="20"/>
      <c r="AA917" s="20"/>
      <c r="AB917" s="20"/>
      <c r="AC917" s="20"/>
    </row>
    <row r="918" spans="1:29">
      <c r="A918" s="3" t="s">
        <v>607</v>
      </c>
      <c r="C918" s="262">
        <v>0</v>
      </c>
      <c r="D918" s="262">
        <f t="shared" si="82"/>
        <v>0</v>
      </c>
      <c r="E918" s="263">
        <v>32.950000000000003</v>
      </c>
      <c r="G918" s="2">
        <f t="shared" si="83"/>
        <v>0</v>
      </c>
      <c r="H918" s="2">
        <f t="shared" si="84"/>
        <v>0</v>
      </c>
      <c r="I918" s="263" t="e">
        <f t="shared" si="85"/>
        <v>#REF!</v>
      </c>
      <c r="K918" s="2" t="e">
        <f t="shared" si="86"/>
        <v>#REF!</v>
      </c>
      <c r="M918" s="84" t="e">
        <f t="shared" si="87"/>
        <v>#REF!</v>
      </c>
      <c r="O918" s="400">
        <v>68</v>
      </c>
      <c r="P918" s="74">
        <f t="shared" si="88"/>
        <v>0</v>
      </c>
      <c r="Q918" s="401" t="e">
        <f t="shared" si="89"/>
        <v>#REF!</v>
      </c>
      <c r="R918" s="402" t="e">
        <f t="shared" si="90"/>
        <v>#REF!</v>
      </c>
      <c r="S918" s="276"/>
      <c r="T918" s="276"/>
      <c r="U918" s="279"/>
      <c r="V918" s="279"/>
      <c r="W918" s="283"/>
      <c r="X918" s="279"/>
      <c r="Y918" s="20"/>
      <c r="Z918" s="20"/>
      <c r="AA918" s="20"/>
      <c r="AB918" s="20"/>
      <c r="AC918" s="20"/>
    </row>
    <row r="919" spans="1:29">
      <c r="A919" s="3" t="s">
        <v>608</v>
      </c>
      <c r="C919" s="262">
        <v>0</v>
      </c>
      <c r="D919" s="262">
        <f t="shared" si="82"/>
        <v>0</v>
      </c>
      <c r="E919" s="263">
        <v>26.53</v>
      </c>
      <c r="G919" s="2">
        <f t="shared" si="83"/>
        <v>0</v>
      </c>
      <c r="H919" s="2">
        <f t="shared" si="84"/>
        <v>0</v>
      </c>
      <c r="I919" s="263" t="e">
        <f t="shared" si="85"/>
        <v>#REF!</v>
      </c>
      <c r="K919" s="2" t="e">
        <f t="shared" si="86"/>
        <v>#REF!</v>
      </c>
      <c r="M919" s="84" t="e">
        <f t="shared" si="87"/>
        <v>#REF!</v>
      </c>
      <c r="O919" s="400">
        <v>68</v>
      </c>
      <c r="P919" s="74">
        <f t="shared" si="88"/>
        <v>0</v>
      </c>
      <c r="Q919" s="401" t="e">
        <f t="shared" si="89"/>
        <v>#REF!</v>
      </c>
      <c r="R919" s="402" t="e">
        <f t="shared" si="90"/>
        <v>#REF!</v>
      </c>
      <c r="S919" s="276"/>
      <c r="T919" s="276"/>
      <c r="U919" s="279"/>
      <c r="V919" s="279"/>
      <c r="W919" s="283"/>
      <c r="X919" s="279"/>
      <c r="Y919" s="20"/>
      <c r="Z919" s="20"/>
      <c r="AA919" s="20"/>
      <c r="AB919" s="20"/>
      <c r="AC919" s="20"/>
    </row>
    <row r="920" spans="1:29">
      <c r="A920" s="3" t="s">
        <v>609</v>
      </c>
      <c r="C920" s="262">
        <v>0</v>
      </c>
      <c r="D920" s="262">
        <f t="shared" si="82"/>
        <v>0</v>
      </c>
      <c r="E920" s="263">
        <v>26.07</v>
      </c>
      <c r="G920" s="2">
        <f t="shared" si="83"/>
        <v>0</v>
      </c>
      <c r="H920" s="2">
        <f t="shared" si="84"/>
        <v>0</v>
      </c>
      <c r="I920" s="263" t="e">
        <f t="shared" si="85"/>
        <v>#REF!</v>
      </c>
      <c r="K920" s="2" t="e">
        <f t="shared" si="86"/>
        <v>#REF!</v>
      </c>
      <c r="M920" s="84" t="e">
        <f t="shared" si="87"/>
        <v>#REF!</v>
      </c>
      <c r="O920" s="400">
        <v>68</v>
      </c>
      <c r="P920" s="74">
        <f t="shared" si="88"/>
        <v>0</v>
      </c>
      <c r="Q920" s="401" t="e">
        <f t="shared" si="89"/>
        <v>#REF!</v>
      </c>
      <c r="R920" s="402" t="e">
        <f t="shared" si="90"/>
        <v>#REF!</v>
      </c>
      <c r="S920" s="276"/>
      <c r="T920" s="276"/>
      <c r="U920" s="279"/>
      <c r="V920" s="279"/>
      <c r="W920" s="283"/>
      <c r="X920" s="279"/>
      <c r="Y920" s="20"/>
      <c r="Z920" s="20"/>
      <c r="AA920" s="20"/>
      <c r="AB920" s="20"/>
      <c r="AC920" s="20"/>
    </row>
    <row r="921" spans="1:29">
      <c r="A921" s="3" t="s">
        <v>610</v>
      </c>
      <c r="C921" s="262">
        <v>0</v>
      </c>
      <c r="D921" s="262">
        <f t="shared" si="82"/>
        <v>0</v>
      </c>
      <c r="E921" s="263">
        <v>28.39</v>
      </c>
      <c r="G921" s="2">
        <f t="shared" si="83"/>
        <v>0</v>
      </c>
      <c r="H921" s="2">
        <f t="shared" si="84"/>
        <v>0</v>
      </c>
      <c r="I921" s="263" t="e">
        <f t="shared" si="85"/>
        <v>#REF!</v>
      </c>
      <c r="K921" s="2" t="e">
        <f t="shared" si="86"/>
        <v>#REF!</v>
      </c>
      <c r="M921" s="84" t="e">
        <f t="shared" si="87"/>
        <v>#REF!</v>
      </c>
      <c r="O921" s="400">
        <v>68</v>
      </c>
      <c r="P921" s="74">
        <f t="shared" si="88"/>
        <v>0</v>
      </c>
      <c r="Q921" s="401" t="e">
        <f t="shared" si="89"/>
        <v>#REF!</v>
      </c>
      <c r="R921" s="402" t="e">
        <f t="shared" si="90"/>
        <v>#REF!</v>
      </c>
      <c r="S921" s="276"/>
      <c r="T921" s="276"/>
      <c r="U921" s="279"/>
      <c r="V921" s="279"/>
      <c r="W921" s="283"/>
      <c r="X921" s="279"/>
      <c r="Y921" s="20"/>
      <c r="Z921" s="20"/>
      <c r="AA921" s="20"/>
      <c r="AB921" s="20"/>
      <c r="AC921" s="20"/>
    </row>
    <row r="922" spans="1:29">
      <c r="A922" s="3" t="s">
        <v>365</v>
      </c>
      <c r="C922" s="262">
        <f>181*12</f>
        <v>2172</v>
      </c>
      <c r="D922" s="262">
        <v>1874</v>
      </c>
      <c r="E922" s="263"/>
      <c r="G922" s="2"/>
      <c r="H922" s="2"/>
      <c r="I922" s="263"/>
      <c r="K922" s="2"/>
      <c r="O922" s="400"/>
      <c r="P922" s="74">
        <f>SUM(P904:P916)</f>
        <v>2951522</v>
      </c>
      <c r="Q922" s="401"/>
      <c r="R922" s="402"/>
      <c r="S922" s="276"/>
      <c r="T922" s="276"/>
      <c r="U922" s="279"/>
      <c r="V922" s="279"/>
      <c r="W922" s="279"/>
      <c r="X922" s="279"/>
      <c r="Y922" s="20"/>
      <c r="Z922" s="20"/>
      <c r="AA922" s="20"/>
      <c r="AB922" s="20"/>
      <c r="AC922" s="20"/>
    </row>
    <row r="923" spans="1:29">
      <c r="A923" s="3" t="s">
        <v>384</v>
      </c>
      <c r="C923" s="262">
        <v>2977084</v>
      </c>
      <c r="D923" s="262">
        <v>2951534.6465794938</v>
      </c>
      <c r="E923" s="267"/>
      <c r="F923" s="20"/>
      <c r="G923" s="270">
        <f>SUM(G904:G916)</f>
        <v>533631</v>
      </c>
      <c r="H923" s="270">
        <f>SUM(H904:H916)</f>
        <v>529048</v>
      </c>
      <c r="I923" s="267"/>
      <c r="J923" s="20"/>
      <c r="K923" s="270" t="e">
        <f>SUM(K904:K916)</f>
        <v>#REF!</v>
      </c>
      <c r="M923" s="84" t="e">
        <f>SUM(M904:M922)</f>
        <v>#REF!</v>
      </c>
      <c r="O923" s="400"/>
      <c r="P923" s="403" t="e">
        <f>O925-H925</f>
        <v>#REF!</v>
      </c>
      <c r="Q923" s="20"/>
      <c r="R923" s="404"/>
      <c r="S923" s="276"/>
      <c r="T923" s="276"/>
      <c r="U923" s="286"/>
      <c r="V923" s="276"/>
      <c r="W923" s="276"/>
      <c r="X923" s="276"/>
      <c r="Y923" s="20"/>
      <c r="Z923" s="20"/>
      <c r="AA923" s="20"/>
      <c r="AB923" s="20"/>
      <c r="AC923" s="20"/>
    </row>
    <row r="924" spans="1:29">
      <c r="A924" s="3" t="s">
        <v>366</v>
      </c>
      <c r="C924" s="262" t="e">
        <f>#REF!</f>
        <v>#REF!</v>
      </c>
      <c r="D924" s="262">
        <v>0</v>
      </c>
      <c r="E924" s="267"/>
      <c r="F924" s="20"/>
      <c r="G924" s="270" t="e">
        <f>#REF!</f>
        <v>#REF!</v>
      </c>
      <c r="H924" s="270">
        <v>0</v>
      </c>
      <c r="I924" s="267"/>
      <c r="J924" s="20"/>
      <c r="K924" s="270" t="e">
        <f>G924</f>
        <v>#REF!</v>
      </c>
      <c r="M924" s="287"/>
      <c r="N924" s="287"/>
      <c r="O924" s="405"/>
      <c r="P924" s="406" t="e">
        <f>P923/P922</f>
        <v>#REF!</v>
      </c>
      <c r="Q924" s="112"/>
      <c r="R924" s="407"/>
      <c r="S924" s="279"/>
      <c r="T924" s="276"/>
      <c r="U924" s="20"/>
      <c r="V924" s="20"/>
      <c r="W924" s="20"/>
      <c r="X924" s="20"/>
      <c r="Y924" s="20"/>
      <c r="Z924" s="20"/>
      <c r="AA924" s="20"/>
      <c r="AB924" s="20"/>
      <c r="AC924" s="20"/>
    </row>
    <row r="925" spans="1:29" ht="16.5" thickBot="1">
      <c r="A925" s="3" t="s">
        <v>9</v>
      </c>
      <c r="C925" s="271" t="e">
        <f>C923+C924</f>
        <v>#REF!</v>
      </c>
      <c r="D925" s="271">
        <f>D923+D924</f>
        <v>2951534.6465794938</v>
      </c>
      <c r="E925" s="272"/>
      <c r="F925" s="272"/>
      <c r="G925" s="272" t="e">
        <f>G923+G924</f>
        <v>#REF!</v>
      </c>
      <c r="H925" s="272">
        <f>H923+H924</f>
        <v>529048</v>
      </c>
      <c r="I925" s="272"/>
      <c r="J925" s="272"/>
      <c r="K925" s="272" t="e">
        <f>K923+K924</f>
        <v>#REF!</v>
      </c>
      <c r="M925" s="289"/>
      <c r="N925" s="275" t="s">
        <v>412</v>
      </c>
      <c r="O925" s="408" t="e">
        <f>#REF!*1000</f>
        <v>#REF!</v>
      </c>
      <c r="P925" s="14" t="e">
        <f>((O925-G925)/G925)+0.0028</f>
        <v>#REF!</v>
      </c>
      <c r="S925" s="276"/>
      <c r="T925" s="276"/>
      <c r="U925" s="20"/>
      <c r="V925" s="20"/>
      <c r="W925" s="20"/>
      <c r="X925" s="20"/>
      <c r="Y925" s="20"/>
      <c r="Z925" s="20"/>
      <c r="AA925" s="20"/>
      <c r="AB925" s="20"/>
      <c r="AC925" s="20"/>
    </row>
    <row r="926" spans="1:29" ht="16.5" thickTop="1">
      <c r="A926" s="1"/>
      <c r="B926" s="1"/>
      <c r="C926" s="21"/>
      <c r="D926" s="21"/>
      <c r="E926" s="21"/>
      <c r="F926" s="21"/>
      <c r="G926" s="2"/>
      <c r="H926" s="2"/>
      <c r="I926" s="21" t="s">
        <v>31</v>
      </c>
      <c r="J926" s="21"/>
      <c r="K926" s="2" t="s">
        <v>31</v>
      </c>
      <c r="M926" s="275"/>
      <c r="N926" s="275" t="s">
        <v>265</v>
      </c>
      <c r="O926" s="409" t="e">
        <f>O925-K925</f>
        <v>#REF!</v>
      </c>
      <c r="P926" s="14" t="e">
        <f>(O925-K925)/K925</f>
        <v>#REF!</v>
      </c>
      <c r="Q926" s="275"/>
      <c r="R926" s="275"/>
      <c r="S926" s="276"/>
      <c r="T926" s="276"/>
      <c r="U926" s="20"/>
      <c r="V926" s="20"/>
      <c r="W926" s="20"/>
      <c r="X926" s="20"/>
      <c r="Y926" s="20"/>
      <c r="Z926" s="20"/>
      <c r="AA926" s="20"/>
      <c r="AB926" s="20"/>
      <c r="AC926" s="20"/>
    </row>
    <row r="927" spans="1:29">
      <c r="A927" s="291" t="s">
        <v>489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276"/>
      <c r="N927" s="276"/>
      <c r="O927" s="285"/>
      <c r="P927" s="276"/>
      <c r="Q927" s="20"/>
      <c r="R927" s="20"/>
      <c r="S927" s="20"/>
      <c r="T927" s="276"/>
      <c r="U927" s="276"/>
      <c r="V927" s="276"/>
      <c r="W927" s="276"/>
      <c r="X927" s="276"/>
      <c r="Y927" s="20"/>
      <c r="Z927" s="20"/>
      <c r="AA927" s="20"/>
      <c r="AB927" s="20"/>
      <c r="AC927" s="20"/>
    </row>
    <row r="928" spans="1:29">
      <c r="A928" s="1" t="s">
        <v>490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20"/>
      <c r="N928" s="20"/>
      <c r="O928" s="74"/>
      <c r="P928" s="74"/>
      <c r="Q928" s="20"/>
      <c r="R928" s="20"/>
      <c r="S928" s="20"/>
      <c r="T928" s="276"/>
      <c r="U928" s="276"/>
      <c r="V928" s="276"/>
      <c r="W928" s="276"/>
      <c r="X928" s="276"/>
      <c r="Y928" s="20"/>
      <c r="Z928" s="20"/>
      <c r="AA928" s="20"/>
      <c r="AB928" s="20"/>
      <c r="AC928" s="20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20"/>
      <c r="N929" s="20"/>
      <c r="O929" s="74"/>
      <c r="P929" s="74" t="s">
        <v>31</v>
      </c>
      <c r="Q929" s="20"/>
      <c r="R929" s="20"/>
      <c r="S929" s="20"/>
      <c r="T929" s="276"/>
      <c r="U929" s="276"/>
      <c r="V929" s="276"/>
      <c r="W929" s="276"/>
      <c r="X929" s="276"/>
      <c r="Y929" s="20"/>
      <c r="Z929" s="20"/>
      <c r="AA929" s="20"/>
      <c r="AB929" s="20"/>
      <c r="AC929" s="20"/>
    </row>
    <row r="930" spans="1:29">
      <c r="A930" s="1" t="s">
        <v>491</v>
      </c>
      <c r="B930" s="1"/>
      <c r="C930" s="21"/>
      <c r="D930" s="21"/>
      <c r="E930" s="296"/>
      <c r="F930" s="1"/>
      <c r="G930" s="410">
        <v>30454.32</v>
      </c>
      <c r="H930" s="410">
        <v>30454.32</v>
      </c>
      <c r="I930" s="296"/>
      <c r="J930" s="1"/>
      <c r="K930" s="2">
        <f>G930</f>
        <v>30454.32</v>
      </c>
      <c r="M930" s="84">
        <f>K930</f>
        <v>30454.32</v>
      </c>
      <c r="N930" s="20"/>
      <c r="O930" s="74"/>
      <c r="P930" s="74" t="s">
        <v>31</v>
      </c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</row>
    <row r="931" spans="1:29">
      <c r="A931" s="1" t="s">
        <v>492</v>
      </c>
      <c r="B931" s="1"/>
      <c r="C931" s="262">
        <v>448995</v>
      </c>
      <c r="D931" s="317">
        <f>ROUND(($D$934/$C$934)*C931,0)</f>
        <v>453966</v>
      </c>
      <c r="E931" s="411">
        <v>6.4050000000000002</v>
      </c>
      <c r="F931" s="1" t="s">
        <v>377</v>
      </c>
      <c r="G931" s="412">
        <f>ROUND(C931*E931/100,0)</f>
        <v>28758</v>
      </c>
      <c r="H931" s="412">
        <f>ROUND(D931*E931/100,0)</f>
        <v>29077</v>
      </c>
      <c r="I931" s="411">
        <v>7.4130000000000003</v>
      </c>
      <c r="J931" s="1" t="s">
        <v>377</v>
      </c>
      <c r="K931" s="2">
        <f>ROUND(I931*$C931/100,0)</f>
        <v>33284</v>
      </c>
      <c r="M931" s="84">
        <f>(I931/100)*D931</f>
        <v>33652.499580000003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</row>
    <row r="932" spans="1:29">
      <c r="A932" s="1" t="s">
        <v>493</v>
      </c>
      <c r="B932" s="1"/>
      <c r="C932" s="262">
        <v>0</v>
      </c>
      <c r="D932" s="317">
        <f>ROUND(($D$934/$C$934)*C932,0)</f>
        <v>0</v>
      </c>
      <c r="E932" s="411">
        <v>7.1669999999999998</v>
      </c>
      <c r="F932" s="1" t="s">
        <v>377</v>
      </c>
      <c r="G932" s="412">
        <f>ROUND(C932*E932/100,0)</f>
        <v>0</v>
      </c>
      <c r="H932" s="412">
        <f>ROUND(D932*E932/100,0)</f>
        <v>0</v>
      </c>
      <c r="I932" s="411">
        <f>ROUND(I931/E931*E932,3)</f>
        <v>8.2949999999999999</v>
      </c>
      <c r="J932" s="1" t="s">
        <v>377</v>
      </c>
      <c r="K932" s="2">
        <f>ROUND(I932*D932/100,0)</f>
        <v>0</v>
      </c>
      <c r="M932" s="84">
        <f>(I932/100)*D932</f>
        <v>0</v>
      </c>
      <c r="N932" s="20"/>
      <c r="O932" s="74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</row>
    <row r="933" spans="1:29">
      <c r="A933" s="1" t="s">
        <v>365</v>
      </c>
      <c r="B933" s="1"/>
      <c r="C933" s="262">
        <f>27*12</f>
        <v>324</v>
      </c>
      <c r="D933" s="317">
        <v>241</v>
      </c>
      <c r="E933" s="413"/>
      <c r="F933" s="1"/>
      <c r="G933" s="2"/>
      <c r="H933" s="2"/>
      <c r="I933" s="413"/>
      <c r="J933" s="1"/>
      <c r="K933" s="2"/>
      <c r="M933" s="20"/>
      <c r="N933" s="20"/>
      <c r="O933" s="74"/>
      <c r="P933" s="74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</row>
    <row r="934" spans="1:29">
      <c r="A934" s="3" t="s">
        <v>494</v>
      </c>
      <c r="C934" s="262">
        <f>SUM(C931:C932)</f>
        <v>448995</v>
      </c>
      <c r="D934" s="262">
        <v>453965.95876460936</v>
      </c>
      <c r="E934" s="267"/>
      <c r="F934" s="20"/>
      <c r="G934" s="270">
        <f>SUM(G930:G932)</f>
        <v>59212.32</v>
      </c>
      <c r="H934" s="270">
        <f>SUM(H930:H932)</f>
        <v>59531.32</v>
      </c>
      <c r="I934" s="267"/>
      <c r="J934" s="20"/>
      <c r="K934" s="270">
        <f>SUM(K930:K932)</f>
        <v>63738.32</v>
      </c>
      <c r="M934" s="414">
        <f>SUM(M930:M933)</f>
        <v>64106.819580000003</v>
      </c>
      <c r="N934" s="20"/>
      <c r="O934" s="74"/>
      <c r="P934" s="74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</row>
    <row r="935" spans="1:29">
      <c r="A935" s="3" t="s">
        <v>495</v>
      </c>
      <c r="C935" s="262" t="e">
        <f>#REF!</f>
        <v>#REF!</v>
      </c>
      <c r="D935" s="262">
        <v>0</v>
      </c>
      <c r="E935" s="267"/>
      <c r="F935" s="20"/>
      <c r="G935" s="270" t="e">
        <f>#REF!</f>
        <v>#REF!</v>
      </c>
      <c r="H935" s="270">
        <v>0</v>
      </c>
      <c r="I935" s="267"/>
      <c r="J935" s="20"/>
      <c r="K935" s="270" t="e">
        <f>G935</f>
        <v>#REF!</v>
      </c>
      <c r="M935" s="287"/>
      <c r="N935" s="287"/>
      <c r="O935" s="288"/>
      <c r="P935" s="74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</row>
    <row r="936" spans="1:29" ht="16.5" thickBot="1">
      <c r="A936" s="1" t="s">
        <v>9</v>
      </c>
      <c r="B936" s="1"/>
      <c r="C936" s="391" t="e">
        <f>C934+C935</f>
        <v>#REF!</v>
      </c>
      <c r="D936" s="391">
        <f>D934+D935</f>
        <v>453965.95876460936</v>
      </c>
      <c r="E936" s="415"/>
      <c r="F936" s="416"/>
      <c r="G936" s="272" t="e">
        <f>G934+G935</f>
        <v>#REF!</v>
      </c>
      <c r="H936" s="272">
        <f>H934+H935</f>
        <v>59531.32</v>
      </c>
      <c r="I936" s="415"/>
      <c r="J936" s="416"/>
      <c r="K936" s="272" t="e">
        <f>K934+K935</f>
        <v>#REF!</v>
      </c>
      <c r="M936" s="289"/>
      <c r="N936" s="275" t="s">
        <v>412</v>
      </c>
      <c r="O936" s="414" t="e">
        <f>#REF!*1000</f>
        <v>#REF!</v>
      </c>
      <c r="P936" s="14" t="s">
        <v>31</v>
      </c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</row>
    <row r="937" spans="1:29" ht="16.5" thickTop="1">
      <c r="A937" s="1"/>
      <c r="B937" s="1"/>
      <c r="C937" s="1"/>
      <c r="D937" s="1"/>
      <c r="E937" s="417"/>
      <c r="F937" s="1"/>
      <c r="G937" s="1"/>
      <c r="H937" s="1"/>
      <c r="I937" s="417" t="s">
        <v>31</v>
      </c>
      <c r="J937" s="1"/>
      <c r="K937" s="2" t="s">
        <v>31</v>
      </c>
      <c r="M937" s="20"/>
      <c r="N937" s="275" t="s">
        <v>265</v>
      </c>
      <c r="O937" s="414" t="e">
        <f>O936-K936</f>
        <v>#REF!</v>
      </c>
      <c r="P937" s="14" t="e">
        <f>(O936-K936)/K936</f>
        <v>#REF!</v>
      </c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</row>
    <row r="938" spans="1:29">
      <c r="A938" s="291" t="s">
        <v>496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</row>
    <row r="939" spans="1:29">
      <c r="A939" s="1" t="s">
        <v>497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</row>
    <row r="940" spans="1:29">
      <c r="A940" s="1"/>
      <c r="B940" s="1"/>
      <c r="C940" s="1"/>
      <c r="D940" s="1"/>
      <c r="E940" s="417"/>
      <c r="F940" s="1"/>
      <c r="G940" s="1"/>
      <c r="H940" s="1"/>
      <c r="I940" s="417"/>
      <c r="J940" s="1"/>
      <c r="K940" s="1"/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</row>
    <row r="941" spans="1:29">
      <c r="A941" s="1" t="s">
        <v>491</v>
      </c>
      <c r="B941" s="1"/>
      <c r="C941" s="21"/>
      <c r="D941" s="21"/>
      <c r="E941" s="296"/>
      <c r="F941" s="1"/>
      <c r="G941" s="410">
        <f>G952+G978</f>
        <v>2152.73</v>
      </c>
      <c r="H941" s="410">
        <f>H952+H978</f>
        <v>2349.2199999999998</v>
      </c>
      <c r="I941" s="296"/>
      <c r="J941" s="1"/>
      <c r="K941" s="2">
        <f>G941</f>
        <v>2152.73</v>
      </c>
      <c r="M941" s="414">
        <f>K941</f>
        <v>2152.73</v>
      </c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</row>
    <row r="942" spans="1:29">
      <c r="A942" s="1" t="s">
        <v>622</v>
      </c>
      <c r="B942" s="1"/>
      <c r="C942" s="262">
        <f>C968+C979+C980</f>
        <v>2017979</v>
      </c>
      <c r="D942" s="262">
        <f>D968+D979</f>
        <v>999683</v>
      </c>
      <c r="E942" s="411">
        <v>6.1459999999999999</v>
      </c>
      <c r="F942" s="1" t="s">
        <v>377</v>
      </c>
      <c r="G942" s="412">
        <f>G968+G979+G980</f>
        <v>124025</v>
      </c>
      <c r="H942" s="412">
        <f>H968+H979</f>
        <v>61441</v>
      </c>
      <c r="I942" s="411">
        <f>'Blocking - detail'!I939</f>
        <v>6.1459999999999999</v>
      </c>
      <c r="J942" s="1" t="s">
        <v>377</v>
      </c>
      <c r="K942" s="2">
        <f>K968+K979</f>
        <v>65376</v>
      </c>
      <c r="M942" s="84">
        <f>(I942/100)*D942</f>
        <v>61440.517180000003</v>
      </c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</row>
    <row r="943" spans="1:29">
      <c r="A943" s="1" t="s">
        <v>624</v>
      </c>
      <c r="B943" s="1"/>
      <c r="C943" s="262">
        <f>C969</f>
        <v>2425702</v>
      </c>
      <c r="D943" s="262">
        <f>D969+D980</f>
        <v>3439646</v>
      </c>
      <c r="E943" s="419">
        <f>E942</f>
        <v>6.1459999999999999</v>
      </c>
      <c r="F943" s="1" t="s">
        <v>377</v>
      </c>
      <c r="G943" s="412">
        <f>SUM(G954:G966)</f>
        <v>149307.61000000002</v>
      </c>
      <c r="H943" s="412">
        <f>H969+H980</f>
        <v>60532</v>
      </c>
      <c r="I943" s="419">
        <f>I942</f>
        <v>6.1459999999999999</v>
      </c>
      <c r="J943" s="1" t="s">
        <v>377</v>
      </c>
      <c r="K943" s="2">
        <f>K969+K980</f>
        <v>68174</v>
      </c>
      <c r="M943" s="84">
        <f>(I943/100)*D943</f>
        <v>211400.64316000001</v>
      </c>
      <c r="N943" s="20"/>
      <c r="O943" s="74"/>
      <c r="P943" s="74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</row>
    <row r="944" spans="1:29">
      <c r="A944" s="1" t="s">
        <v>365</v>
      </c>
      <c r="B944" s="1"/>
      <c r="C944" s="262">
        <f>C970+C981</f>
        <v>3046</v>
      </c>
      <c r="D944" s="262">
        <f>D970+D981</f>
        <v>3401</v>
      </c>
      <c r="E944" s="413"/>
      <c r="F944" s="1"/>
      <c r="G944" s="2"/>
      <c r="H944" s="2"/>
      <c r="I944" s="413"/>
      <c r="J944" s="1"/>
      <c r="K944" s="2"/>
      <c r="M944" s="20"/>
      <c r="N944" s="20"/>
      <c r="O944" s="74"/>
      <c r="P944" s="74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</row>
    <row r="945" spans="1:29">
      <c r="A945" s="3" t="s">
        <v>494</v>
      </c>
      <c r="C945" s="262">
        <f>C971+C982</f>
        <v>4443681</v>
      </c>
      <c r="D945" s="262">
        <f>D971+D982</f>
        <v>4439329.75109665</v>
      </c>
      <c r="E945" s="267"/>
      <c r="F945" s="20"/>
      <c r="G945" s="270">
        <f>G941+G942+G943</f>
        <v>275485.34000000003</v>
      </c>
      <c r="H945" s="270">
        <f>H971+H982</f>
        <v>124322.22</v>
      </c>
      <c r="I945" s="267"/>
      <c r="J945" s="20"/>
      <c r="K945" s="270">
        <f>K971+K982</f>
        <v>296529.72609999997</v>
      </c>
      <c r="M945" s="414">
        <f>SUM(M941:M944)</f>
        <v>274993.89034000004</v>
      </c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</row>
    <row r="946" spans="1:29">
      <c r="A946" s="3" t="s">
        <v>495</v>
      </c>
      <c r="C946" s="262" t="e">
        <f>C972+C983</f>
        <v>#REF!</v>
      </c>
      <c r="D946" s="262">
        <f>D972+D983</f>
        <v>0</v>
      </c>
      <c r="E946" s="267"/>
      <c r="F946" s="20"/>
      <c r="G946" s="270" t="e">
        <f>G972+G983</f>
        <v>#REF!</v>
      </c>
      <c r="H946" s="270">
        <f>H972+H983</f>
        <v>0</v>
      </c>
      <c r="I946" s="267"/>
      <c r="J946" s="20"/>
      <c r="K946" s="270" t="e">
        <f>G946</f>
        <v>#REF!</v>
      </c>
      <c r="M946" s="287"/>
      <c r="N946" s="287"/>
      <c r="O946" s="288"/>
      <c r="P946" s="74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</row>
    <row r="947" spans="1:29" ht="16.5" thickBot="1">
      <c r="A947" s="1" t="s">
        <v>9</v>
      </c>
      <c r="B947" s="1"/>
      <c r="C947" s="391" t="e">
        <f>C945+C946</f>
        <v>#REF!</v>
      </c>
      <c r="D947" s="391">
        <f>D945+D946</f>
        <v>4439329.75109665</v>
      </c>
      <c r="E947" s="415"/>
      <c r="F947" s="416"/>
      <c r="G947" s="272" t="e">
        <f>G945+G946</f>
        <v>#REF!</v>
      </c>
      <c r="H947" s="272">
        <f>H945+H946</f>
        <v>124322.22</v>
      </c>
      <c r="I947" s="415"/>
      <c r="J947" s="416"/>
      <c r="K947" s="272" t="e">
        <f>K945+K946</f>
        <v>#REF!</v>
      </c>
      <c r="M947" s="289"/>
      <c r="N947" s="275" t="s">
        <v>412</v>
      </c>
      <c r="O947" s="414" t="e">
        <f>#REF!*1000</f>
        <v>#REF!</v>
      </c>
      <c r="P947" s="74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</row>
    <row r="948" spans="1:29" ht="16.5" thickTop="1">
      <c r="A948" s="1"/>
      <c r="B948" s="1"/>
      <c r="C948" s="26"/>
      <c r="D948" s="26"/>
      <c r="E948" s="420"/>
      <c r="F948" s="23"/>
      <c r="G948" s="51"/>
      <c r="H948" s="51"/>
      <c r="I948" s="420" t="s">
        <v>31</v>
      </c>
      <c r="J948" s="23"/>
      <c r="K948" s="51" t="s">
        <v>31</v>
      </c>
      <c r="M948" s="20"/>
      <c r="N948" s="275" t="s">
        <v>265</v>
      </c>
      <c r="P948" s="74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</row>
    <row r="949" spans="1:29">
      <c r="A949" s="291" t="s">
        <v>500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414"/>
      <c r="N949" s="414"/>
      <c r="O949" s="74"/>
      <c r="P949" s="74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</row>
    <row r="950" spans="1:29">
      <c r="A950" s="1" t="s">
        <v>501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</row>
    <row r="951" spans="1:29">
      <c r="A951" s="1"/>
      <c r="B951" s="1"/>
      <c r="C951" s="1"/>
      <c r="D951" s="1"/>
      <c r="E951" s="417"/>
      <c r="F951" s="1"/>
      <c r="G951" s="1"/>
      <c r="H951" s="1"/>
      <c r="I951" s="417"/>
      <c r="J951" s="1"/>
      <c r="K951" s="1"/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</row>
    <row r="952" spans="1:29">
      <c r="A952" s="1" t="s">
        <v>491</v>
      </c>
      <c r="B952" s="1"/>
      <c r="C952" s="21"/>
      <c r="D952" s="21"/>
      <c r="E952" s="296"/>
      <c r="F952" s="1"/>
      <c r="G952" s="410">
        <v>2152.73</v>
      </c>
      <c r="H952" s="410">
        <v>2349.2199999999998</v>
      </c>
      <c r="I952" s="296"/>
      <c r="J952" s="1"/>
      <c r="K952" s="2">
        <f>G952</f>
        <v>2152.73</v>
      </c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</row>
    <row r="953" spans="1:29">
      <c r="A953" s="1" t="s">
        <v>598</v>
      </c>
      <c r="B953" s="1"/>
      <c r="C953" s="21"/>
      <c r="D953" s="21"/>
      <c r="E953" s="296"/>
      <c r="F953" s="1"/>
      <c r="G953" s="410"/>
      <c r="H953" s="410"/>
      <c r="I953" s="296"/>
      <c r="J953" s="1"/>
      <c r="K953" s="2"/>
      <c r="M953" s="20"/>
      <c r="N953" s="20"/>
      <c r="O953" s="414" t="e">
        <f>O947-K947</f>
        <v>#REF!</v>
      </c>
      <c r="P953" s="74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</row>
    <row r="954" spans="1:29">
      <c r="A954" s="3" t="s">
        <v>611</v>
      </c>
      <c r="B954" s="1"/>
      <c r="C954" s="21">
        <f>4115+22+44+10+367+2+4</f>
        <v>4564</v>
      </c>
      <c r="D954" s="21"/>
      <c r="E954" s="296">
        <v>1.91</v>
      </c>
      <c r="F954" s="1"/>
      <c r="G954" s="410">
        <f t="shared" ref="G954:G959" si="91">E954*C954</f>
        <v>8717.24</v>
      </c>
      <c r="H954" s="410"/>
      <c r="I954" s="296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20"/>
      <c r="N954" s="20"/>
      <c r="O954" s="74">
        <v>31</v>
      </c>
      <c r="P954" s="662">
        <f t="shared" ref="P954:P959" si="94">E954/O954</f>
        <v>6.1612903225806447E-2</v>
      </c>
      <c r="Q954" s="20"/>
      <c r="R954" s="20">
        <v>6.1460000000000001E-2</v>
      </c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</row>
    <row r="955" spans="1:29">
      <c r="A955" s="3" t="s">
        <v>612</v>
      </c>
      <c r="B955" s="1"/>
      <c r="C955" s="21">
        <f>7386+30+690+6</f>
        <v>8112</v>
      </c>
      <c r="D955" s="21"/>
      <c r="E955" s="296">
        <v>2.7</v>
      </c>
      <c r="F955" s="1"/>
      <c r="G955" s="410">
        <f t="shared" si="91"/>
        <v>21902.400000000001</v>
      </c>
      <c r="H955" s="410"/>
      <c r="I955" s="296">
        <f t="shared" si="92"/>
        <v>2.9119200000000003</v>
      </c>
      <c r="J955" s="1"/>
      <c r="K955" s="2">
        <f t="shared" si="93"/>
        <v>23621.495040000002</v>
      </c>
      <c r="M955" s="20"/>
      <c r="N955" s="20"/>
      <c r="O955" s="74">
        <v>44</v>
      </c>
      <c r="P955" s="662">
        <f t="shared" si="94"/>
        <v>6.136363636363637E-2</v>
      </c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</row>
    <row r="956" spans="1:29">
      <c r="A956" s="3" t="s">
        <v>613</v>
      </c>
      <c r="B956" s="1"/>
      <c r="C956" s="21">
        <f>357+715+39+65</f>
        <v>1176</v>
      </c>
      <c r="D956" s="21"/>
      <c r="E956" s="296">
        <v>3.93</v>
      </c>
      <c r="F956" s="1"/>
      <c r="G956" s="410">
        <f t="shared" si="91"/>
        <v>4621.68</v>
      </c>
      <c r="H956" s="410"/>
      <c r="I956" s="296">
        <f t="shared" si="92"/>
        <v>4.2355200000000002</v>
      </c>
      <c r="J956" s="1"/>
      <c r="K956" s="2">
        <f t="shared" si="93"/>
        <v>4980.9715200000001</v>
      </c>
      <c r="M956" s="20"/>
      <c r="N956" s="20"/>
      <c r="O956" s="74">
        <v>64</v>
      </c>
      <c r="P956" s="662">
        <f t="shared" si="94"/>
        <v>6.1406250000000002E-2</v>
      </c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</row>
    <row r="957" spans="1:29">
      <c r="A957" s="3" t="s">
        <v>614</v>
      </c>
      <c r="B957" s="1"/>
      <c r="C957" s="21">
        <f>10556+1033</f>
        <v>11589</v>
      </c>
      <c r="D957" s="21"/>
      <c r="E957" s="296">
        <v>5.22</v>
      </c>
      <c r="F957" s="1"/>
      <c r="G957" s="410">
        <f t="shared" si="91"/>
        <v>60494.579999999994</v>
      </c>
      <c r="H957" s="410"/>
      <c r="I957" s="296">
        <f t="shared" si="92"/>
        <v>5.6252999999999993</v>
      </c>
      <c r="J957" s="1"/>
      <c r="K957" s="2">
        <f t="shared" si="93"/>
        <v>65191.601699999992</v>
      </c>
      <c r="M957" s="20"/>
      <c r="N957" s="20"/>
      <c r="O957" s="74">
        <v>85</v>
      </c>
      <c r="P957" s="662">
        <f t="shared" si="94"/>
        <v>6.1411764705882353E-2</v>
      </c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</row>
    <row r="958" spans="1:29">
      <c r="A958" s="3" t="s">
        <v>615</v>
      </c>
      <c r="B958" s="1"/>
      <c r="C958" s="21">
        <f>1478+146+231+2458</f>
        <v>4313</v>
      </c>
      <c r="D958" s="21"/>
      <c r="E958" s="296">
        <v>7.07</v>
      </c>
      <c r="F958" s="1"/>
      <c r="G958" s="410">
        <f t="shared" si="91"/>
        <v>30492.91</v>
      </c>
      <c r="H958" s="410"/>
      <c r="I958" s="296">
        <f t="shared" si="92"/>
        <v>7.6107000000000005</v>
      </c>
      <c r="J958" s="1"/>
      <c r="K958" s="2">
        <f t="shared" si="93"/>
        <v>32824.949100000005</v>
      </c>
      <c r="M958" s="20"/>
      <c r="N958" s="20"/>
      <c r="O958" s="74">
        <v>115</v>
      </c>
      <c r="P958" s="662">
        <f t="shared" si="94"/>
        <v>6.1478260869565218E-2</v>
      </c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</row>
    <row r="959" spans="1:29">
      <c r="A959" s="3" t="s">
        <v>616</v>
      </c>
      <c r="B959" s="1"/>
      <c r="C959" s="21">
        <f>1575+177</f>
        <v>1752</v>
      </c>
      <c r="D959" s="21"/>
      <c r="E959" s="296">
        <v>10.82</v>
      </c>
      <c r="F959" s="1"/>
      <c r="G959" s="410">
        <f t="shared" si="91"/>
        <v>18956.64</v>
      </c>
      <c r="H959" s="410"/>
      <c r="I959" s="296">
        <f t="shared" si="92"/>
        <v>11.647680000000001</v>
      </c>
      <c r="J959" s="1"/>
      <c r="K959" s="2">
        <f t="shared" si="93"/>
        <v>20406.735360000002</v>
      </c>
      <c r="M959" s="20"/>
      <c r="N959" s="20"/>
      <c r="O959" s="74">
        <v>176</v>
      </c>
      <c r="P959" s="662">
        <f t="shared" si="94"/>
        <v>6.1477272727272728E-2</v>
      </c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</row>
    <row r="960" spans="1:29">
      <c r="B960" s="1"/>
      <c r="C960" s="21"/>
      <c r="D960" s="21"/>
      <c r="E960" s="296"/>
      <c r="F960" s="1"/>
      <c r="G960" s="410"/>
      <c r="H960" s="410"/>
      <c r="I960" s="296"/>
      <c r="J960" s="1"/>
      <c r="K960" s="2"/>
      <c r="M960" s="20"/>
      <c r="N960" s="20"/>
      <c r="O960" s="74"/>
      <c r="P960" s="74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</row>
    <row r="961" spans="1:29">
      <c r="A961" s="3" t="s">
        <v>599</v>
      </c>
      <c r="B961" s="1"/>
      <c r="C961" s="21"/>
      <c r="D961" s="21"/>
      <c r="E961" s="296"/>
      <c r="F961" s="1"/>
      <c r="G961" s="410"/>
      <c r="H961" s="410"/>
      <c r="I961" s="296" t="s">
        <v>31</v>
      </c>
      <c r="J961" s="1"/>
      <c r="K961" s="2"/>
      <c r="M961" s="20"/>
      <c r="N961" s="20"/>
      <c r="O961" s="74"/>
      <c r="P961" s="74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</row>
    <row r="962" spans="1:29">
      <c r="A962" s="3" t="s">
        <v>617</v>
      </c>
      <c r="B962" s="1"/>
      <c r="C962" s="21">
        <v>0</v>
      </c>
      <c r="D962" s="21"/>
      <c r="E962" s="296">
        <v>2.4</v>
      </c>
      <c r="F962" s="1"/>
      <c r="G962" s="410">
        <f>E962*C962</f>
        <v>0</v>
      </c>
      <c r="H962" s="410"/>
      <c r="I962" s="296">
        <f>$I$968*O962/100</f>
        <v>2.5810200000000005</v>
      </c>
      <c r="J962" s="1"/>
      <c r="K962" s="2">
        <f>I962*$C962</f>
        <v>0</v>
      </c>
      <c r="M962" s="20"/>
      <c r="N962" s="20"/>
      <c r="O962" s="74">
        <v>39</v>
      </c>
      <c r="P962" s="662">
        <f>E962/O962</f>
        <v>6.1538461538461535E-2</v>
      </c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1:29">
      <c r="A963" s="3" t="s">
        <v>618</v>
      </c>
      <c r="B963" s="1"/>
      <c r="C963" s="21">
        <f>370</f>
        <v>370</v>
      </c>
      <c r="D963" s="21"/>
      <c r="E963" s="296">
        <v>4.18</v>
      </c>
      <c r="F963" s="1"/>
      <c r="G963" s="410">
        <f>E963*C963</f>
        <v>1546.6</v>
      </c>
      <c r="H963" s="410"/>
      <c r="I963" s="296">
        <f>$I$968*O963/100</f>
        <v>4.5002399999999998</v>
      </c>
      <c r="J963" s="1"/>
      <c r="K963" s="2">
        <f>I963*$C963</f>
        <v>1665.0888</v>
      </c>
      <c r="M963" s="20"/>
      <c r="N963" s="20"/>
      <c r="O963" s="74">
        <v>68</v>
      </c>
      <c r="P963" s="662">
        <f>E963/O963</f>
        <v>6.147058823529411E-2</v>
      </c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</row>
    <row r="964" spans="1:29">
      <c r="A964" s="3" t="s">
        <v>619</v>
      </c>
      <c r="B964" s="1"/>
      <c r="C964" s="21">
        <f>4</f>
        <v>4</v>
      </c>
      <c r="D964" s="21"/>
      <c r="E964" s="296">
        <v>5.78</v>
      </c>
      <c r="F964" s="1"/>
      <c r="G964" s="410">
        <f>E964*C964</f>
        <v>23.12</v>
      </c>
      <c r="H964" s="410"/>
      <c r="I964" s="296">
        <f>$I$968*O964/100</f>
        <v>6.2209199999999996</v>
      </c>
      <c r="J964" s="1"/>
      <c r="K964" s="2">
        <f>I964*$C964</f>
        <v>24.883679999999998</v>
      </c>
      <c r="M964" s="20"/>
      <c r="N964" s="20"/>
      <c r="O964" s="74">
        <v>94</v>
      </c>
      <c r="P964" s="662">
        <f>E964/O964</f>
        <v>6.1489361702127661E-2</v>
      </c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</row>
    <row r="965" spans="1:29">
      <c r="A965" s="3" t="s">
        <v>620</v>
      </c>
      <c r="B965" s="1"/>
      <c r="C965" s="21">
        <f>128+39</f>
        <v>167</v>
      </c>
      <c r="D965" s="21"/>
      <c r="E965" s="296">
        <v>9.16</v>
      </c>
      <c r="F965" s="1"/>
      <c r="G965" s="410">
        <f>E965*C965</f>
        <v>1529.72</v>
      </c>
      <c r="H965" s="410"/>
      <c r="I965" s="296">
        <f>$I$968*O965/100</f>
        <v>9.8608200000000004</v>
      </c>
      <c r="J965" s="1"/>
      <c r="K965" s="2">
        <f>I965*$C965</f>
        <v>1646.75694</v>
      </c>
      <c r="M965" s="20"/>
      <c r="N965" s="20"/>
      <c r="O965" s="74">
        <v>149</v>
      </c>
      <c r="P965" s="662">
        <f>E965/O965</f>
        <v>6.1476510067114097E-2</v>
      </c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</row>
    <row r="966" spans="1:29">
      <c r="A966" s="3" t="s">
        <v>621</v>
      </c>
      <c r="B966" s="1"/>
      <c r="C966" s="21">
        <f>47</f>
        <v>47</v>
      </c>
      <c r="D966" s="21"/>
      <c r="E966" s="296">
        <v>21.76</v>
      </c>
      <c r="F966" s="1"/>
      <c r="G966" s="410">
        <f>E966*C966</f>
        <v>1022.72</v>
      </c>
      <c r="H966" s="410"/>
      <c r="I966" s="296">
        <f>$I$968*O966/100</f>
        <v>23.427720000000001</v>
      </c>
      <c r="J966" s="1"/>
      <c r="K966" s="2">
        <f>I966*$C966</f>
        <v>1101.10284</v>
      </c>
      <c r="M966" s="20"/>
      <c r="N966" s="20"/>
      <c r="O966" s="74">
        <v>354</v>
      </c>
      <c r="P966" s="662">
        <f>E966/O966</f>
        <v>6.1468926553672323E-2</v>
      </c>
      <c r="Q966" s="20" t="s">
        <v>31</v>
      </c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</row>
    <row r="967" spans="1:29">
      <c r="A967" s="1"/>
      <c r="B967" s="1"/>
      <c r="C967" s="21"/>
      <c r="D967" s="21"/>
      <c r="E967" s="296"/>
      <c r="F967" s="1"/>
      <c r="G967" s="410"/>
      <c r="H967" s="410"/>
      <c r="I967" s="296"/>
      <c r="J967" s="1"/>
      <c r="K967" s="2"/>
      <c r="M967" s="20"/>
      <c r="N967" s="20"/>
      <c r="O967" s="74"/>
      <c r="P967" s="74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</row>
    <row r="968" spans="1:29">
      <c r="A968" s="1" t="s">
        <v>622</v>
      </c>
      <c r="B968" s="1"/>
      <c r="C968" s="262">
        <f>363706+292497+2160+112145+73788+6445+101667+34034+586+824</f>
        <v>987852</v>
      </c>
      <c r="D968" s="317">
        <f>ROUND(($D$971/$C$971)*C968,0)</f>
        <v>999683</v>
      </c>
      <c r="E968" s="411">
        <f>$E$942</f>
        <v>6.1459999999999999</v>
      </c>
      <c r="F968" s="1" t="s">
        <v>377</v>
      </c>
      <c r="G968" s="412">
        <f>ROUND(C968*E968/100,0)</f>
        <v>60713</v>
      </c>
      <c r="H968" s="412">
        <f>ROUND(D968*E968/100,0)</f>
        <v>61441</v>
      </c>
      <c r="I968" s="411">
        <v>6.6180000000000003</v>
      </c>
      <c r="J968" s="1" t="s">
        <v>377</v>
      </c>
      <c r="K968" s="2">
        <f>ROUND(I968*C968/100,0)</f>
        <v>65376</v>
      </c>
      <c r="M968" s="20"/>
      <c r="N968" s="20"/>
      <c r="O968" s="74"/>
      <c r="P968" s="74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</row>
    <row r="969" spans="1:29">
      <c r="A969" s="1" t="s">
        <v>623</v>
      </c>
      <c r="B969" s="1"/>
      <c r="C969" s="262">
        <f>127566+324980+1320+22848+897247+169940+277177+682+1364+39325+272844+4120+11377+30360+264+2496+87808+16790+31152+28120+432+22016+6708+19364+62+124+3575+25641</f>
        <v>2425702</v>
      </c>
      <c r="D969" s="317">
        <f>ROUND(($D$971/$C$971)*C969,0)</f>
        <v>2454753</v>
      </c>
      <c r="E969" s="419" t="s">
        <v>31</v>
      </c>
      <c r="F969" s="1" t="s">
        <v>31</v>
      </c>
      <c r="G969" s="412" t="s">
        <v>31</v>
      </c>
      <c r="H969" s="412">
        <f>ROUND(D969*E969/100,0)</f>
        <v>0</v>
      </c>
      <c r="I969" s="419">
        <v>0</v>
      </c>
      <c r="J969" s="1" t="s">
        <v>377</v>
      </c>
      <c r="K969" s="2">
        <v>0</v>
      </c>
      <c r="M969" s="20"/>
      <c r="N969" s="20"/>
      <c r="O969" s="74"/>
      <c r="P969" s="74">
        <v>211950</v>
      </c>
      <c r="Q969" s="2">
        <f>C969*0.06146</f>
        <v>149083.64491999999</v>
      </c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</row>
    <row r="970" spans="1:29">
      <c r="A970" s="1" t="s">
        <v>365</v>
      </c>
      <c r="B970" s="1"/>
      <c r="C970" s="262">
        <f>54+1950</f>
        <v>2004</v>
      </c>
      <c r="D970" s="317">
        <v>2369</v>
      </c>
      <c r="E970" s="413"/>
      <c r="F970" s="1"/>
      <c r="G970" s="2"/>
      <c r="H970" s="2"/>
      <c r="I970" s="413"/>
      <c r="J970" s="1"/>
      <c r="K970" s="2"/>
      <c r="M970" s="20"/>
      <c r="N970" s="20"/>
      <c r="O970" s="74"/>
      <c r="P970" s="74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</row>
    <row r="971" spans="1:29">
      <c r="A971" s="3" t="s">
        <v>494</v>
      </c>
      <c r="C971" s="262">
        <f>C968+C969</f>
        <v>3413554</v>
      </c>
      <c r="D971" s="262">
        <v>3454436.4805654008</v>
      </c>
      <c r="E971" s="267"/>
      <c r="F971" s="20"/>
      <c r="G971" s="270">
        <f>SUM(G952:G969)</f>
        <v>212173.34</v>
      </c>
      <c r="H971" s="270">
        <f>SUM(H952:H969)</f>
        <v>63790.22</v>
      </c>
      <c r="I971" s="267"/>
      <c r="J971" s="20"/>
      <c r="K971" s="270">
        <f>SUM(K952:K969)</f>
        <v>228355.72609999997</v>
      </c>
      <c r="M971" s="20"/>
      <c r="N971" s="20"/>
      <c r="O971" s="74"/>
      <c r="P971" s="74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</row>
    <row r="972" spans="1:29">
      <c r="A972" s="3" t="s">
        <v>495</v>
      </c>
      <c r="C972" s="262" t="e">
        <f>#REF!</f>
        <v>#REF!</v>
      </c>
      <c r="D972" s="262">
        <v>0</v>
      </c>
      <c r="E972" s="267"/>
      <c r="F972" s="20"/>
      <c r="G972" s="270" t="e">
        <f>#REF!</f>
        <v>#REF!</v>
      </c>
      <c r="H972" s="270">
        <v>0</v>
      </c>
      <c r="I972" s="267"/>
      <c r="J972" s="20"/>
      <c r="K972" s="270" t="e">
        <f>G972</f>
        <v>#REF!</v>
      </c>
      <c r="M972" s="442"/>
      <c r="N972" s="442"/>
      <c r="O972" s="285"/>
      <c r="P972" s="74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</row>
    <row r="973" spans="1:29" ht="16.5" thickBot="1">
      <c r="A973" s="1" t="s">
        <v>9</v>
      </c>
      <c r="B973" s="1"/>
      <c r="C973" s="391" t="e">
        <f>C971+C972</f>
        <v>#REF!</v>
      </c>
      <c r="D973" s="391">
        <f>D971+D972</f>
        <v>3454436.4805654008</v>
      </c>
      <c r="E973" s="415"/>
      <c r="F973" s="416"/>
      <c r="G973" s="272" t="e">
        <f>G971+G972</f>
        <v>#REF!</v>
      </c>
      <c r="H973" s="272">
        <f>H971+H972</f>
        <v>63790.22</v>
      </c>
      <c r="I973" s="415"/>
      <c r="J973" s="416"/>
      <c r="K973" s="272" t="e">
        <f>K971+K972</f>
        <v>#REF!</v>
      </c>
      <c r="M973" s="409"/>
      <c r="N973" s="409"/>
      <c r="O973" s="468"/>
      <c r="P973" s="74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</row>
    <row r="974" spans="1:29" ht="16.5" thickTop="1">
      <c r="A974" s="1"/>
      <c r="B974" s="1"/>
      <c r="C974" s="26"/>
      <c r="D974" s="26"/>
      <c r="E974" s="420"/>
      <c r="F974" s="23"/>
      <c r="G974" s="51"/>
      <c r="H974" s="51"/>
      <c r="I974" s="420" t="s">
        <v>31</v>
      </c>
      <c r="J974" s="23"/>
      <c r="K974" s="51" t="s">
        <v>31</v>
      </c>
      <c r="M974" s="20"/>
      <c r="N974" s="20"/>
      <c r="O974" s="74"/>
      <c r="P974" s="74" t="s">
        <v>31</v>
      </c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</row>
    <row r="975" spans="1:29">
      <c r="A975" s="291" t="s">
        <v>502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20"/>
      <c r="N975" s="20"/>
      <c r="O975" s="74"/>
      <c r="P975" s="74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</row>
    <row r="976" spans="1:29">
      <c r="A976" s="1" t="s">
        <v>503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20"/>
      <c r="N976" s="20"/>
      <c r="O976" s="74"/>
      <c r="P976" s="74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</row>
    <row r="977" spans="1:29">
      <c r="A977" s="1"/>
      <c r="B977" s="1"/>
      <c r="C977" s="1"/>
      <c r="D977" s="1"/>
      <c r="E977" s="417"/>
      <c r="F977" s="1"/>
      <c r="G977" s="1"/>
      <c r="H977" s="1"/>
      <c r="I977" s="417"/>
      <c r="J977" s="1"/>
      <c r="K977" s="1"/>
      <c r="M977" s="20"/>
      <c r="N977" s="20"/>
      <c r="O977" s="74"/>
      <c r="P977" s="74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</row>
    <row r="978" spans="1:29">
      <c r="A978" s="1" t="s">
        <v>491</v>
      </c>
      <c r="B978" s="1"/>
      <c r="C978" s="21"/>
      <c r="D978" s="21"/>
      <c r="E978" s="296"/>
      <c r="F978" s="1"/>
      <c r="G978" s="410">
        <v>0</v>
      </c>
      <c r="H978" s="410">
        <v>0</v>
      </c>
      <c r="I978" s="296"/>
      <c r="J978" s="1"/>
      <c r="K978" s="2">
        <f>G978</f>
        <v>0</v>
      </c>
      <c r="M978" s="20"/>
      <c r="N978" s="20"/>
      <c r="O978" s="74"/>
      <c r="P978" s="74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</row>
    <row r="979" spans="1:29">
      <c r="A979" s="1" t="s">
        <v>498</v>
      </c>
      <c r="B979" s="1"/>
      <c r="C979" s="262">
        <v>0</v>
      </c>
      <c r="D979" s="317">
        <f>ROUND(($D$982/$C$982)*C979,0)</f>
        <v>0</v>
      </c>
      <c r="E979" s="411">
        <f>$E$942</f>
        <v>6.1459999999999999</v>
      </c>
      <c r="F979" s="1" t="s">
        <v>377</v>
      </c>
      <c r="G979" s="412">
        <f>ROUND(C979*E979/100,0)</f>
        <v>0</v>
      </c>
      <c r="H979" s="412">
        <f>ROUND(D979*E979/100,0)</f>
        <v>0</v>
      </c>
      <c r="I979" s="411">
        <f>I968</f>
        <v>6.6180000000000003</v>
      </c>
      <c r="J979" s="1" t="s">
        <v>377</v>
      </c>
      <c r="K979" s="2">
        <f>ROUND(I979*D979/100,0)</f>
        <v>0</v>
      </c>
      <c r="M979" s="20"/>
      <c r="N979" s="20"/>
      <c r="O979" s="74"/>
      <c r="P979" s="74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</row>
    <row r="980" spans="1:29">
      <c r="A980" s="1" t="s">
        <v>499</v>
      </c>
      <c r="B980" s="1"/>
      <c r="C980" s="262">
        <v>1030127</v>
      </c>
      <c r="D980" s="317">
        <f>ROUND(($D$982/$C$982)*C980,0)</f>
        <v>984893</v>
      </c>
      <c r="E980" s="419">
        <f>E979</f>
        <v>6.1459999999999999</v>
      </c>
      <c r="F980" s="1" t="s">
        <v>377</v>
      </c>
      <c r="G980" s="412">
        <f>ROUND(C980*E980/100,0)</f>
        <v>63312</v>
      </c>
      <c r="H980" s="412">
        <f>ROUND(D980*E980/100,0)</f>
        <v>60532</v>
      </c>
      <c r="I980" s="419">
        <f>I979</f>
        <v>6.6180000000000003</v>
      </c>
      <c r="J980" s="1" t="s">
        <v>377</v>
      </c>
      <c r="K980" s="2">
        <f>ROUND(I980*$C980/100,0)</f>
        <v>68174</v>
      </c>
      <c r="M980" s="20"/>
      <c r="N980" s="20"/>
      <c r="O980" s="74"/>
      <c r="P980" s="74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</row>
    <row r="981" spans="1:29">
      <c r="A981" s="1" t="s">
        <v>365</v>
      </c>
      <c r="B981" s="1"/>
      <c r="C981" s="262">
        <v>1042</v>
      </c>
      <c r="D981" s="317">
        <v>1032</v>
      </c>
      <c r="E981" s="413"/>
      <c r="F981" s="1"/>
      <c r="G981" s="2"/>
      <c r="H981" s="2"/>
      <c r="I981" s="413"/>
      <c r="J981" s="1"/>
      <c r="K981" s="2"/>
      <c r="M981" s="20"/>
      <c r="N981" s="20"/>
      <c r="O981" s="74"/>
      <c r="P981" s="74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</row>
    <row r="982" spans="1:29">
      <c r="A982" s="3" t="s">
        <v>494</v>
      </c>
      <c r="C982" s="262">
        <f>C979+C980</f>
        <v>1030127</v>
      </c>
      <c r="D982" s="262">
        <v>984893.270531249</v>
      </c>
      <c r="E982" s="267"/>
      <c r="F982" s="20"/>
      <c r="G982" s="270">
        <f>SUM(G978:G980)</f>
        <v>63312</v>
      </c>
      <c r="H982" s="270">
        <f>SUM(H978:H980)</f>
        <v>60532</v>
      </c>
      <c r="I982" s="267"/>
      <c r="J982" s="20"/>
      <c r="K982" s="270">
        <f>SUM(K978:K980)</f>
        <v>68174</v>
      </c>
      <c r="M982" s="20"/>
      <c r="N982" s="20"/>
      <c r="O982" s="74"/>
      <c r="P982" s="74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</row>
    <row r="983" spans="1:29">
      <c r="A983" s="3" t="s">
        <v>495</v>
      </c>
      <c r="C983" s="262" t="e">
        <f>#REF!</f>
        <v>#REF!</v>
      </c>
      <c r="D983" s="262">
        <v>0</v>
      </c>
      <c r="E983" s="267"/>
      <c r="F983" s="20"/>
      <c r="G983" s="270" t="e">
        <f>#REF!</f>
        <v>#REF!</v>
      </c>
      <c r="H983" s="270">
        <v>0</v>
      </c>
      <c r="I983" s="267"/>
      <c r="J983" s="20"/>
      <c r="K983" s="270" t="e">
        <f>G983</f>
        <v>#REF!</v>
      </c>
      <c r="M983" s="442"/>
      <c r="N983" s="442"/>
      <c r="O983" s="285"/>
      <c r="P983" s="74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</row>
    <row r="984" spans="1:29" ht="16.5" thickBot="1">
      <c r="A984" s="1" t="s">
        <v>9</v>
      </c>
      <c r="B984" s="1"/>
      <c r="C984" s="391" t="e">
        <f>C982+C983</f>
        <v>#REF!</v>
      </c>
      <c r="D984" s="391">
        <f>D982+D983</f>
        <v>984893.270531249</v>
      </c>
      <c r="E984" s="415"/>
      <c r="F984" s="416"/>
      <c r="G984" s="272" t="e">
        <f>G982+G983</f>
        <v>#REF!</v>
      </c>
      <c r="H984" s="272">
        <f>H982+H983</f>
        <v>60532</v>
      </c>
      <c r="I984" s="415"/>
      <c r="J984" s="416"/>
      <c r="K984" s="272" t="e">
        <f>K982+K983</f>
        <v>#REF!</v>
      </c>
      <c r="M984" s="409"/>
      <c r="N984" s="409"/>
      <c r="O984" s="468"/>
      <c r="P984" s="74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</row>
    <row r="985" spans="1:29" ht="16.5" thickTop="1">
      <c r="A985" s="1"/>
      <c r="B985" s="1"/>
      <c r="C985" s="26"/>
      <c r="D985" s="26"/>
      <c r="E985" s="420"/>
      <c r="F985" s="23"/>
      <c r="G985" s="51"/>
      <c r="H985" s="51"/>
      <c r="I985" s="420" t="s">
        <v>31</v>
      </c>
      <c r="J985" s="23"/>
      <c r="K985" s="51" t="s">
        <v>31</v>
      </c>
      <c r="M985" s="20"/>
      <c r="N985" s="20"/>
      <c r="O985" s="74"/>
      <c r="P985" s="74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</row>
    <row r="986" spans="1:29">
      <c r="A986" s="291" t="s">
        <v>504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31</v>
      </c>
      <c r="M986" s="20"/>
      <c r="N986" s="20"/>
      <c r="O986" s="74"/>
      <c r="P986" s="74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</row>
    <row r="987" spans="1:29">
      <c r="A987" s="1" t="s">
        <v>194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20"/>
      <c r="N987" s="20"/>
      <c r="O987" s="74"/>
      <c r="P987" s="74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20"/>
      <c r="N988" s="20"/>
      <c r="O988" s="74"/>
      <c r="P988" s="74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</row>
    <row r="989" spans="1:29">
      <c r="A989" s="1" t="s">
        <v>505</v>
      </c>
      <c r="B989" s="1"/>
      <c r="C989" s="21">
        <v>192</v>
      </c>
      <c r="D989" s="317">
        <v>190</v>
      </c>
      <c r="E989" s="296">
        <v>3.5</v>
      </c>
      <c r="F989" s="1"/>
      <c r="G989" s="2">
        <f>ROUND(E989*C989,0)</f>
        <v>672</v>
      </c>
      <c r="H989" s="2">
        <f>ROUND(E989*D989,0)</f>
        <v>665</v>
      </c>
      <c r="I989" s="296">
        <f>'Blocking - detail'!I960</f>
        <v>3.5</v>
      </c>
      <c r="J989" s="1"/>
      <c r="K989" s="2">
        <f>ROUND(I989*$C989,0)</f>
        <v>672</v>
      </c>
      <c r="M989" s="84">
        <f>I989*D989</f>
        <v>665</v>
      </c>
      <c r="N989" s="20"/>
      <c r="O989" s="423"/>
      <c r="P989" s="423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</row>
    <row r="990" spans="1:29">
      <c r="A990" s="1" t="s">
        <v>506</v>
      </c>
      <c r="B990" s="1"/>
      <c r="C990" s="21">
        <v>146</v>
      </c>
      <c r="D990" s="317">
        <v>145</v>
      </c>
      <c r="E990" s="296">
        <v>6.5</v>
      </c>
      <c r="F990" s="1"/>
      <c r="G990" s="2">
        <f>ROUND(E990*C990,0)</f>
        <v>949</v>
      </c>
      <c r="H990" s="2">
        <f>ROUND(E990*D990,0)</f>
        <v>943</v>
      </c>
      <c r="I990" s="296">
        <f>'Blocking - detail'!I961</f>
        <v>6.5</v>
      </c>
      <c r="J990" s="1"/>
      <c r="K990" s="2">
        <f>ROUND(I990*$C990,0)</f>
        <v>949</v>
      </c>
      <c r="M990" s="84">
        <f>I990*D990</f>
        <v>942.5</v>
      </c>
      <c r="N990" s="20"/>
      <c r="O990" s="423"/>
      <c r="P990" s="423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</row>
    <row r="991" spans="1:29">
      <c r="A991" s="1" t="s">
        <v>507</v>
      </c>
      <c r="B991" s="1"/>
      <c r="C991" s="21">
        <f>SUM(C989:C990)</f>
        <v>338</v>
      </c>
      <c r="D991" s="317">
        <v>335</v>
      </c>
      <c r="E991" s="372"/>
      <c r="F991" s="1"/>
      <c r="G991" s="412"/>
      <c r="H991" s="412"/>
      <c r="I991" s="372"/>
      <c r="J991" s="1"/>
      <c r="K991" s="2"/>
      <c r="M991" s="20"/>
      <c r="N991" s="20"/>
      <c r="O991" s="423"/>
      <c r="P991" s="423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</row>
    <row r="992" spans="1:29">
      <c r="A992" s="1" t="s">
        <v>467</v>
      </c>
      <c r="B992" s="1"/>
      <c r="C992" s="21">
        <f>88297+144017</f>
        <v>232314</v>
      </c>
      <c r="D992" s="317">
        <v>235030</v>
      </c>
      <c r="E992" s="325">
        <v>7.2930000000000001</v>
      </c>
      <c r="F992" s="1" t="s">
        <v>377</v>
      </c>
      <c r="G992" s="412">
        <f>ROUND(C992*E992/100,0)</f>
        <v>16943</v>
      </c>
      <c r="H992" s="412">
        <f>ROUND(D992*E992/100,0)</f>
        <v>17141</v>
      </c>
      <c r="I992" s="325">
        <v>7.88</v>
      </c>
      <c r="J992" s="2" t="s">
        <v>377</v>
      </c>
      <c r="K992" s="2">
        <f>ROUND(I992*$C992/100,0)</f>
        <v>18306</v>
      </c>
      <c r="M992" s="84">
        <f>(I992/100)*D992</f>
        <v>18520.363999999998</v>
      </c>
      <c r="N992" s="20"/>
      <c r="O992" s="423"/>
      <c r="P992" s="423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</row>
    <row r="993" spans="1:29">
      <c r="A993" s="1" t="s">
        <v>384</v>
      </c>
      <c r="B993" s="1"/>
      <c r="C993" s="317">
        <f>SUM(C992)</f>
        <v>232314</v>
      </c>
      <c r="D993" s="317">
        <f>SUM(D992)</f>
        <v>235030</v>
      </c>
      <c r="E993" s="21"/>
      <c r="F993" s="21"/>
      <c r="G993" s="412">
        <f>SUM(G989:G992)</f>
        <v>18564</v>
      </c>
      <c r="H993" s="412">
        <f>SUM(H989:H992)</f>
        <v>18749</v>
      </c>
      <c r="I993" s="21"/>
      <c r="J993" s="2"/>
      <c r="K993" s="412">
        <f>SUM(K989:K992)</f>
        <v>19927</v>
      </c>
      <c r="M993" s="414">
        <f>SUM(M989:M992)</f>
        <v>20127.863999999998</v>
      </c>
      <c r="N993" s="20"/>
      <c r="O993" s="74"/>
      <c r="P993" s="74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</row>
    <row r="994" spans="1:29">
      <c r="A994" s="1" t="s">
        <v>366</v>
      </c>
      <c r="B994" s="1"/>
      <c r="C994" s="347" t="e">
        <f>#REF!</f>
        <v>#REF!</v>
      </c>
      <c r="D994" s="347">
        <v>0</v>
      </c>
      <c r="E994" s="425"/>
      <c r="F994" s="425"/>
      <c r="G994" s="426" t="e">
        <f>#REF!</f>
        <v>#REF!</v>
      </c>
      <c r="H994" s="426">
        <v>0</v>
      </c>
      <c r="I994" s="425"/>
      <c r="J994" s="425"/>
      <c r="K994" s="426" t="e">
        <f>G994</f>
        <v>#REF!</v>
      </c>
      <c r="M994" s="287"/>
      <c r="N994" s="287"/>
      <c r="O994" s="288"/>
      <c r="P994" s="74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</row>
    <row r="995" spans="1:29" ht="16.5" thickBot="1">
      <c r="A995" s="1" t="s">
        <v>385</v>
      </c>
      <c r="B995" s="1"/>
      <c r="C995" s="364" t="e">
        <f>C993+C994</f>
        <v>#REF!</v>
      </c>
      <c r="D995" s="364">
        <f>D992+D994</f>
        <v>235030</v>
      </c>
      <c r="E995" s="343"/>
      <c r="F995" s="343"/>
      <c r="G995" s="310" t="e">
        <f>G993+G994</f>
        <v>#REF!</v>
      </c>
      <c r="H995" s="310">
        <f>H993+H994</f>
        <v>18749</v>
      </c>
      <c r="I995" s="343"/>
      <c r="J995" s="343"/>
      <c r="K995" s="310" t="e">
        <f>K993+K994</f>
        <v>#REF!</v>
      </c>
      <c r="M995" s="289"/>
      <c r="N995" s="275" t="s">
        <v>412</v>
      </c>
      <c r="O995" s="69" t="e">
        <f>#REF!*1000</f>
        <v>#REF!</v>
      </c>
      <c r="P995" s="74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</row>
    <row r="996" spans="1:29" ht="16.5" thickTop="1">
      <c r="A996" s="1"/>
      <c r="B996" s="311"/>
      <c r="C996" s="1"/>
      <c r="D996" s="1"/>
      <c r="E996" s="1"/>
      <c r="F996" s="1"/>
      <c r="G996" s="1"/>
      <c r="H996" s="1"/>
      <c r="I996" s="1" t="s">
        <v>31</v>
      </c>
      <c r="J996" s="1"/>
      <c r="K996" s="2" t="s">
        <v>31</v>
      </c>
      <c r="M996" s="20"/>
      <c r="N996" s="275" t="s">
        <v>265</v>
      </c>
      <c r="O996" s="414" t="e">
        <f>O995-K995</f>
        <v>#REF!</v>
      </c>
      <c r="P996" s="274" t="e">
        <f>(O995-K995)/K995</f>
        <v>#REF!</v>
      </c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</row>
    <row r="997" spans="1:29">
      <c r="A997" s="260" t="s">
        <v>508</v>
      </c>
      <c r="B997" s="301"/>
      <c r="C997" s="301"/>
      <c r="D997" s="301"/>
      <c r="E997" s="301"/>
      <c r="F997" s="301"/>
      <c r="G997" s="301"/>
      <c r="H997" s="301"/>
      <c r="I997" s="301"/>
      <c r="J997" s="301"/>
      <c r="K997" s="301"/>
      <c r="M997" s="20"/>
      <c r="N997" s="20"/>
      <c r="O997" s="74"/>
      <c r="P997" s="74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</row>
    <row r="998" spans="1:29">
      <c r="A998" s="301" t="s">
        <v>509</v>
      </c>
      <c r="B998" s="301"/>
      <c r="C998" s="301"/>
      <c r="D998" s="301"/>
      <c r="E998" s="301"/>
      <c r="F998" s="301"/>
      <c r="G998" s="301"/>
      <c r="H998" s="301"/>
      <c r="I998" s="301"/>
      <c r="J998" s="301"/>
      <c r="K998" s="301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0"/>
      <c r="Z998" s="20"/>
      <c r="AA998" s="20"/>
      <c r="AB998" s="20"/>
      <c r="AC998" s="20"/>
    </row>
    <row r="999" spans="1:29">
      <c r="A999" s="428" t="s">
        <v>510</v>
      </c>
      <c r="B999" s="301"/>
      <c r="C999" s="301"/>
      <c r="D999" s="301"/>
      <c r="E999" s="301"/>
      <c r="F999" s="301"/>
      <c r="G999" s="301"/>
      <c r="H999" s="301"/>
      <c r="I999" s="301"/>
      <c r="J999" s="301"/>
      <c r="K999" s="301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0"/>
      <c r="Z999" s="20"/>
      <c r="AA999" s="20"/>
      <c r="AB999" s="20"/>
      <c r="AC999" s="20"/>
    </row>
    <row r="1000" spans="1:29">
      <c r="A1000" s="3" t="s">
        <v>511</v>
      </c>
      <c r="G1000" s="261"/>
      <c r="H1000" s="261"/>
      <c r="M1000" s="276"/>
      <c r="N1000" s="276"/>
      <c r="O1000" s="276"/>
      <c r="P1000" s="74"/>
      <c r="Q1000" s="277"/>
      <c r="R1000" s="278"/>
      <c r="S1000" s="429"/>
      <c r="T1000" s="280"/>
      <c r="U1000" s="276"/>
      <c r="V1000" s="276"/>
      <c r="W1000" s="276"/>
      <c r="X1000" s="276"/>
      <c r="Y1000" s="20"/>
      <c r="Z1000" s="20"/>
      <c r="AA1000" s="20"/>
      <c r="AB1000" s="20"/>
      <c r="AC1000" s="20"/>
    </row>
    <row r="1001" spans="1:29">
      <c r="A1001" s="3" t="s">
        <v>357</v>
      </c>
      <c r="C1001" s="262">
        <f>10803</f>
        <v>10803</v>
      </c>
      <c r="D1001" s="262">
        <f>ROUND(($D$1030/$C$1030)*C1001,0)</f>
        <v>10983</v>
      </c>
      <c r="E1001" s="263">
        <v>8.7799999999999994</v>
      </c>
      <c r="G1001" s="2">
        <f>ROUND(E1001*$C1001,0)</f>
        <v>94850</v>
      </c>
      <c r="H1001" s="2">
        <f>ROUND(E1001*$D1001,0)</f>
        <v>96431</v>
      </c>
      <c r="I1001" s="263" t="e">
        <f>E1001+(E1001*$P$1032)</f>
        <v>#REF!</v>
      </c>
      <c r="K1001" s="2" t="e">
        <f>ROUND(I1001*$C1001,0)</f>
        <v>#REF!</v>
      </c>
      <c r="M1001" s="84" t="e">
        <f>I1001*D1001</f>
        <v>#REF!</v>
      </c>
      <c r="N1001" s="20"/>
      <c r="O1001" s="279"/>
      <c r="P1001" s="74"/>
      <c r="Q1001" s="401"/>
      <c r="R1001" s="281"/>
      <c r="S1001" s="282"/>
      <c r="T1001" s="276"/>
      <c r="U1001" s="279"/>
      <c r="V1001" s="279"/>
      <c r="W1001" s="430"/>
      <c r="X1001" s="279"/>
      <c r="Y1001" s="20"/>
      <c r="Z1001" s="20"/>
      <c r="AA1001" s="20"/>
      <c r="AB1001" s="20"/>
      <c r="AC1001" s="20"/>
    </row>
    <row r="1002" spans="1:29">
      <c r="A1002" s="3" t="s">
        <v>358</v>
      </c>
      <c r="C1002" s="262">
        <f>1449</f>
        <v>1449</v>
      </c>
      <c r="D1002" s="262">
        <f>ROUND(($D$1030/$C$1030)*C1002,0)</f>
        <v>1473</v>
      </c>
      <c r="E1002" s="263">
        <v>16.079999999999998</v>
      </c>
      <c r="G1002" s="2">
        <f>ROUND(E1002*$C1002,0)</f>
        <v>23300</v>
      </c>
      <c r="H1002" s="2">
        <f>ROUND(E1002*$D1002,0)</f>
        <v>23686</v>
      </c>
      <c r="I1002" s="263" t="e">
        <f>E1002+(E1002*$P$1032)</f>
        <v>#REF!</v>
      </c>
      <c r="K1002" s="2" t="e">
        <f>ROUND(I1002*$C1002,0)</f>
        <v>#REF!</v>
      </c>
      <c r="M1002" s="84" t="e">
        <f>I1002*D1002</f>
        <v>#REF!</v>
      </c>
      <c r="N1002" s="20"/>
      <c r="O1002" s="279"/>
      <c r="P1002" s="74"/>
      <c r="Q1002" s="401"/>
      <c r="R1002" s="281"/>
      <c r="S1002" s="276"/>
      <c r="T1002" s="276"/>
      <c r="U1002" s="279"/>
      <c r="V1002" s="279"/>
      <c r="W1002" s="430"/>
      <c r="X1002" s="279"/>
      <c r="Y1002" s="20"/>
      <c r="Z1002" s="20"/>
      <c r="AA1002" s="20"/>
      <c r="AB1002" s="20"/>
      <c r="AC1002" s="20"/>
    </row>
    <row r="1003" spans="1:29">
      <c r="A1003" s="3" t="s">
        <v>359</v>
      </c>
      <c r="C1003" s="262">
        <v>36</v>
      </c>
      <c r="D1003" s="262">
        <f>ROUND(($D$1030/$C$1030)*C1003,0)</f>
        <v>37</v>
      </c>
      <c r="E1003" s="263">
        <v>32.53</v>
      </c>
      <c r="G1003" s="2">
        <f>ROUND(E1003*$C1003,0)</f>
        <v>1171</v>
      </c>
      <c r="H1003" s="2">
        <f>ROUND(E1003*$D1003,0)</f>
        <v>1204</v>
      </c>
      <c r="I1003" s="263" t="e">
        <f>E1003+(E1003*$P$1032)</f>
        <v>#REF!</v>
      </c>
      <c r="K1003" s="2" t="e">
        <f>ROUND(I1003*$C1003,0)</f>
        <v>#REF!</v>
      </c>
      <c r="M1003" s="84" t="e">
        <f>I1003*D1003</f>
        <v>#REF!</v>
      </c>
      <c r="N1003" s="20"/>
      <c r="O1003" s="279"/>
      <c r="P1003" s="74"/>
      <c r="Q1003" s="401"/>
      <c r="R1003" s="281"/>
      <c r="S1003" s="276"/>
      <c r="T1003" s="276"/>
      <c r="U1003" s="279"/>
      <c r="V1003" s="279"/>
      <c r="W1003" s="430"/>
      <c r="X1003" s="279"/>
      <c r="Y1003" s="20"/>
      <c r="Z1003" s="20"/>
      <c r="AA1003" s="20"/>
      <c r="AB1003" s="20"/>
      <c r="AC1003" s="20"/>
    </row>
    <row r="1004" spans="1:29">
      <c r="A1004" s="3" t="s">
        <v>512</v>
      </c>
      <c r="C1004" s="262"/>
      <c r="D1004" s="262"/>
      <c r="E1004" s="431"/>
      <c r="G1004" s="261"/>
      <c r="H1004" s="261"/>
      <c r="I1004" s="431"/>
      <c r="N1004" s="20"/>
      <c r="O1004" s="279"/>
      <c r="P1004" s="74"/>
      <c r="Q1004" s="20"/>
      <c r="R1004" s="285"/>
      <c r="S1004" s="276"/>
      <c r="T1004" s="276"/>
      <c r="U1004" s="279"/>
      <c r="V1004" s="279"/>
      <c r="W1004" s="430"/>
      <c r="X1004" s="279"/>
      <c r="Y1004" s="20"/>
      <c r="Z1004" s="20"/>
      <c r="AA1004" s="20"/>
      <c r="AB1004" s="20"/>
      <c r="AC1004" s="20"/>
    </row>
    <row r="1005" spans="1:29">
      <c r="A1005" s="3" t="s">
        <v>357</v>
      </c>
      <c r="C1005" s="262">
        <f>5042</f>
        <v>5042</v>
      </c>
      <c r="D1005" s="262">
        <f>ROUND(($D$1030/$C$1030)*C1005,0)</f>
        <v>5126</v>
      </c>
      <c r="E1005" s="263">
        <v>8.23</v>
      </c>
      <c r="G1005" s="2">
        <f>ROUND(E1005*$C1005,0)</f>
        <v>41496</v>
      </c>
      <c r="H1005" s="2">
        <f>ROUND(E1005*$D1005,0)</f>
        <v>42187</v>
      </c>
      <c r="I1005" s="263" t="e">
        <f>E1005+(E1005*$P$1032)</f>
        <v>#REF!</v>
      </c>
      <c r="K1005" s="2" t="e">
        <f>ROUND(I1005*$C1005,0)</f>
        <v>#REF!</v>
      </c>
      <c r="M1005" s="84" t="e">
        <f>I1005*D1005</f>
        <v>#REF!</v>
      </c>
      <c r="N1005" s="20"/>
      <c r="O1005" s="279"/>
      <c r="P1005" s="74"/>
      <c r="Q1005" s="401"/>
      <c r="R1005" s="281"/>
      <c r="S1005" s="20"/>
      <c r="T1005" s="20"/>
      <c r="U1005" s="279"/>
      <c r="V1005" s="279"/>
      <c r="W1005" s="430"/>
      <c r="X1005" s="279"/>
      <c r="Y1005" s="20"/>
      <c r="Z1005" s="20"/>
      <c r="AA1005" s="20"/>
      <c r="AB1005" s="20"/>
      <c r="AC1005" s="20"/>
    </row>
    <row r="1006" spans="1:29">
      <c r="A1006" s="3" t="s">
        <v>358</v>
      </c>
      <c r="C1006" s="262">
        <v>0</v>
      </c>
      <c r="D1006" s="262">
        <f>ROUND(($D$1030/$C$1030)*C1006,0)</f>
        <v>0</v>
      </c>
      <c r="E1006" s="263">
        <v>15</v>
      </c>
      <c r="G1006" s="2">
        <f>ROUND(E1006*$C1006,0)</f>
        <v>0</v>
      </c>
      <c r="H1006" s="2">
        <f>ROUND(E1006*$D1006,0)</f>
        <v>0</v>
      </c>
      <c r="I1006" s="263" t="e">
        <f>E1006+(E1006*$P$1032)</f>
        <v>#REF!</v>
      </c>
      <c r="K1006" s="2" t="e">
        <f>ROUND(I1006*$C1006,0)</f>
        <v>#REF!</v>
      </c>
      <c r="M1006" s="84" t="e">
        <f>I1006*D1006</f>
        <v>#REF!</v>
      </c>
      <c r="N1006" s="20"/>
      <c r="O1006" s="279"/>
      <c r="P1006" s="74"/>
      <c r="Q1006" s="401"/>
      <c r="R1006" s="281"/>
      <c r="S1006" s="20"/>
      <c r="T1006" s="20"/>
      <c r="U1006" s="279"/>
      <c r="V1006" s="279"/>
      <c r="W1006" s="430"/>
      <c r="X1006" s="279"/>
      <c r="Y1006" s="20"/>
      <c r="Z1006" s="20"/>
      <c r="AA1006" s="20"/>
      <c r="AB1006" s="20"/>
      <c r="AC1006" s="20"/>
    </row>
    <row r="1007" spans="1:29">
      <c r="A1007" s="428" t="s">
        <v>513</v>
      </c>
      <c r="C1007" s="262"/>
      <c r="D1007" s="262"/>
      <c r="E1007" s="263"/>
      <c r="G1007" s="2"/>
      <c r="H1007" s="2"/>
      <c r="I1007" s="263"/>
      <c r="K1007" s="2"/>
      <c r="N1007" s="20"/>
      <c r="O1007" s="279"/>
      <c r="P1007" s="74"/>
      <c r="Q1007" s="20"/>
      <c r="R1007" s="20"/>
      <c r="S1007" s="20"/>
      <c r="T1007" s="20"/>
      <c r="U1007" s="20"/>
      <c r="V1007" s="20"/>
      <c r="W1007" s="430"/>
      <c r="X1007" s="20"/>
      <c r="Y1007" s="20"/>
      <c r="Z1007" s="20"/>
      <c r="AA1007" s="20"/>
      <c r="AB1007" s="20"/>
      <c r="AC1007" s="20"/>
    </row>
    <row r="1008" spans="1:29">
      <c r="A1008" s="3" t="s">
        <v>511</v>
      </c>
      <c r="C1008" s="262"/>
      <c r="D1008" s="262"/>
      <c r="E1008" s="431"/>
      <c r="G1008" s="261"/>
      <c r="H1008" s="261"/>
      <c r="I1008" s="431"/>
      <c r="N1008" s="20"/>
      <c r="O1008" s="74"/>
      <c r="P1008" s="74"/>
      <c r="Q1008" s="20"/>
      <c r="R1008" s="20"/>
      <c r="S1008" s="20"/>
      <c r="T1008" s="20"/>
      <c r="U1008" s="20"/>
      <c r="V1008" s="20"/>
      <c r="W1008" s="430"/>
      <c r="X1008" s="20"/>
      <c r="Y1008" s="20"/>
      <c r="Z1008" s="20"/>
      <c r="AA1008" s="20"/>
      <c r="AB1008" s="20"/>
      <c r="AC1008" s="20"/>
    </row>
    <row r="1009" spans="1:29">
      <c r="A1009" s="3" t="s">
        <v>357</v>
      </c>
      <c r="C1009" s="262">
        <f>471</f>
        <v>471</v>
      </c>
      <c r="D1009" s="262">
        <f>ROUND(($D$1030/$C$1030)*C1009,0)</f>
        <v>479</v>
      </c>
      <c r="E1009" s="263">
        <v>11.47</v>
      </c>
      <c r="G1009" s="2">
        <f>ROUND(E1009*$C1009,0)</f>
        <v>5402</v>
      </c>
      <c r="H1009" s="2">
        <f>ROUND(E1009*$D1009,0)</f>
        <v>5494</v>
      </c>
      <c r="I1009" s="263" t="e">
        <f>E1009+(E1009*$P$1032)</f>
        <v>#REF!</v>
      </c>
      <c r="K1009" s="2" t="e">
        <f>ROUND(I1009*$C1009,0)</f>
        <v>#REF!</v>
      </c>
      <c r="M1009" s="84" t="e">
        <f>I1009*D1009</f>
        <v>#REF!</v>
      </c>
      <c r="N1009" s="20"/>
      <c r="O1009" s="279"/>
      <c r="P1009" s="74"/>
      <c r="Q1009" s="401"/>
      <c r="R1009" s="281"/>
      <c r="S1009" s="20"/>
      <c r="T1009" s="20"/>
      <c r="U1009" s="279"/>
      <c r="V1009" s="279"/>
      <c r="W1009" s="430"/>
      <c r="X1009" s="279"/>
      <c r="Y1009" s="20"/>
      <c r="Z1009" s="20"/>
      <c r="AA1009" s="20"/>
      <c r="AB1009" s="20"/>
      <c r="AC1009" s="20"/>
    </row>
    <row r="1010" spans="1:29">
      <c r="A1010" s="3" t="s">
        <v>358</v>
      </c>
      <c r="C1010" s="262">
        <f>456</f>
        <v>456</v>
      </c>
      <c r="D1010" s="262">
        <f>ROUND(($D$1030/$C$1030)*C1010,0)</f>
        <v>464</v>
      </c>
      <c r="E1010" s="263">
        <v>19.260000000000002</v>
      </c>
      <c r="G1010" s="2">
        <f>ROUND(E1010*$C1010,0)</f>
        <v>8783</v>
      </c>
      <c r="H1010" s="2">
        <f>ROUND(E1010*$D1010,0)</f>
        <v>8937</v>
      </c>
      <c r="I1010" s="263" t="e">
        <f>E1010+(E1010*$P$1032)</f>
        <v>#REF!</v>
      </c>
      <c r="K1010" s="2" t="e">
        <f>ROUND(I1010*$C1010,0)</f>
        <v>#REF!</v>
      </c>
      <c r="M1010" s="84" t="e">
        <f>I1010*D1010</f>
        <v>#REF!</v>
      </c>
      <c r="N1010" s="20"/>
      <c r="O1010" s="279"/>
      <c r="P1010" s="74"/>
      <c r="Q1010" s="401"/>
      <c r="R1010" s="281"/>
      <c r="S1010" s="427"/>
      <c r="T1010" s="427"/>
      <c r="U1010" s="279"/>
      <c r="V1010" s="279"/>
      <c r="W1010" s="430"/>
      <c r="X1010" s="279"/>
      <c r="Y1010" s="20"/>
      <c r="Z1010" s="20"/>
      <c r="AA1010" s="20"/>
      <c r="AB1010" s="20"/>
      <c r="AC1010" s="20"/>
    </row>
    <row r="1011" spans="1:29">
      <c r="A1011" s="3" t="s">
        <v>359</v>
      </c>
      <c r="C1011" s="262">
        <v>0</v>
      </c>
      <c r="D1011" s="262">
        <f>ROUND(($D$1030/$C$1030)*C1011,0)</f>
        <v>0</v>
      </c>
      <c r="E1011" s="263">
        <v>35.75</v>
      </c>
      <c r="G1011" s="2">
        <f>ROUND(E1011*$C1011,0)</f>
        <v>0</v>
      </c>
      <c r="H1011" s="2">
        <f>ROUND(E1011*$D1011,0)</f>
        <v>0</v>
      </c>
      <c r="I1011" s="263" t="e">
        <f>E1011+(E1011*$P$1032)</f>
        <v>#REF!</v>
      </c>
      <c r="K1011" s="2" t="e">
        <f>ROUND(I1011*$C1011,0)</f>
        <v>#REF!</v>
      </c>
      <c r="M1011" s="84" t="e">
        <f>I1011*D1011</f>
        <v>#REF!</v>
      </c>
      <c r="N1011" s="20"/>
      <c r="O1011" s="279"/>
      <c r="P1011" s="74"/>
      <c r="Q1011" s="401"/>
      <c r="R1011" s="281"/>
      <c r="S1011" s="427"/>
      <c r="T1011" s="427"/>
      <c r="U1011" s="279"/>
      <c r="V1011" s="279"/>
      <c r="W1011" s="430"/>
      <c r="X1011" s="279"/>
      <c r="Y1011" s="20"/>
      <c r="Z1011" s="20"/>
      <c r="AA1011" s="20"/>
      <c r="AB1011" s="20"/>
      <c r="AC1011" s="20"/>
    </row>
    <row r="1012" spans="1:29">
      <c r="A1012" s="3" t="s">
        <v>512</v>
      </c>
      <c r="C1012" s="262"/>
      <c r="D1012" s="262"/>
      <c r="E1012" s="431"/>
      <c r="G1012" s="261"/>
      <c r="H1012" s="261"/>
      <c r="I1012" s="431"/>
      <c r="M1012" s="20"/>
      <c r="N1012" s="20"/>
      <c r="O1012" s="20"/>
      <c r="P1012" s="433"/>
      <c r="Q1012" s="433"/>
      <c r="R1012" s="726"/>
      <c r="S1012" s="427"/>
      <c r="T1012" s="427"/>
      <c r="U1012" s="435"/>
      <c r="V1012" s="20"/>
      <c r="W1012" s="430"/>
      <c r="X1012" s="20"/>
      <c r="Y1012" s="20"/>
      <c r="Z1012" s="20"/>
      <c r="AA1012" s="20"/>
      <c r="AB1012" s="20"/>
      <c r="AC1012" s="20"/>
    </row>
    <row r="1013" spans="1:29">
      <c r="A1013" s="3" t="s">
        <v>357</v>
      </c>
      <c r="C1013" s="262">
        <v>0</v>
      </c>
      <c r="D1013" s="262">
        <f>ROUND(($D$1030/$C$1030)*C1013,0)</f>
        <v>0</v>
      </c>
      <c r="E1013" s="263">
        <v>10.86</v>
      </c>
      <c r="G1013" s="2">
        <f>ROUND(E1013*$C1013,0)</f>
        <v>0</v>
      </c>
      <c r="H1013" s="2">
        <f>ROUND(E1013*$D1013,0)</f>
        <v>0</v>
      </c>
      <c r="I1013" s="263" t="e">
        <f>E1013+(E1013*$P$1032)</f>
        <v>#REF!</v>
      </c>
      <c r="K1013" s="2" t="e">
        <f>ROUND(I1013*$C1013,0)</f>
        <v>#REF!</v>
      </c>
      <c r="M1013" s="84" t="e">
        <f>I1013*D1013</f>
        <v>#REF!</v>
      </c>
      <c r="N1013" s="20"/>
      <c r="O1013" s="279"/>
      <c r="P1013" s="74"/>
      <c r="Q1013" s="401"/>
      <c r="R1013" s="281"/>
      <c r="S1013" s="427"/>
      <c r="T1013" s="427"/>
      <c r="U1013" s="279"/>
      <c r="V1013" s="279"/>
      <c r="W1013" s="430"/>
      <c r="X1013" s="279"/>
      <c r="Y1013" s="20"/>
      <c r="Z1013" s="20"/>
      <c r="AA1013" s="20"/>
      <c r="AB1013" s="20"/>
      <c r="AC1013" s="20"/>
    </row>
    <row r="1014" spans="1:29">
      <c r="A1014" s="3" t="s">
        <v>358</v>
      </c>
      <c r="C1014" s="262">
        <v>0</v>
      </c>
      <c r="D1014" s="262">
        <f>ROUND(($D$1030/$C$1030)*C1014,0)</f>
        <v>0</v>
      </c>
      <c r="E1014" s="263">
        <v>18.21</v>
      </c>
      <c r="G1014" s="2">
        <f>ROUND(E1014*$C1014,0)</f>
        <v>0</v>
      </c>
      <c r="H1014" s="2">
        <f>ROUND(E1014*$D1014,0)</f>
        <v>0</v>
      </c>
      <c r="I1014" s="263" t="e">
        <f>E1014+(E1014*$P$1032)</f>
        <v>#REF!</v>
      </c>
      <c r="K1014" s="2" t="e">
        <f>ROUND(I1014*$C1014,0)</f>
        <v>#REF!</v>
      </c>
      <c r="M1014" s="84" t="e">
        <f>I1014*D1014</f>
        <v>#REF!</v>
      </c>
      <c r="N1014" s="20"/>
      <c r="O1014" s="279"/>
      <c r="P1014" s="74"/>
      <c r="Q1014" s="401"/>
      <c r="R1014" s="281"/>
      <c r="S1014" s="427"/>
      <c r="T1014" s="427"/>
      <c r="U1014" s="279"/>
      <c r="V1014" s="279"/>
      <c r="W1014" s="430"/>
      <c r="X1014" s="279"/>
      <c r="Y1014" s="20"/>
      <c r="Z1014" s="20"/>
      <c r="AA1014" s="20"/>
      <c r="AB1014" s="20"/>
      <c r="AC1014" s="20"/>
    </row>
    <row r="1015" spans="1:29">
      <c r="A1015" s="428" t="s">
        <v>514</v>
      </c>
      <c r="B1015" s="301"/>
      <c r="C1015" s="262"/>
      <c r="D1015" s="262"/>
      <c r="E1015" s="431"/>
      <c r="F1015" s="301"/>
      <c r="G1015" s="301"/>
      <c r="H1015" s="301"/>
      <c r="I1015" s="431"/>
      <c r="J1015" s="301"/>
      <c r="K1015" s="301"/>
      <c r="M1015" s="20"/>
      <c r="N1015" s="20"/>
      <c r="O1015" s="20"/>
      <c r="P1015" s="433"/>
      <c r="Q1015" s="433"/>
      <c r="R1015" s="726"/>
      <c r="S1015" s="427"/>
      <c r="T1015" s="427"/>
      <c r="U1015" s="435"/>
      <c r="V1015" s="20"/>
      <c r="W1015" s="430"/>
      <c r="X1015" s="20"/>
      <c r="Y1015" s="20"/>
      <c r="Z1015" s="20"/>
      <c r="AA1015" s="20"/>
      <c r="AB1015" s="20"/>
      <c r="AC1015" s="20"/>
    </row>
    <row r="1016" spans="1:29">
      <c r="A1016" s="3" t="s">
        <v>511</v>
      </c>
      <c r="C1016" s="262"/>
      <c r="D1016" s="262"/>
      <c r="E1016" s="431"/>
      <c r="G1016" s="261"/>
      <c r="H1016" s="261"/>
      <c r="I1016" s="431"/>
      <c r="M1016" s="20"/>
      <c r="N1016" s="20"/>
      <c r="O1016" s="20"/>
      <c r="P1016" s="433"/>
      <c r="Q1016" s="433"/>
      <c r="R1016" s="726"/>
      <c r="S1016" s="427"/>
      <c r="T1016" s="427"/>
      <c r="U1016" s="435"/>
      <c r="V1016" s="20"/>
      <c r="W1016" s="430"/>
      <c r="X1016" s="20"/>
      <c r="Y1016" s="20"/>
      <c r="Z1016" s="20"/>
      <c r="AA1016" s="20"/>
      <c r="AB1016" s="20"/>
      <c r="AC1016" s="20"/>
    </row>
    <row r="1017" spans="1:29">
      <c r="A1017" s="3" t="s">
        <v>357</v>
      </c>
      <c r="C1017" s="262">
        <v>0</v>
      </c>
      <c r="D1017" s="262">
        <f>ROUND(($D$1030/$C$1030)*C1017,0)</f>
        <v>0</v>
      </c>
      <c r="E1017" s="263">
        <v>11.47</v>
      </c>
      <c r="G1017" s="2">
        <f>ROUND(E1017*$C1017,0)</f>
        <v>0</v>
      </c>
      <c r="H1017" s="2">
        <f>ROUND(E1017*$D1017,0)</f>
        <v>0</v>
      </c>
      <c r="I1017" s="263" t="e">
        <f>E1017+(E1017*$P$1032)</f>
        <v>#REF!</v>
      </c>
      <c r="K1017" s="2" t="e">
        <f>ROUND(I1017*$C1017,0)</f>
        <v>#REF!</v>
      </c>
      <c r="M1017" s="84" t="e">
        <f>I1017*D1017</f>
        <v>#REF!</v>
      </c>
      <c r="N1017" s="20"/>
      <c r="O1017" s="279"/>
      <c r="P1017" s="74"/>
      <c r="Q1017" s="401"/>
      <c r="R1017" s="281"/>
      <c r="S1017" s="427"/>
      <c r="T1017" s="427"/>
      <c r="U1017" s="279"/>
      <c r="V1017" s="279"/>
      <c r="W1017" s="430"/>
      <c r="X1017" s="279"/>
      <c r="Y1017" s="20"/>
      <c r="Z1017" s="20"/>
      <c r="AA1017" s="20"/>
      <c r="AB1017" s="20"/>
      <c r="AC1017" s="20"/>
    </row>
    <row r="1018" spans="1:29">
      <c r="A1018" s="3" t="s">
        <v>358</v>
      </c>
      <c r="C1018" s="262">
        <v>0</v>
      </c>
      <c r="D1018" s="262">
        <f>ROUND(($D$1030/$C$1030)*C1018,0)</f>
        <v>0</v>
      </c>
      <c r="E1018" s="263">
        <v>18.649999999999999</v>
      </c>
      <c r="G1018" s="2">
        <f>ROUND(E1018*$C1018,0)</f>
        <v>0</v>
      </c>
      <c r="H1018" s="2">
        <f>ROUND(E1018*$D1018,0)</f>
        <v>0</v>
      </c>
      <c r="I1018" s="263" t="e">
        <f>E1018+(E1018*$P$1032)</f>
        <v>#REF!</v>
      </c>
      <c r="K1018" s="2" t="e">
        <f>ROUND(I1018*$C1018,0)</f>
        <v>#REF!</v>
      </c>
      <c r="M1018" s="84" t="e">
        <f>I1018*D1018</f>
        <v>#REF!</v>
      </c>
      <c r="N1018" s="20"/>
      <c r="O1018" s="279"/>
      <c r="P1018" s="74"/>
      <c r="Q1018" s="401"/>
      <c r="R1018" s="281"/>
      <c r="S1018" s="427"/>
      <c r="T1018" s="427"/>
      <c r="U1018" s="279"/>
      <c r="V1018" s="279"/>
      <c r="W1018" s="430"/>
      <c r="X1018" s="279"/>
      <c r="Y1018" s="20"/>
      <c r="Z1018" s="20"/>
      <c r="AA1018" s="20"/>
      <c r="AB1018" s="20"/>
      <c r="AC1018" s="20"/>
    </row>
    <row r="1019" spans="1:29">
      <c r="A1019" s="3" t="s">
        <v>359</v>
      </c>
      <c r="C1019" s="262">
        <v>0</v>
      </c>
      <c r="D1019" s="262">
        <f>ROUND(($D$1030/$C$1030)*C1019,0)</f>
        <v>0</v>
      </c>
      <c r="E1019" s="263">
        <v>35.130000000000003</v>
      </c>
      <c r="G1019" s="2">
        <f>ROUND(E1019*$C1019,0)</f>
        <v>0</v>
      </c>
      <c r="H1019" s="2">
        <f>ROUND(E1019*$D1019,0)</f>
        <v>0</v>
      </c>
      <c r="I1019" s="263" t="e">
        <f>E1019+(E1019*$P$1032)</f>
        <v>#REF!</v>
      </c>
      <c r="K1019" s="2" t="e">
        <f>ROUND(I1019*$C1019,0)</f>
        <v>#REF!</v>
      </c>
      <c r="M1019" s="84" t="e">
        <f>I1019*D1019</f>
        <v>#REF!</v>
      </c>
      <c r="N1019" s="20"/>
      <c r="O1019" s="279"/>
      <c r="P1019" s="74"/>
      <c r="Q1019" s="401"/>
      <c r="R1019" s="281"/>
      <c r="S1019" s="427"/>
      <c r="T1019" s="427"/>
      <c r="U1019" s="279"/>
      <c r="V1019" s="279"/>
      <c r="W1019" s="430"/>
      <c r="X1019" s="279"/>
      <c r="Y1019" s="20"/>
      <c r="Z1019" s="20"/>
      <c r="AA1019" s="20"/>
      <c r="AB1019" s="20"/>
      <c r="AC1019" s="20"/>
    </row>
    <row r="1020" spans="1:29">
      <c r="A1020" s="3" t="s">
        <v>512</v>
      </c>
      <c r="C1020" s="262"/>
      <c r="D1020" s="262"/>
      <c r="E1020" s="431"/>
      <c r="G1020" s="261"/>
      <c r="H1020" s="261"/>
      <c r="I1020" s="431"/>
      <c r="M1020" s="20"/>
      <c r="N1020" s="20"/>
      <c r="O1020" s="20"/>
      <c r="P1020" s="433"/>
      <c r="Q1020" s="433"/>
      <c r="R1020" s="726"/>
      <c r="S1020" s="427"/>
      <c r="T1020" s="427"/>
      <c r="U1020" s="435"/>
      <c r="V1020" s="20"/>
      <c r="W1020" s="430"/>
      <c r="X1020" s="20"/>
      <c r="Y1020" s="20"/>
      <c r="Z1020" s="20"/>
      <c r="AA1020" s="20"/>
      <c r="AB1020" s="20"/>
      <c r="AC1020" s="20"/>
    </row>
    <row r="1021" spans="1:29">
      <c r="A1021" s="3" t="s">
        <v>357</v>
      </c>
      <c r="C1021" s="262">
        <v>0</v>
      </c>
      <c r="D1021" s="262">
        <f>ROUND(($D$1030/$C$1030)*C1021,0)</f>
        <v>0</v>
      </c>
      <c r="E1021" s="263">
        <v>10.86</v>
      </c>
      <c r="G1021" s="2">
        <f>ROUND(E1021*$C1021,0)</f>
        <v>0</v>
      </c>
      <c r="H1021" s="2">
        <f>ROUND(E1021*$D1021,0)</f>
        <v>0</v>
      </c>
      <c r="I1021" s="263" t="e">
        <f>E1021+(E1021*$P$1032)</f>
        <v>#REF!</v>
      </c>
      <c r="K1021" s="2" t="e">
        <f>ROUND(I1021*$C1021,0)</f>
        <v>#REF!</v>
      </c>
      <c r="M1021" s="84" t="e">
        <f>I1021*D1021</f>
        <v>#REF!</v>
      </c>
      <c r="N1021" s="20"/>
      <c r="O1021" s="279"/>
      <c r="P1021" s="74"/>
      <c r="Q1021" s="401"/>
      <c r="R1021" s="281"/>
      <c r="S1021" s="427"/>
      <c r="T1021" s="427"/>
      <c r="U1021" s="279"/>
      <c r="V1021" s="279"/>
      <c r="W1021" s="430"/>
      <c r="X1021" s="279"/>
      <c r="Y1021" s="20"/>
      <c r="Z1021" s="20"/>
      <c r="AA1021" s="20"/>
      <c r="AB1021" s="20"/>
      <c r="AC1021" s="20"/>
    </row>
    <row r="1022" spans="1:29">
      <c r="A1022" s="3" t="s">
        <v>358</v>
      </c>
      <c r="C1022" s="262">
        <v>0</v>
      </c>
      <c r="D1022" s="262">
        <f>ROUND(($D$1030/$C$1030)*C1022,0)</f>
        <v>0</v>
      </c>
      <c r="E1022" s="263">
        <v>17.600000000000001</v>
      </c>
      <c r="G1022" s="2">
        <f>ROUND(E1022*$C1022,0)</f>
        <v>0</v>
      </c>
      <c r="H1022" s="2">
        <f>ROUND(E1022*$D1022,0)</f>
        <v>0</v>
      </c>
      <c r="I1022" s="263" t="e">
        <f>E1022+(E1022*$P$1032)</f>
        <v>#REF!</v>
      </c>
      <c r="K1022" s="2" t="e">
        <f>ROUND(I1022*$C1022,0)</f>
        <v>#REF!</v>
      </c>
      <c r="M1022" s="84" t="e">
        <f>I1022*D1022</f>
        <v>#REF!</v>
      </c>
      <c r="N1022" s="20"/>
      <c r="O1022" s="279"/>
      <c r="P1022" s="74"/>
      <c r="Q1022" s="401"/>
      <c r="R1022" s="281"/>
      <c r="S1022" s="427"/>
      <c r="T1022" s="427"/>
      <c r="U1022" s="279"/>
      <c r="V1022" s="279"/>
      <c r="W1022" s="430"/>
      <c r="X1022" s="279"/>
      <c r="Y1022" s="20"/>
      <c r="Z1022" s="20"/>
      <c r="AA1022" s="20"/>
      <c r="AB1022" s="20"/>
      <c r="AC1022" s="20"/>
    </row>
    <row r="1023" spans="1:29">
      <c r="A1023" s="428" t="s">
        <v>515</v>
      </c>
      <c r="B1023" s="301"/>
      <c r="C1023" s="262"/>
      <c r="D1023" s="262"/>
      <c r="E1023" s="431"/>
      <c r="F1023" s="301"/>
      <c r="G1023" s="301"/>
      <c r="H1023" s="301"/>
      <c r="I1023" s="431"/>
      <c r="J1023" s="301"/>
      <c r="K1023" s="301"/>
      <c r="M1023" s="20"/>
      <c r="N1023" s="20"/>
      <c r="O1023" s="20"/>
      <c r="P1023" s="433"/>
      <c r="Q1023" s="433"/>
      <c r="R1023" s="726"/>
      <c r="S1023" s="427"/>
      <c r="T1023" s="427"/>
      <c r="U1023" s="435"/>
      <c r="V1023" s="20"/>
      <c r="W1023" s="430"/>
      <c r="X1023" s="20"/>
      <c r="Y1023" s="20"/>
      <c r="Z1023" s="20"/>
      <c r="AA1023" s="20"/>
      <c r="AB1023" s="20"/>
      <c r="AC1023" s="20"/>
    </row>
    <row r="1024" spans="1:29">
      <c r="A1024" s="3" t="s">
        <v>357</v>
      </c>
      <c r="C1024" s="262">
        <f>1999</f>
        <v>1999</v>
      </c>
      <c r="D1024" s="262">
        <f>ROUND(($D$1030/$C$1030)*C1024,0)</f>
        <v>2032</v>
      </c>
      <c r="E1024" s="263">
        <v>9.18</v>
      </c>
      <c r="G1024" s="2">
        <f>ROUND(E1024*$C1024,0)</f>
        <v>18351</v>
      </c>
      <c r="H1024" s="2">
        <f>ROUND(E1024*$D1024,0)</f>
        <v>18654</v>
      </c>
      <c r="I1024" s="263" t="e">
        <f>E1024+(E1024*$P$1032)</f>
        <v>#REF!</v>
      </c>
      <c r="K1024" s="2" t="e">
        <f>ROUND(I1024*$C1024,0)</f>
        <v>#REF!</v>
      </c>
      <c r="M1024" s="84" t="e">
        <f>I1024*D1024</f>
        <v>#REF!</v>
      </c>
      <c r="N1024" s="20"/>
      <c r="O1024" s="279"/>
      <c r="P1024" s="74"/>
      <c r="Q1024" s="401"/>
      <c r="R1024" s="281"/>
      <c r="S1024" s="427"/>
      <c r="T1024" s="427"/>
      <c r="U1024" s="279"/>
      <c r="V1024" s="279"/>
      <c r="W1024" s="430"/>
      <c r="X1024" s="279"/>
      <c r="Y1024" s="20"/>
      <c r="Z1024" s="20"/>
      <c r="AA1024" s="20"/>
      <c r="AB1024" s="20"/>
      <c r="AC1024" s="20"/>
    </row>
    <row r="1025" spans="1:29">
      <c r="A1025" s="3" t="s">
        <v>358</v>
      </c>
      <c r="C1025" s="262">
        <f>1691</f>
        <v>1691</v>
      </c>
      <c r="D1025" s="262">
        <f>ROUND(($D$1030/$C$1030)*C1025,0)</f>
        <v>1719</v>
      </c>
      <c r="E1025" s="263">
        <v>16.079999999999998</v>
      </c>
      <c r="G1025" s="2">
        <f>ROUND(E1025*$C1025,0)</f>
        <v>27191</v>
      </c>
      <c r="H1025" s="2">
        <f>ROUND(E1025*$D1025,0)</f>
        <v>27642</v>
      </c>
      <c r="I1025" s="263" t="e">
        <f>E1025+(E1025*$P$1032)</f>
        <v>#REF!</v>
      </c>
      <c r="K1025" s="2" t="e">
        <f>ROUND(I1025*$C1025,0)</f>
        <v>#REF!</v>
      </c>
      <c r="M1025" s="84" t="e">
        <f>I1025*D1025</f>
        <v>#REF!</v>
      </c>
      <c r="N1025" s="20"/>
      <c r="O1025" s="279"/>
      <c r="P1025" s="74"/>
      <c r="Q1025" s="401"/>
      <c r="R1025" s="281"/>
      <c r="S1025" s="427"/>
      <c r="T1025" s="427"/>
      <c r="U1025" s="279"/>
      <c r="V1025" s="279"/>
      <c r="W1025" s="430"/>
      <c r="X1025" s="279"/>
      <c r="Y1025" s="20"/>
      <c r="Z1025" s="20"/>
      <c r="AA1025" s="20"/>
      <c r="AB1025" s="20"/>
      <c r="AC1025" s="20"/>
    </row>
    <row r="1026" spans="1:29">
      <c r="A1026" s="3" t="s">
        <v>359</v>
      </c>
      <c r="C1026" s="262">
        <v>0</v>
      </c>
      <c r="D1026" s="262">
        <f>ROUND(($D$1030/$C$1030)*C1026,0)</f>
        <v>0</v>
      </c>
      <c r="E1026" s="263">
        <v>34.340000000000003</v>
      </c>
      <c r="G1026" s="2">
        <f>ROUND(E1026*$C1026,0)</f>
        <v>0</v>
      </c>
      <c r="H1026" s="2">
        <f>ROUND(E1026*$D1026,0)</f>
        <v>0</v>
      </c>
      <c r="I1026" s="263" t="e">
        <f>E1026+(E1026*$P$1032)</f>
        <v>#REF!</v>
      </c>
      <c r="K1026" s="2" t="e">
        <f>ROUND(I1026*$C1026,0)</f>
        <v>#REF!</v>
      </c>
      <c r="M1026" s="84" t="e">
        <f>I1026*D1026</f>
        <v>#REF!</v>
      </c>
      <c r="N1026" s="20"/>
      <c r="O1026" s="279"/>
      <c r="P1026" s="74"/>
      <c r="Q1026" s="401"/>
      <c r="R1026" s="281"/>
      <c r="S1026" s="427"/>
      <c r="T1026" s="427"/>
      <c r="U1026" s="279"/>
      <c r="V1026" s="279"/>
      <c r="W1026" s="430"/>
      <c r="X1026" s="279"/>
      <c r="Y1026" s="20"/>
      <c r="Z1026" s="20"/>
      <c r="AA1026" s="20"/>
      <c r="AB1026" s="20"/>
      <c r="AC1026" s="20"/>
    </row>
    <row r="1027" spans="1:29">
      <c r="A1027" s="5" t="s">
        <v>516</v>
      </c>
      <c r="C1027" s="262"/>
      <c r="D1027" s="262"/>
      <c r="E1027" s="263"/>
      <c r="G1027" s="2"/>
      <c r="H1027" s="2"/>
      <c r="I1027" s="263"/>
      <c r="K1027" s="2"/>
      <c r="M1027" s="20"/>
      <c r="N1027" s="20"/>
      <c r="O1027" s="20"/>
      <c r="P1027" s="433"/>
      <c r="Q1027" s="433"/>
      <c r="R1027" s="727"/>
      <c r="S1027" s="427"/>
      <c r="T1027" s="427"/>
      <c r="U1027" s="435"/>
      <c r="V1027" s="20"/>
      <c r="W1027" s="430"/>
      <c r="X1027" s="20"/>
      <c r="Y1027" s="20"/>
      <c r="Z1027" s="20"/>
      <c r="AA1027" s="20"/>
      <c r="AB1027" s="20"/>
      <c r="AC1027" s="20"/>
    </row>
    <row r="1028" spans="1:29">
      <c r="A1028" s="3" t="s">
        <v>517</v>
      </c>
      <c r="C1028" s="262">
        <f>96</f>
        <v>96</v>
      </c>
      <c r="D1028" s="262">
        <f>ROUND(($D$1030/$C$1030)*C1028,0)</f>
        <v>98</v>
      </c>
      <c r="E1028" s="263">
        <v>32.950000000000003</v>
      </c>
      <c r="G1028" s="2">
        <f>ROUND(E1028*$C1028,0)</f>
        <v>3163</v>
      </c>
      <c r="H1028" s="2">
        <f>ROUND(E1028*$D1028,0)</f>
        <v>3229</v>
      </c>
      <c r="I1028" s="263" t="e">
        <f>E1028+(E1028*$P$1032)</f>
        <v>#REF!</v>
      </c>
      <c r="K1028" s="2" t="e">
        <f>ROUND(I1028*$C1028,0)</f>
        <v>#REF!</v>
      </c>
      <c r="M1028" s="84" t="e">
        <f>I1028*D1028</f>
        <v>#REF!</v>
      </c>
      <c r="N1028" s="20"/>
      <c r="O1028" s="279"/>
      <c r="P1028" s="74"/>
      <c r="Q1028" s="401"/>
      <c r="R1028" s="281"/>
      <c r="S1028" s="427"/>
      <c r="T1028" s="427"/>
      <c r="U1028" s="279"/>
      <c r="V1028" s="279"/>
      <c r="W1028" s="430"/>
      <c r="X1028" s="279"/>
      <c r="Y1028" s="20"/>
      <c r="Z1028" s="20"/>
      <c r="AA1028" s="20"/>
      <c r="AB1028" s="20"/>
      <c r="AC1028" s="20"/>
    </row>
    <row r="1029" spans="1:29">
      <c r="A1029" s="3" t="s">
        <v>365</v>
      </c>
      <c r="C1029" s="262">
        <f>74+91+41+12+35+35+27+62+12</f>
        <v>389</v>
      </c>
      <c r="D1029" s="262">
        <v>588</v>
      </c>
      <c r="E1029" s="437"/>
      <c r="G1029" s="2"/>
      <c r="H1029" s="2"/>
      <c r="I1029" s="437"/>
      <c r="K1029" s="2"/>
      <c r="N1029" s="20"/>
      <c r="O1029" s="279"/>
      <c r="P1029" s="438"/>
      <c r="Q1029" s="20"/>
      <c r="R1029" s="285"/>
      <c r="S1029" s="276"/>
      <c r="T1029" s="276"/>
      <c r="U1029" s="279"/>
      <c r="V1029" s="279"/>
      <c r="W1029" s="279"/>
      <c r="X1029" s="279"/>
      <c r="Y1029" s="20"/>
      <c r="Z1029" s="20"/>
      <c r="AA1029" s="20"/>
      <c r="AB1029" s="20"/>
      <c r="AC1029" s="20"/>
    </row>
    <row r="1030" spans="1:29">
      <c r="A1030" s="3" t="s">
        <v>384</v>
      </c>
      <c r="C1030" s="262">
        <f>2042049</f>
        <v>2042049</v>
      </c>
      <c r="D1030" s="262">
        <v>2075987.7990116791</v>
      </c>
      <c r="E1030" s="267"/>
      <c r="F1030" s="20"/>
      <c r="G1030" s="270">
        <f>SUM(G1001:G1028)</f>
        <v>223707</v>
      </c>
      <c r="H1030" s="270">
        <f>SUM(H1001:H1028)</f>
        <v>227464</v>
      </c>
      <c r="I1030" s="267"/>
      <c r="J1030" s="20"/>
      <c r="K1030" s="270" t="e">
        <f>SUM(K1001:K1028)</f>
        <v>#REF!</v>
      </c>
      <c r="M1030" s="84" t="e">
        <f>SUM(M1001:M1029)</f>
        <v>#REF!</v>
      </c>
      <c r="N1030" s="20"/>
      <c r="O1030" s="279"/>
      <c r="P1030" s="728"/>
      <c r="Q1030" s="20"/>
      <c r="R1030" s="285"/>
      <c r="S1030" s="276"/>
      <c r="T1030" s="276"/>
      <c r="U1030" s="286"/>
      <c r="V1030" s="276"/>
      <c r="W1030" s="276"/>
      <c r="X1030" s="276"/>
      <c r="Y1030" s="20"/>
      <c r="Z1030" s="20"/>
      <c r="AA1030" s="20"/>
      <c r="AB1030" s="20"/>
      <c r="AC1030" s="20"/>
    </row>
    <row r="1031" spans="1:29">
      <c r="A1031" s="3" t="s">
        <v>366</v>
      </c>
      <c r="C1031" s="262" t="e">
        <f>#REF!</f>
        <v>#REF!</v>
      </c>
      <c r="D1031" s="262">
        <v>0</v>
      </c>
      <c r="E1031" s="267"/>
      <c r="F1031" s="20"/>
      <c r="G1031" s="270" t="e">
        <f>#REF!</f>
        <v>#REF!</v>
      </c>
      <c r="H1031" s="270">
        <v>0</v>
      </c>
      <c r="I1031" s="267"/>
      <c r="J1031" s="20"/>
      <c r="K1031" s="270" t="e">
        <f>G1031</f>
        <v>#REF!</v>
      </c>
      <c r="M1031" s="287"/>
      <c r="N1031" s="442"/>
      <c r="O1031" s="285"/>
      <c r="P1031" s="276"/>
      <c r="Q1031" s="276"/>
      <c r="R1031" s="281"/>
      <c r="S1031" s="279"/>
      <c r="T1031" s="276"/>
      <c r="U1031" s="20"/>
      <c r="V1031" s="20"/>
      <c r="W1031" s="20"/>
      <c r="X1031" s="20"/>
      <c r="Y1031" s="20"/>
      <c r="Z1031" s="20"/>
      <c r="AA1031" s="20"/>
      <c r="AB1031" s="20"/>
      <c r="AC1031" s="20"/>
    </row>
    <row r="1032" spans="1:29" ht="16.5" thickBot="1">
      <c r="A1032" s="3" t="s">
        <v>9</v>
      </c>
      <c r="C1032" s="271" t="e">
        <f>C1030+C1031</f>
        <v>#REF!</v>
      </c>
      <c r="D1032" s="271">
        <f>D1030+D1031</f>
        <v>2075987.7990116791</v>
      </c>
      <c r="E1032" s="272"/>
      <c r="F1032" s="272"/>
      <c r="G1032" s="272" t="e">
        <f>G1030+G1031</f>
        <v>#REF!</v>
      </c>
      <c r="H1032" s="272">
        <f>H1030+H1031</f>
        <v>227464</v>
      </c>
      <c r="I1032" s="272"/>
      <c r="J1032" s="272"/>
      <c r="K1032" s="272" t="e">
        <f>K1030+K1031</f>
        <v>#REF!</v>
      </c>
      <c r="M1032" s="289"/>
      <c r="N1032" s="275" t="s">
        <v>412</v>
      </c>
      <c r="O1032" s="69" t="e">
        <f>#REF!*1000</f>
        <v>#REF!</v>
      </c>
      <c r="P1032" s="14" t="e">
        <f>(O1032-G1032)/G1032+0.00276</f>
        <v>#REF!</v>
      </c>
      <c r="Q1032" s="276"/>
      <c r="R1032" s="276"/>
      <c r="S1032" s="276"/>
      <c r="T1032" s="276"/>
      <c r="U1032" s="20"/>
      <c r="V1032" s="20"/>
      <c r="W1032" s="20"/>
      <c r="X1032" s="20"/>
      <c r="Y1032" s="20"/>
      <c r="Z1032" s="20"/>
      <c r="AA1032" s="20"/>
      <c r="AB1032" s="20"/>
      <c r="AC1032" s="20"/>
    </row>
    <row r="1033" spans="1:29" ht="16.5" thickTop="1">
      <c r="C1033" s="273"/>
      <c r="D1033" s="273"/>
      <c r="E1033" s="273"/>
      <c r="F1033" s="273"/>
      <c r="G1033" s="261"/>
      <c r="H1033" s="261"/>
      <c r="I1033" s="273" t="s">
        <v>31</v>
      </c>
      <c r="J1033" s="273"/>
      <c r="K1033" s="2" t="s">
        <v>31</v>
      </c>
      <c r="M1033" s="275"/>
      <c r="N1033" s="275" t="s">
        <v>265</v>
      </c>
      <c r="O1033" s="414" t="e">
        <f>O1032-K1032</f>
        <v>#REF!</v>
      </c>
      <c r="P1033" s="292" t="e">
        <f>(O1032-K1032)/K1032</f>
        <v>#REF!</v>
      </c>
      <c r="Q1033" s="276"/>
      <c r="R1033" s="276"/>
      <c r="S1033" s="276"/>
      <c r="T1033" s="276"/>
      <c r="U1033" s="20"/>
      <c r="V1033" s="20"/>
      <c r="W1033" s="20"/>
      <c r="X1033" s="20"/>
      <c r="Y1033" s="20"/>
      <c r="Z1033" s="20"/>
      <c r="AA1033" s="20"/>
      <c r="AB1033" s="20"/>
      <c r="AC1033" s="20"/>
    </row>
    <row r="1034" spans="1:29">
      <c r="A1034" s="301"/>
      <c r="B1034" s="311"/>
      <c r="C1034" s="443"/>
      <c r="D1034" s="443"/>
      <c r="E1034" s="444"/>
      <c r="F1034" s="2"/>
      <c r="G1034" s="2"/>
      <c r="H1034" s="2"/>
      <c r="I1034" s="444"/>
      <c r="J1034" s="301"/>
      <c r="K1034" s="2"/>
      <c r="M1034" s="20"/>
      <c r="N1034" s="20"/>
      <c r="O1034" s="74"/>
      <c r="P1034" s="74"/>
      <c r="Q1034" s="20"/>
      <c r="R1034" s="20"/>
      <c r="S1034" s="20"/>
      <c r="T1034" s="20"/>
      <c r="U1034" s="20"/>
      <c r="V1034" s="20"/>
      <c r="W1034" s="20"/>
      <c r="X1034" s="20"/>
    </row>
    <row r="1035" spans="1:29" s="4" customFormat="1" ht="19.899999999999999" customHeight="1" thickBot="1">
      <c r="A1035" s="445" t="s">
        <v>518</v>
      </c>
      <c r="B1035" s="446"/>
      <c r="C1035" s="447" t="e">
        <f>C27+C91+C176+C474+C508+C627+C760+C787+C925+C936+C947+C995+C1032</f>
        <v>#REF!</v>
      </c>
      <c r="D1035" s="447" t="e">
        <f>D27+D91+D176+D474+D508+D627+D760+D787+D925+D936+D947+D995+D1032</f>
        <v>#REF!</v>
      </c>
      <c r="E1035" s="448"/>
      <c r="F1035" s="449"/>
      <c r="G1035" s="449" t="e">
        <f>G27+G91+G176+G474+G508+G627+G760+G787+G925+G936+G947+G995+G1032</f>
        <v>#REF!</v>
      </c>
      <c r="H1035" s="449" t="e">
        <f>H27+H91+H176+H474+H508+H627+H760+H787+H925+H936+H947+H995+H1032</f>
        <v>#REF!</v>
      </c>
      <c r="I1035" s="448"/>
      <c r="J1035" s="449"/>
      <c r="K1035" s="449" t="e">
        <f>K27+K91+K176+K474+K508+K627+K760+K787+K925+K936+K947+K995+K1032</f>
        <v>#REF!</v>
      </c>
      <c r="M1035" s="20"/>
      <c r="N1035" s="7" t="s">
        <v>412</v>
      </c>
      <c r="O1035" s="456" t="e">
        <f>O27+O91+O176+O508+O627+O815+O898+O925+O936+O947+O995+O1032</f>
        <v>#REF!</v>
      </c>
      <c r="P1035" s="74"/>
      <c r="Q1035" s="7"/>
      <c r="R1035" s="7"/>
      <c r="S1035" s="7"/>
      <c r="T1035" s="7"/>
      <c r="U1035" s="7"/>
      <c r="V1035" s="7"/>
      <c r="W1035" s="7"/>
      <c r="X1035" s="7"/>
    </row>
    <row r="1036" spans="1:29" ht="16.5" thickTop="1">
      <c r="A1036" s="1"/>
      <c r="B1036" s="311"/>
      <c r="C1036" s="21"/>
      <c r="D1036" s="21"/>
      <c r="E1036" s="335"/>
      <c r="F1036" s="2"/>
      <c r="G1036" s="2"/>
      <c r="H1036" s="2"/>
      <c r="I1036" s="351" t="s">
        <v>31</v>
      </c>
      <c r="J1036" s="1"/>
      <c r="K1036" s="2" t="s">
        <v>31</v>
      </c>
      <c r="M1036" s="20"/>
      <c r="N1036" s="20" t="s">
        <v>265</v>
      </c>
      <c r="O1036" s="74" t="e">
        <f>O1035-K1035</f>
        <v>#REF!</v>
      </c>
      <c r="P1036" s="312" t="e">
        <f>(O1035-K1038)/K1038</f>
        <v>#REF!</v>
      </c>
      <c r="Q1036" s="20"/>
      <c r="R1036" s="20"/>
      <c r="S1036" s="20"/>
      <c r="T1036" s="20"/>
      <c r="U1036" s="20"/>
      <c r="V1036" s="20"/>
      <c r="W1036" s="20"/>
      <c r="X1036" s="20"/>
    </row>
    <row r="1037" spans="1:29">
      <c r="A1037" s="1" t="s">
        <v>34</v>
      </c>
      <c r="B1037" s="311"/>
      <c r="C1037" s="451"/>
      <c r="D1037" s="451"/>
      <c r="E1037" s="452"/>
      <c r="F1037" s="453"/>
      <c r="G1037" s="453" t="e">
        <f>#REF!+#REF!+#REF!+#REF!+#REF!</f>
        <v>#REF!</v>
      </c>
      <c r="H1037" s="453">
        <v>311006.74</v>
      </c>
      <c r="I1037" s="454"/>
      <c r="J1037" s="455"/>
      <c r="K1037" s="453" t="e">
        <f>G1037</f>
        <v>#REF!</v>
      </c>
      <c r="M1037" s="20"/>
      <c r="Q1037" s="20"/>
      <c r="R1037" s="20"/>
      <c r="S1037" s="20"/>
      <c r="T1037" s="20"/>
      <c r="U1037" s="20"/>
      <c r="V1037" s="20"/>
      <c r="W1037" s="20"/>
      <c r="X1037" s="20"/>
    </row>
    <row r="1038" spans="1:29" s="4" customFormat="1" ht="19.899999999999999" customHeight="1" thickBot="1">
      <c r="A1038" s="457" t="s">
        <v>519</v>
      </c>
      <c r="B1038" s="458"/>
      <c r="C1038" s="459" t="e">
        <f>C1035+C1037</f>
        <v>#REF!</v>
      </c>
      <c r="D1038" s="459" t="e">
        <f>D1035+D1037</f>
        <v>#REF!</v>
      </c>
      <c r="E1038" s="460"/>
      <c r="F1038" s="461"/>
      <c r="G1038" s="462" t="e">
        <f>G1035+G1037</f>
        <v>#REF!</v>
      </c>
      <c r="H1038" s="477" t="e">
        <f>H1035+H1037</f>
        <v>#REF!</v>
      </c>
      <c r="I1038" s="463"/>
      <c r="J1038" s="461"/>
      <c r="K1038" s="477" t="e">
        <f>K1035+K1037</f>
        <v>#REF!</v>
      </c>
      <c r="M1038" s="7"/>
      <c r="Q1038" s="7"/>
      <c r="R1038" s="7"/>
      <c r="S1038" s="7"/>
      <c r="T1038" s="7"/>
      <c r="U1038" s="7"/>
      <c r="V1038" s="7"/>
      <c r="W1038" s="7"/>
      <c r="X1038" s="7"/>
    </row>
    <row r="1039" spans="1:29" ht="16.5" thickTop="1">
      <c r="A1039" s="1"/>
      <c r="B1039" s="311"/>
      <c r="C1039" s="21"/>
      <c r="D1039" s="21"/>
      <c r="E1039" s="464" t="s">
        <v>31</v>
      </c>
      <c r="F1039" s="2"/>
      <c r="G1039" s="2" t="s">
        <v>31</v>
      </c>
      <c r="H1039" s="2" t="s">
        <v>31</v>
      </c>
      <c r="I1039" s="335"/>
      <c r="J1039" s="1"/>
      <c r="K1039" s="2"/>
      <c r="M1039" s="20"/>
      <c r="N1039" s="20"/>
      <c r="O1039" s="74"/>
      <c r="P1039" s="74"/>
      <c r="Q1039" s="20"/>
      <c r="R1039" s="20"/>
      <c r="S1039" s="20"/>
      <c r="T1039" s="20"/>
      <c r="U1039" s="20"/>
      <c r="V1039" s="20"/>
      <c r="W1039" s="20"/>
      <c r="X1039" s="20"/>
    </row>
    <row r="1040" spans="1:29">
      <c r="C1040" s="465"/>
      <c r="D1040" s="465"/>
      <c r="E1040" s="268"/>
      <c r="H1040" s="466"/>
      <c r="K1040" s="262"/>
      <c r="M1040" s="20"/>
      <c r="N1040" s="20"/>
      <c r="O1040" s="74"/>
      <c r="P1040" s="74"/>
      <c r="Q1040" s="20"/>
      <c r="R1040" s="20"/>
      <c r="S1040" s="20"/>
      <c r="T1040" s="20"/>
      <c r="U1040" s="20"/>
      <c r="V1040" s="20"/>
      <c r="W1040" s="20"/>
      <c r="X1040" s="20"/>
    </row>
    <row r="1041" spans="1:24">
      <c r="A1041" s="467"/>
      <c r="M1041" s="20"/>
      <c r="N1041" s="20"/>
      <c r="O1041" s="74"/>
      <c r="P1041" s="74"/>
      <c r="Q1041" s="20"/>
      <c r="R1041" s="20"/>
      <c r="S1041" s="20"/>
      <c r="T1041" s="20"/>
      <c r="U1041" s="20"/>
      <c r="V1041" s="20"/>
      <c r="W1041" s="20"/>
      <c r="X1041" s="20"/>
    </row>
    <row r="1042" spans="1:24">
      <c r="A1042" s="1" t="s">
        <v>170</v>
      </c>
      <c r="B1042" s="3" t="s">
        <v>520</v>
      </c>
      <c r="C1042" s="262" t="e">
        <f>#REF!</f>
        <v>#REF!</v>
      </c>
      <c r="D1042" s="262">
        <v>4081125563.3743143</v>
      </c>
      <c r="G1042" s="84" t="e">
        <f>#REF!</f>
        <v>#REF!</v>
      </c>
      <c r="H1042" s="84">
        <v>239244616.27999997</v>
      </c>
      <c r="M1042" s="20"/>
      <c r="N1042" s="20"/>
      <c r="O1042" s="74"/>
      <c r="P1042" s="74"/>
      <c r="Q1042" s="20"/>
      <c r="R1042" s="20"/>
      <c r="S1042" s="20"/>
      <c r="T1042" s="20"/>
      <c r="U1042" s="20"/>
      <c r="V1042" s="20"/>
      <c r="W1042" s="20"/>
      <c r="X1042" s="20"/>
    </row>
    <row r="1043" spans="1:24">
      <c r="B1043" s="3" t="s">
        <v>521</v>
      </c>
      <c r="C1043" s="262" t="e">
        <f>#REF!</f>
        <v>#REF!</v>
      </c>
      <c r="D1043" s="262">
        <v>4081125563.3743143</v>
      </c>
      <c r="G1043" s="84" t="e">
        <f>#REF!</f>
        <v>#REF!</v>
      </c>
      <c r="H1043" s="84">
        <v>239244616.27999997</v>
      </c>
      <c r="M1043" s="20"/>
      <c r="N1043" s="20"/>
      <c r="O1043" s="74"/>
      <c r="P1043" s="74"/>
      <c r="Q1043" s="20"/>
      <c r="R1043" s="20"/>
      <c r="S1043" s="20"/>
      <c r="T1043" s="20"/>
      <c r="U1043" s="20"/>
      <c r="V1043" s="20"/>
      <c r="W1043" s="20"/>
      <c r="X1043" s="20"/>
    </row>
    <row r="1044" spans="1:24">
      <c r="M1044" s="20"/>
      <c r="N1044" s="20"/>
      <c r="O1044" s="74"/>
      <c r="P1044" s="74"/>
      <c r="Q1044" s="20"/>
      <c r="R1044" s="20"/>
      <c r="S1044" s="20"/>
      <c r="T1044" s="20"/>
      <c r="U1044" s="20"/>
      <c r="V1044" s="20"/>
      <c r="W1044" s="20"/>
      <c r="X1044" s="20"/>
    </row>
    <row r="1045" spans="1:24">
      <c r="B1045" s="3" t="s">
        <v>253</v>
      </c>
      <c r="C1045" s="262" t="e">
        <f>C1038-C1043</f>
        <v>#REF!</v>
      </c>
      <c r="D1045" s="262" t="e">
        <f>D1038-D1043</f>
        <v>#REF!</v>
      </c>
      <c r="G1045" s="262" t="e">
        <f>G1038-G1043</f>
        <v>#REF!</v>
      </c>
      <c r="H1045" s="262" t="e">
        <f>H1038-H1043</f>
        <v>#REF!</v>
      </c>
      <c r="M1045" s="20"/>
      <c r="N1045" s="20"/>
      <c r="O1045" s="74"/>
      <c r="P1045" s="74"/>
      <c r="Q1045" s="20"/>
      <c r="R1045" s="20"/>
      <c r="S1045" s="20"/>
      <c r="T1045" s="20"/>
      <c r="U1045" s="20"/>
      <c r="V1045" s="20"/>
      <c r="W1045" s="20"/>
      <c r="X1045" s="20"/>
    </row>
    <row r="1046" spans="1:24">
      <c r="M1046" s="20"/>
      <c r="N1046" s="20"/>
      <c r="O1046" s="74"/>
      <c r="P1046" s="74"/>
      <c r="Q1046" s="20"/>
      <c r="R1046" s="20"/>
      <c r="S1046" s="20"/>
      <c r="T1046" s="20"/>
      <c r="U1046" s="20"/>
      <c r="V1046" s="20"/>
      <c r="W1046" s="20"/>
      <c r="X1046" s="20"/>
    </row>
    <row r="1048" spans="1:24">
      <c r="B1048" s="3" t="s">
        <v>522</v>
      </c>
      <c r="C1048" s="262">
        <f>C24+C83+C157+C483+C587+C737+C768+C922+C933+C944+C991+C1029</f>
        <v>1499468</v>
      </c>
      <c r="D1048" s="262">
        <f>D24+D83+D157+D483+D587+D737+D768+D922+D933+D944+D991+D1029</f>
        <v>1458185.8409090908</v>
      </c>
    </row>
    <row r="1049" spans="1:24">
      <c r="B1049" s="3" t="s">
        <v>40</v>
      </c>
      <c r="C1049" s="262">
        <f>((C83+C186+C271+C483+C737+C768+C922+C933+C944+C991+C1029)/12)+C358+C587+C24</f>
        <v>160240.41666666669</v>
      </c>
      <c r="D1049" s="262">
        <f>((D83+D186+D271+D483+D737+D768+D922+D933+D944+D991+D1029)/12)+D358+D587+D24</f>
        <v>129032.00757575758</v>
      </c>
    </row>
    <row r="1051" spans="1:24">
      <c r="B1051" s="3" t="s">
        <v>253</v>
      </c>
      <c r="C1051" s="262">
        <v>-31827.666666666672</v>
      </c>
      <c r="D1051" s="262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49"/>
  <sheetViews>
    <sheetView view="pageBreakPreview" zoomScale="90" zoomScaleNormal="100" zoomScaleSheetLayoutView="90" workbookViewId="0">
      <selection activeCell="W29" sqref="W29"/>
    </sheetView>
  </sheetViews>
  <sheetFormatPr defaultColWidth="8.5" defaultRowHeight="15"/>
  <cols>
    <col min="1" max="1" width="4.625" style="478" customWidth="1"/>
    <col min="2" max="2" width="8.5" style="478"/>
    <col min="3" max="3" width="2.75" style="478" customWidth="1"/>
    <col min="4" max="4" width="7" style="478" bestFit="1" customWidth="1"/>
    <col min="5" max="5" width="2.875" style="478" customWidth="1"/>
    <col min="6" max="6" width="8.25" style="478" bestFit="1" customWidth="1"/>
    <col min="7" max="7" width="2.875" style="478" customWidth="1"/>
    <col min="8" max="8" width="6.75" style="478" bestFit="1" customWidth="1"/>
    <col min="9" max="9" width="2.875" style="478" customWidth="1"/>
    <col min="10" max="10" width="8.25" style="478" bestFit="1" customWidth="1"/>
    <col min="11" max="11" width="2.625" style="478" customWidth="1"/>
    <col min="12" max="12" width="8.25" style="478" bestFit="1" customWidth="1"/>
    <col min="13" max="13" width="2.625" style="478" customWidth="1"/>
    <col min="14" max="14" width="7.25" style="478" customWidth="1"/>
    <col min="15" max="15" width="2.875" style="478" customWidth="1"/>
    <col min="16" max="16" width="7.125" style="478" bestFit="1" customWidth="1"/>
    <col min="17" max="17" width="3" style="478" customWidth="1"/>
    <col min="18" max="19" width="7.875" style="478" customWidth="1"/>
    <col min="20" max="20" width="2.125" style="478" customWidth="1"/>
    <col min="21" max="21" width="2.25" style="478" customWidth="1"/>
    <col min="22" max="22" width="15.125" style="478" customWidth="1"/>
    <col min="23" max="23" width="15.25" style="478" customWidth="1"/>
    <col min="24" max="24" width="9.125" style="478" customWidth="1"/>
    <col min="25" max="25" width="8.25" style="478" customWidth="1"/>
    <col min="26" max="26" width="1.625" style="478" customWidth="1"/>
    <col min="27" max="16384" width="8.5" style="478"/>
  </cols>
  <sheetData>
    <row r="2" spans="1:31" ht="18.75">
      <c r="B2" s="479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1" t="s">
        <v>31</v>
      </c>
    </row>
    <row r="3" spans="1:31" ht="18.75">
      <c r="B3" s="1870" t="s">
        <v>72</v>
      </c>
      <c r="C3" s="1870"/>
      <c r="D3" s="1870"/>
      <c r="E3" s="1870"/>
      <c r="F3" s="1870"/>
      <c r="G3" s="1870"/>
      <c r="H3" s="1870"/>
      <c r="I3" s="1870"/>
      <c r="J3" s="1870"/>
      <c r="K3" s="1870"/>
      <c r="L3" s="1870"/>
      <c r="M3" s="1870"/>
      <c r="N3" s="1870"/>
      <c r="O3" s="1870"/>
      <c r="P3" s="1870"/>
      <c r="Q3" s="1235"/>
      <c r="R3" s="1235"/>
      <c r="S3" s="1235"/>
      <c r="T3" s="482"/>
    </row>
    <row r="4" spans="1:31" ht="18.75">
      <c r="A4" s="483"/>
      <c r="B4" s="1870" t="s">
        <v>523</v>
      </c>
      <c r="C4" s="1870"/>
      <c r="D4" s="1870"/>
      <c r="E4" s="1870"/>
      <c r="F4" s="1870"/>
      <c r="G4" s="1870"/>
      <c r="H4" s="1870"/>
      <c r="I4" s="1870"/>
      <c r="J4" s="1870"/>
      <c r="K4" s="1870"/>
      <c r="L4" s="1870"/>
      <c r="M4" s="1870"/>
      <c r="N4" s="1870"/>
      <c r="O4" s="1870"/>
      <c r="P4" s="1870"/>
      <c r="Q4" s="1235"/>
      <c r="R4" s="1235"/>
      <c r="S4" s="1235"/>
      <c r="T4" s="482"/>
    </row>
    <row r="5" spans="1:31" ht="18.75">
      <c r="A5" s="483"/>
      <c r="B5" s="1870" t="s">
        <v>524</v>
      </c>
      <c r="C5" s="1870"/>
      <c r="D5" s="1870"/>
      <c r="E5" s="1870"/>
      <c r="F5" s="1870"/>
      <c r="G5" s="1870"/>
      <c r="H5" s="1870"/>
      <c r="I5" s="1870"/>
      <c r="J5" s="1870"/>
      <c r="K5" s="1870"/>
      <c r="L5" s="1870"/>
      <c r="M5" s="1870"/>
      <c r="N5" s="1870"/>
      <c r="O5" s="1870"/>
      <c r="P5" s="1870"/>
      <c r="Q5" s="1235"/>
      <c r="R5" s="1235"/>
      <c r="S5" s="1235"/>
      <c r="T5" s="482"/>
    </row>
    <row r="6" spans="1:31" ht="18.75">
      <c r="B6" s="482" t="s">
        <v>31</v>
      </c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</row>
    <row r="8" spans="1:31" ht="18.75" thickBot="1">
      <c r="J8" s="1871" t="s">
        <v>948</v>
      </c>
      <c r="K8" s="1871"/>
      <c r="L8" s="1871"/>
      <c r="M8" s="1871"/>
      <c r="N8" s="1871"/>
      <c r="O8" s="1871"/>
      <c r="P8" s="1871"/>
      <c r="R8" s="1871" t="s">
        <v>967</v>
      </c>
      <c r="S8" s="1871"/>
      <c r="T8" s="485"/>
      <c r="U8" s="483"/>
      <c r="V8" s="485"/>
    </row>
    <row r="9" spans="1:31">
      <c r="D9" s="1871" t="s">
        <v>947</v>
      </c>
      <c r="E9" s="1871"/>
      <c r="F9" s="1871"/>
      <c r="G9" s="1871"/>
      <c r="H9" s="1871"/>
      <c r="I9" s="1217"/>
      <c r="J9" s="1217" t="s">
        <v>31</v>
      </c>
      <c r="K9" s="487"/>
      <c r="L9" s="1218" t="s">
        <v>31</v>
      </c>
      <c r="N9" s="1871" t="s">
        <v>173</v>
      </c>
      <c r="O9" s="1871"/>
      <c r="P9" s="1871"/>
      <c r="Q9" s="1217"/>
      <c r="R9" s="1872" t="s">
        <v>173</v>
      </c>
      <c r="S9" s="1872"/>
      <c r="T9" s="487"/>
      <c r="U9" s="487"/>
      <c r="V9" s="488" t="s">
        <v>527</v>
      </c>
      <c r="W9" s="489"/>
      <c r="X9" s="488" t="s">
        <v>528</v>
      </c>
      <c r="Y9" s="489"/>
    </row>
    <row r="10" spans="1:31" ht="18">
      <c r="B10" s="1215" t="s">
        <v>25</v>
      </c>
      <c r="D10" s="788" t="s">
        <v>199</v>
      </c>
      <c r="E10" s="492" t="s">
        <v>31</v>
      </c>
      <c r="F10" s="788" t="s">
        <v>307</v>
      </c>
      <c r="G10" s="492" t="s">
        <v>31</v>
      </c>
      <c r="H10" s="1216" t="s">
        <v>173</v>
      </c>
      <c r="I10" s="1217"/>
      <c r="J10" s="788" t="s">
        <v>199</v>
      </c>
      <c r="K10" s="492" t="s">
        <v>31</v>
      </c>
      <c r="L10" s="788" t="s">
        <v>307</v>
      </c>
      <c r="M10" s="492" t="s">
        <v>31</v>
      </c>
      <c r="N10" s="1214" t="s">
        <v>70</v>
      </c>
      <c r="P10" s="1236" t="s">
        <v>317</v>
      </c>
      <c r="Q10" s="1217"/>
      <c r="R10" s="1234" t="s">
        <v>70</v>
      </c>
      <c r="S10" s="788" t="s">
        <v>317</v>
      </c>
      <c r="V10" s="494" t="s">
        <v>529</v>
      </c>
      <c r="W10" s="495">
        <f>'Pages 4-11, All Other Schedules'!F82</f>
        <v>6</v>
      </c>
      <c r="X10" s="494"/>
      <c r="Y10" s="495">
        <f>'Pages 4-11, All Other Schedules'!I82</f>
        <v>10</v>
      </c>
      <c r="AA10" s="1208">
        <f>(Y10-W10)/W10</f>
        <v>0.66666666666666663</v>
      </c>
      <c r="AC10" s="478" t="s">
        <v>742</v>
      </c>
      <c r="AD10" s="478" t="s">
        <v>741</v>
      </c>
    </row>
    <row r="11" spans="1:31">
      <c r="B11" s="496"/>
      <c r="D11" s="496"/>
      <c r="E11" s="496"/>
      <c r="F11" s="496"/>
      <c r="J11" s="496"/>
      <c r="K11" s="496"/>
      <c r="L11" s="496"/>
      <c r="V11" s="494" t="s">
        <v>530</v>
      </c>
      <c r="W11" s="497">
        <f>'Pages 4-11, All Other Schedules'!F83+Y13+Y21+Y22</f>
        <v>6.1420000000000003</v>
      </c>
      <c r="X11" s="494"/>
      <c r="Y11" s="498">
        <f>'Pages 4-11, All Other Schedules'!I83+'Pages 4-11, All Other Schedules'!I88+Y13+Y21+Y22</f>
        <v>4.9649999999999999</v>
      </c>
      <c r="Z11" s="499"/>
      <c r="AA11" s="1208">
        <f>(Y11-W11)/W11</f>
        <v>-0.19163139042657121</v>
      </c>
      <c r="AC11" s="478">
        <f>2.506+3.772</f>
        <v>6.2779999999999996</v>
      </c>
      <c r="AD11" s="478">
        <v>5.9489999999999998</v>
      </c>
      <c r="AE11" s="1208">
        <f>(AC11-AD11)/AD11</f>
        <v>5.5303412338208062E-2</v>
      </c>
    </row>
    <row r="12" spans="1:31" ht="15.75" thickBot="1">
      <c r="B12" s="500">
        <v>50</v>
      </c>
      <c r="D12" s="501">
        <f>$W$10</f>
        <v>6</v>
      </c>
      <c r="F12" s="501">
        <f>$Y$10</f>
        <v>10</v>
      </c>
      <c r="H12" s="501">
        <f>F12-D12</f>
        <v>4</v>
      </c>
      <c r="I12" s="501"/>
      <c r="J12" s="501">
        <f>ROUND((($B12*W$11/100))+((B12*$Y$16)/100),2)+Y18</f>
        <v>3.5</v>
      </c>
      <c r="L12" s="501">
        <f>ROUND((($B12*Y$11/100))+((B12*$Y$17)/100),2)+Y19</f>
        <v>2.9099999999999997</v>
      </c>
      <c r="N12" s="502">
        <f>L12-J12</f>
        <v>-0.5900000000000003</v>
      </c>
      <c r="P12" s="503">
        <f>(L12-J12)/J12</f>
        <v>-0.16857142857142865</v>
      </c>
      <c r="Q12" s="503"/>
      <c r="R12" s="502">
        <f>F12+L12-D12-J12</f>
        <v>3.41</v>
      </c>
      <c r="S12" s="503">
        <f>((F12+L12)-(D12+J12))/(D12+J12)</f>
        <v>0.35894736842105263</v>
      </c>
      <c r="V12" s="504" t="s">
        <v>379</v>
      </c>
      <c r="W12" s="505">
        <f>'Pages 4-11, All Other Schedules'!F84+Y13+Y21+Y22</f>
        <v>9.609</v>
      </c>
      <c r="X12" s="504"/>
      <c r="Y12" s="505">
        <f>'Pages 4-11, All Other Schedules'!I84+'Pages 4-11, All Other Schedules'!I89+Y13+Y21+Y22</f>
        <v>7.737000000000001</v>
      </c>
      <c r="AA12" s="1208">
        <f>(Y12-W12)/W12</f>
        <v>-0.1948173587261941</v>
      </c>
      <c r="AC12" s="563">
        <f>6.505+4.321</f>
        <v>10.826000000000001</v>
      </c>
      <c r="AD12" s="563">
        <v>9.4160000000000004</v>
      </c>
      <c r="AE12" s="1208">
        <f>(AC12-AD12)/AD12</f>
        <v>0.14974511469838572</v>
      </c>
    </row>
    <row r="13" spans="1:31">
      <c r="B13" s="500">
        <v>100</v>
      </c>
      <c r="D13" s="501">
        <f>$W$10</f>
        <v>6</v>
      </c>
      <c r="F13" s="501">
        <f>$Y$10</f>
        <v>10</v>
      </c>
      <c r="H13" s="501">
        <f t="shared" ref="H13:H35" si="0">F13-D13</f>
        <v>4</v>
      </c>
      <c r="I13" s="501"/>
      <c r="J13" s="501">
        <f>ROUND((($B13*W$11/100))+((B13*$Y$16)/100),2)+Y18</f>
        <v>6.36</v>
      </c>
      <c r="L13" s="501">
        <f>ROUND((($B13*Y$11/100))+((B13*$Y$17)/100),2)+Y19</f>
        <v>5.1899999999999995</v>
      </c>
      <c r="N13" s="502">
        <f>L13-J13</f>
        <v>-1.1700000000000008</v>
      </c>
      <c r="P13" s="503">
        <f>(L13-J13)/J13</f>
        <v>-0.18396226415094352</v>
      </c>
      <c r="Q13" s="503"/>
      <c r="R13" s="502">
        <f>F13+L13-D13-J13</f>
        <v>2.8299999999999992</v>
      </c>
      <c r="S13" s="503">
        <f>((F13+L13)-(D13+J13))/(D13+J13)</f>
        <v>0.22896440129449841</v>
      </c>
      <c r="V13" s="506"/>
      <c r="W13" s="506" t="s">
        <v>202</v>
      </c>
      <c r="X13" s="506"/>
      <c r="Y13" s="507">
        <v>0.317</v>
      </c>
      <c r="AC13" s="502"/>
    </row>
    <row r="14" spans="1:31">
      <c r="B14" s="500">
        <v>150</v>
      </c>
      <c r="D14" s="501">
        <f>$W$10</f>
        <v>6</v>
      </c>
      <c r="F14" s="501">
        <f>$Y$10</f>
        <v>10</v>
      </c>
      <c r="H14" s="501">
        <f t="shared" si="0"/>
        <v>4</v>
      </c>
      <c r="I14" s="501"/>
      <c r="J14" s="501">
        <f>ROUND((($B14*W$11/100))+((B14*$Y$16)/100),2)+Y18</f>
        <v>9.23</v>
      </c>
      <c r="L14" s="501">
        <f>ROUND((($B14*Y$11/100))+((B14*$Y$17)/100),2)+Y19</f>
        <v>7.46</v>
      </c>
      <c r="N14" s="502">
        <f>L14-J14</f>
        <v>-1.7700000000000005</v>
      </c>
      <c r="P14" s="503">
        <f>(L14-J14)/J14</f>
        <v>-0.1917659804983749</v>
      </c>
      <c r="Q14" s="503"/>
      <c r="R14" s="502">
        <f>F14+L14-D14-J14</f>
        <v>2.2300000000000004</v>
      </c>
      <c r="S14" s="503">
        <f>((F14+L14)-(D14+J14))/(D14+J14)</f>
        <v>0.14642153644123443</v>
      </c>
      <c r="V14" s="506"/>
      <c r="W14" s="506"/>
      <c r="X14" s="506"/>
      <c r="Y14" s="507">
        <v>0.317</v>
      </c>
      <c r="Z14" s="508"/>
      <c r="AC14" s="502"/>
    </row>
    <row r="15" spans="1:31">
      <c r="D15" s="509"/>
      <c r="F15" s="509"/>
      <c r="J15" s="509"/>
      <c r="L15" s="509"/>
      <c r="R15" s="502"/>
      <c r="S15" s="503"/>
      <c r="V15" s="506"/>
      <c r="W15" s="506"/>
      <c r="X15" s="506"/>
      <c r="Y15" s="510"/>
      <c r="AC15" s="502"/>
    </row>
    <row r="16" spans="1:31">
      <c r="B16" s="500">
        <v>200</v>
      </c>
      <c r="D16" s="501">
        <f>$W$10</f>
        <v>6</v>
      </c>
      <c r="F16" s="501">
        <f>$Y$10</f>
        <v>10</v>
      </c>
      <c r="H16" s="501">
        <f t="shared" si="0"/>
        <v>4</v>
      </c>
      <c r="I16" s="501"/>
      <c r="J16" s="501">
        <f>ROUND((($B16*W$11/100))+((B16*$Y$16)/100),2)+Y18</f>
        <v>12.090000000000002</v>
      </c>
      <c r="L16" s="501">
        <f>ROUND((($B16*Y$11/100))+((B16*$Y$17)/100),2)+Y19</f>
        <v>9.74</v>
      </c>
      <c r="N16" s="502">
        <f>L16-J16</f>
        <v>-2.3500000000000014</v>
      </c>
      <c r="P16" s="503">
        <f>(L16-J16)/J16</f>
        <v>-0.1943755169561622</v>
      </c>
      <c r="Q16" s="503"/>
      <c r="R16" s="502">
        <f>F16+L16-D16-J16</f>
        <v>1.6500000000000004</v>
      </c>
      <c r="S16" s="503">
        <f>((F16+L16)-(D16+J16))/(D16+J16)</f>
        <v>9.1210613598673204E-2</v>
      </c>
      <c r="V16" s="506"/>
      <c r="W16" s="506" t="s">
        <v>531</v>
      </c>
      <c r="X16" s="506"/>
      <c r="Y16" s="507">
        <v>-0.41</v>
      </c>
      <c r="AA16" s="478" t="s">
        <v>31</v>
      </c>
      <c r="AC16" s="502"/>
    </row>
    <row r="17" spans="2:29">
      <c r="B17" s="500">
        <v>300</v>
      </c>
      <c r="D17" s="501">
        <f>$W$10</f>
        <v>6</v>
      </c>
      <c r="F17" s="501">
        <f>$Y$10</f>
        <v>10</v>
      </c>
      <c r="H17" s="501">
        <f t="shared" si="0"/>
        <v>4</v>
      </c>
      <c r="I17" s="501"/>
      <c r="J17" s="501">
        <f>ROUND((($B17*W$11/100))+((B17*$Y$16)/100),2)+Y18</f>
        <v>17.829999999999998</v>
      </c>
      <c r="L17" s="501">
        <f>ROUND((($B17*Y$11/100))+((B17*$Y$17)/100),2)+Y19</f>
        <v>14.3</v>
      </c>
      <c r="N17" s="502">
        <f>L17-J17</f>
        <v>-3.5299999999999976</v>
      </c>
      <c r="P17" s="503">
        <f>(L17-J17)/J17</f>
        <v>-0.19798093101514291</v>
      </c>
      <c r="Q17" s="503"/>
      <c r="R17" s="502">
        <f>F17+L17-D17-J17</f>
        <v>0.47000000000000242</v>
      </c>
      <c r="S17" s="503">
        <f>((F17+L17)-(D17+J17))/(D17+J17)</f>
        <v>1.9723038187159148E-2</v>
      </c>
      <c r="V17" s="506"/>
      <c r="W17" s="478" t="s">
        <v>31</v>
      </c>
      <c r="X17" s="478" t="s">
        <v>31</v>
      </c>
      <c r="Y17" s="507">
        <v>-0.41</v>
      </c>
      <c r="AC17" s="502"/>
    </row>
    <row r="18" spans="2:29">
      <c r="B18" s="500">
        <v>400</v>
      </c>
      <c r="D18" s="501">
        <f>$W$10</f>
        <v>6</v>
      </c>
      <c r="F18" s="501">
        <f>$Y$10</f>
        <v>10</v>
      </c>
      <c r="H18" s="501">
        <f t="shared" si="0"/>
        <v>4</v>
      </c>
      <c r="I18" s="501"/>
      <c r="J18" s="501">
        <f>ROUND((($B18*W$11/100))+((B18*$Y$16)/100),2)+Y18</f>
        <v>23.56</v>
      </c>
      <c r="L18" s="501">
        <f>ROUND((($B18*Y$11/100))+((B18*$Y$17)/100),2)+Y19</f>
        <v>18.849999999999998</v>
      </c>
      <c r="N18" s="502">
        <f>L18-J18</f>
        <v>-4.7100000000000009</v>
      </c>
      <c r="P18" s="503">
        <f>(L18-J18)/J18</f>
        <v>-0.19991511035653656</v>
      </c>
      <c r="Q18" s="503"/>
      <c r="R18" s="502">
        <f>F18+L18-D18-J18</f>
        <v>-0.71000000000000085</v>
      </c>
      <c r="S18" s="503">
        <f>((F18+L18)-(D18+J18))/(D18+J18)</f>
        <v>-2.4018944519621138E-2</v>
      </c>
      <c r="W18" s="478" t="s">
        <v>672</v>
      </c>
      <c r="Y18" s="502">
        <f>'Exhibit No._(JRS-6) p1'!D15</f>
        <v>0.63</v>
      </c>
      <c r="Z18" s="478" t="s">
        <v>31</v>
      </c>
      <c r="AC18" s="502"/>
    </row>
    <row r="19" spans="2:29">
      <c r="B19" s="500">
        <v>500</v>
      </c>
      <c r="D19" s="501">
        <f>$W$10</f>
        <v>6</v>
      </c>
      <c r="F19" s="501">
        <f>$Y$10</f>
        <v>10</v>
      </c>
      <c r="H19" s="501">
        <f t="shared" si="0"/>
        <v>4</v>
      </c>
      <c r="I19" s="501"/>
      <c r="J19" s="501">
        <f>ROUND((($B19*W$11/100))+((B19*$Y$16)/100),2)+Y18</f>
        <v>29.29</v>
      </c>
      <c r="L19" s="501">
        <f>ROUND((($B19*Y$11/100))+((B19*$Y$17)/100),2)+Y19</f>
        <v>23.41</v>
      </c>
      <c r="N19" s="502">
        <f>L19-J19</f>
        <v>-5.879999999999999</v>
      </c>
      <c r="P19" s="503">
        <f>(L19-J19)/J19</f>
        <v>-0.20075110959371797</v>
      </c>
      <c r="Q19" s="503"/>
      <c r="R19" s="502">
        <f>F19+L19-D19-J19</f>
        <v>-1.8800000000000026</v>
      </c>
      <c r="S19" s="503">
        <f>((F19+L19)-(D19+J19))/(D19+J19)</f>
        <v>-5.32728818362143E-2</v>
      </c>
      <c r="W19" s="478" t="s">
        <v>673</v>
      </c>
      <c r="Y19" s="502">
        <f>'Exhibit No._(JRS-6) p1'!D15</f>
        <v>0.63</v>
      </c>
      <c r="AC19" s="502"/>
    </row>
    <row r="20" spans="2:29">
      <c r="D20" s="509"/>
      <c r="F20" s="509"/>
      <c r="J20" s="509"/>
      <c r="L20" s="509"/>
      <c r="R20" s="502"/>
      <c r="S20" s="503"/>
      <c r="AC20" s="502"/>
    </row>
    <row r="21" spans="2:29">
      <c r="B21" s="1237">
        <v>600</v>
      </c>
      <c r="C21" s="1238"/>
      <c r="D21" s="1239">
        <f>$W$10</f>
        <v>6</v>
      </c>
      <c r="E21" s="1238"/>
      <c r="F21" s="1239">
        <f>$Y$10</f>
        <v>10</v>
      </c>
      <c r="G21" s="1238"/>
      <c r="H21" s="1239">
        <f t="shared" si="0"/>
        <v>4</v>
      </c>
      <c r="I21" s="1239"/>
      <c r="J21" s="1239">
        <f>ROUND((($B21*W$11/100))+((B21*$Y$16)/100),2)+Y18</f>
        <v>35.020000000000003</v>
      </c>
      <c r="K21" s="1238"/>
      <c r="L21" s="1239">
        <f>ROUND((($B21*Y$11/100))+((B21*$Y$17)/100),2)+Y19</f>
        <v>27.959999999999997</v>
      </c>
      <c r="M21" s="1238"/>
      <c r="N21" s="1239">
        <f>L21-J21</f>
        <v>-7.0600000000000058</v>
      </c>
      <c r="O21" s="1238"/>
      <c r="P21" s="1240">
        <f>(L21-J21)/J21</f>
        <v>-0.20159908623643646</v>
      </c>
      <c r="Q21" s="1240"/>
      <c r="R21" s="1239">
        <f>F21+L21-D21-J21</f>
        <v>-3.0600000000000094</v>
      </c>
      <c r="S21" s="1240">
        <f>((F21+L21)-(D21+J21))/(D21+J21)</f>
        <v>-7.4597757191614072E-2</v>
      </c>
      <c r="W21" s="478" t="s">
        <v>532</v>
      </c>
      <c r="Y21" s="478">
        <v>0</v>
      </c>
      <c r="AC21" s="502"/>
    </row>
    <row r="22" spans="2:29">
      <c r="B22" s="500">
        <v>700</v>
      </c>
      <c r="D22" s="501">
        <f>$W$10</f>
        <v>6</v>
      </c>
      <c r="F22" s="501">
        <f>$Y$10</f>
        <v>10</v>
      </c>
      <c r="H22" s="501">
        <f t="shared" si="0"/>
        <v>4</v>
      </c>
      <c r="I22" s="501"/>
      <c r="J22" s="501">
        <f>ROUND((((600*W$11/100)+(($B22-600)*W$12/100)))+((B22*$Y$16)/100),2)+Y18</f>
        <v>44.220000000000006</v>
      </c>
      <c r="L22" s="501">
        <f>ROUND((((600*Y$11/100)+(($B22-600)*Y$12/100)))+((B22*$Y$17)/100),2)+Y19</f>
        <v>35.29</v>
      </c>
      <c r="N22" s="502">
        <f>L22-J22</f>
        <v>-8.9300000000000068</v>
      </c>
      <c r="P22" s="503">
        <f>(L22-J22)/J22</f>
        <v>-0.20194482134780656</v>
      </c>
      <c r="Q22" s="503"/>
      <c r="R22" s="502">
        <f>F22+L22-D22-J22</f>
        <v>-4.9300000000000068</v>
      </c>
      <c r="S22" s="503">
        <f>((F22+L22)-(D22+J22))/(D22+J22)</f>
        <v>-9.8168060533652055E-2</v>
      </c>
      <c r="W22" s="761" t="s">
        <v>733</v>
      </c>
      <c r="Y22" s="478">
        <v>-0.124</v>
      </c>
      <c r="AC22" s="502"/>
    </row>
    <row r="23" spans="2:29">
      <c r="B23" s="500">
        <v>800</v>
      </c>
      <c r="D23" s="501">
        <f>$W$10</f>
        <v>6</v>
      </c>
      <c r="F23" s="501">
        <f>$Y$10</f>
        <v>10</v>
      </c>
      <c r="H23" s="501">
        <f t="shared" si="0"/>
        <v>4</v>
      </c>
      <c r="I23" s="501"/>
      <c r="J23" s="501">
        <f>ROUND((((600*W$11/100)+(($B23-600)*W$12/100)))+((B23*$Y$16)/100),2)+Y18</f>
        <v>53.42</v>
      </c>
      <c r="L23" s="501">
        <f>ROUND((((600*Y$11/100)+(($B23-600)*Y$12/100)))+((B23*$Y$17)/100),2)+Y19</f>
        <v>42.61</v>
      </c>
      <c r="N23" s="502">
        <f>L23-J23</f>
        <v>-10.810000000000002</v>
      </c>
      <c r="P23" s="503">
        <f>(L23-J23)/J23</f>
        <v>-0.20235866716585552</v>
      </c>
      <c r="Q23" s="503"/>
      <c r="R23" s="502">
        <f>F23+L23-D23-J23</f>
        <v>-6.8100000000000023</v>
      </c>
      <c r="S23" s="503">
        <f>((F23+L23)-(D23+J23))/(D23+J23)</f>
        <v>-0.11460787613598118</v>
      </c>
      <c r="AC23" s="502"/>
    </row>
    <row r="24" spans="2:29">
      <c r="B24" s="500">
        <v>900</v>
      </c>
      <c r="D24" s="501">
        <f>$W$10</f>
        <v>6</v>
      </c>
      <c r="F24" s="501">
        <f>$Y$10</f>
        <v>10</v>
      </c>
      <c r="H24" s="501">
        <f t="shared" si="0"/>
        <v>4</v>
      </c>
      <c r="I24" s="501"/>
      <c r="J24" s="501">
        <f>ROUND((((600*W$11/100)+(($B24-600)*W$12/100)))+((B24*$Y$16)/100),2)+Y18</f>
        <v>62.620000000000005</v>
      </c>
      <c r="L24" s="501">
        <f>ROUND((((600*Y$11/100)+(($B24-600)*Y$12/100)))+((B24*$Y$17)/100),2)+Y19</f>
        <v>49.940000000000005</v>
      </c>
      <c r="N24" s="502">
        <f>L24-J24</f>
        <v>-12.68</v>
      </c>
      <c r="P24" s="503">
        <f>(L24-J24)/J24</f>
        <v>-0.20249121686362181</v>
      </c>
      <c r="Q24" s="503"/>
      <c r="R24" s="502">
        <f>F24+L24-D24-J24</f>
        <v>-8.68</v>
      </c>
      <c r="S24" s="503">
        <f>((F24+L24)-(D24+J24))/(D24+J24)</f>
        <v>-0.12649373360536287</v>
      </c>
      <c r="V24" s="733" t="s">
        <v>684</v>
      </c>
      <c r="W24" s="784">
        <f ca="1">'Page 1, Revenues from Sales'!W11</f>
        <v>5.5402271617137643E-2</v>
      </c>
      <c r="AC24" s="502"/>
    </row>
    <row r="25" spans="2:29">
      <c r="B25" s="500">
        <v>1000</v>
      </c>
      <c r="D25" s="501">
        <f>$W$10</f>
        <v>6</v>
      </c>
      <c r="F25" s="501">
        <f>$Y$10</f>
        <v>10</v>
      </c>
      <c r="H25" s="501">
        <f t="shared" si="0"/>
        <v>4</v>
      </c>
      <c r="I25" s="501"/>
      <c r="J25" s="501">
        <f>ROUND((((600*W$11/100)+(($B25-600)*W$12/100)))+((B25*$Y$16)/100),2)+Y18</f>
        <v>71.819999999999993</v>
      </c>
      <c r="L25" s="501">
        <f>ROUND((((600*Y$11/100)+(($B25-600)*Y$12/100)))+((B25*$Y$17)/100),2)+Y19</f>
        <v>57.27</v>
      </c>
      <c r="N25" s="502">
        <f>L25-J25</f>
        <v>-14.54999999999999</v>
      </c>
      <c r="P25" s="503">
        <f>(L25-J25)/J25</f>
        <v>-0.20258980785296563</v>
      </c>
      <c r="Q25" s="503"/>
      <c r="R25" s="502">
        <f>F25+L25-D25-J25</f>
        <v>-10.549999999999983</v>
      </c>
      <c r="S25" s="503">
        <f>((F25+L25)-(D25+J25))/(D25+J25)</f>
        <v>-0.13556926240041101</v>
      </c>
      <c r="AC25" s="502"/>
    </row>
    <row r="26" spans="2:29">
      <c r="D26" s="509"/>
      <c r="F26" s="509"/>
      <c r="J26" s="509"/>
      <c r="L26" s="509"/>
      <c r="P26" s="511"/>
      <c r="Q26" s="511"/>
      <c r="R26" s="502"/>
      <c r="S26" s="503"/>
      <c r="AC26" s="502"/>
    </row>
    <row r="27" spans="2:29">
      <c r="B27" s="500">
        <v>1100</v>
      </c>
      <c r="D27" s="501">
        <f>$W$10</f>
        <v>6</v>
      </c>
      <c r="F27" s="501">
        <f>$Y$10</f>
        <v>10</v>
      </c>
      <c r="H27" s="501">
        <f t="shared" si="0"/>
        <v>4</v>
      </c>
      <c r="I27" s="501"/>
      <c r="J27" s="501">
        <f>ROUND((((600*W$11/100)+(($B27-600)*W$12/100)))+((B27*$Y$16)/100),2)+Y18</f>
        <v>81.02</v>
      </c>
      <c r="L27" s="501">
        <f>ROUND((((600*Y$11/100)+(($B27-600)*Y$12/100)))+((B27*$Y$17)/100),2)+Y19</f>
        <v>64.599999999999994</v>
      </c>
      <c r="N27" s="502">
        <f>L27-J27</f>
        <v>-16.420000000000002</v>
      </c>
      <c r="P27" s="503">
        <f>(L27-J27)/J27</f>
        <v>-0.20266600839298943</v>
      </c>
      <c r="Q27" s="503"/>
      <c r="R27" s="502">
        <f>F27+L27-D27-J27</f>
        <v>-12.420000000000002</v>
      </c>
      <c r="S27" s="503">
        <f>((F27+L27)-(D27+J27))/(D27+J27)</f>
        <v>-0.14272581015858427</v>
      </c>
      <c r="AC27" s="502"/>
    </row>
    <row r="28" spans="2:29">
      <c r="B28" s="500">
        <v>1200</v>
      </c>
      <c r="D28" s="501">
        <f>$W$10</f>
        <v>6</v>
      </c>
      <c r="F28" s="501">
        <f>$Y$10</f>
        <v>10</v>
      </c>
      <c r="H28" s="501">
        <f t="shared" si="0"/>
        <v>4</v>
      </c>
      <c r="I28" s="501"/>
      <c r="J28" s="501">
        <f>ROUND((((600*W$11/100)+(($B28-600)*W$12/100)))+((B28*$Y$16)/100),2)+Y18</f>
        <v>90.22</v>
      </c>
      <c r="L28" s="501">
        <f>ROUND((((600*Y$11/100)+(($B28-600)*Y$12/100)))+((B28*$Y$17)/100),2)+Y19</f>
        <v>71.92</v>
      </c>
      <c r="N28" s="502">
        <f>L28-J28</f>
        <v>-18.299999999999997</v>
      </c>
      <c r="P28" s="503">
        <f>(L28-J28)/J28</f>
        <v>-0.20283750831301262</v>
      </c>
      <c r="Q28" s="503"/>
      <c r="R28" s="502">
        <f>F28+L28-D28-J28</f>
        <v>-14.299999999999997</v>
      </c>
      <c r="S28" s="503">
        <f>((F28+L28)-(D28+J28))/(D28+J28)</f>
        <v>-0.14861775098732069</v>
      </c>
      <c r="AC28" s="502"/>
    </row>
    <row r="29" spans="2:29">
      <c r="B29" s="1237">
        <v>1300</v>
      </c>
      <c r="C29" s="1238" t="s">
        <v>719</v>
      </c>
      <c r="D29" s="1239">
        <f>$W$10</f>
        <v>6</v>
      </c>
      <c r="E29" s="1238"/>
      <c r="F29" s="1239">
        <f>$Y$10</f>
        <v>10</v>
      </c>
      <c r="G29" s="1238"/>
      <c r="H29" s="1239">
        <f t="shared" si="0"/>
        <v>4</v>
      </c>
      <c r="I29" s="1239"/>
      <c r="J29" s="1239">
        <f>ROUND((((600*W$11/100)+(($B29-600)*W$12/100)))+((B29*$Y$16)/100),2)+Y18</f>
        <v>99.42</v>
      </c>
      <c r="K29" s="1238"/>
      <c r="L29" s="1239">
        <f>ROUND((((600*Y$11/100)+(($B29-600)*Y$12/100)))+((B29*$Y$17)/100),2)+Y19</f>
        <v>79.25</v>
      </c>
      <c r="M29" s="1238"/>
      <c r="N29" s="1239">
        <f>L29-J29</f>
        <v>-20.170000000000002</v>
      </c>
      <c r="O29" s="1238"/>
      <c r="P29" s="1240">
        <f>(L29-J29)/J29</f>
        <v>-0.20287668477167572</v>
      </c>
      <c r="Q29" s="1240"/>
      <c r="R29" s="1239">
        <f>F29+L29-D29-J29</f>
        <v>-16.170000000000002</v>
      </c>
      <c r="S29" s="1240">
        <f>((F29+L29)-(D29+J29))/(D29+J29)</f>
        <v>-0.15338645418326693</v>
      </c>
      <c r="AC29" s="502"/>
    </row>
    <row r="30" spans="2:29">
      <c r="B30" s="500">
        <v>1400</v>
      </c>
      <c r="D30" s="501">
        <f>$W$10</f>
        <v>6</v>
      </c>
      <c r="F30" s="501">
        <f>$Y$10</f>
        <v>10</v>
      </c>
      <c r="H30" s="501">
        <f t="shared" si="0"/>
        <v>4</v>
      </c>
      <c r="I30" s="501"/>
      <c r="J30" s="501">
        <f>ROUND((((600*W$11/100)+(($B30-600)*W$12/100)))+((B30*$Y$16)/100),2)+Y18</f>
        <v>108.61</v>
      </c>
      <c r="L30" s="501">
        <f>ROUND((((600*Y$11/100)+(($B30-600)*Y$12/100)))+((B30*$Y$17)/100),2)+Y19</f>
        <v>86.58</v>
      </c>
      <c r="N30" s="502">
        <f>L30-J30</f>
        <v>-22.03</v>
      </c>
      <c r="P30" s="503">
        <f>(L30-J30)/J30</f>
        <v>-0.2028358346376945</v>
      </c>
      <c r="Q30" s="503"/>
      <c r="R30" s="502">
        <f>F30+L30-D30-J30</f>
        <v>-18.03</v>
      </c>
      <c r="S30" s="503">
        <f>((F30+L30)-(D30+J30))/(D30+J30)</f>
        <v>-0.15731611552220576</v>
      </c>
      <c r="AC30" s="502"/>
    </row>
    <row r="31" spans="2:29">
      <c r="B31" s="500">
        <v>1500</v>
      </c>
      <c r="D31" s="501">
        <f>$W$10</f>
        <v>6</v>
      </c>
      <c r="F31" s="501">
        <f>$Y$10</f>
        <v>10</v>
      </c>
      <c r="H31" s="501">
        <f t="shared" si="0"/>
        <v>4</v>
      </c>
      <c r="I31" s="501"/>
      <c r="J31" s="501">
        <f>ROUND((((600*W$11/100)+(($B31-600)*W$12/100)))+((B31*$Y$16)/100),2)+Y18</f>
        <v>117.81</v>
      </c>
      <c r="L31" s="501">
        <f>ROUND((((600*Y$11/100)+(($B31-600)*Y$12/100)))+((B31*$Y$17)/100),2)+Y19</f>
        <v>93.899999999999991</v>
      </c>
      <c r="N31" s="502">
        <f>L31-J31</f>
        <v>-23.910000000000011</v>
      </c>
      <c r="P31" s="503">
        <f>(L31-J31)/J31</f>
        <v>-0.20295390883626185</v>
      </c>
      <c r="Q31" s="503"/>
      <c r="R31" s="502">
        <f>F31+L31-D31-J31</f>
        <v>-19.910000000000011</v>
      </c>
      <c r="S31" s="503">
        <f>((F31+L31)-(D31+J31))/(D31+J31)</f>
        <v>-0.16081091995800026</v>
      </c>
      <c r="AC31" s="502"/>
    </row>
    <row r="32" spans="2:29">
      <c r="D32" s="509"/>
      <c r="F32" s="509"/>
      <c r="J32" s="509"/>
      <c r="L32" s="509"/>
      <c r="R32" s="502"/>
      <c r="S32" s="503"/>
      <c r="AC32" s="502"/>
    </row>
    <row r="33" spans="2:29">
      <c r="B33" s="500">
        <v>1600</v>
      </c>
      <c r="D33" s="501">
        <f>$W$10</f>
        <v>6</v>
      </c>
      <c r="F33" s="501">
        <f>$Y$10</f>
        <v>10</v>
      </c>
      <c r="H33" s="501">
        <f t="shared" si="0"/>
        <v>4</v>
      </c>
      <c r="I33" s="501"/>
      <c r="J33" s="501">
        <f>ROUND((((600*W$11/100)+(($B33-600)*W$12/100)))+((B33*$Y$16)/100),2)+Y18</f>
        <v>127.00999999999999</v>
      </c>
      <c r="L33" s="501">
        <f>ROUND((((600*Y$11/100)+(($B33-600)*Y$12/100)))+((B33*$Y$17)/100),2)+Y19</f>
        <v>101.22999999999999</v>
      </c>
      <c r="N33" s="502">
        <f>L33-J33</f>
        <v>-25.78</v>
      </c>
      <c r="P33" s="503">
        <f>(L33-J33)/J33</f>
        <v>-0.20297614361073935</v>
      </c>
      <c r="Q33" s="503"/>
      <c r="R33" s="502">
        <f>F33+L33-D33-J33</f>
        <v>-21.78</v>
      </c>
      <c r="S33" s="503">
        <f>((F33+L33)-(D33+J33))/(D33+J33)</f>
        <v>-0.16374708668521165</v>
      </c>
      <c r="AC33" s="502"/>
    </row>
    <row r="34" spans="2:29">
      <c r="B34" s="500">
        <v>2000</v>
      </c>
      <c r="D34" s="501">
        <f>$W$10</f>
        <v>6</v>
      </c>
      <c r="F34" s="501">
        <f>$Y$10</f>
        <v>10</v>
      </c>
      <c r="H34" s="501">
        <f t="shared" si="0"/>
        <v>4</v>
      </c>
      <c r="I34" s="501"/>
      <c r="J34" s="501">
        <f>ROUND((((600*W$11/100)+(($B34-600)*W$12/100)))+((B34*$Y$16)/100),2)+Y18</f>
        <v>163.81</v>
      </c>
      <c r="L34" s="501">
        <f>ROUND((((600*Y$11/100)+(($B34-600)*Y$12/100)))+((B34*$Y$17)/100),2)+Y19</f>
        <v>130.54</v>
      </c>
      <c r="N34" s="502">
        <f>L34-J34</f>
        <v>-33.27000000000001</v>
      </c>
      <c r="P34" s="503">
        <f>(L34-J34)/J34</f>
        <v>-0.20310115377571583</v>
      </c>
      <c r="Q34" s="503"/>
      <c r="R34" s="502">
        <f>F34+L34-D34-J34</f>
        <v>-29.27000000000001</v>
      </c>
      <c r="S34" s="503">
        <f>((F34+L34)-(D34+J34))/(D34+J34)</f>
        <v>-0.1723691184264767</v>
      </c>
      <c r="AC34" s="502"/>
    </row>
    <row r="35" spans="2:29">
      <c r="B35" s="500">
        <v>3000</v>
      </c>
      <c r="D35" s="501">
        <f>$W$10</f>
        <v>6</v>
      </c>
      <c r="F35" s="501">
        <f>$Y$10</f>
        <v>10</v>
      </c>
      <c r="H35" s="501">
        <f t="shared" si="0"/>
        <v>4</v>
      </c>
      <c r="I35" s="501"/>
      <c r="J35" s="501">
        <f>ROUND((((600*W$11/100)+(($B35-600)*W$12/100)))+((B35*$Y$16)/100),2)+Y18</f>
        <v>255.79999999999998</v>
      </c>
      <c r="L35" s="501">
        <f>ROUND((((600*Y$11/100)+(($B35-600)*Y$12/100)))+((B35*$Y$17)/100),2)+Y19</f>
        <v>203.81</v>
      </c>
      <c r="N35" s="502">
        <f>L35-J35</f>
        <v>-51.989999999999981</v>
      </c>
      <c r="P35" s="503">
        <f>(L35-J35)/J35</f>
        <v>-0.20324472243940572</v>
      </c>
      <c r="Q35" s="503"/>
      <c r="R35" s="502">
        <f>F35+L35-D35-J35</f>
        <v>-47.989999999999981</v>
      </c>
      <c r="S35" s="503">
        <f>((F35+L35)-(D35+J35))/(D35+J35)</f>
        <v>-0.18330786860198608</v>
      </c>
      <c r="AC35" s="502"/>
    </row>
    <row r="36" spans="2:29">
      <c r="B36" s="512"/>
      <c r="C36" s="493"/>
      <c r="D36" s="513"/>
      <c r="E36" s="493"/>
      <c r="F36" s="513"/>
      <c r="G36" s="493"/>
      <c r="H36" s="493"/>
      <c r="I36" s="493"/>
      <c r="J36" s="513"/>
      <c r="K36" s="493"/>
      <c r="L36" s="513"/>
      <c r="M36" s="493"/>
      <c r="N36" s="493"/>
      <c r="O36" s="493"/>
      <c r="P36" s="514"/>
      <c r="Q36" s="514"/>
      <c r="R36" s="514"/>
      <c r="S36" s="514"/>
      <c r="AC36" s="502"/>
    </row>
    <row r="37" spans="2:29">
      <c r="B37" s="515"/>
      <c r="T37" s="508"/>
    </row>
    <row r="38" spans="2:29">
      <c r="B38" s="478" t="s">
        <v>533</v>
      </c>
    </row>
    <row r="39" spans="2:29">
      <c r="B39" s="761" t="s">
        <v>720</v>
      </c>
    </row>
    <row r="40" spans="2:29" ht="16.5">
      <c r="B40" s="516" t="s">
        <v>929</v>
      </c>
    </row>
    <row r="41" spans="2:29" ht="16.5">
      <c r="B41" s="516" t="s">
        <v>941</v>
      </c>
    </row>
    <row r="49" spans="25:25">
      <c r="Y49" s="517"/>
    </row>
  </sheetData>
  <mergeCells count="8">
    <mergeCell ref="B3:P3"/>
    <mergeCell ref="B4:P4"/>
    <mergeCell ref="B5:P5"/>
    <mergeCell ref="R8:S8"/>
    <mergeCell ref="R9:S9"/>
    <mergeCell ref="N9:P9"/>
    <mergeCell ref="D9:H9"/>
    <mergeCell ref="J8:P8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 enableFormatConditionsCalculation="0">
    <tabColor indexed="13"/>
  </sheetPr>
  <dimension ref="A1:AE1022"/>
  <sheetViews>
    <sheetView view="pageBreakPreview" zoomScale="85" zoomScaleNormal="75" zoomScaleSheetLayoutView="75" workbookViewId="0">
      <pane ySplit="11" topLeftCell="A900" activePane="bottomLeft" state="frozen"/>
      <selection activeCell="M21" sqref="M21"/>
      <selection pane="bottomLeft" activeCell="M21" sqref="M21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69" customWidth="1"/>
    <col min="16" max="16" width="11.75" style="69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244" t="s">
        <v>31</v>
      </c>
      <c r="B1" s="245"/>
      <c r="C1" s="245"/>
      <c r="D1" s="245"/>
      <c r="E1" s="246"/>
      <c r="F1" s="246"/>
      <c r="G1" s="245"/>
      <c r="H1" s="245"/>
      <c r="I1" s="246"/>
      <c r="J1" s="245"/>
      <c r="K1" s="245"/>
    </row>
    <row r="2" spans="1:31" ht="18">
      <c r="A2" s="244" t="s">
        <v>187</v>
      </c>
      <c r="B2" s="245"/>
      <c r="C2" s="245"/>
      <c r="D2" s="245"/>
      <c r="E2" s="246"/>
      <c r="F2" s="246"/>
      <c r="G2" s="245"/>
      <c r="H2" s="245"/>
      <c r="I2" s="246"/>
      <c r="J2" s="245"/>
      <c r="K2" s="245"/>
    </row>
    <row r="3" spans="1:31" ht="18">
      <c r="A3" s="244" t="s">
        <v>349</v>
      </c>
      <c r="B3" s="245"/>
      <c r="C3" s="245"/>
      <c r="D3" s="245"/>
      <c r="E3" s="246"/>
      <c r="F3" s="246"/>
      <c r="G3" s="245"/>
      <c r="H3" s="245"/>
      <c r="I3" s="246"/>
      <c r="J3" s="245"/>
      <c r="K3" s="245"/>
    </row>
    <row r="4" spans="1:31">
      <c r="A4" s="247" t="s">
        <v>304</v>
      </c>
      <c r="B4" s="248"/>
      <c r="C4" s="248"/>
      <c r="D4" s="248"/>
      <c r="E4" s="249"/>
      <c r="F4" s="249"/>
      <c r="G4" s="248"/>
      <c r="H4" s="248"/>
      <c r="I4" s="249"/>
      <c r="J4" s="248"/>
      <c r="K4" s="248"/>
    </row>
    <row r="5" spans="1:31">
      <c r="A5" s="250" t="s">
        <v>350</v>
      </c>
      <c r="B5" s="248"/>
      <c r="C5" s="248"/>
      <c r="D5" s="248"/>
      <c r="E5" s="249"/>
      <c r="F5" s="249"/>
      <c r="G5" s="248"/>
      <c r="H5" s="248"/>
      <c r="I5" s="249"/>
      <c r="J5" s="248"/>
      <c r="K5" s="248"/>
    </row>
    <row r="6" spans="1:31">
      <c r="A6" s="250"/>
      <c r="B6" s="248"/>
      <c r="C6" s="248"/>
      <c r="D6" s="248"/>
      <c r="E6" s="249"/>
      <c r="F6" s="249"/>
      <c r="G6" s="248"/>
      <c r="H6" s="248"/>
      <c r="I6" s="249"/>
      <c r="J6" s="248"/>
      <c r="K6" s="248"/>
    </row>
    <row r="7" spans="1:31">
      <c r="A7" s="250"/>
      <c r="B7" s="248"/>
      <c r="C7" s="248"/>
      <c r="D7" s="248"/>
      <c r="E7" s="249"/>
      <c r="F7" s="249"/>
      <c r="G7" s="248"/>
      <c r="H7" s="248"/>
      <c r="I7" s="249"/>
      <c r="J7" s="248"/>
      <c r="K7" s="248"/>
    </row>
    <row r="8" spans="1:31">
      <c r="A8" s="248"/>
      <c r="B8" s="248"/>
      <c r="C8" s="248"/>
      <c r="D8" s="248"/>
      <c r="E8" s="249"/>
      <c r="F8" s="249"/>
      <c r="G8" s="248"/>
      <c r="H8" s="248"/>
      <c r="I8" s="249"/>
      <c r="J8" s="248"/>
      <c r="K8" s="248"/>
    </row>
    <row r="9" spans="1:31">
      <c r="A9" s="251"/>
      <c r="B9" s="251"/>
      <c r="C9" s="252"/>
      <c r="D9" s="252"/>
      <c r="E9" s="253"/>
      <c r="F9" s="253"/>
      <c r="G9" s="254" t="s">
        <v>199</v>
      </c>
      <c r="H9" s="255"/>
      <c r="I9" s="253"/>
      <c r="J9" s="254"/>
      <c r="K9" s="254"/>
    </row>
    <row r="10" spans="1:31">
      <c r="A10" s="251"/>
      <c r="B10" s="251"/>
      <c r="C10" s="252" t="s">
        <v>351</v>
      </c>
      <c r="D10" s="252"/>
      <c r="E10" s="254" t="s">
        <v>199</v>
      </c>
      <c r="F10" s="253"/>
      <c r="G10" s="256" t="s">
        <v>352</v>
      </c>
      <c r="H10" s="255" t="s">
        <v>199</v>
      </c>
      <c r="I10" s="254" t="s">
        <v>307</v>
      </c>
      <c r="J10" s="252"/>
      <c r="K10" s="254" t="s">
        <v>307</v>
      </c>
    </row>
    <row r="11" spans="1:31">
      <c r="A11" s="251"/>
      <c r="B11" s="251"/>
      <c r="C11" s="257" t="s">
        <v>306</v>
      </c>
      <c r="D11" s="252" t="s">
        <v>351</v>
      </c>
      <c r="E11" s="258" t="s">
        <v>13</v>
      </c>
      <c r="F11" s="259"/>
      <c r="G11" s="258" t="s">
        <v>306</v>
      </c>
      <c r="H11" s="254" t="s">
        <v>352</v>
      </c>
      <c r="I11" s="258" t="s">
        <v>13</v>
      </c>
      <c r="J11" s="258"/>
      <c r="K11" s="258" t="s">
        <v>352</v>
      </c>
      <c r="M11" s="256" t="s">
        <v>353</v>
      </c>
    </row>
    <row r="12" spans="1:31">
      <c r="A12" s="260" t="s">
        <v>354</v>
      </c>
      <c r="G12" s="261"/>
      <c r="H12" s="261"/>
    </row>
    <row r="13" spans="1:31">
      <c r="A13" s="3" t="s">
        <v>355</v>
      </c>
      <c r="G13" s="261"/>
      <c r="H13" s="261"/>
    </row>
    <row r="14" spans="1:31">
      <c r="G14" s="261"/>
      <c r="H14" s="261"/>
    </row>
    <row r="15" spans="1:31">
      <c r="A15" s="3" t="s">
        <v>356</v>
      </c>
      <c r="G15" s="261"/>
      <c r="H15" s="261"/>
    </row>
    <row r="16" spans="1:31">
      <c r="A16" s="3" t="s">
        <v>357</v>
      </c>
      <c r="C16" s="262">
        <f t="shared" ref="C16:D18" si="0">C33+C50+C67</f>
        <v>30615</v>
      </c>
      <c r="D16" s="262">
        <f t="shared" si="0"/>
        <v>30989</v>
      </c>
      <c r="E16" s="263">
        <v>9.6</v>
      </c>
      <c r="G16" s="2">
        <f t="shared" ref="G16:H18" si="1">G33+G50+G67</f>
        <v>293904</v>
      </c>
      <c r="H16" s="2">
        <f t="shared" si="1"/>
        <v>297494</v>
      </c>
      <c r="I16" s="263">
        <v>9.6</v>
      </c>
      <c r="K16" s="2">
        <f>K33+K50+K67</f>
        <v>297494</v>
      </c>
      <c r="M16" s="84">
        <f>I16*D16</f>
        <v>297494.39999999997</v>
      </c>
      <c r="N16" s="3">
        <v>76</v>
      </c>
      <c r="O16" s="105">
        <f>N16*D16</f>
        <v>2355164</v>
      </c>
      <c r="P16" s="264">
        <f>N16*$O$25</f>
        <v>-2.3212565360957803E-15</v>
      </c>
      <c r="Q16" s="264">
        <f>C16*P16</f>
        <v>-7.1065268852572319E-11</v>
      </c>
      <c r="R16" s="265">
        <f>ROUND(E16+P16,2)</f>
        <v>9.6</v>
      </c>
      <c r="AE16" s="84"/>
    </row>
    <row r="17" spans="1:31">
      <c r="A17" s="3" t="s">
        <v>358</v>
      </c>
      <c r="C17" s="262">
        <f t="shared" si="0"/>
        <v>4904</v>
      </c>
      <c r="D17" s="262">
        <f t="shared" si="0"/>
        <v>5043</v>
      </c>
      <c r="E17" s="263">
        <v>18.28</v>
      </c>
      <c r="G17" s="2">
        <f t="shared" si="1"/>
        <v>89645</v>
      </c>
      <c r="H17" s="2">
        <f t="shared" si="1"/>
        <v>92186</v>
      </c>
      <c r="I17" s="263">
        <v>18.28</v>
      </c>
      <c r="K17" s="2">
        <f>K34+K51+K68</f>
        <v>92186</v>
      </c>
      <c r="M17" s="84">
        <f>I17*D17</f>
        <v>92186.040000000008</v>
      </c>
      <c r="N17" s="3">
        <v>172</v>
      </c>
      <c r="O17" s="105">
        <f>N17*D17</f>
        <v>867396</v>
      </c>
      <c r="P17" s="264">
        <f>N17*$O$25</f>
        <v>-5.2533700553746604E-15</v>
      </c>
      <c r="Q17" s="264">
        <f>C17*P17</f>
        <v>-2.5762526751557335E-11</v>
      </c>
      <c r="R17" s="265">
        <f>ROUND(E17+P17,2)</f>
        <v>18.28</v>
      </c>
      <c r="AE17" s="84"/>
    </row>
    <row r="18" spans="1:31">
      <c r="A18" s="3" t="s">
        <v>359</v>
      </c>
      <c r="C18" s="262">
        <f t="shared" si="0"/>
        <v>657</v>
      </c>
      <c r="D18" s="262">
        <f t="shared" si="0"/>
        <v>677</v>
      </c>
      <c r="E18" s="263">
        <v>37.82</v>
      </c>
      <c r="G18" s="2">
        <f t="shared" si="1"/>
        <v>24848</v>
      </c>
      <c r="H18" s="2">
        <f t="shared" si="1"/>
        <v>25605</v>
      </c>
      <c r="I18" s="263">
        <v>37.82</v>
      </c>
      <c r="K18" s="2">
        <f>K35+K52+K69</f>
        <v>25605</v>
      </c>
      <c r="M18" s="84">
        <f>I18*D18</f>
        <v>25604.14</v>
      </c>
      <c r="N18" s="3">
        <v>412</v>
      </c>
      <c r="O18" s="105">
        <f>N18*D18</f>
        <v>278924</v>
      </c>
      <c r="P18" s="264">
        <f>N18*$O$25</f>
        <v>-1.2583653853571861E-14</v>
      </c>
      <c r="Q18" s="264">
        <f>C18*P18</f>
        <v>-8.2674605817967132E-12</v>
      </c>
      <c r="R18" s="265">
        <f>ROUND(E18+P18,2)</f>
        <v>37.82</v>
      </c>
      <c r="AE18" s="84"/>
    </row>
    <row r="19" spans="1:31">
      <c r="A19" s="3" t="s">
        <v>360</v>
      </c>
      <c r="C19" s="262"/>
      <c r="D19" s="262"/>
      <c r="E19" s="263"/>
      <c r="G19" s="2"/>
      <c r="H19" s="2"/>
      <c r="I19" s="263"/>
      <c r="K19" s="2"/>
      <c r="M19" s="84"/>
      <c r="O19" s="3"/>
      <c r="P19" s="264"/>
      <c r="Q19" s="264"/>
      <c r="R19" s="266"/>
      <c r="AE19" s="84"/>
    </row>
    <row r="20" spans="1:31">
      <c r="A20" s="3" t="s">
        <v>361</v>
      </c>
      <c r="C20" s="262">
        <f t="shared" ref="C20:D25" si="2">C37+C54+C71</f>
        <v>2070</v>
      </c>
      <c r="D20" s="262">
        <f t="shared" si="2"/>
        <v>2097</v>
      </c>
      <c r="E20" s="263">
        <v>10.92</v>
      </c>
      <c r="G20" s="2">
        <f t="shared" ref="G20:H23" si="3">G37+G54+G71</f>
        <v>22604</v>
      </c>
      <c r="H20" s="2">
        <f t="shared" si="3"/>
        <v>22899</v>
      </c>
      <c r="I20" s="263">
        <v>10.92</v>
      </c>
      <c r="K20" s="2">
        <f>K37+K54+K71</f>
        <v>22899</v>
      </c>
      <c r="M20" s="84">
        <f>I20*D20</f>
        <v>22899.24</v>
      </c>
      <c r="N20" s="3">
        <v>31</v>
      </c>
      <c r="O20" s="105">
        <f>N20*D20</f>
        <v>65007</v>
      </c>
      <c r="P20" s="264">
        <f>N20*$O$25</f>
        <v>-9.4682832393380513E-16</v>
      </c>
      <c r="Q20" s="264">
        <f>C20*P20</f>
        <v>-1.9599346305429768E-12</v>
      </c>
      <c r="R20" s="265">
        <f>ROUND(E20+P20,2)</f>
        <v>10.92</v>
      </c>
      <c r="AE20" s="84"/>
    </row>
    <row r="21" spans="1:31">
      <c r="A21" s="3" t="s">
        <v>362</v>
      </c>
      <c r="C21" s="262">
        <f t="shared" si="2"/>
        <v>1813</v>
      </c>
      <c r="D21" s="262">
        <f t="shared" si="2"/>
        <v>1858</v>
      </c>
      <c r="E21" s="263">
        <v>16.04</v>
      </c>
      <c r="G21" s="2">
        <f t="shared" si="3"/>
        <v>29080</v>
      </c>
      <c r="H21" s="2">
        <f t="shared" si="3"/>
        <v>29802</v>
      </c>
      <c r="I21" s="263">
        <v>16.04</v>
      </c>
      <c r="K21" s="2">
        <f>K38+K55+K72</f>
        <v>29802</v>
      </c>
      <c r="M21" s="84">
        <f>I21*D21</f>
        <v>29802.32</v>
      </c>
      <c r="N21" s="3">
        <v>85</v>
      </c>
      <c r="O21" s="105">
        <f>N21*D21</f>
        <v>157930</v>
      </c>
      <c r="P21" s="264">
        <f>N21*$O$25</f>
        <v>-2.5961421785281753E-15</v>
      </c>
      <c r="Q21" s="264">
        <f>C21*P21</f>
        <v>-4.7068057696715822E-12</v>
      </c>
      <c r="R21" s="265">
        <f>ROUND(E21+P21,2)</f>
        <v>16.04</v>
      </c>
      <c r="AE21" s="84"/>
    </row>
    <row r="22" spans="1:31">
      <c r="A22" s="3" t="s">
        <v>363</v>
      </c>
      <c r="C22" s="262">
        <f t="shared" si="2"/>
        <v>481</v>
      </c>
      <c r="D22" s="262">
        <f t="shared" si="2"/>
        <v>495</v>
      </c>
      <c r="E22" s="263">
        <v>25.88</v>
      </c>
      <c r="G22" s="2">
        <f t="shared" si="3"/>
        <v>12449</v>
      </c>
      <c r="H22" s="2">
        <f t="shared" si="3"/>
        <v>12811</v>
      </c>
      <c r="I22" s="263">
        <v>25.88</v>
      </c>
      <c r="K22" s="2">
        <f>K39+K56+K73</f>
        <v>12811</v>
      </c>
      <c r="M22" s="84">
        <f>I22*D22</f>
        <v>12810.6</v>
      </c>
      <c r="N22" s="3">
        <v>176</v>
      </c>
      <c r="O22" s="105">
        <f>N22*D22</f>
        <v>87120</v>
      </c>
      <c r="P22" s="264">
        <f>N22*$O$25</f>
        <v>-5.3755414520112801E-15</v>
      </c>
      <c r="Q22" s="264">
        <f>C22*P22</f>
        <v>-2.5856354384174258E-12</v>
      </c>
      <c r="R22" s="265">
        <f>ROUND(E22+P22,2)</f>
        <v>25.88</v>
      </c>
      <c r="AE22" s="84"/>
    </row>
    <row r="23" spans="1:31">
      <c r="A23" s="3" t="s">
        <v>364</v>
      </c>
      <c r="C23" s="262">
        <f t="shared" si="2"/>
        <v>632</v>
      </c>
      <c r="D23" s="262">
        <f t="shared" si="2"/>
        <v>647</v>
      </c>
      <c r="E23" s="267">
        <v>1</v>
      </c>
      <c r="F23" s="20"/>
      <c r="G23" s="2">
        <f t="shared" si="3"/>
        <v>632</v>
      </c>
      <c r="H23" s="2">
        <f t="shared" si="3"/>
        <v>647</v>
      </c>
      <c r="I23" s="267">
        <v>1</v>
      </c>
      <c r="J23" s="20"/>
      <c r="K23" s="2">
        <f>K40+K57+K74</f>
        <v>647</v>
      </c>
      <c r="M23" s="84">
        <f>I23*D23</f>
        <v>647</v>
      </c>
      <c r="O23" s="105">
        <f>SUM(O16:O22)</f>
        <v>3811541</v>
      </c>
      <c r="P23" s="3"/>
      <c r="Q23" s="264">
        <f>SUM(Q16:Q22)</f>
        <v>-1.1434763202455836E-10</v>
      </c>
      <c r="AE23" s="84"/>
    </row>
    <row r="24" spans="1:31">
      <c r="A24" s="3" t="s">
        <v>365</v>
      </c>
      <c r="C24" s="262">
        <f t="shared" si="2"/>
        <v>2828</v>
      </c>
      <c r="D24" s="262">
        <f t="shared" si="2"/>
        <v>2797.0833333333335</v>
      </c>
      <c r="E24" s="263"/>
      <c r="G24" s="2"/>
      <c r="H24" s="2"/>
      <c r="I24" s="263"/>
      <c r="K24" s="2"/>
      <c r="M24" s="84"/>
      <c r="O24" s="84">
        <v>-1.1641532182693481E-10</v>
      </c>
      <c r="P24" s="3"/>
      <c r="AE24" s="84"/>
    </row>
    <row r="25" spans="1:31">
      <c r="A25" s="3" t="s">
        <v>35</v>
      </c>
      <c r="C25" s="262">
        <f t="shared" si="2"/>
        <v>3727613.5</v>
      </c>
      <c r="D25" s="262">
        <f t="shared" si="2"/>
        <v>3794904.7279999279</v>
      </c>
      <c r="E25" s="267"/>
      <c r="F25" s="20"/>
      <c r="G25" s="2">
        <f>G42+G59+G76</f>
        <v>473162</v>
      </c>
      <c r="H25" s="2">
        <f>H42+H59+H76</f>
        <v>481444</v>
      </c>
      <c r="I25" s="267"/>
      <c r="J25" s="20"/>
      <c r="K25" s="268">
        <f>K42+K59+K76</f>
        <v>481444</v>
      </c>
      <c r="M25" s="84">
        <f>SUM(M16:M24)</f>
        <v>481443.73999999993</v>
      </c>
      <c r="O25" s="269">
        <f>O24/O23</f>
        <v>-3.0542849159155002E-17</v>
      </c>
      <c r="P25" s="3"/>
      <c r="AE25" s="84"/>
    </row>
    <row r="26" spans="1:31">
      <c r="A26" s="3" t="s">
        <v>366</v>
      </c>
      <c r="C26" s="262">
        <f>C43+C60+C77</f>
        <v>7475.3644456641432</v>
      </c>
      <c r="D26" s="262">
        <v>0</v>
      </c>
      <c r="E26" s="267"/>
      <c r="F26" s="20"/>
      <c r="G26" s="270">
        <f>G43+G60+G77</f>
        <v>758.26673033638372</v>
      </c>
      <c r="H26" s="270">
        <v>0</v>
      </c>
      <c r="I26" s="267"/>
      <c r="J26" s="20"/>
      <c r="K26" s="270">
        <f>K43+K60+K77</f>
        <v>0</v>
      </c>
      <c r="AE26" s="84"/>
    </row>
    <row r="27" spans="1:31" ht="16.5" thickBot="1">
      <c r="A27" s="3" t="s">
        <v>9</v>
      </c>
      <c r="C27" s="271">
        <f>C25+C26</f>
        <v>3735088.864445664</v>
      </c>
      <c r="D27" s="271">
        <f>D25+D26</f>
        <v>3794904.7279999279</v>
      </c>
      <c r="E27" s="272"/>
      <c r="F27" s="272"/>
      <c r="G27" s="272">
        <f>G25+G26</f>
        <v>473920.26673033636</v>
      </c>
      <c r="H27" s="272">
        <f>H25+H26</f>
        <v>481444</v>
      </c>
      <c r="I27" s="272"/>
      <c r="J27" s="272"/>
      <c r="K27" s="272">
        <f>K25+K26</f>
        <v>481444</v>
      </c>
      <c r="N27" s="3" t="s">
        <v>367</v>
      </c>
      <c r="O27" s="69" t="e">
        <f>#REF!*1000</f>
        <v>#REF!</v>
      </c>
      <c r="Q27" s="14"/>
      <c r="AE27" s="84"/>
    </row>
    <row r="28" spans="1:31" ht="16.5" thickTop="1">
      <c r="C28" s="273"/>
      <c r="D28" s="273"/>
      <c r="E28" s="273"/>
      <c r="F28" s="273"/>
      <c r="G28" s="261"/>
      <c r="H28" s="261"/>
      <c r="I28" s="1" t="s">
        <v>31</v>
      </c>
      <c r="J28" s="273"/>
      <c r="K28" s="2" t="s">
        <v>31</v>
      </c>
      <c r="N28" s="3" t="s">
        <v>265</v>
      </c>
      <c r="O28" s="69" t="e">
        <f>O27-K27</f>
        <v>#REF!</v>
      </c>
      <c r="P28" s="14" t="e">
        <f>(O27-K27)/K27</f>
        <v>#REF!</v>
      </c>
      <c r="Q28" s="14"/>
      <c r="AE28" s="84"/>
    </row>
    <row r="29" spans="1:31">
      <c r="A29" s="260" t="s">
        <v>354</v>
      </c>
      <c r="G29" s="261"/>
      <c r="H29" s="261"/>
      <c r="O29" s="274" t="e">
        <f>O28/(K16+K17+K18+K20+K21+K22)</f>
        <v>#REF!</v>
      </c>
      <c r="P29" s="3"/>
      <c r="AE29" s="84"/>
    </row>
    <row r="30" spans="1:31">
      <c r="A30" s="3" t="s">
        <v>368</v>
      </c>
      <c r="G30" s="261"/>
      <c r="H30" s="261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AE30" s="84"/>
    </row>
    <row r="31" spans="1:31">
      <c r="E31" s="262"/>
      <c r="G31" s="261"/>
      <c r="H31" s="261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5"/>
      <c r="AE31" s="84"/>
    </row>
    <row r="32" spans="1:31">
      <c r="A32" s="3" t="s">
        <v>356</v>
      </c>
      <c r="G32" s="261"/>
      <c r="H32" s="261"/>
      <c r="M32" s="276"/>
      <c r="N32" s="276"/>
      <c r="O32" s="276"/>
      <c r="P32" s="74"/>
      <c r="Q32" s="277"/>
      <c r="R32" s="278"/>
      <c r="S32" s="279"/>
      <c r="T32" s="280"/>
      <c r="U32" s="276"/>
      <c r="V32" s="276"/>
      <c r="W32" s="276"/>
      <c r="X32" s="275"/>
      <c r="AE32" s="84"/>
    </row>
    <row r="33" spans="1:31">
      <c r="A33" s="3" t="s">
        <v>357</v>
      </c>
      <c r="C33" s="262">
        <f>14258+124</f>
        <v>14382</v>
      </c>
      <c r="D33" s="262">
        <f>ROUND(C33*($D$42/$C$42),0)</f>
        <v>14272</v>
      </c>
      <c r="E33" s="263">
        <v>9.6</v>
      </c>
      <c r="G33" s="2">
        <f>ROUND(E33*$C33,0)</f>
        <v>138067</v>
      </c>
      <c r="H33" s="2">
        <f>ROUND(E33*$D33,0)</f>
        <v>137011</v>
      </c>
      <c r="I33" s="263">
        <f>$I$16</f>
        <v>9.6</v>
      </c>
      <c r="K33" s="2">
        <f>ROUND(I33*$D33,0)</f>
        <v>137011</v>
      </c>
      <c r="M33" s="20"/>
      <c r="N33" s="20"/>
      <c r="O33" s="279"/>
      <c r="P33" s="74"/>
      <c r="Q33" s="276"/>
      <c r="R33" s="281"/>
      <c r="S33" s="282"/>
      <c r="T33" s="276"/>
      <c r="U33" s="279"/>
      <c r="V33" s="279"/>
      <c r="W33" s="283"/>
      <c r="X33" s="284"/>
      <c r="AE33" s="84"/>
    </row>
    <row r="34" spans="1:31">
      <c r="A34" s="3" t="s">
        <v>358</v>
      </c>
      <c r="C34" s="262">
        <f>262+12</f>
        <v>274</v>
      </c>
      <c r="D34" s="262">
        <f>ROUND(C34*($D$42/$C$42),0)</f>
        <v>272</v>
      </c>
      <c r="E34" s="263">
        <v>18.28</v>
      </c>
      <c r="G34" s="2">
        <f>ROUND(E34*$C34,0)</f>
        <v>5009</v>
      </c>
      <c r="H34" s="2">
        <f>ROUND(E34*$D34,0)</f>
        <v>4972</v>
      </c>
      <c r="I34" s="263">
        <f>$I$17</f>
        <v>18.28</v>
      </c>
      <c r="K34" s="2">
        <f>ROUND(I34*$D34,0)</f>
        <v>4972</v>
      </c>
      <c r="M34" s="20"/>
      <c r="N34" s="20"/>
      <c r="O34" s="279"/>
      <c r="P34" s="74"/>
      <c r="Q34" s="20"/>
      <c r="R34" s="285"/>
      <c r="S34" s="276"/>
      <c r="T34" s="276"/>
      <c r="U34" s="279"/>
      <c r="V34" s="279"/>
      <c r="W34" s="283"/>
      <c r="X34" s="284"/>
      <c r="AE34" s="84"/>
    </row>
    <row r="35" spans="1:31">
      <c r="A35" s="3" t="s">
        <v>359</v>
      </c>
      <c r="C35" s="262">
        <f>2</f>
        <v>2</v>
      </c>
      <c r="D35" s="262">
        <f>ROUND(C35*($D$42/$C$42),0)</f>
        <v>2</v>
      </c>
      <c r="E35" s="263">
        <v>37.82</v>
      </c>
      <c r="G35" s="2">
        <f>ROUND(E35*$C35,0)</f>
        <v>76</v>
      </c>
      <c r="H35" s="2">
        <f>ROUND(E35*$D35,0)</f>
        <v>76</v>
      </c>
      <c r="I35" s="263">
        <f>$I$18</f>
        <v>37.82</v>
      </c>
      <c r="K35" s="2">
        <f>ROUND(I35*$D35,0)</f>
        <v>76</v>
      </c>
      <c r="M35" s="20"/>
      <c r="N35" s="20"/>
      <c r="O35" s="279"/>
      <c r="P35" s="74"/>
      <c r="Q35" s="20"/>
      <c r="R35" s="285"/>
      <c r="S35" s="276"/>
      <c r="T35" s="276"/>
      <c r="U35" s="279"/>
      <c r="V35" s="279"/>
      <c r="W35" s="283"/>
      <c r="X35" s="284"/>
      <c r="AE35" s="84"/>
    </row>
    <row r="36" spans="1:31">
      <c r="A36" s="3" t="s">
        <v>360</v>
      </c>
      <c r="C36" s="262"/>
      <c r="D36" s="262"/>
      <c r="E36" s="263"/>
      <c r="G36" s="2"/>
      <c r="H36" s="2"/>
      <c r="I36" s="263"/>
      <c r="K36" s="2"/>
      <c r="M36" s="20"/>
      <c r="N36" s="20"/>
      <c r="O36" s="279"/>
      <c r="P36" s="74"/>
      <c r="Q36" s="20"/>
      <c r="R36" s="285"/>
      <c r="S36" s="276"/>
      <c r="T36" s="276"/>
      <c r="U36" s="279"/>
      <c r="V36" s="279"/>
      <c r="W36" s="283"/>
      <c r="X36" s="284"/>
      <c r="AE36" s="84"/>
    </row>
    <row r="37" spans="1:31">
      <c r="A37" s="3" t="s">
        <v>361</v>
      </c>
      <c r="C37" s="262">
        <f>921</f>
        <v>921</v>
      </c>
      <c r="D37" s="262">
        <f>ROUND(C37*($D$42/$C$42),0)</f>
        <v>914</v>
      </c>
      <c r="E37" s="263">
        <v>10.92</v>
      </c>
      <c r="G37" s="2">
        <f>ROUND(E37*$C37,0)</f>
        <v>10057</v>
      </c>
      <c r="H37" s="2">
        <f>ROUND(E37*$D37,0)</f>
        <v>9981</v>
      </c>
      <c r="I37" s="263">
        <f>$I$20</f>
        <v>10.92</v>
      </c>
      <c r="K37" s="2">
        <f>ROUND(I37*$D37,0)</f>
        <v>9981</v>
      </c>
      <c r="M37" s="20"/>
      <c r="N37" s="20"/>
      <c r="O37" s="279"/>
      <c r="P37" s="74"/>
      <c r="Q37" s="20"/>
      <c r="R37" s="285"/>
      <c r="S37" s="276"/>
      <c r="T37" s="276"/>
      <c r="U37" s="279"/>
      <c r="V37" s="279"/>
      <c r="W37" s="283"/>
      <c r="X37" s="284"/>
      <c r="AE37" s="84"/>
    </row>
    <row r="38" spans="1:31">
      <c r="A38" s="3" t="s">
        <v>362</v>
      </c>
      <c r="C38" s="262">
        <f>234</f>
        <v>234</v>
      </c>
      <c r="D38" s="262">
        <f>ROUND(C38*($D$42/$C$42),0)</f>
        <v>232</v>
      </c>
      <c r="E38" s="263">
        <v>16.04</v>
      </c>
      <c r="G38" s="2">
        <f>ROUND(E38*$C38,0)</f>
        <v>3753</v>
      </c>
      <c r="H38" s="2">
        <f>ROUND(E38*$D38,0)</f>
        <v>3721</v>
      </c>
      <c r="I38" s="263">
        <f>$I$21</f>
        <v>16.04</v>
      </c>
      <c r="K38" s="2">
        <f>ROUND(I38*$D38,0)</f>
        <v>3721</v>
      </c>
      <c r="M38" s="20"/>
      <c r="N38" s="20"/>
      <c r="O38" s="279"/>
      <c r="P38" s="74"/>
      <c r="Q38" s="20"/>
      <c r="R38" s="285"/>
      <c r="S38" s="276"/>
      <c r="T38" s="276"/>
      <c r="U38" s="279"/>
      <c r="V38" s="279"/>
      <c r="W38" s="283"/>
      <c r="X38" s="284"/>
      <c r="AE38" s="84"/>
    </row>
    <row r="39" spans="1:31">
      <c r="A39" s="3" t="s">
        <v>363</v>
      </c>
      <c r="C39" s="262">
        <f>12</f>
        <v>12</v>
      </c>
      <c r="D39" s="262">
        <f>ROUND(C39*($D$42/$C$42),0)</f>
        <v>12</v>
      </c>
      <c r="E39" s="263">
        <v>25.88</v>
      </c>
      <c r="G39" s="2">
        <f>ROUND(E39*$C39,0)</f>
        <v>311</v>
      </c>
      <c r="H39" s="2">
        <f>ROUND(E39*$D39,0)</f>
        <v>311</v>
      </c>
      <c r="I39" s="263">
        <f>$I$22</f>
        <v>25.88</v>
      </c>
      <c r="K39" s="2">
        <f>ROUND(I39*$D39,0)</f>
        <v>311</v>
      </c>
      <c r="M39" s="20"/>
      <c r="N39" s="20"/>
      <c r="O39" s="279"/>
      <c r="P39" s="74"/>
      <c r="Q39" s="20"/>
      <c r="R39" s="285"/>
      <c r="S39" s="276"/>
      <c r="T39" s="276"/>
      <c r="U39" s="279"/>
      <c r="V39" s="279"/>
      <c r="W39" s="283"/>
      <c r="X39" s="284"/>
      <c r="AE39" s="84"/>
    </row>
    <row r="40" spans="1:31">
      <c r="A40" s="3" t="s">
        <v>364</v>
      </c>
      <c r="C40" s="262">
        <f>125+12+2</f>
        <v>139</v>
      </c>
      <c r="D40" s="262">
        <f>ROUND(C40*($D$42/$C$42),0)</f>
        <v>138</v>
      </c>
      <c r="E40" s="267">
        <v>1</v>
      </c>
      <c r="F40" s="20"/>
      <c r="G40" s="270">
        <f>ROUND(E40*$C40,0)</f>
        <v>139</v>
      </c>
      <c r="H40" s="270">
        <f>ROUND(E40*$D40,0)</f>
        <v>138</v>
      </c>
      <c r="I40" s="267">
        <f>$I$23</f>
        <v>1</v>
      </c>
      <c r="J40" s="20"/>
      <c r="K40" s="270">
        <f>ROUND(I40*$D40,0)</f>
        <v>138</v>
      </c>
      <c r="M40" s="276"/>
      <c r="N40" s="276"/>
      <c r="O40" s="279"/>
      <c r="P40" s="74"/>
      <c r="Q40" s="20"/>
      <c r="R40" s="276"/>
      <c r="S40" s="276"/>
      <c r="T40" s="276"/>
      <c r="U40" s="279"/>
      <c r="V40" s="279"/>
      <c r="W40" s="279"/>
      <c r="X40" s="284"/>
      <c r="AE40" s="84"/>
    </row>
    <row r="41" spans="1:31">
      <c r="A41" s="3" t="s">
        <v>365</v>
      </c>
      <c r="C41" s="262">
        <v>1293</v>
      </c>
      <c r="D41" s="262">
        <v>1276.1666666666667</v>
      </c>
      <c r="E41" s="263"/>
      <c r="G41" s="2"/>
      <c r="H41" s="2"/>
      <c r="I41" s="263"/>
      <c r="K41" s="2"/>
      <c r="M41" s="276"/>
      <c r="N41" s="276"/>
      <c r="O41" s="276"/>
      <c r="P41" s="276"/>
      <c r="Q41" s="276"/>
      <c r="R41" s="276"/>
      <c r="S41" s="276"/>
      <c r="T41" s="276"/>
      <c r="U41" s="286"/>
      <c r="V41" s="276"/>
      <c r="W41" s="276"/>
      <c r="X41" s="275"/>
      <c r="AE41" s="84"/>
    </row>
    <row r="42" spans="1:31">
      <c r="A42" s="3" t="s">
        <v>35</v>
      </c>
      <c r="C42" s="262">
        <v>1187224</v>
      </c>
      <c r="D42" s="262">
        <v>1178171.795773752</v>
      </c>
      <c r="E42" s="267"/>
      <c r="F42" s="20"/>
      <c r="G42" s="270">
        <f>SUM(G33:G40)</f>
        <v>157412</v>
      </c>
      <c r="H42" s="270">
        <f>SUM(H33:H40)</f>
        <v>156210</v>
      </c>
      <c r="I42" s="267"/>
      <c r="J42" s="20"/>
      <c r="K42" s="270">
        <f>SUM(K33:K40)</f>
        <v>156210</v>
      </c>
      <c r="M42" s="276"/>
      <c r="N42" s="276"/>
      <c r="O42" s="285"/>
      <c r="P42" s="276"/>
      <c r="Q42" s="20"/>
      <c r="R42" s="20"/>
      <c r="S42" s="20"/>
      <c r="T42" s="276"/>
      <c r="U42" s="276"/>
      <c r="V42" s="276"/>
      <c r="W42" s="276"/>
      <c r="X42" s="275"/>
      <c r="AE42" s="84"/>
    </row>
    <row r="43" spans="1:31">
      <c r="A43" s="3" t="s">
        <v>366</v>
      </c>
      <c r="C43" s="262">
        <v>718.56078337023234</v>
      </c>
      <c r="D43" s="262">
        <v>0</v>
      </c>
      <c r="E43" s="267"/>
      <c r="F43" s="20"/>
      <c r="G43" s="270">
        <v>42.574697195479054</v>
      </c>
      <c r="H43" s="270">
        <v>0</v>
      </c>
      <c r="I43" s="267"/>
      <c r="J43" s="20"/>
      <c r="K43" s="270">
        <v>0</v>
      </c>
      <c r="M43" s="287"/>
      <c r="N43" s="287"/>
      <c r="O43" s="288"/>
      <c r="P43" s="275"/>
      <c r="Q43" s="275"/>
      <c r="R43" s="281"/>
      <c r="S43" s="279"/>
      <c r="T43" s="276"/>
      <c r="U43" s="275"/>
      <c r="V43" s="275"/>
      <c r="W43" s="275"/>
      <c r="X43" s="275"/>
      <c r="AE43" s="84"/>
    </row>
    <row r="44" spans="1:31" ht="16.5" thickBot="1">
      <c r="A44" s="3" t="s">
        <v>9</v>
      </c>
      <c r="C44" s="271">
        <f>C42+C43</f>
        <v>1187942.5607833702</v>
      </c>
      <c r="D44" s="271">
        <f>SUM(D42:D43)</f>
        <v>1178171.795773752</v>
      </c>
      <c r="E44" s="272"/>
      <c r="F44" s="272"/>
      <c r="G44" s="272">
        <f>G42+G43</f>
        <v>157454.57469719546</v>
      </c>
      <c r="H44" s="272">
        <f>H42+H43</f>
        <v>156210</v>
      </c>
      <c r="I44" s="272"/>
      <c r="J44" s="272"/>
      <c r="K44" s="272">
        <f>K42+K43</f>
        <v>156210</v>
      </c>
      <c r="M44" s="289"/>
      <c r="N44" s="289"/>
      <c r="O44" s="290"/>
      <c r="P44" s="275"/>
      <c r="Q44" s="275"/>
      <c r="R44" s="276"/>
      <c r="S44" s="276"/>
      <c r="T44" s="276"/>
      <c r="U44" s="275"/>
      <c r="V44" s="275"/>
      <c r="W44" s="275"/>
      <c r="X44" s="275"/>
      <c r="AE44" s="84"/>
    </row>
    <row r="45" spans="1:31" ht="16.5" thickTop="1">
      <c r="C45" s="273"/>
      <c r="D45" s="273"/>
      <c r="E45" s="273"/>
      <c r="F45" s="273"/>
      <c r="G45" s="261"/>
      <c r="H45" s="261"/>
      <c r="I45" s="1" t="s">
        <v>31</v>
      </c>
      <c r="J45" s="273"/>
      <c r="K45" s="2" t="s">
        <v>31</v>
      </c>
      <c r="P45" s="74"/>
      <c r="Q45" s="20"/>
      <c r="R45" s="20"/>
      <c r="S45" s="20"/>
      <c r="T45" s="276"/>
      <c r="U45" s="276"/>
      <c r="V45" s="276"/>
      <c r="W45" s="276"/>
      <c r="X45" s="276"/>
      <c r="Y45" s="20"/>
      <c r="Z45" s="20"/>
      <c r="AE45" s="84"/>
    </row>
    <row r="46" spans="1:31">
      <c r="A46" s="260" t="s">
        <v>354</v>
      </c>
      <c r="G46" s="261"/>
      <c r="H46" s="261"/>
      <c r="P46" s="74"/>
      <c r="Q46" s="20"/>
      <c r="R46" s="20"/>
      <c r="S46" s="20"/>
      <c r="T46" s="276"/>
      <c r="U46" s="276"/>
      <c r="V46" s="276"/>
      <c r="W46" s="276"/>
      <c r="X46" s="276"/>
      <c r="Y46" s="20"/>
      <c r="Z46" s="20"/>
      <c r="AE46" s="84"/>
    </row>
    <row r="47" spans="1:31">
      <c r="A47" s="3" t="s">
        <v>369</v>
      </c>
      <c r="G47" s="261"/>
      <c r="H47" s="261"/>
      <c r="M47" s="275"/>
      <c r="N47" s="275"/>
      <c r="O47" s="275"/>
      <c r="P47" s="276"/>
      <c r="Q47" s="276"/>
      <c r="R47" s="276"/>
      <c r="S47" s="276"/>
      <c r="T47" s="276"/>
      <c r="U47" s="276"/>
      <c r="V47" s="276"/>
      <c r="W47" s="276"/>
      <c r="X47" s="276"/>
      <c r="Y47" s="20"/>
      <c r="Z47" s="20"/>
      <c r="AE47" s="84"/>
    </row>
    <row r="48" spans="1:31">
      <c r="G48" s="261"/>
      <c r="H48" s="261"/>
      <c r="M48" s="275"/>
      <c r="N48" s="275"/>
      <c r="O48" s="275"/>
      <c r="P48" s="276"/>
      <c r="Q48" s="276"/>
      <c r="R48" s="276"/>
      <c r="S48" s="276"/>
      <c r="T48" s="276"/>
      <c r="U48" s="276"/>
      <c r="V48" s="276"/>
      <c r="W48" s="276"/>
      <c r="X48" s="276"/>
      <c r="Y48" s="20"/>
      <c r="Z48" s="20"/>
      <c r="AE48" s="84"/>
    </row>
    <row r="49" spans="1:31">
      <c r="A49" s="3" t="s">
        <v>356</v>
      </c>
      <c r="G49" s="261"/>
      <c r="H49" s="261"/>
      <c r="M49" s="275"/>
      <c r="N49" s="275"/>
      <c r="O49" s="275"/>
      <c r="P49" s="74"/>
      <c r="Q49" s="277"/>
      <c r="R49" s="278"/>
      <c r="S49" s="279"/>
      <c r="T49" s="280"/>
      <c r="U49" s="276"/>
      <c r="V49" s="276"/>
      <c r="W49" s="276"/>
      <c r="X49" s="276"/>
      <c r="Y49" s="20"/>
      <c r="Z49" s="20"/>
      <c r="AE49" s="84"/>
    </row>
    <row r="50" spans="1:31">
      <c r="A50" s="3" t="s">
        <v>357</v>
      </c>
      <c r="C50" s="262">
        <f>8661+12+6864+36</f>
        <v>15573</v>
      </c>
      <c r="D50" s="262">
        <f>ROUND(C50*($D$59/$C$59),0)</f>
        <v>16032</v>
      </c>
      <c r="E50" s="263">
        <v>9.6</v>
      </c>
      <c r="G50" s="2">
        <f>ROUND(E50*$C50,0)</f>
        <v>149501</v>
      </c>
      <c r="H50" s="2">
        <f>ROUND(E50*$D50,0)</f>
        <v>153907</v>
      </c>
      <c r="I50" s="263">
        <f>$I$16</f>
        <v>9.6</v>
      </c>
      <c r="K50" s="2">
        <f>ROUND(I50*$D50,0)</f>
        <v>153907</v>
      </c>
      <c r="O50" s="284"/>
      <c r="P50" s="74"/>
      <c r="Q50" s="276"/>
      <c r="R50" s="281"/>
      <c r="S50" s="282"/>
      <c r="T50" s="276"/>
      <c r="U50" s="279"/>
      <c r="V50" s="279"/>
      <c r="W50" s="283"/>
      <c r="X50" s="279"/>
      <c r="Y50" s="20"/>
      <c r="Z50" s="20"/>
      <c r="AE50" s="84"/>
    </row>
    <row r="51" spans="1:31">
      <c r="A51" s="3" t="s">
        <v>358</v>
      </c>
      <c r="C51" s="262">
        <f>3458+252+477</f>
        <v>4187</v>
      </c>
      <c r="D51" s="262">
        <f>ROUND(C51*($D$59/$C$59),0)</f>
        <v>4311</v>
      </c>
      <c r="E51" s="263">
        <v>18.28</v>
      </c>
      <c r="G51" s="2">
        <f>ROUND(E51*$C51,0)</f>
        <v>76538</v>
      </c>
      <c r="H51" s="2">
        <f>ROUND(E51*$D51,0)</f>
        <v>78805</v>
      </c>
      <c r="I51" s="263">
        <f>$I$17</f>
        <v>18.28</v>
      </c>
      <c r="K51" s="2">
        <f>ROUND(I51*$D51,0)</f>
        <v>78805</v>
      </c>
      <c r="O51" s="284"/>
      <c r="P51" s="74"/>
      <c r="Q51" s="20"/>
      <c r="R51" s="285"/>
      <c r="S51" s="276"/>
      <c r="T51" s="276"/>
      <c r="U51" s="279"/>
      <c r="V51" s="279"/>
      <c r="W51" s="283"/>
      <c r="X51" s="279"/>
      <c r="Y51" s="20"/>
      <c r="Z51" s="20"/>
      <c r="AE51" s="84"/>
    </row>
    <row r="52" spans="1:31">
      <c r="A52" s="3" t="s">
        <v>359</v>
      </c>
      <c r="C52" s="262">
        <f>511+48+36+12</f>
        <v>607</v>
      </c>
      <c r="D52" s="262">
        <f>ROUND(C52*($D$59/$C$59),0)</f>
        <v>625</v>
      </c>
      <c r="E52" s="263">
        <v>37.82</v>
      </c>
      <c r="G52" s="2">
        <f>ROUND(E52*$C52,0)</f>
        <v>22957</v>
      </c>
      <c r="H52" s="2">
        <f>ROUND(E52*$D52,0)</f>
        <v>23638</v>
      </c>
      <c r="I52" s="263">
        <f>$I$18</f>
        <v>37.82</v>
      </c>
      <c r="K52" s="2">
        <f>ROUND(I52*$D52,0)</f>
        <v>23638</v>
      </c>
      <c r="O52" s="284"/>
      <c r="P52" s="74"/>
      <c r="Q52" s="20"/>
      <c r="R52" s="285"/>
      <c r="S52" s="276"/>
      <c r="T52" s="276"/>
      <c r="U52" s="279"/>
      <c r="V52" s="279"/>
      <c r="W52" s="283"/>
      <c r="X52" s="279"/>
      <c r="Y52" s="20"/>
      <c r="Z52" s="20"/>
      <c r="AE52" s="84"/>
    </row>
    <row r="53" spans="1:31">
      <c r="A53" s="3" t="s">
        <v>360</v>
      </c>
      <c r="C53" s="262"/>
      <c r="D53" s="262"/>
      <c r="E53" s="263"/>
      <c r="G53" s="2"/>
      <c r="H53" s="2"/>
      <c r="I53" s="263"/>
      <c r="K53" s="2"/>
      <c r="O53" s="284"/>
      <c r="P53" s="74"/>
      <c r="Q53" s="20"/>
      <c r="R53" s="285"/>
      <c r="S53" s="276"/>
      <c r="T53" s="276"/>
      <c r="U53" s="279"/>
      <c r="V53" s="279"/>
      <c r="W53" s="283"/>
      <c r="X53" s="279"/>
      <c r="Y53" s="20"/>
      <c r="Z53" s="20"/>
      <c r="AE53" s="84"/>
    </row>
    <row r="54" spans="1:31">
      <c r="A54" s="3" t="s">
        <v>361</v>
      </c>
      <c r="C54" s="262">
        <f>634+503</f>
        <v>1137</v>
      </c>
      <c r="D54" s="262">
        <f>ROUND(C54*($D$59/$C$59),0)</f>
        <v>1171</v>
      </c>
      <c r="E54" s="263">
        <v>10.92</v>
      </c>
      <c r="G54" s="2">
        <f>ROUND(E54*$C54,0)</f>
        <v>12416</v>
      </c>
      <c r="H54" s="2">
        <f>ROUND(E54*$D54,0)</f>
        <v>12787</v>
      </c>
      <c r="I54" s="263">
        <f>$I$20</f>
        <v>10.92</v>
      </c>
      <c r="K54" s="2">
        <f>ROUND(I54*$D54,0)</f>
        <v>12787</v>
      </c>
      <c r="O54" s="284"/>
      <c r="P54" s="74"/>
      <c r="Q54" s="20"/>
      <c r="R54" s="285"/>
      <c r="S54" s="276"/>
      <c r="T54" s="276"/>
      <c r="U54" s="279"/>
      <c r="V54" s="279"/>
      <c r="W54" s="283"/>
      <c r="X54" s="279"/>
      <c r="Y54" s="20"/>
      <c r="Z54" s="20"/>
      <c r="AE54" s="84"/>
    </row>
    <row r="55" spans="1:31">
      <c r="A55" s="3" t="s">
        <v>362</v>
      </c>
      <c r="C55" s="262">
        <f>1234+237</f>
        <v>1471</v>
      </c>
      <c r="D55" s="262">
        <f>ROUND(C55*($D$59/$C$59),0)</f>
        <v>1514</v>
      </c>
      <c r="E55" s="263">
        <v>16.04</v>
      </c>
      <c r="G55" s="2">
        <f>ROUND(E55*$C55,0)</f>
        <v>23595</v>
      </c>
      <c r="H55" s="2">
        <f>ROUND(E55*$D55,0)</f>
        <v>24285</v>
      </c>
      <c r="I55" s="263">
        <f>$I$21</f>
        <v>16.04</v>
      </c>
      <c r="K55" s="2">
        <f>ROUND(I55*$D55,0)</f>
        <v>24285</v>
      </c>
      <c r="O55" s="284"/>
      <c r="P55" s="74"/>
      <c r="Q55" s="20"/>
      <c r="R55" s="285"/>
      <c r="S55" s="276"/>
      <c r="T55" s="276"/>
      <c r="U55" s="279"/>
      <c r="V55" s="279"/>
      <c r="W55" s="283"/>
      <c r="X55" s="279"/>
      <c r="Y55" s="20"/>
      <c r="Z55" s="20"/>
      <c r="AE55" s="84"/>
    </row>
    <row r="56" spans="1:31">
      <c r="A56" s="3" t="s">
        <v>363</v>
      </c>
      <c r="C56" s="262">
        <f>385+48</f>
        <v>433</v>
      </c>
      <c r="D56" s="262">
        <f>ROUND(C56*($D$59/$C$59),0)</f>
        <v>446</v>
      </c>
      <c r="E56" s="263">
        <v>25.88</v>
      </c>
      <c r="G56" s="2">
        <f>ROUND(E56*$C56,0)</f>
        <v>11206</v>
      </c>
      <c r="H56" s="2">
        <f>ROUND(E56*$D56,0)</f>
        <v>11542</v>
      </c>
      <c r="I56" s="263">
        <f>$I$22</f>
        <v>25.88</v>
      </c>
      <c r="K56" s="2">
        <f>ROUND(I56*$D56,0)</f>
        <v>11542</v>
      </c>
      <c r="O56" s="284"/>
      <c r="P56" s="74"/>
      <c r="Q56" s="20"/>
      <c r="R56" s="285"/>
      <c r="S56" s="276"/>
      <c r="T56" s="276"/>
      <c r="U56" s="279"/>
      <c r="V56" s="279"/>
      <c r="W56" s="283"/>
      <c r="X56" s="279"/>
      <c r="Y56" s="20"/>
      <c r="Z56" s="20"/>
      <c r="AE56" s="84"/>
    </row>
    <row r="57" spans="1:31">
      <c r="A57" s="3" t="s">
        <v>364</v>
      </c>
      <c r="C57" s="262">
        <f>12+252+48+36+12</f>
        <v>360</v>
      </c>
      <c r="D57" s="262">
        <f>ROUND(C57*($D$59/$C$59),0)</f>
        <v>371</v>
      </c>
      <c r="E57" s="267">
        <v>1</v>
      </c>
      <c r="F57" s="20"/>
      <c r="G57" s="270">
        <f>ROUND(E57*$C57,0)</f>
        <v>360</v>
      </c>
      <c r="H57" s="270">
        <f>ROUND(E57*$D57,0)</f>
        <v>371</v>
      </c>
      <c r="I57" s="267">
        <f>$I$23</f>
        <v>1</v>
      </c>
      <c r="J57" s="20"/>
      <c r="K57" s="270">
        <f>ROUND(I57*$D57,0)</f>
        <v>371</v>
      </c>
      <c r="M57" s="275"/>
      <c r="N57" s="275"/>
      <c r="O57" s="279"/>
      <c r="P57" s="74"/>
      <c r="Q57" s="20"/>
      <c r="R57" s="276"/>
      <c r="S57" s="276"/>
      <c r="T57" s="276"/>
      <c r="U57" s="279"/>
      <c r="V57" s="279"/>
      <c r="W57" s="279"/>
      <c r="X57" s="279"/>
      <c r="Y57" s="20"/>
      <c r="Z57" s="20"/>
      <c r="AE57" s="84"/>
    </row>
    <row r="58" spans="1:31">
      <c r="A58" s="3" t="s">
        <v>365</v>
      </c>
      <c r="C58" s="262">
        <v>1470</v>
      </c>
      <c r="D58" s="262">
        <v>1459</v>
      </c>
      <c r="E58" s="263"/>
      <c r="G58" s="2"/>
      <c r="H58" s="2"/>
      <c r="I58" s="263"/>
      <c r="K58" s="2"/>
      <c r="M58" s="275"/>
      <c r="N58" s="275"/>
      <c r="O58" s="275"/>
      <c r="P58" s="276"/>
      <c r="Q58" s="276"/>
      <c r="R58" s="276"/>
      <c r="S58" s="276"/>
      <c r="T58" s="276"/>
      <c r="U58" s="286"/>
      <c r="V58" s="276"/>
      <c r="W58" s="276"/>
      <c r="X58" s="276"/>
      <c r="Y58" s="20"/>
      <c r="Z58" s="20"/>
      <c r="AE58" s="84"/>
    </row>
    <row r="59" spans="1:31">
      <c r="A59" s="3" t="s">
        <v>35</v>
      </c>
      <c r="C59" s="262">
        <v>2378799.5</v>
      </c>
      <c r="D59" s="262">
        <v>2448984.1343942713</v>
      </c>
      <c r="E59" s="267"/>
      <c r="F59" s="20"/>
      <c r="G59" s="270">
        <f>SUM(G50:G57)</f>
        <v>296573</v>
      </c>
      <c r="H59" s="270">
        <f>SUM(H50:H57)</f>
        <v>305335</v>
      </c>
      <c r="I59" s="267"/>
      <c r="J59" s="20"/>
      <c r="K59" s="270">
        <f>SUM(K50:K57)</f>
        <v>305335</v>
      </c>
      <c r="M59" s="275"/>
      <c r="N59" s="275"/>
      <c r="O59" s="288"/>
      <c r="P59" s="276"/>
      <c r="Q59" s="20"/>
      <c r="R59" s="20"/>
      <c r="S59" s="20"/>
      <c r="T59" s="276"/>
      <c r="U59" s="276"/>
      <c r="V59" s="276"/>
      <c r="W59" s="276"/>
      <c r="X59" s="276"/>
      <c r="Y59" s="20"/>
      <c r="Z59" s="20"/>
      <c r="AE59" s="84"/>
    </row>
    <row r="60" spans="1:31">
      <c r="A60" s="3" t="s">
        <v>366</v>
      </c>
      <c r="C60" s="262">
        <v>10407.99096753577</v>
      </c>
      <c r="D60" s="262">
        <v>0</v>
      </c>
      <c r="E60" s="267"/>
      <c r="F60" s="20"/>
      <c r="G60" s="270">
        <v>1073.2189733021287</v>
      </c>
      <c r="H60" s="270">
        <v>0</v>
      </c>
      <c r="I60" s="267"/>
      <c r="J60" s="20"/>
      <c r="K60" s="270">
        <v>0</v>
      </c>
      <c r="M60" s="287"/>
      <c r="N60" s="287"/>
      <c r="O60" s="288"/>
      <c r="P60" s="276"/>
      <c r="Q60" s="276"/>
      <c r="R60" s="281"/>
      <c r="S60" s="279"/>
      <c r="T60" s="276"/>
      <c r="U60" s="276"/>
      <c r="V60" s="276"/>
      <c r="W60" s="276"/>
      <c r="X60" s="276"/>
      <c r="Y60" s="20"/>
      <c r="Z60" s="20"/>
      <c r="AE60" s="84"/>
    </row>
    <row r="61" spans="1:31" ht="16.5" thickBot="1">
      <c r="A61" s="3" t="s">
        <v>9</v>
      </c>
      <c r="C61" s="271">
        <f>C59+C60</f>
        <v>2389207.4909675359</v>
      </c>
      <c r="D61" s="271">
        <f>SUM(D59:D60)</f>
        <v>2448984.1343942713</v>
      </c>
      <c r="E61" s="272"/>
      <c r="F61" s="272"/>
      <c r="G61" s="272">
        <f>G59+G60</f>
        <v>297646.21897330211</v>
      </c>
      <c r="H61" s="272">
        <f>H59+H60</f>
        <v>305335</v>
      </c>
      <c r="I61" s="272"/>
      <c r="J61" s="272"/>
      <c r="K61" s="272">
        <f>K59+K60</f>
        <v>305335</v>
      </c>
      <c r="M61" s="289"/>
      <c r="N61" s="289"/>
      <c r="O61" s="290"/>
      <c r="P61" s="276"/>
      <c r="Q61" s="276"/>
      <c r="R61" s="276"/>
      <c r="S61" s="276"/>
      <c r="T61" s="276"/>
      <c r="U61" s="276"/>
      <c r="V61" s="276"/>
      <c r="W61" s="276"/>
      <c r="X61" s="276"/>
      <c r="Y61" s="20"/>
      <c r="Z61" s="20"/>
      <c r="AE61" s="84"/>
    </row>
    <row r="62" spans="1:31" ht="16.5" thickTop="1">
      <c r="C62" s="273"/>
      <c r="D62" s="273"/>
      <c r="E62" s="273"/>
      <c r="F62" s="273"/>
      <c r="G62" s="261"/>
      <c r="H62" s="261"/>
      <c r="I62" s="1" t="s">
        <v>31</v>
      </c>
      <c r="J62" s="273"/>
      <c r="K62" s="2" t="s">
        <v>31</v>
      </c>
      <c r="AE62" s="84"/>
    </row>
    <row r="63" spans="1:31">
      <c r="A63" s="260" t="s">
        <v>354</v>
      </c>
      <c r="G63" s="261"/>
      <c r="H63" s="261"/>
      <c r="AE63" s="84"/>
    </row>
    <row r="64" spans="1:31">
      <c r="A64" s="3" t="s">
        <v>370</v>
      </c>
      <c r="G64" s="261"/>
      <c r="H64" s="261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AE64" s="84"/>
    </row>
    <row r="65" spans="1:31">
      <c r="G65" s="261"/>
      <c r="H65" s="261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0"/>
      <c r="AE65" s="84"/>
    </row>
    <row r="66" spans="1:31">
      <c r="A66" s="3" t="s">
        <v>356</v>
      </c>
      <c r="G66" s="261"/>
      <c r="H66" s="261"/>
      <c r="M66" s="276"/>
      <c r="N66" s="276"/>
      <c r="O66" s="276"/>
      <c r="P66" s="74"/>
      <c r="Q66" s="277"/>
      <c r="R66" s="278"/>
      <c r="S66" s="279"/>
      <c r="T66" s="280"/>
      <c r="U66" s="276"/>
      <c r="V66" s="276"/>
      <c r="W66" s="276"/>
      <c r="X66" s="276"/>
      <c r="Y66" s="20"/>
      <c r="AE66" s="84"/>
    </row>
    <row r="67" spans="1:31">
      <c r="A67" s="3" t="s">
        <v>357</v>
      </c>
      <c r="C67" s="262">
        <f>336+192+132</f>
        <v>660</v>
      </c>
      <c r="D67" s="262">
        <f>ROUND(C67*($D$76/$C$76),0)</f>
        <v>685</v>
      </c>
      <c r="E67" s="263">
        <v>9.6</v>
      </c>
      <c r="G67" s="2">
        <f>ROUND(E67*$C67,0)</f>
        <v>6336</v>
      </c>
      <c r="H67" s="2">
        <f>ROUND(E67*$D67,0)</f>
        <v>6576</v>
      </c>
      <c r="I67" s="263">
        <f>$I$16</f>
        <v>9.6</v>
      </c>
      <c r="K67" s="2">
        <f>ROUND(I67*$D67,0)</f>
        <v>6576</v>
      </c>
      <c r="M67" s="20"/>
      <c r="N67" s="20"/>
      <c r="O67" s="279"/>
      <c r="P67" s="74"/>
      <c r="Q67" s="276"/>
      <c r="R67" s="281"/>
      <c r="S67" s="282"/>
      <c r="T67" s="276"/>
      <c r="U67" s="279"/>
      <c r="V67" s="279"/>
      <c r="W67" s="283"/>
      <c r="X67" s="279"/>
      <c r="Y67" s="20"/>
      <c r="AE67" s="84"/>
    </row>
    <row r="68" spans="1:31">
      <c r="A68" s="3" t="s">
        <v>358</v>
      </c>
      <c r="C68" s="262">
        <f>407+36</f>
        <v>443</v>
      </c>
      <c r="D68" s="262">
        <f>ROUND(C68*($D$76/$C$76),0)</f>
        <v>460</v>
      </c>
      <c r="E68" s="263">
        <v>18.28</v>
      </c>
      <c r="G68" s="2">
        <f>ROUND(E68*$C68,0)</f>
        <v>8098</v>
      </c>
      <c r="H68" s="2">
        <f>ROUND(E68*$D68,0)</f>
        <v>8409</v>
      </c>
      <c r="I68" s="263">
        <f>$I$17</f>
        <v>18.28</v>
      </c>
      <c r="K68" s="2">
        <f>ROUND(I68*$D68,0)</f>
        <v>8409</v>
      </c>
      <c r="M68" s="20"/>
      <c r="N68" s="20"/>
      <c r="O68" s="279"/>
      <c r="P68" s="74"/>
      <c r="Q68" s="20"/>
      <c r="R68" s="285"/>
      <c r="S68" s="276"/>
      <c r="T68" s="276"/>
      <c r="U68" s="279"/>
      <c r="V68" s="279"/>
      <c r="W68" s="283"/>
      <c r="X68" s="279"/>
      <c r="Y68" s="20"/>
      <c r="AE68" s="84"/>
    </row>
    <row r="69" spans="1:31">
      <c r="A69" s="3" t="s">
        <v>359</v>
      </c>
      <c r="C69" s="262">
        <f>48</f>
        <v>48</v>
      </c>
      <c r="D69" s="262">
        <f>ROUND(C69*($D$76/$C$76),0)</f>
        <v>50</v>
      </c>
      <c r="E69" s="263">
        <v>37.82</v>
      </c>
      <c r="G69" s="2">
        <f>ROUND(E69*$C69,0)</f>
        <v>1815</v>
      </c>
      <c r="H69" s="2">
        <f>ROUND(E69*$D69,0)</f>
        <v>1891</v>
      </c>
      <c r="I69" s="263">
        <f>$I$18</f>
        <v>37.82</v>
      </c>
      <c r="K69" s="2">
        <f>ROUND(I69*$D69,0)</f>
        <v>1891</v>
      </c>
      <c r="M69" s="20"/>
      <c r="N69" s="20"/>
      <c r="O69" s="279"/>
      <c r="P69" s="74"/>
      <c r="Q69" s="20"/>
      <c r="R69" s="285"/>
      <c r="S69" s="276"/>
      <c r="T69" s="276"/>
      <c r="U69" s="279"/>
      <c r="V69" s="279"/>
      <c r="W69" s="283"/>
      <c r="X69" s="279"/>
      <c r="Y69" s="20"/>
      <c r="AE69" s="84"/>
    </row>
    <row r="70" spans="1:31">
      <c r="A70" s="3" t="s">
        <v>360</v>
      </c>
      <c r="C70" s="262"/>
      <c r="D70" s="262"/>
      <c r="E70" s="263"/>
      <c r="G70" s="2"/>
      <c r="H70" s="2"/>
      <c r="I70" s="263"/>
      <c r="K70" s="2"/>
      <c r="M70" s="20"/>
      <c r="N70" s="20"/>
      <c r="O70" s="279"/>
      <c r="P70" s="74"/>
      <c r="Q70" s="20"/>
      <c r="R70" s="285"/>
      <c r="S70" s="276"/>
      <c r="T70" s="276"/>
      <c r="U70" s="279"/>
      <c r="V70" s="279"/>
      <c r="W70" s="283"/>
      <c r="X70" s="279"/>
      <c r="Y70" s="20"/>
      <c r="AE70" s="84"/>
    </row>
    <row r="71" spans="1:31">
      <c r="A71" s="3" t="s">
        <v>361</v>
      </c>
      <c r="C71" s="262">
        <f>12</f>
        <v>12</v>
      </c>
      <c r="D71" s="262">
        <f>ROUND(C71*($D$76/$C$76),0)</f>
        <v>12</v>
      </c>
      <c r="E71" s="263">
        <v>10.92</v>
      </c>
      <c r="G71" s="2">
        <f>ROUND(E71*$C71,0)</f>
        <v>131</v>
      </c>
      <c r="H71" s="2">
        <f>ROUND(E71*$D71,0)</f>
        <v>131</v>
      </c>
      <c r="I71" s="263">
        <f>$I$20</f>
        <v>10.92</v>
      </c>
      <c r="K71" s="2">
        <f>ROUND(I71*$D71,0)</f>
        <v>131</v>
      </c>
      <c r="M71" s="20"/>
      <c r="N71" s="20"/>
      <c r="O71" s="279"/>
      <c r="P71" s="74"/>
      <c r="Q71" s="20"/>
      <c r="R71" s="285"/>
      <c r="S71" s="276"/>
      <c r="T71" s="276"/>
      <c r="U71" s="279"/>
      <c r="V71" s="279"/>
      <c r="W71" s="283"/>
      <c r="X71" s="279"/>
      <c r="Y71" s="20"/>
      <c r="AE71" s="84"/>
    </row>
    <row r="72" spans="1:31">
      <c r="A72" s="3" t="s">
        <v>362</v>
      </c>
      <c r="C72" s="262">
        <f>96+12</f>
        <v>108</v>
      </c>
      <c r="D72" s="262">
        <f>ROUND(C72*($D$76/$C$76),0)</f>
        <v>112</v>
      </c>
      <c r="E72" s="263">
        <v>16.04</v>
      </c>
      <c r="G72" s="2">
        <f>ROUND(E72*$C72,0)</f>
        <v>1732</v>
      </c>
      <c r="H72" s="2">
        <f>ROUND(E72*$D72,0)</f>
        <v>1796</v>
      </c>
      <c r="I72" s="263">
        <f>$I$21</f>
        <v>16.04</v>
      </c>
      <c r="K72" s="2">
        <f>ROUND(I72*$D72,0)</f>
        <v>1796</v>
      </c>
      <c r="M72" s="20"/>
      <c r="N72" s="20"/>
      <c r="O72" s="279"/>
      <c r="P72" s="74"/>
      <c r="Q72" s="20"/>
      <c r="R72" s="285"/>
      <c r="S72" s="276"/>
      <c r="T72" s="276"/>
      <c r="U72" s="279"/>
      <c r="V72" s="279"/>
      <c r="W72" s="283"/>
      <c r="X72" s="279"/>
      <c r="Y72" s="20"/>
      <c r="AE72" s="84"/>
    </row>
    <row r="73" spans="1:31">
      <c r="A73" s="3" t="s">
        <v>363</v>
      </c>
      <c r="C73" s="262">
        <f>36</f>
        <v>36</v>
      </c>
      <c r="D73" s="262">
        <f>ROUND(C73*($D$76/$C$76),0)</f>
        <v>37</v>
      </c>
      <c r="E73" s="263">
        <v>25.88</v>
      </c>
      <c r="G73" s="2">
        <f>ROUND(E73*$C73,0)</f>
        <v>932</v>
      </c>
      <c r="H73" s="2">
        <f>ROUND(E73*$D73,0)</f>
        <v>958</v>
      </c>
      <c r="I73" s="263">
        <f>$I$22</f>
        <v>25.88</v>
      </c>
      <c r="K73" s="2">
        <f>ROUND(I73*$D73,0)</f>
        <v>958</v>
      </c>
      <c r="M73" s="20"/>
      <c r="N73" s="20"/>
      <c r="O73" s="279"/>
      <c r="P73" s="74"/>
      <c r="Q73" s="20"/>
      <c r="R73" s="285"/>
      <c r="S73" s="276"/>
      <c r="T73" s="276"/>
      <c r="U73" s="279"/>
      <c r="V73" s="279"/>
      <c r="W73" s="283"/>
      <c r="X73" s="279"/>
      <c r="Y73" s="20"/>
      <c r="AE73" s="84"/>
    </row>
    <row r="74" spans="1:31">
      <c r="A74" s="3" t="s">
        <v>364</v>
      </c>
      <c r="C74" s="262">
        <f>133</f>
        <v>133</v>
      </c>
      <c r="D74" s="262">
        <f>ROUND(C74*($D$76/$C$76),0)</f>
        <v>138</v>
      </c>
      <c r="E74" s="267">
        <v>1</v>
      </c>
      <c r="F74" s="20"/>
      <c r="G74" s="270">
        <f>ROUND(E74*$C74,0)</f>
        <v>133</v>
      </c>
      <c r="H74" s="270">
        <f>ROUND(E74*$D74,0)</f>
        <v>138</v>
      </c>
      <c r="I74" s="267">
        <f>$I$23</f>
        <v>1</v>
      </c>
      <c r="J74" s="20"/>
      <c r="K74" s="270">
        <f>ROUND(I74*$D74,0)</f>
        <v>138</v>
      </c>
      <c r="M74" s="276"/>
      <c r="N74" s="276"/>
      <c r="O74" s="279"/>
      <c r="P74" s="74"/>
      <c r="Q74" s="20"/>
      <c r="R74" s="276"/>
      <c r="S74" s="276"/>
      <c r="T74" s="276"/>
      <c r="U74" s="279"/>
      <c r="V74" s="279"/>
      <c r="W74" s="279"/>
      <c r="X74" s="279"/>
      <c r="Y74" s="20"/>
      <c r="AE74" s="84"/>
    </row>
    <row r="75" spans="1:31">
      <c r="A75" s="3" t="s">
        <v>365</v>
      </c>
      <c r="C75" s="262">
        <f>20+45</f>
        <v>65</v>
      </c>
      <c r="D75" s="262">
        <v>61.916666666666664</v>
      </c>
      <c r="E75" s="263"/>
      <c r="G75" s="2"/>
      <c r="H75" s="2"/>
      <c r="I75" s="263"/>
      <c r="K75" s="2"/>
      <c r="M75" s="276"/>
      <c r="N75" s="276"/>
      <c r="O75" s="276"/>
      <c r="P75" s="276"/>
      <c r="Q75" s="276"/>
      <c r="R75" s="276"/>
      <c r="S75" s="276"/>
      <c r="T75" s="276"/>
      <c r="U75" s="286"/>
      <c r="V75" s="276"/>
      <c r="W75" s="276"/>
      <c r="X75" s="276"/>
      <c r="Y75" s="20"/>
      <c r="AE75" s="84"/>
    </row>
    <row r="76" spans="1:31">
      <c r="A76" s="3" t="s">
        <v>35</v>
      </c>
      <c r="C76" s="262">
        <v>161590</v>
      </c>
      <c r="D76" s="262">
        <v>167748.79783190461</v>
      </c>
      <c r="E76" s="267"/>
      <c r="F76" s="20"/>
      <c r="G76" s="270">
        <f>SUM(G67:G74)</f>
        <v>19177</v>
      </c>
      <c r="H76" s="270">
        <f>SUM(H67:H74)</f>
        <v>19899</v>
      </c>
      <c r="I76" s="267"/>
      <c r="J76" s="20"/>
      <c r="K76" s="270">
        <f>SUM(K67:K74)</f>
        <v>19899</v>
      </c>
      <c r="M76" s="276"/>
      <c r="N76" s="276"/>
      <c r="O76" s="285"/>
      <c r="P76" s="276"/>
      <c r="Q76" s="20"/>
      <c r="R76" s="20"/>
      <c r="S76" s="20"/>
      <c r="T76" s="276"/>
      <c r="U76" s="276"/>
      <c r="V76" s="276"/>
      <c r="W76" s="276"/>
      <c r="X76" s="276"/>
      <c r="Y76" s="20"/>
      <c r="AE76" s="84"/>
    </row>
    <row r="77" spans="1:31">
      <c r="A77" s="3" t="s">
        <v>366</v>
      </c>
      <c r="C77" s="262">
        <v>-3651.1873052418596</v>
      </c>
      <c r="D77" s="262">
        <v>0</v>
      </c>
      <c r="E77" s="267"/>
      <c r="F77" s="20"/>
      <c r="G77" s="270">
        <v>-357.5269401612241</v>
      </c>
      <c r="H77" s="270">
        <v>0</v>
      </c>
      <c r="I77" s="267"/>
      <c r="J77" s="20"/>
      <c r="K77" s="270">
        <v>0</v>
      </c>
      <c r="M77" s="287"/>
      <c r="N77" s="287"/>
      <c r="O77" s="288"/>
      <c r="P77" s="276"/>
      <c r="Q77" s="276"/>
      <c r="R77" s="281"/>
      <c r="S77" s="279"/>
      <c r="T77" s="276"/>
      <c r="U77" s="275"/>
      <c r="V77" s="275"/>
      <c r="W77" s="275"/>
      <c r="X77" s="275"/>
      <c r="AE77" s="84"/>
    </row>
    <row r="78" spans="1:31" ht="16.5" thickBot="1">
      <c r="A78" s="3" t="s">
        <v>9</v>
      </c>
      <c r="C78" s="271">
        <f>C76+C77</f>
        <v>157938.81269475815</v>
      </c>
      <c r="D78" s="271">
        <f>SUM(D76:D77)</f>
        <v>167748.79783190461</v>
      </c>
      <c r="E78" s="272"/>
      <c r="F78" s="272"/>
      <c r="G78" s="272">
        <f>G76+G77</f>
        <v>18819.473059838776</v>
      </c>
      <c r="H78" s="272">
        <f>H76+H77</f>
        <v>19899</v>
      </c>
      <c r="I78" s="272"/>
      <c r="J78" s="272"/>
      <c r="K78" s="272">
        <f>K76+K77</f>
        <v>19899</v>
      </c>
      <c r="M78" s="289"/>
      <c r="N78" s="289"/>
      <c r="O78" s="290"/>
      <c r="P78" s="276"/>
      <c r="Q78" s="276"/>
      <c r="R78" s="276"/>
      <c r="S78" s="276"/>
      <c r="T78" s="276"/>
      <c r="U78" s="275"/>
      <c r="V78" s="275"/>
      <c r="W78" s="275"/>
      <c r="X78" s="275"/>
      <c r="AE78" s="84"/>
    </row>
    <row r="79" spans="1:31" ht="16.5" thickTop="1">
      <c r="C79" s="273"/>
      <c r="D79" s="273"/>
      <c r="E79" s="273"/>
      <c r="F79" s="273"/>
      <c r="G79" s="261"/>
      <c r="H79" s="261"/>
      <c r="I79" s="1" t="s">
        <v>31</v>
      </c>
      <c r="J79" s="273"/>
      <c r="K79" s="2" t="s">
        <v>31</v>
      </c>
      <c r="P79" s="74"/>
      <c r="Q79" s="20"/>
      <c r="R79" s="20"/>
      <c r="S79" s="20"/>
      <c r="T79" s="20"/>
      <c r="AE79" s="84"/>
    </row>
    <row r="80" spans="1:31">
      <c r="A80" s="291" t="s">
        <v>371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3">
        <f>K91/(D84+D85)</f>
        <v>7.0647540513858201E-2</v>
      </c>
      <c r="N80" s="292"/>
      <c r="R80" s="3" t="s">
        <v>31</v>
      </c>
      <c r="AE80" s="84"/>
    </row>
    <row r="81" spans="1:31">
      <c r="A81" s="1" t="s">
        <v>372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293"/>
      <c r="N81" s="294">
        <f>SUM(D84:D85)/SUM(D83)</f>
        <v>1285.9851569999828</v>
      </c>
      <c r="AE81" s="84"/>
    </row>
    <row r="82" spans="1:31">
      <c r="A82" s="295"/>
      <c r="B82" s="1"/>
      <c r="C82" s="1"/>
      <c r="D82" s="1"/>
      <c r="E82" s="21"/>
      <c r="F82" s="21"/>
      <c r="G82" s="1"/>
      <c r="H82" s="1"/>
      <c r="I82" s="21"/>
      <c r="J82" s="1"/>
      <c r="K82" s="1"/>
      <c r="O82" s="69" t="s">
        <v>31</v>
      </c>
      <c r="P82" s="69" t="s">
        <v>31</v>
      </c>
      <c r="AE82" s="84"/>
    </row>
    <row r="83" spans="1:31">
      <c r="A83" s="1" t="s">
        <v>373</v>
      </c>
      <c r="B83" s="1"/>
      <c r="C83" s="21">
        <f t="shared" ref="C83:D90" si="4">C96+C109+C122+C135</f>
        <v>1216043</v>
      </c>
      <c r="D83" s="21">
        <f t="shared" si="4"/>
        <v>1229864</v>
      </c>
      <c r="E83" s="296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296">
        <v>6</v>
      </c>
      <c r="J83" s="1"/>
      <c r="K83" s="2">
        <f t="shared" ref="K83:K90" si="6">K96+K109+K122+K135</f>
        <v>7379184</v>
      </c>
      <c r="M83" s="84">
        <f>I83*D83</f>
        <v>7379184</v>
      </c>
      <c r="O83" s="14">
        <f t="shared" ref="O83:O88" si="7">(I83-E83)/E83</f>
        <v>0.14285714285714285</v>
      </c>
      <c r="T83" s="3" t="s">
        <v>374</v>
      </c>
      <c r="U83" s="3" t="s">
        <v>307</v>
      </c>
      <c r="V83" s="3" t="s">
        <v>375</v>
      </c>
      <c r="W83" s="3" t="s">
        <v>317</v>
      </c>
      <c r="AE83" s="84"/>
    </row>
    <row r="84" spans="1:31">
      <c r="A84" s="1" t="s">
        <v>376</v>
      </c>
      <c r="B84" s="1"/>
      <c r="C84" s="21">
        <f t="shared" si="4"/>
        <v>638137013.30924332</v>
      </c>
      <c r="D84" s="21">
        <f t="shared" si="4"/>
        <v>643146746.60466242</v>
      </c>
      <c r="E84" s="297">
        <v>4.569</v>
      </c>
      <c r="F84" s="1" t="s">
        <v>377</v>
      </c>
      <c r="G84" s="2">
        <f t="shared" si="5"/>
        <v>29156479</v>
      </c>
      <c r="H84" s="2">
        <f t="shared" si="5"/>
        <v>29385375</v>
      </c>
      <c r="I84" s="297">
        <v>4.9139999999999997</v>
      </c>
      <c r="J84" s="1" t="s">
        <v>377</v>
      </c>
      <c r="K84" s="2">
        <f t="shared" si="6"/>
        <v>31604232</v>
      </c>
      <c r="M84" s="84">
        <f>(I84/100)*D84</f>
        <v>31604231.128153108</v>
      </c>
      <c r="O84" s="14">
        <f t="shared" si="7"/>
        <v>7.55088640840446E-2</v>
      </c>
      <c r="Q84" s="235">
        <f>(E85-E84)/E84</f>
        <v>0.57758809367476482</v>
      </c>
      <c r="S84" s="3" t="s">
        <v>20</v>
      </c>
      <c r="T84" s="84">
        <f>H83</f>
        <v>6456787</v>
      </c>
      <c r="U84" s="84">
        <f>K83</f>
        <v>7379184</v>
      </c>
      <c r="V84" s="106">
        <v>10560201.731189568</v>
      </c>
      <c r="W84" s="235">
        <f>U84/V84</f>
        <v>0.69877301474322895</v>
      </c>
      <c r="AE84" s="84"/>
    </row>
    <row r="85" spans="1:31">
      <c r="A85" s="1" t="s">
        <v>378</v>
      </c>
      <c r="B85" s="1"/>
      <c r="C85" s="21">
        <f t="shared" si="4"/>
        <v>930810309.69075668</v>
      </c>
      <c r="D85" s="21">
        <f t="shared" si="4"/>
        <v>938440102.52396452</v>
      </c>
      <c r="E85" s="297">
        <v>7.2080000000000002</v>
      </c>
      <c r="F85" s="1" t="s">
        <v>377</v>
      </c>
      <c r="G85" s="2">
        <f t="shared" si="5"/>
        <v>67092808</v>
      </c>
      <c r="H85" s="2">
        <f t="shared" si="5"/>
        <v>67642762</v>
      </c>
      <c r="I85" s="297">
        <v>7.7510000000000003</v>
      </c>
      <c r="J85" s="1" t="s">
        <v>377</v>
      </c>
      <c r="K85" s="2">
        <f t="shared" si="6"/>
        <v>72738492</v>
      </c>
      <c r="M85" s="84">
        <f>(I85/100)*D85</f>
        <v>72738492.346632496</v>
      </c>
      <c r="N85" s="298"/>
      <c r="O85" s="14">
        <f t="shared" si="7"/>
        <v>7.533296337402888E-2</v>
      </c>
      <c r="Q85" s="235">
        <f>(I85-I84)/I84</f>
        <v>0.57733007733007746</v>
      </c>
      <c r="S85" s="3" t="s">
        <v>379</v>
      </c>
      <c r="T85" s="106">
        <f>E84*(D84+D85)/100</f>
        <v>72262703.136686951</v>
      </c>
      <c r="U85" s="106">
        <f>I84*(D84+D85)/100</f>
        <v>77719177.766180709</v>
      </c>
      <c r="V85" s="106">
        <v>74901422.706720337</v>
      </c>
      <c r="W85" s="235">
        <f>U85/V85</f>
        <v>1.0376195131899351</v>
      </c>
      <c r="AE85" s="84"/>
    </row>
    <row r="86" spans="1:31">
      <c r="A86" s="1" t="s">
        <v>380</v>
      </c>
      <c r="B86" s="1"/>
      <c r="C86" s="21">
        <f t="shared" si="4"/>
        <v>6129</v>
      </c>
      <c r="D86" s="21">
        <f t="shared" si="4"/>
        <v>6540.0468369807459</v>
      </c>
      <c r="E86" s="299">
        <v>1.55</v>
      </c>
      <c r="F86" s="1"/>
      <c r="G86" s="2">
        <f t="shared" si="5"/>
        <v>9500</v>
      </c>
      <c r="H86" s="2">
        <f t="shared" si="5"/>
        <v>10137</v>
      </c>
      <c r="I86" s="299">
        <v>1.55</v>
      </c>
      <c r="J86" s="1"/>
      <c r="K86" s="2">
        <f t="shared" si="6"/>
        <v>10137</v>
      </c>
      <c r="M86" s="84">
        <f>I86*D86</f>
        <v>10137.072597320157</v>
      </c>
      <c r="N86" s="300"/>
      <c r="O86" s="14">
        <f t="shared" si="7"/>
        <v>0</v>
      </c>
      <c r="S86" s="3" t="s">
        <v>381</v>
      </c>
      <c r="T86" s="84">
        <f>H84+H85-T85</f>
        <v>24765433.863313049</v>
      </c>
      <c r="U86" s="84">
        <f>K84+K85-U85</f>
        <v>26623546.233819291</v>
      </c>
      <c r="V86" s="106">
        <v>33130328.65840701</v>
      </c>
      <c r="W86" s="235">
        <f>U86/V86</f>
        <v>0.80360042631401463</v>
      </c>
      <c r="AE86" s="84"/>
    </row>
    <row r="87" spans="1:31">
      <c r="A87" s="301" t="s">
        <v>382</v>
      </c>
      <c r="B87" s="301"/>
      <c r="C87" s="21">
        <f t="shared" si="4"/>
        <v>1017</v>
      </c>
      <c r="D87" s="21">
        <f t="shared" si="4"/>
        <v>1085.8002596400945</v>
      </c>
      <c r="E87" s="299">
        <v>3</v>
      </c>
      <c r="F87" s="301"/>
      <c r="G87" s="2">
        <f t="shared" si="5"/>
        <v>3051</v>
      </c>
      <c r="H87" s="2">
        <f t="shared" si="5"/>
        <v>3258</v>
      </c>
      <c r="I87" s="299">
        <v>3</v>
      </c>
      <c r="J87" s="301"/>
      <c r="K87" s="2">
        <f t="shared" si="6"/>
        <v>3258</v>
      </c>
      <c r="M87" s="84">
        <f>I87*D87</f>
        <v>3257.4007789202833</v>
      </c>
      <c r="O87" s="14">
        <f t="shared" si="7"/>
        <v>0</v>
      </c>
      <c r="AE87" s="84"/>
    </row>
    <row r="88" spans="1:31">
      <c r="A88" s="301" t="s">
        <v>383</v>
      </c>
      <c r="B88" s="301"/>
      <c r="C88" s="21">
        <f t="shared" si="4"/>
        <v>50</v>
      </c>
      <c r="D88" s="21">
        <f t="shared" si="4"/>
        <v>53.081237721216993</v>
      </c>
      <c r="E88" s="302">
        <f>-E86</f>
        <v>-1.55</v>
      </c>
      <c r="F88" s="301"/>
      <c r="G88" s="2">
        <f t="shared" si="5"/>
        <v>-77</v>
      </c>
      <c r="H88" s="2">
        <f t="shared" si="5"/>
        <v>-82</v>
      </c>
      <c r="I88" s="302">
        <f>-I86</f>
        <v>-1.55</v>
      </c>
      <c r="J88" s="301"/>
      <c r="K88" s="2">
        <f t="shared" si="6"/>
        <v>-82</v>
      </c>
      <c r="M88" s="84">
        <f>I88*D88</f>
        <v>-82.275918467886342</v>
      </c>
      <c r="O88" s="14">
        <f t="shared" si="7"/>
        <v>0</v>
      </c>
      <c r="AE88" s="84"/>
    </row>
    <row r="89" spans="1:31">
      <c r="A89" s="1" t="s">
        <v>384</v>
      </c>
      <c r="B89" s="303"/>
      <c r="C89" s="21">
        <f t="shared" si="4"/>
        <v>1568947323</v>
      </c>
      <c r="D89" s="21">
        <f t="shared" si="4"/>
        <v>1581586849.1286268</v>
      </c>
      <c r="E89" s="304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84">
        <f>SUM(M83:M88)</f>
        <v>111735219.67224337</v>
      </c>
      <c r="O89" s="14"/>
      <c r="AE89" s="84"/>
    </row>
    <row r="90" spans="1:31">
      <c r="A90" s="1" t="s">
        <v>366</v>
      </c>
      <c r="B90" s="305"/>
      <c r="C90" s="306">
        <f t="shared" si="4"/>
        <v>991281.43921662425</v>
      </c>
      <c r="D90" s="306">
        <f t="shared" si="4"/>
        <v>0</v>
      </c>
      <c r="E90" s="307"/>
      <c r="F90" s="307"/>
      <c r="G90" s="308">
        <f t="shared" si="5"/>
        <v>26957.425302805033</v>
      </c>
      <c r="H90" s="308">
        <f t="shared" si="5"/>
        <v>0</v>
      </c>
      <c r="I90" s="307"/>
      <c r="J90" s="307"/>
      <c r="K90" s="308">
        <f t="shared" si="6"/>
        <v>0</v>
      </c>
      <c r="AE90" s="84"/>
    </row>
    <row r="91" spans="1:31" ht="16.5" thickBot="1">
      <c r="A91" s="1" t="s">
        <v>385</v>
      </c>
      <c r="B91" s="1"/>
      <c r="C91" s="309">
        <f>C89+C90</f>
        <v>1569938604.4392166</v>
      </c>
      <c r="D91" s="309">
        <f>D84+D85+D90</f>
        <v>1581586849.1286268</v>
      </c>
      <c r="E91" s="310"/>
      <c r="F91" s="310"/>
      <c r="G91" s="310">
        <f>G89+G90</f>
        <v>102672944.4253028</v>
      </c>
      <c r="H91" s="310">
        <f>H89+H90</f>
        <v>103498237</v>
      </c>
      <c r="I91" s="310"/>
      <c r="J91" s="310"/>
      <c r="K91" s="310">
        <f>K89+K90</f>
        <v>111735221</v>
      </c>
      <c r="N91" s="3" t="s">
        <v>367</v>
      </c>
      <c r="O91" s="69" t="e">
        <f>#REF!*1000</f>
        <v>#REF!</v>
      </c>
      <c r="AE91" s="84"/>
    </row>
    <row r="92" spans="1:31" ht="16.5" thickTop="1">
      <c r="A92" s="1"/>
      <c r="B92" s="311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265</v>
      </c>
      <c r="O92" s="69" t="e">
        <f>O91-K91</f>
        <v>#REF!</v>
      </c>
      <c r="P92" s="312" t="e">
        <f>(O91-K91)/K91</f>
        <v>#REF!</v>
      </c>
      <c r="AE92" s="84"/>
    </row>
    <row r="93" spans="1:31">
      <c r="A93" s="291" t="s">
        <v>386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O93" s="313"/>
      <c r="AE93" s="84"/>
    </row>
    <row r="94" spans="1:31">
      <c r="A94" s="1" t="s">
        <v>333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N94" s="235"/>
      <c r="AE94" s="84"/>
    </row>
    <row r="95" spans="1:31">
      <c r="A95" s="295"/>
      <c r="B95" s="1"/>
      <c r="C95" s="1"/>
      <c r="D95" s="1"/>
      <c r="E95" s="21"/>
      <c r="F95" s="21"/>
      <c r="G95" s="1"/>
      <c r="H95" s="1"/>
      <c r="I95" s="21"/>
      <c r="J95" s="1"/>
      <c r="K95" s="1"/>
      <c r="N95" s="314"/>
      <c r="AE95" s="84"/>
    </row>
    <row r="96" spans="1:31">
      <c r="A96" s="1" t="s">
        <v>373</v>
      </c>
      <c r="B96" s="1"/>
      <c r="C96" s="21">
        <f>1188818+6</f>
        <v>1188824</v>
      </c>
      <c r="D96" s="21">
        <v>1199595</v>
      </c>
      <c r="E96" s="296">
        <v>5.25</v>
      </c>
      <c r="F96" s="1"/>
      <c r="G96" s="2">
        <f>ROUND(E96*$C96,0)</f>
        <v>6241326</v>
      </c>
      <c r="H96" s="2">
        <f>ROUND(E96*$D96,0)</f>
        <v>6297874</v>
      </c>
      <c r="I96" s="296">
        <f>$I$83</f>
        <v>6</v>
      </c>
      <c r="J96" s="1"/>
      <c r="K96" s="2">
        <f>ROUND(I96*$D96,0)</f>
        <v>7197570</v>
      </c>
      <c r="N96" s="292"/>
      <c r="AE96" s="84"/>
    </row>
    <row r="97" spans="1:31">
      <c r="A97" s="1" t="s">
        <v>376</v>
      </c>
      <c r="B97" s="1"/>
      <c r="C97" s="21">
        <v>622442746.97882807</v>
      </c>
      <c r="D97" s="21">
        <v>626418721.88361442</v>
      </c>
      <c r="E97" s="297">
        <v>4.569</v>
      </c>
      <c r="F97" s="1" t="s">
        <v>377</v>
      </c>
      <c r="G97" s="2">
        <f>ROUND(E97*$C97/100,0)</f>
        <v>28439409</v>
      </c>
      <c r="H97" s="2">
        <f>ROUND(E97*$D97/100,0)</f>
        <v>28621071</v>
      </c>
      <c r="I97" s="297">
        <f>$I$84</f>
        <v>4.9139999999999997</v>
      </c>
      <c r="J97" s="1" t="s">
        <v>377</v>
      </c>
      <c r="K97" s="2">
        <f>ROUND(I97*$D97/100,0)</f>
        <v>30782216</v>
      </c>
      <c r="AE97" s="84"/>
    </row>
    <row r="98" spans="1:31">
      <c r="A98" s="1" t="s">
        <v>378</v>
      </c>
      <c r="B98" s="21"/>
      <c r="C98" s="21">
        <v>902512979.02117193</v>
      </c>
      <c r="D98" s="21">
        <v>908277957.36375713</v>
      </c>
      <c r="E98" s="297">
        <v>7.2080000000000002</v>
      </c>
      <c r="F98" s="1" t="s">
        <v>377</v>
      </c>
      <c r="G98" s="2">
        <f>ROUND(E98*$C98/100,0)</f>
        <v>65053136</v>
      </c>
      <c r="H98" s="2">
        <f>ROUND(E98*$D98/100,0)</f>
        <v>65468675</v>
      </c>
      <c r="I98" s="297">
        <f>$I$85</f>
        <v>7.7510000000000003</v>
      </c>
      <c r="J98" s="1" t="s">
        <v>377</v>
      </c>
      <c r="K98" s="2">
        <f>ROUND(I98*$D98/100,0)</f>
        <v>70400624</v>
      </c>
      <c r="AE98" s="84"/>
    </row>
    <row r="99" spans="1:31">
      <c r="A99" s="1" t="s">
        <v>380</v>
      </c>
      <c r="B99" s="1"/>
      <c r="C99" s="21">
        <v>0</v>
      </c>
      <c r="D99" s="21">
        <v>0</v>
      </c>
      <c r="E99" s="299">
        <v>1.55</v>
      </c>
      <c r="F99" s="1"/>
      <c r="G99" s="2">
        <f>ROUND(E99*$C99,0)</f>
        <v>0</v>
      </c>
      <c r="H99" s="2">
        <v>0</v>
      </c>
      <c r="I99" s="299">
        <f>$I$86</f>
        <v>1.55</v>
      </c>
      <c r="J99" s="1"/>
      <c r="K99" s="2">
        <f>ROUND(I99*$D99,0)</f>
        <v>0</v>
      </c>
      <c r="AE99" s="84"/>
    </row>
    <row r="100" spans="1:31">
      <c r="A100" s="301" t="s">
        <v>382</v>
      </c>
      <c r="B100" s="301"/>
      <c r="C100" s="21">
        <v>0</v>
      </c>
      <c r="D100" s="21">
        <v>0</v>
      </c>
      <c r="E100" s="299">
        <v>3</v>
      </c>
      <c r="F100" s="301"/>
      <c r="G100" s="2">
        <f>ROUND(E100*$C100,0)</f>
        <v>0</v>
      </c>
      <c r="H100" s="2">
        <v>0</v>
      </c>
      <c r="I100" s="299">
        <f>$I$87</f>
        <v>3</v>
      </c>
      <c r="J100" s="301"/>
      <c r="K100" s="2">
        <f>ROUND(I100*$D100,0)</f>
        <v>0</v>
      </c>
      <c r="AE100" s="84"/>
    </row>
    <row r="101" spans="1:31">
      <c r="A101" s="301" t="s">
        <v>383</v>
      </c>
      <c r="B101" s="301"/>
      <c r="C101" s="21">
        <v>0</v>
      </c>
      <c r="D101" s="21">
        <v>0</v>
      </c>
      <c r="E101" s="302">
        <f>-E99</f>
        <v>-1.55</v>
      </c>
      <c r="F101" s="301"/>
      <c r="G101" s="2">
        <f>ROUND(E101*$C101,0)</f>
        <v>0</v>
      </c>
      <c r="H101" s="2">
        <v>0</v>
      </c>
      <c r="I101" s="302">
        <f>$I$88</f>
        <v>-1.55</v>
      </c>
      <c r="J101" s="301"/>
      <c r="K101" s="2">
        <f>ROUND(I101*$D101,0)</f>
        <v>0</v>
      </c>
      <c r="AE101" s="84"/>
    </row>
    <row r="102" spans="1:31">
      <c r="A102" s="1" t="s">
        <v>384</v>
      </c>
      <c r="B102" s="303"/>
      <c r="C102" s="21">
        <f>SUM(C97:C98)</f>
        <v>1524955726</v>
      </c>
      <c r="D102" s="21">
        <v>1534696679.2473714</v>
      </c>
      <c r="E102" s="304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84"/>
    </row>
    <row r="103" spans="1:31">
      <c r="A103" s="1" t="s">
        <v>366</v>
      </c>
      <c r="B103" s="305"/>
      <c r="C103" s="315">
        <v>964615.15824767202</v>
      </c>
      <c r="D103" s="306">
        <v>0</v>
      </c>
      <c r="E103" s="307"/>
      <c r="F103" s="307"/>
      <c r="G103" s="308">
        <v>26215.646474169334</v>
      </c>
      <c r="H103" s="306">
        <v>0</v>
      </c>
      <c r="I103" s="307"/>
      <c r="J103" s="307"/>
      <c r="K103" s="308">
        <v>0</v>
      </c>
      <c r="M103" s="287"/>
      <c r="N103" s="287"/>
      <c r="O103" s="288"/>
      <c r="AE103" s="84"/>
    </row>
    <row r="104" spans="1:31" ht="16.5" thickBot="1">
      <c r="A104" s="1" t="s">
        <v>385</v>
      </c>
      <c r="B104" s="1"/>
      <c r="C104" s="309">
        <f>C102+C103</f>
        <v>1525920341.1582477</v>
      </c>
      <c r="D104" s="309">
        <f>SUM(D102:D103)</f>
        <v>1534696679.2473714</v>
      </c>
      <c r="E104" s="310"/>
      <c r="F104" s="310"/>
      <c r="G104" s="310">
        <f>G102+G103</f>
        <v>99760086.646474168</v>
      </c>
      <c r="H104" s="316">
        <f>SUM(H102:H103)</f>
        <v>100387620</v>
      </c>
      <c r="I104" s="310"/>
      <c r="J104" s="310"/>
      <c r="K104" s="310">
        <f>K102+K103</f>
        <v>108380410</v>
      </c>
      <c r="M104" s="289"/>
      <c r="N104" s="289"/>
      <c r="O104" s="290"/>
      <c r="AE104" s="84"/>
    </row>
    <row r="105" spans="1:31" ht="16.5" thickTop="1">
      <c r="A105" s="1"/>
      <c r="B105" s="311"/>
      <c r="C105" s="21"/>
      <c r="D105" s="21"/>
      <c r="E105" s="21"/>
      <c r="F105" s="21"/>
      <c r="I105" s="1" t="s">
        <v>31</v>
      </c>
      <c r="J105" s="1"/>
      <c r="K105" s="2" t="s">
        <v>31</v>
      </c>
      <c r="AE105" s="84"/>
    </row>
    <row r="106" spans="1:31">
      <c r="A106" s="291" t="s">
        <v>387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AE106" s="84"/>
    </row>
    <row r="107" spans="1:31">
      <c r="A107" s="1" t="s">
        <v>333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AE107" s="84"/>
    </row>
    <row r="108" spans="1:31">
      <c r="A108" s="295"/>
      <c r="B108" s="1"/>
      <c r="C108" s="1"/>
      <c r="D108" s="1"/>
      <c r="E108" s="21"/>
      <c r="F108" s="21"/>
      <c r="G108" s="1"/>
      <c r="H108" s="1"/>
      <c r="I108" s="21"/>
      <c r="J108" s="1"/>
      <c r="K108" s="1"/>
      <c r="AE108" s="84"/>
    </row>
    <row r="109" spans="1:31">
      <c r="A109" s="1" t="s">
        <v>373</v>
      </c>
      <c r="B109" s="1"/>
      <c r="C109" s="21">
        <v>25712</v>
      </c>
      <c r="D109" s="21">
        <v>28799</v>
      </c>
      <c r="E109" s="296">
        <v>5.25</v>
      </c>
      <c r="F109" s="1"/>
      <c r="G109" s="2">
        <f>ROUND(E109*$C109,0)</f>
        <v>134988</v>
      </c>
      <c r="H109" s="2">
        <f>ROUND(E109*$D109,0)</f>
        <v>151195</v>
      </c>
      <c r="I109" s="296">
        <f>$I$83</f>
        <v>6</v>
      </c>
      <c r="J109" s="1"/>
      <c r="K109" s="2">
        <f>ROUND(I109*$D109,0)</f>
        <v>172794</v>
      </c>
      <c r="AE109" s="84"/>
    </row>
    <row r="110" spans="1:31">
      <c r="A110" s="1" t="s">
        <v>376</v>
      </c>
      <c r="B110" s="1"/>
      <c r="C110" s="21">
        <v>14933585</v>
      </c>
      <c r="D110" s="21">
        <v>15919403.902441863</v>
      </c>
      <c r="E110" s="297">
        <v>4.569</v>
      </c>
      <c r="F110" s="1" t="s">
        <v>377</v>
      </c>
      <c r="G110" s="2">
        <f>ROUND(E110*$C110/100,0)</f>
        <v>682315</v>
      </c>
      <c r="H110" s="2">
        <f>ROUND(E110*$D110/100,0)</f>
        <v>727358</v>
      </c>
      <c r="I110" s="297">
        <f>$I$84</f>
        <v>4.9139999999999997</v>
      </c>
      <c r="J110" s="1" t="s">
        <v>377</v>
      </c>
      <c r="K110" s="2">
        <f>ROUND(I110*$D110/100,0)</f>
        <v>782280</v>
      </c>
      <c r="AE110" s="84"/>
    </row>
    <row r="111" spans="1:31">
      <c r="A111" s="1" t="s">
        <v>378</v>
      </c>
      <c r="B111" s="1"/>
      <c r="C111" s="21">
        <f>40608391-C110</f>
        <v>25674806</v>
      </c>
      <c r="D111" s="21">
        <v>27369690.990531594</v>
      </c>
      <c r="E111" s="297">
        <v>7.2080000000000002</v>
      </c>
      <c r="F111" s="1" t="s">
        <v>377</v>
      </c>
      <c r="G111" s="2">
        <f>ROUND(E111*$C111/100,0)</f>
        <v>1850640</v>
      </c>
      <c r="H111" s="2">
        <f>ROUND(E111*$D111/100,0)</f>
        <v>1972807</v>
      </c>
      <c r="I111" s="297">
        <f>$I$85</f>
        <v>7.7510000000000003</v>
      </c>
      <c r="J111" s="1" t="s">
        <v>377</v>
      </c>
      <c r="K111" s="2">
        <f>ROUND(I111*$D111/100,0)</f>
        <v>2121425</v>
      </c>
      <c r="AE111" s="84"/>
    </row>
    <row r="112" spans="1:31">
      <c r="A112" s="1" t="s">
        <v>380</v>
      </c>
      <c r="B112" s="1"/>
      <c r="C112" s="21">
        <v>0</v>
      </c>
      <c r="D112" s="21">
        <v>0</v>
      </c>
      <c r="E112" s="299">
        <v>1.55</v>
      </c>
      <c r="F112" s="1"/>
      <c r="G112" s="2">
        <f>ROUND(E112*$C112,0)</f>
        <v>0</v>
      </c>
      <c r="H112" s="2">
        <v>0</v>
      </c>
      <c r="I112" s="299">
        <f>$I$86</f>
        <v>1.55</v>
      </c>
      <c r="J112" s="1"/>
      <c r="K112" s="2">
        <f>ROUND(I112*$D112,0)</f>
        <v>0</v>
      </c>
      <c r="AE112" s="84"/>
    </row>
    <row r="113" spans="1:31">
      <c r="A113" s="301" t="s">
        <v>382</v>
      </c>
      <c r="B113" s="301"/>
      <c r="C113" s="21">
        <v>0</v>
      </c>
      <c r="D113" s="21">
        <v>0</v>
      </c>
      <c r="E113" s="299">
        <v>3</v>
      </c>
      <c r="F113" s="301"/>
      <c r="G113" s="2">
        <f>ROUND(E113*$C113,0)</f>
        <v>0</v>
      </c>
      <c r="H113" s="2">
        <v>0</v>
      </c>
      <c r="I113" s="299">
        <f>$I$87</f>
        <v>3</v>
      </c>
      <c r="J113" s="301"/>
      <c r="K113" s="2">
        <f>ROUND(I113*$D113,0)</f>
        <v>0</v>
      </c>
      <c r="AE113" s="84"/>
    </row>
    <row r="114" spans="1:31">
      <c r="A114" s="301" t="s">
        <v>383</v>
      </c>
      <c r="B114" s="301"/>
      <c r="C114" s="21">
        <v>0</v>
      </c>
      <c r="D114" s="21">
        <v>0</v>
      </c>
      <c r="E114" s="302">
        <f>-E112</f>
        <v>-1.55</v>
      </c>
      <c r="F114" s="301"/>
      <c r="G114" s="2">
        <f>ROUND(E114*$C114,0)</f>
        <v>0</v>
      </c>
      <c r="H114" s="2">
        <v>0</v>
      </c>
      <c r="I114" s="302">
        <f>$I$88</f>
        <v>-1.55</v>
      </c>
      <c r="J114" s="301"/>
      <c r="K114" s="2">
        <f>ROUND(I114*$D114,0)</f>
        <v>0</v>
      </c>
      <c r="AE114" s="84"/>
    </row>
    <row r="115" spans="1:31">
      <c r="A115" s="1" t="s">
        <v>384</v>
      </c>
      <c r="B115" s="1"/>
      <c r="C115" s="21">
        <f>SUM(C110:C111)</f>
        <v>40608391</v>
      </c>
      <c r="D115" s="21">
        <v>43289094.892973453</v>
      </c>
      <c r="E115" s="304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84"/>
    </row>
    <row r="116" spans="1:31">
      <c r="A116" s="1" t="s">
        <v>366</v>
      </c>
      <c r="B116" s="1"/>
      <c r="C116" s="315">
        <v>24510.980258357216</v>
      </c>
      <c r="D116" s="306">
        <v>0</v>
      </c>
      <c r="E116" s="307"/>
      <c r="F116" s="307"/>
      <c r="G116" s="308">
        <v>676.32035447932685</v>
      </c>
      <c r="H116" s="306">
        <v>0</v>
      </c>
      <c r="I116" s="307"/>
      <c r="J116" s="307"/>
      <c r="K116" s="308">
        <v>0</v>
      </c>
      <c r="M116" s="287"/>
      <c r="N116" s="287"/>
      <c r="O116" s="288"/>
      <c r="AE116" s="84"/>
    </row>
    <row r="117" spans="1:31" ht="16.5" thickBot="1">
      <c r="A117" s="1" t="s">
        <v>385</v>
      </c>
      <c r="B117" s="1"/>
      <c r="C117" s="309">
        <f>C115+C116</f>
        <v>40632901.980258361</v>
      </c>
      <c r="D117" s="309">
        <f>SUM(D115:D116)</f>
        <v>43289094.892973453</v>
      </c>
      <c r="E117" s="310"/>
      <c r="F117" s="310"/>
      <c r="G117" s="310">
        <f>G115+G116</f>
        <v>2668619.3203544794</v>
      </c>
      <c r="H117" s="316">
        <f>SUM(H115:H116)</f>
        <v>2851360</v>
      </c>
      <c r="I117" s="310"/>
      <c r="J117" s="310"/>
      <c r="K117" s="310">
        <f>K115+K116</f>
        <v>3076499</v>
      </c>
      <c r="M117" s="289"/>
      <c r="N117" s="289"/>
      <c r="O117" s="290"/>
      <c r="AE117" s="84"/>
    </row>
    <row r="118" spans="1:31" ht="16.5" thickTop="1">
      <c r="A118" s="1"/>
      <c r="B118" s="311"/>
      <c r="C118" s="21"/>
      <c r="D118" s="21"/>
      <c r="E118" s="21"/>
      <c r="F118" s="21"/>
      <c r="I118" s="1" t="s">
        <v>31</v>
      </c>
      <c r="J118" s="1"/>
      <c r="K118" s="2" t="s">
        <v>31</v>
      </c>
      <c r="AE118" s="84"/>
    </row>
    <row r="119" spans="1:31">
      <c r="A119" s="291" t="s">
        <v>388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AE119" s="84"/>
    </row>
    <row r="120" spans="1:31">
      <c r="A120" s="1" t="s">
        <v>333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AE120" s="84"/>
    </row>
    <row r="121" spans="1:31">
      <c r="A121" s="295"/>
      <c r="B121" s="1"/>
      <c r="C121" s="1"/>
      <c r="D121" s="1"/>
      <c r="E121" s="21"/>
      <c r="F121" s="21"/>
      <c r="G121" s="1"/>
      <c r="H121" s="1"/>
      <c r="I121" s="21"/>
      <c r="J121" s="1"/>
      <c r="K121" s="1"/>
      <c r="AE121" s="84"/>
    </row>
    <row r="122" spans="1:31">
      <c r="A122" s="1" t="s">
        <v>373</v>
      </c>
      <c r="B122" s="1"/>
      <c r="C122" s="21">
        <v>1191</v>
      </c>
      <c r="D122" s="21">
        <v>1155</v>
      </c>
      <c r="E122" s="296">
        <v>5.25</v>
      </c>
      <c r="F122" s="1"/>
      <c r="G122" s="2">
        <f>ROUND(E122*$C122,0)</f>
        <v>6253</v>
      </c>
      <c r="H122" s="2">
        <f>ROUND(E122*$D122,0)</f>
        <v>6064</v>
      </c>
      <c r="I122" s="296">
        <f>$I$83</f>
        <v>6</v>
      </c>
      <c r="J122" s="1"/>
      <c r="K122" s="2">
        <f>ROUND(I122*$D122,0)</f>
        <v>6930</v>
      </c>
      <c r="AE122" s="84"/>
    </row>
    <row r="123" spans="1:31">
      <c r="A123" s="1" t="s">
        <v>376</v>
      </c>
      <c r="B123" s="1"/>
      <c r="C123" s="21">
        <v>577197.33041522116</v>
      </c>
      <c r="D123" s="21">
        <v>623924.69816689566</v>
      </c>
      <c r="E123" s="297">
        <v>4.569</v>
      </c>
      <c r="F123" s="1" t="s">
        <v>377</v>
      </c>
      <c r="G123" s="2">
        <f>ROUND(E123*$C123/100,0)</f>
        <v>26372</v>
      </c>
      <c r="H123" s="2">
        <f>ROUND(E123*$D123/100,0)</f>
        <v>28507</v>
      </c>
      <c r="I123" s="297">
        <f>$I$84</f>
        <v>4.9139999999999997</v>
      </c>
      <c r="J123" s="1" t="s">
        <v>377</v>
      </c>
      <c r="K123" s="2">
        <f>ROUND(I123*$D123/100,0)</f>
        <v>30660</v>
      </c>
      <c r="AE123" s="84"/>
    </row>
    <row r="124" spans="1:31">
      <c r="A124" s="1" t="s">
        <v>378</v>
      </c>
      <c r="B124" s="1"/>
      <c r="C124" s="21">
        <v>2052532.6695847788</v>
      </c>
      <c r="D124" s="21">
        <v>2218696.7244410608</v>
      </c>
      <c r="E124" s="297">
        <v>7.2080000000000002</v>
      </c>
      <c r="F124" s="1" t="s">
        <v>377</v>
      </c>
      <c r="G124" s="2">
        <f>ROUND(E124*$C124/100,0)</f>
        <v>147947</v>
      </c>
      <c r="H124" s="2">
        <f>ROUND(E124*$D124/100,0)</f>
        <v>159924</v>
      </c>
      <c r="I124" s="297">
        <f>$I$85</f>
        <v>7.7510000000000003</v>
      </c>
      <c r="J124" s="1" t="s">
        <v>377</v>
      </c>
      <c r="K124" s="2">
        <f>ROUND(I124*$D124/100,0)</f>
        <v>171971</v>
      </c>
      <c r="AE124" s="84"/>
    </row>
    <row r="125" spans="1:31">
      <c r="A125" s="1" t="s">
        <v>380</v>
      </c>
      <c r="B125" s="1"/>
      <c r="C125" s="21">
        <v>4984</v>
      </c>
      <c r="D125" s="21">
        <v>5387.4828101280564</v>
      </c>
      <c r="E125" s="299">
        <v>1.55</v>
      </c>
      <c r="F125" s="1"/>
      <c r="G125" s="2">
        <f>ROUND(E125*$C125,0)</f>
        <v>7725</v>
      </c>
      <c r="H125" s="2">
        <f>ROUND(E125*$D125,0)</f>
        <v>8351</v>
      </c>
      <c r="I125" s="299">
        <f>$I$86</f>
        <v>1.55</v>
      </c>
      <c r="J125" s="1"/>
      <c r="K125" s="2">
        <f>ROUND(I125*$D125,0)</f>
        <v>8351</v>
      </c>
      <c r="AE125" s="84"/>
    </row>
    <row r="126" spans="1:31">
      <c r="A126" s="301" t="s">
        <v>382</v>
      </c>
      <c r="B126" s="301"/>
      <c r="C126" s="21">
        <v>835</v>
      </c>
      <c r="D126" s="21">
        <v>902.59794270805128</v>
      </c>
      <c r="E126" s="299">
        <v>3</v>
      </c>
      <c r="F126" s="301"/>
      <c r="G126" s="2">
        <f>ROUND(E126*$C126,0)</f>
        <v>2505</v>
      </c>
      <c r="H126" s="2">
        <f>ROUND(E126*$D126,0)</f>
        <v>2708</v>
      </c>
      <c r="I126" s="299">
        <f>$I$87</f>
        <v>3</v>
      </c>
      <c r="J126" s="301"/>
      <c r="K126" s="2">
        <f>ROUND(I126*$D126,0)</f>
        <v>2708</v>
      </c>
      <c r="AE126" s="84"/>
    </row>
    <row r="127" spans="1:31">
      <c r="A127" s="301" t="s">
        <v>383</v>
      </c>
      <c r="B127" s="301"/>
      <c r="C127" s="21">
        <v>37</v>
      </c>
      <c r="D127" s="21">
        <v>39.995357940356762</v>
      </c>
      <c r="E127" s="302">
        <f>-E125</f>
        <v>-1.55</v>
      </c>
      <c r="F127" s="301"/>
      <c r="G127" s="2">
        <f>ROUND(E127*$C127,0)</f>
        <v>-57</v>
      </c>
      <c r="H127" s="2">
        <f>ROUND(E127*$D127,0)</f>
        <v>-62</v>
      </c>
      <c r="I127" s="302">
        <f>$I$88</f>
        <v>-1.55</v>
      </c>
      <c r="J127" s="301"/>
      <c r="K127" s="2">
        <f>ROUND(I127*$D127,0)</f>
        <v>-62</v>
      </c>
      <c r="AE127" s="84"/>
    </row>
    <row r="128" spans="1:31">
      <c r="A128" s="1" t="s">
        <v>384</v>
      </c>
      <c r="B128" s="303"/>
      <c r="C128" s="21">
        <f>SUM(C123:C124)</f>
        <v>2629730</v>
      </c>
      <c r="D128" s="21">
        <v>2842621.4226079565</v>
      </c>
      <c r="E128" s="304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84"/>
    </row>
    <row r="129" spans="1:31">
      <c r="A129" s="1" t="s">
        <v>366</v>
      </c>
      <c r="B129" s="25"/>
      <c r="C129" s="315">
        <v>1700.3066984208108</v>
      </c>
      <c r="D129" s="306">
        <v>0</v>
      </c>
      <c r="E129" s="307"/>
      <c r="F129" s="307"/>
      <c r="G129" s="308">
        <v>51.812730126847555</v>
      </c>
      <c r="H129" s="308">
        <v>0</v>
      </c>
      <c r="I129" s="307"/>
      <c r="J129" s="307"/>
      <c r="K129" s="308">
        <v>0</v>
      </c>
      <c r="M129" s="287"/>
      <c r="N129" s="287"/>
      <c r="O129" s="288"/>
      <c r="AE129" s="84"/>
    </row>
    <row r="130" spans="1:31" ht="16.5" thickBot="1">
      <c r="A130" s="1" t="s">
        <v>385</v>
      </c>
      <c r="B130" s="1"/>
      <c r="C130" s="309">
        <f>C128+C129</f>
        <v>2631430.306698421</v>
      </c>
      <c r="D130" s="309">
        <f>SUM(D128:D129)</f>
        <v>2842621.4226079565</v>
      </c>
      <c r="E130" s="310"/>
      <c r="F130" s="310"/>
      <c r="G130" s="310">
        <f>G128+G129</f>
        <v>190796.81273012684</v>
      </c>
      <c r="H130" s="310">
        <f>H128+H129</f>
        <v>205492</v>
      </c>
      <c r="I130" s="310"/>
      <c r="J130" s="310"/>
      <c r="K130" s="310">
        <f>K128+K129</f>
        <v>220558</v>
      </c>
      <c r="M130" s="289"/>
      <c r="N130" s="289"/>
      <c r="O130" s="290"/>
      <c r="AE130" s="84"/>
    </row>
    <row r="131" spans="1:31" ht="16.5" thickTop="1">
      <c r="A131" s="1"/>
      <c r="B131" s="311"/>
      <c r="C131" s="21"/>
      <c r="D131" s="21"/>
      <c r="E131" s="21"/>
      <c r="F131" s="21"/>
      <c r="I131" s="1" t="s">
        <v>31</v>
      </c>
      <c r="J131" s="1"/>
      <c r="K131" s="2" t="s">
        <v>31</v>
      </c>
      <c r="AE131" s="84"/>
    </row>
    <row r="132" spans="1:31">
      <c r="A132" s="291" t="s">
        <v>389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AE132" s="84"/>
    </row>
    <row r="133" spans="1:31">
      <c r="A133" s="1" t="s">
        <v>333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AE133" s="84"/>
    </row>
    <row r="134" spans="1:31">
      <c r="A134" s="295"/>
      <c r="B134" s="1"/>
      <c r="C134" s="1"/>
      <c r="D134" s="1"/>
      <c r="E134" s="21"/>
      <c r="F134" s="21"/>
      <c r="G134" s="1"/>
      <c r="H134" s="1"/>
      <c r="I134" s="21"/>
      <c r="J134" s="1"/>
      <c r="K134" s="1"/>
      <c r="AE134" s="84"/>
    </row>
    <row r="135" spans="1:31">
      <c r="A135" s="1" t="s">
        <v>373</v>
      </c>
      <c r="B135" s="1"/>
      <c r="C135" s="21">
        <v>316</v>
      </c>
      <c r="D135" s="21">
        <v>315</v>
      </c>
      <c r="E135" s="296">
        <v>5.25</v>
      </c>
      <c r="F135" s="1"/>
      <c r="G135" s="2">
        <f>ROUND(E135*$C135,0)</f>
        <v>1659</v>
      </c>
      <c r="H135" s="2">
        <f>ROUND(E135*$D135,0)</f>
        <v>1654</v>
      </c>
      <c r="I135" s="296">
        <f>$I$83</f>
        <v>6</v>
      </c>
      <c r="J135" s="1"/>
      <c r="K135" s="2">
        <f>ROUND(I135*$D135,0)</f>
        <v>1890</v>
      </c>
      <c r="AE135" s="84"/>
    </row>
    <row r="136" spans="1:31">
      <c r="A136" s="1" t="s">
        <v>376</v>
      </c>
      <c r="B136" s="1"/>
      <c r="C136" s="21">
        <v>183484</v>
      </c>
      <c r="D136" s="21">
        <v>184696.12043933535</v>
      </c>
      <c r="E136" s="297">
        <v>4.569</v>
      </c>
      <c r="F136" s="1" t="s">
        <v>377</v>
      </c>
      <c r="G136" s="2">
        <f>ROUND(E136*$C136/100,0)</f>
        <v>8383</v>
      </c>
      <c r="H136" s="2">
        <f>ROUND(E136*$D136/100,0)</f>
        <v>8439</v>
      </c>
      <c r="I136" s="297">
        <f>$I$84</f>
        <v>4.9139999999999997</v>
      </c>
      <c r="J136" s="1" t="s">
        <v>377</v>
      </c>
      <c r="K136" s="2">
        <f>ROUND(I136*$D136/100,0)</f>
        <v>9076</v>
      </c>
      <c r="AE136" s="84"/>
    </row>
    <row r="137" spans="1:31">
      <c r="A137" s="1" t="s">
        <v>378</v>
      </c>
      <c r="B137" s="1"/>
      <c r="C137" s="21">
        <f>753476-C136</f>
        <v>569992</v>
      </c>
      <c r="D137" s="21">
        <v>573757.44523477601</v>
      </c>
      <c r="E137" s="297">
        <v>7.2080000000000002</v>
      </c>
      <c r="F137" s="1" t="s">
        <v>377</v>
      </c>
      <c r="G137" s="2">
        <f>ROUND(E137*$C137/100,0)</f>
        <v>41085</v>
      </c>
      <c r="H137" s="2">
        <f>ROUND(E137*$D137/100,0)</f>
        <v>41356</v>
      </c>
      <c r="I137" s="297">
        <f>$I$85</f>
        <v>7.7510000000000003</v>
      </c>
      <c r="J137" s="1" t="s">
        <v>377</v>
      </c>
      <c r="K137" s="2">
        <f>ROUND(I137*$D137/100,0)</f>
        <v>44472</v>
      </c>
      <c r="AE137" s="84"/>
    </row>
    <row r="138" spans="1:31">
      <c r="A138" s="1" t="s">
        <v>380</v>
      </c>
      <c r="B138" s="1"/>
      <c r="C138" s="21">
        <v>1145</v>
      </c>
      <c r="D138" s="21">
        <v>1152.5640268526899</v>
      </c>
      <c r="E138" s="299">
        <v>1.55</v>
      </c>
      <c r="F138" s="1"/>
      <c r="G138" s="2">
        <f>ROUND(E138*$C138,0)</f>
        <v>1775</v>
      </c>
      <c r="H138" s="2">
        <f>ROUND(E138*$D138,0)</f>
        <v>1786</v>
      </c>
      <c r="I138" s="299">
        <f>$I$86</f>
        <v>1.55</v>
      </c>
      <c r="J138" s="1"/>
      <c r="K138" s="2">
        <f>ROUND(I138*$D138,0)</f>
        <v>1786</v>
      </c>
      <c r="AE138" s="84"/>
    </row>
    <row r="139" spans="1:31">
      <c r="A139" s="301" t="s">
        <v>382</v>
      </c>
      <c r="B139" s="301"/>
      <c r="C139" s="21">
        <v>182</v>
      </c>
      <c r="D139" s="21">
        <v>183.20231693204332</v>
      </c>
      <c r="E139" s="299">
        <v>3</v>
      </c>
      <c r="F139" s="301"/>
      <c r="G139" s="2">
        <f>ROUND(E139*$C139,0)</f>
        <v>546</v>
      </c>
      <c r="H139" s="2">
        <f>ROUND(E139*$D139,0)</f>
        <v>550</v>
      </c>
      <c r="I139" s="299">
        <f>$I$87</f>
        <v>3</v>
      </c>
      <c r="J139" s="301"/>
      <c r="K139" s="2">
        <f>ROUND(I139*$D139,0)</f>
        <v>550</v>
      </c>
      <c r="AE139" s="84"/>
    </row>
    <row r="140" spans="1:31">
      <c r="A140" s="301" t="s">
        <v>383</v>
      </c>
      <c r="B140" s="301"/>
      <c r="C140" s="21">
        <v>13</v>
      </c>
      <c r="D140" s="21">
        <v>13.085879780860235</v>
      </c>
      <c r="E140" s="302">
        <f>-E138</f>
        <v>-1.55</v>
      </c>
      <c r="F140" s="301"/>
      <c r="G140" s="2">
        <f>ROUND(E140*$C140,0)</f>
        <v>-20</v>
      </c>
      <c r="H140" s="2">
        <f>ROUND(E140*$D140,0)</f>
        <v>-20</v>
      </c>
      <c r="I140" s="302">
        <f>$I$88</f>
        <v>-1.55</v>
      </c>
      <c r="J140" s="301"/>
      <c r="K140" s="2">
        <f>ROUND(I140*$D140,0)</f>
        <v>-20</v>
      </c>
      <c r="AE140" s="84"/>
    </row>
    <row r="141" spans="1:31">
      <c r="A141" s="1" t="s">
        <v>384</v>
      </c>
      <c r="B141" s="1"/>
      <c r="C141" s="21">
        <f>SUM(C136:C137)</f>
        <v>753476</v>
      </c>
      <c r="D141" s="21">
        <v>758453.56567411136</v>
      </c>
      <c r="E141" s="304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84"/>
    </row>
    <row r="142" spans="1:31">
      <c r="A142" s="1" t="s">
        <v>366</v>
      </c>
      <c r="B142" s="1"/>
      <c r="C142" s="315">
        <v>454.99401217422201</v>
      </c>
      <c r="D142" s="306">
        <v>0</v>
      </c>
      <c r="E142" s="307"/>
      <c r="F142" s="307"/>
      <c r="G142" s="308">
        <v>13.645744029524508</v>
      </c>
      <c r="H142" s="308">
        <v>0</v>
      </c>
      <c r="I142" s="307"/>
      <c r="J142" s="307"/>
      <c r="K142" s="308">
        <v>0</v>
      </c>
      <c r="M142" s="287"/>
      <c r="N142" s="287"/>
      <c r="O142" s="288"/>
      <c r="AE142" s="84"/>
    </row>
    <row r="143" spans="1:31" ht="16.5" thickBot="1">
      <c r="A143" s="1" t="s">
        <v>385</v>
      </c>
      <c r="B143" s="1"/>
      <c r="C143" s="309">
        <f>C141+C142</f>
        <v>753930.9940121742</v>
      </c>
      <c r="D143" s="309">
        <f>SUM(D141:D142)</f>
        <v>758453.56567411136</v>
      </c>
      <c r="E143" s="310"/>
      <c r="F143" s="310"/>
      <c r="G143" s="310">
        <f>G141+G142</f>
        <v>53441.645744029527</v>
      </c>
      <c r="H143" s="310">
        <f>H141+H142</f>
        <v>53765</v>
      </c>
      <c r="I143" s="310"/>
      <c r="J143" s="310"/>
      <c r="K143" s="310">
        <f>K141+K142</f>
        <v>57754</v>
      </c>
      <c r="M143" s="289"/>
      <c r="N143" s="289"/>
      <c r="O143" s="290"/>
      <c r="AE143" s="84"/>
    </row>
    <row r="144" spans="1:31" ht="16.5" thickTop="1">
      <c r="A144" s="1"/>
      <c r="B144" s="311"/>
      <c r="C144" s="21"/>
      <c r="D144" s="21"/>
      <c r="E144" s="21"/>
      <c r="F144" s="21"/>
      <c r="I144" s="1" t="s">
        <v>31</v>
      </c>
      <c r="J144" s="1"/>
      <c r="K144" s="2" t="s">
        <v>31</v>
      </c>
      <c r="AE144" s="84"/>
    </row>
    <row r="145" spans="1:31">
      <c r="A145" s="291" t="s">
        <v>390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AE145" s="84"/>
    </row>
    <row r="146" spans="1:31">
      <c r="A146" s="1" t="s">
        <v>391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84"/>
    </row>
    <row r="148" spans="1:31">
      <c r="A148" s="1" t="s">
        <v>392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84"/>
    </row>
    <row r="149" spans="1:31">
      <c r="A149" s="1" t="s">
        <v>393</v>
      </c>
      <c r="B149" s="1"/>
      <c r="C149" s="21">
        <f>C384</f>
        <v>1</v>
      </c>
      <c r="D149" s="21">
        <f>D384</f>
        <v>1</v>
      </c>
      <c r="E149" s="296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296">
        <f>I153*12</f>
        <v>90.36</v>
      </c>
      <c r="J149" s="1"/>
      <c r="K149" s="2">
        <f>K355</f>
        <v>90</v>
      </c>
      <c r="M149" s="84">
        <f>I149*D149</f>
        <v>90.36</v>
      </c>
      <c r="O149" s="14">
        <f>(I149-E149)/E149</f>
        <v>7.5714285714285706E-2</v>
      </c>
      <c r="P149" s="14"/>
      <c r="AE149" s="84"/>
    </row>
    <row r="150" spans="1:31">
      <c r="A150" s="1" t="s">
        <v>394</v>
      </c>
      <c r="B150" s="1"/>
      <c r="C150" s="21">
        <f>C356</f>
        <v>112</v>
      </c>
      <c r="D150" s="21">
        <f>D356</f>
        <v>109</v>
      </c>
      <c r="E150" s="296">
        <v>124.8</v>
      </c>
      <c r="F150" s="2"/>
      <c r="G150" s="2">
        <f t="shared" si="8"/>
        <v>13978</v>
      </c>
      <c r="H150" s="2">
        <f t="shared" si="8"/>
        <v>13603</v>
      </c>
      <c r="I150" s="296">
        <f>I154*12</f>
        <v>134.16</v>
      </c>
      <c r="J150" s="1"/>
      <c r="K150" s="2">
        <f>K356</f>
        <v>14623</v>
      </c>
      <c r="M150" s="84">
        <f>I150*D150</f>
        <v>14623.44</v>
      </c>
      <c r="N150" s="84"/>
      <c r="O150" s="14">
        <f>(I150-E150)/E150</f>
        <v>7.4999999999999997E-2</v>
      </c>
      <c r="P150" s="14"/>
      <c r="AE150" s="84"/>
    </row>
    <row r="151" spans="1:31">
      <c r="A151" s="1" t="s">
        <v>395</v>
      </c>
      <c r="B151" s="1"/>
      <c r="C151" s="21">
        <f>C357</f>
        <v>4566</v>
      </c>
      <c r="D151" s="21">
        <f>D357</f>
        <v>3312</v>
      </c>
      <c r="E151" s="296">
        <v>8.2799999999999994</v>
      </c>
      <c r="F151" s="2"/>
      <c r="G151" s="2">
        <f t="shared" si="8"/>
        <v>37806</v>
      </c>
      <c r="H151" s="2">
        <f t="shared" si="8"/>
        <v>27423</v>
      </c>
      <c r="I151" s="296">
        <v>9.36</v>
      </c>
      <c r="J151" s="1"/>
      <c r="K151" s="2">
        <f>K357</f>
        <v>31000</v>
      </c>
      <c r="M151" s="84">
        <f>I151*D151</f>
        <v>31000.32</v>
      </c>
      <c r="O151" s="14">
        <f>(I151-E151)/E151</f>
        <v>0.13043478260869568</v>
      </c>
      <c r="P151" s="14"/>
      <c r="R151" s="3" t="s">
        <v>31</v>
      </c>
      <c r="AE151" s="84"/>
    </row>
    <row r="152" spans="1:31">
      <c r="A152" s="1" t="s">
        <v>396</v>
      </c>
      <c r="B152" s="1"/>
      <c r="C152" s="317"/>
      <c r="D152" s="317"/>
      <c r="E152" s="2"/>
      <c r="F152" s="2"/>
      <c r="G152" s="1"/>
      <c r="H152" s="1"/>
      <c r="I152" s="2"/>
      <c r="J152" s="1"/>
      <c r="K152" s="1"/>
      <c r="O152" s="318"/>
      <c r="AE152" s="84"/>
    </row>
    <row r="153" spans="1:31">
      <c r="A153" s="1" t="s">
        <v>393</v>
      </c>
      <c r="B153" s="1"/>
      <c r="C153" s="317">
        <f t="shared" ref="C153:D155" si="9">C183+C267</f>
        <v>150723</v>
      </c>
      <c r="D153" s="317">
        <f t="shared" si="9"/>
        <v>152395</v>
      </c>
      <c r="E153" s="296">
        <v>7</v>
      </c>
      <c r="F153" s="319"/>
      <c r="G153" s="320">
        <f t="shared" ref="G153:H155" si="10">G183+G267</f>
        <v>1055061</v>
      </c>
      <c r="H153" s="320">
        <f t="shared" si="10"/>
        <v>1066765</v>
      </c>
      <c r="I153" s="296">
        <v>7.53</v>
      </c>
      <c r="J153" s="321"/>
      <c r="K153" s="320">
        <f>K183+K267</f>
        <v>1147534</v>
      </c>
      <c r="M153" s="84">
        <f>I153*D153</f>
        <v>1147534.3500000001</v>
      </c>
      <c r="O153" s="14">
        <f>(I153-E153)/E153</f>
        <v>7.5714285714285748E-2</v>
      </c>
      <c r="P153" s="14">
        <v>7.2866321118088731E-2</v>
      </c>
      <c r="AE153" s="84"/>
    </row>
    <row r="154" spans="1:31">
      <c r="A154" s="1" t="s">
        <v>394</v>
      </c>
      <c r="B154" s="1"/>
      <c r="C154" s="317">
        <f t="shared" si="9"/>
        <v>58994</v>
      </c>
      <c r="D154" s="317">
        <f t="shared" si="9"/>
        <v>59583</v>
      </c>
      <c r="E154" s="296">
        <v>10.4</v>
      </c>
      <c r="F154" s="322"/>
      <c r="G154" s="320">
        <f t="shared" si="10"/>
        <v>613538</v>
      </c>
      <c r="H154" s="320">
        <f t="shared" si="10"/>
        <v>619663</v>
      </c>
      <c r="I154" s="296">
        <v>11.18</v>
      </c>
      <c r="J154" s="323"/>
      <c r="K154" s="320">
        <f>K184+K268</f>
        <v>666138</v>
      </c>
      <c r="M154" s="84">
        <f>I154*D154</f>
        <v>666137.93999999994</v>
      </c>
      <c r="O154" s="14">
        <f>(I154-E154)/E154</f>
        <v>7.4999999999999942E-2</v>
      </c>
      <c r="P154" s="14">
        <v>7.1815364563500975E-2</v>
      </c>
      <c r="Q154" s="84"/>
      <c r="AE154" s="84"/>
    </row>
    <row r="155" spans="1:31">
      <c r="A155" s="1" t="s">
        <v>395</v>
      </c>
      <c r="B155" s="1"/>
      <c r="C155" s="317">
        <f t="shared" si="9"/>
        <v>1172685</v>
      </c>
      <c r="D155" s="317">
        <f t="shared" si="9"/>
        <v>1215298</v>
      </c>
      <c r="E155" s="296">
        <v>0.69</v>
      </c>
      <c r="F155" s="322"/>
      <c r="G155" s="320">
        <f t="shared" si="10"/>
        <v>809153</v>
      </c>
      <c r="H155" s="320">
        <f t="shared" si="10"/>
        <v>838556</v>
      </c>
      <c r="I155" s="296">
        <v>0.78</v>
      </c>
      <c r="J155" s="323"/>
      <c r="K155" s="320">
        <f>K185+K269</f>
        <v>947933</v>
      </c>
      <c r="M155" s="84">
        <f>I155*D155</f>
        <v>947932.44000000006</v>
      </c>
      <c r="O155" s="14">
        <f>(I155-E155)/E155</f>
        <v>0.13043478260869579</v>
      </c>
      <c r="P155" s="14">
        <v>0.132004204924074</v>
      </c>
      <c r="R155" s="15"/>
      <c r="S155" s="15"/>
      <c r="AE155" s="84"/>
    </row>
    <row r="156" spans="1:31">
      <c r="A156" s="1" t="s">
        <v>397</v>
      </c>
      <c r="B156" s="1"/>
      <c r="C156" s="317">
        <f>SUM(C153:C154)</f>
        <v>209717</v>
      </c>
      <c r="D156" s="317">
        <f>SUM(D153:D154)</f>
        <v>211978</v>
      </c>
      <c r="E156" s="296"/>
      <c r="F156" s="319"/>
      <c r="G156" s="320"/>
      <c r="H156" s="320"/>
      <c r="I156" s="296"/>
      <c r="J156" s="321"/>
      <c r="K156" s="320"/>
      <c r="O156" s="318"/>
      <c r="AE156" s="84"/>
    </row>
    <row r="157" spans="1:31">
      <c r="A157" s="1" t="s">
        <v>365</v>
      </c>
      <c r="B157" s="1"/>
      <c r="C157" s="317">
        <f>C186+C271+C358</f>
        <v>206434</v>
      </c>
      <c r="D157" s="317">
        <f>D186+D271+D358</f>
        <v>208713.75</v>
      </c>
      <c r="E157" s="296"/>
      <c r="F157" s="319"/>
      <c r="G157" s="320"/>
      <c r="H157" s="320"/>
      <c r="I157" s="296"/>
      <c r="J157" s="321"/>
      <c r="K157" s="320"/>
      <c r="O157" s="318"/>
      <c r="AE157" s="84"/>
    </row>
    <row r="158" spans="1:31">
      <c r="A158" s="1" t="s">
        <v>398</v>
      </c>
      <c r="B158" s="1"/>
      <c r="C158" s="317">
        <f t="shared" ref="C158:D162" si="11">C187+C272+C360</f>
        <v>773776</v>
      </c>
      <c r="D158" s="317">
        <f t="shared" si="11"/>
        <v>798223</v>
      </c>
      <c r="E158" s="324">
        <v>2.81</v>
      </c>
      <c r="F158" s="321"/>
      <c r="G158" s="320">
        <f t="shared" ref="G158:H162" si="12">G187+G272+G360</f>
        <v>2174311</v>
      </c>
      <c r="H158" s="320">
        <f t="shared" si="12"/>
        <v>2243006</v>
      </c>
      <c r="I158" s="296">
        <v>2.88</v>
      </c>
      <c r="J158" s="321"/>
      <c r="K158" s="320">
        <f>K187+K272+K360</f>
        <v>2298883</v>
      </c>
      <c r="M158" s="84">
        <f>I158*D158</f>
        <v>2298882.2399999998</v>
      </c>
      <c r="O158" s="14">
        <f>(I158-E158)/E158</f>
        <v>2.4911032028469695E-2</v>
      </c>
      <c r="P158" s="14">
        <v>2.5931075130992472E-2</v>
      </c>
      <c r="Q158" s="3" t="s">
        <v>399</v>
      </c>
      <c r="AE158" s="84"/>
    </row>
    <row r="159" spans="1:31">
      <c r="A159" s="1" t="s">
        <v>400</v>
      </c>
      <c r="B159" s="1"/>
      <c r="C159" s="317">
        <f t="shared" si="11"/>
        <v>122073149.22139926</v>
      </c>
      <c r="D159" s="317">
        <f t="shared" si="11"/>
        <v>126408223</v>
      </c>
      <c r="E159" s="297">
        <v>7.5869999999999997</v>
      </c>
      <c r="F159" s="321" t="s">
        <v>377</v>
      </c>
      <c r="G159" s="320">
        <f t="shared" si="12"/>
        <v>9261689</v>
      </c>
      <c r="H159" s="320">
        <f t="shared" si="12"/>
        <v>9590592</v>
      </c>
      <c r="I159" s="325">
        <v>8.0890000000000004</v>
      </c>
      <c r="J159" s="321" t="s">
        <v>377</v>
      </c>
      <c r="K159" s="320">
        <f>K188+K273+K361</f>
        <v>10225160</v>
      </c>
      <c r="M159" s="84">
        <f>(I159/100)*D159</f>
        <v>10225161.158470001</v>
      </c>
      <c r="O159" s="14">
        <f>(I159-E159)/E159</f>
        <v>6.6165809938052017E-2</v>
      </c>
      <c r="P159" s="14">
        <v>6.6628456933799998E-2</v>
      </c>
      <c r="Q159" s="234">
        <f>H159+H160-(D159+D160)*E161/100</f>
        <v>5928502.7547500022</v>
      </c>
      <c r="R159" s="234">
        <f>K159+K160-(D159+D160)*I161/100</f>
        <v>6328709.5074999966</v>
      </c>
      <c r="AE159" s="84"/>
    </row>
    <row r="160" spans="1:31">
      <c r="A160" s="1" t="s">
        <v>401</v>
      </c>
      <c r="B160" s="1"/>
      <c r="C160" s="317">
        <f t="shared" si="11"/>
        <v>272356025.57318687</v>
      </c>
      <c r="D160" s="317">
        <f t="shared" si="11"/>
        <v>282142702</v>
      </c>
      <c r="E160" s="297">
        <v>5.2370000000000001</v>
      </c>
      <c r="F160" s="321" t="s">
        <v>377</v>
      </c>
      <c r="G160" s="320">
        <f t="shared" si="12"/>
        <v>14263286</v>
      </c>
      <c r="H160" s="320">
        <f t="shared" si="12"/>
        <v>14775814</v>
      </c>
      <c r="I160" s="326">
        <f>ROUND((E160/E159)*I159,3)</f>
        <v>5.5839999999999996</v>
      </c>
      <c r="J160" s="321" t="s">
        <v>377</v>
      </c>
      <c r="K160" s="320">
        <f>K189+K274+K362</f>
        <v>15754849</v>
      </c>
      <c r="M160" s="84">
        <f>(I160/100)*D160</f>
        <v>15754848.479679998</v>
      </c>
      <c r="N160" s="327"/>
      <c r="O160" s="14">
        <f>(I160-E160)/E160</f>
        <v>6.6259308764559766E-2</v>
      </c>
      <c r="P160" s="14">
        <v>6.6612089431516142E-2</v>
      </c>
      <c r="AE160" s="84"/>
    </row>
    <row r="161" spans="1:31">
      <c r="A161" s="1" t="s">
        <v>402</v>
      </c>
      <c r="B161" s="1"/>
      <c r="C161" s="317">
        <f t="shared" si="11"/>
        <v>116874017.20541383</v>
      </c>
      <c r="D161" s="317">
        <f t="shared" si="11"/>
        <v>121112284</v>
      </c>
      <c r="E161" s="297">
        <v>4.5129999999999999</v>
      </c>
      <c r="F161" s="321" t="s">
        <v>377</v>
      </c>
      <c r="G161" s="320">
        <f t="shared" si="12"/>
        <v>5274524</v>
      </c>
      <c r="H161" s="320">
        <f t="shared" si="12"/>
        <v>5465798</v>
      </c>
      <c r="I161" s="297">
        <f>ROUND((E161/E160)*I160,3)-0.002</f>
        <v>4.8100000000000005</v>
      </c>
      <c r="J161" s="321" t="s">
        <v>377</v>
      </c>
      <c r="K161" s="320">
        <f>K190+K275+K363</f>
        <v>5825501</v>
      </c>
      <c r="M161" s="84">
        <f>(I161/100)*D161</f>
        <v>5825500.8604000006</v>
      </c>
      <c r="N161" s="298"/>
      <c r="O161" s="14">
        <f>(I161-E161)/E161</f>
        <v>6.5809882561489161E-2</v>
      </c>
      <c r="P161" s="14">
        <v>6.6601722714849612E-2</v>
      </c>
      <c r="Q161" s="84">
        <f>K159+K160+K161-R159</f>
        <v>25476800.492500003</v>
      </c>
      <c r="AE161" s="84"/>
    </row>
    <row r="162" spans="1:31">
      <c r="A162" s="1" t="s">
        <v>403</v>
      </c>
      <c r="B162" s="1"/>
      <c r="C162" s="317">
        <f t="shared" si="11"/>
        <v>89833</v>
      </c>
      <c r="D162" s="317">
        <f t="shared" si="11"/>
        <v>92605</v>
      </c>
      <c r="E162" s="328">
        <v>45</v>
      </c>
      <c r="F162" s="319" t="s">
        <v>377</v>
      </c>
      <c r="G162" s="320">
        <f t="shared" si="12"/>
        <v>40425</v>
      </c>
      <c r="H162" s="320">
        <f t="shared" si="12"/>
        <v>41673</v>
      </c>
      <c r="I162" s="328">
        <v>45</v>
      </c>
      <c r="J162" s="321" t="s">
        <v>377</v>
      </c>
      <c r="K162" s="320">
        <f>K191+K276+K364</f>
        <v>41673</v>
      </c>
      <c r="M162" s="84">
        <f>(I162/100)*D162</f>
        <v>41672.25</v>
      </c>
      <c r="O162" s="14">
        <f>(I162-E162)/E162</f>
        <v>0</v>
      </c>
      <c r="P162" s="14"/>
      <c r="AE162" s="84"/>
    </row>
    <row r="163" spans="1:31">
      <c r="A163" s="329" t="s">
        <v>404</v>
      </c>
      <c r="B163" s="1"/>
      <c r="C163" s="317"/>
      <c r="D163" s="317"/>
      <c r="E163" s="330">
        <v>-0.01</v>
      </c>
      <c r="F163" s="319"/>
      <c r="G163" s="320"/>
      <c r="H163" s="320"/>
      <c r="I163" s="330">
        <v>-0.01</v>
      </c>
      <c r="J163" s="321"/>
      <c r="K163" s="320"/>
      <c r="O163" s="331"/>
      <c r="AE163" s="84"/>
    </row>
    <row r="164" spans="1:31">
      <c r="A164" s="1" t="s">
        <v>393</v>
      </c>
      <c r="B164" s="1"/>
      <c r="C164" s="317">
        <f t="shared" ref="C164:D175" si="13">C193+C278+C366</f>
        <v>48</v>
      </c>
      <c r="D164" s="317">
        <f t="shared" si="13"/>
        <v>49</v>
      </c>
      <c r="E164" s="332">
        <f>E153</f>
        <v>7</v>
      </c>
      <c r="F164" s="319"/>
      <c r="G164" s="320">
        <f t="shared" ref="G164:H175" si="14">G193+G278+G366</f>
        <v>-3</v>
      </c>
      <c r="H164" s="320">
        <f t="shared" si="14"/>
        <v>-3</v>
      </c>
      <c r="I164" s="332">
        <f>I153</f>
        <v>7.53</v>
      </c>
      <c r="J164" s="319"/>
      <c r="K164" s="320">
        <f t="shared" ref="K164:K175" si="15">K193+K278+K366</f>
        <v>-4</v>
      </c>
      <c r="M164" s="84">
        <f>-(I164/100)*D164</f>
        <v>-3.6897000000000002</v>
      </c>
      <c r="AE164" s="84"/>
    </row>
    <row r="165" spans="1:31">
      <c r="A165" s="1" t="s">
        <v>394</v>
      </c>
      <c r="B165" s="1"/>
      <c r="C165" s="317">
        <f t="shared" si="13"/>
        <v>88</v>
      </c>
      <c r="D165" s="317">
        <f t="shared" si="13"/>
        <v>89</v>
      </c>
      <c r="E165" s="332">
        <f>E154</f>
        <v>10.4</v>
      </c>
      <c r="F165" s="319"/>
      <c r="G165" s="320">
        <f t="shared" si="14"/>
        <v>-9</v>
      </c>
      <c r="H165" s="320">
        <f t="shared" si="14"/>
        <v>-9</v>
      </c>
      <c r="I165" s="332">
        <f>I154</f>
        <v>11.18</v>
      </c>
      <c r="J165" s="319"/>
      <c r="K165" s="320">
        <f t="shared" si="15"/>
        <v>-10</v>
      </c>
      <c r="M165" s="84">
        <f>-(I165/100)*D165</f>
        <v>-9.9501999999999988</v>
      </c>
      <c r="R165" s="3" t="s">
        <v>374</v>
      </c>
      <c r="S165" s="3" t="s">
        <v>307</v>
      </c>
      <c r="T165" s="3" t="s">
        <v>375</v>
      </c>
      <c r="U165" s="3" t="s">
        <v>317</v>
      </c>
      <c r="AE165" s="84"/>
    </row>
    <row r="166" spans="1:31">
      <c r="A166" s="1" t="s">
        <v>405</v>
      </c>
      <c r="B166" s="1"/>
      <c r="C166" s="317">
        <f t="shared" si="13"/>
        <v>1730</v>
      </c>
      <c r="D166" s="317">
        <f t="shared" si="13"/>
        <v>1792</v>
      </c>
      <c r="E166" s="332">
        <f>E155</f>
        <v>0.69</v>
      </c>
      <c r="F166" s="319"/>
      <c r="G166" s="320">
        <f t="shared" si="14"/>
        <v>-12</v>
      </c>
      <c r="H166" s="320">
        <f t="shared" si="14"/>
        <v>-12</v>
      </c>
      <c r="I166" s="332">
        <f>I155</f>
        <v>0.78</v>
      </c>
      <c r="J166" s="319"/>
      <c r="K166" s="320">
        <f t="shared" si="15"/>
        <v>-14</v>
      </c>
      <c r="M166" s="84">
        <f>-(I166/100)*D166</f>
        <v>-13.977600000000001</v>
      </c>
      <c r="Q166" s="3" t="s">
        <v>20</v>
      </c>
      <c r="R166" s="84">
        <f>H149+H150+H153+H154</f>
        <v>1700115</v>
      </c>
      <c r="S166" s="84">
        <f>K149+K150+K153+K154</f>
        <v>1828385</v>
      </c>
      <c r="T166" s="106">
        <v>1916638.7857408486</v>
      </c>
      <c r="U166" s="235">
        <f>S166/T166</f>
        <v>0.9539538767568374</v>
      </c>
      <c r="AE166" s="84"/>
    </row>
    <row r="167" spans="1:31">
      <c r="A167" s="1" t="s">
        <v>406</v>
      </c>
      <c r="B167" s="1"/>
      <c r="C167" s="317">
        <f t="shared" si="13"/>
        <v>696</v>
      </c>
      <c r="D167" s="317">
        <f t="shared" si="13"/>
        <v>721</v>
      </c>
      <c r="E167" s="332">
        <f>E158</f>
        <v>2.81</v>
      </c>
      <c r="F167" s="321"/>
      <c r="G167" s="320">
        <f t="shared" si="14"/>
        <v>-20</v>
      </c>
      <c r="H167" s="320">
        <f t="shared" si="14"/>
        <v>-20</v>
      </c>
      <c r="I167" s="332">
        <f>I158</f>
        <v>2.88</v>
      </c>
      <c r="J167" s="321"/>
      <c r="K167" s="320">
        <f t="shared" si="15"/>
        <v>-21</v>
      </c>
      <c r="M167" s="84">
        <f>-(I167/100)*D167</f>
        <v>-20.764800000000001</v>
      </c>
      <c r="Q167" s="3" t="s">
        <v>407</v>
      </c>
      <c r="R167" s="84">
        <f>H155</f>
        <v>838556</v>
      </c>
      <c r="S167" s="84">
        <f>K155</f>
        <v>947933</v>
      </c>
      <c r="T167" s="106">
        <v>5367292.197431691</v>
      </c>
      <c r="U167" s="235">
        <f>S167/T167</f>
        <v>0.17661289252215417</v>
      </c>
      <c r="AE167" s="84"/>
    </row>
    <row r="168" spans="1:31">
      <c r="A168" s="1" t="s">
        <v>408</v>
      </c>
      <c r="B168" s="1"/>
      <c r="C168" s="317">
        <f t="shared" si="13"/>
        <v>80560</v>
      </c>
      <c r="D168" s="317">
        <f t="shared" si="13"/>
        <v>83451</v>
      </c>
      <c r="E168" s="333">
        <f>E159</f>
        <v>7.5869999999999997</v>
      </c>
      <c r="F168" s="321" t="s">
        <v>377</v>
      </c>
      <c r="G168" s="320">
        <f t="shared" si="14"/>
        <v>-61</v>
      </c>
      <c r="H168" s="320">
        <f t="shared" si="14"/>
        <v>-63</v>
      </c>
      <c r="I168" s="333">
        <f>I159</f>
        <v>8.0890000000000004</v>
      </c>
      <c r="J168" s="321" t="s">
        <v>377</v>
      </c>
      <c r="K168" s="320">
        <f t="shared" si="15"/>
        <v>-68</v>
      </c>
      <c r="M168" s="84">
        <f>-((I168/100)*D168)/100</f>
        <v>-67.503513900000002</v>
      </c>
      <c r="Q168" s="3" t="s">
        <v>379</v>
      </c>
      <c r="R168" s="84">
        <f>SUM(H159:H161)-Q159</f>
        <v>23903701.245249998</v>
      </c>
      <c r="S168" s="84">
        <f>SUM(K159:K161)-R159</f>
        <v>25476800.492500003</v>
      </c>
      <c r="T168" s="106">
        <v>26743743.576655678</v>
      </c>
      <c r="U168" s="235">
        <f>S168/T168</f>
        <v>0.95262656177792637</v>
      </c>
      <c r="AE168" s="84"/>
    </row>
    <row r="169" spans="1:31">
      <c r="A169" s="1" t="s">
        <v>401</v>
      </c>
      <c r="B169" s="1"/>
      <c r="C169" s="317">
        <f t="shared" si="13"/>
        <v>247430</v>
      </c>
      <c r="D169" s="317">
        <f t="shared" si="13"/>
        <v>256310</v>
      </c>
      <c r="E169" s="333">
        <f>E160</f>
        <v>5.2370000000000001</v>
      </c>
      <c r="F169" s="321" t="s">
        <v>377</v>
      </c>
      <c r="G169" s="320">
        <f t="shared" si="14"/>
        <v>-130</v>
      </c>
      <c r="H169" s="320">
        <f t="shared" si="14"/>
        <v>-134</v>
      </c>
      <c r="I169" s="333">
        <f>I160</f>
        <v>5.5839999999999996</v>
      </c>
      <c r="J169" s="321" t="s">
        <v>377</v>
      </c>
      <c r="K169" s="320">
        <f t="shared" si="15"/>
        <v>-143</v>
      </c>
      <c r="M169" s="84">
        <f>-((I169/100)*D169)/100</f>
        <v>-143.12350399999997</v>
      </c>
      <c r="Q169" s="3" t="s">
        <v>409</v>
      </c>
      <c r="R169" s="84">
        <f>H158+Q159</f>
        <v>8171508.7547500022</v>
      </c>
      <c r="S169" s="84">
        <f>K158+R159</f>
        <v>8627592.5074999966</v>
      </c>
      <c r="T169" s="106">
        <v>4454867.4522770187</v>
      </c>
      <c r="U169" s="235">
        <f>S169/T169</f>
        <v>1.9366664889412526</v>
      </c>
      <c r="AE169" s="84"/>
    </row>
    <row r="170" spans="1:31">
      <c r="A170" s="1" t="s">
        <v>402</v>
      </c>
      <c r="B170" s="1"/>
      <c r="C170" s="317">
        <f t="shared" si="13"/>
        <v>46700</v>
      </c>
      <c r="D170" s="317">
        <f t="shared" si="13"/>
        <v>48376</v>
      </c>
      <c r="E170" s="333">
        <f>E161</f>
        <v>4.5129999999999999</v>
      </c>
      <c r="F170" s="321" t="s">
        <v>377</v>
      </c>
      <c r="G170" s="320">
        <f t="shared" si="14"/>
        <v>-21</v>
      </c>
      <c r="H170" s="320">
        <f t="shared" si="14"/>
        <v>-22</v>
      </c>
      <c r="I170" s="333">
        <f>I161</f>
        <v>4.8100000000000005</v>
      </c>
      <c r="J170" s="321" t="s">
        <v>377</v>
      </c>
      <c r="K170" s="320">
        <f t="shared" si="15"/>
        <v>-23</v>
      </c>
      <c r="M170" s="84">
        <f>-((I170/100)*D170)/100</f>
        <v>-23.268856</v>
      </c>
      <c r="AE170" s="84"/>
    </row>
    <row r="171" spans="1:31">
      <c r="A171" s="1" t="s">
        <v>403</v>
      </c>
      <c r="B171" s="1"/>
      <c r="C171" s="317">
        <f t="shared" si="13"/>
        <v>2329</v>
      </c>
      <c r="D171" s="317">
        <f t="shared" si="13"/>
        <v>2413</v>
      </c>
      <c r="E171" s="334">
        <f>E162</f>
        <v>45</v>
      </c>
      <c r="F171" s="321" t="s">
        <v>377</v>
      </c>
      <c r="G171" s="320">
        <f t="shared" si="14"/>
        <v>-10</v>
      </c>
      <c r="H171" s="320">
        <f t="shared" si="14"/>
        <v>-11</v>
      </c>
      <c r="I171" s="334">
        <f>I162</f>
        <v>45</v>
      </c>
      <c r="J171" s="321" t="s">
        <v>377</v>
      </c>
      <c r="K171" s="320">
        <f t="shared" si="15"/>
        <v>-11</v>
      </c>
      <c r="M171" s="84">
        <f>-((I171/100)*D171)/100</f>
        <v>-10.858500000000001</v>
      </c>
      <c r="AE171" s="84"/>
    </row>
    <row r="172" spans="1:31">
      <c r="A172" s="1" t="s">
        <v>410</v>
      </c>
      <c r="B172" s="1"/>
      <c r="C172" s="317">
        <f t="shared" si="13"/>
        <v>103</v>
      </c>
      <c r="D172" s="317">
        <f t="shared" si="13"/>
        <v>107</v>
      </c>
      <c r="E172" s="335">
        <v>60</v>
      </c>
      <c r="F172" s="319"/>
      <c r="G172" s="320">
        <f t="shared" si="14"/>
        <v>6180</v>
      </c>
      <c r="H172" s="320">
        <f t="shared" si="14"/>
        <v>6420</v>
      </c>
      <c r="I172" s="335">
        <v>60</v>
      </c>
      <c r="J172" s="321"/>
      <c r="K172" s="320">
        <f t="shared" si="15"/>
        <v>6420</v>
      </c>
      <c r="M172" s="84">
        <f>I172*D172</f>
        <v>6420</v>
      </c>
      <c r="O172" s="336"/>
      <c r="AE172" s="84"/>
    </row>
    <row r="173" spans="1:31">
      <c r="A173" s="1" t="s">
        <v>411</v>
      </c>
      <c r="B173" s="1"/>
      <c r="C173" s="317">
        <f t="shared" si="13"/>
        <v>2204</v>
      </c>
      <c r="D173" s="317">
        <f t="shared" si="13"/>
        <v>2283</v>
      </c>
      <c r="E173" s="337">
        <v>-30</v>
      </c>
      <c r="F173" s="319" t="s">
        <v>377</v>
      </c>
      <c r="G173" s="320">
        <f t="shared" si="14"/>
        <v>-661</v>
      </c>
      <c r="H173" s="320">
        <f t="shared" si="14"/>
        <v>-685</v>
      </c>
      <c r="I173" s="337">
        <v>-30</v>
      </c>
      <c r="J173" s="321" t="s">
        <v>377</v>
      </c>
      <c r="K173" s="320">
        <f t="shared" si="15"/>
        <v>-685</v>
      </c>
      <c r="M173" s="84">
        <f>(I173/100)*D173</f>
        <v>-684.9</v>
      </c>
      <c r="O173" s="292"/>
      <c r="Q173" s="292"/>
      <c r="AE173" s="84"/>
    </row>
    <row r="174" spans="1:31">
      <c r="A174" s="1" t="s">
        <v>384</v>
      </c>
      <c r="B174" s="262"/>
      <c r="C174" s="317">
        <f t="shared" si="13"/>
        <v>511303192</v>
      </c>
      <c r="D174" s="317">
        <f t="shared" si="13"/>
        <v>529663208.81107259</v>
      </c>
      <c r="E174" s="328"/>
      <c r="F174" s="2"/>
      <c r="G174" s="320">
        <f t="shared" si="14"/>
        <v>33549108</v>
      </c>
      <c r="H174" s="320">
        <f t="shared" si="14"/>
        <v>34688438</v>
      </c>
      <c r="I174" s="328"/>
      <c r="J174" s="321"/>
      <c r="K174" s="320">
        <f t="shared" si="15"/>
        <v>36958825</v>
      </c>
      <c r="M174" s="84">
        <f>SUM(M149:M173)</f>
        <v>36958825.801876113</v>
      </c>
      <c r="O174" s="292"/>
      <c r="AE174" s="84"/>
    </row>
    <row r="175" spans="1:31">
      <c r="A175" s="1" t="s">
        <v>366</v>
      </c>
      <c r="B175" s="25"/>
      <c r="C175" s="338">
        <f t="shared" si="13"/>
        <v>1738550.1352391352</v>
      </c>
      <c r="D175" s="338">
        <f t="shared" si="13"/>
        <v>0</v>
      </c>
      <c r="E175" s="307"/>
      <c r="F175" s="307"/>
      <c r="G175" s="339">
        <f t="shared" si="14"/>
        <v>98538.251191607749</v>
      </c>
      <c r="H175" s="339">
        <f t="shared" si="14"/>
        <v>0</v>
      </c>
      <c r="I175" s="307"/>
      <c r="J175" s="307"/>
      <c r="K175" s="339">
        <f t="shared" si="15"/>
        <v>0</v>
      </c>
      <c r="M175" s="287"/>
      <c r="AE175" s="84"/>
    </row>
    <row r="176" spans="1:31" ht="16.5" thickBot="1">
      <c r="A176" s="1" t="s">
        <v>385</v>
      </c>
      <c r="B176" s="1"/>
      <c r="C176" s="309">
        <f>SUM(C174:C175)</f>
        <v>513041742.13523912</v>
      </c>
      <c r="D176" s="309">
        <f>SUM(D174:D175)</f>
        <v>529663208.81107259</v>
      </c>
      <c r="E176" s="340"/>
      <c r="F176" s="341"/>
      <c r="G176" s="342">
        <f>G174+G175</f>
        <v>33647646.251191609</v>
      </c>
      <c r="H176" s="342">
        <f>H174+H175</f>
        <v>34688438</v>
      </c>
      <c r="I176" s="340"/>
      <c r="J176" s="343"/>
      <c r="K176" s="342">
        <f>K174+K175</f>
        <v>36958825</v>
      </c>
      <c r="M176" s="289"/>
      <c r="N176" s="3" t="s">
        <v>412</v>
      </c>
      <c r="O176" s="84" t="e">
        <f>#REF!*1000</f>
        <v>#REF!</v>
      </c>
      <c r="P176" s="14"/>
      <c r="AE176" s="84"/>
    </row>
    <row r="177" spans="1:31" ht="16.5" thickTop="1">
      <c r="A177" s="1"/>
      <c r="B177" s="1"/>
      <c r="C177" s="21"/>
      <c r="D177" s="21"/>
      <c r="E177" s="335"/>
      <c r="F177" s="2"/>
      <c r="G177" s="2"/>
      <c r="H177" s="2"/>
      <c r="I177" s="335"/>
      <c r="J177" s="1"/>
      <c r="K177" s="2" t="s">
        <v>31</v>
      </c>
      <c r="N177" s="3" t="s">
        <v>265</v>
      </c>
      <c r="O177" s="84" t="e">
        <f>O176-K176</f>
        <v>#REF!</v>
      </c>
      <c r="P177" s="274" t="e">
        <f>(O176-K176)/K176</f>
        <v>#REF!</v>
      </c>
      <c r="AE177" s="84"/>
    </row>
    <row r="178" spans="1:31">
      <c r="A178" s="1"/>
      <c r="B178" s="1"/>
      <c r="C178" s="21"/>
      <c r="D178" s="21"/>
      <c r="E178" s="335"/>
      <c r="F178" s="2"/>
      <c r="G178" s="2"/>
      <c r="H178" s="2"/>
      <c r="I178" s="335"/>
      <c r="J178" s="1"/>
      <c r="AE178" s="84"/>
    </row>
    <row r="179" spans="1:31">
      <c r="A179" s="291" t="s">
        <v>390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M179" s="84">
        <f>K176-H176</f>
        <v>2270387</v>
      </c>
      <c r="O179" s="344"/>
      <c r="P179" s="14"/>
      <c r="AE179" s="84"/>
    </row>
    <row r="180" spans="1:31">
      <c r="A180" s="1" t="s">
        <v>413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84"/>
      <c r="N180" s="235">
        <v>0.91082901397610971</v>
      </c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84"/>
      <c r="N181" s="84"/>
      <c r="AE181" s="84"/>
    </row>
    <row r="182" spans="1:31">
      <c r="A182" s="1" t="s">
        <v>396</v>
      </c>
      <c r="B182" s="1"/>
      <c r="C182" s="317"/>
      <c r="D182" s="317"/>
      <c r="E182" s="2"/>
      <c r="F182" s="2"/>
      <c r="G182" s="1"/>
      <c r="H182" s="1"/>
      <c r="I182" s="2"/>
      <c r="J182" s="1"/>
      <c r="K182" s="1"/>
      <c r="AE182" s="84"/>
    </row>
    <row r="183" spans="1:31">
      <c r="A183" s="1" t="s">
        <v>393</v>
      </c>
      <c r="B183" s="1"/>
      <c r="C183" s="317">
        <f t="shared" ref="C183:D185" si="16">C211+C239</f>
        <v>145698</v>
      </c>
      <c r="D183" s="317">
        <f t="shared" si="16"/>
        <v>147404</v>
      </c>
      <c r="E183" s="296">
        <v>7</v>
      </c>
      <c r="F183" s="319"/>
      <c r="G183" s="2">
        <f t="shared" ref="G183:H185" si="17">G211+G239</f>
        <v>1019886</v>
      </c>
      <c r="H183" s="2">
        <f t="shared" si="17"/>
        <v>1031828</v>
      </c>
      <c r="I183" s="296">
        <f>$I$153</f>
        <v>7.53</v>
      </c>
      <c r="J183" s="321"/>
      <c r="K183" s="2">
        <f>K211+K239</f>
        <v>1109952</v>
      </c>
      <c r="AE183" s="84"/>
    </row>
    <row r="184" spans="1:31">
      <c r="A184" s="1" t="s">
        <v>394</v>
      </c>
      <c r="B184" s="1"/>
      <c r="C184" s="317">
        <f t="shared" si="16"/>
        <v>58994</v>
      </c>
      <c r="D184" s="317">
        <f t="shared" si="16"/>
        <v>59583</v>
      </c>
      <c r="E184" s="296">
        <v>10.4</v>
      </c>
      <c r="F184" s="322"/>
      <c r="G184" s="2">
        <f t="shared" si="17"/>
        <v>613538</v>
      </c>
      <c r="H184" s="2">
        <f t="shared" si="17"/>
        <v>619663</v>
      </c>
      <c r="I184" s="296">
        <f>$I$154</f>
        <v>11.18</v>
      </c>
      <c r="J184" s="323"/>
      <c r="K184" s="2">
        <f>K212+K240</f>
        <v>666138</v>
      </c>
      <c r="AE184" s="84"/>
    </row>
    <row r="185" spans="1:31">
      <c r="A185" s="1" t="s">
        <v>395</v>
      </c>
      <c r="B185" s="1"/>
      <c r="C185" s="317">
        <f t="shared" si="16"/>
        <v>1172685</v>
      </c>
      <c r="D185" s="317">
        <f t="shared" si="16"/>
        <v>1215298</v>
      </c>
      <c r="E185" s="296">
        <v>0.69</v>
      </c>
      <c r="F185" s="322"/>
      <c r="G185" s="2">
        <f t="shared" si="17"/>
        <v>809153</v>
      </c>
      <c r="H185" s="2">
        <f t="shared" si="17"/>
        <v>838556</v>
      </c>
      <c r="I185" s="296">
        <f>$I$155</f>
        <v>0.78</v>
      </c>
      <c r="J185" s="323"/>
      <c r="K185" s="2">
        <f>K213+K241</f>
        <v>947933</v>
      </c>
      <c r="AE185" s="84"/>
    </row>
    <row r="186" spans="1:31">
      <c r="A186" s="1" t="s">
        <v>397</v>
      </c>
      <c r="B186" s="1"/>
      <c r="C186" s="317">
        <f>SUM(C183:C184)</f>
        <v>204692</v>
      </c>
      <c r="D186" s="317">
        <f>SUM(D183:D184)</f>
        <v>206987</v>
      </c>
      <c r="E186" s="296"/>
      <c r="F186" s="319"/>
      <c r="G186" s="2"/>
      <c r="H186" s="2"/>
      <c r="I186" s="296"/>
      <c r="J186" s="321"/>
      <c r="K186" s="2"/>
      <c r="AE186" s="84"/>
    </row>
    <row r="187" spans="1:31">
      <c r="A187" s="1" t="s">
        <v>398</v>
      </c>
      <c r="B187" s="1"/>
      <c r="C187" s="317">
        <f t="shared" ref="C187:D191" si="18">C215+C243</f>
        <v>760902</v>
      </c>
      <c r="D187" s="317">
        <f t="shared" si="18"/>
        <v>788525</v>
      </c>
      <c r="E187" s="324">
        <v>2.81</v>
      </c>
      <c r="F187" s="321"/>
      <c r="G187" s="2">
        <f t="shared" ref="G187:H191" si="19">G215+G243</f>
        <v>2138135</v>
      </c>
      <c r="H187" s="2">
        <f t="shared" si="19"/>
        <v>2215755</v>
      </c>
      <c r="I187" s="324">
        <f>$I$158</f>
        <v>2.88</v>
      </c>
      <c r="J187" s="321"/>
      <c r="K187" s="2">
        <f>K215+K243</f>
        <v>2270952</v>
      </c>
      <c r="AE187" s="84"/>
    </row>
    <row r="188" spans="1:31">
      <c r="A188" s="1" t="s">
        <v>400</v>
      </c>
      <c r="B188" s="1"/>
      <c r="C188" s="317">
        <f t="shared" si="18"/>
        <v>120473825.22139926</v>
      </c>
      <c r="D188" s="317">
        <f t="shared" si="18"/>
        <v>124824731</v>
      </c>
      <c r="E188" s="297">
        <v>7.5869999999999997</v>
      </c>
      <c r="F188" s="321" t="s">
        <v>377</v>
      </c>
      <c r="G188" s="2">
        <f t="shared" si="19"/>
        <v>9140349</v>
      </c>
      <c r="H188" s="2">
        <f t="shared" si="19"/>
        <v>9470452</v>
      </c>
      <c r="I188" s="297">
        <f>$I$159</f>
        <v>8.0890000000000004</v>
      </c>
      <c r="J188" s="321" t="s">
        <v>377</v>
      </c>
      <c r="K188" s="2">
        <f>K216+K244</f>
        <v>10097072</v>
      </c>
      <c r="AE188" s="84"/>
    </row>
    <row r="189" spans="1:31">
      <c r="A189" s="1" t="s">
        <v>401</v>
      </c>
      <c r="B189" s="1"/>
      <c r="C189" s="317">
        <f t="shared" si="18"/>
        <v>272066960.57318687</v>
      </c>
      <c r="D189" s="317">
        <f t="shared" si="18"/>
        <v>281913580</v>
      </c>
      <c r="E189" s="297">
        <v>5.2370000000000001</v>
      </c>
      <c r="F189" s="321" t="s">
        <v>377</v>
      </c>
      <c r="G189" s="2">
        <f t="shared" si="19"/>
        <v>14248147</v>
      </c>
      <c r="H189" s="2">
        <f t="shared" si="19"/>
        <v>14763814</v>
      </c>
      <c r="I189" s="297">
        <f>$I$160</f>
        <v>5.5839999999999996</v>
      </c>
      <c r="J189" s="321" t="s">
        <v>377</v>
      </c>
      <c r="K189" s="2">
        <f>K217+K245</f>
        <v>15742054</v>
      </c>
      <c r="AE189" s="84"/>
    </row>
    <row r="190" spans="1:31">
      <c r="A190" s="1" t="s">
        <v>402</v>
      </c>
      <c r="B190" s="1"/>
      <c r="C190" s="317">
        <f t="shared" si="18"/>
        <v>116874017.20541383</v>
      </c>
      <c r="D190" s="317">
        <f t="shared" si="18"/>
        <v>121112284</v>
      </c>
      <c r="E190" s="297">
        <v>4.5129999999999999</v>
      </c>
      <c r="F190" s="321" t="s">
        <v>377</v>
      </c>
      <c r="G190" s="2">
        <f t="shared" si="19"/>
        <v>5274524</v>
      </c>
      <c r="H190" s="2">
        <f t="shared" si="19"/>
        <v>5465798</v>
      </c>
      <c r="I190" s="297">
        <f>$I$161</f>
        <v>4.8100000000000005</v>
      </c>
      <c r="J190" s="321" t="s">
        <v>377</v>
      </c>
      <c r="K190" s="2">
        <f>K218+K246</f>
        <v>5825501</v>
      </c>
      <c r="AE190" s="84"/>
    </row>
    <row r="191" spans="1:31">
      <c r="A191" s="1" t="s">
        <v>403</v>
      </c>
      <c r="B191" s="1"/>
      <c r="C191" s="317">
        <f t="shared" si="18"/>
        <v>88035</v>
      </c>
      <c r="D191" s="317">
        <f t="shared" si="18"/>
        <v>91301</v>
      </c>
      <c r="E191" s="328">
        <v>45</v>
      </c>
      <c r="F191" s="319" t="s">
        <v>377</v>
      </c>
      <c r="G191" s="2">
        <f t="shared" si="19"/>
        <v>39616</v>
      </c>
      <c r="H191" s="2">
        <f t="shared" si="19"/>
        <v>41086</v>
      </c>
      <c r="I191" s="328">
        <f>$I$162</f>
        <v>45</v>
      </c>
      <c r="J191" s="321" t="s">
        <v>377</v>
      </c>
      <c r="K191" s="2">
        <f>K219+K247</f>
        <v>41086</v>
      </c>
      <c r="AE191" s="84"/>
    </row>
    <row r="192" spans="1:31">
      <c r="A192" s="329" t="s">
        <v>404</v>
      </c>
      <c r="B192" s="1"/>
      <c r="C192" s="317"/>
      <c r="D192" s="317"/>
      <c r="E192" s="330">
        <v>-0.01</v>
      </c>
      <c r="F192" s="319"/>
      <c r="G192" s="2"/>
      <c r="H192" s="2"/>
      <c r="I192" s="330">
        <f>$I$163</f>
        <v>-0.01</v>
      </c>
      <c r="J192" s="321"/>
      <c r="K192" s="2"/>
      <c r="AE192" s="84"/>
    </row>
    <row r="193" spans="1:31">
      <c r="A193" s="1" t="s">
        <v>393</v>
      </c>
      <c r="B193" s="1"/>
      <c r="C193" s="317">
        <f t="shared" ref="C193:D204" si="20">C221+C249</f>
        <v>48</v>
      </c>
      <c r="D193" s="317">
        <f t="shared" si="20"/>
        <v>49</v>
      </c>
      <c r="E193" s="332">
        <f>E183</f>
        <v>7</v>
      </c>
      <c r="F193" s="319"/>
      <c r="G193" s="2">
        <f t="shared" ref="G193:H204" si="21">G221+G249</f>
        <v>-3</v>
      </c>
      <c r="H193" s="2">
        <f t="shared" si="21"/>
        <v>-3</v>
      </c>
      <c r="I193" s="332">
        <f>I183</f>
        <v>7.53</v>
      </c>
      <c r="J193" s="319"/>
      <c r="K193" s="2">
        <f t="shared" ref="K193:K204" si="22">K221+K249</f>
        <v>-4</v>
      </c>
      <c r="AE193" s="84"/>
    </row>
    <row r="194" spans="1:31">
      <c r="A194" s="1" t="s">
        <v>394</v>
      </c>
      <c r="B194" s="1"/>
      <c r="C194" s="317">
        <f t="shared" si="20"/>
        <v>88</v>
      </c>
      <c r="D194" s="317">
        <f t="shared" si="20"/>
        <v>89</v>
      </c>
      <c r="E194" s="332">
        <f>E184</f>
        <v>10.4</v>
      </c>
      <c r="F194" s="319"/>
      <c r="G194" s="2">
        <f t="shared" si="21"/>
        <v>-9</v>
      </c>
      <c r="H194" s="2">
        <f t="shared" si="21"/>
        <v>-9</v>
      </c>
      <c r="I194" s="332">
        <f>I184</f>
        <v>11.18</v>
      </c>
      <c r="J194" s="319"/>
      <c r="K194" s="2">
        <f t="shared" si="22"/>
        <v>-10</v>
      </c>
      <c r="AE194" s="84"/>
    </row>
    <row r="195" spans="1:31">
      <c r="A195" s="1" t="s">
        <v>405</v>
      </c>
      <c r="B195" s="1"/>
      <c r="C195" s="317">
        <f t="shared" si="20"/>
        <v>1730</v>
      </c>
      <c r="D195" s="317">
        <f t="shared" si="20"/>
        <v>1792</v>
      </c>
      <c r="E195" s="332">
        <f>E185</f>
        <v>0.69</v>
      </c>
      <c r="F195" s="319"/>
      <c r="G195" s="2">
        <f t="shared" si="21"/>
        <v>-12</v>
      </c>
      <c r="H195" s="2">
        <f t="shared" si="21"/>
        <v>-12</v>
      </c>
      <c r="I195" s="332">
        <f>I185</f>
        <v>0.78</v>
      </c>
      <c r="J195" s="319"/>
      <c r="K195" s="2">
        <f t="shared" si="22"/>
        <v>-14</v>
      </c>
      <c r="AE195" s="84"/>
    </row>
    <row r="196" spans="1:31">
      <c r="A196" s="1" t="s">
        <v>406</v>
      </c>
      <c r="B196" s="1"/>
      <c r="C196" s="317">
        <f t="shared" si="20"/>
        <v>696</v>
      </c>
      <c r="D196" s="317">
        <f t="shared" si="20"/>
        <v>721</v>
      </c>
      <c r="E196" s="332">
        <f>E187</f>
        <v>2.81</v>
      </c>
      <c r="F196" s="321"/>
      <c r="G196" s="2">
        <f t="shared" si="21"/>
        <v>-20</v>
      </c>
      <c r="H196" s="2">
        <f t="shared" si="21"/>
        <v>-20</v>
      </c>
      <c r="I196" s="332">
        <f>I187</f>
        <v>2.88</v>
      </c>
      <c r="J196" s="321"/>
      <c r="K196" s="2">
        <f t="shared" si="22"/>
        <v>-21</v>
      </c>
      <c r="AE196" s="84"/>
    </row>
    <row r="197" spans="1:31">
      <c r="A197" s="1" t="s">
        <v>408</v>
      </c>
      <c r="B197" s="1"/>
      <c r="C197" s="317">
        <f t="shared" si="20"/>
        <v>80560</v>
      </c>
      <c r="D197" s="317">
        <f t="shared" si="20"/>
        <v>83451</v>
      </c>
      <c r="E197" s="333">
        <f>E188</f>
        <v>7.5869999999999997</v>
      </c>
      <c r="F197" s="321" t="s">
        <v>377</v>
      </c>
      <c r="G197" s="2">
        <f t="shared" si="21"/>
        <v>-61</v>
      </c>
      <c r="H197" s="2">
        <f t="shared" si="21"/>
        <v>-63</v>
      </c>
      <c r="I197" s="333">
        <f>I188</f>
        <v>8.0890000000000004</v>
      </c>
      <c r="J197" s="321" t="s">
        <v>377</v>
      </c>
      <c r="K197" s="2">
        <f t="shared" si="22"/>
        <v>-68</v>
      </c>
      <c r="AE197" s="84"/>
    </row>
    <row r="198" spans="1:31">
      <c r="A198" s="1" t="s">
        <v>401</v>
      </c>
      <c r="B198" s="1"/>
      <c r="C198" s="317">
        <f t="shared" si="20"/>
        <v>247430</v>
      </c>
      <c r="D198" s="317">
        <f t="shared" si="20"/>
        <v>256310</v>
      </c>
      <c r="E198" s="333">
        <f>E189</f>
        <v>5.2370000000000001</v>
      </c>
      <c r="F198" s="321" t="s">
        <v>377</v>
      </c>
      <c r="G198" s="2">
        <f t="shared" si="21"/>
        <v>-130</v>
      </c>
      <c r="H198" s="2">
        <f t="shared" si="21"/>
        <v>-134</v>
      </c>
      <c r="I198" s="333">
        <f>I189</f>
        <v>5.5839999999999996</v>
      </c>
      <c r="J198" s="321" t="s">
        <v>377</v>
      </c>
      <c r="K198" s="2">
        <f t="shared" si="22"/>
        <v>-143</v>
      </c>
      <c r="AE198" s="84"/>
    </row>
    <row r="199" spans="1:31">
      <c r="A199" s="1" t="s">
        <v>402</v>
      </c>
      <c r="B199" s="1"/>
      <c r="C199" s="317">
        <f t="shared" si="20"/>
        <v>46700</v>
      </c>
      <c r="D199" s="317">
        <f t="shared" si="20"/>
        <v>48376</v>
      </c>
      <c r="E199" s="333">
        <f>E190</f>
        <v>4.5129999999999999</v>
      </c>
      <c r="F199" s="321" t="s">
        <v>377</v>
      </c>
      <c r="G199" s="2">
        <f t="shared" si="21"/>
        <v>-21</v>
      </c>
      <c r="H199" s="2">
        <f t="shared" si="21"/>
        <v>-22</v>
      </c>
      <c r="I199" s="333">
        <f>I190</f>
        <v>4.8100000000000005</v>
      </c>
      <c r="J199" s="321" t="s">
        <v>377</v>
      </c>
      <c r="K199" s="2">
        <f t="shared" si="22"/>
        <v>-23</v>
      </c>
      <c r="AE199" s="84"/>
    </row>
    <row r="200" spans="1:31">
      <c r="A200" s="1" t="s">
        <v>403</v>
      </c>
      <c r="B200" s="1"/>
      <c r="C200" s="317">
        <f t="shared" si="20"/>
        <v>2329</v>
      </c>
      <c r="D200" s="317">
        <f t="shared" si="20"/>
        <v>2413</v>
      </c>
      <c r="E200" s="334">
        <f>E191</f>
        <v>45</v>
      </c>
      <c r="F200" s="321" t="s">
        <v>377</v>
      </c>
      <c r="G200" s="2">
        <f t="shared" si="21"/>
        <v>-10</v>
      </c>
      <c r="H200" s="2">
        <f t="shared" si="21"/>
        <v>-11</v>
      </c>
      <c r="I200" s="334">
        <f>I191</f>
        <v>45</v>
      </c>
      <c r="J200" s="321" t="s">
        <v>377</v>
      </c>
      <c r="K200" s="2">
        <f t="shared" si="22"/>
        <v>-11</v>
      </c>
      <c r="AE200" s="84"/>
    </row>
    <row r="201" spans="1:31">
      <c r="A201" s="1" t="s">
        <v>410</v>
      </c>
      <c r="B201" s="1"/>
      <c r="C201" s="317">
        <f t="shared" si="20"/>
        <v>103</v>
      </c>
      <c r="D201" s="317">
        <f t="shared" si="20"/>
        <v>107</v>
      </c>
      <c r="E201" s="335">
        <v>60</v>
      </c>
      <c r="F201" s="319"/>
      <c r="G201" s="2">
        <f t="shared" si="21"/>
        <v>6180</v>
      </c>
      <c r="H201" s="2">
        <f t="shared" si="21"/>
        <v>6420</v>
      </c>
      <c r="I201" s="335">
        <f>$I$172</f>
        <v>60</v>
      </c>
      <c r="J201" s="321"/>
      <c r="K201" s="2">
        <f t="shared" si="22"/>
        <v>6420</v>
      </c>
      <c r="AE201" s="84"/>
    </row>
    <row r="202" spans="1:31">
      <c r="A202" s="1" t="s">
        <v>411</v>
      </c>
      <c r="B202" s="1"/>
      <c r="C202" s="317">
        <f t="shared" si="20"/>
        <v>2204</v>
      </c>
      <c r="D202" s="317">
        <f t="shared" si="20"/>
        <v>2283</v>
      </c>
      <c r="E202" s="337">
        <v>-30</v>
      </c>
      <c r="F202" s="319" t="s">
        <v>377</v>
      </c>
      <c r="G202" s="2">
        <f t="shared" si="21"/>
        <v>-661</v>
      </c>
      <c r="H202" s="2">
        <f t="shared" si="21"/>
        <v>-685</v>
      </c>
      <c r="I202" s="337">
        <f>$I$173</f>
        <v>-30</v>
      </c>
      <c r="J202" s="321" t="s">
        <v>377</v>
      </c>
      <c r="K202" s="2">
        <f t="shared" si="22"/>
        <v>-685</v>
      </c>
      <c r="AE202" s="84"/>
    </row>
    <row r="203" spans="1:31">
      <c r="A203" s="1" t="s">
        <v>384</v>
      </c>
      <c r="B203" s="262"/>
      <c r="C203" s="317">
        <f t="shared" si="20"/>
        <v>509414803</v>
      </c>
      <c r="D203" s="317">
        <f t="shared" si="20"/>
        <v>527850595.24192303</v>
      </c>
      <c r="E203" s="328"/>
      <c r="F203" s="2"/>
      <c r="G203" s="2">
        <f t="shared" si="21"/>
        <v>33288601</v>
      </c>
      <c r="H203" s="2">
        <f t="shared" si="21"/>
        <v>34452413</v>
      </c>
      <c r="I203" s="328"/>
      <c r="J203" s="321"/>
      <c r="K203" s="2">
        <f t="shared" si="22"/>
        <v>36706129</v>
      </c>
      <c r="AE203" s="84"/>
    </row>
    <row r="204" spans="1:31">
      <c r="A204" s="1" t="s">
        <v>366</v>
      </c>
      <c r="B204" s="345"/>
      <c r="C204" s="338">
        <f t="shared" si="20"/>
        <v>1731204.4322117302</v>
      </c>
      <c r="D204" s="338">
        <f t="shared" si="20"/>
        <v>0</v>
      </c>
      <c r="E204" s="307"/>
      <c r="F204" s="307"/>
      <c r="G204" s="339">
        <f t="shared" si="21"/>
        <v>97782.266337401146</v>
      </c>
      <c r="H204" s="339">
        <f t="shared" si="21"/>
        <v>0</v>
      </c>
      <c r="I204" s="307"/>
      <c r="J204" s="307"/>
      <c r="K204" s="339">
        <f t="shared" si="22"/>
        <v>0</v>
      </c>
      <c r="M204" s="287"/>
      <c r="N204" s="287"/>
      <c r="O204" s="288"/>
      <c r="AE204" s="84"/>
    </row>
    <row r="205" spans="1:31" ht="16.5" thickBot="1">
      <c r="A205" s="1" t="s">
        <v>385</v>
      </c>
      <c r="B205" s="1"/>
      <c r="C205" s="309">
        <f>SUM(C203:C204)</f>
        <v>511146007.43221176</v>
      </c>
      <c r="D205" s="309">
        <f>SUM(D203:D204)</f>
        <v>527850595.24192303</v>
      </c>
      <c r="E205" s="340"/>
      <c r="F205" s="341"/>
      <c r="G205" s="342">
        <f>G203+G204</f>
        <v>33386383.266337402</v>
      </c>
      <c r="H205" s="342">
        <f>H203+H204</f>
        <v>34452413</v>
      </c>
      <c r="I205" s="340"/>
      <c r="J205" s="343"/>
      <c r="K205" s="342">
        <f>K203+K204</f>
        <v>36706129</v>
      </c>
      <c r="M205" s="289"/>
      <c r="N205" s="289"/>
      <c r="O205" s="290"/>
      <c r="AE205" s="84"/>
    </row>
    <row r="206" spans="1:31" ht="16.5" thickTop="1">
      <c r="A206" s="1"/>
      <c r="B206" s="1"/>
      <c r="C206" s="21"/>
      <c r="D206" s="21"/>
      <c r="E206" s="335"/>
      <c r="F206" s="2"/>
      <c r="G206" s="2"/>
      <c r="H206" s="2"/>
      <c r="I206" s="335"/>
      <c r="J206" s="1"/>
      <c r="K206" s="2" t="s">
        <v>31</v>
      </c>
      <c r="AE206" s="84"/>
    </row>
    <row r="207" spans="1:31">
      <c r="A207" s="291" t="s">
        <v>390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AE207" s="84"/>
    </row>
    <row r="208" spans="1:31">
      <c r="A208" s="1" t="s">
        <v>414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AE208" s="84"/>
    </row>
    <row r="209" spans="1:31">
      <c r="A209" s="346" t="s">
        <v>415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AE209" s="84"/>
    </row>
    <row r="210" spans="1:31">
      <c r="A210" s="1" t="s">
        <v>396</v>
      </c>
      <c r="B210" s="1"/>
      <c r="C210" s="317"/>
      <c r="D210" s="317"/>
      <c r="E210" s="2"/>
      <c r="F210" s="2"/>
      <c r="G210" s="1"/>
      <c r="H210" s="1"/>
      <c r="I210" s="2"/>
      <c r="J210" s="1"/>
      <c r="K210" s="1"/>
      <c r="AE210" s="84"/>
    </row>
    <row r="211" spans="1:31">
      <c r="A211" s="1" t="s">
        <v>393</v>
      </c>
      <c r="B211" s="1"/>
      <c r="C211" s="317">
        <f>31554+48+111709+1+8+12</f>
        <v>143332</v>
      </c>
      <c r="D211" s="317">
        <v>145099</v>
      </c>
      <c r="E211" s="296">
        <v>7</v>
      </c>
      <c r="F211" s="319"/>
      <c r="G211" s="2">
        <f>ROUND(E211*$C211,0)</f>
        <v>1003324</v>
      </c>
      <c r="H211" s="2">
        <f>ROUND(E211*$D211,0)</f>
        <v>1015693</v>
      </c>
      <c r="I211" s="296">
        <f>$I$153</f>
        <v>7.53</v>
      </c>
      <c r="J211" s="321"/>
      <c r="K211" s="2">
        <f>ROUND(I211*$D211,0)</f>
        <v>1092595</v>
      </c>
      <c r="AE211" s="84"/>
    </row>
    <row r="212" spans="1:31">
      <c r="A212" s="1" t="s">
        <v>394</v>
      </c>
      <c r="B212" s="1"/>
      <c r="C212" s="317">
        <f>12+7315+28+33+55+48042</f>
        <v>55485</v>
      </c>
      <c r="D212" s="317">
        <v>56165</v>
      </c>
      <c r="E212" s="296">
        <v>10.4</v>
      </c>
      <c r="F212" s="322"/>
      <c r="G212" s="2">
        <f>ROUND(E212*$C212,0)</f>
        <v>577044</v>
      </c>
      <c r="H212" s="2">
        <f>ROUND(E212*$D212,0)</f>
        <v>584116</v>
      </c>
      <c r="I212" s="296">
        <f>$I$154</f>
        <v>11.18</v>
      </c>
      <c r="J212" s="323"/>
      <c r="K212" s="2">
        <f>ROUND(I212*$D212,0)</f>
        <v>627925</v>
      </c>
      <c r="AE212" s="84"/>
    </row>
    <row r="213" spans="1:31">
      <c r="A213" s="1" t="s">
        <v>395</v>
      </c>
      <c r="B213" s="1"/>
      <c r="C213" s="317">
        <f>19153+70113+126+247835+559+301+676+759372</f>
        <v>1098135</v>
      </c>
      <c r="D213" s="317">
        <f>ROUND(($D$231/'Blocking - detail'!$C$231)*C213,0)</f>
        <v>1137546</v>
      </c>
      <c r="E213" s="296">
        <v>0.69</v>
      </c>
      <c r="F213" s="322"/>
      <c r="G213" s="2">
        <f>ROUND(E213*$C213,0)</f>
        <v>757713</v>
      </c>
      <c r="H213" s="2">
        <f>ROUND(E213*$D213,0)</f>
        <v>784907</v>
      </c>
      <c r="I213" s="296">
        <f>$I$155</f>
        <v>0.78</v>
      </c>
      <c r="J213" s="323"/>
      <c r="K213" s="2">
        <f>ROUND(I213*$D213,0)</f>
        <v>887286</v>
      </c>
      <c r="AE213" s="84"/>
    </row>
    <row r="214" spans="1:31">
      <c r="A214" s="1" t="s">
        <v>397</v>
      </c>
      <c r="B214" s="1"/>
      <c r="C214" s="317">
        <f>SUM(C211:C212)</f>
        <v>198817</v>
      </c>
      <c r="D214" s="317">
        <f>SUM(D211:D212)</f>
        <v>201264</v>
      </c>
      <c r="E214" s="296"/>
      <c r="F214" s="319"/>
      <c r="G214" s="2"/>
      <c r="H214" s="2"/>
      <c r="I214" s="296"/>
      <c r="J214" s="321"/>
      <c r="K214" s="2"/>
      <c r="AE214" s="84"/>
    </row>
    <row r="215" spans="1:31">
      <c r="A215" s="1" t="s">
        <v>398</v>
      </c>
      <c r="B215" s="1"/>
      <c r="C215" s="317">
        <f>11734+41601+80+143199+253+241+375+518943</f>
        <v>716426</v>
      </c>
      <c r="D215" s="317">
        <f>ROUND(($D$231/'Blocking - detail'!$C$231)*C215,0)</f>
        <v>742138</v>
      </c>
      <c r="E215" s="324">
        <v>2.81</v>
      </c>
      <c r="F215" s="321"/>
      <c r="G215" s="2">
        <f>ROUND(E215*$C215,0)</f>
        <v>2013157</v>
      </c>
      <c r="H215" s="2">
        <f>ROUND(E215*$D215,0)</f>
        <v>2085408</v>
      </c>
      <c r="I215" s="324">
        <f>$I$158</f>
        <v>2.88</v>
      </c>
      <c r="J215" s="321"/>
      <c r="K215" s="2">
        <f>ROUND(I215*$D215,0)</f>
        <v>2137357</v>
      </c>
      <c r="AE215" s="84"/>
    </row>
    <row r="216" spans="1:31">
      <c r="A216" s="1" t="s">
        <v>400</v>
      </c>
      <c r="B216" s="317"/>
      <c r="C216" s="317">
        <v>116624011.22139926</v>
      </c>
      <c r="D216" s="317">
        <f>ROUND(($D$231/$C$231)*C216,0)</f>
        <v>120809544</v>
      </c>
      <c r="E216" s="297">
        <v>7.5869999999999997</v>
      </c>
      <c r="F216" s="321" t="s">
        <v>377</v>
      </c>
      <c r="G216" s="2">
        <f>ROUND(E216*$C216/100,0)</f>
        <v>8848264</v>
      </c>
      <c r="H216" s="2">
        <f>ROUND(E216*$D216/100,0)</f>
        <v>9165820</v>
      </c>
      <c r="I216" s="297">
        <f>$I$159</f>
        <v>8.0890000000000004</v>
      </c>
      <c r="J216" s="321" t="s">
        <v>377</v>
      </c>
      <c r="K216" s="2">
        <f>ROUND(I216*$D216/100,0)</f>
        <v>9772284</v>
      </c>
      <c r="M216" s="105"/>
      <c r="N216" s="105"/>
      <c r="AE216" s="84"/>
    </row>
    <row r="217" spans="1:31">
      <c r="A217" s="1" t="s">
        <v>401</v>
      </c>
      <c r="B217" s="317"/>
      <c r="C217" s="317">
        <v>260410667.5731869</v>
      </c>
      <c r="D217" s="317">
        <f>ROUND(($D$231/'Blocking - detail'!$C$231)*C217,0)</f>
        <v>269756577</v>
      </c>
      <c r="E217" s="297">
        <v>5.2370000000000001</v>
      </c>
      <c r="F217" s="321" t="s">
        <v>377</v>
      </c>
      <c r="G217" s="2">
        <f>ROUND(E217*$C217/100,0)</f>
        <v>13637707</v>
      </c>
      <c r="H217" s="2">
        <f>ROUND(E217*$D217/100,0)</f>
        <v>14127152</v>
      </c>
      <c r="I217" s="297">
        <f>$I$160</f>
        <v>5.5839999999999996</v>
      </c>
      <c r="J217" s="321" t="s">
        <v>377</v>
      </c>
      <c r="K217" s="2">
        <f>ROUND(I217*$D217/100,0)</f>
        <v>15063207</v>
      </c>
      <c r="M217" s="105"/>
      <c r="N217" s="105"/>
      <c r="AE217" s="84"/>
    </row>
    <row r="218" spans="1:31">
      <c r="A218" s="1" t="s">
        <v>402</v>
      </c>
      <c r="B218" s="317"/>
      <c r="C218" s="317">
        <v>110681660.20541383</v>
      </c>
      <c r="D218" s="317">
        <f>ROUND(($D$231/'Blocking - detail'!$C$231)*C218,0)</f>
        <v>114653927</v>
      </c>
      <c r="E218" s="297">
        <v>4.5129999999999999</v>
      </c>
      <c r="F218" s="321" t="s">
        <v>377</v>
      </c>
      <c r="G218" s="2">
        <f>ROUND(E218*$C218/100,0)</f>
        <v>4995063</v>
      </c>
      <c r="H218" s="2">
        <f>ROUND(E218*$D218/100,0)</f>
        <v>5174332</v>
      </c>
      <c r="I218" s="297">
        <f>$I$161</f>
        <v>4.8100000000000005</v>
      </c>
      <c r="J218" s="321" t="s">
        <v>377</v>
      </c>
      <c r="K218" s="2">
        <f>ROUND(I218*$D218/100,0)</f>
        <v>5514854</v>
      </c>
      <c r="M218" s="105"/>
      <c r="N218" s="105"/>
      <c r="AE218" s="84"/>
    </row>
    <row r="219" spans="1:31">
      <c r="A219" s="1" t="s">
        <v>403</v>
      </c>
      <c r="B219" s="21"/>
      <c r="C219" s="317">
        <f>1+8573+480+2+1+2328+61584</f>
        <v>72969</v>
      </c>
      <c r="D219" s="317">
        <f>ROUND(($D$231/'Blocking - detail'!$C$231)*C219,0)</f>
        <v>75588</v>
      </c>
      <c r="E219" s="328">
        <v>45</v>
      </c>
      <c r="F219" s="319" t="s">
        <v>377</v>
      </c>
      <c r="G219" s="2">
        <f>ROUND(E219*$C219/100,0)</f>
        <v>32836</v>
      </c>
      <c r="H219" s="2">
        <f>ROUND(E219*$D219/100,0)</f>
        <v>34015</v>
      </c>
      <c r="I219" s="328">
        <f>$I$162</f>
        <v>45</v>
      </c>
      <c r="J219" s="321" t="s">
        <v>377</v>
      </c>
      <c r="K219" s="2">
        <f>ROUND(I219*$D219/100,0)</f>
        <v>34015</v>
      </c>
      <c r="AE219" s="84"/>
    </row>
    <row r="220" spans="1:31">
      <c r="A220" s="329" t="s">
        <v>404</v>
      </c>
      <c r="B220" s="21"/>
      <c r="C220" s="317"/>
      <c r="D220" s="317"/>
      <c r="E220" s="330">
        <v>-0.01</v>
      </c>
      <c r="F220" s="319"/>
      <c r="G220" s="2"/>
      <c r="H220" s="2"/>
      <c r="I220" s="330">
        <f>$I$163</f>
        <v>-0.01</v>
      </c>
      <c r="J220" s="321"/>
      <c r="K220" s="2"/>
      <c r="AE220" s="84"/>
    </row>
    <row r="221" spans="1:31">
      <c r="A221" s="1" t="s">
        <v>393</v>
      </c>
      <c r="B221" s="1"/>
      <c r="C221" s="317">
        <f>48</f>
        <v>48</v>
      </c>
      <c r="D221" s="317">
        <v>49</v>
      </c>
      <c r="E221" s="332">
        <f>E211</f>
        <v>7</v>
      </c>
      <c r="F221" s="319"/>
      <c r="G221" s="2">
        <f>-ROUND(E221*$C221/100,0)</f>
        <v>-3</v>
      </c>
      <c r="H221" s="2">
        <f>-ROUND(E221*$D221/100,0)</f>
        <v>-3</v>
      </c>
      <c r="I221" s="332">
        <f>I211</f>
        <v>7.53</v>
      </c>
      <c r="J221" s="319"/>
      <c r="K221" s="2">
        <f>-ROUND(I221*$D221/100,0)</f>
        <v>-4</v>
      </c>
      <c r="AE221" s="84"/>
    </row>
    <row r="222" spans="1:31">
      <c r="A222" s="1" t="s">
        <v>394</v>
      </c>
      <c r="B222" s="1"/>
      <c r="C222" s="317">
        <f>33+55</f>
        <v>88</v>
      </c>
      <c r="D222" s="317">
        <v>89</v>
      </c>
      <c r="E222" s="332">
        <f>E212</f>
        <v>10.4</v>
      </c>
      <c r="F222" s="319"/>
      <c r="G222" s="2">
        <f>-ROUND(E222*$C222/100,0)</f>
        <v>-9</v>
      </c>
      <c r="H222" s="2">
        <f>-ROUND(E222*$D222/100,0)</f>
        <v>-9</v>
      </c>
      <c r="I222" s="332">
        <f>I212</f>
        <v>11.18</v>
      </c>
      <c r="J222" s="319"/>
      <c r="K222" s="2">
        <f>-ROUND(I222*$D222/100,0)</f>
        <v>-10</v>
      </c>
      <c r="AE222" s="84"/>
    </row>
    <row r="223" spans="1:31">
      <c r="A223" s="1" t="s">
        <v>405</v>
      </c>
      <c r="B223" s="1"/>
      <c r="C223" s="317">
        <f>465+347+918</f>
        <v>1730</v>
      </c>
      <c r="D223" s="317">
        <f>ROUND(($D$231/'Blocking - detail'!$C$231)*C223,0)</f>
        <v>1792</v>
      </c>
      <c r="E223" s="332">
        <f>E213</f>
        <v>0.69</v>
      </c>
      <c r="F223" s="319"/>
      <c r="G223" s="2">
        <f>-ROUND(E223*$C223/100,0)</f>
        <v>-12</v>
      </c>
      <c r="H223" s="2">
        <f>-ROUND(E223*$D223/100,0)</f>
        <v>-12</v>
      </c>
      <c r="I223" s="332">
        <f>I213</f>
        <v>0.78</v>
      </c>
      <c r="J223" s="319"/>
      <c r="K223" s="2">
        <f>-ROUND(I223*$D223/100,0)</f>
        <v>-14</v>
      </c>
      <c r="AE223" s="84"/>
    </row>
    <row r="224" spans="1:31">
      <c r="A224" s="1" t="s">
        <v>416</v>
      </c>
      <c r="B224" s="1"/>
      <c r="C224" s="317">
        <f>80+241+375</f>
        <v>696</v>
      </c>
      <c r="D224" s="317">
        <f>ROUND(($D$231/'Blocking - detail'!$C$231)*C224,0)</f>
        <v>721</v>
      </c>
      <c r="E224" s="332">
        <f>E215</f>
        <v>2.81</v>
      </c>
      <c r="F224" s="321"/>
      <c r="G224" s="2">
        <f>-ROUND(E224*$C224/100,0)</f>
        <v>-20</v>
      </c>
      <c r="H224" s="2">
        <f>-ROUND(E224*$D224/100,0)</f>
        <v>-20</v>
      </c>
      <c r="I224" s="332">
        <f>I215</f>
        <v>2.88</v>
      </c>
      <c r="J224" s="321"/>
      <c r="K224" s="2">
        <f>-ROUND(I224*$D224/100,0)</f>
        <v>-21</v>
      </c>
      <c r="AE224" s="84"/>
    </row>
    <row r="225" spans="1:31">
      <c r="A225" s="1" t="s">
        <v>408</v>
      </c>
      <c r="B225" s="1"/>
      <c r="C225" s="317">
        <f>48100+13460+19000</f>
        <v>80560</v>
      </c>
      <c r="D225" s="317">
        <f>ROUND(($D$231/'Blocking - detail'!$C$231)*C225,0)</f>
        <v>83451</v>
      </c>
      <c r="E225" s="333">
        <f>E216</f>
        <v>7.5869999999999997</v>
      </c>
      <c r="F225" s="321" t="s">
        <v>377</v>
      </c>
      <c r="G225" s="2">
        <f>ROUND(E225*$C225/100*E220,0)</f>
        <v>-61</v>
      </c>
      <c r="H225" s="2">
        <f>ROUND(E225*$D225/100*E220,0)</f>
        <v>-63</v>
      </c>
      <c r="I225" s="333">
        <f>I216</f>
        <v>8.0890000000000004</v>
      </c>
      <c r="J225" s="321" t="s">
        <v>377</v>
      </c>
      <c r="K225" s="2">
        <f>ROUND(I225*$D225/100*I220,0)</f>
        <v>-68</v>
      </c>
      <c r="AE225" s="84"/>
    </row>
    <row r="226" spans="1:31">
      <c r="A226" s="1" t="s">
        <v>401</v>
      </c>
      <c r="B226" s="1"/>
      <c r="C226" s="317">
        <f>90010+71720+85700</f>
        <v>247430</v>
      </c>
      <c r="D226" s="317">
        <f>ROUND(($D$231/'Blocking - detail'!$C$231)*C226,0)</f>
        <v>256310</v>
      </c>
      <c r="E226" s="333">
        <f>E217</f>
        <v>5.2370000000000001</v>
      </c>
      <c r="F226" s="321" t="s">
        <v>377</v>
      </c>
      <c r="G226" s="2">
        <f>ROUND(E226*$C226/100*E220,0)</f>
        <v>-130</v>
      </c>
      <c r="H226" s="2">
        <f>ROUND(E226*$D226/100*E220,0)</f>
        <v>-134</v>
      </c>
      <c r="I226" s="333">
        <f>I217</f>
        <v>5.5839999999999996</v>
      </c>
      <c r="J226" s="321" t="s">
        <v>377</v>
      </c>
      <c r="K226" s="2">
        <f>ROUND(I226*$D226/100*I220,0)</f>
        <v>-143</v>
      </c>
      <c r="N226" s="3" t="s">
        <v>31</v>
      </c>
      <c r="AE226" s="84"/>
    </row>
    <row r="227" spans="1:31">
      <c r="A227" s="1" t="s">
        <v>402</v>
      </c>
      <c r="B227" s="1"/>
      <c r="C227" s="317">
        <f>138110+124140+112440-C225-C226</f>
        <v>46700</v>
      </c>
      <c r="D227" s="317">
        <f>ROUND(($D$231/'Blocking - detail'!$C$231)*C227,0)</f>
        <v>48376</v>
      </c>
      <c r="E227" s="333">
        <f>E218</f>
        <v>4.5129999999999999</v>
      </c>
      <c r="F227" s="321" t="s">
        <v>377</v>
      </c>
      <c r="G227" s="2">
        <f>ROUND(E227*$C227/100*E220,0)</f>
        <v>-21</v>
      </c>
      <c r="H227" s="2">
        <f>ROUND(E227*$D227/100*E220,0)</f>
        <v>-22</v>
      </c>
      <c r="I227" s="333">
        <f>I218</f>
        <v>4.8100000000000005</v>
      </c>
      <c r="J227" s="321" t="s">
        <v>377</v>
      </c>
      <c r="K227" s="2">
        <f>ROUND(I227*$D227/100*I220,0)</f>
        <v>-23</v>
      </c>
      <c r="AE227" s="84"/>
    </row>
    <row r="228" spans="1:31">
      <c r="A228" s="1" t="s">
        <v>403</v>
      </c>
      <c r="B228" s="1"/>
      <c r="C228" s="317">
        <f>1+2328</f>
        <v>2329</v>
      </c>
      <c r="D228" s="317">
        <f>ROUND(($D$231/'Blocking - detail'!$C$231)*C228,0)</f>
        <v>2413</v>
      </c>
      <c r="E228" s="334">
        <f>E219</f>
        <v>45</v>
      </c>
      <c r="F228" s="321" t="s">
        <v>377</v>
      </c>
      <c r="G228" s="2">
        <f>ROUND(E228*$C228/100*E220,0)</f>
        <v>-10</v>
      </c>
      <c r="H228" s="2">
        <f>ROUND(E228*$D228/100*E220,0)</f>
        <v>-11</v>
      </c>
      <c r="I228" s="334">
        <f>I219</f>
        <v>45</v>
      </c>
      <c r="J228" s="321" t="s">
        <v>377</v>
      </c>
      <c r="K228" s="2">
        <f>ROUND(I228*$D228/100*I220,0)</f>
        <v>-11</v>
      </c>
      <c r="AE228" s="84"/>
    </row>
    <row r="229" spans="1:31">
      <c r="A229" s="1" t="s">
        <v>410</v>
      </c>
      <c r="B229" s="1"/>
      <c r="C229" s="317">
        <f>48+55</f>
        <v>103</v>
      </c>
      <c r="D229" s="317">
        <f>ROUND(($D$231/'Blocking - detail'!$C$231)*C229,0)</f>
        <v>107</v>
      </c>
      <c r="E229" s="335">
        <v>60</v>
      </c>
      <c r="F229" s="319"/>
      <c r="G229" s="2">
        <f>ROUND(E229*$C229,0)</f>
        <v>6180</v>
      </c>
      <c r="H229" s="2">
        <f>ROUND(E229*$D229,0)</f>
        <v>6420</v>
      </c>
      <c r="I229" s="335">
        <f>$I$172</f>
        <v>60</v>
      </c>
      <c r="J229" s="321"/>
      <c r="K229" s="2">
        <f>ROUND(I229*$D229,0)</f>
        <v>6420</v>
      </c>
      <c r="AE229" s="84"/>
    </row>
    <row r="230" spans="1:31">
      <c r="A230" s="1" t="s">
        <v>411</v>
      </c>
      <c r="B230" s="1"/>
      <c r="C230" s="317">
        <f>84+465+737+918</f>
        <v>2204</v>
      </c>
      <c r="D230" s="317">
        <f>ROUND(($D$231/'Blocking - detail'!$C$231)*C230,0)</f>
        <v>2283</v>
      </c>
      <c r="E230" s="337">
        <v>-30</v>
      </c>
      <c r="F230" s="319" t="s">
        <v>377</v>
      </c>
      <c r="G230" s="2">
        <f>ROUND(E230*$C230/100,0)</f>
        <v>-661</v>
      </c>
      <c r="H230" s="2">
        <f>ROUND(E230*$D230/100,0)</f>
        <v>-685</v>
      </c>
      <c r="I230" s="337">
        <f>$I$173</f>
        <v>-30</v>
      </c>
      <c r="J230" s="321" t="s">
        <v>377</v>
      </c>
      <c r="K230" s="2">
        <f>ROUND(I230*$D230/100,0)</f>
        <v>-685</v>
      </c>
      <c r="AE230" s="84"/>
    </row>
    <row r="231" spans="1:31">
      <c r="A231" s="1" t="s">
        <v>384</v>
      </c>
      <c r="B231" s="305"/>
      <c r="C231" s="317">
        <f>SUM(C216:C218)</f>
        <v>487716339</v>
      </c>
      <c r="D231" s="317">
        <v>505220047.82638693</v>
      </c>
      <c r="E231" s="328"/>
      <c r="F231" s="2"/>
      <c r="G231" s="2">
        <f>SUM(G211:G230)</f>
        <v>31870361</v>
      </c>
      <c r="H231" s="2">
        <f>SUM(H211:H230)</f>
        <v>32976904</v>
      </c>
      <c r="I231" s="328"/>
      <c r="J231" s="321"/>
      <c r="K231" s="2">
        <f>SUM(K211:K230)</f>
        <v>35134964</v>
      </c>
      <c r="M231" s="84"/>
      <c r="N231" s="84"/>
      <c r="AE231" s="84"/>
    </row>
    <row r="232" spans="1:31">
      <c r="A232" s="1" t="s">
        <v>366</v>
      </c>
      <c r="B232" s="1"/>
      <c r="C232" s="347">
        <v>2221504.1418108731</v>
      </c>
      <c r="D232" s="338">
        <v>0</v>
      </c>
      <c r="E232" s="307"/>
      <c r="F232" s="307"/>
      <c r="G232" s="339">
        <v>124957.07854881753</v>
      </c>
      <c r="H232" s="339">
        <v>0</v>
      </c>
      <c r="I232" s="307"/>
      <c r="J232" s="307"/>
      <c r="K232" s="339">
        <v>0</v>
      </c>
      <c r="M232" s="287"/>
      <c r="N232" s="287"/>
      <c r="O232" s="288"/>
      <c r="AE232" s="84"/>
    </row>
    <row r="233" spans="1:31" ht="16.5" thickBot="1">
      <c r="A233" s="1" t="s">
        <v>385</v>
      </c>
      <c r="B233" s="1"/>
      <c r="C233" s="309">
        <f>SUM(C231:C232)</f>
        <v>489937843.14181089</v>
      </c>
      <c r="D233" s="309">
        <f>SUM(D231:D232)</f>
        <v>505220047.82638693</v>
      </c>
      <c r="E233" s="340"/>
      <c r="F233" s="341"/>
      <c r="G233" s="342">
        <f>G231+G232</f>
        <v>31995318.078548819</v>
      </c>
      <c r="H233" s="342">
        <f>H231+H232</f>
        <v>32976904</v>
      </c>
      <c r="I233" s="340"/>
      <c r="J233" s="343"/>
      <c r="K233" s="342">
        <f>K231+K232</f>
        <v>35134964</v>
      </c>
      <c r="M233" s="289"/>
      <c r="N233" s="289"/>
      <c r="O233" s="290"/>
      <c r="AE233" s="84"/>
    </row>
    <row r="234" spans="1:31" ht="16.5" thickTop="1">
      <c r="A234" s="1"/>
      <c r="B234" s="1"/>
      <c r="C234" s="21"/>
      <c r="D234" s="21"/>
      <c r="E234" s="335"/>
      <c r="F234" s="2"/>
      <c r="G234" s="2"/>
      <c r="H234" s="2"/>
      <c r="I234" s="335"/>
      <c r="J234" s="1"/>
      <c r="K234" s="2" t="s">
        <v>31</v>
      </c>
      <c r="AE234" s="84"/>
    </row>
    <row r="235" spans="1:31">
      <c r="A235" s="291" t="s">
        <v>390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AE235" s="84"/>
    </row>
    <row r="236" spans="1:31">
      <c r="A236" s="1" t="s">
        <v>417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84"/>
    </row>
    <row r="238" spans="1:31">
      <c r="A238" s="1" t="s">
        <v>396</v>
      </c>
      <c r="B238" s="1"/>
      <c r="C238" s="317"/>
      <c r="D238" s="317"/>
      <c r="E238" s="2"/>
      <c r="F238" s="2"/>
      <c r="G238" s="1"/>
      <c r="H238" s="1"/>
      <c r="I238" s="2"/>
      <c r="J238" s="1"/>
      <c r="K238" s="1"/>
      <c r="AE238" s="84"/>
    </row>
    <row r="239" spans="1:31">
      <c r="A239" s="1" t="s">
        <v>393</v>
      </c>
      <c r="B239" s="1"/>
      <c r="C239" s="317">
        <f>596+1770</f>
        <v>2366</v>
      </c>
      <c r="D239" s="317">
        <f>ROUND(($D$242/'Blocking - detail'!$C$242)*C239,0)</f>
        <v>2305</v>
      </c>
      <c r="E239" s="296">
        <v>7</v>
      </c>
      <c r="F239" s="319"/>
      <c r="G239" s="2">
        <f>ROUND(E239*$C239,0)</f>
        <v>16562</v>
      </c>
      <c r="H239" s="2">
        <f>ROUND(E239*$D239,0)</f>
        <v>16135</v>
      </c>
      <c r="I239" s="296">
        <f>$I$153</f>
        <v>7.53</v>
      </c>
      <c r="J239" s="321"/>
      <c r="K239" s="2">
        <f>ROUND(I239*$D239,0)</f>
        <v>17357</v>
      </c>
      <c r="AE239" s="84"/>
    </row>
    <row r="240" spans="1:31">
      <c r="A240" s="1" t="s">
        <v>394</v>
      </c>
      <c r="B240" s="1"/>
      <c r="C240" s="317">
        <f>740+2769</f>
        <v>3509</v>
      </c>
      <c r="D240" s="317">
        <f>ROUND(($D$242/'Blocking - detail'!$C$242)*C240,0)</f>
        <v>3418</v>
      </c>
      <c r="E240" s="296">
        <v>10.4</v>
      </c>
      <c r="F240" s="322"/>
      <c r="G240" s="2">
        <f>ROUND(E240*$C240,0)</f>
        <v>36494</v>
      </c>
      <c r="H240" s="2">
        <f>ROUND(E240*$D240,0)</f>
        <v>35547</v>
      </c>
      <c r="I240" s="296">
        <f>$I$154</f>
        <v>11.18</v>
      </c>
      <c r="J240" s="323"/>
      <c r="K240" s="2">
        <f>ROUND(I240*$D240,0)</f>
        <v>38213</v>
      </c>
      <c r="AE240" s="84"/>
    </row>
    <row r="241" spans="1:31">
      <c r="A241" s="1" t="s">
        <v>395</v>
      </c>
      <c r="B241" s="1"/>
      <c r="C241" s="317">
        <f>920+13828+3166+56636</f>
        <v>74550</v>
      </c>
      <c r="D241" s="317">
        <f>ROUND(($D$259/$C$259)*C241,0)</f>
        <v>77752</v>
      </c>
      <c r="E241" s="296">
        <v>0.69</v>
      </c>
      <c r="F241" s="322"/>
      <c r="G241" s="2">
        <f>ROUND(E241*$C241,0)</f>
        <v>51440</v>
      </c>
      <c r="H241" s="2">
        <f>ROUND(E241*$D241,0)</f>
        <v>53649</v>
      </c>
      <c r="I241" s="296">
        <f>$I$155</f>
        <v>0.78</v>
      </c>
      <c r="J241" s="323"/>
      <c r="K241" s="2">
        <f>ROUND(I241*$D241,0)</f>
        <v>60647</v>
      </c>
      <c r="AE241" s="84"/>
    </row>
    <row r="242" spans="1:31">
      <c r="A242" s="1" t="s">
        <v>397</v>
      </c>
      <c r="B242" s="1"/>
      <c r="C242" s="317">
        <f>SUM(C239:C240)</f>
        <v>5875</v>
      </c>
      <c r="D242" s="317">
        <v>5723</v>
      </c>
      <c r="E242" s="296"/>
      <c r="F242" s="319"/>
      <c r="G242" s="2"/>
      <c r="H242" s="2"/>
      <c r="I242" s="296"/>
      <c r="J242" s="321"/>
      <c r="K242" s="2"/>
      <c r="AE242" s="84"/>
    </row>
    <row r="243" spans="1:31">
      <c r="A243" s="1" t="s">
        <v>398</v>
      </c>
      <c r="B243" s="1"/>
      <c r="C243" s="317">
        <f>556+5026+1612+37282</f>
        <v>44476</v>
      </c>
      <c r="D243" s="317">
        <f>ROUND(($D$259/$C$259)*C243,0)</f>
        <v>46387</v>
      </c>
      <c r="E243" s="324">
        <v>2.81</v>
      </c>
      <c r="F243" s="321"/>
      <c r="G243" s="2">
        <f>ROUND(E243*$C243,0)</f>
        <v>124978</v>
      </c>
      <c r="H243" s="2">
        <f>ROUND(E243*$D243,0)</f>
        <v>130347</v>
      </c>
      <c r="I243" s="324">
        <f>$I$158</f>
        <v>2.88</v>
      </c>
      <c r="J243" s="321"/>
      <c r="K243" s="2">
        <f>ROUND(I243*$D243,0)</f>
        <v>133595</v>
      </c>
      <c r="AE243" s="84"/>
    </row>
    <row r="244" spans="1:31">
      <c r="A244" s="1" t="s">
        <v>400</v>
      </c>
      <c r="B244" s="1"/>
      <c r="C244" s="317">
        <f>224214+423982+989891+2211727</f>
        <v>3849814</v>
      </c>
      <c r="D244" s="317">
        <f>ROUND(($D$259/$C$259)*C244,0)</f>
        <v>4015187</v>
      </c>
      <c r="E244" s="297">
        <v>7.5869999999999997</v>
      </c>
      <c r="F244" s="321" t="s">
        <v>377</v>
      </c>
      <c r="G244" s="2">
        <f>ROUND(E244*$C244/100,0)</f>
        <v>292085</v>
      </c>
      <c r="H244" s="2">
        <f>ROUND(E244*$D244/100,0)</f>
        <v>304632</v>
      </c>
      <c r="I244" s="297">
        <f>$I$159</f>
        <v>8.0890000000000004</v>
      </c>
      <c r="J244" s="321" t="s">
        <v>377</v>
      </c>
      <c r="K244" s="2">
        <f>ROUND(I244*$D244/100,0)</f>
        <v>324788</v>
      </c>
      <c r="AE244" s="84"/>
    </row>
    <row r="245" spans="1:31">
      <c r="A245" s="1" t="s">
        <v>401</v>
      </c>
      <c r="B245" s="1"/>
      <c r="C245" s="317">
        <f>333291+1119888+1597472+8605642</f>
        <v>11656293</v>
      </c>
      <c r="D245" s="317">
        <f>ROUND(($D$259/$C$259)*C245,0)</f>
        <v>12157003</v>
      </c>
      <c r="E245" s="297">
        <v>5.2370000000000001</v>
      </c>
      <c r="F245" s="321" t="s">
        <v>377</v>
      </c>
      <c r="G245" s="2">
        <f>ROUND(E245*$C245/100,0)</f>
        <v>610440</v>
      </c>
      <c r="H245" s="2">
        <f>ROUND(E245*$D245/100,0)</f>
        <v>636662</v>
      </c>
      <c r="I245" s="297">
        <f>$I$160</f>
        <v>5.5839999999999996</v>
      </c>
      <c r="J245" s="321" t="s">
        <v>377</v>
      </c>
      <c r="K245" s="2">
        <f>ROUND(I245*$D245/100,0)</f>
        <v>678847</v>
      </c>
      <c r="AE245" s="84"/>
    </row>
    <row r="246" spans="1:31">
      <c r="A246" s="1" t="s">
        <v>402</v>
      </c>
      <c r="B246" s="1"/>
      <c r="C246" s="317">
        <f>622235+2212640+2732130+16131459-C244-C245</f>
        <v>6192357</v>
      </c>
      <c r="D246" s="317">
        <f>ROUND(($D$259/$C$259)*C246,0)</f>
        <v>6458357</v>
      </c>
      <c r="E246" s="297">
        <v>4.5129999999999999</v>
      </c>
      <c r="F246" s="321" t="s">
        <v>377</v>
      </c>
      <c r="G246" s="2">
        <f>ROUND(E246*$C246/100,0)</f>
        <v>279461</v>
      </c>
      <c r="H246" s="2">
        <f>ROUND(E246*$D246/100,0)</f>
        <v>291466</v>
      </c>
      <c r="I246" s="297">
        <f>$I$161</f>
        <v>4.8100000000000005</v>
      </c>
      <c r="J246" s="321" t="s">
        <v>377</v>
      </c>
      <c r="K246" s="2">
        <f>ROUND(I246*$D246/100,0)</f>
        <v>310647</v>
      </c>
      <c r="AE246" s="84"/>
    </row>
    <row r="247" spans="1:31">
      <c r="A247" s="1" t="s">
        <v>403</v>
      </c>
      <c r="B247" s="1"/>
      <c r="C247" s="317">
        <f>2718+12348</f>
        <v>15066</v>
      </c>
      <c r="D247" s="317">
        <f>ROUND(($D$259/$C$259)*C247,0)</f>
        <v>15713</v>
      </c>
      <c r="E247" s="328">
        <v>45</v>
      </c>
      <c r="F247" s="319" t="s">
        <v>377</v>
      </c>
      <c r="G247" s="2">
        <f>ROUND(E247*$C247/100,0)</f>
        <v>6780</v>
      </c>
      <c r="H247" s="2">
        <f>ROUND(E247*$D247/100,0)</f>
        <v>7071</v>
      </c>
      <c r="I247" s="328">
        <f>$I$162</f>
        <v>45</v>
      </c>
      <c r="J247" s="321" t="s">
        <v>377</v>
      </c>
      <c r="K247" s="2">
        <f>ROUND(I247*$D247/100,0)</f>
        <v>7071</v>
      </c>
      <c r="AE247" s="84"/>
    </row>
    <row r="248" spans="1:31">
      <c r="A248" s="329" t="s">
        <v>404</v>
      </c>
      <c r="B248" s="1"/>
      <c r="C248" s="317"/>
      <c r="D248" s="317"/>
      <c r="E248" s="330">
        <v>-0.01</v>
      </c>
      <c r="F248" s="319"/>
      <c r="G248" s="2"/>
      <c r="H248" s="2"/>
      <c r="I248" s="330">
        <f>$I$163</f>
        <v>-0.01</v>
      </c>
      <c r="J248" s="321"/>
      <c r="K248" s="2"/>
      <c r="AE248" s="84"/>
    </row>
    <row r="249" spans="1:31">
      <c r="A249" s="1" t="s">
        <v>393</v>
      </c>
      <c r="B249" s="1"/>
      <c r="C249" s="317">
        <v>0</v>
      </c>
      <c r="D249" s="317">
        <f t="shared" ref="D249:D258" si="23">ROUND(($D$259/$C$259)*C249,0)</f>
        <v>0</v>
      </c>
      <c r="E249" s="332">
        <f>E239</f>
        <v>7</v>
      </c>
      <c r="F249" s="319"/>
      <c r="G249" s="2">
        <f>-ROUND(E249*$C249/100,0)</f>
        <v>0</v>
      </c>
      <c r="H249" s="2">
        <f>-ROUND(E249*$D249/100,0)</f>
        <v>0</v>
      </c>
      <c r="I249" s="332">
        <f>I239</f>
        <v>7.53</v>
      </c>
      <c r="J249" s="319"/>
      <c r="K249" s="2">
        <f>-ROUND(I249*$D249/100,0)</f>
        <v>0</v>
      </c>
      <c r="AE249" s="84"/>
    </row>
    <row r="250" spans="1:31">
      <c r="A250" s="1" t="s">
        <v>394</v>
      </c>
      <c r="B250" s="1"/>
      <c r="C250" s="317">
        <v>0</v>
      </c>
      <c r="D250" s="317">
        <f t="shared" si="23"/>
        <v>0</v>
      </c>
      <c r="E250" s="332">
        <f>E240</f>
        <v>10.4</v>
      </c>
      <c r="F250" s="319"/>
      <c r="G250" s="2">
        <f>-ROUND(E250*$C250/100,0)</f>
        <v>0</v>
      </c>
      <c r="H250" s="2">
        <f>-ROUND(E250*$D250/100,0)</f>
        <v>0</v>
      </c>
      <c r="I250" s="332">
        <f>I240</f>
        <v>11.18</v>
      </c>
      <c r="J250" s="319"/>
      <c r="K250" s="2">
        <f>-ROUND(I250*$D250/100,0)</f>
        <v>0</v>
      </c>
      <c r="AE250" s="84"/>
    </row>
    <row r="251" spans="1:31">
      <c r="A251" s="1" t="s">
        <v>405</v>
      </c>
      <c r="B251" s="1"/>
      <c r="C251" s="317">
        <v>0</v>
      </c>
      <c r="D251" s="317">
        <f t="shared" si="23"/>
        <v>0</v>
      </c>
      <c r="E251" s="332">
        <f>E241</f>
        <v>0.69</v>
      </c>
      <c r="F251" s="319"/>
      <c r="G251" s="2">
        <f>-ROUND(E251*$C251/100,0)</f>
        <v>0</v>
      </c>
      <c r="H251" s="2">
        <f>-ROUND(E251*$D251/100,0)</f>
        <v>0</v>
      </c>
      <c r="I251" s="332">
        <f>I241</f>
        <v>0.78</v>
      </c>
      <c r="J251" s="319"/>
      <c r="K251" s="2">
        <f>-ROUND(I251*$D251/100,0)</f>
        <v>0</v>
      </c>
      <c r="AE251" s="84"/>
    </row>
    <row r="252" spans="1:31">
      <c r="A252" s="1" t="s">
        <v>406</v>
      </c>
      <c r="B252" s="1"/>
      <c r="C252" s="317">
        <v>0</v>
      </c>
      <c r="D252" s="317">
        <f t="shared" si="23"/>
        <v>0</v>
      </c>
      <c r="E252" s="332">
        <f>E243</f>
        <v>2.81</v>
      </c>
      <c r="F252" s="321"/>
      <c r="G252" s="2">
        <f>-ROUND(E252*$C252/100,0)</f>
        <v>0</v>
      </c>
      <c r="H252" s="2">
        <f>-ROUND(E252*$D252/100,0)</f>
        <v>0</v>
      </c>
      <c r="I252" s="332">
        <f>I243</f>
        <v>2.88</v>
      </c>
      <c r="J252" s="321"/>
      <c r="K252" s="2">
        <f>-ROUND(I252*$D252/100,0)</f>
        <v>0</v>
      </c>
      <c r="AE252" s="84"/>
    </row>
    <row r="253" spans="1:31">
      <c r="A253" s="1" t="s">
        <v>408</v>
      </c>
      <c r="B253" s="1"/>
      <c r="C253" s="317">
        <v>0</v>
      </c>
      <c r="D253" s="317">
        <f t="shared" si="23"/>
        <v>0</v>
      </c>
      <c r="E253" s="333">
        <f>E244</f>
        <v>7.5869999999999997</v>
      </c>
      <c r="F253" s="321" t="s">
        <v>377</v>
      </c>
      <c r="G253" s="2">
        <f>ROUND(E253*$C253/100*E248,0)</f>
        <v>0</v>
      </c>
      <c r="H253" s="2">
        <f>ROUND(E253*$D253/100*E248,0)</f>
        <v>0</v>
      </c>
      <c r="I253" s="333">
        <f>I244</f>
        <v>8.0890000000000004</v>
      </c>
      <c r="J253" s="321" t="s">
        <v>377</v>
      </c>
      <c r="K253" s="2">
        <f>ROUND(I253*$D253/100*I248,0)</f>
        <v>0</v>
      </c>
      <c r="AE253" s="84"/>
    </row>
    <row r="254" spans="1:31">
      <c r="A254" s="1" t="s">
        <v>401</v>
      </c>
      <c r="B254" s="1"/>
      <c r="C254" s="317">
        <v>0</v>
      </c>
      <c r="D254" s="317">
        <f t="shared" si="23"/>
        <v>0</v>
      </c>
      <c r="E254" s="333">
        <f>E245</f>
        <v>5.2370000000000001</v>
      </c>
      <c r="F254" s="321" t="s">
        <v>377</v>
      </c>
      <c r="G254" s="2">
        <f>ROUND(E254*$C254/100*E248,0)</f>
        <v>0</v>
      </c>
      <c r="H254" s="2">
        <f>ROUND(E254*$D254/100*E248,0)</f>
        <v>0</v>
      </c>
      <c r="I254" s="333">
        <f>I245</f>
        <v>5.5839999999999996</v>
      </c>
      <c r="J254" s="321" t="s">
        <v>377</v>
      </c>
      <c r="K254" s="2">
        <f>ROUND(I254*$D254/100*I248,0)</f>
        <v>0</v>
      </c>
      <c r="AE254" s="84"/>
    </row>
    <row r="255" spans="1:31">
      <c r="A255" s="1" t="s">
        <v>402</v>
      </c>
      <c r="B255" s="1"/>
      <c r="C255" s="317">
        <v>0</v>
      </c>
      <c r="D255" s="317">
        <f t="shared" si="23"/>
        <v>0</v>
      </c>
      <c r="E255" s="333">
        <f>E246</f>
        <v>4.5129999999999999</v>
      </c>
      <c r="F255" s="321" t="s">
        <v>377</v>
      </c>
      <c r="G255" s="2">
        <f>ROUND(E255*$C255/100*E248,0)</f>
        <v>0</v>
      </c>
      <c r="H255" s="2">
        <f>ROUND(E255*$D255/100*E248,0)</f>
        <v>0</v>
      </c>
      <c r="I255" s="333">
        <f>I246</f>
        <v>4.8100000000000005</v>
      </c>
      <c r="J255" s="321" t="s">
        <v>377</v>
      </c>
      <c r="K255" s="2">
        <f>ROUND(I255*$D255/100*I248,0)</f>
        <v>0</v>
      </c>
      <c r="AE255" s="84"/>
    </row>
    <row r="256" spans="1:31">
      <c r="A256" s="1" t="s">
        <v>403</v>
      </c>
      <c r="B256" s="1"/>
      <c r="C256" s="317">
        <v>0</v>
      </c>
      <c r="D256" s="317">
        <f t="shared" si="23"/>
        <v>0</v>
      </c>
      <c r="E256" s="334">
        <f>E247</f>
        <v>45</v>
      </c>
      <c r="F256" s="321" t="s">
        <v>377</v>
      </c>
      <c r="G256" s="2">
        <f>ROUND(E256*$C256/100*E248,0)</f>
        <v>0</v>
      </c>
      <c r="H256" s="2">
        <f>ROUND(E256*$D256/100*E248,0)</f>
        <v>0</v>
      </c>
      <c r="I256" s="334">
        <f>I247</f>
        <v>45</v>
      </c>
      <c r="J256" s="321" t="s">
        <v>377</v>
      </c>
      <c r="K256" s="2">
        <f>ROUND(I256*$D256/100*I248,0)</f>
        <v>0</v>
      </c>
      <c r="AE256" s="84"/>
    </row>
    <row r="257" spans="1:31">
      <c r="A257" s="1" t="s">
        <v>410</v>
      </c>
      <c r="B257" s="1"/>
      <c r="C257" s="317">
        <v>0</v>
      </c>
      <c r="D257" s="317">
        <f t="shared" si="23"/>
        <v>0</v>
      </c>
      <c r="E257" s="335">
        <v>60</v>
      </c>
      <c r="F257" s="319"/>
      <c r="G257" s="2">
        <f>ROUND(E257*$C257,0)</f>
        <v>0</v>
      </c>
      <c r="H257" s="2">
        <f>ROUND(E257*$D257,0)</f>
        <v>0</v>
      </c>
      <c r="I257" s="335">
        <f>$I$172</f>
        <v>60</v>
      </c>
      <c r="J257" s="321"/>
      <c r="K257" s="2">
        <f>ROUND(I257*$D257,0)</f>
        <v>0</v>
      </c>
      <c r="AE257" s="84"/>
    </row>
    <row r="258" spans="1:31">
      <c r="A258" s="1" t="s">
        <v>411</v>
      </c>
      <c r="B258" s="1"/>
      <c r="C258" s="317">
        <v>0</v>
      </c>
      <c r="D258" s="317">
        <f t="shared" si="23"/>
        <v>0</v>
      </c>
      <c r="E258" s="337">
        <v>-30</v>
      </c>
      <c r="F258" s="319" t="s">
        <v>377</v>
      </c>
      <c r="G258" s="2">
        <f>ROUND(E258*$C258/100,0)</f>
        <v>0</v>
      </c>
      <c r="H258" s="2">
        <f>ROUND(E258*$D258/100,0)</f>
        <v>0</v>
      </c>
      <c r="I258" s="337">
        <f>$I$173</f>
        <v>-30</v>
      </c>
      <c r="J258" s="321" t="s">
        <v>377</v>
      </c>
      <c r="K258" s="2">
        <f>ROUND(I258*$D258/100,0)</f>
        <v>0</v>
      </c>
      <c r="AE258" s="84"/>
    </row>
    <row r="259" spans="1:31">
      <c r="A259" s="1" t="s">
        <v>384</v>
      </c>
      <c r="B259" s="1"/>
      <c r="C259" s="317">
        <f>SUM(C244:C246)</f>
        <v>21698464</v>
      </c>
      <c r="D259" s="317">
        <v>22630547.415536091</v>
      </c>
      <c r="E259" s="328"/>
      <c r="F259" s="2"/>
      <c r="G259" s="2">
        <f>SUM(G239:G258)</f>
        <v>1418240</v>
      </c>
      <c r="H259" s="2">
        <f>SUM(H239:H258)</f>
        <v>1475509</v>
      </c>
      <c r="I259" s="328"/>
      <c r="J259" s="321"/>
      <c r="K259" s="2">
        <f>SUM(K239:K258)</f>
        <v>1571165</v>
      </c>
      <c r="AE259" s="84"/>
    </row>
    <row r="260" spans="1:31">
      <c r="A260" s="1" t="s">
        <v>366</v>
      </c>
      <c r="B260" s="1"/>
      <c r="C260" s="347">
        <v>-490299.70959914278</v>
      </c>
      <c r="D260" s="338">
        <v>0</v>
      </c>
      <c r="E260" s="307"/>
      <c r="F260" s="307"/>
      <c r="G260" s="339">
        <v>-27174.812211416385</v>
      </c>
      <c r="H260" s="339">
        <v>0</v>
      </c>
      <c r="I260" s="307"/>
      <c r="J260" s="307"/>
      <c r="K260" s="339">
        <v>0</v>
      </c>
      <c r="M260" s="287"/>
      <c r="N260" s="287"/>
      <c r="O260" s="288"/>
      <c r="AE260" s="84"/>
    </row>
    <row r="261" spans="1:31" ht="16.5" thickBot="1">
      <c r="A261" s="1" t="s">
        <v>385</v>
      </c>
      <c r="B261" s="1"/>
      <c r="C261" s="309">
        <f>SUM(C259:C260)</f>
        <v>21208164.290400859</v>
      </c>
      <c r="D261" s="309">
        <f>SUM(D259:D260)</f>
        <v>22630547.415536091</v>
      </c>
      <c r="E261" s="340"/>
      <c r="F261" s="341"/>
      <c r="G261" s="342">
        <f>G259+G260</f>
        <v>1391065.1877885836</v>
      </c>
      <c r="H261" s="342">
        <f>H259+H260</f>
        <v>1475509</v>
      </c>
      <c r="I261" s="340"/>
      <c r="J261" s="343"/>
      <c r="K261" s="342">
        <f>K259+K260</f>
        <v>1571165</v>
      </c>
      <c r="M261" s="289"/>
      <c r="N261" s="289"/>
      <c r="O261" s="290"/>
      <c r="AE261" s="84"/>
    </row>
    <row r="262" spans="1:31" ht="16.5" thickTop="1">
      <c r="A262" s="1"/>
      <c r="B262" s="1"/>
      <c r="C262" s="348"/>
      <c r="D262" s="348"/>
      <c r="E262" s="349"/>
      <c r="F262" s="350"/>
      <c r="G262" s="320"/>
      <c r="H262" s="320"/>
      <c r="I262" s="349"/>
      <c r="J262" s="23"/>
      <c r="K262" s="320"/>
      <c r="AE262" s="84"/>
    </row>
    <row r="263" spans="1:31">
      <c r="A263" s="291" t="s">
        <v>418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AE263" s="84"/>
    </row>
    <row r="264" spans="1:31">
      <c r="A264" s="1" t="s">
        <v>413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84"/>
    </row>
    <row r="266" spans="1:31">
      <c r="A266" s="1" t="s">
        <v>396</v>
      </c>
      <c r="B266" s="1"/>
      <c r="C266" s="317"/>
      <c r="D266" s="317"/>
      <c r="E266" s="2"/>
      <c r="F266" s="2"/>
      <c r="G266" s="1"/>
      <c r="H266" s="1"/>
      <c r="I266" s="2"/>
      <c r="J266" s="1"/>
      <c r="K266" s="1"/>
      <c r="AE266" s="84"/>
    </row>
    <row r="267" spans="1:31">
      <c r="A267" s="1" t="s">
        <v>419</v>
      </c>
      <c r="B267" s="1"/>
      <c r="C267" s="317">
        <f t="shared" ref="C267:D269" si="24">C296+C325</f>
        <v>5025</v>
      </c>
      <c r="D267" s="317">
        <f t="shared" si="24"/>
        <v>4991</v>
      </c>
      <c r="E267" s="296">
        <v>7</v>
      </c>
      <c r="F267" s="319"/>
      <c r="G267" s="2">
        <f t="shared" ref="G267:H269" si="25">G296+G325</f>
        <v>35175</v>
      </c>
      <c r="H267" s="2">
        <f t="shared" si="25"/>
        <v>34937</v>
      </c>
      <c r="I267" s="296">
        <f>$I$153</f>
        <v>7.53</v>
      </c>
      <c r="J267" s="321"/>
      <c r="K267" s="2">
        <f>K296+K325</f>
        <v>37582</v>
      </c>
      <c r="AE267" s="84"/>
    </row>
    <row r="268" spans="1:31">
      <c r="A268" s="1" t="s">
        <v>394</v>
      </c>
      <c r="B268" s="1"/>
      <c r="C268" s="317">
        <f t="shared" si="24"/>
        <v>0</v>
      </c>
      <c r="D268" s="317">
        <f t="shared" si="24"/>
        <v>0</v>
      </c>
      <c r="E268" s="296">
        <v>10.4</v>
      </c>
      <c r="F268" s="322"/>
      <c r="G268" s="2">
        <f t="shared" si="25"/>
        <v>0</v>
      </c>
      <c r="H268" s="2">
        <f t="shared" si="25"/>
        <v>0</v>
      </c>
      <c r="I268" s="296">
        <f>$I$154</f>
        <v>11.18</v>
      </c>
      <c r="J268" s="323"/>
      <c r="K268" s="2">
        <f>K297+K326</f>
        <v>0</v>
      </c>
      <c r="AE268" s="84"/>
    </row>
    <row r="269" spans="1:31">
      <c r="A269" s="1" t="s">
        <v>395</v>
      </c>
      <c r="B269" s="1"/>
      <c r="C269" s="317">
        <f t="shared" si="24"/>
        <v>0</v>
      </c>
      <c r="D269" s="317">
        <f t="shared" si="24"/>
        <v>0</v>
      </c>
      <c r="E269" s="296">
        <v>0.69</v>
      </c>
      <c r="F269" s="322"/>
      <c r="G269" s="2">
        <f t="shared" si="25"/>
        <v>0</v>
      </c>
      <c r="H269" s="2">
        <f t="shared" si="25"/>
        <v>0</v>
      </c>
      <c r="I269" s="296">
        <f>$I$155</f>
        <v>0.78</v>
      </c>
      <c r="J269" s="323"/>
      <c r="K269" s="2">
        <f>K298+K327</f>
        <v>0</v>
      </c>
      <c r="AE269" s="84"/>
    </row>
    <row r="270" spans="1:31">
      <c r="A270" s="1" t="s">
        <v>397</v>
      </c>
      <c r="B270" s="1"/>
      <c r="C270" s="317">
        <f>SUM(C267:C268)</f>
        <v>5025</v>
      </c>
      <c r="D270" s="317">
        <f>SUM(D267:D268)</f>
        <v>4991</v>
      </c>
      <c r="E270" s="296"/>
      <c r="F270" s="319"/>
      <c r="G270" s="2"/>
      <c r="H270" s="2"/>
      <c r="I270" s="296"/>
      <c r="J270" s="321"/>
      <c r="K270" s="2"/>
      <c r="AE270" s="84"/>
    </row>
    <row r="271" spans="1:31">
      <c r="A271" s="1" t="s">
        <v>365</v>
      </c>
      <c r="B271" s="1"/>
      <c r="C271" s="317">
        <f t="shared" ref="C271:D276" si="26">C300+C329</f>
        <v>1629</v>
      </c>
      <c r="D271" s="317">
        <f t="shared" si="26"/>
        <v>1617</v>
      </c>
      <c r="E271" s="296"/>
      <c r="F271" s="319"/>
      <c r="G271" s="2"/>
      <c r="H271" s="2"/>
      <c r="I271" s="296"/>
      <c r="J271" s="321"/>
      <c r="K271" s="2"/>
      <c r="AE271" s="84"/>
    </row>
    <row r="272" spans="1:31">
      <c r="A272" s="1" t="s">
        <v>398</v>
      </c>
      <c r="B272" s="1"/>
      <c r="C272" s="317">
        <f t="shared" si="26"/>
        <v>0</v>
      </c>
      <c r="D272" s="317">
        <f t="shared" si="26"/>
        <v>0</v>
      </c>
      <c r="E272" s="324">
        <v>2.81</v>
      </c>
      <c r="F272" s="321"/>
      <c r="G272" s="2">
        <f t="shared" ref="G272:H276" si="27">G301+G330</f>
        <v>0</v>
      </c>
      <c r="H272" s="2">
        <f t="shared" si="27"/>
        <v>0</v>
      </c>
      <c r="I272" s="324">
        <f>$I$158</f>
        <v>2.88</v>
      </c>
      <c r="J272" s="321"/>
      <c r="K272" s="2">
        <f>K301+K330</f>
        <v>0</v>
      </c>
      <c r="AE272" s="84"/>
    </row>
    <row r="273" spans="1:31">
      <c r="A273" s="1" t="s">
        <v>400</v>
      </c>
      <c r="B273" s="1"/>
      <c r="C273" s="317">
        <f t="shared" si="26"/>
        <v>1414918</v>
      </c>
      <c r="D273" s="317">
        <f t="shared" si="26"/>
        <v>1446455</v>
      </c>
      <c r="E273" s="297">
        <v>7.5869999999999997</v>
      </c>
      <c r="F273" s="321" t="s">
        <v>377</v>
      </c>
      <c r="G273" s="2">
        <f t="shared" si="27"/>
        <v>107349</v>
      </c>
      <c r="H273" s="2">
        <f t="shared" si="27"/>
        <v>109743</v>
      </c>
      <c r="I273" s="297">
        <f>$I$159</f>
        <v>8.0890000000000004</v>
      </c>
      <c r="J273" s="321" t="s">
        <v>377</v>
      </c>
      <c r="K273" s="2">
        <f>K302+K331</f>
        <v>117003</v>
      </c>
      <c r="AE273" s="84"/>
    </row>
    <row r="274" spans="1:31">
      <c r="A274" s="1" t="s">
        <v>401</v>
      </c>
      <c r="B274" s="1"/>
      <c r="C274" s="317">
        <f t="shared" si="26"/>
        <v>64806</v>
      </c>
      <c r="D274" s="317">
        <f t="shared" si="26"/>
        <v>66040</v>
      </c>
      <c r="E274" s="297">
        <v>5.2370000000000001</v>
      </c>
      <c r="F274" s="321" t="s">
        <v>377</v>
      </c>
      <c r="G274" s="2">
        <f t="shared" si="27"/>
        <v>3394</v>
      </c>
      <c r="H274" s="2">
        <f t="shared" si="27"/>
        <v>3459</v>
      </c>
      <c r="I274" s="297">
        <f>$I$160</f>
        <v>5.5839999999999996</v>
      </c>
      <c r="J274" s="321" t="s">
        <v>377</v>
      </c>
      <c r="K274" s="2">
        <f>K303+K332</f>
        <v>3688</v>
      </c>
      <c r="AE274" s="84"/>
    </row>
    <row r="275" spans="1:31">
      <c r="A275" s="1" t="s">
        <v>402</v>
      </c>
      <c r="B275" s="1"/>
      <c r="C275" s="317">
        <f t="shared" si="26"/>
        <v>0</v>
      </c>
      <c r="D275" s="317">
        <f t="shared" si="26"/>
        <v>0</v>
      </c>
      <c r="E275" s="297">
        <v>4.5129999999999999</v>
      </c>
      <c r="F275" s="321" t="s">
        <v>377</v>
      </c>
      <c r="G275" s="2">
        <f t="shared" si="27"/>
        <v>0</v>
      </c>
      <c r="H275" s="2">
        <f t="shared" si="27"/>
        <v>0</v>
      </c>
      <c r="I275" s="297">
        <f>$I$161</f>
        <v>4.8100000000000005</v>
      </c>
      <c r="J275" s="321" t="s">
        <v>377</v>
      </c>
      <c r="K275" s="2">
        <f>K304+K333</f>
        <v>0</v>
      </c>
      <c r="AE275" s="84"/>
    </row>
    <row r="276" spans="1:31">
      <c r="A276" s="1" t="s">
        <v>403</v>
      </c>
      <c r="B276" s="1"/>
      <c r="C276" s="317">
        <f t="shared" si="26"/>
        <v>0</v>
      </c>
      <c r="D276" s="317">
        <f t="shared" si="26"/>
        <v>0</v>
      </c>
      <c r="E276" s="328">
        <v>45</v>
      </c>
      <c r="F276" s="319" t="s">
        <v>377</v>
      </c>
      <c r="G276" s="2">
        <f t="shared" si="27"/>
        <v>0</v>
      </c>
      <c r="H276" s="2">
        <f t="shared" si="27"/>
        <v>0</v>
      </c>
      <c r="I276" s="328">
        <f>$I$162</f>
        <v>45</v>
      </c>
      <c r="J276" s="321" t="s">
        <v>377</v>
      </c>
      <c r="K276" s="2">
        <f>K305+K334</f>
        <v>0</v>
      </c>
      <c r="AE276" s="84"/>
    </row>
    <row r="277" spans="1:31">
      <c r="A277" s="329" t="s">
        <v>404</v>
      </c>
      <c r="B277" s="1"/>
      <c r="C277" s="317"/>
      <c r="D277" s="317"/>
      <c r="E277" s="330">
        <v>-0.01</v>
      </c>
      <c r="F277" s="319"/>
      <c r="G277" s="2"/>
      <c r="H277" s="2"/>
      <c r="I277" s="330">
        <f>$I$163</f>
        <v>-0.01</v>
      </c>
      <c r="J277" s="321"/>
      <c r="K277" s="2"/>
      <c r="AE277" s="84"/>
    </row>
    <row r="278" spans="1:31">
      <c r="A278" s="1" t="s">
        <v>393</v>
      </c>
      <c r="B278" s="1"/>
      <c r="C278" s="317">
        <v>0</v>
      </c>
      <c r="D278" s="317">
        <v>0</v>
      </c>
      <c r="E278" s="332">
        <f>E267</f>
        <v>7</v>
      </c>
      <c r="F278" s="319"/>
      <c r="G278" s="2">
        <f t="shared" ref="G278:H289" si="28">G307+G336</f>
        <v>0</v>
      </c>
      <c r="H278" s="2">
        <f t="shared" si="28"/>
        <v>0</v>
      </c>
      <c r="I278" s="332">
        <f>I268</f>
        <v>11.18</v>
      </c>
      <c r="J278" s="319"/>
      <c r="K278" s="2">
        <f t="shared" ref="K278:K289" si="29">K307+K336</f>
        <v>0</v>
      </c>
      <c r="AE278" s="84"/>
    </row>
    <row r="279" spans="1:31">
      <c r="A279" s="1" t="s">
        <v>394</v>
      </c>
      <c r="B279" s="1"/>
      <c r="C279" s="317">
        <v>0</v>
      </c>
      <c r="D279" s="317">
        <v>0</v>
      </c>
      <c r="E279" s="332">
        <f>E268</f>
        <v>10.4</v>
      </c>
      <c r="F279" s="319"/>
      <c r="G279" s="2">
        <f t="shared" si="28"/>
        <v>0</v>
      </c>
      <c r="H279" s="2">
        <f t="shared" si="28"/>
        <v>0</v>
      </c>
      <c r="I279" s="332">
        <f>I269</f>
        <v>0.78</v>
      </c>
      <c r="J279" s="319"/>
      <c r="K279" s="2">
        <f t="shared" si="29"/>
        <v>0</v>
      </c>
      <c r="AE279" s="84"/>
    </row>
    <row r="280" spans="1:31">
      <c r="A280" s="1" t="s">
        <v>405</v>
      </c>
      <c r="B280" s="1"/>
      <c r="C280" s="317">
        <v>0</v>
      </c>
      <c r="D280" s="317">
        <v>0</v>
      </c>
      <c r="E280" s="332">
        <f>E269</f>
        <v>0.69</v>
      </c>
      <c r="F280" s="319"/>
      <c r="G280" s="2">
        <f t="shared" si="28"/>
        <v>0</v>
      </c>
      <c r="H280" s="2">
        <f t="shared" si="28"/>
        <v>0</v>
      </c>
      <c r="I280" s="332">
        <f>I270</f>
        <v>0</v>
      </c>
      <c r="J280" s="319"/>
      <c r="K280" s="2">
        <f t="shared" si="29"/>
        <v>0</v>
      </c>
      <c r="AE280" s="84"/>
    </row>
    <row r="281" spans="1:31">
      <c r="A281" s="1" t="s">
        <v>406</v>
      </c>
      <c r="B281" s="1"/>
      <c r="C281" s="317">
        <v>0</v>
      </c>
      <c r="D281" s="317">
        <v>0</v>
      </c>
      <c r="E281" s="332">
        <f>E272</f>
        <v>2.81</v>
      </c>
      <c r="F281" s="321"/>
      <c r="G281" s="2">
        <f t="shared" si="28"/>
        <v>0</v>
      </c>
      <c r="H281" s="2">
        <f t="shared" si="28"/>
        <v>0</v>
      </c>
      <c r="I281" s="332">
        <f>I272</f>
        <v>2.88</v>
      </c>
      <c r="J281" s="321"/>
      <c r="K281" s="2">
        <f t="shared" si="29"/>
        <v>0</v>
      </c>
      <c r="AE281" s="84"/>
    </row>
    <row r="282" spans="1:31">
      <c r="A282" s="1" t="s">
        <v>408</v>
      </c>
      <c r="B282" s="1"/>
      <c r="C282" s="317">
        <v>0</v>
      </c>
      <c r="D282" s="317">
        <v>0</v>
      </c>
      <c r="E282" s="333">
        <f>E273</f>
        <v>7.5869999999999997</v>
      </c>
      <c r="F282" s="321" t="s">
        <v>377</v>
      </c>
      <c r="G282" s="2">
        <f t="shared" si="28"/>
        <v>0</v>
      </c>
      <c r="H282" s="2">
        <f t="shared" si="28"/>
        <v>0</v>
      </c>
      <c r="I282" s="333">
        <f>I273</f>
        <v>8.0890000000000004</v>
      </c>
      <c r="J282" s="321" t="s">
        <v>377</v>
      </c>
      <c r="K282" s="2">
        <f t="shared" si="29"/>
        <v>0</v>
      </c>
      <c r="AE282" s="84"/>
    </row>
    <row r="283" spans="1:31">
      <c r="A283" s="1" t="s">
        <v>401</v>
      </c>
      <c r="B283" s="1"/>
      <c r="C283" s="317">
        <v>0</v>
      </c>
      <c r="D283" s="317">
        <v>0</v>
      </c>
      <c r="E283" s="333">
        <f>E274</f>
        <v>5.2370000000000001</v>
      </c>
      <c r="F283" s="321" t="s">
        <v>377</v>
      </c>
      <c r="G283" s="2">
        <f t="shared" si="28"/>
        <v>0</v>
      </c>
      <c r="H283" s="2">
        <f t="shared" si="28"/>
        <v>0</v>
      </c>
      <c r="I283" s="333">
        <f>I274</f>
        <v>5.5839999999999996</v>
      </c>
      <c r="J283" s="321" t="s">
        <v>377</v>
      </c>
      <c r="K283" s="2">
        <f t="shared" si="29"/>
        <v>0</v>
      </c>
      <c r="AE283" s="84"/>
    </row>
    <row r="284" spans="1:31">
      <c r="A284" s="1" t="s">
        <v>402</v>
      </c>
      <c r="B284" s="1"/>
      <c r="C284" s="317">
        <v>0</v>
      </c>
      <c r="D284" s="317">
        <v>0</v>
      </c>
      <c r="E284" s="333">
        <f>E275</f>
        <v>4.5129999999999999</v>
      </c>
      <c r="F284" s="321" t="s">
        <v>377</v>
      </c>
      <c r="G284" s="2">
        <f t="shared" si="28"/>
        <v>0</v>
      </c>
      <c r="H284" s="2">
        <f t="shared" si="28"/>
        <v>0</v>
      </c>
      <c r="I284" s="333">
        <f>I275</f>
        <v>4.8100000000000005</v>
      </c>
      <c r="J284" s="321" t="s">
        <v>377</v>
      </c>
      <c r="K284" s="2">
        <f t="shared" si="29"/>
        <v>0</v>
      </c>
      <c r="AE284" s="84"/>
    </row>
    <row r="285" spans="1:31">
      <c r="A285" s="1" t="s">
        <v>403</v>
      </c>
      <c r="B285" s="1"/>
      <c r="C285" s="317">
        <v>0</v>
      </c>
      <c r="D285" s="317">
        <v>0</v>
      </c>
      <c r="E285" s="334">
        <f>E276</f>
        <v>45</v>
      </c>
      <c r="F285" s="321" t="s">
        <v>377</v>
      </c>
      <c r="G285" s="2">
        <f t="shared" si="28"/>
        <v>0</v>
      </c>
      <c r="H285" s="2">
        <f t="shared" si="28"/>
        <v>0</v>
      </c>
      <c r="I285" s="334">
        <f>I276</f>
        <v>45</v>
      </c>
      <c r="J285" s="321" t="s">
        <v>377</v>
      </c>
      <c r="K285" s="2">
        <f t="shared" si="29"/>
        <v>0</v>
      </c>
      <c r="AE285" s="84"/>
    </row>
    <row r="286" spans="1:31">
      <c r="A286" s="1" t="s">
        <v>410</v>
      </c>
      <c r="B286" s="1"/>
      <c r="C286" s="317">
        <v>0</v>
      </c>
      <c r="D286" s="317">
        <v>0</v>
      </c>
      <c r="E286" s="335">
        <v>60</v>
      </c>
      <c r="F286" s="319"/>
      <c r="G286" s="2">
        <f t="shared" si="28"/>
        <v>0</v>
      </c>
      <c r="H286" s="2">
        <f t="shared" si="28"/>
        <v>0</v>
      </c>
      <c r="I286" s="335">
        <f>$I$172</f>
        <v>60</v>
      </c>
      <c r="J286" s="321"/>
      <c r="K286" s="2">
        <f t="shared" si="29"/>
        <v>0</v>
      </c>
      <c r="AE286" s="84"/>
    </row>
    <row r="287" spans="1:31">
      <c r="A287" s="1" t="s">
        <v>411</v>
      </c>
      <c r="B287" s="1"/>
      <c r="C287" s="317">
        <v>0</v>
      </c>
      <c r="D287" s="317">
        <v>0</v>
      </c>
      <c r="E287" s="337">
        <v>-30</v>
      </c>
      <c r="F287" s="319" t="s">
        <v>377</v>
      </c>
      <c r="G287" s="2">
        <f t="shared" si="28"/>
        <v>0</v>
      </c>
      <c r="H287" s="2">
        <f t="shared" si="28"/>
        <v>0</v>
      </c>
      <c r="I287" s="337">
        <f>$I$173</f>
        <v>-30</v>
      </c>
      <c r="J287" s="321" t="s">
        <v>377</v>
      </c>
      <c r="K287" s="2">
        <f t="shared" si="29"/>
        <v>0</v>
      </c>
      <c r="AE287" s="84"/>
    </row>
    <row r="288" spans="1:31">
      <c r="A288" s="1" t="s">
        <v>384</v>
      </c>
      <c r="B288" s="1"/>
      <c r="C288" s="317">
        <f>C317+C346</f>
        <v>1479724</v>
      </c>
      <c r="D288" s="317">
        <f>D317+D346</f>
        <v>1512494.9193898283</v>
      </c>
      <c r="E288" s="328"/>
      <c r="F288" s="2"/>
      <c r="G288" s="2">
        <f t="shared" si="28"/>
        <v>145918</v>
      </c>
      <c r="H288" s="2">
        <f t="shared" si="28"/>
        <v>148139</v>
      </c>
      <c r="I288" s="328"/>
      <c r="J288" s="321"/>
      <c r="K288" s="2">
        <f t="shared" si="29"/>
        <v>158273</v>
      </c>
      <c r="AE288" s="84"/>
    </row>
    <row r="289" spans="1:31">
      <c r="A289" s="1" t="s">
        <v>366</v>
      </c>
      <c r="B289" s="1"/>
      <c r="C289" s="338">
        <f>C318+C347</f>
        <v>5637.1439953097415</v>
      </c>
      <c r="D289" s="338">
        <f>D318+D347</f>
        <v>0</v>
      </c>
      <c r="E289" s="307"/>
      <c r="F289" s="307"/>
      <c r="G289" s="339">
        <f t="shared" si="28"/>
        <v>415.97676418055232</v>
      </c>
      <c r="H289" s="339">
        <f t="shared" si="28"/>
        <v>0</v>
      </c>
      <c r="I289" s="307"/>
      <c r="J289" s="307"/>
      <c r="K289" s="339">
        <f t="shared" si="29"/>
        <v>0</v>
      </c>
      <c r="M289" s="287"/>
      <c r="N289" s="287"/>
      <c r="O289" s="288"/>
      <c r="AE289" s="84"/>
    </row>
    <row r="290" spans="1:31" ht="16.5" thickBot="1">
      <c r="A290" s="1" t="s">
        <v>385</v>
      </c>
      <c r="B290" s="1"/>
      <c r="C290" s="309">
        <f>SUM(C288:C289)</f>
        <v>1485361.1439953097</v>
      </c>
      <c r="D290" s="309">
        <f>SUM(D288:D289)</f>
        <v>1512494.9193898283</v>
      </c>
      <c r="E290" s="340"/>
      <c r="F290" s="341"/>
      <c r="G290" s="342">
        <f>G288+G289</f>
        <v>146333.97676418055</v>
      </c>
      <c r="H290" s="342">
        <f>H288+H289</f>
        <v>148139</v>
      </c>
      <c r="I290" s="340"/>
      <c r="J290" s="343"/>
      <c r="K290" s="342">
        <f>K288+K289</f>
        <v>158273</v>
      </c>
      <c r="M290" s="289"/>
      <c r="N290" s="289"/>
      <c r="O290" s="290"/>
      <c r="AE290" s="84"/>
    </row>
    <row r="291" spans="1:31" ht="16.5" thickTop="1">
      <c r="A291" s="1"/>
      <c r="B291" s="1"/>
      <c r="C291" s="21"/>
      <c r="D291" s="21"/>
      <c r="E291" s="335"/>
      <c r="F291" s="2"/>
      <c r="G291" s="2"/>
      <c r="H291" s="2"/>
      <c r="I291" s="335"/>
      <c r="J291" s="1"/>
      <c r="K291" s="2" t="s">
        <v>31</v>
      </c>
      <c r="AE291" s="84"/>
    </row>
    <row r="292" spans="1:31">
      <c r="A292" s="291" t="s">
        <v>418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AE292" s="84"/>
    </row>
    <row r="293" spans="1:31">
      <c r="A293" s="1" t="s">
        <v>414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84"/>
    </row>
    <row r="295" spans="1:31">
      <c r="A295" s="1" t="s">
        <v>396</v>
      </c>
      <c r="B295" s="1"/>
      <c r="C295" s="317"/>
      <c r="D295" s="317"/>
      <c r="E295" s="2"/>
      <c r="F295" s="2"/>
      <c r="G295" s="1"/>
      <c r="H295" s="1"/>
      <c r="I295" s="2"/>
      <c r="J295" s="1"/>
      <c r="K295" s="1"/>
      <c r="AE295" s="84"/>
    </row>
    <row r="296" spans="1:31">
      <c r="A296" s="1" t="s">
        <v>419</v>
      </c>
      <c r="B296" s="1"/>
      <c r="C296" s="317">
        <f>3955+554</f>
        <v>4509</v>
      </c>
      <c r="D296" s="317">
        <f>ROUND((D300/C300)*C296,0)</f>
        <v>4475</v>
      </c>
      <c r="E296" s="296">
        <v>7</v>
      </c>
      <c r="F296" s="319"/>
      <c r="G296" s="2">
        <f>ROUND(E296*$C296,0)</f>
        <v>31563</v>
      </c>
      <c r="H296" s="2">
        <f>ROUND(E296*$D296,0)</f>
        <v>31325</v>
      </c>
      <c r="I296" s="296">
        <f>$I$153</f>
        <v>7.53</v>
      </c>
      <c r="J296" s="321"/>
      <c r="K296" s="2">
        <f>ROUND(I296*$D296,0)</f>
        <v>33697</v>
      </c>
      <c r="AE296" s="84"/>
    </row>
    <row r="297" spans="1:31">
      <c r="A297" s="1" t="s">
        <v>394</v>
      </c>
      <c r="B297" s="1"/>
      <c r="C297" s="317">
        <v>0</v>
      </c>
      <c r="D297" s="317">
        <v>0</v>
      </c>
      <c r="E297" s="296">
        <v>10.4</v>
      </c>
      <c r="F297" s="322"/>
      <c r="G297" s="2">
        <f>ROUND(E297*$C297,0)</f>
        <v>0</v>
      </c>
      <c r="H297" s="2">
        <f>ROUND(E297*$D297,0)</f>
        <v>0</v>
      </c>
      <c r="I297" s="296">
        <f>$I$154</f>
        <v>11.18</v>
      </c>
      <c r="J297" s="323"/>
      <c r="K297" s="2">
        <f>ROUND(I297*$D297,0)</f>
        <v>0</v>
      </c>
      <c r="AE297" s="84"/>
    </row>
    <row r="298" spans="1:31">
      <c r="A298" s="1" t="s">
        <v>395</v>
      </c>
      <c r="B298" s="1"/>
      <c r="C298" s="317">
        <v>0</v>
      </c>
      <c r="D298" s="317">
        <v>0</v>
      </c>
      <c r="E298" s="296">
        <v>0.69</v>
      </c>
      <c r="F298" s="322"/>
      <c r="G298" s="2">
        <f>ROUND(E298*$C298,0)</f>
        <v>0</v>
      </c>
      <c r="H298" s="2">
        <f>ROUND(E298*$D298,0)</f>
        <v>0</v>
      </c>
      <c r="I298" s="296">
        <f>$I$155</f>
        <v>0.78</v>
      </c>
      <c r="J298" s="323"/>
      <c r="K298" s="2">
        <f>ROUND(I298*$D298,0)</f>
        <v>0</v>
      </c>
      <c r="AE298" s="84"/>
    </row>
    <row r="299" spans="1:31">
      <c r="A299" s="1" t="s">
        <v>397</v>
      </c>
      <c r="B299" s="1"/>
      <c r="C299" s="317">
        <f>SUM(C296:C297)</f>
        <v>4509</v>
      </c>
      <c r="D299" s="317">
        <f>ROUND((D300/C300)*C299,0)</f>
        <v>4475</v>
      </c>
      <c r="E299" s="296"/>
      <c r="F299" s="319"/>
      <c r="G299" s="2"/>
      <c r="H299" s="2"/>
      <c r="I299" s="296"/>
      <c r="J299" s="321"/>
      <c r="K299" s="2"/>
      <c r="AE299" s="84"/>
    </row>
    <row r="300" spans="1:31">
      <c r="A300" s="1" t="s">
        <v>365</v>
      </c>
      <c r="B300" s="1"/>
      <c r="C300" s="317">
        <f>118+1463</f>
        <v>1581</v>
      </c>
      <c r="D300" s="317">
        <v>1569</v>
      </c>
      <c r="E300" s="296"/>
      <c r="F300" s="319"/>
      <c r="G300" s="2"/>
      <c r="H300" s="2"/>
      <c r="I300" s="296"/>
      <c r="J300" s="321"/>
      <c r="K300" s="2"/>
      <c r="AE300" s="84"/>
    </row>
    <row r="301" spans="1:31">
      <c r="A301" s="1" t="s">
        <v>398</v>
      </c>
      <c r="B301" s="1"/>
      <c r="C301" s="317">
        <v>0</v>
      </c>
      <c r="D301" s="317">
        <v>0</v>
      </c>
      <c r="E301" s="324">
        <v>2.81</v>
      </c>
      <c r="F301" s="321"/>
      <c r="G301" s="2">
        <f>ROUND(E301*$C301,0)</f>
        <v>0</v>
      </c>
      <c r="H301" s="2">
        <f>ROUND(E301*$D301,0)</f>
        <v>0</v>
      </c>
      <c r="I301" s="324">
        <f>$I$158</f>
        <v>2.88</v>
      </c>
      <c r="J301" s="321"/>
      <c r="K301" s="2">
        <f>ROUND(I301*$D301,0)</f>
        <v>0</v>
      </c>
      <c r="AE301" s="84"/>
    </row>
    <row r="302" spans="1:31">
      <c r="A302" s="1" t="s">
        <v>400</v>
      </c>
      <c r="B302" s="1"/>
      <c r="C302" s="317">
        <f>36756+1134799+210050</f>
        <v>1381605</v>
      </c>
      <c r="D302" s="317">
        <f>ROUND(($D$317/'Blocking - detail'!$C$317)*C302,0)</f>
        <v>1407918</v>
      </c>
      <c r="E302" s="297">
        <v>7.5869999999999997</v>
      </c>
      <c r="F302" s="321" t="s">
        <v>377</v>
      </c>
      <c r="G302" s="2">
        <f>ROUND(E302*$C302/100,0)</f>
        <v>104822</v>
      </c>
      <c r="H302" s="2">
        <f>ROUND(E302*$D302/100,0)</f>
        <v>106819</v>
      </c>
      <c r="I302" s="297">
        <f>$I$159</f>
        <v>8.0890000000000004</v>
      </c>
      <c r="J302" s="321" t="s">
        <v>377</v>
      </c>
      <c r="K302" s="2">
        <f>ROUND(I302*$D302/100,0)</f>
        <v>113886</v>
      </c>
      <c r="AE302" s="84"/>
    </row>
    <row r="303" spans="1:31">
      <c r="A303" s="1" t="s">
        <v>401</v>
      </c>
      <c r="B303" s="21"/>
      <c r="C303" s="317">
        <f>64806</f>
        <v>64806</v>
      </c>
      <c r="D303" s="317">
        <f>ROUND(($D$317/'Blocking - detail'!$C$317)*C303,0)</f>
        <v>66040</v>
      </c>
      <c r="E303" s="297">
        <v>5.2370000000000001</v>
      </c>
      <c r="F303" s="321" t="s">
        <v>377</v>
      </c>
      <c r="G303" s="2">
        <f>ROUND(E303*$C303/100,0)</f>
        <v>3394</v>
      </c>
      <c r="H303" s="2">
        <f>ROUND(E303*$D303/100,0)</f>
        <v>3459</v>
      </c>
      <c r="I303" s="297">
        <f>$I$160</f>
        <v>5.5839999999999996</v>
      </c>
      <c r="J303" s="321" t="s">
        <v>377</v>
      </c>
      <c r="K303" s="2">
        <f>ROUND(I303*$D303/100,0)</f>
        <v>3688</v>
      </c>
      <c r="AE303" s="84"/>
    </row>
    <row r="304" spans="1:31">
      <c r="A304" s="1" t="s">
        <v>402</v>
      </c>
      <c r="B304" s="1"/>
      <c r="C304" s="317">
        <f>36756+1199605+210050-C302-C303</f>
        <v>0</v>
      </c>
      <c r="D304" s="317">
        <f>ROUND(($D$317/'Blocking - detail'!$C$317)*C304,0)</f>
        <v>0</v>
      </c>
      <c r="E304" s="297">
        <v>4.5129999999999999</v>
      </c>
      <c r="F304" s="321" t="s">
        <v>377</v>
      </c>
      <c r="G304" s="2">
        <f>ROUND(E304*$C304/100,0)</f>
        <v>0</v>
      </c>
      <c r="H304" s="2">
        <f>ROUND(E304*$D304/100,0)</f>
        <v>0</v>
      </c>
      <c r="I304" s="297">
        <f>$I$161</f>
        <v>4.8100000000000005</v>
      </c>
      <c r="J304" s="321" t="s">
        <v>377</v>
      </c>
      <c r="K304" s="2">
        <f>ROUND(I304*$D304/100,0)</f>
        <v>0</v>
      </c>
      <c r="AE304" s="84"/>
    </row>
    <row r="305" spans="1:31">
      <c r="A305" s="1" t="s">
        <v>403</v>
      </c>
      <c r="B305" s="1"/>
      <c r="C305" s="317">
        <v>0</v>
      </c>
      <c r="D305" s="317">
        <f>ROUND(($D$317/'Blocking - detail'!$C$317)*C305,0)</f>
        <v>0</v>
      </c>
      <c r="E305" s="328">
        <v>45</v>
      </c>
      <c r="F305" s="319" t="s">
        <v>377</v>
      </c>
      <c r="G305" s="2">
        <f>ROUND(E305*$C305/100,0)</f>
        <v>0</v>
      </c>
      <c r="H305" s="2">
        <f>ROUND(E305*$D305/100,0)</f>
        <v>0</v>
      </c>
      <c r="I305" s="328">
        <f>$I$162</f>
        <v>45</v>
      </c>
      <c r="J305" s="321" t="s">
        <v>377</v>
      </c>
      <c r="K305" s="2">
        <f>ROUND(I305*$D305/100,0)</f>
        <v>0</v>
      </c>
      <c r="AE305" s="84"/>
    </row>
    <row r="306" spans="1:31">
      <c r="A306" s="329" t="s">
        <v>404</v>
      </c>
      <c r="B306" s="1"/>
      <c r="C306" s="317"/>
      <c r="D306" s="317"/>
      <c r="E306" s="330">
        <v>-0.01</v>
      </c>
      <c r="F306" s="319"/>
      <c r="G306" s="2"/>
      <c r="H306" s="2"/>
      <c r="I306" s="330">
        <f>$I$163</f>
        <v>-0.01</v>
      </c>
      <c r="J306" s="321"/>
      <c r="K306" s="2"/>
      <c r="AE306" s="84"/>
    </row>
    <row r="307" spans="1:31">
      <c r="A307" s="1" t="s">
        <v>393</v>
      </c>
      <c r="B307" s="1"/>
      <c r="C307" s="317">
        <v>0</v>
      </c>
      <c r="D307" s="317">
        <v>0</v>
      </c>
      <c r="E307" s="332">
        <f>E296</f>
        <v>7</v>
      </c>
      <c r="F307" s="319"/>
      <c r="G307" s="2">
        <f>-ROUND(E307*$C307/100,0)</f>
        <v>0</v>
      </c>
      <c r="H307" s="2">
        <f t="shared" ref="H307:H316" si="30">-ROUND(E307*$D307/100,0)</f>
        <v>0</v>
      </c>
      <c r="I307" s="332">
        <f>I297</f>
        <v>11.18</v>
      </c>
      <c r="J307" s="319"/>
      <c r="K307" s="2">
        <f>-ROUND(I307*$D307/100,0)</f>
        <v>0</v>
      </c>
      <c r="AE307" s="84"/>
    </row>
    <row r="308" spans="1:31">
      <c r="A308" s="1" t="s">
        <v>394</v>
      </c>
      <c r="B308" s="1"/>
      <c r="C308" s="317">
        <v>0</v>
      </c>
      <c r="D308" s="317">
        <v>0</v>
      </c>
      <c r="E308" s="332">
        <f>E297</f>
        <v>10.4</v>
      </c>
      <c r="F308" s="319"/>
      <c r="G308" s="2">
        <f>-ROUND(E308*$C308/100,0)</f>
        <v>0</v>
      </c>
      <c r="H308" s="2">
        <f t="shared" si="30"/>
        <v>0</v>
      </c>
      <c r="I308" s="332">
        <f>I298</f>
        <v>0.78</v>
      </c>
      <c r="J308" s="319"/>
      <c r="K308" s="2">
        <f>-ROUND(I308*$D308/100,0)</f>
        <v>0</v>
      </c>
      <c r="AE308" s="84"/>
    </row>
    <row r="309" spans="1:31">
      <c r="A309" s="1" t="s">
        <v>405</v>
      </c>
      <c r="B309" s="1"/>
      <c r="C309" s="317">
        <v>0</v>
      </c>
      <c r="D309" s="317">
        <f>ROUND(($D$317/'Blocking - detail'!$C$317)*C309,0)</f>
        <v>0</v>
      </c>
      <c r="E309" s="332">
        <f>E298</f>
        <v>0.69</v>
      </c>
      <c r="F309" s="319"/>
      <c r="G309" s="2">
        <f>-ROUND(E309*$C309/100,0)</f>
        <v>0</v>
      </c>
      <c r="H309" s="2">
        <f t="shared" si="30"/>
        <v>0</v>
      </c>
      <c r="I309" s="332">
        <f>I299</f>
        <v>0</v>
      </c>
      <c r="J309" s="319"/>
      <c r="K309" s="2">
        <f>-ROUND(I309*$D309/100,0)</f>
        <v>0</v>
      </c>
      <c r="AE309" s="84"/>
    </row>
    <row r="310" spans="1:31">
      <c r="A310" s="1" t="s">
        <v>406</v>
      </c>
      <c r="B310" s="1"/>
      <c r="C310" s="317">
        <v>0</v>
      </c>
      <c r="D310" s="317">
        <f>ROUND(($D$317/'Blocking - detail'!$C$317)*C310,0)</f>
        <v>0</v>
      </c>
      <c r="E310" s="332">
        <f>E301</f>
        <v>2.81</v>
      </c>
      <c r="F310" s="321"/>
      <c r="G310" s="2">
        <f>-ROUND(E310*$C310/100,0)</f>
        <v>0</v>
      </c>
      <c r="H310" s="2">
        <f t="shared" si="30"/>
        <v>0</v>
      </c>
      <c r="I310" s="332">
        <f>I301</f>
        <v>2.88</v>
      </c>
      <c r="J310" s="321"/>
      <c r="K310" s="2">
        <f>-ROUND(I310*$D310/100,0)</f>
        <v>0</v>
      </c>
      <c r="AE310" s="84"/>
    </row>
    <row r="311" spans="1:31">
      <c r="A311" s="1" t="s">
        <v>408</v>
      </c>
      <c r="B311" s="1"/>
      <c r="C311" s="317">
        <v>0</v>
      </c>
      <c r="D311" s="317">
        <f>ROUND(($D$317/'Blocking - detail'!$C$317)*C311,0)</f>
        <v>0</v>
      </c>
      <c r="E311" s="333">
        <f>E302</f>
        <v>7.5869999999999997</v>
      </c>
      <c r="F311" s="321" t="s">
        <v>377</v>
      </c>
      <c r="G311" s="2">
        <f>ROUND(E311*$C311/100*E306,0)</f>
        <v>0</v>
      </c>
      <c r="H311" s="2">
        <f t="shared" si="30"/>
        <v>0</v>
      </c>
      <c r="I311" s="333">
        <f>I302</f>
        <v>8.0890000000000004</v>
      </c>
      <c r="J311" s="321" t="s">
        <v>377</v>
      </c>
      <c r="K311" s="2">
        <f>ROUND(I311*$D311/100*I306,0)</f>
        <v>0</v>
      </c>
      <c r="AE311" s="84"/>
    </row>
    <row r="312" spans="1:31">
      <c r="A312" s="1" t="s">
        <v>401</v>
      </c>
      <c r="B312" s="1"/>
      <c r="C312" s="317">
        <v>0</v>
      </c>
      <c r="D312" s="317">
        <f>ROUND(($D$317/'Blocking - detail'!$C$317)*C312,0)</f>
        <v>0</v>
      </c>
      <c r="E312" s="333">
        <f>E303</f>
        <v>5.2370000000000001</v>
      </c>
      <c r="F312" s="321" t="s">
        <v>377</v>
      </c>
      <c r="G312" s="2">
        <f>ROUND(E312*$C312/100*E306,0)</f>
        <v>0</v>
      </c>
      <c r="H312" s="2">
        <f t="shared" si="30"/>
        <v>0</v>
      </c>
      <c r="I312" s="333">
        <f>I303</f>
        <v>5.5839999999999996</v>
      </c>
      <c r="J312" s="321" t="s">
        <v>377</v>
      </c>
      <c r="K312" s="2">
        <f>ROUND(I312*$D312/100*I306,0)</f>
        <v>0</v>
      </c>
      <c r="AE312" s="84"/>
    </row>
    <row r="313" spans="1:31">
      <c r="A313" s="1" t="s">
        <v>402</v>
      </c>
      <c r="B313" s="1"/>
      <c r="C313" s="317">
        <v>0</v>
      </c>
      <c r="D313" s="317">
        <f>ROUND(($D$317/'Blocking - detail'!$C$317)*C313,0)</f>
        <v>0</v>
      </c>
      <c r="E313" s="333">
        <f>E304</f>
        <v>4.5129999999999999</v>
      </c>
      <c r="F313" s="321" t="s">
        <v>377</v>
      </c>
      <c r="G313" s="2">
        <f>ROUND(E313*$C313/100*E306,0)</f>
        <v>0</v>
      </c>
      <c r="H313" s="2">
        <f t="shared" si="30"/>
        <v>0</v>
      </c>
      <c r="I313" s="333">
        <f>I304</f>
        <v>4.8100000000000005</v>
      </c>
      <c r="J313" s="321" t="s">
        <v>377</v>
      </c>
      <c r="K313" s="2">
        <f>ROUND(I313*$D313/100*I306,0)</f>
        <v>0</v>
      </c>
      <c r="AE313" s="84"/>
    </row>
    <row r="314" spans="1:31">
      <c r="A314" s="1" t="s">
        <v>403</v>
      </c>
      <c r="B314" s="1"/>
      <c r="C314" s="317">
        <v>0</v>
      </c>
      <c r="D314" s="317">
        <f>ROUND(($D$317/'Blocking - detail'!$C$317)*C314,0)</f>
        <v>0</v>
      </c>
      <c r="E314" s="334">
        <f>E305</f>
        <v>45</v>
      </c>
      <c r="F314" s="321" t="s">
        <v>377</v>
      </c>
      <c r="G314" s="2">
        <f>ROUND(E314*$C314/100*E306,0)</f>
        <v>0</v>
      </c>
      <c r="H314" s="2">
        <f t="shared" si="30"/>
        <v>0</v>
      </c>
      <c r="I314" s="334">
        <f>I305</f>
        <v>45</v>
      </c>
      <c r="J314" s="321" t="s">
        <v>377</v>
      </c>
      <c r="K314" s="2">
        <f>ROUND(I314*$D314/100*I306,0)</f>
        <v>0</v>
      </c>
      <c r="AE314" s="84"/>
    </row>
    <row r="315" spans="1:31">
      <c r="A315" s="1" t="s">
        <v>410</v>
      </c>
      <c r="B315" s="1"/>
      <c r="C315" s="317">
        <v>0</v>
      </c>
      <c r="D315" s="317">
        <f>ROUND(($D$317/'Blocking - detail'!$C$317)*C315,0)</f>
        <v>0</v>
      </c>
      <c r="E315" s="335">
        <v>60</v>
      </c>
      <c r="F315" s="319"/>
      <c r="G315" s="2">
        <f>ROUND(E315*$C315,0)</f>
        <v>0</v>
      </c>
      <c r="H315" s="2">
        <f t="shared" si="30"/>
        <v>0</v>
      </c>
      <c r="I315" s="335">
        <f>$I$172</f>
        <v>60</v>
      </c>
      <c r="J315" s="321"/>
      <c r="K315" s="2">
        <f>ROUND(I315*$D315,0)</f>
        <v>0</v>
      </c>
      <c r="AE315" s="84"/>
    </row>
    <row r="316" spans="1:31">
      <c r="A316" s="1" t="s">
        <v>411</v>
      </c>
      <c r="B316" s="1"/>
      <c r="C316" s="317">
        <v>0</v>
      </c>
      <c r="D316" s="317">
        <f>ROUND(($D$317/'Blocking - detail'!$C$317)*C316,0)</f>
        <v>0</v>
      </c>
      <c r="E316" s="337">
        <v>-30</v>
      </c>
      <c r="F316" s="319" t="s">
        <v>377</v>
      </c>
      <c r="G316" s="2">
        <f>ROUND(E316*$C316/100,0)</f>
        <v>0</v>
      </c>
      <c r="H316" s="2">
        <f t="shared" si="30"/>
        <v>0</v>
      </c>
      <c r="I316" s="337">
        <f>$I$173</f>
        <v>-30</v>
      </c>
      <c r="J316" s="321" t="s">
        <v>377</v>
      </c>
      <c r="K316" s="2">
        <f>ROUND(I316*$D316/100,0)</f>
        <v>0</v>
      </c>
      <c r="AE316" s="84"/>
    </row>
    <row r="317" spans="1:31">
      <c r="A317" s="1" t="s">
        <v>384</v>
      </c>
      <c r="B317" s="1"/>
      <c r="C317" s="317">
        <f>SUM(C302:C304)</f>
        <v>1446411</v>
      </c>
      <c r="D317" s="317">
        <v>1473957.9193898283</v>
      </c>
      <c r="E317" s="328"/>
      <c r="F317" s="2"/>
      <c r="G317" s="2">
        <f>SUM(G296:G316)</f>
        <v>139779</v>
      </c>
      <c r="H317" s="2">
        <f>SUM(H296:H316)</f>
        <v>141603</v>
      </c>
      <c r="I317" s="328"/>
      <c r="J317" s="321"/>
      <c r="K317" s="2">
        <f>SUM(K296:K316)</f>
        <v>151271</v>
      </c>
      <c r="AE317" s="84"/>
    </row>
    <row r="318" spans="1:31">
      <c r="A318" s="1" t="s">
        <v>366</v>
      </c>
      <c r="B318" s="1"/>
      <c r="C318" s="347">
        <v>6388.0237176284736</v>
      </c>
      <c r="D318" s="338">
        <v>0</v>
      </c>
      <c r="E318" s="307"/>
      <c r="F318" s="307"/>
      <c r="G318" s="339">
        <v>524.67537963993209</v>
      </c>
      <c r="H318" s="339">
        <v>0</v>
      </c>
      <c r="I318" s="307"/>
      <c r="J318" s="307"/>
      <c r="K318" s="339">
        <v>0</v>
      </c>
      <c r="M318" s="287"/>
      <c r="N318" s="287"/>
      <c r="O318" s="288"/>
      <c r="AE318" s="84"/>
    </row>
    <row r="319" spans="1:31" ht="16.5" thickBot="1">
      <c r="A319" s="1" t="s">
        <v>385</v>
      </c>
      <c r="B319" s="1"/>
      <c r="C319" s="309">
        <f>SUM(C317:C318)</f>
        <v>1452799.0237176286</v>
      </c>
      <c r="D319" s="309">
        <f>SUM(D317:D318)</f>
        <v>1473957.9193898283</v>
      </c>
      <c r="E319" s="340"/>
      <c r="F319" s="341"/>
      <c r="G319" s="342">
        <f>G317+G318</f>
        <v>140303.67537963993</v>
      </c>
      <c r="H319" s="342">
        <f>H317+H318</f>
        <v>141603</v>
      </c>
      <c r="I319" s="340"/>
      <c r="J319" s="343"/>
      <c r="K319" s="342">
        <f>K317+K318</f>
        <v>151271</v>
      </c>
      <c r="M319" s="289"/>
      <c r="N319" s="289"/>
      <c r="O319" s="290"/>
      <c r="AE319" s="84"/>
    </row>
    <row r="320" spans="1:31" ht="16.5" thickTop="1">
      <c r="A320" s="1"/>
      <c r="B320" s="1"/>
      <c r="C320" s="21"/>
      <c r="D320" s="21"/>
      <c r="E320" s="335"/>
      <c r="F320" s="2"/>
      <c r="G320" s="2"/>
      <c r="H320" s="2"/>
      <c r="I320" s="335"/>
      <c r="J320" s="1"/>
      <c r="K320" s="2" t="s">
        <v>31</v>
      </c>
      <c r="AE320" s="84"/>
    </row>
    <row r="321" spans="1:31">
      <c r="A321" s="291" t="s">
        <v>418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AE321" s="84"/>
    </row>
    <row r="322" spans="1:31">
      <c r="A322" s="1" t="s">
        <v>417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84"/>
    </row>
    <row r="324" spans="1:31">
      <c r="A324" s="1" t="s">
        <v>396</v>
      </c>
      <c r="B324" s="1"/>
      <c r="C324" s="317"/>
      <c r="D324" s="317"/>
      <c r="E324" s="2"/>
      <c r="F324" s="2"/>
      <c r="G324" s="1"/>
      <c r="H324" s="1"/>
      <c r="I324" s="2"/>
      <c r="J324" s="1"/>
      <c r="K324" s="1"/>
      <c r="AE324" s="84"/>
    </row>
    <row r="325" spans="1:31">
      <c r="A325" s="1" t="s">
        <v>419</v>
      </c>
      <c r="B325" s="1"/>
      <c r="C325" s="317">
        <v>516</v>
      </c>
      <c r="D325" s="317">
        <f>ROUND((D329/C329)*C325,0)</f>
        <v>516</v>
      </c>
      <c r="E325" s="296">
        <v>7</v>
      </c>
      <c r="F325" s="319"/>
      <c r="G325" s="2">
        <f>ROUND(E325*$C325,0)</f>
        <v>3612</v>
      </c>
      <c r="H325" s="2">
        <f>ROUND(E325*$D325,0)</f>
        <v>3612</v>
      </c>
      <c r="I325" s="296">
        <f>$I$153</f>
        <v>7.53</v>
      </c>
      <c r="J325" s="321"/>
      <c r="K325" s="2">
        <f>ROUND(I325*$D325,0)</f>
        <v>3885</v>
      </c>
      <c r="AE325" s="84"/>
    </row>
    <row r="326" spans="1:31">
      <c r="A326" s="1" t="s">
        <v>394</v>
      </c>
      <c r="B326" s="1"/>
      <c r="C326" s="317">
        <v>0</v>
      </c>
      <c r="D326" s="317">
        <v>0</v>
      </c>
      <c r="E326" s="296">
        <v>10.4</v>
      </c>
      <c r="F326" s="322"/>
      <c r="G326" s="2">
        <f>ROUND(E326*$C326,0)</f>
        <v>0</v>
      </c>
      <c r="H326" s="2">
        <f>ROUND(E326*$D326,0)</f>
        <v>0</v>
      </c>
      <c r="I326" s="296">
        <f>$I$154</f>
        <v>11.18</v>
      </c>
      <c r="J326" s="323"/>
      <c r="K326" s="2">
        <f>ROUND(I326*$D326,0)</f>
        <v>0</v>
      </c>
      <c r="AE326" s="84"/>
    </row>
    <row r="327" spans="1:31">
      <c r="A327" s="1" t="s">
        <v>395</v>
      </c>
      <c r="B327" s="1"/>
      <c r="C327" s="317">
        <v>0</v>
      </c>
      <c r="D327" s="317">
        <v>0</v>
      </c>
      <c r="E327" s="296">
        <v>0.69</v>
      </c>
      <c r="F327" s="322"/>
      <c r="G327" s="2">
        <f>ROUND(E327*$C327,0)</f>
        <v>0</v>
      </c>
      <c r="H327" s="2">
        <f>ROUND(E327*$D327,0)</f>
        <v>0</v>
      </c>
      <c r="I327" s="296">
        <f>$I$155</f>
        <v>0.78</v>
      </c>
      <c r="J327" s="323"/>
      <c r="K327" s="2">
        <f>ROUND(I327*$D327,0)</f>
        <v>0</v>
      </c>
      <c r="AE327" s="84"/>
    </row>
    <row r="328" spans="1:31">
      <c r="A328" s="1" t="s">
        <v>397</v>
      </c>
      <c r="B328" s="1"/>
      <c r="C328" s="317">
        <f>SUM(C325:C326)</f>
        <v>516</v>
      </c>
      <c r="D328" s="317">
        <f>ROUND((D329/C329)*C328,0)</f>
        <v>516</v>
      </c>
      <c r="E328" s="296"/>
      <c r="F328" s="319"/>
      <c r="G328" s="2"/>
      <c r="H328" s="2"/>
      <c r="I328" s="296"/>
      <c r="J328" s="321"/>
      <c r="K328" s="2"/>
      <c r="AE328" s="84"/>
    </row>
    <row r="329" spans="1:31">
      <c r="A329" s="1" t="s">
        <v>365</v>
      </c>
      <c r="B329" s="1"/>
      <c r="C329" s="317">
        <v>48</v>
      </c>
      <c r="D329" s="317">
        <v>48</v>
      </c>
      <c r="E329" s="296"/>
      <c r="F329" s="319"/>
      <c r="G329" s="2"/>
      <c r="H329" s="2"/>
      <c r="I329" s="296"/>
      <c r="J329" s="321"/>
      <c r="K329" s="2"/>
      <c r="AE329" s="84"/>
    </row>
    <row r="330" spans="1:31">
      <c r="A330" s="1" t="s">
        <v>398</v>
      </c>
      <c r="B330" s="1"/>
      <c r="C330" s="317">
        <v>0</v>
      </c>
      <c r="D330" s="317">
        <v>0</v>
      </c>
      <c r="E330" s="324">
        <v>2.81</v>
      </c>
      <c r="F330" s="321"/>
      <c r="G330" s="2">
        <f>ROUND(E330*$C330,0)</f>
        <v>0</v>
      </c>
      <c r="H330" s="2">
        <f>ROUND(E330*$D330,0)</f>
        <v>0</v>
      </c>
      <c r="I330" s="324">
        <f>$I$158</f>
        <v>2.88</v>
      </c>
      <c r="J330" s="321"/>
      <c r="K330" s="2">
        <f>ROUND(I330*$D330,0)</f>
        <v>0</v>
      </c>
      <c r="AE330" s="84"/>
    </row>
    <row r="331" spans="1:31">
      <c r="A331" s="1" t="s">
        <v>400</v>
      </c>
      <c r="B331" s="1"/>
      <c r="C331" s="317">
        <f>33313</f>
        <v>33313</v>
      </c>
      <c r="D331" s="317">
        <f>ROUND(($D$346/'Blocking - detail'!$C$346)*C331,0)</f>
        <v>38537</v>
      </c>
      <c r="E331" s="297">
        <v>7.5869999999999997</v>
      </c>
      <c r="F331" s="321" t="s">
        <v>377</v>
      </c>
      <c r="G331" s="2">
        <f>ROUND(E331*$C331/100,0)</f>
        <v>2527</v>
      </c>
      <c r="H331" s="2">
        <f>ROUND(E331*$D331/100,0)</f>
        <v>2924</v>
      </c>
      <c r="I331" s="297">
        <f>$I$159</f>
        <v>8.0890000000000004</v>
      </c>
      <c r="J331" s="321" t="s">
        <v>377</v>
      </c>
      <c r="K331" s="2">
        <f>ROUND(I331*$D331/100,0)</f>
        <v>3117</v>
      </c>
      <c r="AE331" s="84"/>
    </row>
    <row r="332" spans="1:31">
      <c r="A332" s="1" t="s">
        <v>401</v>
      </c>
      <c r="B332" s="1"/>
      <c r="C332" s="317">
        <v>0</v>
      </c>
      <c r="D332" s="317">
        <v>0</v>
      </c>
      <c r="E332" s="297">
        <v>5.2370000000000001</v>
      </c>
      <c r="F332" s="321" t="s">
        <v>377</v>
      </c>
      <c r="G332" s="2">
        <f>ROUND(E332*$C332/100,0)</f>
        <v>0</v>
      </c>
      <c r="H332" s="2">
        <f>ROUND(E332*$D332/100,0)</f>
        <v>0</v>
      </c>
      <c r="I332" s="297">
        <f>$I$160</f>
        <v>5.5839999999999996</v>
      </c>
      <c r="J332" s="321" t="s">
        <v>377</v>
      </c>
      <c r="K332" s="2">
        <f>ROUND(I332*$D332/100,0)</f>
        <v>0</v>
      </c>
      <c r="AE332" s="84"/>
    </row>
    <row r="333" spans="1:31">
      <c r="A333" s="1" t="s">
        <v>402</v>
      </c>
      <c r="B333" s="1"/>
      <c r="C333" s="317">
        <f>33313-C331</f>
        <v>0</v>
      </c>
      <c r="D333" s="317">
        <v>0</v>
      </c>
      <c r="E333" s="297">
        <v>4.5129999999999999</v>
      </c>
      <c r="F333" s="321" t="s">
        <v>377</v>
      </c>
      <c r="G333" s="2">
        <f>ROUND(E333*$C333/100,0)</f>
        <v>0</v>
      </c>
      <c r="H333" s="2">
        <f>ROUND(E333*$D333/100,0)</f>
        <v>0</v>
      </c>
      <c r="I333" s="297">
        <f>$I$161</f>
        <v>4.8100000000000005</v>
      </c>
      <c r="J333" s="321" t="s">
        <v>377</v>
      </c>
      <c r="K333" s="2">
        <f>ROUND(I333*$D333/100,0)</f>
        <v>0</v>
      </c>
      <c r="AE333" s="84"/>
    </row>
    <row r="334" spans="1:31">
      <c r="A334" s="1" t="s">
        <v>403</v>
      </c>
      <c r="B334" s="1"/>
      <c r="C334" s="317">
        <v>0</v>
      </c>
      <c r="D334" s="317">
        <v>0</v>
      </c>
      <c r="E334" s="328">
        <v>45</v>
      </c>
      <c r="F334" s="319" t="s">
        <v>377</v>
      </c>
      <c r="G334" s="2">
        <f>ROUND(E334*$C334/100,0)</f>
        <v>0</v>
      </c>
      <c r="H334" s="2">
        <f>ROUND(E334*$D334/100,0)</f>
        <v>0</v>
      </c>
      <c r="I334" s="328">
        <f>$I$162</f>
        <v>45</v>
      </c>
      <c r="J334" s="321" t="s">
        <v>377</v>
      </c>
      <c r="K334" s="2">
        <f>ROUND(I334*$D334/100,0)</f>
        <v>0</v>
      </c>
      <c r="AE334" s="84"/>
    </row>
    <row r="335" spans="1:31">
      <c r="A335" s="329" t="s">
        <v>404</v>
      </c>
      <c r="B335" s="1"/>
      <c r="C335" s="317"/>
      <c r="D335" s="317"/>
      <c r="E335" s="330">
        <v>-0.01</v>
      </c>
      <c r="F335" s="319"/>
      <c r="G335" s="2"/>
      <c r="H335" s="2"/>
      <c r="I335" s="330">
        <f>$I$163</f>
        <v>-0.01</v>
      </c>
      <c r="J335" s="321"/>
      <c r="K335" s="2"/>
      <c r="AE335" s="84"/>
    </row>
    <row r="336" spans="1:31">
      <c r="A336" s="1" t="s">
        <v>393</v>
      </c>
      <c r="B336" s="1"/>
      <c r="C336" s="317">
        <v>0</v>
      </c>
      <c r="D336" s="317">
        <v>0</v>
      </c>
      <c r="E336" s="332">
        <f>E325</f>
        <v>7</v>
      </c>
      <c r="F336" s="319"/>
      <c r="G336" s="2">
        <f>-ROUND(E336*$C336/100,0)</f>
        <v>0</v>
      </c>
      <c r="H336" s="2">
        <f t="shared" ref="H336:H345" si="31">-ROUND(E336*$D336/100,0)</f>
        <v>0</v>
      </c>
      <c r="I336" s="332">
        <f>I326</f>
        <v>11.18</v>
      </c>
      <c r="J336" s="319"/>
      <c r="K336" s="2">
        <f>-ROUND(I336*$D336/100,0)</f>
        <v>0</v>
      </c>
      <c r="AE336" s="84"/>
    </row>
    <row r="337" spans="1:31">
      <c r="A337" s="1" t="s">
        <v>394</v>
      </c>
      <c r="B337" s="1"/>
      <c r="C337" s="317">
        <v>0</v>
      </c>
      <c r="D337" s="317">
        <v>0</v>
      </c>
      <c r="E337" s="332">
        <f>E326</f>
        <v>10.4</v>
      </c>
      <c r="F337" s="319"/>
      <c r="G337" s="2">
        <f>-ROUND(E337*$C337/100,0)</f>
        <v>0</v>
      </c>
      <c r="H337" s="2">
        <f t="shared" si="31"/>
        <v>0</v>
      </c>
      <c r="I337" s="332">
        <f>I327</f>
        <v>0.78</v>
      </c>
      <c r="J337" s="319"/>
      <c r="K337" s="2">
        <f>-ROUND(I337*$D337/100,0)</f>
        <v>0</v>
      </c>
      <c r="AE337" s="84"/>
    </row>
    <row r="338" spans="1:31">
      <c r="A338" s="1" t="s">
        <v>405</v>
      </c>
      <c r="B338" s="1"/>
      <c r="C338" s="317">
        <v>0</v>
      </c>
      <c r="D338" s="317">
        <v>0</v>
      </c>
      <c r="E338" s="332">
        <f>E327</f>
        <v>0.69</v>
      </c>
      <c r="F338" s="319"/>
      <c r="G338" s="2">
        <f>-ROUND(E338*$C338/100,0)</f>
        <v>0</v>
      </c>
      <c r="H338" s="2">
        <f t="shared" si="31"/>
        <v>0</v>
      </c>
      <c r="I338" s="332">
        <f>I328</f>
        <v>0</v>
      </c>
      <c r="J338" s="319"/>
      <c r="K338" s="2">
        <f>-ROUND(I338*$D338/100,0)</f>
        <v>0</v>
      </c>
      <c r="AE338" s="84"/>
    </row>
    <row r="339" spans="1:31">
      <c r="A339" s="1" t="s">
        <v>406</v>
      </c>
      <c r="B339" s="1"/>
      <c r="C339" s="317">
        <v>0</v>
      </c>
      <c r="D339" s="317">
        <v>0</v>
      </c>
      <c r="E339" s="332">
        <f>E330</f>
        <v>2.81</v>
      </c>
      <c r="F339" s="321"/>
      <c r="G339" s="2">
        <f>-ROUND(E339*$C339/100,0)</f>
        <v>0</v>
      </c>
      <c r="H339" s="2">
        <f t="shared" si="31"/>
        <v>0</v>
      </c>
      <c r="I339" s="332">
        <f>I330</f>
        <v>2.88</v>
      </c>
      <c r="J339" s="321"/>
      <c r="K339" s="2">
        <f>-ROUND(I339*$D339/100,0)</f>
        <v>0</v>
      </c>
      <c r="AE339" s="84"/>
    </row>
    <row r="340" spans="1:31">
      <c r="A340" s="1" t="s">
        <v>408</v>
      </c>
      <c r="B340" s="1"/>
      <c r="C340" s="317">
        <v>0</v>
      </c>
      <c r="D340" s="317">
        <v>0</v>
      </c>
      <c r="E340" s="333">
        <f>E331</f>
        <v>7.5869999999999997</v>
      </c>
      <c r="F340" s="321" t="s">
        <v>377</v>
      </c>
      <c r="G340" s="2">
        <f>ROUND(E340*$C340/100*E335,0)</f>
        <v>0</v>
      </c>
      <c r="H340" s="2">
        <f t="shared" si="31"/>
        <v>0</v>
      </c>
      <c r="I340" s="333">
        <f>I331</f>
        <v>8.0890000000000004</v>
      </c>
      <c r="J340" s="321" t="s">
        <v>377</v>
      </c>
      <c r="K340" s="2">
        <f>ROUND(I340*$D340/100*I335,0)</f>
        <v>0</v>
      </c>
      <c r="AE340" s="84"/>
    </row>
    <row r="341" spans="1:31">
      <c r="A341" s="1" t="s">
        <v>401</v>
      </c>
      <c r="B341" s="1"/>
      <c r="C341" s="317">
        <v>0</v>
      </c>
      <c r="D341" s="317">
        <v>0</v>
      </c>
      <c r="E341" s="333">
        <f>E332</f>
        <v>5.2370000000000001</v>
      </c>
      <c r="F341" s="321" t="s">
        <v>377</v>
      </c>
      <c r="G341" s="2">
        <f>ROUND(E341*$C341/100*E335,0)</f>
        <v>0</v>
      </c>
      <c r="H341" s="2">
        <f t="shared" si="31"/>
        <v>0</v>
      </c>
      <c r="I341" s="333">
        <f>I332</f>
        <v>5.5839999999999996</v>
      </c>
      <c r="J341" s="321" t="s">
        <v>377</v>
      </c>
      <c r="K341" s="2">
        <f>ROUND(I341*$D341/100*I335,0)</f>
        <v>0</v>
      </c>
      <c r="AE341" s="84"/>
    </row>
    <row r="342" spans="1:31">
      <c r="A342" s="1" t="s">
        <v>402</v>
      </c>
      <c r="B342" s="1"/>
      <c r="C342" s="317">
        <v>0</v>
      </c>
      <c r="D342" s="317">
        <v>0</v>
      </c>
      <c r="E342" s="333">
        <f>E333</f>
        <v>4.5129999999999999</v>
      </c>
      <c r="F342" s="321" t="s">
        <v>377</v>
      </c>
      <c r="G342" s="2">
        <f>ROUND(E342*$C342/100*E335,0)</f>
        <v>0</v>
      </c>
      <c r="H342" s="2">
        <f t="shared" si="31"/>
        <v>0</v>
      </c>
      <c r="I342" s="333">
        <f>I333</f>
        <v>4.8100000000000005</v>
      </c>
      <c r="J342" s="321" t="s">
        <v>377</v>
      </c>
      <c r="K342" s="2">
        <f>ROUND(I342*$D342/100*I335,0)</f>
        <v>0</v>
      </c>
      <c r="AE342" s="84"/>
    </row>
    <row r="343" spans="1:31">
      <c r="A343" s="1" t="s">
        <v>403</v>
      </c>
      <c r="B343" s="1"/>
      <c r="C343" s="317">
        <v>0</v>
      </c>
      <c r="D343" s="317">
        <v>0</v>
      </c>
      <c r="E343" s="334">
        <f>E334</f>
        <v>45</v>
      </c>
      <c r="F343" s="321" t="s">
        <v>377</v>
      </c>
      <c r="G343" s="2">
        <f>ROUND(E343*$C343/100*E335,0)</f>
        <v>0</v>
      </c>
      <c r="H343" s="2">
        <f t="shared" si="31"/>
        <v>0</v>
      </c>
      <c r="I343" s="334">
        <f>I334</f>
        <v>45</v>
      </c>
      <c r="J343" s="321" t="s">
        <v>377</v>
      </c>
      <c r="K343" s="2">
        <f>ROUND(I343*$D343/100*I335,0)</f>
        <v>0</v>
      </c>
      <c r="AE343" s="84"/>
    </row>
    <row r="344" spans="1:31">
      <c r="A344" s="1" t="s">
        <v>410</v>
      </c>
      <c r="B344" s="1"/>
      <c r="C344" s="317">
        <v>0</v>
      </c>
      <c r="D344" s="317">
        <v>0</v>
      </c>
      <c r="E344" s="335">
        <v>60</v>
      </c>
      <c r="F344" s="319"/>
      <c r="G344" s="2">
        <f>ROUND(E344*$C344,0)</f>
        <v>0</v>
      </c>
      <c r="H344" s="2">
        <f t="shared" si="31"/>
        <v>0</v>
      </c>
      <c r="I344" s="335">
        <f>$I$172</f>
        <v>60</v>
      </c>
      <c r="J344" s="321"/>
      <c r="K344" s="2">
        <f>ROUND(I344*$D344,0)</f>
        <v>0</v>
      </c>
      <c r="AE344" s="84"/>
    </row>
    <row r="345" spans="1:31">
      <c r="A345" s="1" t="s">
        <v>411</v>
      </c>
      <c r="B345" s="1"/>
      <c r="C345" s="317">
        <v>0</v>
      </c>
      <c r="D345" s="317">
        <v>0</v>
      </c>
      <c r="E345" s="337">
        <v>-30</v>
      </c>
      <c r="F345" s="319" t="s">
        <v>377</v>
      </c>
      <c r="G345" s="2">
        <f>ROUND(E345*$C345/100,0)</f>
        <v>0</v>
      </c>
      <c r="H345" s="2">
        <f t="shared" si="31"/>
        <v>0</v>
      </c>
      <c r="I345" s="337">
        <f>$I$173</f>
        <v>-30</v>
      </c>
      <c r="J345" s="321" t="s">
        <v>377</v>
      </c>
      <c r="K345" s="2">
        <f>ROUND(I345*$D345/100,0)</f>
        <v>0</v>
      </c>
      <c r="AE345" s="84"/>
    </row>
    <row r="346" spans="1:31">
      <c r="A346" s="1" t="s">
        <v>384</v>
      </c>
      <c r="B346" s="1"/>
      <c r="C346" s="317">
        <f>SUM(C331:C333)</f>
        <v>33313</v>
      </c>
      <c r="D346" s="317">
        <v>38537</v>
      </c>
      <c r="E346" s="328"/>
      <c r="F346" s="2"/>
      <c r="G346" s="2">
        <f>SUM(G325:G345)</f>
        <v>6139</v>
      </c>
      <c r="H346" s="2">
        <f>SUM(H325:H345)</f>
        <v>6536</v>
      </c>
      <c r="I346" s="328"/>
      <c r="J346" s="321"/>
      <c r="K346" s="2">
        <f>SUM(K325:K345)</f>
        <v>7002</v>
      </c>
      <c r="AE346" s="84"/>
    </row>
    <row r="347" spans="1:31">
      <c r="A347" s="1" t="s">
        <v>366</v>
      </c>
      <c r="B347" s="1"/>
      <c r="C347" s="347">
        <v>-750.87972231873164</v>
      </c>
      <c r="D347" s="338">
        <v>0</v>
      </c>
      <c r="E347" s="307"/>
      <c r="F347" s="307"/>
      <c r="G347" s="339">
        <v>-108.69861545937974</v>
      </c>
      <c r="H347" s="339">
        <v>0</v>
      </c>
      <c r="I347" s="307"/>
      <c r="J347" s="307"/>
      <c r="K347" s="339">
        <v>0</v>
      </c>
      <c r="M347" s="287"/>
      <c r="N347" s="287"/>
      <c r="O347" s="288"/>
      <c r="AE347" s="84"/>
    </row>
    <row r="348" spans="1:31" ht="16.5" thickBot="1">
      <c r="A348" s="1" t="s">
        <v>385</v>
      </c>
      <c r="B348" s="1"/>
      <c r="C348" s="309">
        <f>SUM(C346:C347)</f>
        <v>32562.120277681268</v>
      </c>
      <c r="D348" s="309">
        <f>SUM(D346:D347)</f>
        <v>38537</v>
      </c>
      <c r="E348" s="340"/>
      <c r="F348" s="341"/>
      <c r="G348" s="342">
        <f>G346+G347</f>
        <v>6030.3013845406203</v>
      </c>
      <c r="H348" s="342">
        <f>H346+H347</f>
        <v>6536</v>
      </c>
      <c r="I348" s="340"/>
      <c r="J348" s="343"/>
      <c r="K348" s="342">
        <f>K346+K347</f>
        <v>7002</v>
      </c>
      <c r="M348" s="289"/>
      <c r="N348" s="289"/>
      <c r="O348" s="290"/>
      <c r="AE348" s="84"/>
    </row>
    <row r="349" spans="1:31" ht="16.5" thickTop="1">
      <c r="A349" s="1"/>
      <c r="B349" s="1"/>
      <c r="C349" s="21"/>
      <c r="D349" s="21"/>
      <c r="E349" s="335"/>
      <c r="F349" s="2"/>
      <c r="G349" s="2"/>
      <c r="H349" s="2"/>
      <c r="I349" s="351" t="s">
        <v>31</v>
      </c>
      <c r="J349" s="1"/>
      <c r="K349" s="2" t="s">
        <v>31</v>
      </c>
      <c r="AE349" s="84"/>
    </row>
    <row r="350" spans="1:31">
      <c r="A350" s="1"/>
      <c r="B350" s="1"/>
      <c r="C350" s="21"/>
      <c r="D350" s="21"/>
      <c r="E350" s="335"/>
      <c r="F350" s="2"/>
      <c r="G350" s="2"/>
      <c r="H350" s="2"/>
      <c r="I350" s="351" t="s">
        <v>31</v>
      </c>
      <c r="J350" s="1"/>
      <c r="K350" s="2" t="s">
        <v>31</v>
      </c>
      <c r="AE350" s="84"/>
    </row>
    <row r="351" spans="1:31">
      <c r="A351" s="291" t="s">
        <v>420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AE351" s="84"/>
    </row>
    <row r="352" spans="1:31">
      <c r="A352" s="1" t="s">
        <v>413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421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396</v>
      </c>
      <c r="B354" s="1"/>
      <c r="C354" s="317"/>
      <c r="D354" s="317"/>
      <c r="E354" s="2"/>
      <c r="F354" s="2"/>
      <c r="G354" s="1"/>
      <c r="H354" s="1"/>
      <c r="I354" s="2"/>
      <c r="J354" s="1"/>
      <c r="K354" s="1"/>
    </row>
    <row r="355" spans="1:11">
      <c r="A355" s="1" t="s">
        <v>393</v>
      </c>
      <c r="B355" s="1"/>
      <c r="C355" s="317">
        <f t="shared" ref="C355:D364" si="32">C384+C413</f>
        <v>1</v>
      </c>
      <c r="D355" s="317">
        <f t="shared" si="32"/>
        <v>1</v>
      </c>
      <c r="E355" s="296">
        <v>84</v>
      </c>
      <c r="F355" s="319"/>
      <c r="G355" s="2">
        <f t="shared" ref="G355:H357" si="33">G384+G413</f>
        <v>84</v>
      </c>
      <c r="H355" s="2">
        <f t="shared" si="33"/>
        <v>84</v>
      </c>
      <c r="I355" s="296">
        <f>$I$149</f>
        <v>90.36</v>
      </c>
      <c r="J355" s="321"/>
      <c r="K355" s="2">
        <f>K384+K413</f>
        <v>90</v>
      </c>
    </row>
    <row r="356" spans="1:11">
      <c r="A356" s="1" t="s">
        <v>394</v>
      </c>
      <c r="B356" s="1"/>
      <c r="C356" s="317">
        <f t="shared" si="32"/>
        <v>112</v>
      </c>
      <c r="D356" s="317">
        <f t="shared" si="32"/>
        <v>109</v>
      </c>
      <c r="E356" s="296">
        <v>124.8</v>
      </c>
      <c r="F356" s="322"/>
      <c r="G356" s="2">
        <f t="shared" si="33"/>
        <v>13978</v>
      </c>
      <c r="H356" s="2">
        <f t="shared" si="33"/>
        <v>13603</v>
      </c>
      <c r="I356" s="296">
        <f>$I$150</f>
        <v>134.16</v>
      </c>
      <c r="J356" s="323"/>
      <c r="K356" s="2">
        <f>K385+K414</f>
        <v>14623</v>
      </c>
    </row>
    <row r="357" spans="1:11">
      <c r="A357" s="1" t="s">
        <v>395</v>
      </c>
      <c r="B357" s="1"/>
      <c r="C357" s="317">
        <f t="shared" si="32"/>
        <v>4566</v>
      </c>
      <c r="D357" s="317">
        <f t="shared" si="32"/>
        <v>3312</v>
      </c>
      <c r="E357" s="296">
        <v>8.2799999999999994</v>
      </c>
      <c r="F357" s="322"/>
      <c r="G357" s="2">
        <f t="shared" si="33"/>
        <v>37806</v>
      </c>
      <c r="H357" s="2">
        <f t="shared" si="33"/>
        <v>27423</v>
      </c>
      <c r="I357" s="296">
        <f>$I$151</f>
        <v>9.36</v>
      </c>
      <c r="J357" s="323"/>
      <c r="K357" s="2">
        <f>K386+K415</f>
        <v>31000</v>
      </c>
    </row>
    <row r="358" spans="1:11">
      <c r="A358" s="1" t="s">
        <v>397</v>
      </c>
      <c r="B358" s="1"/>
      <c r="C358" s="317">
        <f t="shared" si="32"/>
        <v>113</v>
      </c>
      <c r="D358" s="317">
        <f t="shared" si="32"/>
        <v>109.75</v>
      </c>
      <c r="E358" s="296"/>
      <c r="F358" s="319"/>
      <c r="G358" s="2"/>
      <c r="H358" s="2"/>
      <c r="I358" s="296"/>
      <c r="J358" s="321"/>
      <c r="K358" s="2"/>
    </row>
    <row r="359" spans="1:11">
      <c r="A359" s="1" t="s">
        <v>422</v>
      </c>
      <c r="B359" s="1"/>
      <c r="C359" s="317">
        <f t="shared" si="32"/>
        <v>511</v>
      </c>
      <c r="D359" s="317">
        <f t="shared" si="32"/>
        <v>497</v>
      </c>
      <c r="E359" s="296"/>
      <c r="F359" s="319"/>
      <c r="G359" s="2"/>
      <c r="H359" s="2"/>
      <c r="I359" s="296"/>
      <c r="J359" s="321"/>
      <c r="K359" s="2"/>
    </row>
    <row r="360" spans="1:11">
      <c r="A360" s="1" t="s">
        <v>398</v>
      </c>
      <c r="B360" s="1"/>
      <c r="C360" s="317">
        <f t="shared" si="32"/>
        <v>12874</v>
      </c>
      <c r="D360" s="317">
        <f t="shared" si="32"/>
        <v>9698</v>
      </c>
      <c r="E360" s="324">
        <v>2.81</v>
      </c>
      <c r="F360" s="321"/>
      <c r="G360" s="2">
        <f t="shared" ref="G360:H364" si="34">G389+G418</f>
        <v>36176</v>
      </c>
      <c r="H360" s="2">
        <f t="shared" si="34"/>
        <v>27251</v>
      </c>
      <c r="I360" s="324">
        <f>$I$158</f>
        <v>2.88</v>
      </c>
      <c r="J360" s="321"/>
      <c r="K360" s="2">
        <f>K389+K418</f>
        <v>27931</v>
      </c>
    </row>
    <row r="361" spans="1:11">
      <c r="A361" s="1" t="s">
        <v>400</v>
      </c>
      <c r="B361" s="1"/>
      <c r="C361" s="317">
        <f t="shared" si="32"/>
        <v>184406</v>
      </c>
      <c r="D361" s="317">
        <f t="shared" si="32"/>
        <v>137037</v>
      </c>
      <c r="E361" s="297">
        <v>7.5869999999999997</v>
      </c>
      <c r="F361" s="321" t="s">
        <v>377</v>
      </c>
      <c r="G361" s="2">
        <f t="shared" si="34"/>
        <v>13991</v>
      </c>
      <c r="H361" s="2">
        <f t="shared" si="34"/>
        <v>10397</v>
      </c>
      <c r="I361" s="297">
        <f>$I$159</f>
        <v>8.0890000000000004</v>
      </c>
      <c r="J361" s="321" t="s">
        <v>377</v>
      </c>
      <c r="K361" s="2">
        <f>K390+K419</f>
        <v>11085</v>
      </c>
    </row>
    <row r="362" spans="1:11">
      <c r="A362" s="1" t="s">
        <v>401</v>
      </c>
      <c r="B362" s="1"/>
      <c r="C362" s="317">
        <f t="shared" si="32"/>
        <v>224259</v>
      </c>
      <c r="D362" s="317">
        <f t="shared" si="32"/>
        <v>163082</v>
      </c>
      <c r="E362" s="297">
        <v>5.2370000000000001</v>
      </c>
      <c r="F362" s="321" t="s">
        <v>377</v>
      </c>
      <c r="G362" s="2">
        <f t="shared" si="34"/>
        <v>11745</v>
      </c>
      <c r="H362" s="2">
        <f t="shared" si="34"/>
        <v>8541</v>
      </c>
      <c r="I362" s="297">
        <f>$I$160</f>
        <v>5.5839999999999996</v>
      </c>
      <c r="J362" s="321" t="s">
        <v>377</v>
      </c>
      <c r="K362" s="2">
        <f>K391+K420</f>
        <v>9107</v>
      </c>
    </row>
    <row r="363" spans="1:11">
      <c r="A363" s="1" t="s">
        <v>402</v>
      </c>
      <c r="B363" s="1"/>
      <c r="C363" s="317">
        <f t="shared" si="32"/>
        <v>0</v>
      </c>
      <c r="D363" s="317">
        <f t="shared" si="32"/>
        <v>0</v>
      </c>
      <c r="E363" s="297">
        <v>4.5129999999999999</v>
      </c>
      <c r="F363" s="321" t="s">
        <v>377</v>
      </c>
      <c r="G363" s="2">
        <f t="shared" si="34"/>
        <v>0</v>
      </c>
      <c r="H363" s="2">
        <f t="shared" si="34"/>
        <v>0</v>
      </c>
      <c r="I363" s="297">
        <f>$I$161</f>
        <v>4.8100000000000005</v>
      </c>
      <c r="J363" s="321" t="s">
        <v>377</v>
      </c>
      <c r="K363" s="2">
        <f>K392+K421</f>
        <v>0</v>
      </c>
    </row>
    <row r="364" spans="1:11">
      <c r="A364" s="1" t="s">
        <v>403</v>
      </c>
      <c r="B364" s="1"/>
      <c r="C364" s="317">
        <f t="shared" si="32"/>
        <v>1798</v>
      </c>
      <c r="D364" s="317">
        <f t="shared" si="32"/>
        <v>1304</v>
      </c>
      <c r="E364" s="328">
        <v>45</v>
      </c>
      <c r="F364" s="319" t="s">
        <v>377</v>
      </c>
      <c r="G364" s="2">
        <f t="shared" si="34"/>
        <v>809</v>
      </c>
      <c r="H364" s="2">
        <f t="shared" si="34"/>
        <v>587</v>
      </c>
      <c r="I364" s="328">
        <f>$I$162</f>
        <v>45</v>
      </c>
      <c r="J364" s="321" t="s">
        <v>377</v>
      </c>
      <c r="K364" s="2">
        <f>K393+K422</f>
        <v>587</v>
      </c>
    </row>
    <row r="365" spans="1:11">
      <c r="A365" s="329" t="s">
        <v>404</v>
      </c>
      <c r="B365" s="1"/>
      <c r="C365" s="317"/>
      <c r="D365" s="317"/>
      <c r="E365" s="330">
        <v>-0.01</v>
      </c>
      <c r="F365" s="319"/>
      <c r="G365" s="2"/>
      <c r="H365" s="2"/>
      <c r="I365" s="330">
        <f>$I$163</f>
        <v>-0.01</v>
      </c>
      <c r="J365" s="321"/>
      <c r="K365" s="2"/>
    </row>
    <row r="366" spans="1:11">
      <c r="A366" s="1" t="s">
        <v>393</v>
      </c>
      <c r="B366" s="1"/>
      <c r="C366" s="317">
        <v>0</v>
      </c>
      <c r="D366" s="317">
        <v>0</v>
      </c>
      <c r="E366" s="332">
        <f>E355</f>
        <v>84</v>
      </c>
      <c r="F366" s="319"/>
      <c r="G366" s="2">
        <f t="shared" ref="G366:H377" si="35">G395+G424</f>
        <v>0</v>
      </c>
      <c r="H366" s="2">
        <f t="shared" si="35"/>
        <v>0</v>
      </c>
      <c r="I366" s="332">
        <f>I355</f>
        <v>90.36</v>
      </c>
      <c r="J366" s="319"/>
      <c r="K366" s="2">
        <f t="shared" ref="K366:K377" si="36">K395+K424</f>
        <v>0</v>
      </c>
    </row>
    <row r="367" spans="1:11">
      <c r="A367" s="1" t="s">
        <v>394</v>
      </c>
      <c r="B367" s="1"/>
      <c r="C367" s="317">
        <v>0</v>
      </c>
      <c r="D367" s="317">
        <v>0</v>
      </c>
      <c r="E367" s="332">
        <f>E356</f>
        <v>124.8</v>
      </c>
      <c r="F367" s="319"/>
      <c r="G367" s="2">
        <f t="shared" si="35"/>
        <v>0</v>
      </c>
      <c r="H367" s="2">
        <f t="shared" si="35"/>
        <v>0</v>
      </c>
      <c r="I367" s="332">
        <f>I356</f>
        <v>134.16</v>
      </c>
      <c r="J367" s="319"/>
      <c r="K367" s="2">
        <f t="shared" si="36"/>
        <v>0</v>
      </c>
    </row>
    <row r="368" spans="1:11">
      <c r="A368" s="1" t="s">
        <v>405</v>
      </c>
      <c r="B368" s="1"/>
      <c r="C368" s="317">
        <v>0</v>
      </c>
      <c r="D368" s="317">
        <v>0</v>
      </c>
      <c r="E368" s="332">
        <f>E357</f>
        <v>8.2799999999999994</v>
      </c>
      <c r="F368" s="319"/>
      <c r="G368" s="2">
        <f t="shared" si="35"/>
        <v>0</v>
      </c>
      <c r="H368" s="2">
        <f t="shared" si="35"/>
        <v>0</v>
      </c>
      <c r="I368" s="332">
        <f>I357</f>
        <v>9.36</v>
      </c>
      <c r="J368" s="319"/>
      <c r="K368" s="2">
        <f t="shared" si="36"/>
        <v>0</v>
      </c>
    </row>
    <row r="369" spans="1:15">
      <c r="A369" s="1" t="s">
        <v>406</v>
      </c>
      <c r="B369" s="1"/>
      <c r="C369" s="317">
        <v>0</v>
      </c>
      <c r="D369" s="317">
        <v>0</v>
      </c>
      <c r="E369" s="332">
        <f>E360</f>
        <v>2.81</v>
      </c>
      <c r="F369" s="321"/>
      <c r="G369" s="2">
        <f t="shared" si="35"/>
        <v>0</v>
      </c>
      <c r="H369" s="2">
        <f t="shared" si="35"/>
        <v>0</v>
      </c>
      <c r="I369" s="332">
        <f>I360</f>
        <v>2.88</v>
      </c>
      <c r="J369" s="321"/>
      <c r="K369" s="2">
        <f t="shared" si="36"/>
        <v>0</v>
      </c>
    </row>
    <row r="370" spans="1:15">
      <c r="A370" s="1" t="s">
        <v>408</v>
      </c>
      <c r="B370" s="1"/>
      <c r="C370" s="317">
        <v>0</v>
      </c>
      <c r="D370" s="317">
        <v>0</v>
      </c>
      <c r="E370" s="333">
        <f>E361</f>
        <v>7.5869999999999997</v>
      </c>
      <c r="F370" s="321" t="s">
        <v>377</v>
      </c>
      <c r="G370" s="2">
        <f t="shared" si="35"/>
        <v>0</v>
      </c>
      <c r="H370" s="2">
        <f t="shared" si="35"/>
        <v>0</v>
      </c>
      <c r="I370" s="333">
        <f>I361</f>
        <v>8.0890000000000004</v>
      </c>
      <c r="J370" s="321" t="s">
        <v>377</v>
      </c>
      <c r="K370" s="2">
        <f t="shared" si="36"/>
        <v>0</v>
      </c>
    </row>
    <row r="371" spans="1:15">
      <c r="A371" s="1" t="s">
        <v>401</v>
      </c>
      <c r="B371" s="1"/>
      <c r="C371" s="317">
        <v>0</v>
      </c>
      <c r="D371" s="317">
        <v>0</v>
      </c>
      <c r="E371" s="333">
        <f>E362</f>
        <v>5.2370000000000001</v>
      </c>
      <c r="F371" s="321" t="s">
        <v>377</v>
      </c>
      <c r="G371" s="2">
        <f t="shared" si="35"/>
        <v>0</v>
      </c>
      <c r="H371" s="2">
        <f t="shared" si="35"/>
        <v>0</v>
      </c>
      <c r="I371" s="333">
        <f>I362</f>
        <v>5.5839999999999996</v>
      </c>
      <c r="J371" s="321" t="s">
        <v>377</v>
      </c>
      <c r="K371" s="2">
        <f t="shared" si="36"/>
        <v>0</v>
      </c>
    </row>
    <row r="372" spans="1:15">
      <c r="A372" s="1" t="s">
        <v>402</v>
      </c>
      <c r="B372" s="1"/>
      <c r="C372" s="317">
        <v>0</v>
      </c>
      <c r="D372" s="317">
        <v>0</v>
      </c>
      <c r="E372" s="333">
        <f>E363</f>
        <v>4.5129999999999999</v>
      </c>
      <c r="F372" s="321" t="s">
        <v>377</v>
      </c>
      <c r="G372" s="2">
        <f t="shared" si="35"/>
        <v>0</v>
      </c>
      <c r="H372" s="2">
        <f t="shared" si="35"/>
        <v>0</v>
      </c>
      <c r="I372" s="333">
        <f>I363</f>
        <v>4.8100000000000005</v>
      </c>
      <c r="J372" s="321" t="s">
        <v>377</v>
      </c>
      <c r="K372" s="2">
        <f t="shared" si="36"/>
        <v>0</v>
      </c>
    </row>
    <row r="373" spans="1:15">
      <c r="A373" s="1" t="s">
        <v>403</v>
      </c>
      <c r="B373" s="1"/>
      <c r="C373" s="317">
        <v>0</v>
      </c>
      <c r="D373" s="317">
        <v>0</v>
      </c>
      <c r="E373" s="334">
        <f>E364</f>
        <v>45</v>
      </c>
      <c r="F373" s="321" t="s">
        <v>377</v>
      </c>
      <c r="G373" s="2">
        <f t="shared" si="35"/>
        <v>0</v>
      </c>
      <c r="H373" s="2">
        <f t="shared" si="35"/>
        <v>0</v>
      </c>
      <c r="I373" s="334">
        <f>I364</f>
        <v>45</v>
      </c>
      <c r="J373" s="321" t="s">
        <v>377</v>
      </c>
      <c r="K373" s="2">
        <f t="shared" si="36"/>
        <v>0</v>
      </c>
    </row>
    <row r="374" spans="1:15">
      <c r="A374" s="1" t="s">
        <v>410</v>
      </c>
      <c r="B374" s="1"/>
      <c r="C374" s="317">
        <v>0</v>
      </c>
      <c r="D374" s="317">
        <v>0</v>
      </c>
      <c r="E374" s="335">
        <v>60</v>
      </c>
      <c r="F374" s="319"/>
      <c r="G374" s="2">
        <f t="shared" si="35"/>
        <v>0</v>
      </c>
      <c r="H374" s="2">
        <f t="shared" si="35"/>
        <v>0</v>
      </c>
      <c r="I374" s="335">
        <f>$I$172</f>
        <v>60</v>
      </c>
      <c r="J374" s="321"/>
      <c r="K374" s="2">
        <f t="shared" si="36"/>
        <v>0</v>
      </c>
    </row>
    <row r="375" spans="1:15">
      <c r="A375" s="1" t="s">
        <v>411</v>
      </c>
      <c r="B375" s="1"/>
      <c r="C375" s="317">
        <v>0</v>
      </c>
      <c r="D375" s="317">
        <v>0</v>
      </c>
      <c r="E375" s="337">
        <v>-30</v>
      </c>
      <c r="F375" s="319" t="s">
        <v>377</v>
      </c>
      <c r="G375" s="2">
        <f t="shared" si="35"/>
        <v>0</v>
      </c>
      <c r="H375" s="2">
        <f t="shared" si="35"/>
        <v>0</v>
      </c>
      <c r="I375" s="337">
        <f>$I$173</f>
        <v>-30</v>
      </c>
      <c r="J375" s="321" t="s">
        <v>377</v>
      </c>
      <c r="K375" s="2">
        <f t="shared" si="36"/>
        <v>0</v>
      </c>
    </row>
    <row r="376" spans="1:15">
      <c r="A376" s="1" t="s">
        <v>384</v>
      </c>
      <c r="B376" s="1"/>
      <c r="C376" s="317">
        <f>C405+C434</f>
        <v>408665</v>
      </c>
      <c r="D376" s="317">
        <f>D405+D434</f>
        <v>300118.64975971833</v>
      </c>
      <c r="E376" s="328"/>
      <c r="F376" s="2"/>
      <c r="G376" s="2">
        <f t="shared" si="35"/>
        <v>114589</v>
      </c>
      <c r="H376" s="2">
        <f t="shared" si="35"/>
        <v>87886</v>
      </c>
      <c r="I376" s="2"/>
      <c r="J376" s="321"/>
      <c r="K376" s="2">
        <f t="shared" si="36"/>
        <v>94423</v>
      </c>
    </row>
    <row r="377" spans="1:15">
      <c r="A377" s="1" t="s">
        <v>366</v>
      </c>
      <c r="B377" s="1"/>
      <c r="C377" s="338">
        <f>C406+C435</f>
        <v>1708.559032095249</v>
      </c>
      <c r="D377" s="338">
        <f>D406+D435</f>
        <v>0</v>
      </c>
      <c r="E377" s="307"/>
      <c r="F377" s="307"/>
      <c r="G377" s="339">
        <f t="shared" si="35"/>
        <v>340.00809002605808</v>
      </c>
      <c r="H377" s="339">
        <f t="shared" si="35"/>
        <v>0</v>
      </c>
      <c r="I377" s="307"/>
      <c r="J377" s="307"/>
      <c r="K377" s="339">
        <f t="shared" si="36"/>
        <v>0</v>
      </c>
      <c r="M377" s="287"/>
      <c r="N377" s="287"/>
      <c r="O377" s="288"/>
    </row>
    <row r="378" spans="1:15" ht="16.5" thickBot="1">
      <c r="A378" s="1" t="s">
        <v>385</v>
      </c>
      <c r="B378" s="1"/>
      <c r="C378" s="309">
        <f>SUM(C376:C377)</f>
        <v>410373.55903209525</v>
      </c>
      <c r="D378" s="309">
        <f>SUM(D376:D377)</f>
        <v>300118.64975971833</v>
      </c>
      <c r="E378" s="340"/>
      <c r="F378" s="341"/>
      <c r="G378" s="342">
        <f>G376+G377</f>
        <v>114929.00809002605</v>
      </c>
      <c r="H378" s="342">
        <f>H376+H377</f>
        <v>87886</v>
      </c>
      <c r="I378" s="340"/>
      <c r="J378" s="343"/>
      <c r="K378" s="342">
        <f>K376+K377</f>
        <v>94423</v>
      </c>
      <c r="M378" s="289"/>
      <c r="N378" s="289"/>
      <c r="O378" s="290"/>
    </row>
    <row r="379" spans="1:15" ht="16.5" thickTop="1">
      <c r="A379" s="1"/>
      <c r="B379" s="1"/>
      <c r="C379" s="21"/>
      <c r="D379" s="21"/>
      <c r="E379" s="335"/>
      <c r="F379" s="2"/>
      <c r="G379" s="2"/>
      <c r="H379" s="2"/>
      <c r="I379" s="351" t="s">
        <v>31</v>
      </c>
      <c r="J379" s="1"/>
      <c r="K379" s="2" t="s">
        <v>31</v>
      </c>
    </row>
    <row r="380" spans="1:15">
      <c r="A380" s="291" t="s">
        <v>420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</row>
    <row r="381" spans="1:15">
      <c r="A381" s="1" t="s">
        <v>414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421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396</v>
      </c>
      <c r="B383" s="1"/>
      <c r="C383" s="317"/>
      <c r="D383" s="317"/>
      <c r="E383" s="2"/>
      <c r="F383" s="2"/>
      <c r="G383" s="1"/>
      <c r="H383" s="1"/>
      <c r="I383" s="2"/>
      <c r="J383" s="1"/>
      <c r="K383" s="1"/>
    </row>
    <row r="384" spans="1:15">
      <c r="A384" s="1" t="s">
        <v>393</v>
      </c>
      <c r="B384" s="1"/>
      <c r="C384" s="317">
        <v>1</v>
      </c>
      <c r="D384" s="317">
        <f>ROUND(($D$387/$C$387)*C384,0)</f>
        <v>1</v>
      </c>
      <c r="E384" s="296">
        <v>84</v>
      </c>
      <c r="F384" s="319"/>
      <c r="G384" s="2">
        <f>ROUND(E384*$C384,0)</f>
        <v>84</v>
      </c>
      <c r="H384" s="2">
        <f>ROUND(E384*$D384,0)</f>
        <v>84</v>
      </c>
      <c r="I384" s="296">
        <f>$I$149</f>
        <v>90.36</v>
      </c>
      <c r="J384" s="321"/>
      <c r="K384" s="2">
        <f>ROUND(I384*$D384,0)</f>
        <v>90</v>
      </c>
    </row>
    <row r="385" spans="1:11">
      <c r="A385" s="1" t="s">
        <v>394</v>
      </c>
      <c r="B385" s="1"/>
      <c r="C385" s="317">
        <v>111</v>
      </c>
      <c r="D385" s="317">
        <f>ROUND(($D$387/$C$387)*C385,0)</f>
        <v>108</v>
      </c>
      <c r="E385" s="296">
        <v>124.8</v>
      </c>
      <c r="F385" s="322"/>
      <c r="G385" s="2">
        <f>ROUND(E385*$C385,0)</f>
        <v>13853</v>
      </c>
      <c r="H385" s="2">
        <f>ROUND(E385*$D385,0)</f>
        <v>13478</v>
      </c>
      <c r="I385" s="296">
        <f>$I$150</f>
        <v>134.16</v>
      </c>
      <c r="J385" s="323"/>
      <c r="K385" s="2">
        <f>ROUND(I385*$D385,0)</f>
        <v>14489</v>
      </c>
    </row>
    <row r="386" spans="1:11">
      <c r="A386" s="1" t="s">
        <v>395</v>
      </c>
      <c r="B386" s="1"/>
      <c r="C386" s="317">
        <f>4491</f>
        <v>4491</v>
      </c>
      <c r="D386" s="317">
        <f>ROUND(($D$405/$C$405)*C386,0)</f>
        <v>3258</v>
      </c>
      <c r="E386" s="296">
        <v>8.2799999999999994</v>
      </c>
      <c r="F386" s="322"/>
      <c r="G386" s="2">
        <f>ROUND(E386*$C386,0)</f>
        <v>37185</v>
      </c>
      <c r="H386" s="2">
        <f>ROUND(E386*$D386,0)</f>
        <v>26976</v>
      </c>
      <c r="I386" s="296">
        <f>$I$151</f>
        <v>9.36</v>
      </c>
      <c r="J386" s="323"/>
      <c r="K386" s="2">
        <f>ROUND(I386*$D386,0)</f>
        <v>30495</v>
      </c>
    </row>
    <row r="387" spans="1:11">
      <c r="A387" s="1" t="s">
        <v>397</v>
      </c>
      <c r="B387" s="1"/>
      <c r="C387" s="317">
        <f>SUM(C384:C385)</f>
        <v>112</v>
      </c>
      <c r="D387" s="317">
        <v>108.75</v>
      </c>
      <c r="E387" s="296"/>
      <c r="F387" s="319"/>
      <c r="G387" s="2"/>
      <c r="H387" s="2"/>
      <c r="I387" s="296"/>
      <c r="J387" s="321"/>
      <c r="K387" s="2"/>
    </row>
    <row r="388" spans="1:11">
      <c r="A388" s="1" t="s">
        <v>422</v>
      </c>
      <c r="B388" s="1"/>
      <c r="C388" s="317">
        <f>8+491</f>
        <v>499</v>
      </c>
      <c r="D388" s="317">
        <f>ROUND(($D$387/$C$387)*C388,0)</f>
        <v>485</v>
      </c>
      <c r="E388" s="296"/>
      <c r="F388" s="319"/>
      <c r="G388" s="2"/>
      <c r="H388" s="2"/>
      <c r="I388" s="296"/>
      <c r="J388" s="321"/>
      <c r="K388" s="2"/>
    </row>
    <row r="389" spans="1:11">
      <c r="A389" s="1" t="s">
        <v>398</v>
      </c>
      <c r="B389" s="1"/>
      <c r="C389" s="317">
        <f>12607</f>
        <v>12607</v>
      </c>
      <c r="D389" s="317">
        <f>ROUND(($D$405/$C$405)*C389,0)</f>
        <v>9145</v>
      </c>
      <c r="E389" s="324">
        <v>2.81</v>
      </c>
      <c r="F389" s="321"/>
      <c r="G389" s="2">
        <f>ROUND(E389*$C389,0)</f>
        <v>35426</v>
      </c>
      <c r="H389" s="2">
        <f>ROUND(E389*$D389,0)</f>
        <v>25697</v>
      </c>
      <c r="I389" s="324">
        <f>$I$158</f>
        <v>2.88</v>
      </c>
      <c r="J389" s="321"/>
      <c r="K389" s="2">
        <f>ROUND(I389*$D389,0)</f>
        <v>26338</v>
      </c>
    </row>
    <row r="390" spans="1:11">
      <c r="A390" s="1" t="s">
        <v>400</v>
      </c>
      <c r="B390" s="1"/>
      <c r="C390" s="317">
        <f>4567+177412</f>
        <v>181979</v>
      </c>
      <c r="D390" s="317">
        <f>ROUND(($D$405/$C$405)*C390,0)</f>
        <v>132006</v>
      </c>
      <c r="E390" s="297">
        <v>7.5869999999999997</v>
      </c>
      <c r="F390" s="321" t="s">
        <v>377</v>
      </c>
      <c r="G390" s="2">
        <f>ROUND(E390*$C390/100,0)</f>
        <v>13807</v>
      </c>
      <c r="H390" s="2">
        <f>ROUND(E390*$D390/100,0)</f>
        <v>10015</v>
      </c>
      <c r="I390" s="297">
        <f>$I$159</f>
        <v>8.0890000000000004</v>
      </c>
      <c r="J390" s="321" t="s">
        <v>377</v>
      </c>
      <c r="K390" s="2">
        <f>ROUND(I390*$D390/100,0)</f>
        <v>10678</v>
      </c>
    </row>
    <row r="391" spans="1:11">
      <c r="A391" s="1" t="s">
        <v>401</v>
      </c>
      <c r="B391" s="1"/>
      <c r="C391" s="317">
        <f>223170+787</f>
        <v>223957</v>
      </c>
      <c r="D391" s="317">
        <f>ROUND(($D$405/$C$405)*C391,0)</f>
        <v>162456</v>
      </c>
      <c r="E391" s="297">
        <v>5.2370000000000001</v>
      </c>
      <c r="F391" s="321" t="s">
        <v>377</v>
      </c>
      <c r="G391" s="2">
        <f>ROUND(E391*$C391/100,0)</f>
        <v>11729</v>
      </c>
      <c r="H391" s="2">
        <f>ROUND(E391*$D391/100,0)</f>
        <v>8508</v>
      </c>
      <c r="I391" s="297">
        <f>$I$160</f>
        <v>5.5839999999999996</v>
      </c>
      <c r="J391" s="321" t="s">
        <v>377</v>
      </c>
      <c r="K391" s="2">
        <f>ROUND(I391*$D391/100,0)</f>
        <v>9072</v>
      </c>
    </row>
    <row r="392" spans="1:11">
      <c r="A392" s="1" t="s">
        <v>402</v>
      </c>
      <c r="B392" s="1"/>
      <c r="C392" s="317">
        <f>0</f>
        <v>0</v>
      </c>
      <c r="D392" s="317">
        <f>ROUND(($D$405/$C$405)*C392,0)</f>
        <v>0</v>
      </c>
      <c r="E392" s="297">
        <v>4.5129999999999999</v>
      </c>
      <c r="F392" s="321" t="s">
        <v>377</v>
      </c>
      <c r="G392" s="2">
        <f>ROUND(E392*$C392/100,0)</f>
        <v>0</v>
      </c>
      <c r="H392" s="2">
        <f>ROUND(E392*$D392/100,0)</f>
        <v>0</v>
      </c>
      <c r="I392" s="297">
        <f>$I$161</f>
        <v>4.8100000000000005</v>
      </c>
      <c r="J392" s="321" t="s">
        <v>377</v>
      </c>
      <c r="K392" s="2">
        <f>ROUND(I392*$D392/100,0)</f>
        <v>0</v>
      </c>
    </row>
    <row r="393" spans="1:11">
      <c r="A393" s="1" t="s">
        <v>403</v>
      </c>
      <c r="B393" s="1"/>
      <c r="C393" s="317">
        <f>1798</f>
        <v>1798</v>
      </c>
      <c r="D393" s="317">
        <f>ROUND(($D$405/$C$405)*C393,0)</f>
        <v>1304</v>
      </c>
      <c r="E393" s="328">
        <v>45</v>
      </c>
      <c r="F393" s="319" t="s">
        <v>377</v>
      </c>
      <c r="G393" s="2">
        <f>ROUND(E393*$C393/100,0)</f>
        <v>809</v>
      </c>
      <c r="H393" s="2">
        <f>ROUND(E393*$D393/100,0)</f>
        <v>587</v>
      </c>
      <c r="I393" s="328">
        <f>$I$162</f>
        <v>45</v>
      </c>
      <c r="J393" s="321" t="s">
        <v>377</v>
      </c>
      <c r="K393" s="2">
        <f>ROUND(I393*$D393/100,0)</f>
        <v>587</v>
      </c>
    </row>
    <row r="394" spans="1:11">
      <c r="A394" s="329" t="s">
        <v>404</v>
      </c>
      <c r="B394" s="1"/>
      <c r="C394" s="317"/>
      <c r="D394" s="317"/>
      <c r="E394" s="330">
        <v>-0.01</v>
      </c>
      <c r="F394" s="319"/>
      <c r="G394" s="2"/>
      <c r="H394" s="2"/>
      <c r="I394" s="330">
        <f>$I$163</f>
        <v>-0.01</v>
      </c>
      <c r="J394" s="321"/>
      <c r="K394" s="2"/>
    </row>
    <row r="395" spans="1:11">
      <c r="A395" s="1" t="s">
        <v>393</v>
      </c>
      <c r="B395" s="1"/>
      <c r="C395" s="317">
        <v>0</v>
      </c>
      <c r="D395" s="317">
        <f>ROUND(($D$387/$C$387)*C395,0)</f>
        <v>0</v>
      </c>
      <c r="E395" s="332">
        <f>E384</f>
        <v>84</v>
      </c>
      <c r="F395" s="319"/>
      <c r="G395" s="2">
        <f>-ROUND(E395*$C395/100,0)</f>
        <v>0</v>
      </c>
      <c r="H395" s="2">
        <f>-ROUND(E395*$D395/100,0)</f>
        <v>0</v>
      </c>
      <c r="I395" s="332">
        <f>I384</f>
        <v>90.36</v>
      </c>
      <c r="J395" s="319"/>
      <c r="K395" s="2">
        <f>-ROUND(I395*$D395/100,0)</f>
        <v>0</v>
      </c>
    </row>
    <row r="396" spans="1:11">
      <c r="A396" s="1" t="s">
        <v>394</v>
      </c>
      <c r="B396" s="1"/>
      <c r="C396" s="317">
        <v>0</v>
      </c>
      <c r="D396" s="317">
        <f>ROUND(($D$387/$C$387)*C396,0)</f>
        <v>0</v>
      </c>
      <c r="E396" s="332">
        <f>E385</f>
        <v>124.8</v>
      </c>
      <c r="F396" s="319"/>
      <c r="G396" s="2">
        <f>-ROUND(E396*$C396/100,0)</f>
        <v>0</v>
      </c>
      <c r="H396" s="2">
        <f>-ROUND(E396*$D396/100,0)</f>
        <v>0</v>
      </c>
      <c r="I396" s="332">
        <f>I385</f>
        <v>134.16</v>
      </c>
      <c r="J396" s="319"/>
      <c r="K396" s="2">
        <f>-ROUND(I396*$D396/100,0)</f>
        <v>0</v>
      </c>
    </row>
    <row r="397" spans="1:11">
      <c r="A397" s="1" t="s">
        <v>405</v>
      </c>
      <c r="B397" s="1"/>
      <c r="C397" s="317">
        <v>0</v>
      </c>
      <c r="D397" s="317">
        <f t="shared" ref="D397:D402" si="37">ROUND(($D$405/$C$405)*C397,0)</f>
        <v>0</v>
      </c>
      <c r="E397" s="332">
        <f>E386</f>
        <v>8.2799999999999994</v>
      </c>
      <c r="F397" s="319"/>
      <c r="G397" s="2">
        <f>-ROUND(E397*$C397/100,0)</f>
        <v>0</v>
      </c>
      <c r="H397" s="2">
        <f>-ROUND(E397*$D397/100,0)</f>
        <v>0</v>
      </c>
      <c r="I397" s="332">
        <f>I386</f>
        <v>9.36</v>
      </c>
      <c r="J397" s="319"/>
      <c r="K397" s="2">
        <f>-ROUND(I397*$D397/100,0)</f>
        <v>0</v>
      </c>
    </row>
    <row r="398" spans="1:11">
      <c r="A398" s="1" t="s">
        <v>406</v>
      </c>
      <c r="B398" s="1"/>
      <c r="C398" s="317">
        <v>0</v>
      </c>
      <c r="D398" s="317">
        <f t="shared" si="37"/>
        <v>0</v>
      </c>
      <c r="E398" s="332">
        <f>E389</f>
        <v>2.81</v>
      </c>
      <c r="F398" s="321"/>
      <c r="G398" s="2">
        <f>-ROUND(E398*$C398/100,0)</f>
        <v>0</v>
      </c>
      <c r="H398" s="2">
        <f>-ROUND(E398*$D398/100,0)</f>
        <v>0</v>
      </c>
      <c r="I398" s="332">
        <f>I389</f>
        <v>2.88</v>
      </c>
      <c r="J398" s="321"/>
      <c r="K398" s="2">
        <f>-ROUND(I398*$D398/100,0)</f>
        <v>0</v>
      </c>
    </row>
    <row r="399" spans="1:11">
      <c r="A399" s="1" t="s">
        <v>408</v>
      </c>
      <c r="B399" s="1"/>
      <c r="C399" s="317">
        <v>0</v>
      </c>
      <c r="D399" s="317">
        <f t="shared" si="37"/>
        <v>0</v>
      </c>
      <c r="E399" s="333">
        <f>E390</f>
        <v>7.5869999999999997</v>
      </c>
      <c r="F399" s="321" t="s">
        <v>377</v>
      </c>
      <c r="G399" s="2">
        <f>ROUND(E399*$C399/100*E394,0)</f>
        <v>0</v>
      </c>
      <c r="H399" s="2">
        <f>ROUND(E399*$D399/100*E394,0)</f>
        <v>0</v>
      </c>
      <c r="I399" s="333">
        <f>I390</f>
        <v>8.0890000000000004</v>
      </c>
      <c r="J399" s="321" t="s">
        <v>377</v>
      </c>
      <c r="K399" s="2">
        <f>ROUND(I399*$D399/100*I394,0)</f>
        <v>0</v>
      </c>
    </row>
    <row r="400" spans="1:11">
      <c r="A400" s="1" t="s">
        <v>401</v>
      </c>
      <c r="B400" s="1"/>
      <c r="C400" s="317">
        <v>0</v>
      </c>
      <c r="D400" s="317">
        <f t="shared" si="37"/>
        <v>0</v>
      </c>
      <c r="E400" s="333">
        <f>E391</f>
        <v>5.2370000000000001</v>
      </c>
      <c r="F400" s="321" t="s">
        <v>377</v>
      </c>
      <c r="G400" s="2">
        <f>ROUND(E400*$C400/100*E394,0)</f>
        <v>0</v>
      </c>
      <c r="H400" s="2">
        <f>ROUND(E400*$D400/100*E394,0)</f>
        <v>0</v>
      </c>
      <c r="I400" s="333">
        <f>I391</f>
        <v>5.5839999999999996</v>
      </c>
      <c r="J400" s="321" t="s">
        <v>377</v>
      </c>
      <c r="K400" s="2">
        <f>ROUND(I400*$D400/100*I394,0)</f>
        <v>0</v>
      </c>
    </row>
    <row r="401" spans="1:15">
      <c r="A401" s="1" t="s">
        <v>402</v>
      </c>
      <c r="B401" s="1"/>
      <c r="C401" s="317">
        <v>0</v>
      </c>
      <c r="D401" s="317">
        <f t="shared" si="37"/>
        <v>0</v>
      </c>
      <c r="E401" s="333">
        <f>E392</f>
        <v>4.5129999999999999</v>
      </c>
      <c r="F401" s="321" t="s">
        <v>377</v>
      </c>
      <c r="G401" s="2">
        <f>ROUND(E401*$C401/100*E394,0)</f>
        <v>0</v>
      </c>
      <c r="H401" s="2">
        <f>ROUND(E401*$D401/100*E394,0)</f>
        <v>0</v>
      </c>
      <c r="I401" s="333">
        <f>I392</f>
        <v>4.8100000000000005</v>
      </c>
      <c r="J401" s="321" t="s">
        <v>377</v>
      </c>
      <c r="K401" s="2">
        <f>ROUND(I401*$D401/100*I394,0)</f>
        <v>0</v>
      </c>
    </row>
    <row r="402" spans="1:15">
      <c r="A402" s="1" t="s">
        <v>403</v>
      </c>
      <c r="B402" s="1"/>
      <c r="C402" s="317">
        <v>0</v>
      </c>
      <c r="D402" s="317">
        <f t="shared" si="37"/>
        <v>0</v>
      </c>
      <c r="E402" s="334">
        <f>E393</f>
        <v>45</v>
      </c>
      <c r="F402" s="321" t="s">
        <v>377</v>
      </c>
      <c r="G402" s="2">
        <f>ROUND(E402*$C402/100*E394,0)</f>
        <v>0</v>
      </c>
      <c r="H402" s="2">
        <f>ROUND(E402*$D402/100*E394,0)</f>
        <v>0</v>
      </c>
      <c r="I402" s="334">
        <f>I393</f>
        <v>45</v>
      </c>
      <c r="J402" s="321" t="s">
        <v>377</v>
      </c>
      <c r="K402" s="2">
        <f>ROUND(I402*$D402/100*I394,0)</f>
        <v>0</v>
      </c>
    </row>
    <row r="403" spans="1:15">
      <c r="A403" s="1" t="s">
        <v>410</v>
      </c>
      <c r="B403" s="1"/>
      <c r="C403" s="317">
        <v>0</v>
      </c>
      <c r="D403" s="317">
        <f>ROUND(($D$387/$C$387)*C403,0)</f>
        <v>0</v>
      </c>
      <c r="E403" s="335">
        <v>60</v>
      </c>
      <c r="F403" s="319"/>
      <c r="G403" s="2">
        <f>ROUND(E403*$C403,0)</f>
        <v>0</v>
      </c>
      <c r="H403" s="2">
        <f>ROUND(E403*$D403,0)</f>
        <v>0</v>
      </c>
      <c r="I403" s="335">
        <f>$I$172</f>
        <v>60</v>
      </c>
      <c r="J403" s="321"/>
      <c r="K403" s="2">
        <f>ROUND(I403*$D403,0)</f>
        <v>0</v>
      </c>
    </row>
    <row r="404" spans="1:15">
      <c r="A404" s="1" t="s">
        <v>411</v>
      </c>
      <c r="B404" s="1"/>
      <c r="C404" s="317">
        <v>0</v>
      </c>
      <c r="D404" s="317">
        <f>ROUND(($D$405/$C$405)*C404,0)</f>
        <v>0</v>
      </c>
      <c r="E404" s="337">
        <v>-30</v>
      </c>
      <c r="F404" s="319" t="s">
        <v>377</v>
      </c>
      <c r="G404" s="2">
        <f>ROUND(E404*$C404/100,0)</f>
        <v>0</v>
      </c>
      <c r="H404" s="2">
        <f>ROUND(E404*$D404/100,0)</f>
        <v>0</v>
      </c>
      <c r="I404" s="337">
        <f>$I$173</f>
        <v>-30</v>
      </c>
      <c r="J404" s="321" t="s">
        <v>377</v>
      </c>
      <c r="K404" s="2">
        <f>ROUND(I404*$D404/100,0)</f>
        <v>0</v>
      </c>
    </row>
    <row r="405" spans="1:15">
      <c r="A405" s="1" t="s">
        <v>384</v>
      </c>
      <c r="B405" s="1"/>
      <c r="C405" s="317">
        <f>SUM(C390:C392)</f>
        <v>405936</v>
      </c>
      <c r="D405" s="317">
        <v>294461.5</v>
      </c>
      <c r="E405" s="328"/>
      <c r="F405" s="2"/>
      <c r="G405" s="2">
        <f>SUM(G384:G404)</f>
        <v>112893</v>
      </c>
      <c r="H405" s="2">
        <f>SUM(H384:H404)</f>
        <v>85345</v>
      </c>
      <c r="I405" s="328"/>
      <c r="J405" s="321"/>
      <c r="K405" s="2">
        <f>SUM(K384:K404)</f>
        <v>91749</v>
      </c>
    </row>
    <row r="406" spans="1:15">
      <c r="A406" s="1" t="s">
        <v>366</v>
      </c>
      <c r="B406" s="1"/>
      <c r="C406" s="347">
        <v>1770.0710773090641</v>
      </c>
      <c r="D406" s="347">
        <v>0</v>
      </c>
      <c r="E406" s="307"/>
      <c r="F406" s="307"/>
      <c r="G406" s="339">
        <v>368.47443953217015</v>
      </c>
      <c r="H406" s="339">
        <v>0</v>
      </c>
      <c r="I406" s="307"/>
      <c r="J406" s="307"/>
      <c r="K406" s="339">
        <v>0</v>
      </c>
      <c r="M406" s="287"/>
      <c r="N406" s="287"/>
      <c r="O406" s="288"/>
    </row>
    <row r="407" spans="1:15" ht="16.5" thickBot="1">
      <c r="A407" s="1" t="s">
        <v>385</v>
      </c>
      <c r="B407" s="1"/>
      <c r="C407" s="309">
        <f>SUM(C405:C406)</f>
        <v>407706.07107730908</v>
      </c>
      <c r="D407" s="309">
        <f>SUM(D405:D406)</f>
        <v>294461.5</v>
      </c>
      <c r="E407" s="340"/>
      <c r="F407" s="341"/>
      <c r="G407" s="342">
        <f>G405+G406</f>
        <v>113261.47443953218</v>
      </c>
      <c r="H407" s="342">
        <f>H405+H406</f>
        <v>85345</v>
      </c>
      <c r="I407" s="340"/>
      <c r="J407" s="343"/>
      <c r="K407" s="342">
        <f>K405+K406</f>
        <v>91749</v>
      </c>
      <c r="M407" s="289"/>
      <c r="N407" s="289"/>
      <c r="O407" s="290"/>
    </row>
    <row r="408" spans="1:15" ht="16.5" thickTop="1">
      <c r="A408" s="1"/>
      <c r="B408" s="1"/>
      <c r="C408" s="21"/>
      <c r="D408" s="21"/>
      <c r="E408" s="335"/>
      <c r="F408" s="2"/>
      <c r="G408" s="2"/>
      <c r="H408" s="2"/>
      <c r="I408" s="351" t="s">
        <v>31</v>
      </c>
      <c r="J408" s="1"/>
      <c r="K408" s="2" t="s">
        <v>31</v>
      </c>
    </row>
    <row r="409" spans="1:15">
      <c r="A409" s="291" t="s">
        <v>420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</row>
    <row r="410" spans="1:15">
      <c r="A410" s="1" t="s">
        <v>417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421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396</v>
      </c>
      <c r="B412" s="1"/>
      <c r="C412" s="317"/>
      <c r="D412" s="317"/>
      <c r="E412" s="2"/>
      <c r="F412" s="2"/>
      <c r="G412" s="1"/>
      <c r="H412" s="1"/>
      <c r="I412" s="2"/>
      <c r="J412" s="1"/>
      <c r="K412" s="1"/>
    </row>
    <row r="413" spans="1:15">
      <c r="A413" s="1" t="s">
        <v>393</v>
      </c>
      <c r="B413" s="1"/>
      <c r="C413" s="317">
        <v>0</v>
      </c>
      <c r="D413" s="317">
        <f>$D$417/$C$417*C413</f>
        <v>0</v>
      </c>
      <c r="E413" s="296">
        <v>84</v>
      </c>
      <c r="F413" s="319"/>
      <c r="G413" s="2">
        <f>ROUND(E413*$C413,0)</f>
        <v>0</v>
      </c>
      <c r="H413" s="2">
        <f>ROUND(E413*$D413,0)</f>
        <v>0</v>
      </c>
      <c r="I413" s="296">
        <f>$I$149</f>
        <v>90.36</v>
      </c>
      <c r="J413" s="321"/>
      <c r="K413" s="2">
        <f>ROUND(I413*$D413,0)</f>
        <v>0</v>
      </c>
    </row>
    <row r="414" spans="1:15">
      <c r="A414" s="1" t="s">
        <v>394</v>
      </c>
      <c r="B414" s="1"/>
      <c r="C414" s="317">
        <v>1</v>
      </c>
      <c r="D414" s="317">
        <f>$D$417/$C$417*C414</f>
        <v>1</v>
      </c>
      <c r="E414" s="296">
        <v>124.8</v>
      </c>
      <c r="F414" s="322"/>
      <c r="G414" s="2">
        <f>ROUND(E414*$C414,0)</f>
        <v>125</v>
      </c>
      <c r="H414" s="2">
        <f>ROUND(E414*$D414,0)</f>
        <v>125</v>
      </c>
      <c r="I414" s="296">
        <f>$I$150</f>
        <v>134.16</v>
      </c>
      <c r="J414" s="323"/>
      <c r="K414" s="2">
        <f>ROUND(I414*$D414,0)</f>
        <v>134</v>
      </c>
    </row>
    <row r="415" spans="1:15">
      <c r="A415" s="1" t="s">
        <v>395</v>
      </c>
      <c r="B415" s="1"/>
      <c r="C415" s="317">
        <v>75</v>
      </c>
      <c r="D415" s="317">
        <v>54</v>
      </c>
      <c r="E415" s="296">
        <v>8.2799999999999994</v>
      </c>
      <c r="F415" s="322"/>
      <c r="G415" s="2">
        <f>ROUND(E415*$C415,0)</f>
        <v>621</v>
      </c>
      <c r="H415" s="2">
        <f>ROUND(E415*$D415,0)</f>
        <v>447</v>
      </c>
      <c r="I415" s="296">
        <f>$I$151</f>
        <v>9.36</v>
      </c>
      <c r="J415" s="323"/>
      <c r="K415" s="2">
        <f>ROUND(I415*$D415,0)</f>
        <v>505</v>
      </c>
    </row>
    <row r="416" spans="1:15">
      <c r="A416" s="1" t="s">
        <v>397</v>
      </c>
      <c r="B416" s="1"/>
      <c r="C416" s="317">
        <f>SUM(C413:C414)</f>
        <v>1</v>
      </c>
      <c r="D416" s="317">
        <f>SUM(D413:D414)</f>
        <v>1</v>
      </c>
      <c r="E416" s="296"/>
      <c r="F416" s="319"/>
      <c r="G416" s="2"/>
      <c r="H416" s="2"/>
      <c r="I416" s="296"/>
      <c r="J416" s="321"/>
      <c r="K416" s="2"/>
    </row>
    <row r="417" spans="1:11">
      <c r="A417" s="1" t="s">
        <v>422</v>
      </c>
      <c r="B417" s="1"/>
      <c r="C417" s="317">
        <f>12</f>
        <v>12</v>
      </c>
      <c r="D417" s="317">
        <v>12</v>
      </c>
      <c r="E417" s="296"/>
      <c r="F417" s="319"/>
      <c r="G417" s="2"/>
      <c r="H417" s="2"/>
      <c r="I417" s="296"/>
      <c r="J417" s="321"/>
      <c r="K417" s="2"/>
    </row>
    <row r="418" spans="1:11">
      <c r="A418" s="1" t="s">
        <v>398</v>
      </c>
      <c r="B418" s="1"/>
      <c r="C418" s="317">
        <f>267</f>
        <v>267</v>
      </c>
      <c r="D418" s="317">
        <f>ROUND(($D$434/$C$434)*C418,0)</f>
        <v>553</v>
      </c>
      <c r="E418" s="324">
        <v>2.81</v>
      </c>
      <c r="F418" s="321"/>
      <c r="G418" s="2">
        <f>ROUND(E418*$C418,0)</f>
        <v>750</v>
      </c>
      <c r="H418" s="2">
        <f>ROUND(E418*$D418,0)</f>
        <v>1554</v>
      </c>
      <c r="I418" s="324">
        <f>$I$158</f>
        <v>2.88</v>
      </c>
      <c r="J418" s="321"/>
      <c r="K418" s="2">
        <f>ROUND(I418*$D418,0)</f>
        <v>1593</v>
      </c>
    </row>
    <row r="419" spans="1:11">
      <c r="A419" s="1" t="s">
        <v>400</v>
      </c>
      <c r="B419" s="1"/>
      <c r="C419" s="317">
        <f>2427</f>
        <v>2427</v>
      </c>
      <c r="D419" s="317">
        <f>ROUND(($D$434/$C$434)*C419,0)</f>
        <v>5031</v>
      </c>
      <c r="E419" s="297">
        <v>7.5869999999999997</v>
      </c>
      <c r="F419" s="321" t="s">
        <v>377</v>
      </c>
      <c r="G419" s="2">
        <f>ROUND(E419*$C419/100,0)</f>
        <v>184</v>
      </c>
      <c r="H419" s="2">
        <f>ROUND(E419*$D419/100,0)</f>
        <v>382</v>
      </c>
      <c r="I419" s="297">
        <f>$I$159</f>
        <v>8.0890000000000004</v>
      </c>
      <c r="J419" s="321" t="s">
        <v>377</v>
      </c>
      <c r="K419" s="2">
        <f>ROUND(I419*$D419/100,0)</f>
        <v>407</v>
      </c>
    </row>
    <row r="420" spans="1:11">
      <c r="A420" s="1" t="s">
        <v>401</v>
      </c>
      <c r="B420" s="1"/>
      <c r="C420" s="317">
        <f>302</f>
        <v>302</v>
      </c>
      <c r="D420" s="317">
        <f>ROUND(($D$434/$C$434)*C420,0)</f>
        <v>626</v>
      </c>
      <c r="E420" s="297">
        <v>5.2370000000000001</v>
      </c>
      <c r="F420" s="321" t="s">
        <v>377</v>
      </c>
      <c r="G420" s="2">
        <f>ROUND(E420*$C420/100,0)</f>
        <v>16</v>
      </c>
      <c r="H420" s="2">
        <f>ROUND(E420*$D420/100,0)</f>
        <v>33</v>
      </c>
      <c r="I420" s="297">
        <f>$I$160</f>
        <v>5.5839999999999996</v>
      </c>
      <c r="J420" s="321" t="s">
        <v>377</v>
      </c>
      <c r="K420" s="2">
        <f>ROUND(I420*$D420/100,0)</f>
        <v>35</v>
      </c>
    </row>
    <row r="421" spans="1:11">
      <c r="A421" s="1" t="s">
        <v>402</v>
      </c>
      <c r="B421" s="1"/>
      <c r="C421" s="317">
        <v>0</v>
      </c>
      <c r="D421" s="317">
        <f>ROUND(($D$434/$C$434)*C421,0)</f>
        <v>0</v>
      </c>
      <c r="E421" s="297">
        <v>4.5129999999999999</v>
      </c>
      <c r="F421" s="321" t="s">
        <v>377</v>
      </c>
      <c r="G421" s="2">
        <f>ROUND(E421*$C421/100,0)</f>
        <v>0</v>
      </c>
      <c r="H421" s="2">
        <f>ROUND(E421*$D421/100,0)</f>
        <v>0</v>
      </c>
      <c r="I421" s="297">
        <f>$I$161</f>
        <v>4.8100000000000005</v>
      </c>
      <c r="J421" s="321" t="s">
        <v>377</v>
      </c>
      <c r="K421" s="2">
        <f>ROUND(I421*$D421/100,0)</f>
        <v>0</v>
      </c>
    </row>
    <row r="422" spans="1:11">
      <c r="A422" s="1" t="s">
        <v>403</v>
      </c>
      <c r="B422" s="1"/>
      <c r="C422" s="317">
        <v>0</v>
      </c>
      <c r="D422" s="317">
        <f>ROUND(($D$434/$C$434)*C422,0)</f>
        <v>0</v>
      </c>
      <c r="E422" s="328">
        <v>45</v>
      </c>
      <c r="F422" s="319" t="s">
        <v>377</v>
      </c>
      <c r="G422" s="2">
        <f>ROUND(E422*$C422/100,0)</f>
        <v>0</v>
      </c>
      <c r="H422" s="2">
        <f>ROUND(E422*$D422/100,0)</f>
        <v>0</v>
      </c>
      <c r="I422" s="328">
        <f>$I$162</f>
        <v>45</v>
      </c>
      <c r="J422" s="321" t="s">
        <v>377</v>
      </c>
      <c r="K422" s="2">
        <f>ROUND(I422*$D422/100,0)</f>
        <v>0</v>
      </c>
    </row>
    <row r="423" spans="1:11">
      <c r="A423" s="329" t="s">
        <v>404</v>
      </c>
      <c r="B423" s="1"/>
      <c r="C423" s="317"/>
      <c r="D423" s="317"/>
      <c r="E423" s="330">
        <v>-0.01</v>
      </c>
      <c r="F423" s="319"/>
      <c r="G423" s="2"/>
      <c r="H423" s="2"/>
      <c r="I423" s="330">
        <f>$I$163</f>
        <v>-0.01</v>
      </c>
      <c r="J423" s="321"/>
      <c r="K423" s="2"/>
    </row>
    <row r="424" spans="1:11">
      <c r="A424" s="1" t="s">
        <v>393</v>
      </c>
      <c r="B424" s="1"/>
      <c r="C424" s="317">
        <v>0</v>
      </c>
      <c r="D424" s="317">
        <f>$D$417/$C$417*C424</f>
        <v>0</v>
      </c>
      <c r="E424" s="332">
        <f>E413</f>
        <v>84</v>
      </c>
      <c r="F424" s="319"/>
      <c r="G424" s="2">
        <f>-ROUND(E424*$C424/100,0)</f>
        <v>0</v>
      </c>
      <c r="H424" s="2">
        <f>-ROUND(E424*$D424/100,0)</f>
        <v>0</v>
      </c>
      <c r="I424" s="332">
        <f>I413</f>
        <v>90.36</v>
      </c>
      <c r="J424" s="319"/>
      <c r="K424" s="2">
        <f>-ROUND(I424*$D424/100,0)</f>
        <v>0</v>
      </c>
    </row>
    <row r="425" spans="1:11">
      <c r="A425" s="1" t="s">
        <v>394</v>
      </c>
      <c r="B425" s="1"/>
      <c r="C425" s="317">
        <v>0</v>
      </c>
      <c r="D425" s="317">
        <f>$D$417/$C$417*C425</f>
        <v>0</v>
      </c>
      <c r="E425" s="332">
        <f>E414</f>
        <v>124.8</v>
      </c>
      <c r="F425" s="319"/>
      <c r="G425" s="2">
        <f>-ROUND(E425*$C425/100,0)</f>
        <v>0</v>
      </c>
      <c r="H425" s="2">
        <f>-ROUND(E425*$D425/100,0)</f>
        <v>0</v>
      </c>
      <c r="I425" s="332">
        <f>I414</f>
        <v>134.16</v>
      </c>
      <c r="J425" s="319"/>
      <c r="K425" s="2">
        <f>-ROUND(I425*$D425/100,0)</f>
        <v>0</v>
      </c>
    </row>
    <row r="426" spans="1:11">
      <c r="A426" s="1" t="s">
        <v>405</v>
      </c>
      <c r="B426" s="1"/>
      <c r="C426" s="317">
        <v>0</v>
      </c>
      <c r="D426" s="317">
        <f t="shared" ref="D426:D431" si="38">ROUND(($D$434/$C$434)*C426,0)</f>
        <v>0</v>
      </c>
      <c r="E426" s="332">
        <f>E415</f>
        <v>8.2799999999999994</v>
      </c>
      <c r="F426" s="319"/>
      <c r="G426" s="2">
        <f>-ROUND(E426*$C426/100,0)</f>
        <v>0</v>
      </c>
      <c r="H426" s="2">
        <f>-ROUND(E426*$D426/100,0)</f>
        <v>0</v>
      </c>
      <c r="I426" s="332">
        <f>I415</f>
        <v>9.36</v>
      </c>
      <c r="J426" s="319"/>
      <c r="K426" s="2">
        <f>-ROUND(I426*$D426/100,0)</f>
        <v>0</v>
      </c>
    </row>
    <row r="427" spans="1:11">
      <c r="A427" s="1" t="s">
        <v>406</v>
      </c>
      <c r="B427" s="1"/>
      <c r="C427" s="317">
        <v>0</v>
      </c>
      <c r="D427" s="317">
        <f t="shared" si="38"/>
        <v>0</v>
      </c>
      <c r="E427" s="332">
        <f>E418</f>
        <v>2.81</v>
      </c>
      <c r="F427" s="321"/>
      <c r="G427" s="2">
        <f>-ROUND(E427*$C427/100,0)</f>
        <v>0</v>
      </c>
      <c r="H427" s="2">
        <f>-ROUND(E427*$D427/100,0)</f>
        <v>0</v>
      </c>
      <c r="I427" s="332">
        <f>I418</f>
        <v>2.88</v>
      </c>
      <c r="J427" s="321"/>
      <c r="K427" s="2">
        <f>-ROUND(I427*$D427/100,0)</f>
        <v>0</v>
      </c>
    </row>
    <row r="428" spans="1:11">
      <c r="A428" s="1" t="s">
        <v>408</v>
      </c>
      <c r="B428" s="1"/>
      <c r="C428" s="317">
        <v>0</v>
      </c>
      <c r="D428" s="317">
        <f t="shared" si="38"/>
        <v>0</v>
      </c>
      <c r="E428" s="333">
        <f>E419</f>
        <v>7.5869999999999997</v>
      </c>
      <c r="F428" s="321" t="s">
        <v>377</v>
      </c>
      <c r="G428" s="2">
        <f>ROUND(E428*$C428/100*E423,0)</f>
        <v>0</v>
      </c>
      <c r="H428" s="2">
        <f>ROUND(E428*$D428/100*E423,0)</f>
        <v>0</v>
      </c>
      <c r="I428" s="333">
        <f>I419</f>
        <v>8.0890000000000004</v>
      </c>
      <c r="J428" s="321" t="s">
        <v>377</v>
      </c>
      <c r="K428" s="2">
        <f>ROUND(I428*$D428/100*I423,0)</f>
        <v>0</v>
      </c>
    </row>
    <row r="429" spans="1:11">
      <c r="A429" s="1" t="s">
        <v>401</v>
      </c>
      <c r="B429" s="1"/>
      <c r="C429" s="317">
        <v>0</v>
      </c>
      <c r="D429" s="317">
        <f t="shared" si="38"/>
        <v>0</v>
      </c>
      <c r="E429" s="333">
        <f>E420</f>
        <v>5.2370000000000001</v>
      </c>
      <c r="F429" s="321" t="s">
        <v>377</v>
      </c>
      <c r="G429" s="2">
        <f>ROUND(E429*$C429/100*E423,0)</f>
        <v>0</v>
      </c>
      <c r="H429" s="2">
        <f>ROUND(E429*$D429/100*E423,0)</f>
        <v>0</v>
      </c>
      <c r="I429" s="333">
        <f>I420</f>
        <v>5.5839999999999996</v>
      </c>
      <c r="J429" s="321" t="s">
        <v>377</v>
      </c>
      <c r="K429" s="2">
        <f>ROUND(I429*$D429/100*I423,0)</f>
        <v>0</v>
      </c>
    </row>
    <row r="430" spans="1:11">
      <c r="A430" s="1" t="s">
        <v>402</v>
      </c>
      <c r="B430" s="1"/>
      <c r="C430" s="317">
        <v>0</v>
      </c>
      <c r="D430" s="317">
        <f t="shared" si="38"/>
        <v>0</v>
      </c>
      <c r="E430" s="333">
        <f>E421</f>
        <v>4.5129999999999999</v>
      </c>
      <c r="F430" s="321" t="s">
        <v>377</v>
      </c>
      <c r="G430" s="2">
        <f>ROUND(E430*$C430/100*E423,0)</f>
        <v>0</v>
      </c>
      <c r="H430" s="2">
        <f>ROUND(E430*$D430/100*E423,0)</f>
        <v>0</v>
      </c>
      <c r="I430" s="333">
        <f>I421</f>
        <v>4.8100000000000005</v>
      </c>
      <c r="J430" s="321" t="s">
        <v>377</v>
      </c>
      <c r="K430" s="2">
        <f>ROUND(I430*$D430/100*I423,0)</f>
        <v>0</v>
      </c>
    </row>
    <row r="431" spans="1:11">
      <c r="A431" s="1" t="s">
        <v>403</v>
      </c>
      <c r="B431" s="1"/>
      <c r="C431" s="317">
        <v>0</v>
      </c>
      <c r="D431" s="317">
        <f t="shared" si="38"/>
        <v>0</v>
      </c>
      <c r="E431" s="334">
        <f>E422</f>
        <v>45</v>
      </c>
      <c r="F431" s="321" t="s">
        <v>377</v>
      </c>
      <c r="G431" s="2">
        <f>ROUND(E431*$C431/100*E423,0)</f>
        <v>0</v>
      </c>
      <c r="H431" s="2">
        <f>ROUND(E431*$D431/100*E423,0)</f>
        <v>0</v>
      </c>
      <c r="I431" s="334">
        <f>I422</f>
        <v>45</v>
      </c>
      <c r="J431" s="321" t="s">
        <v>377</v>
      </c>
      <c r="K431" s="2">
        <f>ROUND(I431*$D431/100*I423,0)</f>
        <v>0</v>
      </c>
    </row>
    <row r="432" spans="1:11">
      <c r="A432" s="1" t="s">
        <v>410</v>
      </c>
      <c r="B432" s="1"/>
      <c r="C432" s="317">
        <v>0</v>
      </c>
      <c r="D432" s="317">
        <f>$D$417/$C$417*C432</f>
        <v>0</v>
      </c>
      <c r="E432" s="335">
        <v>60</v>
      </c>
      <c r="F432" s="319"/>
      <c r="G432" s="2">
        <f>ROUND(E432*$C432,0)</f>
        <v>0</v>
      </c>
      <c r="H432" s="2">
        <f>ROUND(E432*$D432,0)</f>
        <v>0</v>
      </c>
      <c r="I432" s="335">
        <f>$I$172</f>
        <v>60</v>
      </c>
      <c r="J432" s="321"/>
      <c r="K432" s="2">
        <f>ROUND(I432*$D432,0)</f>
        <v>0</v>
      </c>
    </row>
    <row r="433" spans="1:15">
      <c r="A433" s="1" t="s">
        <v>411</v>
      </c>
      <c r="B433" s="1"/>
      <c r="C433" s="317">
        <v>0</v>
      </c>
      <c r="D433" s="317">
        <f>ROUND(($D$434/$C$434)*C433,0)</f>
        <v>0</v>
      </c>
      <c r="E433" s="337">
        <v>-30</v>
      </c>
      <c r="F433" s="319" t="s">
        <v>377</v>
      </c>
      <c r="G433" s="2">
        <f>ROUND(E433*$C433/100,0)</f>
        <v>0</v>
      </c>
      <c r="H433" s="2">
        <f>ROUND(E433*$D433/100,0)</f>
        <v>0</v>
      </c>
      <c r="I433" s="337">
        <f>$I$173</f>
        <v>-30</v>
      </c>
      <c r="J433" s="321" t="s">
        <v>377</v>
      </c>
      <c r="K433" s="2">
        <f>ROUND(I433*$D433/100,0)</f>
        <v>0</v>
      </c>
    </row>
    <row r="434" spans="1:15">
      <c r="A434" s="1" t="s">
        <v>384</v>
      </c>
      <c r="B434" s="1"/>
      <c r="C434" s="317">
        <f>SUM(C419:C421)</f>
        <v>2729</v>
      </c>
      <c r="D434" s="317">
        <v>5657.1497597183234</v>
      </c>
      <c r="E434" s="328"/>
      <c r="F434" s="2"/>
      <c r="G434" s="2">
        <f>SUM(G413:G433)</f>
        <v>1696</v>
      </c>
      <c r="H434" s="2">
        <f>SUM(H413:H433)</f>
        <v>2541</v>
      </c>
      <c r="I434" s="328"/>
      <c r="J434" s="321"/>
      <c r="K434" s="2">
        <f>SUM(K413:K433)</f>
        <v>2674</v>
      </c>
    </row>
    <row r="435" spans="1:15">
      <c r="A435" s="1" t="s">
        <v>366</v>
      </c>
      <c r="B435" s="1"/>
      <c r="C435" s="347">
        <v>-61.512045213815</v>
      </c>
      <c r="D435" s="347">
        <v>0</v>
      </c>
      <c r="E435" s="307"/>
      <c r="F435" s="307"/>
      <c r="G435" s="339">
        <v>-28.466349506112088</v>
      </c>
      <c r="H435" s="339">
        <v>0</v>
      </c>
      <c r="I435" s="307"/>
      <c r="J435" s="307"/>
      <c r="K435" s="339">
        <v>0</v>
      </c>
      <c r="M435" s="287"/>
      <c r="N435" s="287"/>
      <c r="O435" s="288"/>
    </row>
    <row r="436" spans="1:15" ht="16.5" thickBot="1">
      <c r="A436" s="1" t="s">
        <v>385</v>
      </c>
      <c r="B436" s="1"/>
      <c r="C436" s="309">
        <f>SUM(C434:C435)</f>
        <v>2667.4879547861851</v>
      </c>
      <c r="D436" s="309">
        <f>SUM(D434:D435)</f>
        <v>5657.1497597183234</v>
      </c>
      <c r="E436" s="340"/>
      <c r="F436" s="341"/>
      <c r="G436" s="342">
        <f>G434+G435</f>
        <v>1667.533650493888</v>
      </c>
      <c r="H436" s="342">
        <f>H434+H435</f>
        <v>2541</v>
      </c>
      <c r="I436" s="340"/>
      <c r="J436" s="343"/>
      <c r="K436" s="342">
        <f>K434+K435</f>
        <v>2674</v>
      </c>
      <c r="M436" s="289"/>
      <c r="N436" s="289"/>
      <c r="O436" s="290"/>
    </row>
    <row r="437" spans="1:15" ht="16.5" thickTop="1">
      <c r="A437" s="1"/>
      <c r="B437" s="1"/>
      <c r="C437" s="21"/>
      <c r="D437" s="21"/>
      <c r="E437" s="335"/>
      <c r="F437" s="2"/>
      <c r="G437" s="2"/>
      <c r="H437" s="2"/>
      <c r="I437" s="351" t="s">
        <v>31</v>
      </c>
      <c r="J437" s="1"/>
      <c r="K437" s="2" t="s">
        <v>31</v>
      </c>
    </row>
    <row r="438" spans="1:15">
      <c r="A438" s="1"/>
      <c r="B438" s="1"/>
      <c r="C438" s="21"/>
      <c r="D438" s="21"/>
      <c r="E438" s="335"/>
      <c r="F438" s="2"/>
      <c r="G438" s="2"/>
      <c r="H438" s="2"/>
      <c r="I438" s="351" t="s">
        <v>31</v>
      </c>
      <c r="J438" s="1"/>
      <c r="K438" s="2" t="s">
        <v>31</v>
      </c>
    </row>
    <row r="439" spans="1:15">
      <c r="A439" s="291" t="s">
        <v>423</v>
      </c>
      <c r="B439" s="1"/>
      <c r="C439" s="352"/>
      <c r="D439" s="352"/>
      <c r="E439" s="2"/>
      <c r="F439" s="2"/>
      <c r="G439" s="1"/>
      <c r="H439" s="1"/>
      <c r="I439" s="2"/>
      <c r="J439" s="1"/>
      <c r="K439" s="2" t="s">
        <v>31</v>
      </c>
    </row>
    <row r="440" spans="1:15">
      <c r="A440" s="321" t="s">
        <v>338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321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321" t="s">
        <v>396</v>
      </c>
      <c r="B442" s="1"/>
      <c r="C442" s="317"/>
      <c r="D442" s="317"/>
      <c r="E442" s="2"/>
      <c r="F442" s="2"/>
      <c r="G442" s="1"/>
      <c r="H442" s="1"/>
      <c r="I442" s="2"/>
      <c r="J442" s="1"/>
      <c r="K442" s="1"/>
    </row>
    <row r="443" spans="1:15">
      <c r="A443" s="321" t="s">
        <v>424</v>
      </c>
      <c r="B443" s="1"/>
      <c r="C443" s="317">
        <v>0</v>
      </c>
      <c r="D443" s="317">
        <v>0</v>
      </c>
      <c r="E443" s="353">
        <f>E480</f>
        <v>205</v>
      </c>
      <c r="F443" s="321"/>
      <c r="G443" s="319">
        <f t="shared" ref="G443:H445" si="39">ROUND(E443*$C443,0)</f>
        <v>0</v>
      </c>
      <c r="H443" s="319">
        <f t="shared" si="39"/>
        <v>0</v>
      </c>
      <c r="I443" s="353">
        <f>I480</f>
        <v>225</v>
      </c>
      <c r="J443" s="321"/>
      <c r="K443" s="319">
        <f>ROUND(I443*$D443,0)</f>
        <v>0</v>
      </c>
    </row>
    <row r="444" spans="1:15">
      <c r="A444" s="321" t="s">
        <v>425</v>
      </c>
      <c r="B444" s="1"/>
      <c r="C444" s="317">
        <v>0</v>
      </c>
      <c r="D444" s="317">
        <v>0</v>
      </c>
      <c r="E444" s="353">
        <f>E481</f>
        <v>75</v>
      </c>
      <c r="F444" s="321"/>
      <c r="G444" s="319">
        <f t="shared" si="39"/>
        <v>0</v>
      </c>
      <c r="H444" s="319">
        <f t="shared" si="39"/>
        <v>0</v>
      </c>
      <c r="I444" s="353">
        <f>I481</f>
        <v>83</v>
      </c>
      <c r="J444" s="321"/>
      <c r="K444" s="319">
        <f>ROUND(I444*$D444,0)</f>
        <v>0</v>
      </c>
    </row>
    <row r="445" spans="1:15">
      <c r="A445" s="321" t="s">
        <v>426</v>
      </c>
      <c r="B445" s="1"/>
      <c r="C445" s="317">
        <v>0</v>
      </c>
      <c r="D445" s="317">
        <v>0</v>
      </c>
      <c r="E445" s="353">
        <f>E482</f>
        <v>150</v>
      </c>
      <c r="F445" s="323"/>
      <c r="G445" s="319">
        <f t="shared" si="39"/>
        <v>0</v>
      </c>
      <c r="H445" s="319">
        <f t="shared" si="39"/>
        <v>0</v>
      </c>
      <c r="I445" s="353">
        <f>I482</f>
        <v>166</v>
      </c>
      <c r="J445" s="323"/>
      <c r="K445" s="319">
        <f>ROUND(I445*$D445,0)</f>
        <v>0</v>
      </c>
    </row>
    <row r="446" spans="1:15">
      <c r="A446" s="321" t="s">
        <v>397</v>
      </c>
      <c r="B446" s="1"/>
      <c r="C446" s="317">
        <f>SUM(C443:C445)</f>
        <v>0</v>
      </c>
      <c r="D446" s="317">
        <f>SUM(D443:D445)</f>
        <v>0</v>
      </c>
      <c r="E446" s="353"/>
      <c r="F446" s="321"/>
      <c r="G446" s="319"/>
      <c r="H446" s="319"/>
      <c r="I446" s="353"/>
      <c r="J446" s="321"/>
      <c r="K446" s="319"/>
    </row>
    <row r="447" spans="1:15">
      <c r="A447" s="321" t="s">
        <v>425</v>
      </c>
      <c r="B447" s="1"/>
      <c r="C447" s="317">
        <v>0</v>
      </c>
      <c r="D447" s="317">
        <v>0</v>
      </c>
      <c r="E447" s="353">
        <f>E484</f>
        <v>1.38</v>
      </c>
      <c r="F447" s="321" t="s">
        <v>31</v>
      </c>
      <c r="G447" s="319">
        <f>ROUND(E447*$C447,0)</f>
        <v>0</v>
      </c>
      <c r="H447" s="319">
        <f>ROUND(F447*$C447,0)</f>
        <v>0</v>
      </c>
      <c r="I447" s="353">
        <f>I484</f>
        <v>1.47</v>
      </c>
      <c r="J447" s="321" t="s">
        <v>31</v>
      </c>
      <c r="K447" s="319">
        <f>ROUND(I447*$D447,0)</f>
        <v>0</v>
      </c>
    </row>
    <row r="448" spans="1:15">
      <c r="A448" s="321" t="s">
        <v>426</v>
      </c>
      <c r="B448" s="1"/>
      <c r="C448" s="317">
        <v>0</v>
      </c>
      <c r="D448" s="317">
        <v>0</v>
      </c>
      <c r="E448" s="353">
        <f>E485</f>
        <v>1.1299999999999999</v>
      </c>
      <c r="F448" s="321" t="s">
        <v>31</v>
      </c>
      <c r="G448" s="319">
        <f>ROUND(E448*$C448,0)</f>
        <v>0</v>
      </c>
      <c r="H448" s="319">
        <f>ROUND(F448*$C448,0)</f>
        <v>0</v>
      </c>
      <c r="I448" s="353">
        <f>I485</f>
        <v>1.2</v>
      </c>
      <c r="J448" s="321" t="s">
        <v>31</v>
      </c>
      <c r="K448" s="319">
        <f>ROUND(I448*$D448,0)</f>
        <v>0</v>
      </c>
    </row>
    <row r="449" spans="1:11">
      <c r="A449" s="307" t="s">
        <v>427</v>
      </c>
      <c r="B449" s="1"/>
      <c r="C449" s="317"/>
      <c r="D449" s="317"/>
      <c r="E449" s="353"/>
      <c r="F449" s="321"/>
      <c r="G449" s="319"/>
      <c r="H449" s="319"/>
      <c r="I449" s="353"/>
      <c r="J449" s="321"/>
      <c r="K449" s="319"/>
    </row>
    <row r="450" spans="1:11">
      <c r="A450" s="307" t="s">
        <v>428</v>
      </c>
      <c r="B450" s="1"/>
      <c r="C450" s="317">
        <v>0</v>
      </c>
      <c r="D450" s="317">
        <v>0</v>
      </c>
      <c r="E450" s="353">
        <f>E487</f>
        <v>3.64</v>
      </c>
      <c r="F450" s="321"/>
      <c r="G450" s="319">
        <f>ROUND(E450*$C450,0)</f>
        <v>0</v>
      </c>
      <c r="H450" s="319">
        <f>ROUND(F450*$C450,0)</f>
        <v>0</v>
      </c>
      <c r="I450" s="353">
        <f>I487</f>
        <v>3.75</v>
      </c>
      <c r="J450" s="321"/>
      <c r="K450" s="319">
        <f>ROUND(I450*$D450,0)</f>
        <v>0</v>
      </c>
    </row>
    <row r="451" spans="1:11">
      <c r="A451" s="321" t="s">
        <v>429</v>
      </c>
      <c r="B451" s="1"/>
      <c r="C451" s="317"/>
      <c r="D451" s="317"/>
      <c r="E451" s="354"/>
      <c r="F451" s="319"/>
      <c r="G451" s="319"/>
      <c r="H451" s="319"/>
      <c r="I451" s="354"/>
      <c r="J451" s="319"/>
      <c r="K451" s="319"/>
    </row>
    <row r="452" spans="1:11">
      <c r="A452" s="321" t="s">
        <v>430</v>
      </c>
      <c r="B452" s="1"/>
      <c r="C452" s="317">
        <v>0</v>
      </c>
      <c r="D452" s="317">
        <v>0</v>
      </c>
      <c r="E452" s="355">
        <f>E490</f>
        <v>3.9809999999999999</v>
      </c>
      <c r="F452" s="319" t="s">
        <v>377</v>
      </c>
      <c r="G452" s="319">
        <f>ROUND($C452*E452/100,0)</f>
        <v>0</v>
      </c>
      <c r="H452" s="319">
        <f>ROUND($C452*F452/100,0)</f>
        <v>0</v>
      </c>
      <c r="I452" s="355">
        <f>I490</f>
        <v>4.3570000000000002</v>
      </c>
      <c r="J452" s="319" t="s">
        <v>377</v>
      </c>
      <c r="K452" s="319">
        <f>ROUND($D452*I452/100,0)</f>
        <v>0</v>
      </c>
    </row>
    <row r="453" spans="1:11">
      <c r="A453" s="321" t="s">
        <v>402</v>
      </c>
      <c r="B453" s="1"/>
      <c r="C453" s="317">
        <v>0</v>
      </c>
      <c r="D453" s="317">
        <v>0</v>
      </c>
      <c r="E453" s="355">
        <f>E491</f>
        <v>3.649</v>
      </c>
      <c r="F453" s="319" t="s">
        <v>377</v>
      </c>
      <c r="G453" s="319">
        <f>ROUND($C453*E453/100,0)</f>
        <v>0</v>
      </c>
      <c r="H453" s="319">
        <f>ROUND($C453*F453/100,0)</f>
        <v>0</v>
      </c>
      <c r="I453" s="355">
        <f>I491</f>
        <v>3.9930000000000003</v>
      </c>
      <c r="J453" s="319" t="s">
        <v>377</v>
      </c>
      <c r="K453" s="319">
        <f>ROUND($D453*I453/100,0)</f>
        <v>0</v>
      </c>
    </row>
    <row r="454" spans="1:11">
      <c r="A454" s="321" t="s">
        <v>403</v>
      </c>
      <c r="B454" s="1"/>
      <c r="C454" s="317">
        <v>0</v>
      </c>
      <c r="D454" s="317">
        <v>0</v>
      </c>
      <c r="E454" s="356">
        <v>45</v>
      </c>
      <c r="F454" s="319" t="s">
        <v>377</v>
      </c>
      <c r="G454" s="319">
        <f>ROUND(E454*$C454/100,0)</f>
        <v>0</v>
      </c>
      <c r="H454" s="319">
        <f>ROUND(F454*$C454/100,0)</f>
        <v>0</v>
      </c>
      <c r="I454" s="356">
        <v>45</v>
      </c>
      <c r="J454" s="319" t="s">
        <v>377</v>
      </c>
      <c r="K454" s="319">
        <f>ROUND(I454*$D454,0)</f>
        <v>0</v>
      </c>
    </row>
    <row r="455" spans="1:11">
      <c r="A455" s="321" t="s">
        <v>431</v>
      </c>
      <c r="B455" s="1"/>
      <c r="C455" s="317">
        <v>0</v>
      </c>
      <c r="D455" s="317">
        <v>0</v>
      </c>
      <c r="E455" s="357">
        <v>0.06</v>
      </c>
      <c r="F455" s="319"/>
      <c r="G455" s="319">
        <f>ROUND($C455*E455/100,0)</f>
        <v>0</v>
      </c>
      <c r="H455" s="319">
        <f>ROUND($C455*F455/100,0)</f>
        <v>0</v>
      </c>
      <c r="I455" s="357">
        <v>0.06</v>
      </c>
      <c r="J455" s="319"/>
      <c r="K455" s="319">
        <f>ROUND($D455*I455/100,0)</f>
        <v>0</v>
      </c>
    </row>
    <row r="456" spans="1:11">
      <c r="A456" s="358" t="s">
        <v>404</v>
      </c>
      <c r="B456" s="1"/>
      <c r="C456" s="317"/>
      <c r="D456" s="317"/>
      <c r="E456" s="330">
        <v>-0.01</v>
      </c>
      <c r="F456" s="359"/>
      <c r="G456" s="359"/>
      <c r="H456" s="359"/>
      <c r="I456" s="330">
        <v>-0.01</v>
      </c>
      <c r="J456" s="359"/>
      <c r="K456" s="2"/>
    </row>
    <row r="457" spans="1:11">
      <c r="A457" s="321" t="s">
        <v>424</v>
      </c>
      <c r="B457" s="1"/>
      <c r="C457" s="317">
        <v>0</v>
      </c>
      <c r="D457" s="317">
        <v>0</v>
      </c>
      <c r="E457" s="353">
        <f>E443</f>
        <v>205</v>
      </c>
      <c r="F457" s="321"/>
      <c r="G457" s="319">
        <f t="shared" ref="G457:H462" si="40">ROUND(E457*$C457*$E$456,0)</f>
        <v>0</v>
      </c>
      <c r="H457" s="319">
        <f t="shared" si="40"/>
        <v>0</v>
      </c>
      <c r="I457" s="353">
        <f>I443</f>
        <v>225</v>
      </c>
      <c r="J457" s="321"/>
      <c r="K457" s="319">
        <f t="shared" ref="K457:K462" si="41">ROUND(I457*$D457*$E$456,0)</f>
        <v>0</v>
      </c>
    </row>
    <row r="458" spans="1:11">
      <c r="A458" s="321" t="s">
        <v>425</v>
      </c>
      <c r="B458" s="1"/>
      <c r="C458" s="317">
        <v>0</v>
      </c>
      <c r="D458" s="317">
        <v>0</v>
      </c>
      <c r="E458" s="353">
        <f>E444</f>
        <v>75</v>
      </c>
      <c r="F458" s="321"/>
      <c r="G458" s="319">
        <f t="shared" si="40"/>
        <v>0</v>
      </c>
      <c r="H458" s="319">
        <f t="shared" si="40"/>
        <v>0</v>
      </c>
      <c r="I458" s="353">
        <f>I444</f>
        <v>83</v>
      </c>
      <c r="J458" s="321"/>
      <c r="K458" s="319">
        <f t="shared" si="41"/>
        <v>0</v>
      </c>
    </row>
    <row r="459" spans="1:11">
      <c r="A459" s="321" t="s">
        <v>426</v>
      </c>
      <c r="B459" s="1"/>
      <c r="C459" s="317">
        <v>0</v>
      </c>
      <c r="D459" s="317">
        <v>0</v>
      </c>
      <c r="E459" s="353">
        <f>E445</f>
        <v>150</v>
      </c>
      <c r="F459" s="323"/>
      <c r="G459" s="319">
        <f t="shared" si="40"/>
        <v>0</v>
      </c>
      <c r="H459" s="319">
        <f t="shared" si="40"/>
        <v>0</v>
      </c>
      <c r="I459" s="353">
        <f>I445</f>
        <v>166</v>
      </c>
      <c r="J459" s="323"/>
      <c r="K459" s="319">
        <f t="shared" si="41"/>
        <v>0</v>
      </c>
    </row>
    <row r="460" spans="1:11">
      <c r="A460" s="321" t="s">
        <v>425</v>
      </c>
      <c r="B460" s="1"/>
      <c r="C460" s="317">
        <v>0</v>
      </c>
      <c r="D460" s="317">
        <v>0</v>
      </c>
      <c r="E460" s="353">
        <f>E447</f>
        <v>1.38</v>
      </c>
      <c r="F460" s="321" t="s">
        <v>31</v>
      </c>
      <c r="G460" s="319">
        <f t="shared" si="40"/>
        <v>0</v>
      </c>
      <c r="H460" s="319">
        <f t="shared" si="40"/>
        <v>0</v>
      </c>
      <c r="I460" s="353">
        <f>I447</f>
        <v>1.47</v>
      </c>
      <c r="J460" s="321" t="s">
        <v>31</v>
      </c>
      <c r="K460" s="319">
        <f t="shared" si="41"/>
        <v>0</v>
      </c>
    </row>
    <row r="461" spans="1:11">
      <c r="A461" s="321" t="s">
        <v>426</v>
      </c>
      <c r="B461" s="1"/>
      <c r="C461" s="317">
        <v>0</v>
      </c>
      <c r="D461" s="317">
        <v>0</v>
      </c>
      <c r="E461" s="353">
        <f>E448</f>
        <v>1.1299999999999999</v>
      </c>
      <c r="F461" s="321" t="s">
        <v>31</v>
      </c>
      <c r="G461" s="319">
        <f t="shared" si="40"/>
        <v>0</v>
      </c>
      <c r="H461" s="319">
        <f t="shared" si="40"/>
        <v>0</v>
      </c>
      <c r="I461" s="353">
        <f>I448</f>
        <v>1.2</v>
      </c>
      <c r="J461" s="321" t="s">
        <v>31</v>
      </c>
      <c r="K461" s="319">
        <f t="shared" si="41"/>
        <v>0</v>
      </c>
    </row>
    <row r="462" spans="1:11">
      <c r="A462" s="307" t="s">
        <v>428</v>
      </c>
      <c r="B462" s="1"/>
      <c r="C462" s="317">
        <v>0</v>
      </c>
      <c r="D462" s="317">
        <v>0</v>
      </c>
      <c r="E462" s="353">
        <f>E450</f>
        <v>3.64</v>
      </c>
      <c r="F462" s="321"/>
      <c r="G462" s="319">
        <f t="shared" si="40"/>
        <v>0</v>
      </c>
      <c r="H462" s="319">
        <f t="shared" si="40"/>
        <v>0</v>
      </c>
      <c r="I462" s="353">
        <f>I450</f>
        <v>3.75</v>
      </c>
      <c r="J462" s="321"/>
      <c r="K462" s="319">
        <f t="shared" si="41"/>
        <v>0</v>
      </c>
    </row>
    <row r="463" spans="1:11">
      <c r="A463" s="321" t="s">
        <v>430</v>
      </c>
      <c r="B463" s="1"/>
      <c r="C463" s="317">
        <v>0</v>
      </c>
      <c r="D463" s="317">
        <v>0</v>
      </c>
      <c r="E463" s="333">
        <f>E452</f>
        <v>3.9809999999999999</v>
      </c>
      <c r="F463" s="319" t="s">
        <v>377</v>
      </c>
      <c r="G463" s="319">
        <f>ROUND(E463/100*$C463*E456,0)</f>
        <v>0</v>
      </c>
      <c r="H463" s="319">
        <f>ROUND(F463/100*$C463*F456,0)</f>
        <v>0</v>
      </c>
      <c r="I463" s="333">
        <f>I452</f>
        <v>4.3570000000000002</v>
      </c>
      <c r="J463" s="319" t="s">
        <v>377</v>
      </c>
      <c r="K463" s="319">
        <f>ROUND(I463/100*$D463*E456,0)</f>
        <v>0</v>
      </c>
    </row>
    <row r="464" spans="1:11">
      <c r="A464" s="321" t="s">
        <v>402</v>
      </c>
      <c r="B464" s="1"/>
      <c r="C464" s="317">
        <v>0</v>
      </c>
      <c r="D464" s="317">
        <v>0</v>
      </c>
      <c r="E464" s="333">
        <f>E453</f>
        <v>3.649</v>
      </c>
      <c r="F464" s="319" t="s">
        <v>377</v>
      </c>
      <c r="G464" s="319">
        <f>ROUND(E464/100*$C464*E456,0)</f>
        <v>0</v>
      </c>
      <c r="H464" s="319">
        <f>ROUND(F464/100*$C464*F456,0)</f>
        <v>0</v>
      </c>
      <c r="I464" s="333">
        <f>I453</f>
        <v>3.9930000000000003</v>
      </c>
      <c r="J464" s="319" t="s">
        <v>377</v>
      </c>
      <c r="K464" s="319">
        <f>ROUND(I464/100*$D464*E456,0)</f>
        <v>0</v>
      </c>
    </row>
    <row r="465" spans="1:24">
      <c r="A465" s="307" t="s">
        <v>432</v>
      </c>
      <c r="B465" s="1"/>
      <c r="C465" s="317">
        <v>0</v>
      </c>
      <c r="D465" s="317">
        <v>0</v>
      </c>
      <c r="E465" s="360">
        <v>45</v>
      </c>
      <c r="F465" s="319" t="s">
        <v>377</v>
      </c>
      <c r="G465" s="319">
        <f>ROUND(E465*$C465*$E$456,0)</f>
        <v>0</v>
      </c>
      <c r="H465" s="319">
        <f>ROUND(F465*$C465*$E$456,0)</f>
        <v>0</v>
      </c>
      <c r="I465" s="360">
        <v>45</v>
      </c>
      <c r="J465" s="319" t="s">
        <v>377</v>
      </c>
      <c r="K465" s="319">
        <f>ROUND(I465*$D465*$E$456,0)</f>
        <v>0</v>
      </c>
    </row>
    <row r="466" spans="1:24">
      <c r="A466" s="307" t="s">
        <v>433</v>
      </c>
      <c r="B466" s="1"/>
      <c r="C466" s="317">
        <v>0</v>
      </c>
      <c r="D466" s="317">
        <v>0</v>
      </c>
      <c r="E466" s="334">
        <v>0.06</v>
      </c>
      <c r="F466" s="319" t="s">
        <v>377</v>
      </c>
      <c r="G466" s="319">
        <f>ROUND(E466/100*$C466*E456,0)</f>
        <v>0</v>
      </c>
      <c r="H466" s="319">
        <f>ROUND(F466/100*$C466*F456,0)</f>
        <v>0</v>
      </c>
      <c r="I466" s="334">
        <v>0.06</v>
      </c>
      <c r="J466" s="319" t="s">
        <v>377</v>
      </c>
      <c r="K466" s="319">
        <f>ROUND(I466/100*$D466*I456,0)</f>
        <v>0</v>
      </c>
    </row>
    <row r="467" spans="1:24">
      <c r="A467" s="321" t="s">
        <v>434</v>
      </c>
      <c r="B467" s="1"/>
      <c r="C467" s="317">
        <v>0</v>
      </c>
      <c r="D467" s="317">
        <v>0</v>
      </c>
      <c r="E467" s="361">
        <v>60</v>
      </c>
      <c r="F467" s="359" t="s">
        <v>31</v>
      </c>
      <c r="G467" s="319">
        <f>ROUND(E467*$C467,0)</f>
        <v>0</v>
      </c>
      <c r="H467" s="319">
        <f>ROUND(F467*$C467,0)</f>
        <v>0</v>
      </c>
      <c r="I467" s="361">
        <v>60</v>
      </c>
      <c r="J467" s="362" t="s">
        <v>31</v>
      </c>
      <c r="K467" s="319">
        <f>ROUND(I467*$D467,0)</f>
        <v>0</v>
      </c>
    </row>
    <row r="468" spans="1:24">
      <c r="A468" s="321" t="s">
        <v>435</v>
      </c>
      <c r="B468" s="1"/>
      <c r="C468" s="317">
        <v>0</v>
      </c>
      <c r="D468" s="317">
        <v>0</v>
      </c>
      <c r="E468" s="334">
        <v>-30</v>
      </c>
      <c r="F468" s="319" t="s">
        <v>377</v>
      </c>
      <c r="G468" s="319">
        <f>ROUND(E468*$C468*$E$456,0)</f>
        <v>0</v>
      </c>
      <c r="H468" s="319">
        <f>ROUND(F468*$C468*$E$456,0)</f>
        <v>0</v>
      </c>
      <c r="I468" s="334">
        <v>-30</v>
      </c>
      <c r="J468" s="319" t="s">
        <v>377</v>
      </c>
      <c r="K468" s="319">
        <f>ROUND(I468*$D468*$E$456,0)</f>
        <v>0</v>
      </c>
    </row>
    <row r="469" spans="1:24">
      <c r="A469" s="307" t="s">
        <v>436</v>
      </c>
      <c r="B469" s="1"/>
      <c r="C469" s="317">
        <v>0</v>
      </c>
      <c r="D469" s="317">
        <v>0</v>
      </c>
      <c r="E469" s="332">
        <f>E450/2</f>
        <v>1.82</v>
      </c>
      <c r="F469" s="319"/>
      <c r="G469" s="319"/>
      <c r="H469" s="319"/>
      <c r="I469" s="332">
        <f>I450/2</f>
        <v>1.875</v>
      </c>
      <c r="J469" s="319"/>
      <c r="K469" s="319">
        <f>ROUND($D469*I469,0)</f>
        <v>0</v>
      </c>
    </row>
    <row r="470" spans="1:24">
      <c r="A470" s="307" t="s">
        <v>437</v>
      </c>
      <c r="B470" s="1"/>
      <c r="C470" s="317">
        <v>0</v>
      </c>
      <c r="D470" s="317">
        <v>0</v>
      </c>
      <c r="E470" s="332">
        <f>E450*4</f>
        <v>14.56</v>
      </c>
      <c r="F470" s="319"/>
      <c r="G470" s="319"/>
      <c r="H470" s="319"/>
      <c r="I470" s="332">
        <f>I450*4</f>
        <v>15</v>
      </c>
      <c r="J470" s="319"/>
      <c r="K470" s="319">
        <f>ROUND($D470*I470,0)</f>
        <v>0</v>
      </c>
    </row>
    <row r="471" spans="1:24">
      <c r="A471" s="3" t="s">
        <v>438</v>
      </c>
      <c r="B471" s="301"/>
      <c r="C471" s="317">
        <v>0</v>
      </c>
      <c r="D471" s="317">
        <v>0</v>
      </c>
      <c r="E471" s="363">
        <f>E453*4</f>
        <v>14.596</v>
      </c>
      <c r="F471" s="319" t="s">
        <v>377</v>
      </c>
      <c r="G471" s="319">
        <f>ROUND($C471*E471/100,0)</f>
        <v>0</v>
      </c>
      <c r="H471" s="319">
        <f>ROUND($C471*F471/100,0)</f>
        <v>0</v>
      </c>
      <c r="I471" s="611">
        <f>I453*4</f>
        <v>15.972000000000001</v>
      </c>
      <c r="J471" s="319" t="s">
        <v>377</v>
      </c>
      <c r="K471" s="319">
        <f>ROUND($D471*I471/100,0)</f>
        <v>0</v>
      </c>
    </row>
    <row r="472" spans="1:24">
      <c r="A472" s="1" t="s">
        <v>384</v>
      </c>
      <c r="B472" s="1"/>
      <c r="C472" s="317">
        <f>SUM(C452:C453)</f>
        <v>0</v>
      </c>
      <c r="D472" s="317">
        <f>SUM(D452:D453)</f>
        <v>0</v>
      </c>
      <c r="E472" s="328"/>
      <c r="F472" s="2"/>
      <c r="G472" s="2">
        <f>SUM(G443:G471)</f>
        <v>0</v>
      </c>
      <c r="H472" s="2">
        <f>SUM(H443:H471)</f>
        <v>0</v>
      </c>
      <c r="I472" s="328"/>
      <c r="J472" s="321"/>
      <c r="K472" s="2">
        <f>SUM(K443:K471)</f>
        <v>0</v>
      </c>
    </row>
    <row r="473" spans="1:24">
      <c r="A473" s="1" t="s">
        <v>366</v>
      </c>
      <c r="B473" s="1"/>
      <c r="C473" s="347">
        <v>0</v>
      </c>
      <c r="D473" s="347">
        <v>0</v>
      </c>
      <c r="E473" s="307"/>
      <c r="F473" s="307"/>
      <c r="G473" s="308">
        <v>0</v>
      </c>
      <c r="H473" s="308">
        <v>0</v>
      </c>
      <c r="I473" s="307"/>
      <c r="J473" s="307"/>
      <c r="K473" s="308">
        <v>0</v>
      </c>
      <c r="M473" s="287"/>
      <c r="N473" s="287"/>
      <c r="O473" s="288"/>
    </row>
    <row r="474" spans="1:24" ht="16.5" thickBot="1">
      <c r="A474" s="1" t="s">
        <v>385</v>
      </c>
      <c r="B474" s="1"/>
      <c r="C474" s="364">
        <f>SUM(C472:C473)</f>
        <v>0</v>
      </c>
      <c r="D474" s="364">
        <f>SUM(D472:D473)</f>
        <v>0</v>
      </c>
      <c r="E474" s="340"/>
      <c r="F474" s="341"/>
      <c r="G474" s="342">
        <f>SUM(G472:G473)</f>
        <v>0</v>
      </c>
      <c r="H474" s="342">
        <f>SUM(H472:H473)</f>
        <v>0</v>
      </c>
      <c r="I474" s="340"/>
      <c r="J474" s="343"/>
      <c r="K474" s="342">
        <f>SUM(K472:K473)</f>
        <v>0</v>
      </c>
      <c r="M474" s="289"/>
      <c r="N474" s="289"/>
      <c r="O474" s="290"/>
    </row>
    <row r="475" spans="1:24" ht="16.5" thickTop="1">
      <c r="A475" s="1"/>
      <c r="B475" s="365"/>
      <c r="C475" s="21"/>
      <c r="D475" s="21"/>
      <c r="E475" s="335"/>
      <c r="F475" s="2"/>
      <c r="G475" s="2"/>
      <c r="H475" s="2"/>
      <c r="I475" s="335"/>
      <c r="J475" s="1"/>
      <c r="K475" s="2"/>
    </row>
    <row r="476" spans="1:24">
      <c r="A476" s="291" t="s">
        <v>439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</row>
    <row r="477" spans="1:24">
      <c r="A477" s="307" t="s">
        <v>440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321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321" t="s">
        <v>396</v>
      </c>
      <c r="B479" s="1"/>
      <c r="C479" s="317"/>
      <c r="D479" s="317"/>
      <c r="E479" s="2"/>
      <c r="F479" s="2"/>
      <c r="G479" s="1"/>
      <c r="H479" s="1"/>
      <c r="I479" s="2"/>
      <c r="J479" s="1"/>
      <c r="K479" s="1"/>
      <c r="S479" s="22">
        <v>100</v>
      </c>
      <c r="T479" s="22">
        <v>101</v>
      </c>
      <c r="U479" s="22">
        <v>300</v>
      </c>
      <c r="V479" s="22">
        <v>301</v>
      </c>
      <c r="W479" s="22" t="s">
        <v>441</v>
      </c>
      <c r="X479" s="22" t="s">
        <v>442</v>
      </c>
    </row>
    <row r="480" spans="1:24">
      <c r="A480" s="321" t="s">
        <v>424</v>
      </c>
      <c r="B480" s="1"/>
      <c r="C480" s="317">
        <f t="shared" ref="C480:D482" si="42">C514+C548</f>
        <v>289</v>
      </c>
      <c r="D480" s="317">
        <f t="shared" si="42"/>
        <v>292</v>
      </c>
      <c r="E480" s="296">
        <v>205</v>
      </c>
      <c r="F480" s="321"/>
      <c r="G480" s="319">
        <f t="shared" ref="G480:H482" si="43">G514+G548</f>
        <v>59245</v>
      </c>
      <c r="H480" s="319">
        <f t="shared" si="43"/>
        <v>59860</v>
      </c>
      <c r="I480" s="296">
        <v>225</v>
      </c>
      <c r="J480" s="321"/>
      <c r="K480" s="319">
        <f>K514+K548</f>
        <v>65700</v>
      </c>
      <c r="M480" s="84">
        <f>I480*D480</f>
        <v>65700</v>
      </c>
      <c r="N480" s="14"/>
      <c r="O480" s="14">
        <f>(I480-E480)/E480</f>
        <v>9.7560975609756101E-2</v>
      </c>
      <c r="P480" s="235">
        <f>SUM(K480:K485)/SUM(H480:H485)-1</f>
        <v>7.3572489540367991E-2</v>
      </c>
      <c r="R480" s="3" t="s">
        <v>374</v>
      </c>
      <c r="S480" s="327">
        <f>E480</f>
        <v>205</v>
      </c>
      <c r="T480" s="327">
        <f>E481+(E484*101)</f>
        <v>214.38</v>
      </c>
      <c r="U480" s="327">
        <f>E481+(E484*300)</f>
        <v>488.99999999999994</v>
      </c>
      <c r="V480" s="327">
        <f>E482+(E485*301)</f>
        <v>490.13</v>
      </c>
      <c r="W480" s="84">
        <f>(D480+D481+D482)*E480</f>
        <v>2621745</v>
      </c>
      <c r="X480" s="84">
        <f>SUM(H480:H485)-W480</f>
        <v>2785711</v>
      </c>
    </row>
    <row r="481" spans="1:25">
      <c r="A481" s="321" t="s">
        <v>425</v>
      </c>
      <c r="B481" s="1"/>
      <c r="C481" s="317">
        <f t="shared" si="42"/>
        <v>8907</v>
      </c>
      <c r="D481" s="317">
        <f t="shared" si="42"/>
        <v>8972</v>
      </c>
      <c r="E481" s="296">
        <v>75</v>
      </c>
      <c r="F481" s="321"/>
      <c r="G481" s="319">
        <f t="shared" si="43"/>
        <v>668025</v>
      </c>
      <c r="H481" s="319">
        <f t="shared" si="43"/>
        <v>672900</v>
      </c>
      <c r="I481" s="296">
        <v>83</v>
      </c>
      <c r="J481" s="321"/>
      <c r="K481" s="319">
        <f>K515+K549</f>
        <v>744676</v>
      </c>
      <c r="M481" s="84">
        <f>I481*D481</f>
        <v>744676</v>
      </c>
      <c r="N481" s="14"/>
      <c r="O481" s="14">
        <f>(I481-E481)/E481</f>
        <v>0.10666666666666667</v>
      </c>
      <c r="R481" s="3" t="s">
        <v>307</v>
      </c>
      <c r="S481" s="327">
        <f>I480</f>
        <v>225</v>
      </c>
      <c r="T481" s="327">
        <f>I481+(I484*101)</f>
        <v>231.47</v>
      </c>
      <c r="U481" s="327">
        <f>I481+(I484*300)</f>
        <v>524</v>
      </c>
      <c r="V481" s="327">
        <f>I482+(I485*301)</f>
        <v>527.20000000000005</v>
      </c>
      <c r="W481" s="84">
        <f>(D480+D481+D482)*I480</f>
        <v>2877525</v>
      </c>
      <c r="X481" s="84">
        <f>SUM(K480:K485)-W481</f>
        <v>2927771</v>
      </c>
    </row>
    <row r="482" spans="1:25">
      <c r="A482" s="321" t="s">
        <v>426</v>
      </c>
      <c r="B482" s="1"/>
      <c r="C482" s="317">
        <f t="shared" si="42"/>
        <v>3508</v>
      </c>
      <c r="D482" s="317">
        <f t="shared" si="42"/>
        <v>3525</v>
      </c>
      <c r="E482" s="296">
        <v>150</v>
      </c>
      <c r="F482" s="323"/>
      <c r="G482" s="319">
        <f t="shared" si="43"/>
        <v>526200</v>
      </c>
      <c r="H482" s="319">
        <f t="shared" si="43"/>
        <v>528750</v>
      </c>
      <c r="I482" s="296">
        <v>166</v>
      </c>
      <c r="J482" s="323"/>
      <c r="K482" s="319">
        <f>K516+K550</f>
        <v>585150</v>
      </c>
      <c r="M482" s="84">
        <f>I482*D482</f>
        <v>585150</v>
      </c>
      <c r="N482" s="14"/>
      <c r="O482" s="14">
        <f>(I482-E482)/E482</f>
        <v>0.10666666666666667</v>
      </c>
      <c r="R482" s="3" t="s">
        <v>254</v>
      </c>
      <c r="W482" s="3">
        <f>W481/W480</f>
        <v>1.0975609756097562</v>
      </c>
      <c r="X482" s="3">
        <f>X481/X480</f>
        <v>1.0509959575849757</v>
      </c>
    </row>
    <row r="483" spans="1:25">
      <c r="A483" s="321" t="s">
        <v>397</v>
      </c>
      <c r="B483" s="1"/>
      <c r="C483" s="317">
        <f>SUM(C480:C482)</f>
        <v>12704</v>
      </c>
      <c r="D483" s="317">
        <f>SUM(D480:D482)</f>
        <v>12789</v>
      </c>
      <c r="E483" s="296"/>
      <c r="F483" s="321"/>
      <c r="G483" s="319"/>
      <c r="H483" s="319"/>
      <c r="I483" s="296"/>
      <c r="J483" s="321"/>
      <c r="K483" s="319"/>
    </row>
    <row r="484" spans="1:25">
      <c r="A484" s="321" t="s">
        <v>425</v>
      </c>
      <c r="B484" s="1"/>
      <c r="C484" s="317">
        <f>C518+C552</f>
        <v>1535371</v>
      </c>
      <c r="D484" s="317">
        <f>D518+D552</f>
        <v>1549871</v>
      </c>
      <c r="E484" s="296">
        <v>1.38</v>
      </c>
      <c r="F484" s="321" t="s">
        <v>31</v>
      </c>
      <c r="G484" s="319">
        <f>G518+G552</f>
        <v>2118812</v>
      </c>
      <c r="H484" s="319">
        <f>H518+H552</f>
        <v>2138822</v>
      </c>
      <c r="I484" s="296">
        <v>1.47</v>
      </c>
      <c r="J484" s="321" t="s">
        <v>31</v>
      </c>
      <c r="K484" s="319">
        <f>K518+K552</f>
        <v>2278311</v>
      </c>
      <c r="M484" s="84">
        <f>I484*D484</f>
        <v>2278310.37</v>
      </c>
      <c r="N484" s="14"/>
      <c r="O484" s="14">
        <f>(I484-E484)/E484</f>
        <v>6.5217391304347894E-2</v>
      </c>
      <c r="R484" s="3" t="s">
        <v>443</v>
      </c>
    </row>
    <row r="485" spans="1:25">
      <c r="A485" s="321" t="s">
        <v>426</v>
      </c>
      <c r="B485" s="1"/>
      <c r="C485" s="317">
        <f>C519+C553</f>
        <v>1759859</v>
      </c>
      <c r="D485" s="317">
        <f>D519+D553</f>
        <v>1776216</v>
      </c>
      <c r="E485" s="296">
        <v>1.1299999999999999</v>
      </c>
      <c r="F485" s="321" t="s">
        <v>31</v>
      </c>
      <c r="G485" s="319">
        <f>G519+G553</f>
        <v>1988640</v>
      </c>
      <c r="H485" s="319">
        <f>H519+H553</f>
        <v>2007124</v>
      </c>
      <c r="I485" s="296">
        <v>1.2</v>
      </c>
      <c r="J485" s="321" t="s">
        <v>31</v>
      </c>
      <c r="K485" s="319">
        <f>K519+K553</f>
        <v>2131459</v>
      </c>
      <c r="M485" s="84">
        <f>I485*D485</f>
        <v>2131459.1999999997</v>
      </c>
      <c r="N485" s="14"/>
      <c r="O485" s="14">
        <f>(I485-E485)/E485</f>
        <v>6.1946902654867318E-2</v>
      </c>
      <c r="R485" s="3" t="s">
        <v>374</v>
      </c>
      <c r="T485" s="3">
        <f>(T480-S480)*12</f>
        <v>112.55999999999995</v>
      </c>
      <c r="V485" s="3">
        <f>(V480-U480)*12</f>
        <v>13.560000000000628</v>
      </c>
      <c r="X485" s="366"/>
      <c r="Y485" s="327"/>
    </row>
    <row r="486" spans="1:25">
      <c r="A486" s="307" t="s">
        <v>427</v>
      </c>
      <c r="B486" s="1"/>
      <c r="C486" s="317"/>
      <c r="D486" s="317"/>
      <c r="E486" s="353"/>
      <c r="F486" s="321"/>
      <c r="G486" s="319"/>
      <c r="H486" s="319"/>
      <c r="I486" s="353"/>
      <c r="J486" s="321"/>
      <c r="K486" s="319"/>
      <c r="R486" s="3" t="s">
        <v>307</v>
      </c>
      <c r="T486" s="3">
        <f>(T481-S481)*12</f>
        <v>77.639999999999986</v>
      </c>
      <c r="V486" s="3">
        <f>(V481-U481)*12</f>
        <v>38.400000000000546</v>
      </c>
    </row>
    <row r="487" spans="1:25">
      <c r="A487" s="307" t="s">
        <v>428</v>
      </c>
      <c r="B487" s="1"/>
      <c r="C487" s="317">
        <f>C521+C555</f>
        <v>2505096</v>
      </c>
      <c r="D487" s="317">
        <f>D521+D555</f>
        <v>2528566</v>
      </c>
      <c r="E487" s="296">
        <v>3.64</v>
      </c>
      <c r="F487" s="321"/>
      <c r="G487" s="319">
        <f>G521+G555</f>
        <v>9118549</v>
      </c>
      <c r="H487" s="319">
        <f>H521+H555</f>
        <v>9203980</v>
      </c>
      <c r="I487" s="296">
        <v>3.75</v>
      </c>
      <c r="J487" s="321"/>
      <c r="K487" s="319">
        <f>K521+K555</f>
        <v>9482123</v>
      </c>
      <c r="M487" s="84">
        <f>I487*D487</f>
        <v>9482122.5</v>
      </c>
      <c r="N487" s="14"/>
      <c r="O487" s="14">
        <f>(I487-E487)/E487</f>
        <v>3.0219780219780185E-2</v>
      </c>
    </row>
    <row r="488" spans="1:25">
      <c r="A488" s="307" t="s">
        <v>444</v>
      </c>
      <c r="B488" s="1"/>
      <c r="C488" s="317">
        <f>C522+C556</f>
        <v>29432</v>
      </c>
      <c r="D488" s="317">
        <f>D522+D556</f>
        <v>29702</v>
      </c>
      <c r="E488" s="367">
        <f>E487</f>
        <v>3.64</v>
      </c>
      <c r="F488" s="321"/>
      <c r="G488" s="319">
        <f>G522+G556</f>
        <v>107133</v>
      </c>
      <c r="H488" s="319">
        <f>H522+H556</f>
        <v>108115</v>
      </c>
      <c r="I488" s="367">
        <f>I487</f>
        <v>3.75</v>
      </c>
      <c r="J488" s="321"/>
      <c r="K488" s="319">
        <f>K522+K556</f>
        <v>111383</v>
      </c>
      <c r="M488" s="84">
        <f>I488*D488</f>
        <v>111382.5</v>
      </c>
      <c r="N488" s="14"/>
      <c r="O488" s="14">
        <f>(I488-E488)/E488</f>
        <v>3.0219780219780185E-2</v>
      </c>
    </row>
    <row r="489" spans="1:25">
      <c r="A489" s="321" t="s">
        <v>429</v>
      </c>
      <c r="B489" s="1"/>
      <c r="C489" s="317"/>
      <c r="D489" s="317"/>
      <c r="E489" s="296"/>
      <c r="F489" s="321"/>
      <c r="G489" s="319"/>
      <c r="H489" s="319"/>
      <c r="I489" s="296"/>
      <c r="J489" s="321"/>
      <c r="K489" s="319"/>
    </row>
    <row r="490" spans="1:25">
      <c r="A490" s="321" t="s">
        <v>430</v>
      </c>
      <c r="B490" s="317"/>
      <c r="C490" s="317">
        <v>399000610.21105069</v>
      </c>
      <c r="D490" s="317">
        <f>D524+D558</f>
        <v>402768334</v>
      </c>
      <c r="E490" s="368">
        <v>3.9809999999999999</v>
      </c>
      <c r="F490" s="321" t="s">
        <v>377</v>
      </c>
      <c r="G490" s="319">
        <f t="shared" ref="G490:H492" si="44">G524+G558</f>
        <v>15884355</v>
      </c>
      <c r="H490" s="319">
        <f t="shared" si="44"/>
        <v>16034207</v>
      </c>
      <c r="I490" s="325">
        <v>4.3570000000000002</v>
      </c>
      <c r="J490" s="321" t="s">
        <v>377</v>
      </c>
      <c r="K490" s="319">
        <f>K524+K558</f>
        <v>17548616</v>
      </c>
      <c r="M490" s="84">
        <f>(I490/100)*D490</f>
        <v>17548616.312380001</v>
      </c>
      <c r="N490" s="14"/>
      <c r="O490" s="14">
        <f>(I490-E490)/E490</f>
        <v>9.4448630997236965E-2</v>
      </c>
    </row>
    <row r="491" spans="1:25">
      <c r="A491" s="321" t="s">
        <v>402</v>
      </c>
      <c r="B491" s="317"/>
      <c r="C491" s="317">
        <v>502109624.78894931</v>
      </c>
      <c r="D491" s="317">
        <f>D525+D559</f>
        <v>506816374</v>
      </c>
      <c r="E491" s="368">
        <v>3.649</v>
      </c>
      <c r="F491" s="321" t="s">
        <v>377</v>
      </c>
      <c r="G491" s="319">
        <f t="shared" si="44"/>
        <v>18322143</v>
      </c>
      <c r="H491" s="319">
        <f t="shared" si="44"/>
        <v>18493730</v>
      </c>
      <c r="I491" s="368">
        <f>ROUND((E491/E490)*I490,3)-0.001</f>
        <v>3.9930000000000003</v>
      </c>
      <c r="J491" s="321" t="s">
        <v>377</v>
      </c>
      <c r="K491" s="319">
        <f>K525+K559</f>
        <v>20237178</v>
      </c>
      <c r="M491" s="84">
        <f>(I491/100)*D491</f>
        <v>20237177.813820001</v>
      </c>
      <c r="N491" s="14"/>
      <c r="O491" s="14">
        <f>(I491-E491)/E491</f>
        <v>9.4272403398191373E-2</v>
      </c>
    </row>
    <row r="492" spans="1:25">
      <c r="A492" s="321" t="s">
        <v>403</v>
      </c>
      <c r="B492" s="1"/>
      <c r="C492" s="317">
        <f>C526+C560</f>
        <v>523331</v>
      </c>
      <c r="D492" s="317">
        <f>D526+D560</f>
        <v>528143</v>
      </c>
      <c r="E492" s="337">
        <v>45</v>
      </c>
      <c r="F492" s="321" t="s">
        <v>377</v>
      </c>
      <c r="G492" s="319">
        <f t="shared" si="44"/>
        <v>235499</v>
      </c>
      <c r="H492" s="319">
        <f t="shared" si="44"/>
        <v>237664</v>
      </c>
      <c r="I492" s="337">
        <v>45</v>
      </c>
      <c r="J492" s="321" t="s">
        <v>377</v>
      </c>
      <c r="K492" s="319">
        <f>K526+K560</f>
        <v>237664</v>
      </c>
      <c r="M492" s="84">
        <f>(I492/100)*D492</f>
        <v>237664.35</v>
      </c>
      <c r="N492" s="14"/>
      <c r="O492" s="14">
        <f>(I492-E492)/E492</f>
        <v>0</v>
      </c>
      <c r="S492" s="3" t="s">
        <v>374</v>
      </c>
      <c r="T492" s="3" t="s">
        <v>307</v>
      </c>
      <c r="U492" s="3" t="s">
        <v>375</v>
      </c>
      <c r="V492" s="3" t="s">
        <v>317</v>
      </c>
    </row>
    <row r="493" spans="1:25">
      <c r="A493" s="358" t="s">
        <v>404</v>
      </c>
      <c r="B493" s="1"/>
      <c r="C493" s="317"/>
      <c r="D493" s="317"/>
      <c r="E493" s="330">
        <v>-0.01</v>
      </c>
      <c r="F493" s="2"/>
      <c r="G493" s="319"/>
      <c r="H493" s="319"/>
      <c r="I493" s="330">
        <v>-0.01</v>
      </c>
      <c r="J493" s="1"/>
      <c r="K493" s="319"/>
      <c r="R493" s="3" t="s">
        <v>445</v>
      </c>
      <c r="S493" s="84">
        <f>SUM(H480:H485)</f>
        <v>5407456</v>
      </c>
      <c r="T493" s="84">
        <f>SUM(K480:K485)</f>
        <v>5805296</v>
      </c>
      <c r="U493" s="106">
        <v>6297781.880353801</v>
      </c>
      <c r="V493" s="235">
        <f>T493/U493</f>
        <v>0.92180010522591582</v>
      </c>
    </row>
    <row r="494" spans="1:25">
      <c r="A494" s="321" t="s">
        <v>424</v>
      </c>
      <c r="B494" s="1"/>
      <c r="C494" s="317">
        <f t="shared" ref="C494:D507" si="45">C528+C562</f>
        <v>0</v>
      </c>
      <c r="D494" s="317">
        <f t="shared" si="45"/>
        <v>0</v>
      </c>
      <c r="E494" s="302">
        <f>E480</f>
        <v>205</v>
      </c>
      <c r="F494" s="362"/>
      <c r="G494" s="319">
        <f t="shared" ref="G494:H507" si="46">G528+G562</f>
        <v>0</v>
      </c>
      <c r="H494" s="319">
        <f t="shared" si="46"/>
        <v>0</v>
      </c>
      <c r="I494" s="302">
        <f>I480</f>
        <v>225</v>
      </c>
      <c r="J494" s="291"/>
      <c r="K494" s="319">
        <f t="shared" ref="K494:K507" si="47">K528+K562</f>
        <v>0</v>
      </c>
      <c r="M494" s="84">
        <f t="shared" ref="M494:M500" si="48">-(I494*D494)/100</f>
        <v>0</v>
      </c>
      <c r="R494" s="3" t="s">
        <v>379</v>
      </c>
      <c r="S494" s="84">
        <f>SUM(H490:H491)</f>
        <v>34527937</v>
      </c>
      <c r="T494" s="84">
        <f>SUM(K490:K491)</f>
        <v>37785794</v>
      </c>
      <c r="U494" s="106">
        <v>43870359.484416999</v>
      </c>
      <c r="V494" s="235">
        <f>T494/U494</f>
        <v>0.86130577556406229</v>
      </c>
    </row>
    <row r="495" spans="1:25">
      <c r="A495" s="321" t="s">
        <v>425</v>
      </c>
      <c r="B495" s="1"/>
      <c r="C495" s="317">
        <f t="shared" si="45"/>
        <v>36</v>
      </c>
      <c r="D495" s="317">
        <f t="shared" si="45"/>
        <v>36</v>
      </c>
      <c r="E495" s="302">
        <f>E481</f>
        <v>75</v>
      </c>
      <c r="F495" s="362"/>
      <c r="G495" s="319">
        <f t="shared" si="46"/>
        <v>-27</v>
      </c>
      <c r="H495" s="319">
        <f t="shared" si="46"/>
        <v>-27</v>
      </c>
      <c r="I495" s="302">
        <f>I481</f>
        <v>83</v>
      </c>
      <c r="J495" s="291"/>
      <c r="K495" s="319">
        <f t="shared" si="47"/>
        <v>-30</v>
      </c>
      <c r="M495" s="84">
        <f t="shared" si="48"/>
        <v>-29.88</v>
      </c>
      <c r="O495" s="369"/>
      <c r="R495" s="3" t="s">
        <v>409</v>
      </c>
      <c r="S495" s="84">
        <f>SUM(H487:H488)</f>
        <v>9312095</v>
      </c>
      <c r="T495" s="84">
        <f>SUM(K487:K488)</f>
        <v>9593506</v>
      </c>
      <c r="U495" s="106">
        <v>6509411.4532006206</v>
      </c>
      <c r="V495" s="235">
        <f>T495/U495</f>
        <v>1.4737900759496401</v>
      </c>
    </row>
    <row r="496" spans="1:25">
      <c r="A496" s="321" t="s">
        <v>426</v>
      </c>
      <c r="B496" s="1"/>
      <c r="C496" s="317">
        <f t="shared" si="45"/>
        <v>96</v>
      </c>
      <c r="D496" s="317">
        <f t="shared" si="45"/>
        <v>97</v>
      </c>
      <c r="E496" s="302">
        <f>E482</f>
        <v>150</v>
      </c>
      <c r="F496" s="370"/>
      <c r="G496" s="319">
        <f t="shared" si="46"/>
        <v>-144</v>
      </c>
      <c r="H496" s="319">
        <f t="shared" si="46"/>
        <v>-146</v>
      </c>
      <c r="I496" s="302">
        <f>I482</f>
        <v>166</v>
      </c>
      <c r="J496" s="371"/>
      <c r="K496" s="319">
        <f t="shared" si="47"/>
        <v>-161</v>
      </c>
      <c r="M496" s="84">
        <f t="shared" si="48"/>
        <v>-161.02000000000001</v>
      </c>
      <c r="O496" s="369"/>
    </row>
    <row r="497" spans="1:16">
      <c r="A497" s="321" t="s">
        <v>425</v>
      </c>
      <c r="B497" s="1"/>
      <c r="C497" s="317">
        <f t="shared" si="45"/>
        <v>5797</v>
      </c>
      <c r="D497" s="317">
        <f t="shared" si="45"/>
        <v>5851</v>
      </c>
      <c r="E497" s="302">
        <f>E484</f>
        <v>1.38</v>
      </c>
      <c r="F497" s="362"/>
      <c r="G497" s="319">
        <f t="shared" si="46"/>
        <v>-80</v>
      </c>
      <c r="H497" s="319">
        <f t="shared" si="46"/>
        <v>-81</v>
      </c>
      <c r="I497" s="302">
        <f>I484</f>
        <v>1.47</v>
      </c>
      <c r="J497" s="291"/>
      <c r="K497" s="319">
        <f t="shared" si="47"/>
        <v>-86</v>
      </c>
      <c r="M497" s="84">
        <f t="shared" si="48"/>
        <v>-86.009699999999995</v>
      </c>
    </row>
    <row r="498" spans="1:16">
      <c r="A498" s="321" t="s">
        <v>426</v>
      </c>
      <c r="B498" s="1"/>
      <c r="C498" s="317">
        <f t="shared" si="45"/>
        <v>55144</v>
      </c>
      <c r="D498" s="317">
        <f t="shared" si="45"/>
        <v>55664</v>
      </c>
      <c r="E498" s="302">
        <f>E485</f>
        <v>1.1299999999999999</v>
      </c>
      <c r="F498" s="362" t="s">
        <v>31</v>
      </c>
      <c r="G498" s="319">
        <f t="shared" si="46"/>
        <v>-623</v>
      </c>
      <c r="H498" s="319">
        <f t="shared" si="46"/>
        <v>-629</v>
      </c>
      <c r="I498" s="302">
        <f>I485</f>
        <v>1.2</v>
      </c>
      <c r="J498" s="291"/>
      <c r="K498" s="319">
        <f t="shared" si="47"/>
        <v>-668</v>
      </c>
      <c r="M498" s="84">
        <f t="shared" si="48"/>
        <v>-667.96800000000007</v>
      </c>
    </row>
    <row r="499" spans="1:16">
      <c r="A499" s="307" t="s">
        <v>428</v>
      </c>
      <c r="B499" s="1"/>
      <c r="C499" s="317">
        <f t="shared" si="45"/>
        <v>50196</v>
      </c>
      <c r="D499" s="317">
        <f t="shared" si="45"/>
        <v>50667</v>
      </c>
      <c r="E499" s="302">
        <f>E487</f>
        <v>3.64</v>
      </c>
      <c r="F499" s="362" t="s">
        <v>31</v>
      </c>
      <c r="G499" s="319">
        <f t="shared" si="46"/>
        <v>-1827</v>
      </c>
      <c r="H499" s="319">
        <f t="shared" si="46"/>
        <v>-1845</v>
      </c>
      <c r="I499" s="302">
        <f>I487</f>
        <v>3.75</v>
      </c>
      <c r="J499" s="291"/>
      <c r="K499" s="319">
        <f t="shared" si="47"/>
        <v>-1900</v>
      </c>
      <c r="M499" s="84">
        <f t="shared" si="48"/>
        <v>-1900.0125</v>
      </c>
    </row>
    <row r="500" spans="1:16">
      <c r="A500" s="307" t="s">
        <v>444</v>
      </c>
      <c r="B500" s="1"/>
      <c r="C500" s="317">
        <f t="shared" si="45"/>
        <v>0</v>
      </c>
      <c r="D500" s="317">
        <f t="shared" si="45"/>
        <v>0</v>
      </c>
      <c r="E500" s="302">
        <f>E488</f>
        <v>3.64</v>
      </c>
      <c r="F500" s="362" t="s">
        <v>31</v>
      </c>
      <c r="G500" s="319">
        <f t="shared" si="46"/>
        <v>0</v>
      </c>
      <c r="H500" s="319">
        <f t="shared" si="46"/>
        <v>0</v>
      </c>
      <c r="I500" s="302">
        <f>I488</f>
        <v>3.75</v>
      </c>
      <c r="J500" s="291"/>
      <c r="K500" s="319">
        <f t="shared" si="47"/>
        <v>0</v>
      </c>
      <c r="M500" s="84">
        <f t="shared" si="48"/>
        <v>0</v>
      </c>
    </row>
    <row r="501" spans="1:16">
      <c r="A501" s="321" t="s">
        <v>430</v>
      </c>
      <c r="B501" s="1"/>
      <c r="C501" s="317">
        <f t="shared" si="45"/>
        <v>5098267</v>
      </c>
      <c r="D501" s="317">
        <f t="shared" si="45"/>
        <v>5145947</v>
      </c>
      <c r="E501" s="372">
        <f>E490</f>
        <v>3.9809999999999999</v>
      </c>
      <c r="F501" s="319" t="s">
        <v>377</v>
      </c>
      <c r="G501" s="319">
        <f t="shared" si="46"/>
        <v>-2030</v>
      </c>
      <c r="H501" s="319">
        <f t="shared" si="46"/>
        <v>-2049</v>
      </c>
      <c r="I501" s="372">
        <f>I490</f>
        <v>4.3570000000000002</v>
      </c>
      <c r="J501" s="321" t="s">
        <v>377</v>
      </c>
      <c r="K501" s="319">
        <f t="shared" si="47"/>
        <v>-2242</v>
      </c>
      <c r="M501" s="84">
        <f>-((I501*D501)/100)/100</f>
        <v>-2242.0891078999998</v>
      </c>
    </row>
    <row r="502" spans="1:16">
      <c r="A502" s="321" t="s">
        <v>402</v>
      </c>
      <c r="B502" s="1"/>
      <c r="C502" s="317">
        <f t="shared" si="45"/>
        <v>15873073</v>
      </c>
      <c r="D502" s="317">
        <f t="shared" si="45"/>
        <v>16019655</v>
      </c>
      <c r="E502" s="372">
        <f>E491</f>
        <v>3.649</v>
      </c>
      <c r="F502" s="319" t="s">
        <v>377</v>
      </c>
      <c r="G502" s="319">
        <f t="shared" si="46"/>
        <v>-5792</v>
      </c>
      <c r="H502" s="319">
        <f t="shared" si="46"/>
        <v>-5845</v>
      </c>
      <c r="I502" s="372">
        <f>I491</f>
        <v>3.9930000000000003</v>
      </c>
      <c r="J502" s="321" t="s">
        <v>377</v>
      </c>
      <c r="K502" s="319">
        <f t="shared" si="47"/>
        <v>-6396</v>
      </c>
      <c r="M502" s="84">
        <f>-((I502*D502)/100)/100</f>
        <v>-6396.6482415000009</v>
      </c>
    </row>
    <row r="503" spans="1:16">
      <c r="A503" s="321" t="s">
        <v>403</v>
      </c>
      <c r="B503" s="1"/>
      <c r="C503" s="317">
        <f t="shared" si="45"/>
        <v>9247</v>
      </c>
      <c r="D503" s="317">
        <f t="shared" si="45"/>
        <v>9336</v>
      </c>
      <c r="E503" s="373">
        <f>E492</f>
        <v>45</v>
      </c>
      <c r="F503" s="319" t="s">
        <v>377</v>
      </c>
      <c r="G503" s="319">
        <f t="shared" si="46"/>
        <v>-42</v>
      </c>
      <c r="H503" s="319">
        <f t="shared" si="46"/>
        <v>-42</v>
      </c>
      <c r="I503" s="373">
        <f>I492</f>
        <v>45</v>
      </c>
      <c r="J503" s="321" t="s">
        <v>377</v>
      </c>
      <c r="K503" s="319">
        <f t="shared" si="47"/>
        <v>-42</v>
      </c>
      <c r="M503" s="84">
        <f>-((I503*D503)/100)/100</f>
        <v>-42.012</v>
      </c>
    </row>
    <row r="504" spans="1:16">
      <c r="A504" s="321" t="s">
        <v>446</v>
      </c>
      <c r="B504" s="1"/>
      <c r="C504" s="317">
        <f t="shared" si="45"/>
        <v>132</v>
      </c>
      <c r="D504" s="317">
        <f t="shared" si="45"/>
        <v>132</v>
      </c>
      <c r="E504" s="296">
        <v>60</v>
      </c>
      <c r="F504" s="362" t="s">
        <v>31</v>
      </c>
      <c r="G504" s="319">
        <f t="shared" si="46"/>
        <v>7920</v>
      </c>
      <c r="H504" s="319">
        <f t="shared" si="46"/>
        <v>7920</v>
      </c>
      <c r="I504" s="296">
        <v>60</v>
      </c>
      <c r="J504" s="1"/>
      <c r="K504" s="319">
        <f t="shared" si="47"/>
        <v>7920</v>
      </c>
      <c r="M504" s="84">
        <f>I504*D504</f>
        <v>7920</v>
      </c>
      <c r="O504" s="374"/>
    </row>
    <row r="505" spans="1:16">
      <c r="A505" s="321" t="s">
        <v>447</v>
      </c>
      <c r="B505" s="1"/>
      <c r="C505" s="317">
        <f t="shared" si="45"/>
        <v>60941</v>
      </c>
      <c r="D505" s="317">
        <f t="shared" si="45"/>
        <v>61515</v>
      </c>
      <c r="E505" s="337">
        <v>-30</v>
      </c>
      <c r="F505" s="319" t="s">
        <v>377</v>
      </c>
      <c r="G505" s="319">
        <f t="shared" si="46"/>
        <v>-18282</v>
      </c>
      <c r="H505" s="319">
        <f t="shared" si="46"/>
        <v>-18455</v>
      </c>
      <c r="I505" s="337">
        <v>-30</v>
      </c>
      <c r="J505" s="319" t="s">
        <v>377</v>
      </c>
      <c r="K505" s="319">
        <f t="shared" si="47"/>
        <v>-18455</v>
      </c>
      <c r="M505" s="84">
        <f>(I505/100)*D505</f>
        <v>-18454.5</v>
      </c>
      <c r="O505" s="292"/>
    </row>
    <row r="506" spans="1:16">
      <c r="A506" s="1" t="s">
        <v>384</v>
      </c>
      <c r="B506" s="65"/>
      <c r="C506" s="317">
        <f t="shared" si="45"/>
        <v>901118201</v>
      </c>
      <c r="D506" s="317">
        <f t="shared" si="45"/>
        <v>909584708.38655555</v>
      </c>
      <c r="E506" s="328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84">
        <f>SUM(M480:M505)</f>
        <v>53400198.906650588</v>
      </c>
      <c r="P506" s="375"/>
    </row>
    <row r="507" spans="1:16">
      <c r="A507" s="1" t="s">
        <v>366</v>
      </c>
      <c r="B507" s="25"/>
      <c r="C507" s="338">
        <f t="shared" si="45"/>
        <v>73314.063672312535</v>
      </c>
      <c r="D507" s="338">
        <f t="shared" si="45"/>
        <v>0</v>
      </c>
      <c r="E507" s="307"/>
      <c r="F507" s="307"/>
      <c r="G507" s="308">
        <f t="shared" si="46"/>
        <v>-2406.1600057471078</v>
      </c>
      <c r="H507" s="308">
        <f t="shared" si="46"/>
        <v>0</v>
      </c>
      <c r="I507" s="307"/>
      <c r="J507" s="307"/>
      <c r="K507" s="308">
        <f t="shared" si="47"/>
        <v>0</v>
      </c>
      <c r="M507" s="287"/>
      <c r="N507" s="287"/>
      <c r="O507" s="288"/>
    </row>
    <row r="508" spans="1:16" ht="16.5" thickBot="1">
      <c r="A508" s="1" t="s">
        <v>385</v>
      </c>
      <c r="B508" s="1"/>
      <c r="C508" s="364">
        <f>SUM(C506)+C507</f>
        <v>901191515.0636723</v>
      </c>
      <c r="D508" s="364">
        <f>SUM(D490:D491)+D507</f>
        <v>909584708</v>
      </c>
      <c r="E508" s="340"/>
      <c r="F508" s="341"/>
      <c r="G508" s="342">
        <f>G506+G507</f>
        <v>49005267.839994252</v>
      </c>
      <c r="H508" s="342">
        <f>H506+H507</f>
        <v>49463953</v>
      </c>
      <c r="I508" s="340"/>
      <c r="J508" s="343"/>
      <c r="K508" s="342">
        <f>K506+K507</f>
        <v>53400200</v>
      </c>
      <c r="M508" s="289"/>
      <c r="N508" s="3" t="s">
        <v>412</v>
      </c>
      <c r="O508" s="84" t="e">
        <f>#REF!*1000</f>
        <v>#REF!</v>
      </c>
    </row>
    <row r="509" spans="1:16" ht="16.5" thickTop="1">
      <c r="A509" s="1"/>
      <c r="B509" s="1"/>
      <c r="C509" s="21"/>
      <c r="D509" s="21"/>
      <c r="E509" s="335"/>
      <c r="F509" s="2"/>
      <c r="G509" s="2"/>
      <c r="H509" s="2"/>
      <c r="I509" s="351" t="s">
        <v>31</v>
      </c>
      <c r="J509" s="1"/>
      <c r="K509" s="2" t="s">
        <v>31</v>
      </c>
      <c r="N509" s="3" t="s">
        <v>265</v>
      </c>
      <c r="O509" s="84" t="e">
        <f>O508-K508</f>
        <v>#REF!</v>
      </c>
      <c r="P509" s="274" t="e">
        <f>(O508-K508)/K508</f>
        <v>#REF!</v>
      </c>
    </row>
    <row r="510" spans="1:16">
      <c r="A510" s="291" t="s">
        <v>439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</row>
    <row r="511" spans="1:16">
      <c r="A511" s="307" t="s">
        <v>448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84"/>
      <c r="O511" s="274" t="e">
        <f>O509/(K490+K491)</f>
        <v>#REF!</v>
      </c>
    </row>
    <row r="512" spans="1:16">
      <c r="A512" s="321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84">
        <f>K508-H508</f>
        <v>3936247</v>
      </c>
      <c r="N512" s="292"/>
    </row>
    <row r="513" spans="1:11">
      <c r="A513" s="321" t="s">
        <v>396</v>
      </c>
      <c r="B513" s="1"/>
      <c r="C513" s="317"/>
      <c r="D513" s="317"/>
      <c r="E513" s="2"/>
      <c r="F513" s="2"/>
      <c r="G513" s="1"/>
      <c r="H513" s="1"/>
      <c r="I513" s="2"/>
      <c r="J513" s="1"/>
      <c r="K513" s="1"/>
    </row>
    <row r="514" spans="1:11">
      <c r="A514" s="321" t="s">
        <v>424</v>
      </c>
      <c r="B514" s="1"/>
      <c r="C514" s="317">
        <f>39+239</f>
        <v>278</v>
      </c>
      <c r="D514" s="317">
        <v>281</v>
      </c>
      <c r="E514" s="296">
        <v>205</v>
      </c>
      <c r="F514" s="321"/>
      <c r="G514" s="319">
        <f>ROUND(E514*$C514,0)</f>
        <v>56990</v>
      </c>
      <c r="H514" s="319">
        <f>ROUND(E514*$D514,0)</f>
        <v>57605</v>
      </c>
      <c r="I514" s="296">
        <f>$I$480</f>
        <v>225</v>
      </c>
      <c r="J514" s="321"/>
      <c r="K514" s="319">
        <f>ROUND(I514*$D514,0)</f>
        <v>63225</v>
      </c>
    </row>
    <row r="515" spans="1:11">
      <c r="A515" s="321" t="s">
        <v>425</v>
      </c>
      <c r="B515" s="1"/>
      <c r="C515" s="317">
        <f>922+24+6772</f>
        <v>7718</v>
      </c>
      <c r="D515" s="317">
        <v>7812</v>
      </c>
      <c r="E515" s="296">
        <v>75</v>
      </c>
      <c r="F515" s="321"/>
      <c r="G515" s="319">
        <f>ROUND(E515*$C515,0)</f>
        <v>578850</v>
      </c>
      <c r="H515" s="319">
        <f>ROUND(E515*$D515,0)</f>
        <v>585900</v>
      </c>
      <c r="I515" s="296">
        <f>$I$481</f>
        <v>83</v>
      </c>
      <c r="J515" s="321"/>
      <c r="K515" s="319">
        <f>ROUND(I515*$D515,0)</f>
        <v>648396</v>
      </c>
    </row>
    <row r="516" spans="1:11">
      <c r="A516" s="321" t="s">
        <v>426</v>
      </c>
      <c r="B516" s="1"/>
      <c r="C516" s="317">
        <f>216+84+2519</f>
        <v>2819</v>
      </c>
      <c r="D516" s="317">
        <v>2853</v>
      </c>
      <c r="E516" s="296">
        <v>150</v>
      </c>
      <c r="F516" s="323"/>
      <c r="G516" s="319">
        <f>ROUND(E516*$C516,0)</f>
        <v>422850</v>
      </c>
      <c r="H516" s="319">
        <f>ROUND(E516*$D516,0)</f>
        <v>427950</v>
      </c>
      <c r="I516" s="296">
        <f>$I$482</f>
        <v>166</v>
      </c>
      <c r="J516" s="323"/>
      <c r="K516" s="319">
        <f>ROUND(I516*$D516,0)</f>
        <v>473598</v>
      </c>
    </row>
    <row r="517" spans="1:11">
      <c r="A517" s="321" t="s">
        <v>397</v>
      </c>
      <c r="B517" s="1"/>
      <c r="C517" s="317">
        <f>SUM(C514:C516)</f>
        <v>10815</v>
      </c>
      <c r="D517" s="317">
        <f>SUM(D514:D516)</f>
        <v>10946</v>
      </c>
      <c r="E517" s="296"/>
      <c r="F517" s="321"/>
      <c r="G517" s="319"/>
      <c r="H517" s="319"/>
      <c r="I517" s="296"/>
      <c r="J517" s="321"/>
      <c r="K517" s="319"/>
    </row>
    <row r="518" spans="1:11">
      <c r="A518" s="321" t="s">
        <v>425</v>
      </c>
      <c r="B518" s="1"/>
      <c r="C518" s="317">
        <f>169076+4310+1159051</f>
        <v>1332437</v>
      </c>
      <c r="D518" s="317">
        <f>ROUND(($D$540/'Blocking - detail'!$C$540)*C518,0)</f>
        <v>1345310</v>
      </c>
      <c r="E518" s="296">
        <v>1.38</v>
      </c>
      <c r="F518" s="321" t="s">
        <v>31</v>
      </c>
      <c r="G518" s="319">
        <f>ROUND(E518*$C518,0)</f>
        <v>1838763</v>
      </c>
      <c r="H518" s="319">
        <f>ROUND(E518*$D518,0)</f>
        <v>1856528</v>
      </c>
      <c r="I518" s="296">
        <f>$I$484</f>
        <v>1.47</v>
      </c>
      <c r="J518" s="321" t="s">
        <v>31</v>
      </c>
      <c r="K518" s="319">
        <f>ROUND(I518*$D518,0)</f>
        <v>1977606</v>
      </c>
    </row>
    <row r="519" spans="1:11">
      <c r="A519" s="321" t="s">
        <v>426</v>
      </c>
      <c r="B519" s="1"/>
      <c r="C519" s="317">
        <f>116000+47327+1204260</f>
        <v>1367587</v>
      </c>
      <c r="D519" s="317">
        <f>ROUND(($D$540/'Blocking - detail'!$C$540)*C519,0)</f>
        <v>1380800</v>
      </c>
      <c r="E519" s="296">
        <v>1.1299999999999999</v>
      </c>
      <c r="F519" s="321" t="s">
        <v>31</v>
      </c>
      <c r="G519" s="319">
        <f>ROUND(E519*$C519,0)</f>
        <v>1545373</v>
      </c>
      <c r="H519" s="319">
        <f>ROUND(E519*$D519,0)</f>
        <v>1560304</v>
      </c>
      <c r="I519" s="296">
        <f>$I$485</f>
        <v>1.2</v>
      </c>
      <c r="J519" s="321" t="s">
        <v>31</v>
      </c>
      <c r="K519" s="319">
        <f>ROUND(I519*$D519,0)</f>
        <v>1656960</v>
      </c>
    </row>
    <row r="520" spans="1:11">
      <c r="A520" s="307" t="s">
        <v>427</v>
      </c>
      <c r="B520" s="1"/>
      <c r="C520" s="317"/>
      <c r="D520" s="317"/>
      <c r="E520" s="353"/>
      <c r="F520" s="321"/>
      <c r="G520" s="319"/>
      <c r="H520" s="319"/>
      <c r="I520" s="353"/>
      <c r="J520" s="321"/>
      <c r="K520" s="319"/>
    </row>
    <row r="521" spans="1:11">
      <c r="A521" s="307" t="s">
        <v>428</v>
      </c>
      <c r="B521" s="1"/>
      <c r="C521" s="317">
        <f>2149+118464+82513+3301+38481+13812+879543+921273</f>
        <v>2059536</v>
      </c>
      <c r="D521" s="317">
        <f>ROUND(($D$540/'Blocking - detail'!$C$540)*C521,0)</f>
        <v>2079434</v>
      </c>
      <c r="E521" s="296">
        <v>3.64</v>
      </c>
      <c r="F521" s="321"/>
      <c r="G521" s="319">
        <f>ROUND(E521*$C521,0)</f>
        <v>7496711</v>
      </c>
      <c r="H521" s="319">
        <f>ROUND(E521*$D521,0)</f>
        <v>7569140</v>
      </c>
      <c r="I521" s="296">
        <f>$I$487</f>
        <v>3.75</v>
      </c>
      <c r="J521" s="321"/>
      <c r="K521" s="319">
        <f>ROUND(I521*$D521,0)</f>
        <v>7797878</v>
      </c>
    </row>
    <row r="522" spans="1:11">
      <c r="A522" s="307" t="s">
        <v>444</v>
      </c>
      <c r="B522" s="1"/>
      <c r="C522" s="317">
        <f>574+3763+211+1674+12455+2040</f>
        <v>20717</v>
      </c>
      <c r="D522" s="317">
        <f>ROUND(($D$540/'Blocking - detail'!$C$540)*C522,0)</f>
        <v>20917</v>
      </c>
      <c r="E522" s="367">
        <f>E521</f>
        <v>3.64</v>
      </c>
      <c r="F522" s="321"/>
      <c r="G522" s="319">
        <f>ROUND(E522*$C522,0)</f>
        <v>75410</v>
      </c>
      <c r="H522" s="319">
        <f>ROUND(E522*$D522,0)</f>
        <v>76138</v>
      </c>
      <c r="I522" s="367">
        <f>I521</f>
        <v>3.75</v>
      </c>
      <c r="J522" s="321"/>
      <c r="K522" s="319">
        <f>ROUND(I522*$D522,0)</f>
        <v>78439</v>
      </c>
    </row>
    <row r="523" spans="1:11">
      <c r="A523" s="321" t="s">
        <v>429</v>
      </c>
      <c r="B523" s="1"/>
      <c r="C523" s="317"/>
      <c r="D523" s="317"/>
      <c r="E523" s="296"/>
      <c r="F523" s="321"/>
      <c r="G523" s="319"/>
      <c r="H523" s="319"/>
      <c r="I523" s="296"/>
      <c r="J523" s="321"/>
      <c r="K523" s="319"/>
    </row>
    <row r="524" spans="1:11">
      <c r="A524" s="321" t="s">
        <v>430</v>
      </c>
      <c r="B524" s="317"/>
      <c r="C524" s="317">
        <v>343844159.45859212</v>
      </c>
      <c r="D524" s="317">
        <f>ROUND(($D$540/'Blocking - detail'!$C$540)*C524,0)</f>
        <v>347166190</v>
      </c>
      <c r="E524" s="368">
        <v>3.9809999999999999</v>
      </c>
      <c r="F524" s="321" t="s">
        <v>377</v>
      </c>
      <c r="G524" s="319">
        <f>ROUND(E524*$C524/100,0)</f>
        <v>13688436</v>
      </c>
      <c r="H524" s="319">
        <f>ROUND(E524*$D524/100,0)</f>
        <v>13820686</v>
      </c>
      <c r="I524" s="368">
        <f>$I$490</f>
        <v>4.3570000000000002</v>
      </c>
      <c r="J524" s="321" t="s">
        <v>377</v>
      </c>
      <c r="K524" s="319">
        <f>ROUND(I524*$D524/100,0)</f>
        <v>15126031</v>
      </c>
    </row>
    <row r="525" spans="1:11">
      <c r="A525" s="321" t="s">
        <v>402</v>
      </c>
      <c r="B525" s="317"/>
      <c r="C525" s="317">
        <v>411657922.54140788</v>
      </c>
      <c r="D525" s="317">
        <f>ROUND(($D$540/'Blocking - detail'!$C$540)*C525,0)</f>
        <v>415635131</v>
      </c>
      <c r="E525" s="368">
        <v>3.649</v>
      </c>
      <c r="F525" s="321" t="s">
        <v>377</v>
      </c>
      <c r="G525" s="319">
        <f>ROUND(E525*$C525/100,0)</f>
        <v>15021398</v>
      </c>
      <c r="H525" s="319">
        <f>ROUND(E525*$D525/100,0)</f>
        <v>15166526</v>
      </c>
      <c r="I525" s="368">
        <f>$I$491</f>
        <v>3.9930000000000003</v>
      </c>
      <c r="J525" s="321" t="s">
        <v>377</v>
      </c>
      <c r="K525" s="319">
        <f>ROUND(I525*$D525/100,0)</f>
        <v>16596311</v>
      </c>
    </row>
    <row r="526" spans="1:11">
      <c r="A526" s="321" t="s">
        <v>403</v>
      </c>
      <c r="B526" s="1"/>
      <c r="C526" s="317">
        <f>263+27052+20055+42+9205+1343+147244+169944</f>
        <v>375148</v>
      </c>
      <c r="D526" s="317">
        <f>ROUND(($D$540/'Blocking - detail'!$C$540)*C526,0)</f>
        <v>378772</v>
      </c>
      <c r="E526" s="337">
        <v>45</v>
      </c>
      <c r="F526" s="321" t="s">
        <v>377</v>
      </c>
      <c r="G526" s="319">
        <f>ROUND(E526*$C526/100,0)</f>
        <v>168817</v>
      </c>
      <c r="H526" s="319">
        <f>ROUND(E526*$D526/100,0)</f>
        <v>170447</v>
      </c>
      <c r="I526" s="337">
        <f>$I$492</f>
        <v>45</v>
      </c>
      <c r="J526" s="321" t="s">
        <v>377</v>
      </c>
      <c r="K526" s="319">
        <f>ROUND(I526*$D526/100,0)</f>
        <v>170447</v>
      </c>
    </row>
    <row r="527" spans="1:11">
      <c r="A527" s="358" t="s">
        <v>404</v>
      </c>
      <c r="B527" s="1"/>
      <c r="C527" s="317"/>
      <c r="D527" s="317"/>
      <c r="E527" s="330">
        <v>-0.01</v>
      </c>
      <c r="F527" s="2"/>
      <c r="G527" s="319"/>
      <c r="H527" s="319"/>
      <c r="I527" s="330">
        <f>$I$493</f>
        <v>-0.01</v>
      </c>
      <c r="J527" s="1"/>
      <c r="K527" s="319"/>
    </row>
    <row r="528" spans="1:11">
      <c r="A528" s="321" t="s">
        <v>424</v>
      </c>
      <c r="B528" s="21"/>
      <c r="C528" s="317">
        <v>0</v>
      </c>
      <c r="D528" s="317">
        <v>0</v>
      </c>
      <c r="E528" s="302">
        <f>E514</f>
        <v>205</v>
      </c>
      <c r="F528" s="362"/>
      <c r="G528" s="319">
        <f>ROUND(E528*$C528*E527,0)</f>
        <v>0</v>
      </c>
      <c r="H528" s="319">
        <f>ROUND(E528*$D528*E527,0)</f>
        <v>0</v>
      </c>
      <c r="I528" s="302">
        <f>I514</f>
        <v>225</v>
      </c>
      <c r="J528" s="291"/>
      <c r="K528" s="319">
        <f>ROUND(I528*$D528*I527,0)</f>
        <v>0</v>
      </c>
    </row>
    <row r="529" spans="1:16">
      <c r="A529" s="321" t="s">
        <v>425</v>
      </c>
      <c r="B529" s="1"/>
      <c r="C529" s="317">
        <f>24</f>
        <v>24</v>
      </c>
      <c r="D529" s="317">
        <v>24</v>
      </c>
      <c r="E529" s="302">
        <f>E515</f>
        <v>75</v>
      </c>
      <c r="F529" s="362"/>
      <c r="G529" s="319">
        <f>ROUND(E529*$C529*E527,0)</f>
        <v>-18</v>
      </c>
      <c r="H529" s="319">
        <f>ROUND(E529*$D529*E527,0)</f>
        <v>-18</v>
      </c>
      <c r="I529" s="302">
        <f>I515</f>
        <v>83</v>
      </c>
      <c r="J529" s="291"/>
      <c r="K529" s="319">
        <f>ROUND(I529*$D529*I527,0)</f>
        <v>-20</v>
      </c>
    </row>
    <row r="530" spans="1:16">
      <c r="A530" s="321" t="s">
        <v>426</v>
      </c>
      <c r="B530" s="1"/>
      <c r="C530" s="317">
        <f>84</f>
        <v>84</v>
      </c>
      <c r="D530" s="317">
        <v>85</v>
      </c>
      <c r="E530" s="302">
        <f>E516</f>
        <v>150</v>
      </c>
      <c r="F530" s="370"/>
      <c r="G530" s="319">
        <f>ROUND(E530*$C530*E527,0)</f>
        <v>-126</v>
      </c>
      <c r="H530" s="319">
        <f>ROUND(E530*$D530*E527,0)</f>
        <v>-128</v>
      </c>
      <c r="I530" s="302">
        <f>I516</f>
        <v>166</v>
      </c>
      <c r="J530" s="371"/>
      <c r="K530" s="319">
        <f>ROUND(I530*$D530*I527,0)</f>
        <v>-141</v>
      </c>
    </row>
    <row r="531" spans="1:16">
      <c r="A531" s="321" t="s">
        <v>425</v>
      </c>
      <c r="B531" s="1"/>
      <c r="C531" s="317">
        <f>4310</f>
        <v>4310</v>
      </c>
      <c r="D531" s="317">
        <f>ROUND(($D$540/'Blocking - detail'!$C$540)*C531,0)</f>
        <v>4352</v>
      </c>
      <c r="E531" s="302">
        <f>E518</f>
        <v>1.38</v>
      </c>
      <c r="F531" s="362"/>
      <c r="G531" s="319">
        <f>ROUND(E531*$C531*E527,0)</f>
        <v>-59</v>
      </c>
      <c r="H531" s="319">
        <f>ROUND(E531*$D531*E527,0)</f>
        <v>-60</v>
      </c>
      <c r="I531" s="302">
        <f>I518</f>
        <v>1.47</v>
      </c>
      <c r="J531" s="291"/>
      <c r="K531" s="319">
        <f>ROUND(I531*$D531*I527,0)</f>
        <v>-64</v>
      </c>
      <c r="O531" s="374"/>
    </row>
    <row r="532" spans="1:16">
      <c r="A532" s="321" t="s">
        <v>426</v>
      </c>
      <c r="B532" s="1"/>
      <c r="C532" s="317">
        <f>47327</f>
        <v>47327</v>
      </c>
      <c r="D532" s="317">
        <f>ROUND(($D$540/'Blocking - detail'!$C$540)*C532,0)</f>
        <v>47784</v>
      </c>
      <c r="E532" s="302">
        <f>E519</f>
        <v>1.1299999999999999</v>
      </c>
      <c r="F532" s="362" t="s">
        <v>31</v>
      </c>
      <c r="G532" s="319">
        <f>ROUND(E532*$C532*E527,0)</f>
        <v>-535</v>
      </c>
      <c r="H532" s="319">
        <f>ROUND(E532*$D532*E527,0)</f>
        <v>-540</v>
      </c>
      <c r="I532" s="302">
        <f>I519</f>
        <v>1.2</v>
      </c>
      <c r="J532" s="291"/>
      <c r="K532" s="319">
        <f>ROUND(I532*$D532*I527,0)</f>
        <v>-573</v>
      </c>
    </row>
    <row r="533" spans="1:16">
      <c r="A533" s="307" t="s">
        <v>428</v>
      </c>
      <c r="B533" s="1"/>
      <c r="C533" s="317">
        <f>3301+38481</f>
        <v>41782</v>
      </c>
      <c r="D533" s="317">
        <f>ROUND(($D$540/'Blocking - detail'!$C$540)*C533,0)</f>
        <v>42186</v>
      </c>
      <c r="E533" s="302">
        <f>E521</f>
        <v>3.64</v>
      </c>
      <c r="F533" s="362" t="s">
        <v>31</v>
      </c>
      <c r="G533" s="319">
        <f>ROUND(E533*$C533*E527,0)</f>
        <v>-1521</v>
      </c>
      <c r="H533" s="319">
        <f>ROUND(E533*$D533*E527,0)</f>
        <v>-1536</v>
      </c>
      <c r="I533" s="302">
        <f>I521</f>
        <v>3.75</v>
      </c>
      <c r="J533" s="291"/>
      <c r="K533" s="319">
        <f>ROUND(I533*$D533*I527,0)</f>
        <v>-1582</v>
      </c>
    </row>
    <row r="534" spans="1:16">
      <c r="A534" s="307" t="s">
        <v>444</v>
      </c>
      <c r="B534" s="1"/>
      <c r="C534" s="317">
        <v>0</v>
      </c>
      <c r="D534" s="317">
        <f>ROUND(($D$540/'Blocking - detail'!$C$540)*C534,0)</f>
        <v>0</v>
      </c>
      <c r="E534" s="302">
        <f>E522</f>
        <v>3.64</v>
      </c>
      <c r="F534" s="362" t="s">
        <v>31</v>
      </c>
      <c r="G534" s="319">
        <f>ROUND(E534*$C534*E527,0)</f>
        <v>0</v>
      </c>
      <c r="H534" s="319">
        <f>ROUND(E534*$D534*E527,0)</f>
        <v>0</v>
      </c>
      <c r="I534" s="302">
        <f>I522</f>
        <v>3.75</v>
      </c>
      <c r="J534" s="291"/>
      <c r="K534" s="319">
        <f>ROUND(I534*$D534*I527,0)</f>
        <v>0</v>
      </c>
    </row>
    <row r="535" spans="1:16">
      <c r="A535" s="321" t="s">
        <v>430</v>
      </c>
      <c r="B535" s="1"/>
      <c r="C535" s="317">
        <f>914400+3225200</f>
        <v>4139600</v>
      </c>
      <c r="D535" s="317">
        <f>ROUND(($D$540/'Blocking - detail'!$C$540)*C535,0)</f>
        <v>4179595</v>
      </c>
      <c r="E535" s="372">
        <f>E524</f>
        <v>3.9809999999999999</v>
      </c>
      <c r="F535" s="319" t="s">
        <v>377</v>
      </c>
      <c r="G535" s="319">
        <f>ROUND(E535*$C535/100*E527,0)</f>
        <v>-1648</v>
      </c>
      <c r="H535" s="319">
        <f>ROUND(E535*$D535/100*E527,0)</f>
        <v>-1664</v>
      </c>
      <c r="I535" s="372">
        <f>I524</f>
        <v>4.3570000000000002</v>
      </c>
      <c r="J535" s="321" t="s">
        <v>377</v>
      </c>
      <c r="K535" s="319">
        <f>ROUND(I535*$D535/100*I527,0)</f>
        <v>-1821</v>
      </c>
      <c r="M535" s="84"/>
      <c r="N535" s="84"/>
    </row>
    <row r="536" spans="1:16">
      <c r="A536" s="321" t="s">
        <v>402</v>
      </c>
      <c r="B536" s="1"/>
      <c r="C536" s="317">
        <f>1353000+14542340-C535</f>
        <v>11755740</v>
      </c>
      <c r="D536" s="317">
        <f>ROUND(($D$540/'Blocking - detail'!$C$540)*C536,0)</f>
        <v>11869317</v>
      </c>
      <c r="E536" s="372">
        <f>E525</f>
        <v>3.649</v>
      </c>
      <c r="F536" s="319" t="s">
        <v>377</v>
      </c>
      <c r="G536" s="319">
        <f>ROUND(E536*$C536/100*E527,0)</f>
        <v>-4290</v>
      </c>
      <c r="H536" s="319">
        <f>ROUND(E536*$D536/100*E527,0)</f>
        <v>-4331</v>
      </c>
      <c r="I536" s="372">
        <f>I525</f>
        <v>3.9930000000000003</v>
      </c>
      <c r="J536" s="321" t="s">
        <v>377</v>
      </c>
      <c r="K536" s="319">
        <f>ROUND(I536*$D536/100*I527,0)</f>
        <v>-4739</v>
      </c>
    </row>
    <row r="537" spans="1:16">
      <c r="A537" s="321" t="s">
        <v>403</v>
      </c>
      <c r="B537" s="1"/>
      <c r="C537" s="317">
        <f>42+9205</f>
        <v>9247</v>
      </c>
      <c r="D537" s="317">
        <f>ROUND(($D$540/'Blocking - detail'!$C$540)*C537,0)</f>
        <v>9336</v>
      </c>
      <c r="E537" s="373">
        <f>E526</f>
        <v>45</v>
      </c>
      <c r="F537" s="319" t="s">
        <v>377</v>
      </c>
      <c r="G537" s="319">
        <f>ROUND(E537*$C537/100*E527,0)</f>
        <v>-42</v>
      </c>
      <c r="H537" s="319">
        <f>ROUND(E537*$D537/100*E527,0)</f>
        <v>-42</v>
      </c>
      <c r="I537" s="373">
        <f>I526</f>
        <v>45</v>
      </c>
      <c r="J537" s="321" t="s">
        <v>377</v>
      </c>
      <c r="K537" s="319">
        <f>ROUND(I537*$D537/100*I527,0)</f>
        <v>-42</v>
      </c>
    </row>
    <row r="538" spans="1:16">
      <c r="A538" s="321" t="s">
        <v>446</v>
      </c>
      <c r="B538" s="1"/>
      <c r="C538" s="317">
        <f>24+84</f>
        <v>108</v>
      </c>
      <c r="D538" s="317">
        <v>109</v>
      </c>
      <c r="E538" s="296">
        <v>60</v>
      </c>
      <c r="F538" s="362" t="s">
        <v>31</v>
      </c>
      <c r="G538" s="319">
        <f>ROUND(E538*$C538,0)</f>
        <v>6480</v>
      </c>
      <c r="H538" s="319">
        <f>ROUND(E538*$D538,0)</f>
        <v>6540</v>
      </c>
      <c r="I538" s="296">
        <f>$I$504</f>
        <v>60</v>
      </c>
      <c r="J538" s="1"/>
      <c r="K538" s="319">
        <f>ROUND(I538*$D538,0)</f>
        <v>6540</v>
      </c>
      <c r="P538" s="305"/>
    </row>
    <row r="539" spans="1:16">
      <c r="A539" s="321" t="s">
        <v>447</v>
      </c>
      <c r="B539" s="303"/>
      <c r="C539" s="317">
        <f>4310+47327</f>
        <v>51637</v>
      </c>
      <c r="D539" s="317">
        <f>ROUND(($D$540/'Blocking - detail'!$C$540)*C539,0)</f>
        <v>52136</v>
      </c>
      <c r="E539" s="337">
        <v>-30</v>
      </c>
      <c r="F539" s="319" t="s">
        <v>377</v>
      </c>
      <c r="G539" s="319">
        <f>ROUND(E539*$C539/100,0)</f>
        <v>-15491</v>
      </c>
      <c r="H539" s="319">
        <f>ROUND(E539*$D539/100,0)</f>
        <v>-15641</v>
      </c>
      <c r="I539" s="337">
        <v>-30</v>
      </c>
      <c r="J539" s="319" t="s">
        <v>377</v>
      </c>
      <c r="K539" s="319">
        <f>ROUND(I539*$D539/100,0)</f>
        <v>-15641</v>
      </c>
    </row>
    <row r="540" spans="1:16">
      <c r="A540" s="1" t="s">
        <v>384</v>
      </c>
      <c r="B540" s="305"/>
      <c r="C540" s="317">
        <f>SUM(C524:C525)</f>
        <v>755502082</v>
      </c>
      <c r="D540" s="317">
        <v>762801321.03140867</v>
      </c>
      <c r="E540" s="328"/>
      <c r="F540" s="2"/>
      <c r="G540" s="2">
        <f>SUM(G514:G539)</f>
        <v>40876348</v>
      </c>
      <c r="H540" s="2">
        <f>SUM(H514:H539)</f>
        <v>41273804</v>
      </c>
      <c r="I540" s="328"/>
      <c r="J540" s="1"/>
      <c r="K540" s="2">
        <f>SUM(K514:K539)</f>
        <v>44570808</v>
      </c>
    </row>
    <row r="541" spans="1:16">
      <c r="A541" s="1" t="s">
        <v>366</v>
      </c>
      <c r="B541" s="1"/>
      <c r="C541" s="347">
        <v>3340695.5089634694</v>
      </c>
      <c r="D541" s="338">
        <v>0</v>
      </c>
      <c r="E541" s="307"/>
      <c r="F541" s="307"/>
      <c r="G541" s="308">
        <v>152243.87198457948</v>
      </c>
      <c r="H541" s="308">
        <v>0</v>
      </c>
      <c r="I541" s="307"/>
      <c r="J541" s="307"/>
      <c r="K541" s="308">
        <v>0</v>
      </c>
      <c r="M541" s="287"/>
      <c r="N541" s="287"/>
      <c r="O541" s="288"/>
    </row>
    <row r="542" spans="1:16" ht="16.5" thickBot="1">
      <c r="A542" s="1" t="s">
        <v>385</v>
      </c>
      <c r="B542" s="1"/>
      <c r="C542" s="364">
        <f>SUM(C540)+C541</f>
        <v>758842777.50896347</v>
      </c>
      <c r="D542" s="364">
        <f>SUM(D524:D525)+D541</f>
        <v>762801321</v>
      </c>
      <c r="E542" s="340"/>
      <c r="F542" s="341"/>
      <c r="G542" s="342">
        <f>G540+G541</f>
        <v>41028591.871984579</v>
      </c>
      <c r="H542" s="342">
        <f>H540+H541</f>
        <v>41273804</v>
      </c>
      <c r="I542" s="340"/>
      <c r="J542" s="343"/>
      <c r="K542" s="342">
        <f>K540+K541</f>
        <v>44570808</v>
      </c>
      <c r="M542" s="289"/>
      <c r="N542" s="289"/>
      <c r="O542" s="290"/>
    </row>
    <row r="543" spans="1:16" ht="16.5" thickTop="1">
      <c r="A543" s="1"/>
      <c r="B543" s="1"/>
      <c r="C543" s="21"/>
      <c r="D543" s="21"/>
      <c r="E543" s="335"/>
      <c r="F543" s="2"/>
      <c r="G543" s="2"/>
      <c r="H543" s="2"/>
      <c r="I543" s="351" t="s">
        <v>31</v>
      </c>
      <c r="J543" s="1"/>
      <c r="K543" s="2" t="s">
        <v>31</v>
      </c>
    </row>
    <row r="544" spans="1:16">
      <c r="A544" s="291" t="s">
        <v>439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</row>
    <row r="545" spans="1:11">
      <c r="A545" s="307" t="s">
        <v>449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321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321" t="s">
        <v>396</v>
      </c>
      <c r="B547" s="21"/>
      <c r="C547" s="317"/>
      <c r="D547" s="317"/>
      <c r="E547" s="2"/>
      <c r="F547" s="2"/>
      <c r="G547" s="1"/>
      <c r="H547" s="1"/>
      <c r="I547" s="2"/>
      <c r="J547" s="1"/>
      <c r="K547" s="1"/>
    </row>
    <row r="548" spans="1:11">
      <c r="A548" s="321" t="s">
        <v>424</v>
      </c>
      <c r="B548" s="1"/>
      <c r="C548" s="317">
        <f>2+9</f>
        <v>11</v>
      </c>
      <c r="D548" s="317">
        <v>11</v>
      </c>
      <c r="E548" s="296">
        <v>205</v>
      </c>
      <c r="F548" s="321"/>
      <c r="G548" s="319">
        <f>ROUND(E548*$C548,0)</f>
        <v>2255</v>
      </c>
      <c r="H548" s="319">
        <f>ROUND(E548*$D548,0)</f>
        <v>2255</v>
      </c>
      <c r="I548" s="296">
        <f>$I$480</f>
        <v>225</v>
      </c>
      <c r="J548" s="321"/>
      <c r="K548" s="319">
        <f>ROUND(I548*$D548,0)</f>
        <v>2475</v>
      </c>
    </row>
    <row r="549" spans="1:11">
      <c r="A549" s="321" t="s">
        <v>425</v>
      </c>
      <c r="B549" s="1"/>
      <c r="C549" s="317">
        <f>314+12+863</f>
        <v>1189</v>
      </c>
      <c r="D549" s="317">
        <v>1160</v>
      </c>
      <c r="E549" s="296">
        <v>75</v>
      </c>
      <c r="F549" s="321"/>
      <c r="G549" s="319">
        <f>ROUND(E549*$C549,0)</f>
        <v>89175</v>
      </c>
      <c r="H549" s="319">
        <f>ROUND(E549*$D549,0)</f>
        <v>87000</v>
      </c>
      <c r="I549" s="296">
        <f>$I$481</f>
        <v>83</v>
      </c>
      <c r="J549" s="321"/>
      <c r="K549" s="319">
        <f>ROUND(I549*$D549,0)</f>
        <v>96280</v>
      </c>
    </row>
    <row r="550" spans="1:11">
      <c r="A550" s="321" t="s">
        <v>426</v>
      </c>
      <c r="B550" s="1"/>
      <c r="C550" s="317">
        <f>12+12+665</f>
        <v>689</v>
      </c>
      <c r="D550" s="317">
        <v>672</v>
      </c>
      <c r="E550" s="296">
        <v>150</v>
      </c>
      <c r="F550" s="323"/>
      <c r="G550" s="319">
        <f>ROUND(E550*$C550,0)</f>
        <v>103350</v>
      </c>
      <c r="H550" s="319">
        <f>ROUND(E550*$D550,0)</f>
        <v>100800</v>
      </c>
      <c r="I550" s="296">
        <f>$I$482</f>
        <v>166</v>
      </c>
      <c r="J550" s="323"/>
      <c r="K550" s="319">
        <f>ROUND(I550*$D550,0)</f>
        <v>111552</v>
      </c>
    </row>
    <row r="551" spans="1:11">
      <c r="A551" s="321" t="s">
        <v>397</v>
      </c>
      <c r="B551" s="1"/>
      <c r="C551" s="317">
        <f>SUM(C548:C550)</f>
        <v>1889</v>
      </c>
      <c r="D551" s="317">
        <f>SUM(D548:D550)</f>
        <v>1843</v>
      </c>
      <c r="E551" s="296"/>
      <c r="F551" s="321"/>
      <c r="G551" s="319"/>
      <c r="H551" s="319"/>
      <c r="I551" s="296"/>
      <c r="J551" s="321"/>
      <c r="K551" s="319"/>
    </row>
    <row r="552" spans="1:11">
      <c r="A552" s="321" t="s">
        <v>425</v>
      </c>
      <c r="B552" s="1"/>
      <c r="C552" s="317">
        <f>53027+1380+148527</f>
        <v>202934</v>
      </c>
      <c r="D552" s="317">
        <f>ROUND(($D$574/'Blocking - detail'!$C$574)*C552,0)</f>
        <v>204561</v>
      </c>
      <c r="E552" s="296">
        <v>1.38</v>
      </c>
      <c r="F552" s="321" t="s">
        <v>31</v>
      </c>
      <c r="G552" s="319">
        <f>ROUND(E552*$C552,0)</f>
        <v>280049</v>
      </c>
      <c r="H552" s="319">
        <f>ROUND(E552*$D552,0)</f>
        <v>282294</v>
      </c>
      <c r="I552" s="296">
        <f>$I$484</f>
        <v>1.47</v>
      </c>
      <c r="J552" s="321" t="s">
        <v>31</v>
      </c>
      <c r="K552" s="319">
        <f>ROUND(I552*$D552,0)</f>
        <v>300705</v>
      </c>
    </row>
    <row r="553" spans="1:11">
      <c r="A553" s="321" t="s">
        <v>426</v>
      </c>
      <c r="B553" s="1"/>
      <c r="C553" s="317">
        <f>3665+7817+380790</f>
        <v>392272</v>
      </c>
      <c r="D553" s="317">
        <f>ROUND(($D$574/'Blocking - detail'!$C$574)*C553,0)</f>
        <v>395416</v>
      </c>
      <c r="E553" s="296">
        <v>1.1299999999999999</v>
      </c>
      <c r="F553" s="321" t="s">
        <v>31</v>
      </c>
      <c r="G553" s="319">
        <f>ROUND(E553*$C553,0)</f>
        <v>443267</v>
      </c>
      <c r="H553" s="319">
        <f>ROUND(E553*$D553,0)</f>
        <v>446820</v>
      </c>
      <c r="I553" s="296">
        <f>$I$485</f>
        <v>1.2</v>
      </c>
      <c r="J553" s="321" t="s">
        <v>31</v>
      </c>
      <c r="K553" s="319">
        <f>ROUND(I553*$D553,0)</f>
        <v>474499</v>
      </c>
    </row>
    <row r="554" spans="1:11">
      <c r="A554" s="307" t="s">
        <v>427</v>
      </c>
      <c r="B554" s="1"/>
      <c r="C554" s="317"/>
      <c r="D554" s="317"/>
      <c r="E554" s="353"/>
      <c r="F554" s="321"/>
      <c r="G554" s="319"/>
      <c r="H554" s="319"/>
      <c r="I554" s="353"/>
      <c r="J554" s="321"/>
      <c r="K554" s="319"/>
    </row>
    <row r="555" spans="1:11">
      <c r="A555" s="307" t="s">
        <v>428</v>
      </c>
      <c r="B555" s="1"/>
      <c r="C555" s="317">
        <f>31+16993+1024+1380+6927+349+121488+297368</f>
        <v>445560</v>
      </c>
      <c r="D555" s="317">
        <f>ROUND(($D$574/'Blocking - detail'!$C$574)*C555,0)</f>
        <v>449132</v>
      </c>
      <c r="E555" s="296">
        <v>3.64</v>
      </c>
      <c r="F555" s="321"/>
      <c r="G555" s="319">
        <f>ROUND(E555*$C555,0)</f>
        <v>1621838</v>
      </c>
      <c r="H555" s="319">
        <f>ROUND(E555*$D555,0)</f>
        <v>1634840</v>
      </c>
      <c r="I555" s="296">
        <f>$I$487</f>
        <v>3.75</v>
      </c>
      <c r="J555" s="321"/>
      <c r="K555" s="319">
        <f>ROUND(I555*$D555,0)</f>
        <v>1684245</v>
      </c>
    </row>
    <row r="556" spans="1:11">
      <c r="A556" s="307" t="s">
        <v>444</v>
      </c>
      <c r="B556" s="1"/>
      <c r="C556" s="317">
        <f>69+6778+239+102+1209+318</f>
        <v>8715</v>
      </c>
      <c r="D556" s="317">
        <f>ROUND(($D$574/'Blocking - detail'!$C$574)*C556,0)</f>
        <v>8785</v>
      </c>
      <c r="E556" s="367">
        <f>E555</f>
        <v>3.64</v>
      </c>
      <c r="F556" s="321"/>
      <c r="G556" s="319">
        <f>ROUND(E556*$C556,0)</f>
        <v>31723</v>
      </c>
      <c r="H556" s="319">
        <f>ROUND(E556*$D556,0)</f>
        <v>31977</v>
      </c>
      <c r="I556" s="367">
        <f>I555</f>
        <v>3.75</v>
      </c>
      <c r="J556" s="321"/>
      <c r="K556" s="319">
        <f>ROUND(I556*$D556,0)</f>
        <v>32944</v>
      </c>
    </row>
    <row r="557" spans="1:11">
      <c r="A557" s="321" t="s">
        <v>429</v>
      </c>
      <c r="B557" s="1"/>
      <c r="C557" s="317"/>
      <c r="D557" s="317"/>
      <c r="E557" s="296"/>
      <c r="F557" s="321"/>
      <c r="G557" s="319"/>
      <c r="H557" s="319"/>
      <c r="I557" s="296"/>
      <c r="J557" s="321"/>
      <c r="K557" s="319"/>
    </row>
    <row r="558" spans="1:11">
      <c r="A558" s="321" t="s">
        <v>430</v>
      </c>
      <c r="B558" s="1"/>
      <c r="C558" s="317">
        <f>10240+2853225+81440+478667+480000+55800+25725353+25475253</f>
        <v>55159978</v>
      </c>
      <c r="D558" s="317">
        <f>ROUND(($D$574/'Blocking - detail'!$C$574)*C558,0)</f>
        <v>55602144</v>
      </c>
      <c r="E558" s="368">
        <v>3.9809999999999999</v>
      </c>
      <c r="F558" s="321" t="s">
        <v>377</v>
      </c>
      <c r="G558" s="319">
        <f>ROUND(E558*$C558/100,0)</f>
        <v>2195919</v>
      </c>
      <c r="H558" s="319">
        <f>ROUND(E558*$D558/100,0)</f>
        <v>2213521</v>
      </c>
      <c r="I558" s="368">
        <f>$I$490</f>
        <v>4.3570000000000002</v>
      </c>
      <c r="J558" s="321" t="s">
        <v>377</v>
      </c>
      <c r="K558" s="319">
        <f>ROUND(I558*$D558/100,0)</f>
        <v>2422585</v>
      </c>
    </row>
    <row r="559" spans="1:11">
      <c r="A559" s="321" t="s">
        <v>402</v>
      </c>
      <c r="B559" s="1"/>
      <c r="C559" s="317">
        <f>10240+3545465+133120+979200+4096800+55800+34983239+101812255-C558</f>
        <v>90456141</v>
      </c>
      <c r="D559" s="317">
        <f>ROUND(($D$574/'Blocking - detail'!$C$574)*C559,0)</f>
        <v>91181243</v>
      </c>
      <c r="E559" s="368">
        <v>3.649</v>
      </c>
      <c r="F559" s="321" t="s">
        <v>377</v>
      </c>
      <c r="G559" s="319">
        <f>ROUND(E559*$C559/100,0)</f>
        <v>3300745</v>
      </c>
      <c r="H559" s="319">
        <f>ROUND(E559*$D559/100,0)</f>
        <v>3327204</v>
      </c>
      <c r="I559" s="368">
        <f>$I$491</f>
        <v>3.9930000000000003</v>
      </c>
      <c r="J559" s="321" t="s">
        <v>377</v>
      </c>
      <c r="K559" s="319">
        <f>ROUND(I559*$D559/100,0)</f>
        <v>3640867</v>
      </c>
    </row>
    <row r="560" spans="1:11">
      <c r="A560" s="321" t="s">
        <v>403</v>
      </c>
      <c r="B560" s="1"/>
      <c r="C560" s="317">
        <f>14+5104+263+1145+2693+4+38848+100112</f>
        <v>148183</v>
      </c>
      <c r="D560" s="317">
        <f>ROUND(($D$574/'Blocking - detail'!$C$574)*C560,0)</f>
        <v>149371</v>
      </c>
      <c r="E560" s="337">
        <v>45</v>
      </c>
      <c r="F560" s="321" t="s">
        <v>377</v>
      </c>
      <c r="G560" s="319">
        <f>ROUND(E560*$C560/100,0)</f>
        <v>66682</v>
      </c>
      <c r="H560" s="319">
        <f>ROUND(E560*$D560/100,0)</f>
        <v>67217</v>
      </c>
      <c r="I560" s="337">
        <f>$I$492</f>
        <v>45</v>
      </c>
      <c r="J560" s="321" t="s">
        <v>377</v>
      </c>
      <c r="K560" s="319">
        <f>ROUND(I560*$D560/100,0)</f>
        <v>67217</v>
      </c>
    </row>
    <row r="561" spans="1:15">
      <c r="A561" s="358" t="s">
        <v>404</v>
      </c>
      <c r="B561" s="1"/>
      <c r="C561" s="317"/>
      <c r="D561" s="317"/>
      <c r="E561" s="330">
        <v>-0.01</v>
      </c>
      <c r="F561" s="2"/>
      <c r="G561" s="319"/>
      <c r="H561" s="319"/>
      <c r="I561" s="330">
        <f>$I$493</f>
        <v>-0.01</v>
      </c>
      <c r="J561" s="1"/>
      <c r="K561" s="319"/>
    </row>
    <row r="562" spans="1:15">
      <c r="A562" s="321" t="s">
        <v>424</v>
      </c>
      <c r="B562" s="1"/>
      <c r="C562" s="317">
        <v>0</v>
      </c>
      <c r="D562" s="317">
        <v>0</v>
      </c>
      <c r="E562" s="302">
        <f>E548</f>
        <v>205</v>
      </c>
      <c r="F562" s="362"/>
      <c r="G562" s="319">
        <f>ROUND(E562*$C562*E561,0)</f>
        <v>0</v>
      </c>
      <c r="H562" s="319">
        <f>ROUND(E562*$D562*E561,0)</f>
        <v>0</v>
      </c>
      <c r="I562" s="302">
        <f>I548</f>
        <v>225</v>
      </c>
      <c r="J562" s="291"/>
      <c r="K562" s="319">
        <f>ROUND(I562*$D562*I561,0)</f>
        <v>0</v>
      </c>
    </row>
    <row r="563" spans="1:15">
      <c r="A563" s="321" t="s">
        <v>425</v>
      </c>
      <c r="B563" s="1"/>
      <c r="C563" s="317">
        <f>12</f>
        <v>12</v>
      </c>
      <c r="D563" s="317">
        <v>12</v>
      </c>
      <c r="E563" s="302">
        <f>E549</f>
        <v>75</v>
      </c>
      <c r="F563" s="362"/>
      <c r="G563" s="319">
        <f>ROUND(E563*$C563*E561,0)</f>
        <v>-9</v>
      </c>
      <c r="H563" s="319">
        <f>ROUND(E563*$D563*E561,0)</f>
        <v>-9</v>
      </c>
      <c r="I563" s="302">
        <f>I549</f>
        <v>83</v>
      </c>
      <c r="J563" s="291"/>
      <c r="K563" s="319">
        <f>ROUND(I563*$D563*I561,0)</f>
        <v>-10</v>
      </c>
    </row>
    <row r="564" spans="1:15">
      <c r="A564" s="321" t="s">
        <v>426</v>
      </c>
      <c r="B564" s="1"/>
      <c r="C564" s="317">
        <f>12</f>
        <v>12</v>
      </c>
      <c r="D564" s="317">
        <v>12</v>
      </c>
      <c r="E564" s="302">
        <f>E550</f>
        <v>150</v>
      </c>
      <c r="F564" s="370"/>
      <c r="G564" s="319">
        <f>ROUND(E564*$C564*E561,0)</f>
        <v>-18</v>
      </c>
      <c r="H564" s="319">
        <f>ROUND(E564*$D564*E561,0)</f>
        <v>-18</v>
      </c>
      <c r="I564" s="302">
        <f>I550</f>
        <v>166</v>
      </c>
      <c r="J564" s="371"/>
      <c r="K564" s="319">
        <f>ROUND(I564*$D564*I561,0)</f>
        <v>-20</v>
      </c>
    </row>
    <row r="565" spans="1:15">
      <c r="A565" s="321" t="s">
        <v>425</v>
      </c>
      <c r="B565" s="1"/>
      <c r="C565" s="317">
        <f>1487</f>
        <v>1487</v>
      </c>
      <c r="D565" s="317">
        <f>ROUND(($D$574/'Blocking - detail'!$C$574)*C565,0)</f>
        <v>1499</v>
      </c>
      <c r="E565" s="302">
        <f>E552</f>
        <v>1.38</v>
      </c>
      <c r="F565" s="362"/>
      <c r="G565" s="319">
        <f>ROUND(E565*$C565*E561,0)</f>
        <v>-21</v>
      </c>
      <c r="H565" s="319">
        <f>ROUND(E565*$D565*E561,0)</f>
        <v>-21</v>
      </c>
      <c r="I565" s="302">
        <f>I552</f>
        <v>1.47</v>
      </c>
      <c r="J565" s="291"/>
      <c r="K565" s="319">
        <f>ROUND(I565*$D565*I561,0)</f>
        <v>-22</v>
      </c>
    </row>
    <row r="566" spans="1:15">
      <c r="A566" s="321" t="s">
        <v>426</v>
      </c>
      <c r="B566" s="1"/>
      <c r="C566" s="317">
        <v>7817</v>
      </c>
      <c r="D566" s="317">
        <f>ROUND(($D$574/'Blocking - detail'!$C$574)*C566,0)</f>
        <v>7880</v>
      </c>
      <c r="E566" s="302">
        <f>E553</f>
        <v>1.1299999999999999</v>
      </c>
      <c r="F566" s="362" t="s">
        <v>31</v>
      </c>
      <c r="G566" s="319">
        <f>ROUND(E566*$C566*E561,0)</f>
        <v>-88</v>
      </c>
      <c r="H566" s="319">
        <f>ROUND(E566*$D566*E561,0)</f>
        <v>-89</v>
      </c>
      <c r="I566" s="302">
        <f>I553</f>
        <v>1.2</v>
      </c>
      <c r="J566" s="291"/>
      <c r="K566" s="319">
        <f>ROUND(I566*$D566*I561,0)</f>
        <v>-95</v>
      </c>
    </row>
    <row r="567" spans="1:15">
      <c r="A567" s="307" t="s">
        <v>428</v>
      </c>
      <c r="B567" s="1"/>
      <c r="C567" s="317">
        <f>1487+6927</f>
        <v>8414</v>
      </c>
      <c r="D567" s="317">
        <f>ROUND(($D$574/'Blocking - detail'!$C$574)*C567,0)</f>
        <v>8481</v>
      </c>
      <c r="E567" s="302">
        <f>E555</f>
        <v>3.64</v>
      </c>
      <c r="F567" s="362" t="s">
        <v>31</v>
      </c>
      <c r="G567" s="319">
        <f>ROUND(E567*$C567*E561,0)</f>
        <v>-306</v>
      </c>
      <c r="H567" s="319">
        <f>ROUND(E567*$D567*E561,0)</f>
        <v>-309</v>
      </c>
      <c r="I567" s="302">
        <f>I555</f>
        <v>3.75</v>
      </c>
      <c r="J567" s="291"/>
      <c r="K567" s="319">
        <f>ROUND(I567*$D567*I561,0)</f>
        <v>-318</v>
      </c>
    </row>
    <row r="568" spans="1:15">
      <c r="A568" s="307" t="s">
        <v>444</v>
      </c>
      <c r="B568" s="1"/>
      <c r="C568" s="317">
        <v>0</v>
      </c>
      <c r="D568" s="317">
        <f>ROUND(($D$574/'Blocking - detail'!$C$574)*C568,0)</f>
        <v>0</v>
      </c>
      <c r="E568" s="302">
        <f>E556</f>
        <v>3.64</v>
      </c>
      <c r="F568" s="362" t="s">
        <v>31</v>
      </c>
      <c r="G568" s="319">
        <f>ROUND(E568*$C568*E561,0)</f>
        <v>0</v>
      </c>
      <c r="H568" s="319">
        <f>ROUND(E568*$D568*E561,0)</f>
        <v>0</v>
      </c>
      <c r="I568" s="302">
        <f>I556</f>
        <v>3.75</v>
      </c>
      <c r="J568" s="291"/>
      <c r="K568" s="319">
        <f>ROUND(I568*$D568*I561,0)</f>
        <v>0</v>
      </c>
    </row>
    <row r="569" spans="1:15">
      <c r="A569" s="321" t="s">
        <v>430</v>
      </c>
      <c r="B569" s="1"/>
      <c r="C569" s="317">
        <f>478667+480000</f>
        <v>958667</v>
      </c>
      <c r="D569" s="317">
        <f>ROUND(($D$574/'Blocking - detail'!$C$574)*C569,0)</f>
        <v>966352</v>
      </c>
      <c r="E569" s="372">
        <f>E558</f>
        <v>3.9809999999999999</v>
      </c>
      <c r="F569" s="319" t="s">
        <v>377</v>
      </c>
      <c r="G569" s="319">
        <f>ROUND(E569*$C569/100*E561,0)</f>
        <v>-382</v>
      </c>
      <c r="H569" s="319">
        <f>ROUND(E569*$D569/100*E561,0)</f>
        <v>-385</v>
      </c>
      <c r="I569" s="372">
        <f>I558</f>
        <v>4.3570000000000002</v>
      </c>
      <c r="J569" s="321" t="s">
        <v>377</v>
      </c>
      <c r="K569" s="319">
        <f>ROUND(I569*$D569/100*I561,0)</f>
        <v>-421</v>
      </c>
    </row>
    <row r="570" spans="1:15">
      <c r="A570" s="321" t="s">
        <v>402</v>
      </c>
      <c r="B570" s="1"/>
      <c r="C570" s="317">
        <f>979200+4096800-C569</f>
        <v>4117333</v>
      </c>
      <c r="D570" s="317">
        <f>ROUND(($D$574/'Blocking - detail'!$C$574)*C570,0)</f>
        <v>4150338</v>
      </c>
      <c r="E570" s="372">
        <f>E559</f>
        <v>3.649</v>
      </c>
      <c r="F570" s="319" t="s">
        <v>377</v>
      </c>
      <c r="G570" s="319">
        <f>ROUND(E570*$C570/100*E561,0)</f>
        <v>-1502</v>
      </c>
      <c r="H570" s="319">
        <f>ROUND(E570*$D570/100*E561,0)</f>
        <v>-1514</v>
      </c>
      <c r="I570" s="372">
        <f>I559</f>
        <v>3.9930000000000003</v>
      </c>
      <c r="J570" s="321" t="s">
        <v>377</v>
      </c>
      <c r="K570" s="319">
        <f>ROUND(I570*$D570/100*I561,0)</f>
        <v>-1657</v>
      </c>
    </row>
    <row r="571" spans="1:15">
      <c r="A571" s="321" t="s">
        <v>403</v>
      </c>
      <c r="B571" s="1"/>
      <c r="C571" s="317">
        <f>0</f>
        <v>0</v>
      </c>
      <c r="D571" s="317">
        <f>ROUND(($D$574/'Blocking - detail'!$C$574)*C571,0)</f>
        <v>0</v>
      </c>
      <c r="E571" s="373">
        <f>E560</f>
        <v>45</v>
      </c>
      <c r="F571" s="319" t="s">
        <v>377</v>
      </c>
      <c r="G571" s="319">
        <f>ROUND(E571*$C571/100*E561,0)</f>
        <v>0</v>
      </c>
      <c r="H571" s="319">
        <f>ROUND(E571*$D571/100*E561,0)</f>
        <v>0</v>
      </c>
      <c r="I571" s="373">
        <f>I560</f>
        <v>45</v>
      </c>
      <c r="J571" s="321" t="s">
        <v>377</v>
      </c>
      <c r="K571" s="319">
        <f>ROUND(I571*$D571/100*I561,0)</f>
        <v>0</v>
      </c>
    </row>
    <row r="572" spans="1:15">
      <c r="A572" s="321" t="s">
        <v>446</v>
      </c>
      <c r="B572" s="1"/>
      <c r="C572" s="317">
        <f>C563+C564</f>
        <v>24</v>
      </c>
      <c r="D572" s="317">
        <v>23</v>
      </c>
      <c r="E572" s="296">
        <v>60</v>
      </c>
      <c r="F572" s="362" t="s">
        <v>31</v>
      </c>
      <c r="G572" s="319">
        <f>ROUND(E572*$C572,0)</f>
        <v>1440</v>
      </c>
      <c r="H572" s="319">
        <f>ROUND(E572*$D572,0)</f>
        <v>1380</v>
      </c>
      <c r="I572" s="296">
        <f>$I$504</f>
        <v>60</v>
      </c>
      <c r="J572" s="1"/>
      <c r="K572" s="319">
        <f>ROUND(I572*$D572,0)</f>
        <v>1380</v>
      </c>
    </row>
    <row r="573" spans="1:15">
      <c r="A573" s="321" t="s">
        <v>447</v>
      </c>
      <c r="B573" s="1"/>
      <c r="C573" s="317">
        <f>C565+C566</f>
        <v>9304</v>
      </c>
      <c r="D573" s="317">
        <f>ROUND(($D$574/'Blocking - detail'!$C$574)*C573,0)</f>
        <v>9379</v>
      </c>
      <c r="E573" s="337">
        <v>-30</v>
      </c>
      <c r="F573" s="319" t="s">
        <v>377</v>
      </c>
      <c r="G573" s="319">
        <f>ROUND(E573*$C573/100,0)</f>
        <v>-2791</v>
      </c>
      <c r="H573" s="319">
        <f>ROUND(E573*$D573/100,0)</f>
        <v>-2814</v>
      </c>
      <c r="I573" s="337">
        <v>-30</v>
      </c>
      <c r="J573" s="319" t="s">
        <v>377</v>
      </c>
      <c r="K573" s="319">
        <f>ROUND(I573*$D573/100,0)</f>
        <v>-2814</v>
      </c>
    </row>
    <row r="574" spans="1:15">
      <c r="A574" s="1" t="s">
        <v>384</v>
      </c>
      <c r="B574" s="1"/>
      <c r="C574" s="317">
        <f>SUM(C558:C559)</f>
        <v>145616119</v>
      </c>
      <c r="D574" s="317">
        <v>146783387.35514688</v>
      </c>
      <c r="E574" s="328"/>
      <c r="F574" s="2"/>
      <c r="G574" s="2">
        <f>SUM(G548:G573)</f>
        <v>8131326</v>
      </c>
      <c r="H574" s="2">
        <f>SUM(H548:H573)</f>
        <v>8190149</v>
      </c>
      <c r="I574" s="328"/>
      <c r="J574" s="1"/>
      <c r="K574" s="2">
        <f>SUM(K548:K573)</f>
        <v>8829392</v>
      </c>
    </row>
    <row r="575" spans="1:15">
      <c r="A575" s="1" t="s">
        <v>366</v>
      </c>
      <c r="B575" s="1"/>
      <c r="C575" s="347">
        <v>-3267381.4452911569</v>
      </c>
      <c r="D575" s="338">
        <v>0</v>
      </c>
      <c r="E575" s="307"/>
      <c r="F575" s="307"/>
      <c r="G575" s="308">
        <v>-154650.03199032659</v>
      </c>
      <c r="H575" s="308">
        <v>0</v>
      </c>
      <c r="I575" s="307"/>
      <c r="J575" s="307"/>
      <c r="K575" s="308">
        <v>0</v>
      </c>
      <c r="M575" s="287"/>
      <c r="N575" s="287"/>
      <c r="O575" s="288"/>
    </row>
    <row r="576" spans="1:15" ht="16.5" thickBot="1">
      <c r="A576" s="1" t="s">
        <v>385</v>
      </c>
      <c r="B576" s="1"/>
      <c r="C576" s="364">
        <f>SUM(C574)+C575</f>
        <v>142348737.55470884</v>
      </c>
      <c r="D576" s="364">
        <f>SUM(D558:D559)+D575</f>
        <v>146783387</v>
      </c>
      <c r="E576" s="340"/>
      <c r="F576" s="341"/>
      <c r="G576" s="342">
        <f>G574+G575</f>
        <v>7976675.9680096731</v>
      </c>
      <c r="H576" s="342">
        <f>H574+H575</f>
        <v>8190149</v>
      </c>
      <c r="I576" s="340"/>
      <c r="J576" s="343"/>
      <c r="K576" s="342">
        <f>K574+K575</f>
        <v>8829392</v>
      </c>
      <c r="M576" s="289"/>
      <c r="N576" s="289"/>
      <c r="O576" s="290"/>
    </row>
    <row r="577" spans="1:21" ht="16.5" thickTop="1">
      <c r="A577" s="301"/>
      <c r="B577" s="376"/>
      <c r="C577" s="301"/>
      <c r="D577" s="301"/>
      <c r="E577" s="21"/>
      <c r="F577" s="21"/>
      <c r="G577" s="377"/>
      <c r="H577" s="377"/>
      <c r="I577" s="301"/>
      <c r="J577" s="301"/>
      <c r="K577" s="301"/>
    </row>
    <row r="578" spans="1:21">
      <c r="A578" s="291" t="s">
        <v>450</v>
      </c>
      <c r="B578" s="1"/>
      <c r="C578" s="21"/>
      <c r="D578" s="21"/>
      <c r="E578" s="335"/>
      <c r="F578" s="2"/>
      <c r="G578" s="2"/>
      <c r="H578" s="2"/>
      <c r="I578" s="335"/>
      <c r="J578" s="1"/>
      <c r="K578" s="2"/>
    </row>
    <row r="579" spans="1:21">
      <c r="A579" s="307" t="s">
        <v>451</v>
      </c>
      <c r="B579" s="1"/>
      <c r="C579" s="21"/>
      <c r="D579" s="21"/>
      <c r="E579" s="335"/>
      <c r="F579" s="2"/>
      <c r="G579" s="2"/>
      <c r="H579" s="2"/>
      <c r="I579" s="335"/>
      <c r="J579" s="1"/>
      <c r="K579" s="2"/>
    </row>
    <row r="580" spans="1:21">
      <c r="A580" s="321"/>
      <c r="B580" s="1"/>
      <c r="C580" s="21"/>
      <c r="D580" s="21"/>
      <c r="E580" s="335"/>
      <c r="F580" s="2"/>
      <c r="G580" s="378"/>
      <c r="H580" s="378"/>
      <c r="I580" s="335"/>
      <c r="J580" s="1"/>
      <c r="K580" s="379"/>
    </row>
    <row r="581" spans="1:21">
      <c r="A581" s="307" t="s">
        <v>452</v>
      </c>
      <c r="B581" s="1"/>
      <c r="C581" s="317"/>
      <c r="D581" s="317"/>
      <c r="E581" s="2" t="s">
        <v>31</v>
      </c>
      <c r="F581" s="2"/>
      <c r="G581" s="1"/>
      <c r="H581" s="1"/>
      <c r="I581" s="2" t="s">
        <v>31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307" t="s">
        <v>453</v>
      </c>
      <c r="B582" s="1"/>
      <c r="C582" s="317">
        <f>C633+C684</f>
        <v>1046</v>
      </c>
      <c r="D582" s="317">
        <f>D633+D684</f>
        <v>1055</v>
      </c>
      <c r="E582" s="335">
        <v>0</v>
      </c>
      <c r="F582" s="322"/>
      <c r="G582" s="319">
        <f>G633+G684</f>
        <v>0</v>
      </c>
      <c r="H582" s="319">
        <f>H633+H684</f>
        <v>0</v>
      </c>
      <c r="I582" s="335">
        <v>0</v>
      </c>
      <c r="J582" s="322"/>
      <c r="K582" s="319">
        <f>K633+K684</f>
        <v>0</v>
      </c>
      <c r="M582" s="84">
        <f>I582*D582</f>
        <v>0</v>
      </c>
      <c r="O582" s="14"/>
      <c r="P582" s="69" t="s">
        <v>31</v>
      </c>
      <c r="Q582" s="3" t="s">
        <v>374</v>
      </c>
      <c r="R582" s="327">
        <f>E584+(E593*50)</f>
        <v>907.49999999999989</v>
      </c>
      <c r="S582" s="327">
        <f>E585+(E594*51)</f>
        <v>907.4</v>
      </c>
      <c r="T582" s="327">
        <f>E585+(E594*300)</f>
        <v>3995</v>
      </c>
      <c r="U582" s="327">
        <f>E586+(E595*301)</f>
        <v>4014.65</v>
      </c>
    </row>
    <row r="583" spans="1:21">
      <c r="A583" s="307" t="s">
        <v>454</v>
      </c>
      <c r="B583" s="1"/>
      <c r="C583" s="317"/>
      <c r="D583" s="317"/>
      <c r="E583" s="335"/>
      <c r="F583" s="322"/>
      <c r="G583" s="319"/>
      <c r="H583" s="319"/>
      <c r="I583" s="335"/>
      <c r="J583" s="322"/>
      <c r="K583" s="319"/>
      <c r="Q583" s="3" t="s">
        <v>307</v>
      </c>
      <c r="R583" s="327">
        <f>I584+(I593*50)</f>
        <v>993.5</v>
      </c>
      <c r="S583" s="327">
        <f>I585+(I594*51)</f>
        <v>996.64</v>
      </c>
      <c r="T583" s="327">
        <f>I585+(I594*300)</f>
        <v>4393</v>
      </c>
      <c r="U583" s="327">
        <f>I586+(I595*301)</f>
        <v>4411.62</v>
      </c>
    </row>
    <row r="584" spans="1:21">
      <c r="A584" s="307" t="s">
        <v>455</v>
      </c>
      <c r="B584" s="1"/>
      <c r="C584" s="317">
        <f t="shared" ref="C584:D589" si="49">C635+C686</f>
        <v>3810</v>
      </c>
      <c r="D584" s="317">
        <f t="shared" si="49"/>
        <v>3832</v>
      </c>
      <c r="E584" s="335">
        <v>0</v>
      </c>
      <c r="F584" s="322"/>
      <c r="G584" s="319">
        <f t="shared" ref="G584:H586" si="50">G635+G686</f>
        <v>0</v>
      </c>
      <c r="H584" s="319">
        <f t="shared" si="50"/>
        <v>0</v>
      </c>
      <c r="I584" s="335">
        <v>0</v>
      </c>
      <c r="J584" s="322"/>
      <c r="K584" s="319">
        <f>K635+K686</f>
        <v>0</v>
      </c>
      <c r="M584" s="84">
        <f>I584*D584</f>
        <v>0</v>
      </c>
      <c r="N584" s="53"/>
    </row>
    <row r="585" spans="1:21">
      <c r="A585" s="307" t="s">
        <v>456</v>
      </c>
      <c r="B585" s="1"/>
      <c r="C585" s="317">
        <f t="shared" si="49"/>
        <v>391</v>
      </c>
      <c r="D585" s="317">
        <f t="shared" si="49"/>
        <v>394</v>
      </c>
      <c r="E585" s="335">
        <v>275</v>
      </c>
      <c r="F585" s="322"/>
      <c r="G585" s="319">
        <f t="shared" si="50"/>
        <v>107525</v>
      </c>
      <c r="H585" s="319">
        <f t="shared" si="50"/>
        <v>108350</v>
      </c>
      <c r="I585" s="335">
        <v>301</v>
      </c>
      <c r="J585" s="322"/>
      <c r="K585" s="319">
        <f>K636+K687</f>
        <v>118594</v>
      </c>
      <c r="M585" s="84">
        <f>I585*D585</f>
        <v>118594</v>
      </c>
      <c r="N585" s="235"/>
      <c r="O585" s="14">
        <f>(I585-E585)/E585</f>
        <v>9.4545454545454544E-2</v>
      </c>
      <c r="S585" s="327">
        <f>S583-R583</f>
        <v>3.1399999999999864</v>
      </c>
      <c r="U585" s="327">
        <f>U583-T583</f>
        <v>18.619999999999891</v>
      </c>
    </row>
    <row r="586" spans="1:21">
      <c r="A586" s="307" t="s">
        <v>457</v>
      </c>
      <c r="B586" s="1"/>
      <c r="C586" s="317">
        <f t="shared" si="49"/>
        <v>12</v>
      </c>
      <c r="D586" s="317">
        <f t="shared" si="49"/>
        <v>12</v>
      </c>
      <c r="E586" s="335">
        <v>1110</v>
      </c>
      <c r="F586" s="322"/>
      <c r="G586" s="319">
        <f t="shared" si="50"/>
        <v>13320</v>
      </c>
      <c r="H586" s="319">
        <f t="shared" si="50"/>
        <v>13320</v>
      </c>
      <c r="I586" s="335">
        <v>1215</v>
      </c>
      <c r="J586" s="322"/>
      <c r="K586" s="319">
        <f>K637+K688</f>
        <v>14580</v>
      </c>
      <c r="M586" s="84">
        <f>I586*D586</f>
        <v>14580</v>
      </c>
      <c r="N586" s="235"/>
      <c r="O586" s="14">
        <f>(I586-E586)/E586</f>
        <v>9.45945945945946E-2</v>
      </c>
    </row>
    <row r="587" spans="1:21">
      <c r="A587" s="307" t="s">
        <v>365</v>
      </c>
      <c r="B587" s="1"/>
      <c r="C587" s="317">
        <f t="shared" si="49"/>
        <v>5259</v>
      </c>
      <c r="D587" s="317">
        <f t="shared" si="49"/>
        <v>5292.9166666666661</v>
      </c>
      <c r="E587" s="335"/>
      <c r="F587" s="322"/>
      <c r="G587" s="319"/>
      <c r="H587" s="319"/>
      <c r="I587" s="335"/>
      <c r="J587" s="322"/>
      <c r="K587" s="319"/>
      <c r="M587" s="69"/>
      <c r="N587" s="69"/>
      <c r="O587" s="318"/>
      <c r="S587" s="327">
        <f>I593</f>
        <v>19.87</v>
      </c>
      <c r="U587" s="327">
        <f>I595</f>
        <v>10.62</v>
      </c>
    </row>
    <row r="588" spans="1:21">
      <c r="A588" s="307" t="s">
        <v>458</v>
      </c>
      <c r="B588" s="1"/>
      <c r="C588" s="317">
        <f t="shared" si="49"/>
        <v>34292</v>
      </c>
      <c r="D588" s="317">
        <f t="shared" si="49"/>
        <v>34530</v>
      </c>
      <c r="E588" s="335"/>
      <c r="F588" s="322"/>
      <c r="G588" s="319"/>
      <c r="H588" s="319"/>
      <c r="I588" s="335"/>
      <c r="J588" s="322"/>
      <c r="K588" s="319"/>
      <c r="M588" s="69"/>
      <c r="N588" s="69"/>
      <c r="O588" s="318"/>
    </row>
    <row r="589" spans="1:21">
      <c r="A589" s="307" t="s">
        <v>104</v>
      </c>
      <c r="B589" s="1"/>
      <c r="C589" s="317">
        <f t="shared" si="49"/>
        <v>5714</v>
      </c>
      <c r="D589" s="317">
        <f t="shared" si="49"/>
        <v>5752</v>
      </c>
      <c r="E589" s="335"/>
      <c r="F589" s="319"/>
      <c r="G589" s="319"/>
      <c r="H589" s="319"/>
      <c r="I589" s="335"/>
      <c r="J589" s="319"/>
      <c r="K589" s="319"/>
      <c r="M589" s="69"/>
      <c r="N589" s="69"/>
      <c r="O589" s="318"/>
      <c r="P589" s="292"/>
    </row>
    <row r="590" spans="1:21">
      <c r="A590" s="307" t="s">
        <v>459</v>
      </c>
      <c r="B590" s="1"/>
      <c r="C590" s="317"/>
      <c r="D590" s="317"/>
      <c r="E590" s="335"/>
      <c r="F590" s="322"/>
      <c r="G590" s="319"/>
      <c r="H590" s="319"/>
      <c r="I590" s="335"/>
      <c r="J590" s="322"/>
      <c r="K590" s="319"/>
      <c r="M590" s="69"/>
      <c r="N590" s="69"/>
      <c r="O590" s="318"/>
    </row>
    <row r="591" spans="1:21">
      <c r="A591" s="307" t="s">
        <v>460</v>
      </c>
      <c r="B591" s="1"/>
      <c r="C591" s="317">
        <f>C642+C693</f>
        <v>4094</v>
      </c>
      <c r="D591" s="317">
        <f>D642+D693</f>
        <v>3767</v>
      </c>
      <c r="E591" s="335">
        <v>18.149999999999999</v>
      </c>
      <c r="F591" s="322"/>
      <c r="G591" s="319">
        <f>G642+G693</f>
        <v>74306</v>
      </c>
      <c r="H591" s="319">
        <f>H642+H693</f>
        <v>68371</v>
      </c>
      <c r="I591" s="335">
        <v>19.87</v>
      </c>
      <c r="J591" s="322"/>
      <c r="K591" s="319">
        <f>K642+K693</f>
        <v>74851</v>
      </c>
      <c r="M591" s="84">
        <f>I591*D591</f>
        <v>74850.290000000008</v>
      </c>
      <c r="N591" s="235"/>
      <c r="O591" s="14">
        <f>(I591-E591)/E591</f>
        <v>9.4765840220385811E-2</v>
      </c>
      <c r="R591" s="3" t="s">
        <v>374</v>
      </c>
      <c r="S591" s="3" t="s">
        <v>307</v>
      </c>
      <c r="T591" s="3" t="s">
        <v>375</v>
      </c>
      <c r="U591" s="3" t="s">
        <v>317</v>
      </c>
    </row>
    <row r="592" spans="1:21">
      <c r="A592" s="307" t="s">
        <v>461</v>
      </c>
      <c r="B592" s="1"/>
      <c r="C592" s="317"/>
      <c r="D592" s="317"/>
      <c r="E592" s="335"/>
      <c r="F592" s="322"/>
      <c r="G592" s="319"/>
      <c r="H592" s="319"/>
      <c r="I592" s="335"/>
      <c r="J592" s="322"/>
      <c r="K592" s="319"/>
      <c r="M592" s="374"/>
      <c r="N592" s="374"/>
      <c r="O592" s="318"/>
      <c r="Q592" s="3" t="s">
        <v>445</v>
      </c>
      <c r="R592" s="84">
        <f>SUM(H582:H597)</f>
        <v>1668109</v>
      </c>
      <c r="S592" s="84">
        <f>SUM(K582:K597)</f>
        <v>1828655</v>
      </c>
      <c r="T592" s="106">
        <v>2708270.4985879958</v>
      </c>
      <c r="U592" s="235">
        <f>S592/T592</f>
        <v>0.67521135756321282</v>
      </c>
    </row>
    <row r="593" spans="1:21">
      <c r="A593" s="307" t="s">
        <v>455</v>
      </c>
      <c r="B593" s="1"/>
      <c r="C593" s="317">
        <f t="shared" ref="C593:D597" si="51">C644+C695</f>
        <v>53610</v>
      </c>
      <c r="D593" s="317">
        <f t="shared" si="51"/>
        <v>49068</v>
      </c>
      <c r="E593" s="335">
        <f>E591</f>
        <v>18.149999999999999</v>
      </c>
      <c r="F593" s="322"/>
      <c r="G593" s="319">
        <f t="shared" ref="G593:H597" si="52">G644+G695</f>
        <v>973021</v>
      </c>
      <c r="H593" s="319">
        <f t="shared" si="52"/>
        <v>890585</v>
      </c>
      <c r="I593" s="335">
        <f>I591</f>
        <v>19.87</v>
      </c>
      <c r="J593" s="322"/>
      <c r="K593" s="319">
        <f>K644+K695</f>
        <v>974981</v>
      </c>
      <c r="M593" s="84">
        <f>I593*D593</f>
        <v>974981.16</v>
      </c>
      <c r="N593" s="235"/>
      <c r="O593" s="14">
        <f>(I593-E593)/E593</f>
        <v>9.4765840220385811E-2</v>
      </c>
      <c r="Q593" s="3" t="s">
        <v>462</v>
      </c>
      <c r="R593" s="84">
        <f>H602</f>
        <v>7542243</v>
      </c>
      <c r="S593" s="84">
        <f>K602</f>
        <v>8116487</v>
      </c>
      <c r="T593" s="106">
        <v>8051434.7234117109</v>
      </c>
      <c r="U593" s="235">
        <f>S593/T593</f>
        <v>1.0080795881508089</v>
      </c>
    </row>
    <row r="594" spans="1:21">
      <c r="A594" s="307" t="s">
        <v>456</v>
      </c>
      <c r="B594" s="1"/>
      <c r="C594" s="317">
        <f t="shared" si="51"/>
        <v>37992</v>
      </c>
      <c r="D594" s="317">
        <f t="shared" si="51"/>
        <v>34737</v>
      </c>
      <c r="E594" s="335">
        <v>12.4</v>
      </c>
      <c r="F594" s="322"/>
      <c r="G594" s="319">
        <f t="shared" si="52"/>
        <v>471100</v>
      </c>
      <c r="H594" s="319">
        <f t="shared" si="52"/>
        <v>430738</v>
      </c>
      <c r="I594" s="335">
        <v>13.64</v>
      </c>
      <c r="J594" s="322"/>
      <c r="K594" s="319">
        <f>K645+K696</f>
        <v>473813</v>
      </c>
      <c r="M594" s="84">
        <f>I594*D594</f>
        <v>473812.68</v>
      </c>
      <c r="N594" s="235"/>
      <c r="O594" s="14">
        <f>(I594-E594)/E594</f>
        <v>0.10000000000000002</v>
      </c>
      <c r="R594" s="84"/>
      <c r="S594" s="84"/>
      <c r="T594" s="106"/>
      <c r="U594" s="235"/>
    </row>
    <row r="595" spans="1:21">
      <c r="A595" s="307" t="s">
        <v>457</v>
      </c>
      <c r="B595" s="1"/>
      <c r="C595" s="317">
        <f t="shared" si="51"/>
        <v>4634</v>
      </c>
      <c r="D595" s="317">
        <f t="shared" si="51"/>
        <v>4281</v>
      </c>
      <c r="E595" s="335">
        <v>9.65</v>
      </c>
      <c r="F595" s="322"/>
      <c r="G595" s="319">
        <f t="shared" si="52"/>
        <v>44718</v>
      </c>
      <c r="H595" s="319">
        <f t="shared" si="52"/>
        <v>41312</v>
      </c>
      <c r="I595" s="335">
        <v>10.62</v>
      </c>
      <c r="J595" s="322"/>
      <c r="K595" s="319">
        <f>K646+K697</f>
        <v>45464</v>
      </c>
      <c r="M595" s="84">
        <f>I595*D595</f>
        <v>45464.219999999994</v>
      </c>
      <c r="N595" s="235"/>
      <c r="O595" s="14">
        <f>(I595-E595)/E595</f>
        <v>0.10051813471502578</v>
      </c>
    </row>
    <row r="596" spans="1:21">
      <c r="A596" s="307" t="s">
        <v>463</v>
      </c>
      <c r="B596" s="1"/>
      <c r="C596" s="317">
        <f t="shared" si="51"/>
        <v>402</v>
      </c>
      <c r="D596" s="317">
        <f t="shared" si="51"/>
        <v>368</v>
      </c>
      <c r="E596" s="335">
        <v>54.45</v>
      </c>
      <c r="F596" s="322"/>
      <c r="G596" s="319">
        <f t="shared" si="52"/>
        <v>21889</v>
      </c>
      <c r="H596" s="319">
        <f t="shared" si="52"/>
        <v>20037</v>
      </c>
      <c r="I596" s="335">
        <f>I591*3</f>
        <v>59.61</v>
      </c>
      <c r="J596" s="322"/>
      <c r="K596" s="319">
        <f>K647+K698</f>
        <v>21936</v>
      </c>
      <c r="M596" s="84">
        <f>I596*D596</f>
        <v>21936.48</v>
      </c>
      <c r="N596" s="235"/>
      <c r="O596" s="14">
        <f>(I596-E596)/E596</f>
        <v>9.4765840220385603E-2</v>
      </c>
    </row>
    <row r="597" spans="1:21">
      <c r="A597" s="307" t="s">
        <v>464</v>
      </c>
      <c r="B597" s="1"/>
      <c r="C597" s="317">
        <f t="shared" si="51"/>
        <v>960</v>
      </c>
      <c r="D597" s="317">
        <f t="shared" si="51"/>
        <v>876</v>
      </c>
      <c r="E597" s="335">
        <v>108.9</v>
      </c>
      <c r="F597" s="322"/>
      <c r="G597" s="319">
        <f t="shared" si="52"/>
        <v>104544</v>
      </c>
      <c r="H597" s="319">
        <f t="shared" si="52"/>
        <v>95396</v>
      </c>
      <c r="I597" s="335">
        <f>I591*6</f>
        <v>119.22</v>
      </c>
      <c r="J597" s="322"/>
      <c r="K597" s="319">
        <f>K648+K699</f>
        <v>104436</v>
      </c>
      <c r="M597" s="84">
        <f>I597*D597</f>
        <v>104436.72</v>
      </c>
      <c r="N597" s="235"/>
      <c r="O597" s="14">
        <f>(I597-E597)/E597</f>
        <v>9.4765840220385603E-2</v>
      </c>
    </row>
    <row r="598" spans="1:21">
      <c r="A598" s="307" t="s">
        <v>465</v>
      </c>
      <c r="B598" s="1"/>
      <c r="C598" s="317"/>
      <c r="D598" s="317"/>
      <c r="E598" s="335"/>
      <c r="F598" s="322"/>
      <c r="G598" s="319"/>
      <c r="H598" s="319"/>
      <c r="I598" s="335"/>
      <c r="J598" s="322"/>
      <c r="K598" s="319"/>
      <c r="M598" s="69"/>
      <c r="N598" s="69"/>
      <c r="O598" s="3"/>
    </row>
    <row r="599" spans="1:21">
      <c r="A599" s="307" t="s">
        <v>460</v>
      </c>
      <c r="B599" s="1"/>
      <c r="C599" s="317">
        <f>C650+C701</f>
        <v>566</v>
      </c>
      <c r="D599" s="317">
        <f>D650+D701</f>
        <v>518</v>
      </c>
      <c r="E599" s="361">
        <f>-E591</f>
        <v>-18.149999999999999</v>
      </c>
      <c r="F599" s="322"/>
      <c r="G599" s="319">
        <f>G650+G701</f>
        <v>-10273</v>
      </c>
      <c r="H599" s="319">
        <f>H650+H701</f>
        <v>-9402</v>
      </c>
      <c r="I599" s="361">
        <f>-I591</f>
        <v>-19.87</v>
      </c>
      <c r="J599" s="322"/>
      <c r="K599" s="319">
        <f>K650+K701</f>
        <v>-10293</v>
      </c>
      <c r="M599" s="84">
        <f>I599*D599</f>
        <v>-10292.66</v>
      </c>
      <c r="N599" s="69"/>
      <c r="O599" s="3"/>
    </row>
    <row r="600" spans="1:21">
      <c r="A600" s="307" t="s">
        <v>466</v>
      </c>
      <c r="B600" s="1"/>
      <c r="C600" s="317">
        <f>C651+C702</f>
        <v>2194</v>
      </c>
      <c r="D600" s="317">
        <f>D651+D702</f>
        <v>2004</v>
      </c>
      <c r="E600" s="361">
        <f>-E593</f>
        <v>-18.149999999999999</v>
      </c>
      <c r="F600" s="322"/>
      <c r="G600" s="319">
        <f>G651+G702</f>
        <v>-39821</v>
      </c>
      <c r="H600" s="319">
        <f>H651+H702</f>
        <v>-36373</v>
      </c>
      <c r="I600" s="361">
        <f>-I593</f>
        <v>-19.87</v>
      </c>
      <c r="J600" s="322"/>
      <c r="K600" s="319">
        <f>K651+K702</f>
        <v>-39820</v>
      </c>
      <c r="M600" s="84">
        <f>I600*D600</f>
        <v>-39819.480000000003</v>
      </c>
      <c r="N600" s="69"/>
      <c r="O600" s="3"/>
    </row>
    <row r="601" spans="1:21">
      <c r="A601" s="321" t="s">
        <v>429</v>
      </c>
      <c r="B601" s="1"/>
      <c r="C601" s="317"/>
      <c r="D601" s="317"/>
      <c r="E601" s="335"/>
      <c r="F601" s="319"/>
      <c r="G601" s="319"/>
      <c r="H601" s="319"/>
      <c r="I601" s="335"/>
      <c r="J601" s="319"/>
      <c r="K601" s="319"/>
      <c r="M601" s="69"/>
      <c r="N601" s="69"/>
      <c r="O601" s="3"/>
      <c r="Q601" s="3" t="s">
        <v>31</v>
      </c>
    </row>
    <row r="602" spans="1:21">
      <c r="A602" s="307" t="s">
        <v>467</v>
      </c>
      <c r="B602" s="1"/>
      <c r="C602" s="317">
        <f>C653+C704</f>
        <v>165066044</v>
      </c>
      <c r="D602" s="317">
        <f>D653+D704</f>
        <v>151116862</v>
      </c>
      <c r="E602" s="380">
        <v>4.9909999999999997</v>
      </c>
      <c r="F602" s="319" t="s">
        <v>377</v>
      </c>
      <c r="G602" s="319">
        <f>G653+G704</f>
        <v>8238447</v>
      </c>
      <c r="H602" s="319">
        <f>H653+H704</f>
        <v>7542243</v>
      </c>
      <c r="I602" s="381">
        <v>5.3710000000000004</v>
      </c>
      <c r="J602" s="319" t="s">
        <v>377</v>
      </c>
      <c r="K602" s="319">
        <f>K653+K704</f>
        <v>8116487</v>
      </c>
      <c r="M602" s="84">
        <f>(I602/100)*D602</f>
        <v>8116486.6580200009</v>
      </c>
      <c r="N602" s="235"/>
      <c r="O602" s="14">
        <f>(I602-E602)/E602</f>
        <v>7.6137046684031415E-2</v>
      </c>
    </row>
    <row r="603" spans="1:21">
      <c r="A603" s="321" t="s">
        <v>403</v>
      </c>
      <c r="B603" s="1"/>
      <c r="C603" s="317">
        <f>C654+C705</f>
        <v>28780</v>
      </c>
      <c r="D603" s="317">
        <f>D654+D705</f>
        <v>26281</v>
      </c>
      <c r="E603" s="337">
        <v>45</v>
      </c>
      <c r="F603" s="321" t="s">
        <v>377</v>
      </c>
      <c r="G603" s="319">
        <f>G654+G705</f>
        <v>12951</v>
      </c>
      <c r="H603" s="319">
        <f>H654+H705</f>
        <v>11826</v>
      </c>
      <c r="I603" s="337">
        <v>45</v>
      </c>
      <c r="J603" s="321" t="s">
        <v>377</v>
      </c>
      <c r="K603" s="319">
        <f>K654+K705</f>
        <v>11826</v>
      </c>
      <c r="M603" s="84">
        <f>(I603/100)*D603</f>
        <v>11826.45</v>
      </c>
      <c r="N603" s="235"/>
      <c r="O603" s="14">
        <f>(I603-E603)/E603</f>
        <v>0</v>
      </c>
    </row>
    <row r="604" spans="1:21">
      <c r="A604" s="358" t="s">
        <v>404</v>
      </c>
      <c r="B604" s="1"/>
      <c r="C604" s="317"/>
      <c r="D604" s="317"/>
      <c r="E604" s="330">
        <v>-0.01</v>
      </c>
      <c r="F604" s="2"/>
      <c r="G604" s="319"/>
      <c r="H604" s="319"/>
      <c r="I604" s="330">
        <v>-0.01</v>
      </c>
      <c r="J604" s="1"/>
      <c r="K604" s="319"/>
    </row>
    <row r="605" spans="1:21">
      <c r="A605" s="307" t="s">
        <v>393</v>
      </c>
      <c r="B605" s="1"/>
      <c r="C605" s="317">
        <f>C656+C707</f>
        <v>0</v>
      </c>
      <c r="D605" s="317">
        <f>D656+D707</f>
        <v>0</v>
      </c>
      <c r="E605" s="382">
        <f>E582</f>
        <v>0</v>
      </c>
      <c r="F605" s="322"/>
      <c r="G605" s="319">
        <f>G656+G707</f>
        <v>0</v>
      </c>
      <c r="H605" s="319">
        <f>H656+H707</f>
        <v>0</v>
      </c>
      <c r="I605" s="382">
        <f>I582</f>
        <v>0</v>
      </c>
      <c r="J605" s="322"/>
      <c r="K605" s="319">
        <f>K656+K707</f>
        <v>0</v>
      </c>
      <c r="M605" s="84">
        <f>-(I605/100)*D605</f>
        <v>0</v>
      </c>
    </row>
    <row r="606" spans="1:21">
      <c r="A606" s="307" t="s">
        <v>394</v>
      </c>
      <c r="B606" s="1"/>
      <c r="C606" s="317"/>
      <c r="D606" s="317"/>
      <c r="E606" s="382"/>
      <c r="F606" s="322"/>
      <c r="G606" s="319"/>
      <c r="H606" s="319"/>
      <c r="I606" s="382"/>
      <c r="J606" s="322"/>
      <c r="K606" s="319"/>
    </row>
    <row r="607" spans="1:21">
      <c r="A607" s="307" t="s">
        <v>455</v>
      </c>
      <c r="B607" s="1"/>
      <c r="C607" s="317">
        <f t="shared" ref="C607:D610" si="53">C658+C709</f>
        <v>1</v>
      </c>
      <c r="D607" s="317">
        <f t="shared" si="53"/>
        <v>1</v>
      </c>
      <c r="E607" s="382">
        <f>E584</f>
        <v>0</v>
      </c>
      <c r="F607" s="322"/>
      <c r="G607" s="319">
        <f t="shared" ref="G607:H610" si="54">G658+G709</f>
        <v>0</v>
      </c>
      <c r="H607" s="319">
        <f t="shared" si="54"/>
        <v>0</v>
      </c>
      <c r="I607" s="382">
        <f>I584</f>
        <v>0</v>
      </c>
      <c r="J607" s="322"/>
      <c r="K607" s="319">
        <f>K658+K709</f>
        <v>0</v>
      </c>
      <c r="M607" s="84">
        <f>-(I607/100)*D607</f>
        <v>0</v>
      </c>
    </row>
    <row r="608" spans="1:21">
      <c r="A608" s="307" t="s">
        <v>456</v>
      </c>
      <c r="B608" s="1"/>
      <c r="C608" s="317">
        <f t="shared" si="53"/>
        <v>0</v>
      </c>
      <c r="D608" s="317">
        <f t="shared" si="53"/>
        <v>0</v>
      </c>
      <c r="E608" s="382">
        <f>E585</f>
        <v>275</v>
      </c>
      <c r="F608" s="322"/>
      <c r="G608" s="319">
        <f t="shared" si="54"/>
        <v>0</v>
      </c>
      <c r="H608" s="319">
        <f t="shared" si="54"/>
        <v>0</v>
      </c>
      <c r="I608" s="382">
        <f>I585</f>
        <v>301</v>
      </c>
      <c r="J608" s="322"/>
      <c r="K608" s="319">
        <f>K659+K710</f>
        <v>0</v>
      </c>
      <c r="M608" s="84">
        <f>-(I608/100)*D608</f>
        <v>0</v>
      </c>
    </row>
    <row r="609" spans="1:13">
      <c r="A609" s="307" t="s">
        <v>457</v>
      </c>
      <c r="B609" s="1"/>
      <c r="C609" s="317">
        <f t="shared" si="53"/>
        <v>0</v>
      </c>
      <c r="D609" s="317">
        <f t="shared" si="53"/>
        <v>0</v>
      </c>
      <c r="E609" s="382">
        <f>E586</f>
        <v>1110</v>
      </c>
      <c r="F609" s="322"/>
      <c r="G609" s="319">
        <f t="shared" si="54"/>
        <v>0</v>
      </c>
      <c r="H609" s="319">
        <f t="shared" si="54"/>
        <v>0</v>
      </c>
      <c r="I609" s="382">
        <f>I586</f>
        <v>1215</v>
      </c>
      <c r="J609" s="322"/>
      <c r="K609" s="319">
        <f>K660+K711</f>
        <v>0</v>
      </c>
      <c r="M609" s="84">
        <f>-(I609/100)*D609</f>
        <v>0</v>
      </c>
    </row>
    <row r="610" spans="1:13">
      <c r="A610" s="307" t="s">
        <v>393</v>
      </c>
      <c r="B610" s="1"/>
      <c r="C610" s="317">
        <f t="shared" si="53"/>
        <v>0</v>
      </c>
      <c r="D610" s="317">
        <f t="shared" si="53"/>
        <v>0</v>
      </c>
      <c r="E610" s="382">
        <f>E591</f>
        <v>18.149999999999999</v>
      </c>
      <c r="F610" s="322"/>
      <c r="G610" s="319">
        <f t="shared" si="54"/>
        <v>0</v>
      </c>
      <c r="H610" s="319">
        <f t="shared" si="54"/>
        <v>0</v>
      </c>
      <c r="I610" s="382">
        <f>I591</f>
        <v>19.87</v>
      </c>
      <c r="J610" s="322"/>
      <c r="K610" s="319">
        <f>K661+K712</f>
        <v>0</v>
      </c>
      <c r="M610" s="84">
        <f>-(I610/100)*D610</f>
        <v>0</v>
      </c>
    </row>
    <row r="611" spans="1:13">
      <c r="A611" s="307" t="s">
        <v>394</v>
      </c>
      <c r="B611" s="1"/>
      <c r="C611" s="317"/>
      <c r="D611" s="317"/>
      <c r="E611" s="382"/>
      <c r="F611" s="322"/>
      <c r="G611" s="319"/>
      <c r="H611" s="319"/>
      <c r="I611" s="382"/>
      <c r="J611" s="322"/>
      <c r="K611" s="319"/>
    </row>
    <row r="612" spans="1:13">
      <c r="A612" s="307" t="s">
        <v>455</v>
      </c>
      <c r="B612" s="1"/>
      <c r="C612" s="317">
        <f t="shared" ref="C612:D616" si="55">C663+C714</f>
        <v>40</v>
      </c>
      <c r="D612" s="317">
        <f t="shared" si="55"/>
        <v>39</v>
      </c>
      <c r="E612" s="382">
        <f>E593</f>
        <v>18.149999999999999</v>
      </c>
      <c r="F612" s="322"/>
      <c r="G612" s="319">
        <f t="shared" ref="G612:H616" si="56">G663+G714</f>
        <v>-7</v>
      </c>
      <c r="H612" s="319">
        <f t="shared" si="56"/>
        <v>-7</v>
      </c>
      <c r="I612" s="382">
        <f>I593</f>
        <v>19.87</v>
      </c>
      <c r="J612" s="322"/>
      <c r="K612" s="319">
        <f>K663+K714</f>
        <v>-8</v>
      </c>
      <c r="M612" s="84">
        <f>-(I612/100)*D612</f>
        <v>-7.7493000000000007</v>
      </c>
    </row>
    <row r="613" spans="1:13">
      <c r="A613" s="307" t="s">
        <v>456</v>
      </c>
      <c r="B613" s="1"/>
      <c r="C613" s="317">
        <f t="shared" si="55"/>
        <v>0</v>
      </c>
      <c r="D613" s="317">
        <f t="shared" si="55"/>
        <v>0</v>
      </c>
      <c r="E613" s="382">
        <f>E594</f>
        <v>12.4</v>
      </c>
      <c r="F613" s="322"/>
      <c r="G613" s="319">
        <f t="shared" si="56"/>
        <v>0</v>
      </c>
      <c r="H613" s="319">
        <f t="shared" si="56"/>
        <v>0</v>
      </c>
      <c r="I613" s="382">
        <f>I594</f>
        <v>13.64</v>
      </c>
      <c r="J613" s="322"/>
      <c r="K613" s="319">
        <f>K664+K715</f>
        <v>0</v>
      </c>
      <c r="M613" s="84">
        <f>-(I613/100)*D613</f>
        <v>0</v>
      </c>
    </row>
    <row r="614" spans="1:13">
      <c r="A614" s="307" t="s">
        <v>457</v>
      </c>
      <c r="B614" s="1"/>
      <c r="C614" s="317">
        <f t="shared" si="55"/>
        <v>0</v>
      </c>
      <c r="D614" s="317">
        <f t="shared" si="55"/>
        <v>0</v>
      </c>
      <c r="E614" s="382">
        <f>E595</f>
        <v>9.65</v>
      </c>
      <c r="F614" s="322"/>
      <c r="G614" s="319">
        <f t="shared" si="56"/>
        <v>0</v>
      </c>
      <c r="H614" s="319">
        <f t="shared" si="56"/>
        <v>0</v>
      </c>
      <c r="I614" s="382">
        <f>I595</f>
        <v>10.62</v>
      </c>
      <c r="J614" s="322"/>
      <c r="K614" s="319">
        <f>K665+K716</f>
        <v>0</v>
      </c>
      <c r="M614" s="84">
        <f>-(I614/100)*D614</f>
        <v>0</v>
      </c>
    </row>
    <row r="615" spans="1:13">
      <c r="A615" s="307" t="s">
        <v>468</v>
      </c>
      <c r="B615" s="1"/>
      <c r="C615" s="317">
        <f t="shared" si="55"/>
        <v>0</v>
      </c>
      <c r="D615" s="317">
        <f t="shared" si="55"/>
        <v>0</v>
      </c>
      <c r="E615" s="351">
        <f>E596</f>
        <v>54.45</v>
      </c>
      <c r="F615" s="322"/>
      <c r="G615" s="319">
        <f t="shared" si="56"/>
        <v>0</v>
      </c>
      <c r="H615" s="319">
        <f t="shared" si="56"/>
        <v>0</v>
      </c>
      <c r="I615" s="351">
        <f>I596</f>
        <v>59.61</v>
      </c>
      <c r="J615" s="322"/>
      <c r="K615" s="319">
        <f>K666+K717</f>
        <v>0</v>
      </c>
      <c r="M615" s="84">
        <f>-(I615/100)*D615</f>
        <v>0</v>
      </c>
    </row>
    <row r="616" spans="1:13">
      <c r="A616" s="307" t="s">
        <v>469</v>
      </c>
      <c r="B616" s="1"/>
      <c r="C616" s="317">
        <f t="shared" si="55"/>
        <v>0</v>
      </c>
      <c r="D616" s="317">
        <f t="shared" si="55"/>
        <v>0</v>
      </c>
      <c r="E616" s="351">
        <f>E597</f>
        <v>108.9</v>
      </c>
      <c r="F616" s="322"/>
      <c r="G616" s="319">
        <f t="shared" si="56"/>
        <v>0</v>
      </c>
      <c r="H616" s="319">
        <f t="shared" si="56"/>
        <v>0</v>
      </c>
      <c r="I616" s="351">
        <f>I597</f>
        <v>119.22</v>
      </c>
      <c r="J616" s="322"/>
      <c r="K616" s="319">
        <f>K667+K718</f>
        <v>0</v>
      </c>
      <c r="M616" s="84">
        <f>-(I616/100)*D616</f>
        <v>0</v>
      </c>
    </row>
    <row r="617" spans="1:13">
      <c r="A617" s="307" t="s">
        <v>465</v>
      </c>
      <c r="B617" s="1"/>
      <c r="C617" s="317"/>
      <c r="D617" s="317"/>
      <c r="E617" s="335"/>
      <c r="F617" s="322"/>
      <c r="G617" s="319"/>
      <c r="H617" s="319"/>
      <c r="I617" s="335"/>
      <c r="J617" s="322"/>
      <c r="K617" s="319"/>
    </row>
    <row r="618" spans="1:13">
      <c r="A618" s="307" t="s">
        <v>460</v>
      </c>
      <c r="B618" s="1"/>
      <c r="C618" s="317">
        <f>C669+C720</f>
        <v>0</v>
      </c>
      <c r="D618" s="317">
        <f>D669+D720</f>
        <v>0</v>
      </c>
      <c r="E618" s="361">
        <f>E599</f>
        <v>-18.149999999999999</v>
      </c>
      <c r="F618" s="322"/>
      <c r="G618" s="319">
        <f>G669+G720</f>
        <v>0</v>
      </c>
      <c r="H618" s="319">
        <f>H669+H720</f>
        <v>0</v>
      </c>
      <c r="I618" s="361">
        <f>I599</f>
        <v>-19.87</v>
      </c>
      <c r="J618" s="322"/>
      <c r="K618" s="319">
        <f>K669+K720</f>
        <v>0</v>
      </c>
      <c r="M618" s="84">
        <f>-(I618/100)*D618</f>
        <v>0</v>
      </c>
    </row>
    <row r="619" spans="1:13">
      <c r="A619" s="307" t="s">
        <v>466</v>
      </c>
      <c r="B619" s="1"/>
      <c r="C619" s="317">
        <f>C670+C721</f>
        <v>0</v>
      </c>
      <c r="D619" s="317">
        <f>D670+D721</f>
        <v>0</v>
      </c>
      <c r="E619" s="361">
        <f>E600</f>
        <v>-18.149999999999999</v>
      </c>
      <c r="F619" s="322"/>
      <c r="G619" s="319">
        <f>G670+G721</f>
        <v>0</v>
      </c>
      <c r="H619" s="319">
        <f>H670+H721</f>
        <v>0</v>
      </c>
      <c r="I619" s="361">
        <f>I600</f>
        <v>-19.87</v>
      </c>
      <c r="J619" s="322"/>
      <c r="K619" s="319">
        <f>K670+K721</f>
        <v>0</v>
      </c>
      <c r="M619" s="84">
        <f>-(I619/100)*D619</f>
        <v>0</v>
      </c>
    </row>
    <row r="620" spans="1:13">
      <c r="A620" s="321" t="s">
        <v>429</v>
      </c>
      <c r="B620" s="1"/>
      <c r="C620" s="317"/>
      <c r="D620" s="317"/>
      <c r="E620" s="382"/>
      <c r="F620" s="319"/>
      <c r="G620" s="319"/>
      <c r="H620" s="319"/>
      <c r="I620" s="382"/>
      <c r="J620" s="319"/>
      <c r="K620" s="319"/>
    </row>
    <row r="621" spans="1:13">
      <c r="A621" s="307" t="s">
        <v>467</v>
      </c>
      <c r="B621" s="1"/>
      <c r="C621" s="317">
        <f t="shared" ref="C621:D626" si="57">C672+C723</f>
        <v>38079</v>
      </c>
      <c r="D621" s="317">
        <f t="shared" si="57"/>
        <v>36727</v>
      </c>
      <c r="E621" s="383">
        <f>E602</f>
        <v>4.9909999999999997</v>
      </c>
      <c r="F621" s="319" t="s">
        <v>377</v>
      </c>
      <c r="G621" s="319">
        <f t="shared" ref="G621:H626" si="58">G672+G723</f>
        <v>-19</v>
      </c>
      <c r="H621" s="319">
        <f t="shared" si="58"/>
        <v>-18</v>
      </c>
      <c r="I621" s="383">
        <f>I602</f>
        <v>5.3710000000000004</v>
      </c>
      <c r="J621" s="319" t="s">
        <v>377</v>
      </c>
      <c r="K621" s="319">
        <f t="shared" ref="K621:K626" si="59">K672+K723</f>
        <v>-20</v>
      </c>
      <c r="M621" s="84">
        <f>-((I621/100)*D621)/100</f>
        <v>-19.726071700000002</v>
      </c>
    </row>
    <row r="622" spans="1:13">
      <c r="A622" s="321" t="s">
        <v>403</v>
      </c>
      <c r="B622" s="1"/>
      <c r="C622" s="317">
        <f t="shared" si="57"/>
        <v>0</v>
      </c>
      <c r="D622" s="317">
        <f t="shared" si="57"/>
        <v>0</v>
      </c>
      <c r="E622" s="373">
        <f>E603</f>
        <v>45</v>
      </c>
      <c r="F622" s="319" t="s">
        <v>377</v>
      </c>
      <c r="G622" s="319">
        <f t="shared" si="58"/>
        <v>0</v>
      </c>
      <c r="H622" s="319">
        <f t="shared" si="58"/>
        <v>0</v>
      </c>
      <c r="I622" s="373">
        <f>I603</f>
        <v>45</v>
      </c>
      <c r="J622" s="321" t="s">
        <v>377</v>
      </c>
      <c r="K622" s="319">
        <f t="shared" si="59"/>
        <v>0</v>
      </c>
      <c r="M622" s="84">
        <f>-((I622/100)*D622)/100</f>
        <v>0</v>
      </c>
    </row>
    <row r="623" spans="1:13">
      <c r="A623" s="321" t="s">
        <v>446</v>
      </c>
      <c r="B623" s="1"/>
      <c r="C623" s="317">
        <f t="shared" si="57"/>
        <v>12</v>
      </c>
      <c r="D623" s="317">
        <f t="shared" si="57"/>
        <v>13</v>
      </c>
      <c r="E623" s="296">
        <v>60</v>
      </c>
      <c r="F623" s="362" t="s">
        <v>31</v>
      </c>
      <c r="G623" s="319">
        <f t="shared" si="58"/>
        <v>720</v>
      </c>
      <c r="H623" s="319">
        <f t="shared" si="58"/>
        <v>780</v>
      </c>
      <c r="I623" s="296">
        <v>60</v>
      </c>
      <c r="J623" s="1"/>
      <c r="K623" s="319">
        <f t="shared" si="59"/>
        <v>780</v>
      </c>
      <c r="M623" s="84">
        <f>I623*D623</f>
        <v>780</v>
      </c>
    </row>
    <row r="624" spans="1:13">
      <c r="A624" s="321" t="s">
        <v>447</v>
      </c>
      <c r="B624" s="1"/>
      <c r="C624" s="317">
        <f t="shared" si="57"/>
        <v>280</v>
      </c>
      <c r="D624" s="317">
        <f t="shared" si="57"/>
        <v>270</v>
      </c>
      <c r="E624" s="337">
        <v>-30</v>
      </c>
      <c r="F624" s="319" t="s">
        <v>377</v>
      </c>
      <c r="G624" s="319">
        <f t="shared" si="58"/>
        <v>-84</v>
      </c>
      <c r="H624" s="319">
        <f t="shared" si="58"/>
        <v>-81</v>
      </c>
      <c r="I624" s="337">
        <v>-30</v>
      </c>
      <c r="J624" s="319" t="s">
        <v>377</v>
      </c>
      <c r="K624" s="319">
        <f t="shared" si="59"/>
        <v>-81</v>
      </c>
      <c r="M624" s="84">
        <f>(I624/100)*D624</f>
        <v>-81</v>
      </c>
    </row>
    <row r="625" spans="1:16">
      <c r="A625" s="1" t="s">
        <v>384</v>
      </c>
      <c r="B625" s="1"/>
      <c r="C625" s="317">
        <f t="shared" si="57"/>
        <v>165066044</v>
      </c>
      <c r="D625" s="317">
        <f t="shared" si="57"/>
        <v>151116862.53785235</v>
      </c>
      <c r="E625" s="328"/>
      <c r="F625" s="2"/>
      <c r="G625" s="2">
        <f t="shared" si="58"/>
        <v>10012337</v>
      </c>
      <c r="H625" s="2">
        <f t="shared" si="58"/>
        <v>9177077</v>
      </c>
      <c r="I625" s="2"/>
      <c r="J625" s="321"/>
      <c r="K625" s="2">
        <f t="shared" si="59"/>
        <v>9907526</v>
      </c>
      <c r="M625" s="84">
        <f>SUM(M582:M624)</f>
        <v>9907528.0426483005</v>
      </c>
      <c r="P625" s="274"/>
    </row>
    <row r="626" spans="1:16">
      <c r="A626" s="1" t="s">
        <v>366</v>
      </c>
      <c r="B626" s="1"/>
      <c r="C626" s="338">
        <f t="shared" si="57"/>
        <v>2967000</v>
      </c>
      <c r="D626" s="338">
        <f t="shared" si="57"/>
        <v>0</v>
      </c>
      <c r="E626" s="307"/>
      <c r="F626" s="307"/>
      <c r="G626" s="308">
        <f t="shared" si="58"/>
        <v>128000.00000000003</v>
      </c>
      <c r="H626" s="308">
        <f t="shared" si="58"/>
        <v>0</v>
      </c>
      <c r="I626" s="307"/>
      <c r="J626" s="307"/>
      <c r="K626" s="308">
        <f t="shared" si="59"/>
        <v>0</v>
      </c>
    </row>
    <row r="627" spans="1:16" ht="16.5" thickBot="1">
      <c r="A627" s="1" t="s">
        <v>385</v>
      </c>
      <c r="B627" s="1"/>
      <c r="C627" s="364">
        <f>SUM(C625:C626)</f>
        <v>168033044</v>
      </c>
      <c r="D627" s="364">
        <f>SUM(D625:D626)</f>
        <v>151116862.53785235</v>
      </c>
      <c r="E627" s="340"/>
      <c r="F627" s="341"/>
      <c r="G627" s="342">
        <f>G625+G626</f>
        <v>10140337</v>
      </c>
      <c r="H627" s="342">
        <f>H625+H626</f>
        <v>9177077</v>
      </c>
      <c r="I627" s="340"/>
      <c r="J627" s="343"/>
      <c r="K627" s="342">
        <f>K625+K626</f>
        <v>9907526</v>
      </c>
      <c r="N627" s="3" t="s">
        <v>367</v>
      </c>
      <c r="O627" s="69" t="e">
        <f>#REF!*1000</f>
        <v>#REF!</v>
      </c>
    </row>
    <row r="628" spans="1:16" ht="16.5" thickTop="1">
      <c r="A628" s="1"/>
      <c r="B628" s="1"/>
      <c r="C628" s="26"/>
      <c r="D628" s="26"/>
      <c r="E628" s="349"/>
      <c r="F628" s="350"/>
      <c r="G628" s="320"/>
      <c r="H628" s="320"/>
      <c r="I628" s="384" t="s">
        <v>31</v>
      </c>
      <c r="J628" s="23"/>
      <c r="K628" s="270" t="s">
        <v>31</v>
      </c>
      <c r="N628" s="3" t="s">
        <v>265</v>
      </c>
      <c r="O628" s="69" t="e">
        <f>O627-K627</f>
        <v>#REF!</v>
      </c>
      <c r="P628" s="312" t="e">
        <f>(O627-K627)/(K627-K603-K623-K624)</f>
        <v>#REF!</v>
      </c>
    </row>
    <row r="629" spans="1:16">
      <c r="A629" s="291" t="s">
        <v>450</v>
      </c>
      <c r="B629" s="1"/>
      <c r="C629" s="21"/>
      <c r="D629" s="21"/>
      <c r="E629" s="335"/>
      <c r="F629" s="2"/>
      <c r="G629" s="2"/>
      <c r="H629" s="2"/>
      <c r="I629" s="335"/>
      <c r="J629" s="1"/>
      <c r="K629" s="2"/>
    </row>
    <row r="630" spans="1:16">
      <c r="A630" s="307" t="s">
        <v>198</v>
      </c>
      <c r="B630" s="1"/>
      <c r="C630" s="21"/>
      <c r="D630" s="21"/>
      <c r="E630" s="335"/>
      <c r="F630" s="2"/>
      <c r="G630" s="2"/>
      <c r="H630" s="2"/>
      <c r="I630" s="335"/>
      <c r="J630" s="1"/>
      <c r="K630" s="2"/>
      <c r="M630" s="84">
        <f>K627-H627</f>
        <v>730449</v>
      </c>
      <c r="N630" s="84"/>
      <c r="O630" s="344" t="e">
        <f>O628/(K585+K586+K591+K593+K594+K595+K596+K597+K599+K600)</f>
        <v>#REF!</v>
      </c>
      <c r="P630" s="235"/>
    </row>
    <row r="631" spans="1:16">
      <c r="A631" s="321"/>
      <c r="B631" s="1"/>
      <c r="C631" s="21"/>
      <c r="D631" s="21"/>
      <c r="E631" s="335"/>
      <c r="F631" s="2"/>
      <c r="G631" s="378"/>
      <c r="H631" s="378"/>
      <c r="I631" s="335"/>
      <c r="J631" s="1"/>
      <c r="K631" s="379"/>
      <c r="M631" s="327"/>
      <c r="N631" s="292">
        <v>0.46249872649158752</v>
      </c>
    </row>
    <row r="632" spans="1:16">
      <c r="A632" s="307" t="s">
        <v>452</v>
      </c>
      <c r="B632" s="1"/>
      <c r="C632" s="317"/>
      <c r="D632" s="317"/>
      <c r="E632" s="2" t="s">
        <v>31</v>
      </c>
      <c r="F632" s="2"/>
      <c r="G632" s="1"/>
      <c r="H632" s="1"/>
      <c r="I632" s="2" t="s">
        <v>31</v>
      </c>
      <c r="J632" s="1"/>
      <c r="K632" s="1"/>
    </row>
    <row r="633" spans="1:16">
      <c r="A633" s="307" t="s">
        <v>453</v>
      </c>
      <c r="B633" s="1"/>
      <c r="C633" s="317">
        <f>895</f>
        <v>895</v>
      </c>
      <c r="D633" s="317">
        <v>894</v>
      </c>
      <c r="E633" s="335">
        <v>0</v>
      </c>
      <c r="F633" s="322"/>
      <c r="G633" s="319">
        <f>ROUND(E633*$C633,0)</f>
        <v>0</v>
      </c>
      <c r="H633" s="319">
        <f>ROUND(E633*$D633,0)</f>
        <v>0</v>
      </c>
      <c r="I633" s="335">
        <f>$I$582</f>
        <v>0</v>
      </c>
      <c r="J633" s="322"/>
      <c r="K633" s="319">
        <f>ROUND(I633*$D633,0)</f>
        <v>0</v>
      </c>
    </row>
    <row r="634" spans="1:16">
      <c r="A634" s="307" t="s">
        <v>454</v>
      </c>
      <c r="B634" s="1"/>
      <c r="C634" s="317"/>
      <c r="D634" s="317"/>
      <c r="E634" s="335"/>
      <c r="F634" s="322"/>
      <c r="G634" s="319"/>
      <c r="H634" s="319"/>
      <c r="I634" s="335"/>
      <c r="J634" s="322"/>
      <c r="K634" s="319"/>
    </row>
    <row r="635" spans="1:16">
      <c r="A635" s="307" t="s">
        <v>455</v>
      </c>
      <c r="B635" s="1"/>
      <c r="C635" s="317">
        <f>3431</f>
        <v>3431</v>
      </c>
      <c r="D635" s="317">
        <v>3428</v>
      </c>
      <c r="E635" s="335">
        <v>0</v>
      </c>
      <c r="F635" s="322"/>
      <c r="G635" s="319">
        <f>ROUND(E635*$C635,0)</f>
        <v>0</v>
      </c>
      <c r="H635" s="319">
        <f>ROUND(E635*$D635,0)</f>
        <v>0</v>
      </c>
      <c r="I635" s="335">
        <f>$I$584</f>
        <v>0</v>
      </c>
      <c r="J635" s="322"/>
      <c r="K635" s="319">
        <f>ROUND(I635*$D635,0)</f>
        <v>0</v>
      </c>
    </row>
    <row r="636" spans="1:16">
      <c r="A636" s="307" t="s">
        <v>456</v>
      </c>
      <c r="B636" s="1"/>
      <c r="C636" s="317">
        <f>353</f>
        <v>353</v>
      </c>
      <c r="D636" s="317">
        <v>353</v>
      </c>
      <c r="E636" s="335">
        <v>275</v>
      </c>
      <c r="F636" s="322"/>
      <c r="G636" s="319">
        <f>ROUND(E636*$C636,0)</f>
        <v>97075</v>
      </c>
      <c r="H636" s="319">
        <f>ROUND(E636*$D636,0)</f>
        <v>97075</v>
      </c>
      <c r="I636" s="335">
        <f>$I$585</f>
        <v>301</v>
      </c>
      <c r="J636" s="322"/>
      <c r="K636" s="319">
        <f>ROUND(I636*$D636,0)</f>
        <v>106253</v>
      </c>
    </row>
    <row r="637" spans="1:16">
      <c r="A637" s="307" t="s">
        <v>457</v>
      </c>
      <c r="B637" s="1"/>
      <c r="C637" s="317">
        <f>9</f>
        <v>9</v>
      </c>
      <c r="D637" s="317">
        <v>9</v>
      </c>
      <c r="E637" s="335">
        <v>1110</v>
      </c>
      <c r="F637" s="322"/>
      <c r="G637" s="319">
        <f>ROUND(E637*$C637,0)</f>
        <v>9990</v>
      </c>
      <c r="H637" s="319">
        <f>ROUND(E637*$D637,0)</f>
        <v>9990</v>
      </c>
      <c r="I637" s="335">
        <f>$I$586</f>
        <v>1215</v>
      </c>
      <c r="J637" s="322"/>
      <c r="K637" s="319">
        <f>ROUND(I637*$D637,0)</f>
        <v>10935</v>
      </c>
    </row>
    <row r="638" spans="1:16">
      <c r="A638" s="307" t="s">
        <v>365</v>
      </c>
      <c r="B638" s="1"/>
      <c r="C638" s="317">
        <f>SUM(C633:C637)</f>
        <v>4688</v>
      </c>
      <c r="D638" s="317">
        <v>4683.9852262627228</v>
      </c>
      <c r="E638" s="335"/>
      <c r="F638" s="322"/>
      <c r="G638" s="319"/>
      <c r="H638" s="319"/>
      <c r="I638" s="335"/>
      <c r="J638" s="322"/>
      <c r="K638" s="319"/>
    </row>
    <row r="639" spans="1:16">
      <c r="A639" s="307" t="s">
        <v>458</v>
      </c>
      <c r="B639" s="1"/>
      <c r="C639" s="317">
        <f>5792+21967+2495+65</f>
        <v>30319</v>
      </c>
      <c r="D639" s="317">
        <v>30293</v>
      </c>
      <c r="E639" s="335"/>
      <c r="F639" s="319"/>
      <c r="G639" s="319"/>
      <c r="H639" s="319"/>
      <c r="I639" s="335"/>
      <c r="J639" s="319"/>
      <c r="K639" s="319"/>
    </row>
    <row r="640" spans="1:16">
      <c r="A640" s="307" t="s">
        <v>104</v>
      </c>
      <c r="B640" s="1"/>
      <c r="C640" s="317">
        <f>966+3743+364+9</f>
        <v>5082</v>
      </c>
      <c r="D640" s="317">
        <v>5078</v>
      </c>
      <c r="E640" s="335"/>
      <c r="F640" s="319"/>
      <c r="G640" s="319"/>
      <c r="H640" s="319"/>
      <c r="I640" s="335"/>
      <c r="J640" s="319"/>
      <c r="K640" s="319"/>
    </row>
    <row r="641" spans="1:11">
      <c r="A641" s="307" t="s">
        <v>459</v>
      </c>
      <c r="B641" s="1"/>
      <c r="C641" s="317"/>
      <c r="D641" s="317"/>
      <c r="E641" s="335"/>
      <c r="F641" s="322"/>
      <c r="G641" s="319"/>
      <c r="H641" s="319"/>
      <c r="I641" s="335"/>
      <c r="J641" s="322"/>
      <c r="K641" s="319"/>
    </row>
    <row r="642" spans="1:11">
      <c r="A642" s="307" t="s">
        <v>460</v>
      </c>
      <c r="B642" s="1"/>
      <c r="C642" s="317">
        <f>3278</f>
        <v>3278</v>
      </c>
      <c r="D642" s="317">
        <v>2980</v>
      </c>
      <c r="E642" s="335">
        <v>18.149999999999999</v>
      </c>
      <c r="F642" s="322"/>
      <c r="G642" s="319">
        <f>ROUND(E642*$C642,0)</f>
        <v>59496</v>
      </c>
      <c r="H642" s="319">
        <f>ROUND(E642*$D642,0)</f>
        <v>54087</v>
      </c>
      <c r="I642" s="335">
        <f>$I$591</f>
        <v>19.87</v>
      </c>
      <c r="J642" s="322"/>
      <c r="K642" s="319">
        <f>ROUND(I642*$D642,0)</f>
        <v>59213</v>
      </c>
    </row>
    <row r="643" spans="1:11">
      <c r="A643" s="307" t="s">
        <v>461</v>
      </c>
      <c r="B643" s="1"/>
      <c r="C643" s="317"/>
      <c r="D643" s="317"/>
      <c r="E643" s="335"/>
      <c r="F643" s="322"/>
      <c r="G643" s="319"/>
      <c r="H643" s="319"/>
      <c r="I643" s="335"/>
      <c r="J643" s="322"/>
      <c r="K643" s="319"/>
    </row>
    <row r="644" spans="1:11">
      <c r="A644" s="307" t="s">
        <v>455</v>
      </c>
      <c r="B644" s="1"/>
      <c r="C644" s="317">
        <f>47509</f>
        <v>47509</v>
      </c>
      <c r="D644" s="317">
        <v>43184</v>
      </c>
      <c r="E644" s="335">
        <v>18.149999999999999</v>
      </c>
      <c r="F644" s="322"/>
      <c r="G644" s="319">
        <f>ROUND(E644*$C644,0)</f>
        <v>862288</v>
      </c>
      <c r="H644" s="319">
        <f>ROUND(E644*$D644,0)</f>
        <v>783790</v>
      </c>
      <c r="I644" s="335">
        <f>$I$593</f>
        <v>19.87</v>
      </c>
      <c r="J644" s="322"/>
      <c r="K644" s="319">
        <f>ROUND(I644*$D644,0)</f>
        <v>858066</v>
      </c>
    </row>
    <row r="645" spans="1:11">
      <c r="A645" s="307" t="s">
        <v>456</v>
      </c>
      <c r="B645" s="1"/>
      <c r="C645" s="317">
        <f>34331</f>
        <v>34331</v>
      </c>
      <c r="D645" s="317">
        <v>31206</v>
      </c>
      <c r="E645" s="335">
        <v>12.4</v>
      </c>
      <c r="F645" s="322"/>
      <c r="G645" s="319">
        <f>ROUND(E645*$C645,0)</f>
        <v>425704</v>
      </c>
      <c r="H645" s="319">
        <f>ROUND(E645*$D645,0)</f>
        <v>386954</v>
      </c>
      <c r="I645" s="335">
        <f>$I$594</f>
        <v>13.64</v>
      </c>
      <c r="J645" s="322"/>
      <c r="K645" s="319">
        <f>ROUND(I645*$D645,0)</f>
        <v>425650</v>
      </c>
    </row>
    <row r="646" spans="1:11">
      <c r="A646" s="307" t="s">
        <v>457</v>
      </c>
      <c r="B646" s="1"/>
      <c r="C646" s="317">
        <f>3399</f>
        <v>3399</v>
      </c>
      <c r="D646" s="317">
        <v>3090</v>
      </c>
      <c r="E646" s="335">
        <v>9.65</v>
      </c>
      <c r="F646" s="322"/>
      <c r="G646" s="319">
        <f>ROUND(E646*$C646,0)</f>
        <v>32800</v>
      </c>
      <c r="H646" s="319">
        <f>ROUND(E646*$D646,0)</f>
        <v>29819</v>
      </c>
      <c r="I646" s="335">
        <f>$I$595</f>
        <v>10.62</v>
      </c>
      <c r="J646" s="322"/>
      <c r="K646" s="319">
        <f>ROUND(I646*$D646,0)</f>
        <v>32816</v>
      </c>
    </row>
    <row r="647" spans="1:11">
      <c r="A647" s="307" t="s">
        <v>463</v>
      </c>
      <c r="B647" s="1"/>
      <c r="C647" s="317">
        <f>355</f>
        <v>355</v>
      </c>
      <c r="D647" s="317">
        <v>323</v>
      </c>
      <c r="E647" s="335">
        <v>54.45</v>
      </c>
      <c r="F647" s="322"/>
      <c r="G647" s="319">
        <f>ROUND(E647*$C647,0)</f>
        <v>19330</v>
      </c>
      <c r="H647" s="319">
        <f>ROUND(E647*$D647,0)</f>
        <v>17587</v>
      </c>
      <c r="I647" s="335">
        <f>$I$596</f>
        <v>59.61</v>
      </c>
      <c r="J647" s="322"/>
      <c r="K647" s="319">
        <f>ROUND(I647*$D647,0)</f>
        <v>19254</v>
      </c>
    </row>
    <row r="648" spans="1:11">
      <c r="A648" s="307" t="s">
        <v>464</v>
      </c>
      <c r="B648" s="1"/>
      <c r="C648" s="317">
        <f>887</f>
        <v>887</v>
      </c>
      <c r="D648" s="317">
        <v>806</v>
      </c>
      <c r="E648" s="335">
        <v>108.9</v>
      </c>
      <c r="F648" s="322"/>
      <c r="G648" s="319">
        <f>ROUND(E648*$C648,0)</f>
        <v>96594</v>
      </c>
      <c r="H648" s="319">
        <f>ROUND(E648*$D648,0)</f>
        <v>87773</v>
      </c>
      <c r="I648" s="335">
        <f>$I$597</f>
        <v>119.22</v>
      </c>
      <c r="J648" s="322"/>
      <c r="K648" s="319">
        <f>ROUND(I648*$D648,0)</f>
        <v>96091</v>
      </c>
    </row>
    <row r="649" spans="1:11">
      <c r="A649" s="307" t="s">
        <v>465</v>
      </c>
      <c r="B649" s="1"/>
      <c r="C649" s="317"/>
      <c r="D649" s="317"/>
      <c r="E649" s="335"/>
      <c r="F649" s="322"/>
      <c r="G649" s="319"/>
      <c r="H649" s="319"/>
      <c r="I649" s="335"/>
      <c r="J649" s="322"/>
      <c r="K649" s="319"/>
    </row>
    <row r="650" spans="1:11">
      <c r="A650" s="307" t="s">
        <v>460</v>
      </c>
      <c r="B650" s="1"/>
      <c r="C650" s="317">
        <f>510</f>
        <v>510</v>
      </c>
      <c r="D650" s="317">
        <f>ROUND(($D$676/$C$676)*C650,0)</f>
        <v>464</v>
      </c>
      <c r="E650" s="361">
        <f>-E642</f>
        <v>-18.149999999999999</v>
      </c>
      <c r="F650" s="322"/>
      <c r="G650" s="319">
        <f>ROUND(E650*$C650,0)</f>
        <v>-9257</v>
      </c>
      <c r="H650" s="319">
        <f>ROUND(E650*$D650,0)</f>
        <v>-8422</v>
      </c>
      <c r="I650" s="361">
        <f>-I642</f>
        <v>-19.87</v>
      </c>
      <c r="J650" s="322"/>
      <c r="K650" s="319">
        <f>ROUND(I650*$D650,0)</f>
        <v>-9220</v>
      </c>
    </row>
    <row r="651" spans="1:11">
      <c r="A651" s="307" t="s">
        <v>466</v>
      </c>
      <c r="B651" s="1"/>
      <c r="C651" s="317">
        <f>2023</f>
        <v>2023</v>
      </c>
      <c r="D651" s="317">
        <f>ROUND(($D$676/$C$676)*C651,0)</f>
        <v>1839</v>
      </c>
      <c r="E651" s="361">
        <f>-E644</f>
        <v>-18.149999999999999</v>
      </c>
      <c r="F651" s="322"/>
      <c r="G651" s="319">
        <f>ROUND(E651*$C651,0)</f>
        <v>-36717</v>
      </c>
      <c r="H651" s="319">
        <f>ROUND(E651*$D651,0)</f>
        <v>-33378</v>
      </c>
      <c r="I651" s="361">
        <f>-I644</f>
        <v>-19.87</v>
      </c>
      <c r="J651" s="322"/>
      <c r="K651" s="319">
        <f>ROUND(I651*$D651,0)</f>
        <v>-36541</v>
      </c>
    </row>
    <row r="652" spans="1:11">
      <c r="A652" s="321" t="s">
        <v>429</v>
      </c>
      <c r="B652" s="1"/>
      <c r="C652" s="317"/>
      <c r="D652" s="317"/>
      <c r="E652" s="335"/>
      <c r="F652" s="319"/>
      <c r="G652" s="319"/>
      <c r="H652" s="319"/>
      <c r="I652" s="335"/>
      <c r="J652" s="319"/>
      <c r="K652" s="319"/>
    </row>
    <row r="653" spans="1:11">
      <c r="A653" s="307" t="s">
        <v>467</v>
      </c>
      <c r="B653" s="1"/>
      <c r="C653" s="317">
        <f>4946862+75987313+57989268+6739320</f>
        <v>145662763</v>
      </c>
      <c r="D653" s="317">
        <f>ROUND(($D$676/$C$676)*C653,0)</f>
        <v>132402479</v>
      </c>
      <c r="E653" s="380">
        <v>4.9909999999999997</v>
      </c>
      <c r="F653" s="319" t="s">
        <v>377</v>
      </c>
      <c r="G653" s="319">
        <f>ROUND(E653/100*$C653,0)</f>
        <v>7270029</v>
      </c>
      <c r="H653" s="319">
        <f>ROUND(E653/100*$D653,0)</f>
        <v>6608208</v>
      </c>
      <c r="I653" s="380">
        <f>$I$602</f>
        <v>5.3710000000000004</v>
      </c>
      <c r="J653" s="319" t="s">
        <v>377</v>
      </c>
      <c r="K653" s="319">
        <f>ROUND(I653/100*$D653,0)</f>
        <v>7111337</v>
      </c>
    </row>
    <row r="654" spans="1:11">
      <c r="A654" s="321" t="s">
        <v>403</v>
      </c>
      <c r="B654" s="1"/>
      <c r="C654" s="273">
        <f>1187+21863+3555</f>
        <v>26605</v>
      </c>
      <c r="D654" s="317">
        <f>ROUND(($D$676/$C$676)*C654,0)</f>
        <v>24183</v>
      </c>
      <c r="E654" s="337">
        <v>45</v>
      </c>
      <c r="F654" s="321" t="s">
        <v>377</v>
      </c>
      <c r="G654" s="319">
        <f>ROUND(E654*$C654/100,0)</f>
        <v>11972</v>
      </c>
      <c r="H654" s="319">
        <f>ROUND(E654*$D654/100,0)</f>
        <v>10882</v>
      </c>
      <c r="I654" s="337">
        <f>$I$603</f>
        <v>45</v>
      </c>
      <c r="J654" s="321" t="s">
        <v>377</v>
      </c>
      <c r="K654" s="319">
        <f>ROUND(I654*$D654/100,0)</f>
        <v>10882</v>
      </c>
    </row>
    <row r="655" spans="1:11">
      <c r="A655" s="358" t="s">
        <v>404</v>
      </c>
      <c r="B655" s="1"/>
      <c r="C655" s="317"/>
      <c r="D655" s="317"/>
      <c r="E655" s="330">
        <v>-0.01</v>
      </c>
      <c r="F655" s="2"/>
      <c r="G655" s="319"/>
      <c r="H655" s="319"/>
      <c r="I655" s="330">
        <f>$I$604</f>
        <v>-0.01</v>
      </c>
      <c r="J655" s="1"/>
      <c r="K655" s="319"/>
    </row>
    <row r="656" spans="1:11">
      <c r="A656" s="307" t="s">
        <v>393</v>
      </c>
      <c r="B656" s="1"/>
      <c r="C656" s="317">
        <v>0</v>
      </c>
      <c r="D656" s="317">
        <v>0</v>
      </c>
      <c r="E656" s="382">
        <f>E633</f>
        <v>0</v>
      </c>
      <c r="F656" s="322"/>
      <c r="G656" s="319">
        <f>ROUND(E656*$C656*$E$604,0)</f>
        <v>0</v>
      </c>
      <c r="H656" s="319">
        <f>ROUND(E656*$D656*$E$604,0)</f>
        <v>0</v>
      </c>
      <c r="I656" s="382">
        <f>I633</f>
        <v>0</v>
      </c>
      <c r="J656" s="322"/>
      <c r="K656" s="319">
        <f>ROUND(I656*$D656*$E$604,0)</f>
        <v>0</v>
      </c>
    </row>
    <row r="657" spans="1:11">
      <c r="A657" s="307" t="s">
        <v>394</v>
      </c>
      <c r="B657" s="1"/>
      <c r="C657" s="317"/>
      <c r="D657" s="317"/>
      <c r="E657" s="382"/>
      <c r="F657" s="322"/>
      <c r="G657" s="319"/>
      <c r="H657" s="319"/>
      <c r="I657" s="382"/>
      <c r="J657" s="322"/>
      <c r="K657" s="319"/>
    </row>
    <row r="658" spans="1:11">
      <c r="A658" s="307" t="s">
        <v>455</v>
      </c>
      <c r="B658" s="1"/>
      <c r="C658" s="317">
        <v>0</v>
      </c>
      <c r="D658" s="317">
        <v>0</v>
      </c>
      <c r="E658" s="382">
        <f>E635</f>
        <v>0</v>
      </c>
      <c r="F658" s="322"/>
      <c r="G658" s="319">
        <f>ROUND(E658*$C658*$E$604,0)</f>
        <v>0</v>
      </c>
      <c r="H658" s="319">
        <f>ROUND(E658*$D658*$E$604,0)</f>
        <v>0</v>
      </c>
      <c r="I658" s="382">
        <f>I635</f>
        <v>0</v>
      </c>
      <c r="J658" s="322"/>
      <c r="K658" s="319">
        <f>ROUND(I658*$D658*$E$604,0)</f>
        <v>0</v>
      </c>
    </row>
    <row r="659" spans="1:11">
      <c r="A659" s="307" t="s">
        <v>456</v>
      </c>
      <c r="B659" s="1"/>
      <c r="C659" s="317">
        <v>0</v>
      </c>
      <c r="D659" s="317">
        <v>0</v>
      </c>
      <c r="E659" s="382">
        <f>E636</f>
        <v>275</v>
      </c>
      <c r="F659" s="322"/>
      <c r="G659" s="319">
        <f>ROUND(E659*$C659*$E$604,0)</f>
        <v>0</v>
      </c>
      <c r="H659" s="319">
        <f>ROUND(E659*$D659*$E$604,0)</f>
        <v>0</v>
      </c>
      <c r="I659" s="382">
        <f>I636</f>
        <v>301</v>
      </c>
      <c r="J659" s="322"/>
      <c r="K659" s="319">
        <f>ROUND(I659*$D659*$E$604,0)</f>
        <v>0</v>
      </c>
    </row>
    <row r="660" spans="1:11">
      <c r="A660" s="307" t="s">
        <v>457</v>
      </c>
      <c r="B660" s="1"/>
      <c r="C660" s="317">
        <v>0</v>
      </c>
      <c r="D660" s="317">
        <v>0</v>
      </c>
      <c r="E660" s="382">
        <f>E637</f>
        <v>1110</v>
      </c>
      <c r="F660" s="322"/>
      <c r="G660" s="319">
        <f>ROUND(E660*$C660*$E$604,0)</f>
        <v>0</v>
      </c>
      <c r="H660" s="319">
        <f>ROUND(E660*$D660*$E$604,0)</f>
        <v>0</v>
      </c>
      <c r="I660" s="382">
        <f>I637</f>
        <v>1215</v>
      </c>
      <c r="J660" s="322"/>
      <c r="K660" s="319">
        <f>ROUND(I660*$D660*$E$604,0)</f>
        <v>0</v>
      </c>
    </row>
    <row r="661" spans="1:11">
      <c r="A661" s="307" t="s">
        <v>393</v>
      </c>
      <c r="B661" s="1"/>
      <c r="C661" s="317">
        <v>0</v>
      </c>
      <c r="D661" s="317">
        <v>0</v>
      </c>
      <c r="E661" s="382">
        <f>E642</f>
        <v>18.149999999999999</v>
      </c>
      <c r="F661" s="322"/>
      <c r="G661" s="319">
        <f>ROUND(E661*$C661*$E$604,0)</f>
        <v>0</v>
      </c>
      <c r="H661" s="319">
        <f>ROUND(E661*$D661*$E$604,0)</f>
        <v>0</v>
      </c>
      <c r="I661" s="382">
        <f>I642</f>
        <v>19.87</v>
      </c>
      <c r="J661" s="322"/>
      <c r="K661" s="319">
        <f>ROUND(I661*$D661*$E$604,0)</f>
        <v>0</v>
      </c>
    </row>
    <row r="662" spans="1:11">
      <c r="A662" s="307" t="s">
        <v>394</v>
      </c>
      <c r="B662" s="1"/>
      <c r="C662" s="317"/>
      <c r="D662" s="317"/>
      <c r="E662" s="382"/>
      <c r="F662" s="322"/>
      <c r="G662" s="319"/>
      <c r="H662" s="319"/>
      <c r="I662" s="382"/>
      <c r="J662" s="322"/>
      <c r="K662" s="319"/>
    </row>
    <row r="663" spans="1:11">
      <c r="A663" s="307" t="s">
        <v>455</v>
      </c>
      <c r="B663" s="1"/>
      <c r="C663" s="317">
        <v>0</v>
      </c>
      <c r="D663" s="317">
        <f>ROUND(($D$676/$C$676)*C663,0)</f>
        <v>0</v>
      </c>
      <c r="E663" s="382">
        <f>E644</f>
        <v>18.149999999999999</v>
      </c>
      <c r="F663" s="322"/>
      <c r="G663" s="319">
        <f>ROUND(E663*$C663*$E$604,0)</f>
        <v>0</v>
      </c>
      <c r="H663" s="319">
        <f>ROUND(E663*$D663*$E$604,0)</f>
        <v>0</v>
      </c>
      <c r="I663" s="382">
        <f>I644</f>
        <v>19.87</v>
      </c>
      <c r="J663" s="322"/>
      <c r="K663" s="319">
        <f>ROUND(I663*$D663*$E$604,0)</f>
        <v>0</v>
      </c>
    </row>
    <row r="664" spans="1:11">
      <c r="A664" s="307" t="s">
        <v>456</v>
      </c>
      <c r="B664" s="1"/>
      <c r="C664" s="317">
        <v>0</v>
      </c>
      <c r="D664" s="317">
        <f>ROUND(($D$676/$C$676)*C664,0)</f>
        <v>0</v>
      </c>
      <c r="E664" s="382">
        <f>E645</f>
        <v>12.4</v>
      </c>
      <c r="F664" s="322"/>
      <c r="G664" s="319">
        <f>ROUND(E664*$C664*$E$604,0)</f>
        <v>0</v>
      </c>
      <c r="H664" s="319">
        <f>ROUND(E664*$D664*$E$604,0)</f>
        <v>0</v>
      </c>
      <c r="I664" s="382">
        <f>I645</f>
        <v>13.64</v>
      </c>
      <c r="J664" s="322"/>
      <c r="K664" s="319">
        <f>ROUND(I664*$D664*$E$604,0)</f>
        <v>0</v>
      </c>
    </row>
    <row r="665" spans="1:11">
      <c r="A665" s="307" t="s">
        <v>457</v>
      </c>
      <c r="B665" s="1"/>
      <c r="C665" s="317">
        <v>0</v>
      </c>
      <c r="D665" s="317">
        <f>ROUND(($D$676/$C$676)*C665,0)</f>
        <v>0</v>
      </c>
      <c r="E665" s="382">
        <f>E646</f>
        <v>9.65</v>
      </c>
      <c r="F665" s="322"/>
      <c r="G665" s="319">
        <f>ROUND(E665*$C665*$E$604,0)</f>
        <v>0</v>
      </c>
      <c r="H665" s="319">
        <f>ROUND(E665*$D665*$E$604,0)</f>
        <v>0</v>
      </c>
      <c r="I665" s="382">
        <f>I646</f>
        <v>10.62</v>
      </c>
      <c r="J665" s="322"/>
      <c r="K665" s="319">
        <f>ROUND(I665*$D665*$E$604,0)</f>
        <v>0</v>
      </c>
    </row>
    <row r="666" spans="1:11">
      <c r="A666" s="307" t="s">
        <v>468</v>
      </c>
      <c r="B666" s="1"/>
      <c r="C666" s="317">
        <v>0</v>
      </c>
      <c r="D666" s="317">
        <v>0</v>
      </c>
      <c r="E666" s="351">
        <f>E647</f>
        <v>54.45</v>
      </c>
      <c r="F666" s="322"/>
      <c r="G666" s="319">
        <f>ROUND(E666*$C666*$E$604,0)</f>
        <v>0</v>
      </c>
      <c r="H666" s="319">
        <f>ROUND(E666*$D666*$E$604,0)</f>
        <v>0</v>
      </c>
      <c r="I666" s="351">
        <f>I647</f>
        <v>59.61</v>
      </c>
      <c r="J666" s="322"/>
      <c r="K666" s="319">
        <f>ROUND(I666*$D666*$E$604,0)</f>
        <v>0</v>
      </c>
    </row>
    <row r="667" spans="1:11">
      <c r="A667" s="307" t="s">
        <v>469</v>
      </c>
      <c r="B667" s="1"/>
      <c r="C667" s="317">
        <v>0</v>
      </c>
      <c r="D667" s="317">
        <v>0</v>
      </c>
      <c r="E667" s="351">
        <f>E648</f>
        <v>108.9</v>
      </c>
      <c r="F667" s="322"/>
      <c r="G667" s="319">
        <f>ROUND(E667*$C667*$E$604,0)</f>
        <v>0</v>
      </c>
      <c r="H667" s="319">
        <f>ROUND(E667*$D667*$E$604,0)</f>
        <v>0</v>
      </c>
      <c r="I667" s="351">
        <f>I648</f>
        <v>119.22</v>
      </c>
      <c r="J667" s="322"/>
      <c r="K667" s="319">
        <f>ROUND(I667*$D667*$E$604,0)</f>
        <v>0</v>
      </c>
    </row>
    <row r="668" spans="1:11">
      <c r="A668" s="307" t="s">
        <v>465</v>
      </c>
      <c r="B668" s="1"/>
      <c r="C668" s="317"/>
      <c r="D668" s="317"/>
      <c r="E668" s="335"/>
      <c r="F668" s="322"/>
      <c r="G668" s="319"/>
      <c r="H668" s="319"/>
      <c r="I668" s="335"/>
      <c r="J668" s="322"/>
      <c r="K668" s="319"/>
    </row>
    <row r="669" spans="1:11">
      <c r="A669" s="307" t="s">
        <v>460</v>
      </c>
      <c r="B669" s="1"/>
      <c r="C669" s="317">
        <v>0</v>
      </c>
      <c r="D669" s="317">
        <f>ROUND(($D$676/$C$676)*C669,0)</f>
        <v>0</v>
      </c>
      <c r="E669" s="361">
        <f>E650</f>
        <v>-18.149999999999999</v>
      </c>
      <c r="F669" s="322"/>
      <c r="G669" s="319">
        <f>ROUND(E669*$C669*$E$604,0)</f>
        <v>0</v>
      </c>
      <c r="H669" s="319">
        <f>ROUND(E669*$D669*$E$604,0)</f>
        <v>0</v>
      </c>
      <c r="I669" s="361">
        <f>I650</f>
        <v>-19.87</v>
      </c>
      <c r="J669" s="322"/>
      <c r="K669" s="319">
        <f>ROUND(I669*$D669*$E$604,0)</f>
        <v>0</v>
      </c>
    </row>
    <row r="670" spans="1:11">
      <c r="A670" s="307" t="s">
        <v>466</v>
      </c>
      <c r="B670" s="1"/>
      <c r="C670" s="317">
        <v>0</v>
      </c>
      <c r="D670" s="317">
        <f>ROUND(($D$676/$C$676)*C670,0)</f>
        <v>0</v>
      </c>
      <c r="E670" s="361">
        <f>E651</f>
        <v>-18.149999999999999</v>
      </c>
      <c r="F670" s="322"/>
      <c r="G670" s="319">
        <f>ROUND(E670*$C670*$E$604,0)</f>
        <v>0</v>
      </c>
      <c r="H670" s="319">
        <f>ROUND(E670*$D670*$E$604,0)</f>
        <v>0</v>
      </c>
      <c r="I670" s="361">
        <f>I651</f>
        <v>-19.87</v>
      </c>
      <c r="J670" s="322"/>
      <c r="K670" s="319">
        <f>ROUND(I670*$D670*$E$604,0)</f>
        <v>0</v>
      </c>
    </row>
    <row r="671" spans="1:11">
      <c r="A671" s="321" t="s">
        <v>429</v>
      </c>
      <c r="B671" s="1"/>
      <c r="C671" s="317"/>
      <c r="D671" s="317"/>
      <c r="E671" s="382"/>
      <c r="F671" s="319"/>
      <c r="G671" s="319"/>
      <c r="H671" s="319"/>
      <c r="I671" s="382"/>
      <c r="J671" s="319"/>
      <c r="K671" s="319"/>
    </row>
    <row r="672" spans="1:11">
      <c r="A672" s="307" t="s">
        <v>467</v>
      </c>
      <c r="B672" s="1"/>
      <c r="C672" s="317">
        <v>0</v>
      </c>
      <c r="D672" s="317">
        <f>ROUND(($D$676/$C$676)*C672,0)</f>
        <v>0</v>
      </c>
      <c r="E672" s="383">
        <f>E653</f>
        <v>4.9909999999999997</v>
      </c>
      <c r="F672" s="319" t="s">
        <v>377</v>
      </c>
      <c r="G672" s="319">
        <f>ROUND(E672/100*$C672*$E$604,0)</f>
        <v>0</v>
      </c>
      <c r="H672" s="319">
        <f>ROUND(E672/100*$D672*$E$604,0)</f>
        <v>0</v>
      </c>
      <c r="I672" s="383">
        <f>I653</f>
        <v>5.3710000000000004</v>
      </c>
      <c r="J672" s="319" t="s">
        <v>377</v>
      </c>
      <c r="K672" s="319">
        <f>ROUND(I672/100*$D672*$E$604,0)</f>
        <v>0</v>
      </c>
    </row>
    <row r="673" spans="1:15">
      <c r="A673" s="321" t="s">
        <v>403</v>
      </c>
      <c r="B673" s="1"/>
      <c r="C673" s="317">
        <v>0</v>
      </c>
      <c r="D673" s="317">
        <f>ROUND(($D$676/$C$676)*C673,0)</f>
        <v>0</v>
      </c>
      <c r="E673" s="373">
        <f>E654</f>
        <v>45</v>
      </c>
      <c r="F673" s="319" t="s">
        <v>377</v>
      </c>
      <c r="G673" s="319">
        <f>ROUND(E673/100*$C673*$E$604,0)</f>
        <v>0</v>
      </c>
      <c r="H673" s="319">
        <f>ROUND(E673/100*$D673*$E$604,0)</f>
        <v>0</v>
      </c>
      <c r="I673" s="373">
        <f>I654</f>
        <v>45</v>
      </c>
      <c r="J673" s="321" t="s">
        <v>377</v>
      </c>
      <c r="K673" s="319">
        <f>ROUND(I673/100*$D673*$E$604,0)</f>
        <v>0</v>
      </c>
    </row>
    <row r="674" spans="1:15">
      <c r="A674" s="321" t="s">
        <v>446</v>
      </c>
      <c r="B674" s="1"/>
      <c r="C674" s="317">
        <v>0</v>
      </c>
      <c r="D674" s="317">
        <v>0</v>
      </c>
      <c r="E674" s="296">
        <v>60</v>
      </c>
      <c r="F674" s="362" t="s">
        <v>31</v>
      </c>
      <c r="G674" s="319">
        <f>ROUND(E674*$C674,0)</f>
        <v>0</v>
      </c>
      <c r="H674" s="319">
        <f>ROUND(E674*$D674,0)</f>
        <v>0</v>
      </c>
      <c r="I674" s="296">
        <f>$I$623</f>
        <v>60</v>
      </c>
      <c r="J674" s="1"/>
      <c r="K674" s="319">
        <f>ROUND(I674*$D674,0)</f>
        <v>0</v>
      </c>
    </row>
    <row r="675" spans="1:15">
      <c r="A675" s="321" t="s">
        <v>447</v>
      </c>
      <c r="B675" s="1"/>
      <c r="C675" s="317">
        <v>0</v>
      </c>
      <c r="D675" s="317">
        <f>ROUND(($D$676/$C$676)*C675,0)</f>
        <v>0</v>
      </c>
      <c r="E675" s="337">
        <v>-30</v>
      </c>
      <c r="F675" s="319" t="s">
        <v>377</v>
      </c>
      <c r="G675" s="319">
        <f>ROUND(E675*$C675,0)</f>
        <v>0</v>
      </c>
      <c r="H675" s="319">
        <f>ROUND(E675*$D675,0)</f>
        <v>0</v>
      </c>
      <c r="I675" s="337">
        <f>$I$624</f>
        <v>-30</v>
      </c>
      <c r="J675" s="319" t="s">
        <v>377</v>
      </c>
      <c r="K675" s="319">
        <f>ROUND(I675*$D675,0)</f>
        <v>0</v>
      </c>
    </row>
    <row r="676" spans="1:15">
      <c r="A676" s="1" t="s">
        <v>384</v>
      </c>
      <c r="B676" s="1"/>
      <c r="C676" s="317">
        <f>SUM(C653:C653)</f>
        <v>145662763</v>
      </c>
      <c r="D676" s="317">
        <v>132402479.40697747</v>
      </c>
      <c r="E676" s="328"/>
      <c r="F676" s="2"/>
      <c r="G676" s="2">
        <f>SUM(G633:G675)</f>
        <v>8839304</v>
      </c>
      <c r="H676" s="2">
        <f>SUM(H633:H675)</f>
        <v>8044365</v>
      </c>
      <c r="I676" s="328"/>
      <c r="J676" s="321"/>
      <c r="K676" s="2">
        <f>SUM(K633:K675)</f>
        <v>8684736</v>
      </c>
    </row>
    <row r="677" spans="1:15">
      <c r="A677" s="1" t="s">
        <v>366</v>
      </c>
      <c r="B677" s="1"/>
      <c r="C677" s="347">
        <v>2620112.272300011</v>
      </c>
      <c r="D677" s="347">
        <v>0</v>
      </c>
      <c r="E677" s="307"/>
      <c r="F677" s="307"/>
      <c r="G677" s="308">
        <v>110373.78308932934</v>
      </c>
      <c r="H677" s="308">
        <v>0</v>
      </c>
      <c r="I677" s="307"/>
      <c r="J677" s="307"/>
      <c r="K677" s="308">
        <v>0</v>
      </c>
      <c r="M677" s="287"/>
      <c r="N677" s="287"/>
      <c r="O677" s="288"/>
    </row>
    <row r="678" spans="1:15" ht="16.5" thickBot="1">
      <c r="A678" s="1" t="s">
        <v>385</v>
      </c>
      <c r="B678" s="1"/>
      <c r="C678" s="364">
        <f>SUM(C676:C677)</f>
        <v>148282875.2723</v>
      </c>
      <c r="D678" s="364">
        <f>SUM(D676:D677)</f>
        <v>132402479.40697747</v>
      </c>
      <c r="E678" s="340"/>
      <c r="F678" s="341"/>
      <c r="G678" s="342">
        <f>G676+G677</f>
        <v>8949677.7830893286</v>
      </c>
      <c r="H678" s="342">
        <f>H676+H677</f>
        <v>8044365</v>
      </c>
      <c r="I678" s="340"/>
      <c r="J678" s="343"/>
      <c r="K678" s="342">
        <f>K676+K677</f>
        <v>8684736</v>
      </c>
      <c r="M678" s="289"/>
      <c r="N678" s="289"/>
      <c r="O678" s="290"/>
    </row>
    <row r="679" spans="1:15" ht="16.5" thickTop="1">
      <c r="A679" s="1"/>
      <c r="B679" s="1"/>
      <c r="C679" s="26"/>
      <c r="D679" s="26"/>
      <c r="E679" s="349"/>
      <c r="F679" s="350"/>
      <c r="G679" s="320"/>
      <c r="H679" s="320"/>
      <c r="I679" s="384" t="s">
        <v>31</v>
      </c>
      <c r="J679" s="23"/>
      <c r="K679" s="270" t="s">
        <v>31</v>
      </c>
    </row>
    <row r="680" spans="1:15">
      <c r="A680" s="291" t="s">
        <v>470</v>
      </c>
      <c r="B680" s="1"/>
      <c r="C680" s="21"/>
      <c r="D680" s="21"/>
      <c r="E680" s="335"/>
      <c r="F680" s="2"/>
      <c r="G680" s="2"/>
      <c r="H680" s="2"/>
      <c r="I680" s="335"/>
      <c r="J680" s="1"/>
      <c r="K680" s="2"/>
    </row>
    <row r="681" spans="1:15">
      <c r="A681" s="307" t="s">
        <v>471</v>
      </c>
      <c r="B681" s="1"/>
      <c r="C681" s="21"/>
      <c r="D681" s="21"/>
      <c r="E681" s="335"/>
      <c r="F681" s="2"/>
      <c r="G681" s="2"/>
      <c r="H681" s="2"/>
      <c r="I681" s="335"/>
      <c r="J681" s="1"/>
      <c r="K681" s="2"/>
    </row>
    <row r="682" spans="1:15">
      <c r="A682" s="321"/>
      <c r="B682" s="1"/>
      <c r="C682" s="21"/>
      <c r="D682" s="21"/>
      <c r="E682" s="335"/>
      <c r="F682" s="2"/>
      <c r="G682" s="378"/>
      <c r="H682" s="378"/>
      <c r="I682" s="335"/>
      <c r="J682" s="1"/>
      <c r="K682" s="379"/>
    </row>
    <row r="683" spans="1:15">
      <c r="A683" s="307" t="s">
        <v>452</v>
      </c>
      <c r="B683" s="1"/>
      <c r="C683" s="317"/>
      <c r="D683" s="317"/>
      <c r="E683" s="2" t="s">
        <v>31</v>
      </c>
      <c r="F683" s="2"/>
      <c r="G683" s="1"/>
      <c r="H683" s="1"/>
      <c r="I683" s="2" t="s">
        <v>31</v>
      </c>
      <c r="J683" s="1"/>
      <c r="K683" s="1"/>
    </row>
    <row r="684" spans="1:15">
      <c r="A684" s="307" t="s">
        <v>453</v>
      </c>
      <c r="B684" s="1"/>
      <c r="C684" s="317">
        <v>151</v>
      </c>
      <c r="D684" s="317">
        <v>161</v>
      </c>
      <c r="E684" s="335">
        <v>0</v>
      </c>
      <c r="F684" s="322"/>
      <c r="G684" s="319">
        <f>ROUND(E684*$C684,0)</f>
        <v>0</v>
      </c>
      <c r="H684" s="319">
        <f>ROUND(E684*$D684,0)</f>
        <v>0</v>
      </c>
      <c r="I684" s="335">
        <f>$I$582</f>
        <v>0</v>
      </c>
      <c r="J684" s="322"/>
      <c r="K684" s="319">
        <f>ROUND(I684*$D684,0)</f>
        <v>0</v>
      </c>
    </row>
    <row r="685" spans="1:15">
      <c r="A685" s="307" t="s">
        <v>454</v>
      </c>
      <c r="B685" s="1"/>
      <c r="C685" s="317"/>
      <c r="D685" s="317"/>
      <c r="E685" s="335"/>
      <c r="F685" s="322"/>
      <c r="G685" s="319"/>
      <c r="H685" s="319"/>
      <c r="I685" s="335"/>
      <c r="J685" s="322"/>
      <c r="K685" s="319"/>
    </row>
    <row r="686" spans="1:15">
      <c r="A686" s="307" t="s">
        <v>455</v>
      </c>
      <c r="B686" s="1"/>
      <c r="C686" s="317">
        <f>1+378</f>
        <v>379</v>
      </c>
      <c r="D686" s="317">
        <v>404</v>
      </c>
      <c r="E686" s="335">
        <v>0</v>
      </c>
      <c r="F686" s="322"/>
      <c r="G686" s="319">
        <f>ROUND(E686*$C686,0)</f>
        <v>0</v>
      </c>
      <c r="H686" s="319">
        <f>ROUND(E686*$D686,0)</f>
        <v>0</v>
      </c>
      <c r="I686" s="335">
        <f>$I$584</f>
        <v>0</v>
      </c>
      <c r="J686" s="322"/>
      <c r="K686" s="319">
        <f>ROUND(I686*$D686,0)</f>
        <v>0</v>
      </c>
    </row>
    <row r="687" spans="1:15">
      <c r="A687" s="307" t="s">
        <v>456</v>
      </c>
      <c r="B687" s="1"/>
      <c r="C687" s="317">
        <f>38</f>
        <v>38</v>
      </c>
      <c r="D687" s="317">
        <v>41</v>
      </c>
      <c r="E687" s="335">
        <v>275</v>
      </c>
      <c r="F687" s="322"/>
      <c r="G687" s="319">
        <f>ROUND(E687*$C687,0)</f>
        <v>10450</v>
      </c>
      <c r="H687" s="319">
        <f>ROUND(E687*$D687,0)</f>
        <v>11275</v>
      </c>
      <c r="I687" s="335">
        <f>$I$585</f>
        <v>301</v>
      </c>
      <c r="J687" s="322"/>
      <c r="K687" s="319">
        <f>ROUND(I687*$D687,0)</f>
        <v>12341</v>
      </c>
    </row>
    <row r="688" spans="1:15">
      <c r="A688" s="307" t="s">
        <v>457</v>
      </c>
      <c r="B688" s="1"/>
      <c r="C688" s="317">
        <f>3</f>
        <v>3</v>
      </c>
      <c r="D688" s="317">
        <v>3</v>
      </c>
      <c r="E688" s="335">
        <v>1110</v>
      </c>
      <c r="F688" s="322"/>
      <c r="G688" s="319">
        <f>ROUND(E688*$C688,0)</f>
        <v>3330</v>
      </c>
      <c r="H688" s="319">
        <f>ROUND(E688*$D688,0)</f>
        <v>3330</v>
      </c>
      <c r="I688" s="335">
        <f>$I$586</f>
        <v>1215</v>
      </c>
      <c r="J688" s="322"/>
      <c r="K688" s="319">
        <f>ROUND(I688*$D688,0)</f>
        <v>3645</v>
      </c>
    </row>
    <row r="689" spans="1:11">
      <c r="A689" s="307" t="s">
        <v>365</v>
      </c>
      <c r="B689" s="1"/>
      <c r="C689" s="317">
        <f>SUM(C684:C688)</f>
        <v>571</v>
      </c>
      <c r="D689" s="317">
        <v>608.93144040394361</v>
      </c>
      <c r="E689" s="335"/>
      <c r="F689" s="322"/>
      <c r="G689" s="319"/>
      <c r="H689" s="319"/>
      <c r="I689" s="335"/>
      <c r="J689" s="322"/>
      <c r="K689" s="319"/>
    </row>
    <row r="690" spans="1:11">
      <c r="A690" s="307" t="s">
        <v>458</v>
      </c>
      <c r="B690" s="1"/>
      <c r="C690" s="317">
        <f>5+7+1001+2657+283+20</f>
        <v>3973</v>
      </c>
      <c r="D690" s="317">
        <v>4237</v>
      </c>
      <c r="E690" s="335"/>
      <c r="F690" s="319"/>
      <c r="G690" s="319"/>
      <c r="H690" s="319"/>
      <c r="I690" s="335"/>
      <c r="J690" s="319"/>
      <c r="K690" s="319"/>
    </row>
    <row r="691" spans="1:11">
      <c r="A691" s="307" t="s">
        <v>104</v>
      </c>
      <c r="B691" s="1"/>
      <c r="C691" s="317">
        <f>1+1+167+421+39+3</f>
        <v>632</v>
      </c>
      <c r="D691" s="317">
        <v>674</v>
      </c>
      <c r="E691" s="335"/>
      <c r="F691" s="319"/>
      <c r="G691" s="319"/>
      <c r="H691" s="319"/>
      <c r="I691" s="335"/>
      <c r="J691" s="319"/>
      <c r="K691" s="319"/>
    </row>
    <row r="692" spans="1:11">
      <c r="A692" s="307" t="s">
        <v>459</v>
      </c>
      <c r="B692" s="1"/>
      <c r="C692" s="317"/>
      <c r="D692" s="317"/>
      <c r="E692" s="335"/>
      <c r="F692" s="322"/>
      <c r="G692" s="319"/>
      <c r="H692" s="319"/>
      <c r="I692" s="335"/>
      <c r="J692" s="322"/>
      <c r="K692" s="319"/>
    </row>
    <row r="693" spans="1:11">
      <c r="A693" s="307" t="s">
        <v>460</v>
      </c>
      <c r="B693" s="1"/>
      <c r="C693" s="317">
        <f>816</f>
        <v>816</v>
      </c>
      <c r="D693" s="317">
        <f>ROUND(($D$727/$C$727)*C693,0)</f>
        <v>787</v>
      </c>
      <c r="E693" s="335">
        <v>18.149999999999999</v>
      </c>
      <c r="F693" s="322"/>
      <c r="G693" s="319">
        <f>ROUND(E693*$C693,0)</f>
        <v>14810</v>
      </c>
      <c r="H693" s="319">
        <f>ROUND(E693*$D693,0)</f>
        <v>14284</v>
      </c>
      <c r="I693" s="335">
        <f>$I$591</f>
        <v>19.87</v>
      </c>
      <c r="J693" s="322"/>
      <c r="K693" s="319">
        <f>ROUND(I693*$D693,0)</f>
        <v>15638</v>
      </c>
    </row>
    <row r="694" spans="1:11">
      <c r="A694" s="307" t="s">
        <v>461</v>
      </c>
      <c r="B694" s="1"/>
      <c r="C694" s="317"/>
      <c r="D694" s="317"/>
      <c r="E694" s="335"/>
      <c r="F694" s="322"/>
      <c r="G694" s="319"/>
      <c r="H694" s="319"/>
      <c r="I694" s="335"/>
      <c r="J694" s="322"/>
      <c r="K694" s="319"/>
    </row>
    <row r="695" spans="1:11">
      <c r="A695" s="307" t="s">
        <v>455</v>
      </c>
      <c r="B695" s="1"/>
      <c r="C695" s="317">
        <f>6061+40</f>
        <v>6101</v>
      </c>
      <c r="D695" s="317">
        <f>ROUND(($D$727/$C$727)*C695,0)</f>
        <v>5884</v>
      </c>
      <c r="E695" s="335">
        <v>18.149999999999999</v>
      </c>
      <c r="F695" s="322"/>
      <c r="G695" s="319">
        <f>ROUND(E695*$C695,0)</f>
        <v>110733</v>
      </c>
      <c r="H695" s="319">
        <f>ROUND(E695*$D695,0)</f>
        <v>106795</v>
      </c>
      <c r="I695" s="335">
        <f>$I$593</f>
        <v>19.87</v>
      </c>
      <c r="J695" s="322"/>
      <c r="K695" s="319">
        <f>ROUND(I695*$D695,0)</f>
        <v>116915</v>
      </c>
    </row>
    <row r="696" spans="1:11">
      <c r="A696" s="307" t="s">
        <v>456</v>
      </c>
      <c r="B696" s="1"/>
      <c r="C696" s="317">
        <f>3661</f>
        <v>3661</v>
      </c>
      <c r="D696" s="317">
        <f>ROUND(($D$727/$C$727)*C696,0)</f>
        <v>3531</v>
      </c>
      <c r="E696" s="335">
        <v>12.4</v>
      </c>
      <c r="F696" s="322"/>
      <c r="G696" s="319">
        <f>ROUND(E696*$C696,0)</f>
        <v>45396</v>
      </c>
      <c r="H696" s="319">
        <f>ROUND(E696*$D696,0)</f>
        <v>43784</v>
      </c>
      <c r="I696" s="335">
        <f>$I$594</f>
        <v>13.64</v>
      </c>
      <c r="J696" s="322"/>
      <c r="K696" s="319">
        <f>ROUND(I696*$D696,0)</f>
        <v>48163</v>
      </c>
    </row>
    <row r="697" spans="1:11">
      <c r="A697" s="307" t="s">
        <v>457</v>
      </c>
      <c r="B697" s="1"/>
      <c r="C697" s="317">
        <f>1235</f>
        <v>1235</v>
      </c>
      <c r="D697" s="317">
        <f>ROUND(($D$727/$C$727)*C697,0)</f>
        <v>1191</v>
      </c>
      <c r="E697" s="335">
        <v>9.65</v>
      </c>
      <c r="F697" s="322"/>
      <c r="G697" s="319">
        <f>ROUND(E697*$C697,0)</f>
        <v>11918</v>
      </c>
      <c r="H697" s="319">
        <f>ROUND(E697*$D697,0)</f>
        <v>11493</v>
      </c>
      <c r="I697" s="335">
        <f>$I$595</f>
        <v>10.62</v>
      </c>
      <c r="J697" s="322"/>
      <c r="K697" s="319">
        <f>ROUND(I697*$D697,0)</f>
        <v>12648</v>
      </c>
    </row>
    <row r="698" spans="1:11">
      <c r="A698" s="307" t="s">
        <v>463</v>
      </c>
      <c r="B698" s="1"/>
      <c r="C698" s="317">
        <f>47</f>
        <v>47</v>
      </c>
      <c r="D698" s="317">
        <v>45</v>
      </c>
      <c r="E698" s="335">
        <v>54.45</v>
      </c>
      <c r="F698" s="322"/>
      <c r="G698" s="319">
        <f>ROUND(E698*$C698,0)</f>
        <v>2559</v>
      </c>
      <c r="H698" s="319">
        <f>ROUND(E698*$D698,0)</f>
        <v>2450</v>
      </c>
      <c r="I698" s="335">
        <f>$I$596</f>
        <v>59.61</v>
      </c>
      <c r="J698" s="322"/>
      <c r="K698" s="319">
        <f>ROUND(I698*$D698,0)</f>
        <v>2682</v>
      </c>
    </row>
    <row r="699" spans="1:11">
      <c r="A699" s="307" t="s">
        <v>464</v>
      </c>
      <c r="B699" s="1"/>
      <c r="C699" s="317">
        <f>73</f>
        <v>73</v>
      </c>
      <c r="D699" s="317">
        <v>70</v>
      </c>
      <c r="E699" s="335">
        <v>108.9</v>
      </c>
      <c r="F699" s="322"/>
      <c r="G699" s="319">
        <f>ROUND(E699*$C699,0)</f>
        <v>7950</v>
      </c>
      <c r="H699" s="319">
        <f>ROUND(E699*$D699,0)</f>
        <v>7623</v>
      </c>
      <c r="I699" s="335">
        <f>$I$597</f>
        <v>119.22</v>
      </c>
      <c r="J699" s="322"/>
      <c r="K699" s="319">
        <f>ROUND(I699*$D699,0)</f>
        <v>8345</v>
      </c>
    </row>
    <row r="700" spans="1:11">
      <c r="A700" s="307" t="s">
        <v>465</v>
      </c>
      <c r="B700" s="1"/>
      <c r="C700" s="317"/>
      <c r="D700" s="317"/>
      <c r="E700" s="335"/>
      <c r="F700" s="322"/>
      <c r="G700" s="319"/>
      <c r="H700" s="319"/>
      <c r="I700" s="335"/>
      <c r="J700" s="322"/>
      <c r="K700" s="319"/>
    </row>
    <row r="701" spans="1:11">
      <c r="A701" s="307" t="s">
        <v>460</v>
      </c>
      <c r="B701" s="1"/>
      <c r="C701" s="317">
        <f>56</f>
        <v>56</v>
      </c>
      <c r="D701" s="317">
        <f>ROUND(($D$727/$C$727)*C701,0)</f>
        <v>54</v>
      </c>
      <c r="E701" s="361">
        <f>-E693</f>
        <v>-18.149999999999999</v>
      </c>
      <c r="F701" s="322"/>
      <c r="G701" s="319">
        <f>ROUND(E701*$C701,0)</f>
        <v>-1016</v>
      </c>
      <c r="H701" s="319">
        <f>ROUND(E701*$D701,0)</f>
        <v>-980</v>
      </c>
      <c r="I701" s="361">
        <f>-I693</f>
        <v>-19.87</v>
      </c>
      <c r="J701" s="322"/>
      <c r="K701" s="319">
        <f>ROUND(I701*$D701,0)</f>
        <v>-1073</v>
      </c>
    </row>
    <row r="702" spans="1:11">
      <c r="A702" s="307" t="s">
        <v>466</v>
      </c>
      <c r="B702" s="1"/>
      <c r="C702" s="317">
        <f>171</f>
        <v>171</v>
      </c>
      <c r="D702" s="317">
        <f>ROUND(($D$727/$C$727)*C702,0)</f>
        <v>165</v>
      </c>
      <c r="E702" s="361">
        <f>-E695</f>
        <v>-18.149999999999999</v>
      </c>
      <c r="F702" s="322"/>
      <c r="G702" s="319">
        <f>ROUND(E702*$C702,0)</f>
        <v>-3104</v>
      </c>
      <c r="H702" s="319">
        <f>ROUND(E702*$D702,0)</f>
        <v>-2995</v>
      </c>
      <c r="I702" s="361">
        <f>-I695</f>
        <v>-19.87</v>
      </c>
      <c r="J702" s="322"/>
      <c r="K702" s="319">
        <f>ROUND(I702*$D702,0)</f>
        <v>-3279</v>
      </c>
    </row>
    <row r="703" spans="1:11">
      <c r="A703" s="321" t="s">
        <v>429</v>
      </c>
      <c r="B703" s="1"/>
      <c r="C703" s="317"/>
      <c r="D703" s="317"/>
      <c r="E703" s="335"/>
      <c r="F703" s="319"/>
      <c r="G703" s="319"/>
      <c r="H703" s="319"/>
      <c r="I703" s="335"/>
      <c r="J703" s="319"/>
      <c r="K703" s="319"/>
    </row>
    <row r="704" spans="1:11">
      <c r="A704" s="307" t="s">
        <v>467</v>
      </c>
      <c r="B704" s="1"/>
      <c r="C704" s="317">
        <f>38079+1034717+10521120+5534245+2275120</f>
        <v>19403281</v>
      </c>
      <c r="D704" s="317">
        <f>ROUND(($D$727/$C$727)*C704,0)</f>
        <v>18714383</v>
      </c>
      <c r="E704" s="380">
        <v>4.9909999999999997</v>
      </c>
      <c r="F704" s="319" t="s">
        <v>377</v>
      </c>
      <c r="G704" s="319">
        <f>ROUND(E704/100*$C704,0)</f>
        <v>968418</v>
      </c>
      <c r="H704" s="319">
        <f>ROUND(E704/100*$D704,0)</f>
        <v>934035</v>
      </c>
      <c r="I704" s="380">
        <f>$I$602</f>
        <v>5.3710000000000004</v>
      </c>
      <c r="J704" s="319" t="s">
        <v>377</v>
      </c>
      <c r="K704" s="319">
        <f>ROUND(I704/100*$D704,0)</f>
        <v>1005150</v>
      </c>
    </row>
    <row r="705" spans="1:11">
      <c r="A705" s="321" t="s">
        <v>403</v>
      </c>
      <c r="B705" s="1"/>
      <c r="C705" s="317">
        <f>52+1904+219</f>
        <v>2175</v>
      </c>
      <c r="D705" s="317">
        <f>ROUND(($D$727/$C$727)*C705,0)</f>
        <v>2098</v>
      </c>
      <c r="E705" s="337">
        <v>45</v>
      </c>
      <c r="F705" s="321" t="s">
        <v>377</v>
      </c>
      <c r="G705" s="319">
        <f>ROUND(E705*$C705/100,0)</f>
        <v>979</v>
      </c>
      <c r="H705" s="319">
        <f>ROUND(E705*$D705/100,0)</f>
        <v>944</v>
      </c>
      <c r="I705" s="337">
        <f>$I$603</f>
        <v>45</v>
      </c>
      <c r="J705" s="321" t="s">
        <v>377</v>
      </c>
      <c r="K705" s="319">
        <f>ROUND(I705*$D705/100,0)</f>
        <v>944</v>
      </c>
    </row>
    <row r="706" spans="1:11">
      <c r="A706" s="358" t="s">
        <v>404</v>
      </c>
      <c r="B706" s="1"/>
      <c r="C706" s="317"/>
      <c r="D706" s="317"/>
      <c r="E706" s="330">
        <v>-0.01</v>
      </c>
      <c r="F706" s="2"/>
      <c r="G706" s="319"/>
      <c r="H706" s="319"/>
      <c r="I706" s="330">
        <f>$I$604</f>
        <v>-0.01</v>
      </c>
      <c r="J706" s="1"/>
      <c r="K706" s="319"/>
    </row>
    <row r="707" spans="1:11">
      <c r="A707" s="307" t="s">
        <v>393</v>
      </c>
      <c r="B707" s="1"/>
      <c r="C707" s="317">
        <v>0</v>
      </c>
      <c r="D707" s="317">
        <v>0</v>
      </c>
      <c r="E707" s="382">
        <f>E684</f>
        <v>0</v>
      </c>
      <c r="F707" s="322"/>
      <c r="G707" s="319">
        <f>ROUND(E707*$C707*$E$604,0)</f>
        <v>0</v>
      </c>
      <c r="H707" s="319">
        <f>ROUND(E707*$D707*$E$604,0)</f>
        <v>0</v>
      </c>
      <c r="I707" s="382">
        <f>I684</f>
        <v>0</v>
      </c>
      <c r="J707" s="322"/>
      <c r="K707" s="319">
        <f>ROUND(I707*$D707*$E$604,0)</f>
        <v>0</v>
      </c>
    </row>
    <row r="708" spans="1:11">
      <c r="A708" s="307" t="s">
        <v>394</v>
      </c>
      <c r="B708" s="1"/>
      <c r="C708" s="317"/>
      <c r="D708" s="317"/>
      <c r="E708" s="382"/>
      <c r="F708" s="322"/>
      <c r="G708" s="319"/>
      <c r="H708" s="319"/>
      <c r="I708" s="382"/>
      <c r="J708" s="322"/>
      <c r="K708" s="319"/>
    </row>
    <row r="709" spans="1:11">
      <c r="A709" s="307" t="s">
        <v>455</v>
      </c>
      <c r="B709" s="1"/>
      <c r="C709" s="317">
        <v>1</v>
      </c>
      <c r="D709" s="317">
        <v>1</v>
      </c>
      <c r="E709" s="382">
        <f>E686</f>
        <v>0</v>
      </c>
      <c r="F709" s="322"/>
      <c r="G709" s="319">
        <f>ROUND(E709*$C709*$E$604,0)</f>
        <v>0</v>
      </c>
      <c r="H709" s="319">
        <f>ROUND(E709*$D709*$E$604,0)</f>
        <v>0</v>
      </c>
      <c r="I709" s="382">
        <f>I686</f>
        <v>0</v>
      </c>
      <c r="J709" s="322"/>
      <c r="K709" s="319">
        <f>ROUND(I709*$D709*$E$604,0)</f>
        <v>0</v>
      </c>
    </row>
    <row r="710" spans="1:11">
      <c r="A710" s="307" t="s">
        <v>456</v>
      </c>
      <c r="B710" s="1"/>
      <c r="C710" s="317">
        <v>0</v>
      </c>
      <c r="D710" s="317">
        <v>0</v>
      </c>
      <c r="E710" s="382">
        <f>E687</f>
        <v>275</v>
      </c>
      <c r="F710" s="322"/>
      <c r="G710" s="319">
        <f>ROUND(E710*$C710*$E$604,0)</f>
        <v>0</v>
      </c>
      <c r="H710" s="319">
        <f>ROUND(E710*$D710*$E$604,0)</f>
        <v>0</v>
      </c>
      <c r="I710" s="382">
        <f>I687</f>
        <v>301</v>
      </c>
      <c r="J710" s="322"/>
      <c r="K710" s="319">
        <f>ROUND(I710*$D710*$E$604,0)</f>
        <v>0</v>
      </c>
    </row>
    <row r="711" spans="1:11">
      <c r="A711" s="307" t="s">
        <v>457</v>
      </c>
      <c r="B711" s="1"/>
      <c r="C711" s="317">
        <v>0</v>
      </c>
      <c r="D711" s="317">
        <v>0</v>
      </c>
      <c r="E711" s="382">
        <f>E688</f>
        <v>1110</v>
      </c>
      <c r="F711" s="322"/>
      <c r="G711" s="319">
        <f>ROUND(E711*$C711*$E$604,0)</f>
        <v>0</v>
      </c>
      <c r="H711" s="319">
        <f>ROUND(E711*$D711*$E$604,0)</f>
        <v>0</v>
      </c>
      <c r="I711" s="382">
        <f>I688</f>
        <v>1215</v>
      </c>
      <c r="J711" s="322"/>
      <c r="K711" s="319">
        <f>ROUND(I711*$D711*$E$604,0)</f>
        <v>0</v>
      </c>
    </row>
    <row r="712" spans="1:11">
      <c r="A712" s="307" t="s">
        <v>393</v>
      </c>
      <c r="B712" s="1"/>
      <c r="C712" s="317">
        <v>0</v>
      </c>
      <c r="D712" s="317">
        <f>ROUND(($D$727/$C$727)*C712,0)</f>
        <v>0</v>
      </c>
      <c r="E712" s="382">
        <f>E693</f>
        <v>18.149999999999999</v>
      </c>
      <c r="F712" s="322"/>
      <c r="G712" s="319">
        <f>ROUND(E712*$C712*$E$604,0)</f>
        <v>0</v>
      </c>
      <c r="H712" s="319">
        <f>ROUND(E712*$D712*$E$604,0)</f>
        <v>0</v>
      </c>
      <c r="I712" s="382">
        <f>I693</f>
        <v>19.87</v>
      </c>
      <c r="J712" s="322"/>
      <c r="K712" s="319">
        <f>ROUND(I712*$D712*$E$604,0)</f>
        <v>0</v>
      </c>
    </row>
    <row r="713" spans="1:11">
      <c r="A713" s="307" t="s">
        <v>394</v>
      </c>
      <c r="B713" s="1"/>
      <c r="C713" s="317"/>
      <c r="D713" s="317"/>
      <c r="E713" s="382"/>
      <c r="F713" s="322"/>
      <c r="G713" s="319"/>
      <c r="H713" s="319"/>
      <c r="I713" s="382"/>
      <c r="J713" s="322"/>
      <c r="K713" s="319"/>
    </row>
    <row r="714" spans="1:11">
      <c r="A714" s="307" t="s">
        <v>455</v>
      </c>
      <c r="B714" s="1"/>
      <c r="C714" s="317">
        <v>40</v>
      </c>
      <c r="D714" s="317">
        <f>ROUND(($D$727/$C$727)*C714,0)</f>
        <v>39</v>
      </c>
      <c r="E714" s="382">
        <f>E695</f>
        <v>18.149999999999999</v>
      </c>
      <c r="F714" s="322"/>
      <c r="G714" s="319">
        <f>ROUND(E714*$C714*$E$604,0)</f>
        <v>-7</v>
      </c>
      <c r="H714" s="319">
        <f>ROUND(E714*$D714*$E$604,0)</f>
        <v>-7</v>
      </c>
      <c r="I714" s="382">
        <f>I695</f>
        <v>19.87</v>
      </c>
      <c r="J714" s="322"/>
      <c r="K714" s="319">
        <f>ROUND(I714*$D714*$E$604,0)</f>
        <v>-8</v>
      </c>
    </row>
    <row r="715" spans="1:11">
      <c r="A715" s="307" t="s">
        <v>456</v>
      </c>
      <c r="B715" s="1"/>
      <c r="C715" s="317">
        <v>0</v>
      </c>
      <c r="D715" s="317">
        <f>ROUND(($D$727/$C$727)*C715,0)</f>
        <v>0</v>
      </c>
      <c r="E715" s="382">
        <f>E696</f>
        <v>12.4</v>
      </c>
      <c r="F715" s="322"/>
      <c r="G715" s="319">
        <f>ROUND(E715*$C715*$E$604,0)</f>
        <v>0</v>
      </c>
      <c r="H715" s="319">
        <f>ROUND(E715*$D715*$E$604,0)</f>
        <v>0</v>
      </c>
      <c r="I715" s="382">
        <f>I696</f>
        <v>13.64</v>
      </c>
      <c r="J715" s="322"/>
      <c r="K715" s="319">
        <f>ROUND(I715*$D715*$E$604,0)</f>
        <v>0</v>
      </c>
    </row>
    <row r="716" spans="1:11">
      <c r="A716" s="307" t="s">
        <v>457</v>
      </c>
      <c r="B716" s="1"/>
      <c r="C716" s="317">
        <v>0</v>
      </c>
      <c r="D716" s="317">
        <f>ROUND(($D$727/$C$727)*C716,0)</f>
        <v>0</v>
      </c>
      <c r="E716" s="382">
        <f>E697</f>
        <v>9.65</v>
      </c>
      <c r="F716" s="322"/>
      <c r="G716" s="319">
        <f>ROUND(E716*$C716*$E$604,0)</f>
        <v>0</v>
      </c>
      <c r="H716" s="319">
        <f>ROUND(E716*$D716*$E$604,0)</f>
        <v>0</v>
      </c>
      <c r="I716" s="382">
        <f>I697</f>
        <v>10.62</v>
      </c>
      <c r="J716" s="322"/>
      <c r="K716" s="319">
        <f>ROUND(I716*$D716*$E$604,0)</f>
        <v>0</v>
      </c>
    </row>
    <row r="717" spans="1:11">
      <c r="A717" s="307" t="s">
        <v>468</v>
      </c>
      <c r="B717" s="1"/>
      <c r="C717" s="317">
        <v>0</v>
      </c>
      <c r="D717" s="317">
        <v>0</v>
      </c>
      <c r="E717" s="351">
        <f>E698</f>
        <v>54.45</v>
      </c>
      <c r="F717" s="322"/>
      <c r="G717" s="319">
        <f>ROUND(E717*$C717*$E$604,0)</f>
        <v>0</v>
      </c>
      <c r="H717" s="319">
        <f>ROUND(E717*$D717*$E$604,0)</f>
        <v>0</v>
      </c>
      <c r="I717" s="351">
        <f>I698</f>
        <v>59.61</v>
      </c>
      <c r="J717" s="322"/>
      <c r="K717" s="319">
        <f>ROUND(I717*$D717*$E$604,0)</f>
        <v>0</v>
      </c>
    </row>
    <row r="718" spans="1:11">
      <c r="A718" s="307" t="s">
        <v>469</v>
      </c>
      <c r="B718" s="1"/>
      <c r="C718" s="317">
        <v>0</v>
      </c>
      <c r="D718" s="317">
        <v>0</v>
      </c>
      <c r="E718" s="351">
        <f>E699</f>
        <v>108.9</v>
      </c>
      <c r="F718" s="322"/>
      <c r="G718" s="319">
        <f>ROUND(E718*$C718*$E$604,0)</f>
        <v>0</v>
      </c>
      <c r="H718" s="319">
        <f>ROUND(E718*$D718*$E$604,0)</f>
        <v>0</v>
      </c>
      <c r="I718" s="351">
        <f>I699</f>
        <v>119.22</v>
      </c>
      <c r="J718" s="322"/>
      <c r="K718" s="319">
        <f>ROUND(I718*$D718*$E$604,0)</f>
        <v>0</v>
      </c>
    </row>
    <row r="719" spans="1:11">
      <c r="A719" s="307" t="s">
        <v>465</v>
      </c>
      <c r="B719" s="1"/>
      <c r="C719" s="317"/>
      <c r="D719" s="317"/>
      <c r="E719" s="335"/>
      <c r="F719" s="322"/>
      <c r="G719" s="319"/>
      <c r="H719" s="319"/>
      <c r="I719" s="335"/>
      <c r="J719" s="322"/>
      <c r="K719" s="319"/>
    </row>
    <row r="720" spans="1:11">
      <c r="A720" s="307" t="s">
        <v>460</v>
      </c>
      <c r="B720" s="1"/>
      <c r="C720" s="317">
        <v>0</v>
      </c>
      <c r="D720" s="317">
        <f>ROUND(($D$727/$C$727)*C720,0)</f>
        <v>0</v>
      </c>
      <c r="E720" s="361">
        <f>E701</f>
        <v>-18.149999999999999</v>
      </c>
      <c r="F720" s="322"/>
      <c r="G720" s="319">
        <f>ROUND(E720*$C720*$E$604,0)</f>
        <v>0</v>
      </c>
      <c r="H720" s="319">
        <f>ROUND(E720*$D720*$E$604,0)</f>
        <v>0</v>
      </c>
      <c r="I720" s="361">
        <f>I701</f>
        <v>-19.87</v>
      </c>
      <c r="J720" s="322"/>
      <c r="K720" s="319">
        <f>ROUND(I720*$D720*$E$604,0)</f>
        <v>0</v>
      </c>
    </row>
    <row r="721" spans="1:15">
      <c r="A721" s="307" t="s">
        <v>466</v>
      </c>
      <c r="B721" s="1"/>
      <c r="C721" s="317">
        <v>0</v>
      </c>
      <c r="D721" s="317">
        <f>ROUND(($D$727/$C$727)*C721,0)</f>
        <v>0</v>
      </c>
      <c r="E721" s="361">
        <f>E702</f>
        <v>-18.149999999999999</v>
      </c>
      <c r="F721" s="322"/>
      <c r="G721" s="319">
        <f>ROUND(E721*$C721*$E$604,0)</f>
        <v>0</v>
      </c>
      <c r="H721" s="319">
        <f>ROUND(E721*$D721*$E$604,0)</f>
        <v>0</v>
      </c>
      <c r="I721" s="361">
        <f>I702</f>
        <v>-19.87</v>
      </c>
      <c r="J721" s="322"/>
      <c r="K721" s="319">
        <f>ROUND(I721*$D721*$E$604,0)</f>
        <v>0</v>
      </c>
    </row>
    <row r="722" spans="1:15">
      <c r="A722" s="321" t="s">
        <v>429</v>
      </c>
      <c r="B722" s="1"/>
      <c r="C722" s="317"/>
      <c r="D722" s="317"/>
      <c r="E722" s="382"/>
      <c r="F722" s="319"/>
      <c r="G722" s="319"/>
      <c r="H722" s="319"/>
      <c r="I722" s="382"/>
      <c r="J722" s="319"/>
      <c r="K722" s="319"/>
    </row>
    <row r="723" spans="1:15">
      <c r="A723" s="307" t="s">
        <v>467</v>
      </c>
      <c r="B723" s="1"/>
      <c r="C723" s="317">
        <f>38079</f>
        <v>38079</v>
      </c>
      <c r="D723" s="317">
        <f>ROUND(($D$727/$C$727)*C723,0)</f>
        <v>36727</v>
      </c>
      <c r="E723" s="383">
        <f>E704</f>
        <v>4.9909999999999997</v>
      </c>
      <c r="F723" s="319" t="s">
        <v>377</v>
      </c>
      <c r="G723" s="319">
        <f>ROUND(E723/100*$C723*$E$604,0)</f>
        <v>-19</v>
      </c>
      <c r="H723" s="319">
        <f>ROUND(E723/100*$D723*$E$604,0)</f>
        <v>-18</v>
      </c>
      <c r="I723" s="383">
        <f>I704</f>
        <v>5.3710000000000004</v>
      </c>
      <c r="J723" s="319" t="s">
        <v>377</v>
      </c>
      <c r="K723" s="319">
        <f>ROUND(I723/100*$D723*$E$604,0)</f>
        <v>-20</v>
      </c>
    </row>
    <row r="724" spans="1:15">
      <c r="A724" s="321" t="s">
        <v>403</v>
      </c>
      <c r="B724" s="1"/>
      <c r="C724" s="317">
        <v>0</v>
      </c>
      <c r="D724" s="317">
        <f>ROUND(($D$727/$C$727)*C724,0)</f>
        <v>0</v>
      </c>
      <c r="E724" s="373">
        <f>E705</f>
        <v>45</v>
      </c>
      <c r="F724" s="319" t="s">
        <v>377</v>
      </c>
      <c r="G724" s="319">
        <f>ROUND(E724/100*$C724*$E$604,0)</f>
        <v>0</v>
      </c>
      <c r="H724" s="319">
        <f>ROUND(E724/100*$D724*$E$604,0)</f>
        <v>0</v>
      </c>
      <c r="I724" s="373">
        <f>I705</f>
        <v>45</v>
      </c>
      <c r="J724" s="321" t="s">
        <v>377</v>
      </c>
      <c r="K724" s="319">
        <f>ROUND(I724/100*$D724*$E$604,0)</f>
        <v>0</v>
      </c>
    </row>
    <row r="725" spans="1:15">
      <c r="A725" s="321" t="s">
        <v>446</v>
      </c>
      <c r="B725" s="1"/>
      <c r="C725" s="317">
        <f>5+7</f>
        <v>12</v>
      </c>
      <c r="D725" s="317">
        <v>13</v>
      </c>
      <c r="E725" s="296">
        <v>60</v>
      </c>
      <c r="F725" s="362" t="s">
        <v>31</v>
      </c>
      <c r="G725" s="319">
        <f>ROUND(E725*$C725,0)</f>
        <v>720</v>
      </c>
      <c r="H725" s="319">
        <f>ROUND(E725*$D725,0)</f>
        <v>780</v>
      </c>
      <c r="I725" s="296">
        <f>$I$623</f>
        <v>60</v>
      </c>
      <c r="J725" s="1"/>
      <c r="K725" s="319">
        <f>ROUND(I725*$D725,0)</f>
        <v>780</v>
      </c>
    </row>
    <row r="726" spans="1:15">
      <c r="A726" s="321" t="s">
        <v>447</v>
      </c>
      <c r="B726" s="1"/>
      <c r="C726" s="317">
        <f>7*C714</f>
        <v>280</v>
      </c>
      <c r="D726" s="317">
        <f>ROUND(($D$727/$C$727)*C726,0)</f>
        <v>270</v>
      </c>
      <c r="E726" s="337">
        <v>-30</v>
      </c>
      <c r="F726" s="319" t="s">
        <v>377</v>
      </c>
      <c r="G726" s="319">
        <f>ROUND(E726*$C726/100,0)</f>
        <v>-84</v>
      </c>
      <c r="H726" s="319">
        <f>ROUND(E726*$D726/100,0)</f>
        <v>-81</v>
      </c>
      <c r="I726" s="337">
        <f>$I$624</f>
        <v>-30</v>
      </c>
      <c r="J726" s="319" t="s">
        <v>377</v>
      </c>
      <c r="K726" s="319">
        <f>ROUND(I726*$D726/100,0)</f>
        <v>-81</v>
      </c>
    </row>
    <row r="727" spans="1:15">
      <c r="A727" s="1" t="s">
        <v>384</v>
      </c>
      <c r="B727" s="1"/>
      <c r="C727" s="317">
        <f>SUM(C704:C704)</f>
        <v>19403281</v>
      </c>
      <c r="D727" s="317">
        <v>18714383.130874861</v>
      </c>
      <c r="E727" s="328"/>
      <c r="F727" s="2"/>
      <c r="G727" s="2">
        <f>SUM(G684:G726)</f>
        <v>1173033</v>
      </c>
      <c r="H727" s="2">
        <f>SUM(H684:H726)</f>
        <v>1132712</v>
      </c>
      <c r="I727" s="328"/>
      <c r="J727" s="321"/>
      <c r="K727" s="2">
        <f>SUM(K684:K726)</f>
        <v>1222790</v>
      </c>
    </row>
    <row r="728" spans="1:15">
      <c r="A728" s="1" t="s">
        <v>366</v>
      </c>
      <c r="B728" s="1"/>
      <c r="C728" s="347">
        <v>346887.72769998875</v>
      </c>
      <c r="D728" s="347">
        <v>0</v>
      </c>
      <c r="E728" s="307"/>
      <c r="F728" s="307"/>
      <c r="G728" s="308">
        <v>17626.216910670679</v>
      </c>
      <c r="H728" s="308">
        <v>0</v>
      </c>
      <c r="I728" s="307"/>
      <c r="J728" s="307"/>
      <c r="K728" s="308">
        <v>0</v>
      </c>
      <c r="M728" s="287"/>
      <c r="N728" s="287"/>
      <c r="O728" s="288"/>
    </row>
    <row r="729" spans="1:15" ht="16.5" thickBot="1">
      <c r="A729" s="1" t="s">
        <v>385</v>
      </c>
      <c r="B729" s="1"/>
      <c r="C729" s="364">
        <f>SUM(C727:C728)</f>
        <v>19750168.727699988</v>
      </c>
      <c r="D729" s="364">
        <f>SUM(D727:D728)</f>
        <v>18714383.130874861</v>
      </c>
      <c r="E729" s="340"/>
      <c r="F729" s="341"/>
      <c r="G729" s="342">
        <f>G727+G728</f>
        <v>1190659.2169106707</v>
      </c>
      <c r="H729" s="342">
        <f>H727+H728</f>
        <v>1132712</v>
      </c>
      <c r="I729" s="340"/>
      <c r="J729" s="343"/>
      <c r="K729" s="342">
        <f>K727+K728</f>
        <v>1222790</v>
      </c>
      <c r="M729" s="289"/>
      <c r="N729" s="289"/>
      <c r="O729" s="290"/>
    </row>
    <row r="730" spans="1:15" ht="16.5" thickTop="1">
      <c r="A730" s="301"/>
      <c r="B730" s="376"/>
      <c r="C730" s="301"/>
      <c r="D730" s="301"/>
      <c r="E730" s="21"/>
      <c r="F730" s="21"/>
      <c r="G730" s="377"/>
      <c r="H730" s="377"/>
      <c r="I730" s="301"/>
      <c r="J730" s="301"/>
      <c r="K730" s="301"/>
    </row>
    <row r="731" spans="1:15">
      <c r="A731" s="291" t="s">
        <v>472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307" t="s">
        <v>473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321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321" t="s">
        <v>396</v>
      </c>
      <c r="B734" s="1"/>
      <c r="C734" s="317"/>
      <c r="D734" s="317"/>
      <c r="E734" s="2"/>
      <c r="F734" s="2"/>
      <c r="G734" s="1"/>
      <c r="H734" s="1"/>
      <c r="I734" s="2"/>
      <c r="J734" s="1"/>
      <c r="K734" s="1"/>
    </row>
    <row r="735" spans="1:15">
      <c r="A735" s="321" t="s">
        <v>474</v>
      </c>
      <c r="B735" s="1"/>
      <c r="C735" s="317">
        <v>13</v>
      </c>
      <c r="D735" s="317">
        <v>12</v>
      </c>
      <c r="E735" s="382">
        <f t="shared" ref="E735:E740" si="60">E794</f>
        <v>1100</v>
      </c>
      <c r="F735" s="335"/>
      <c r="G735" s="2">
        <f>ROUND(E735*$C735,0)</f>
        <v>14300</v>
      </c>
      <c r="H735" s="2">
        <f>ROUND(E735*$D735,0)</f>
        <v>13200</v>
      </c>
      <c r="I735" s="382">
        <f t="shared" ref="I735:I740" si="61">I794</f>
        <v>1205</v>
      </c>
      <c r="J735" s="319"/>
      <c r="K735" s="2">
        <f>ROUND(I735*$D735,0)</f>
        <v>14460</v>
      </c>
      <c r="M735" s="84">
        <f>I735*D735</f>
        <v>14460</v>
      </c>
      <c r="O735" s="14"/>
    </row>
    <row r="736" spans="1:15">
      <c r="A736" s="321" t="s">
        <v>475</v>
      </c>
      <c r="B736" s="1"/>
      <c r="C736" s="317">
        <v>0</v>
      </c>
      <c r="D736" s="317">
        <v>0</v>
      </c>
      <c r="E736" s="382">
        <f t="shared" si="60"/>
        <v>1325</v>
      </c>
      <c r="F736" s="335"/>
      <c r="G736" s="2">
        <f>ROUND(E736*$C736,0)</f>
        <v>0</v>
      </c>
      <c r="H736" s="2">
        <f>ROUND(E736*$D736,0)</f>
        <v>0</v>
      </c>
      <c r="I736" s="382">
        <f t="shared" si="61"/>
        <v>1450</v>
      </c>
      <c r="J736" s="322"/>
      <c r="K736" s="2">
        <f>ROUND(I736*$D736,0)</f>
        <v>0</v>
      </c>
      <c r="M736" s="84">
        <f>I736*D736</f>
        <v>0</v>
      </c>
      <c r="O736" s="14"/>
    </row>
    <row r="737" spans="1:15">
      <c r="A737" s="321" t="s">
        <v>397</v>
      </c>
      <c r="B737" s="1"/>
      <c r="C737" s="317">
        <f>SUM(C735:C736)</f>
        <v>13</v>
      </c>
      <c r="D737" s="317">
        <f>SUM(D735:D736)</f>
        <v>12</v>
      </c>
      <c r="E737" s="382" t="str">
        <f t="shared" si="60"/>
        <v xml:space="preserve"> </v>
      </c>
      <c r="F737" s="335"/>
      <c r="G737" s="2" t="s">
        <v>31</v>
      </c>
      <c r="H737" s="2" t="s">
        <v>31</v>
      </c>
      <c r="I737" s="382" t="str">
        <f t="shared" si="61"/>
        <v xml:space="preserve"> </v>
      </c>
      <c r="J737" s="319"/>
      <c r="K737" s="2" t="s">
        <v>31</v>
      </c>
    </row>
    <row r="738" spans="1:15">
      <c r="A738" s="321" t="s">
        <v>476</v>
      </c>
      <c r="B738" s="1"/>
      <c r="C738" s="317">
        <f>16660</f>
        <v>16660</v>
      </c>
      <c r="D738" s="317">
        <f>ROUND(($D$758/$C$758)*C738,0)</f>
        <v>22366</v>
      </c>
      <c r="E738" s="382">
        <f t="shared" si="60"/>
        <v>0.83</v>
      </c>
      <c r="F738" s="335"/>
      <c r="G738" s="2">
        <f>ROUND(E738*$C738,0)</f>
        <v>13828</v>
      </c>
      <c r="H738" s="2">
        <f>ROUND(E738*$D738,0)</f>
        <v>18564</v>
      </c>
      <c r="I738" s="382">
        <f t="shared" si="61"/>
        <v>0.91</v>
      </c>
      <c r="J738" s="319"/>
      <c r="K738" s="2">
        <f>ROUND(I738*$D738,0)</f>
        <v>20353</v>
      </c>
      <c r="M738" s="84">
        <f>I738*D738</f>
        <v>20353.060000000001</v>
      </c>
      <c r="O738" s="14"/>
    </row>
    <row r="739" spans="1:15">
      <c r="A739" s="321" t="s">
        <v>477</v>
      </c>
      <c r="B739" s="1"/>
      <c r="C739" s="317">
        <v>0</v>
      </c>
      <c r="D739" s="317">
        <v>0</v>
      </c>
      <c r="E739" s="382">
        <f t="shared" si="60"/>
        <v>0.76</v>
      </c>
      <c r="F739" s="335"/>
      <c r="G739" s="2">
        <f>ROUND(E739*$C739,0)</f>
        <v>0</v>
      </c>
      <c r="H739" s="2">
        <f>ROUND(E739*$D739,0)</f>
        <v>0</v>
      </c>
      <c r="I739" s="382">
        <f t="shared" si="61"/>
        <v>0.83</v>
      </c>
      <c r="J739" s="319"/>
      <c r="K739" s="2">
        <f>ROUND(I739*$D739,0)</f>
        <v>0</v>
      </c>
      <c r="M739" s="84">
        <f>I739*D739</f>
        <v>0</v>
      </c>
    </row>
    <row r="740" spans="1:15">
      <c r="A740" s="307" t="s">
        <v>406</v>
      </c>
      <c r="B740" s="1"/>
      <c r="C740" s="317">
        <f>11800</f>
        <v>11800</v>
      </c>
      <c r="D740" s="317">
        <f>ROUND(($D$758/$C$758)*C740,0)</f>
        <v>15841</v>
      </c>
      <c r="E740" s="382">
        <f t="shared" si="60"/>
        <v>5.52</v>
      </c>
      <c r="F740" s="335"/>
      <c r="G740" s="2">
        <f>ROUND(E740*$C740,0)</f>
        <v>65136</v>
      </c>
      <c r="H740" s="2">
        <f>ROUND(E740*$D740,0)</f>
        <v>87442</v>
      </c>
      <c r="I740" s="382">
        <f t="shared" si="61"/>
        <v>6.03</v>
      </c>
      <c r="J740" s="319"/>
      <c r="K740" s="2">
        <f>ROUND(I740*$D740,0)</f>
        <v>95521</v>
      </c>
      <c r="M740" s="84">
        <f>I740*D740</f>
        <v>95521.23000000001</v>
      </c>
    </row>
    <row r="741" spans="1:15">
      <c r="A741" s="321" t="s">
        <v>429</v>
      </c>
      <c r="B741" s="1"/>
      <c r="C741" s="317"/>
      <c r="D741" s="317"/>
      <c r="E741" s="382"/>
      <c r="F741" s="335"/>
      <c r="G741" s="2"/>
      <c r="H741" s="2"/>
      <c r="I741" s="382"/>
      <c r="J741" s="319"/>
      <c r="K741" s="2"/>
    </row>
    <row r="742" spans="1:15">
      <c r="A742" s="321" t="s">
        <v>467</v>
      </c>
      <c r="B742" s="1"/>
      <c r="C742" s="317">
        <f>1815160</f>
        <v>1815160</v>
      </c>
      <c r="D742" s="317">
        <f>ROUND(($D$758/$C$758)*C742,0)</f>
        <v>2436796</v>
      </c>
      <c r="E742" s="385">
        <f>E801</f>
        <v>3.2050000000000001</v>
      </c>
      <c r="F742" s="319" t="s">
        <v>377</v>
      </c>
      <c r="G742" s="2">
        <f>ROUND(E742/100*$C742,0)</f>
        <v>58176</v>
      </c>
      <c r="H742" s="2">
        <f>ROUND(E742/100*$D742,0)</f>
        <v>78099</v>
      </c>
      <c r="I742" s="385">
        <f>I801</f>
        <v>3.4990000000000001</v>
      </c>
      <c r="J742" s="319" t="s">
        <v>377</v>
      </c>
      <c r="K742" s="2">
        <f>ROUND(I742/100*$D742,0)</f>
        <v>85263</v>
      </c>
      <c r="M742" s="84">
        <f>(I742/100)*D742</f>
        <v>85263.492039999997</v>
      </c>
    </row>
    <row r="743" spans="1:15">
      <c r="A743" s="321" t="s">
        <v>403</v>
      </c>
      <c r="B743" s="1"/>
      <c r="C743" s="317">
        <f>52276</f>
        <v>52276</v>
      </c>
      <c r="D743" s="317">
        <f>ROUND(($D$758/$C$758)*C743,0)</f>
        <v>70179</v>
      </c>
      <c r="E743" s="382">
        <f>E802</f>
        <v>0.45</v>
      </c>
      <c r="F743" s="319"/>
      <c r="G743" s="2">
        <f>ROUND(E743*$C743,0)</f>
        <v>23524</v>
      </c>
      <c r="H743" s="2">
        <f>ROUND(E743*$D743,0)</f>
        <v>31581</v>
      </c>
      <c r="I743" s="382">
        <f>I802</f>
        <v>0.45</v>
      </c>
      <c r="J743" s="319"/>
      <c r="K743" s="2">
        <f>ROUND(I743*$D743,0)</f>
        <v>31581</v>
      </c>
      <c r="M743" s="84">
        <f>I743*D743</f>
        <v>31580.55</v>
      </c>
      <c r="N743" s="317"/>
    </row>
    <row r="744" spans="1:15">
      <c r="A744" s="307" t="s">
        <v>431</v>
      </c>
      <c r="B744" s="1"/>
      <c r="C744" s="317">
        <v>0</v>
      </c>
      <c r="D744" s="317">
        <v>0</v>
      </c>
      <c r="E744" s="386">
        <v>5.9999999999999995E-4</v>
      </c>
      <c r="F744" s="319"/>
      <c r="G744" s="2">
        <f>ROUND(E744*$C744,0)</f>
        <v>0</v>
      </c>
      <c r="H744" s="2">
        <f>ROUND(E744*$D744,0)</f>
        <v>0</v>
      </c>
      <c r="I744" s="386">
        <v>5.9999999999999995E-4</v>
      </c>
      <c r="J744" s="319"/>
      <c r="K744" s="2">
        <f>ROUND(I744*$D744,0)</f>
        <v>0</v>
      </c>
      <c r="M744" s="84">
        <f>I744*D744</f>
        <v>0</v>
      </c>
      <c r="N744" s="317"/>
    </row>
    <row r="745" spans="1:15">
      <c r="A745" s="358" t="s">
        <v>404</v>
      </c>
      <c r="B745" s="1"/>
      <c r="C745" s="317"/>
      <c r="D745" s="317"/>
      <c r="E745" s="387">
        <f>E803</f>
        <v>-0.01</v>
      </c>
      <c r="F745" s="330"/>
      <c r="G745" s="2"/>
      <c r="H745" s="2"/>
      <c r="I745" s="387">
        <f>I803</f>
        <v>-0.01</v>
      </c>
      <c r="J745" s="359"/>
      <c r="K745" s="2"/>
    </row>
    <row r="746" spans="1:15">
      <c r="A746" s="321" t="s">
        <v>474</v>
      </c>
      <c r="B746" s="1"/>
      <c r="C746" s="317">
        <v>0</v>
      </c>
      <c r="D746" s="317">
        <v>0</v>
      </c>
      <c r="E746" s="382">
        <f>E735</f>
        <v>1100</v>
      </c>
      <c r="F746" s="332"/>
      <c r="G746" s="319">
        <f>ROUND(E746*$C746*$E$803,0)</f>
        <v>0</v>
      </c>
      <c r="H746" s="319">
        <f>ROUND(E746*$D746*$E$803,0)</f>
        <v>0</v>
      </c>
      <c r="I746" s="382">
        <f>I735</f>
        <v>1205</v>
      </c>
      <c r="J746" s="319"/>
      <c r="K746" s="319">
        <f>ROUND(I746*$D746*$E$803,0)</f>
        <v>0</v>
      </c>
      <c r="M746" s="84">
        <f>-(I746*D746)/100</f>
        <v>0</v>
      </c>
    </row>
    <row r="747" spans="1:15">
      <c r="A747" s="321" t="s">
        <v>475</v>
      </c>
      <c r="B747" s="1"/>
      <c r="C747" s="317">
        <f>C736</f>
        <v>0</v>
      </c>
      <c r="D747" s="317">
        <v>0</v>
      </c>
      <c r="E747" s="382">
        <f>E736</f>
        <v>1325</v>
      </c>
      <c r="F747" s="332"/>
      <c r="G747" s="319">
        <f>ROUND(E747*$C747*$E$803,0)</f>
        <v>0</v>
      </c>
      <c r="H747" s="319">
        <f>ROUND(E747*$D747*$E$803,0)</f>
        <v>0</v>
      </c>
      <c r="I747" s="382">
        <f>I736</f>
        <v>1450</v>
      </c>
      <c r="J747" s="319"/>
      <c r="K747" s="319">
        <f>ROUND(I747*$D747*$E$803,0)</f>
        <v>0</v>
      </c>
      <c r="M747" s="84">
        <f>-(I747*D747)/100</f>
        <v>0</v>
      </c>
    </row>
    <row r="748" spans="1:15">
      <c r="A748" s="321" t="s">
        <v>476</v>
      </c>
      <c r="B748" s="1"/>
      <c r="C748" s="317">
        <v>0</v>
      </c>
      <c r="D748" s="317">
        <v>0</v>
      </c>
      <c r="E748" s="382">
        <f>E738</f>
        <v>0.83</v>
      </c>
      <c r="F748" s="332"/>
      <c r="G748" s="319">
        <f>ROUND(E748*$C748*$E$803,0)</f>
        <v>0</v>
      </c>
      <c r="H748" s="319">
        <f>ROUND(E748*$D748*$E$803,0)</f>
        <v>0</v>
      </c>
      <c r="I748" s="382">
        <f>I738</f>
        <v>0.91</v>
      </c>
      <c r="J748" s="319"/>
      <c r="K748" s="319">
        <f>ROUND(I748*$D748*$E$803,0)</f>
        <v>0</v>
      </c>
      <c r="M748" s="84">
        <f>-(I748*D748)/100</f>
        <v>0</v>
      </c>
    </row>
    <row r="749" spans="1:15">
      <c r="A749" s="321" t="s">
        <v>477</v>
      </c>
      <c r="B749" s="1"/>
      <c r="C749" s="317">
        <f>C739</f>
        <v>0</v>
      </c>
      <c r="D749" s="317">
        <v>0</v>
      </c>
      <c r="E749" s="382">
        <f>E739</f>
        <v>0.76</v>
      </c>
      <c r="F749" s="332"/>
      <c r="G749" s="319">
        <f>ROUND(E749*$C749*$E$803,0)</f>
        <v>0</v>
      </c>
      <c r="H749" s="319">
        <f>ROUND(E749*$D749*$E$803,0)</f>
        <v>0</v>
      </c>
      <c r="I749" s="382">
        <f>I739</f>
        <v>0.83</v>
      </c>
      <c r="J749" s="319"/>
      <c r="K749" s="319">
        <f>ROUND(I749*$D749*$E$803,0)</f>
        <v>0</v>
      </c>
      <c r="M749" s="84">
        <f>-(I749*D749)/100</f>
        <v>0</v>
      </c>
    </row>
    <row r="750" spans="1:15">
      <c r="A750" s="307" t="s">
        <v>406</v>
      </c>
      <c r="B750" s="378"/>
      <c r="C750" s="317">
        <v>0</v>
      </c>
      <c r="D750" s="317">
        <v>0</v>
      </c>
      <c r="E750" s="382">
        <f>E740</f>
        <v>5.52</v>
      </c>
      <c r="F750" s="335"/>
      <c r="G750" s="319">
        <f>ROUND(E750*$C750*$E$803,0)</f>
        <v>0</v>
      </c>
      <c r="H750" s="319">
        <f>ROUND(E750*$D750*$E$803,0)</f>
        <v>0</v>
      </c>
      <c r="I750" s="382">
        <f>I740</f>
        <v>6.03</v>
      </c>
      <c r="J750" s="319"/>
      <c r="K750" s="319">
        <f>ROUND(I750*$D750*$E$803,0)</f>
        <v>0</v>
      </c>
      <c r="M750" s="84">
        <f>-(I750*D750)/100</f>
        <v>0</v>
      </c>
    </row>
    <row r="751" spans="1:15">
      <c r="A751" s="321" t="s">
        <v>467</v>
      </c>
      <c r="B751" s="1"/>
      <c r="C751" s="317">
        <v>0</v>
      </c>
      <c r="D751" s="317">
        <v>0</v>
      </c>
      <c r="E751" s="388">
        <f>E742</f>
        <v>3.2050000000000001</v>
      </c>
      <c r="F751" s="319" t="s">
        <v>377</v>
      </c>
      <c r="G751" s="319">
        <f>ROUND(E751/100*$C751*$E$803,0)</f>
        <v>0</v>
      </c>
      <c r="H751" s="319">
        <f>ROUND(E751/100*$D751*$E$803,0)</f>
        <v>0</v>
      </c>
      <c r="I751" s="388">
        <f>I742</f>
        <v>3.4990000000000001</v>
      </c>
      <c r="J751" s="319" t="s">
        <v>377</v>
      </c>
      <c r="K751" s="319">
        <f>ROUND(I751/100*$D751*$E$803,0)</f>
        <v>0</v>
      </c>
      <c r="M751" s="84">
        <f>-((I751*D751)/100)/100</f>
        <v>0</v>
      </c>
    </row>
    <row r="752" spans="1:15">
      <c r="A752" s="321" t="s">
        <v>403</v>
      </c>
      <c r="B752" s="1"/>
      <c r="C752" s="317">
        <v>0</v>
      </c>
      <c r="D752" s="317">
        <v>0</v>
      </c>
      <c r="E752" s="382">
        <f>E743</f>
        <v>0.45</v>
      </c>
      <c r="F752" s="319"/>
      <c r="G752" s="319">
        <f>ROUND(E752*$C752*$E$803,0)</f>
        <v>0</v>
      </c>
      <c r="H752" s="319">
        <f>ROUND(E752*$D752*$E$803,0)</f>
        <v>0</v>
      </c>
      <c r="I752" s="382">
        <f>I743</f>
        <v>0.45</v>
      </c>
      <c r="J752" s="319"/>
      <c r="K752" s="319">
        <f>ROUND(I752*$D752*$E$803,0)</f>
        <v>0</v>
      </c>
      <c r="M752" s="84">
        <f>-(I752*D752)/100</f>
        <v>0</v>
      </c>
    </row>
    <row r="753" spans="1:19">
      <c r="A753" s="307" t="s">
        <v>478</v>
      </c>
      <c r="B753" s="1"/>
      <c r="C753" s="317">
        <v>0</v>
      </c>
      <c r="D753" s="317">
        <v>0</v>
      </c>
      <c r="E753" s="382">
        <f>E811</f>
        <v>60</v>
      </c>
      <c r="F753" s="335"/>
      <c r="G753" s="319">
        <f>ROUND(E753*$C753,0)</f>
        <v>0</v>
      </c>
      <c r="H753" s="319">
        <f>ROUND(E753*$D753,0)</f>
        <v>0</v>
      </c>
      <c r="I753" s="382">
        <f>I811</f>
        <v>60</v>
      </c>
      <c r="J753" s="319"/>
      <c r="K753" s="319">
        <f>ROUND(I753*$D753,0)</f>
        <v>0</v>
      </c>
      <c r="M753" s="84">
        <f>-(I753*D753)/100</f>
        <v>0</v>
      </c>
    </row>
    <row r="754" spans="1:19">
      <c r="A754" s="307" t="s">
        <v>447</v>
      </c>
      <c r="B754" s="1"/>
      <c r="C754" s="317">
        <v>0</v>
      </c>
      <c r="D754" s="317">
        <v>0</v>
      </c>
      <c r="E754" s="382">
        <f>E812</f>
        <v>-0.3</v>
      </c>
      <c r="F754" s="319"/>
      <c r="G754" s="319">
        <f>ROUND(E754*$C754,0)</f>
        <v>0</v>
      </c>
      <c r="H754" s="319">
        <f>ROUND(E754*$D754,0)</f>
        <v>0</v>
      </c>
      <c r="I754" s="382">
        <f>I812</f>
        <v>-0.75</v>
      </c>
      <c r="J754" s="319"/>
      <c r="K754" s="319">
        <f>ROUND(I754*$D754,0)</f>
        <v>0</v>
      </c>
      <c r="M754" s="84">
        <f>-(I754*D754)/100</f>
        <v>0</v>
      </c>
    </row>
    <row r="755" spans="1:19">
      <c r="A755" s="307" t="s">
        <v>436</v>
      </c>
      <c r="B755" s="1"/>
      <c r="C755" s="317">
        <f>200</f>
        <v>200</v>
      </c>
      <c r="D755" s="317">
        <f>ROUND(($D$758/$C$758)*C755,0)</f>
        <v>268</v>
      </c>
      <c r="E755" s="389">
        <f>ROUND(E740/2,3)</f>
        <v>2.76</v>
      </c>
      <c r="F755" s="319"/>
      <c r="G755" s="319">
        <f>ROUND(E755*$C755,0)</f>
        <v>552</v>
      </c>
      <c r="H755" s="319">
        <f>ROUND(E755*$D755,0)</f>
        <v>740</v>
      </c>
      <c r="I755" s="389">
        <f>ROUND(I740/2,3)</f>
        <v>3.0150000000000001</v>
      </c>
      <c r="J755" s="319"/>
      <c r="K755" s="319">
        <f>ROUND($D755*I755,0)</f>
        <v>808</v>
      </c>
      <c r="M755" s="84">
        <f>I755*D755</f>
        <v>808.02</v>
      </c>
    </row>
    <row r="756" spans="1:19">
      <c r="A756" s="307" t="s">
        <v>437</v>
      </c>
      <c r="B756" s="1"/>
      <c r="C756" s="317">
        <v>240</v>
      </c>
      <c r="D756" s="317">
        <f>ROUND(($D$758/$C$758)*C756,0)</f>
        <v>322</v>
      </c>
      <c r="E756" s="332">
        <f>E740*4</f>
        <v>22.08</v>
      </c>
      <c r="F756" s="319"/>
      <c r="G756" s="319">
        <f>ROUND(E756*$C756,0)</f>
        <v>5299</v>
      </c>
      <c r="H756" s="319">
        <f>ROUND(E756*$D756,0)</f>
        <v>7110</v>
      </c>
      <c r="I756" s="332">
        <f>I740*4</f>
        <v>24.12</v>
      </c>
      <c r="J756" s="319"/>
      <c r="K756" s="319">
        <f>ROUND($D756*I756,0)</f>
        <v>7767</v>
      </c>
      <c r="M756" s="84">
        <f>I756*D756</f>
        <v>7766.64</v>
      </c>
    </row>
    <row r="757" spans="1:19">
      <c r="A757" s="3" t="s">
        <v>438</v>
      </c>
      <c r="B757" s="301"/>
      <c r="C757" s="317">
        <v>4840</v>
      </c>
      <c r="D757" s="317">
        <f>ROUND(($D$758/$C$758)*C757,0)</f>
        <v>6498</v>
      </c>
      <c r="E757" s="390">
        <f>E742*4</f>
        <v>12.82</v>
      </c>
      <c r="F757" s="319" t="s">
        <v>377</v>
      </c>
      <c r="G757" s="319">
        <f>ROUND($C757*E757/100,0)</f>
        <v>620</v>
      </c>
      <c r="H757" s="319">
        <f>ROUND($D757*E757/100,0)</f>
        <v>833</v>
      </c>
      <c r="I757" s="390">
        <f>I742*4</f>
        <v>13.996</v>
      </c>
      <c r="J757" s="319" t="s">
        <v>377</v>
      </c>
      <c r="K757" s="319">
        <f>ROUND($D757*I757/100,0)</f>
        <v>909</v>
      </c>
      <c r="M757" s="84">
        <f>(I757/100)*D757</f>
        <v>909.46008000000006</v>
      </c>
    </row>
    <row r="758" spans="1:19">
      <c r="A758" s="1" t="s">
        <v>384</v>
      </c>
      <c r="B758" s="1"/>
      <c r="C758" s="317">
        <f>C742</f>
        <v>1815160</v>
      </c>
      <c r="D758" s="317">
        <v>2436796.4482688801</v>
      </c>
      <c r="E758" s="328"/>
      <c r="F758" s="2"/>
      <c r="G758" s="2">
        <f>SUM(G735:G757)</f>
        <v>181435</v>
      </c>
      <c r="H758" s="2">
        <f>SUM(H735:H757)</f>
        <v>237569</v>
      </c>
      <c r="I758" s="328"/>
      <c r="J758" s="1"/>
      <c r="K758" s="2">
        <f>SUM(K735:K757)</f>
        <v>256662</v>
      </c>
      <c r="M758" s="84">
        <f>SUM(M735:M757)</f>
        <v>256662.45212</v>
      </c>
    </row>
    <row r="759" spans="1:19">
      <c r="A759" s="1" t="s">
        <v>366</v>
      </c>
      <c r="B759" s="1"/>
      <c r="C759" s="317">
        <v>-198469.54929823201</v>
      </c>
      <c r="D759" s="317">
        <v>0</v>
      </c>
      <c r="E759" s="307"/>
      <c r="F759" s="307"/>
      <c r="G759" s="339">
        <v>-15809.382749483628</v>
      </c>
      <c r="H759" s="339">
        <v>0</v>
      </c>
      <c r="I759" s="307"/>
      <c r="J759" s="307"/>
      <c r="K759" s="339">
        <v>0</v>
      </c>
    </row>
    <row r="760" spans="1:19" ht="16.5" thickBot="1">
      <c r="A760" s="1" t="s">
        <v>385</v>
      </c>
      <c r="B760" s="1"/>
      <c r="C760" s="391">
        <f>SUM(C758)+C759</f>
        <v>1616690.450701768</v>
      </c>
      <c r="D760" s="391">
        <f>SUM(D742)+D759</f>
        <v>2436796</v>
      </c>
      <c r="E760" s="340"/>
      <c r="F760" s="341"/>
      <c r="G760" s="342">
        <f>G758+G759</f>
        <v>165625.61725051637</v>
      </c>
      <c r="H760" s="342">
        <f>H758+H759</f>
        <v>237569</v>
      </c>
      <c r="I760" s="340"/>
      <c r="J760" s="343"/>
      <c r="K760" s="342">
        <f>K758+K759</f>
        <v>256662</v>
      </c>
      <c r="N760" s="3" t="s">
        <v>367</v>
      </c>
      <c r="O760" s="69" t="e">
        <f>#REF!*1000</f>
        <v>#REF!</v>
      </c>
    </row>
    <row r="761" spans="1:19" ht="16.5" thickTop="1">
      <c r="A761" s="1"/>
      <c r="B761" s="1"/>
      <c r="C761" s="21"/>
      <c r="D761" s="21"/>
      <c r="E761" s="335"/>
      <c r="F761" s="2"/>
      <c r="G761" s="2"/>
      <c r="H761" s="2"/>
      <c r="I761" s="335"/>
      <c r="J761" s="1"/>
      <c r="K761" s="378"/>
      <c r="N761" s="3" t="s">
        <v>265</v>
      </c>
      <c r="O761" s="69" t="e">
        <f>O760-K760</f>
        <v>#REF!</v>
      </c>
      <c r="P761" s="14" t="e">
        <f>(O760-K760)/K760</f>
        <v>#REF!</v>
      </c>
    </row>
    <row r="762" spans="1:19">
      <c r="A762" s="291" t="s">
        <v>479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307" t="s">
        <v>480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321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321" t="s">
        <v>396</v>
      </c>
      <c r="B765" s="1"/>
      <c r="C765" s="317"/>
      <c r="D765" s="317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321" t="s">
        <v>474</v>
      </c>
      <c r="B766" s="1"/>
      <c r="C766" s="317">
        <f>C794+C877</f>
        <v>690</v>
      </c>
      <c r="D766" s="317">
        <f>D794+D877</f>
        <v>680</v>
      </c>
      <c r="E766" s="335">
        <v>1100</v>
      </c>
      <c r="F766" s="335"/>
      <c r="G766" s="2">
        <f>G794+G877</f>
        <v>759000</v>
      </c>
      <c r="H766" s="2">
        <f>H794+H877</f>
        <v>748000</v>
      </c>
      <c r="I766" s="335">
        <v>1205</v>
      </c>
      <c r="J766" s="319"/>
      <c r="K766" s="2">
        <f>K794+K877</f>
        <v>819400</v>
      </c>
      <c r="M766" s="84">
        <f>I766*D766</f>
        <v>819400</v>
      </c>
      <c r="O766" s="14">
        <f>(I766-E766)/E766</f>
        <v>9.5454545454545459E-2</v>
      </c>
      <c r="P766" s="14">
        <f>SUM(K766:K770)/SUM(H766:H770)-1</f>
        <v>9.4617608552899801E-2</v>
      </c>
      <c r="Q766" s="3" t="s">
        <v>374</v>
      </c>
      <c r="R766" s="327">
        <f>E766+(E769*3000)</f>
        <v>3590</v>
      </c>
      <c r="S766" s="327">
        <f>E767+(E770*3001)</f>
        <v>3605.76</v>
      </c>
    </row>
    <row r="767" spans="1:19">
      <c r="A767" s="321" t="s">
        <v>475</v>
      </c>
      <c r="B767" s="1"/>
      <c r="C767" s="317">
        <f>C795+C878</f>
        <v>74</v>
      </c>
      <c r="D767" s="317">
        <f>D795+D878</f>
        <v>74</v>
      </c>
      <c r="E767" s="335">
        <v>1325</v>
      </c>
      <c r="F767" s="335"/>
      <c r="G767" s="2">
        <f>G795+G878</f>
        <v>98050</v>
      </c>
      <c r="H767" s="2">
        <f>H795+H878</f>
        <v>98050</v>
      </c>
      <c r="I767" s="335">
        <v>1450</v>
      </c>
      <c r="J767" s="322"/>
      <c r="K767" s="2">
        <f>K795+K878</f>
        <v>107300</v>
      </c>
      <c r="M767" s="84">
        <f>I767*D767</f>
        <v>107300</v>
      </c>
      <c r="O767" s="14">
        <f>(I767-E767)/E767</f>
        <v>9.4339622641509441E-2</v>
      </c>
      <c r="Q767" s="3" t="s">
        <v>307</v>
      </c>
      <c r="R767" s="327">
        <f>I766+(I769*3000)</f>
        <v>3935</v>
      </c>
      <c r="S767" s="327">
        <f>I767+(I770*3001)</f>
        <v>3940.83</v>
      </c>
    </row>
    <row r="768" spans="1:19">
      <c r="A768" s="321" t="s">
        <v>397</v>
      </c>
      <c r="B768" s="1"/>
      <c r="C768" s="317">
        <f>SUM(C766:C767)</f>
        <v>764</v>
      </c>
      <c r="D768" s="317">
        <f>SUM(D766:D767)</f>
        <v>754</v>
      </c>
      <c r="E768" s="335" t="s">
        <v>31</v>
      </c>
      <c r="F768" s="335"/>
      <c r="G768" s="2"/>
      <c r="H768" s="2"/>
      <c r="I768" s="335" t="s">
        <v>31</v>
      </c>
      <c r="J768" s="319"/>
      <c r="K768" s="2"/>
      <c r="O768" s="318"/>
    </row>
    <row r="769" spans="1:21">
      <c r="A769" s="321" t="s">
        <v>476</v>
      </c>
      <c r="B769" s="1"/>
      <c r="C769" s="317">
        <f t="shared" ref="C769:D771" si="62">C797+C880</f>
        <v>928030</v>
      </c>
      <c r="D769" s="317">
        <f t="shared" si="62"/>
        <v>950060</v>
      </c>
      <c r="E769" s="335">
        <v>0.83</v>
      </c>
      <c r="F769" s="335"/>
      <c r="G769" s="2">
        <f t="shared" ref="G769:H771" si="63">G797+G880</f>
        <v>770265</v>
      </c>
      <c r="H769" s="2">
        <f t="shared" si="63"/>
        <v>788550</v>
      </c>
      <c r="I769" s="335">
        <v>0.91</v>
      </c>
      <c r="J769" s="319"/>
      <c r="K769" s="2">
        <f>K797+K880</f>
        <v>864554</v>
      </c>
      <c r="M769" s="84">
        <f>I769*D769</f>
        <v>864554.6</v>
      </c>
      <c r="O769" s="14">
        <f>(I769-E769)/E769</f>
        <v>9.6385542168674787E-2</v>
      </c>
      <c r="S769" s="327">
        <f>S767-R767</f>
        <v>5.8299999999999272</v>
      </c>
    </row>
    <row r="770" spans="1:21">
      <c r="A770" s="321" t="s">
        <v>477</v>
      </c>
      <c r="B770" s="1"/>
      <c r="C770" s="317">
        <f t="shared" si="62"/>
        <v>1074005</v>
      </c>
      <c r="D770" s="317">
        <f t="shared" si="62"/>
        <v>1043203</v>
      </c>
      <c r="E770" s="335">
        <v>0.76</v>
      </c>
      <c r="F770" s="335"/>
      <c r="G770" s="2">
        <f t="shared" si="63"/>
        <v>816243</v>
      </c>
      <c r="H770" s="2">
        <f t="shared" si="63"/>
        <v>792834</v>
      </c>
      <c r="I770" s="335">
        <v>0.83</v>
      </c>
      <c r="J770" s="319"/>
      <c r="K770" s="2">
        <f>K798+K881</f>
        <v>865858</v>
      </c>
      <c r="M770" s="84">
        <f>I770*D770</f>
        <v>865858.49</v>
      </c>
      <c r="O770" s="14">
        <f>(I770-E770)/E770</f>
        <v>9.2105263157894676E-2</v>
      </c>
      <c r="S770" s="327">
        <f>I770</f>
        <v>0.83</v>
      </c>
    </row>
    <row r="771" spans="1:21">
      <c r="A771" s="307" t="s">
        <v>406</v>
      </c>
      <c r="B771" s="1"/>
      <c r="C771" s="317">
        <f t="shared" si="62"/>
        <v>1739771</v>
      </c>
      <c r="D771" s="317">
        <f t="shared" si="62"/>
        <v>1745147</v>
      </c>
      <c r="E771" s="335">
        <v>5.52</v>
      </c>
      <c r="F771" s="335"/>
      <c r="G771" s="2">
        <f t="shared" si="63"/>
        <v>9603536</v>
      </c>
      <c r="H771" s="2">
        <f t="shared" si="63"/>
        <v>9633212</v>
      </c>
      <c r="I771" s="335">
        <v>6.03</v>
      </c>
      <c r="J771" s="319"/>
      <c r="K771" s="2">
        <f>K799+K882</f>
        <v>10523236</v>
      </c>
      <c r="M771" s="84">
        <f>I771*D771</f>
        <v>10523236.41</v>
      </c>
      <c r="O771" s="14">
        <f>(I771-E771)/E771</f>
        <v>9.239130434782622E-2</v>
      </c>
    </row>
    <row r="772" spans="1:21">
      <c r="A772" s="321" t="s">
        <v>429</v>
      </c>
      <c r="B772" s="1"/>
      <c r="C772" s="317"/>
      <c r="D772" s="317"/>
      <c r="E772" s="335" t="s">
        <v>31</v>
      </c>
      <c r="F772" s="335"/>
      <c r="G772" s="2"/>
      <c r="H772" s="2"/>
      <c r="I772" s="335" t="s">
        <v>31</v>
      </c>
      <c r="J772" s="319"/>
      <c r="K772" s="2"/>
      <c r="O772" s="392"/>
    </row>
    <row r="773" spans="1:21">
      <c r="A773" s="321" t="s">
        <v>467</v>
      </c>
      <c r="B773" s="1"/>
      <c r="C773" s="317">
        <f>C801+C884</f>
        <v>871959257</v>
      </c>
      <c r="D773" s="317">
        <f>D801+D884</f>
        <v>892786384</v>
      </c>
      <c r="E773" s="393">
        <v>3.2050000000000001</v>
      </c>
      <c r="F773" s="319" t="s">
        <v>377</v>
      </c>
      <c r="G773" s="2">
        <f>G801+G884</f>
        <v>27946294</v>
      </c>
      <c r="H773" s="2">
        <f>H801+H884</f>
        <v>28613803</v>
      </c>
      <c r="I773" s="381">
        <v>3.4990000000000001</v>
      </c>
      <c r="J773" s="319" t="s">
        <v>377</v>
      </c>
      <c r="K773" s="2">
        <f>K801+K884</f>
        <v>31238595</v>
      </c>
      <c r="M773" s="84">
        <f>(I773/100)*D773</f>
        <v>31238595.576159999</v>
      </c>
      <c r="O773" s="14">
        <f>(I773-E773)/E773</f>
        <v>9.1731669266770677E-2</v>
      </c>
    </row>
    <row r="774" spans="1:21">
      <c r="A774" s="321" t="s">
        <v>403</v>
      </c>
      <c r="B774" s="1"/>
      <c r="C774" s="317">
        <f>C802+C885</f>
        <v>412832</v>
      </c>
      <c r="D774" s="317">
        <f>D802+D885</f>
        <v>423788</v>
      </c>
      <c r="E774" s="335">
        <v>0.45</v>
      </c>
      <c r="F774" s="319"/>
      <c r="G774" s="2">
        <f>G802+G885</f>
        <v>185774</v>
      </c>
      <c r="H774" s="2">
        <f>H802+H885</f>
        <v>190705</v>
      </c>
      <c r="I774" s="335">
        <v>0.45</v>
      </c>
      <c r="J774" s="319"/>
      <c r="K774" s="2">
        <f>K802+K885</f>
        <v>190705</v>
      </c>
      <c r="M774" s="84">
        <f>I774*D774</f>
        <v>190704.6</v>
      </c>
      <c r="N774" s="318"/>
      <c r="O774" s="14">
        <f>(I774-E774)/E774</f>
        <v>0</v>
      </c>
      <c r="R774" s="3" t="s">
        <v>374</v>
      </c>
      <c r="S774" s="3" t="s">
        <v>307</v>
      </c>
      <c r="T774" s="3" t="s">
        <v>375</v>
      </c>
      <c r="U774" s="3" t="s">
        <v>317</v>
      </c>
    </row>
    <row r="775" spans="1:21">
      <c r="A775" s="358" t="s">
        <v>404</v>
      </c>
      <c r="B775" s="1"/>
      <c r="C775" s="317"/>
      <c r="D775" s="317"/>
      <c r="E775" s="330">
        <v>-0.01</v>
      </c>
      <c r="F775" s="330"/>
      <c r="G775" s="2"/>
      <c r="H775" s="2"/>
      <c r="I775" s="330">
        <v>-0.01</v>
      </c>
      <c r="J775" s="359"/>
      <c r="K775" s="2"/>
      <c r="Q775" s="3" t="s">
        <v>445</v>
      </c>
      <c r="R775" s="106">
        <f>SUM(H766:H770)+SUM(H735:H739)</f>
        <v>2459198</v>
      </c>
      <c r="S775" s="106">
        <f>SUM(K766:K770)+SUM(K735:K739)</f>
        <v>2691925</v>
      </c>
      <c r="T775" s="106">
        <v>3831772.5730205807</v>
      </c>
      <c r="U775" s="235">
        <f>S775/T775</f>
        <v>0.70252734177225962</v>
      </c>
    </row>
    <row r="776" spans="1:21">
      <c r="A776" s="321" t="s">
        <v>474</v>
      </c>
      <c r="B776" s="1"/>
      <c r="C776" s="317">
        <f t="shared" ref="C776:D786" si="64">C804+C887</f>
        <v>155</v>
      </c>
      <c r="D776" s="317">
        <f t="shared" si="64"/>
        <v>152</v>
      </c>
      <c r="E776" s="332">
        <f>E766</f>
        <v>1100</v>
      </c>
      <c r="F776" s="332"/>
      <c r="G776" s="319">
        <f t="shared" ref="G776:H786" si="65">G804+G887</f>
        <v>-1705</v>
      </c>
      <c r="H776" s="319">
        <f t="shared" si="65"/>
        <v>-1672</v>
      </c>
      <c r="I776" s="332">
        <f>I766</f>
        <v>1205</v>
      </c>
      <c r="J776" s="319"/>
      <c r="K776" s="319">
        <f t="shared" ref="K776:K786" si="66">K804+K887</f>
        <v>-1832</v>
      </c>
      <c r="M776" s="84">
        <f>-(I776/100)*D776</f>
        <v>-1831.6000000000001</v>
      </c>
      <c r="Q776" s="3" t="s">
        <v>409</v>
      </c>
      <c r="R776" s="106">
        <f>H771</f>
        <v>9633212</v>
      </c>
      <c r="S776" s="106">
        <f>K771</f>
        <v>10523236</v>
      </c>
      <c r="T776" s="106">
        <v>5205301.8106998745</v>
      </c>
      <c r="U776" s="235">
        <f>S776/T776</f>
        <v>2.0216380111463907</v>
      </c>
    </row>
    <row r="777" spans="1:21">
      <c r="A777" s="321" t="s">
        <v>475</v>
      </c>
      <c r="B777" s="1"/>
      <c r="C777" s="317">
        <f t="shared" si="64"/>
        <v>49</v>
      </c>
      <c r="D777" s="317">
        <f t="shared" si="64"/>
        <v>49</v>
      </c>
      <c r="E777" s="332">
        <f>E767</f>
        <v>1325</v>
      </c>
      <c r="F777" s="332"/>
      <c r="G777" s="319">
        <f t="shared" si="65"/>
        <v>-650</v>
      </c>
      <c r="H777" s="319">
        <f t="shared" si="65"/>
        <v>-650</v>
      </c>
      <c r="I777" s="332">
        <f>I767</f>
        <v>1450</v>
      </c>
      <c r="J777" s="319"/>
      <c r="K777" s="319">
        <f t="shared" si="66"/>
        <v>-711</v>
      </c>
      <c r="M777" s="84">
        <f>-(I777/100)*D777</f>
        <v>-710.5</v>
      </c>
      <c r="Q777" s="3" t="s">
        <v>379</v>
      </c>
      <c r="R777" s="106">
        <f>H773</f>
        <v>28613803</v>
      </c>
      <c r="S777" s="106">
        <f>K773</f>
        <v>31238595</v>
      </c>
      <c r="T777" s="106">
        <v>38185452.241358206</v>
      </c>
      <c r="U777" s="235">
        <f>S777/T777</f>
        <v>0.81807581595605283</v>
      </c>
    </row>
    <row r="778" spans="1:21">
      <c r="A778" s="321" t="s">
        <v>476</v>
      </c>
      <c r="B778" s="1"/>
      <c r="C778" s="317">
        <f t="shared" si="64"/>
        <v>215573</v>
      </c>
      <c r="D778" s="317">
        <f t="shared" si="64"/>
        <v>213423</v>
      </c>
      <c r="E778" s="332">
        <f>E769</f>
        <v>0.83</v>
      </c>
      <c r="F778" s="332"/>
      <c r="G778" s="319">
        <f t="shared" si="65"/>
        <v>-1789</v>
      </c>
      <c r="H778" s="319">
        <f t="shared" si="65"/>
        <v>-1771</v>
      </c>
      <c r="I778" s="332">
        <f>I769</f>
        <v>0.91</v>
      </c>
      <c r="J778" s="319"/>
      <c r="K778" s="319">
        <f t="shared" si="66"/>
        <v>-1942</v>
      </c>
      <c r="M778" s="84">
        <f>-(I778/100)*D778</f>
        <v>-1942.1493</v>
      </c>
    </row>
    <row r="779" spans="1:21">
      <c r="A779" s="321" t="s">
        <v>477</v>
      </c>
      <c r="B779" s="1"/>
      <c r="C779" s="317">
        <f t="shared" si="64"/>
        <v>972802</v>
      </c>
      <c r="D779" s="317">
        <f t="shared" si="64"/>
        <v>935824</v>
      </c>
      <c r="E779" s="332">
        <f>E770</f>
        <v>0.76</v>
      </c>
      <c r="F779" s="332"/>
      <c r="G779" s="319">
        <f t="shared" si="65"/>
        <v>-7393</v>
      </c>
      <c r="H779" s="319">
        <f t="shared" si="65"/>
        <v>-7112</v>
      </c>
      <c r="I779" s="332">
        <f>I770</f>
        <v>0.83</v>
      </c>
      <c r="J779" s="319"/>
      <c r="K779" s="319">
        <f t="shared" si="66"/>
        <v>-7767</v>
      </c>
      <c r="M779" s="84">
        <f>-(I779/100)*D779</f>
        <v>-7767.3392000000003</v>
      </c>
    </row>
    <row r="780" spans="1:21">
      <c r="A780" s="307" t="s">
        <v>406</v>
      </c>
      <c r="B780" s="378"/>
      <c r="C780" s="317">
        <f t="shared" si="64"/>
        <v>1070224</v>
      </c>
      <c r="D780" s="317">
        <f t="shared" si="64"/>
        <v>1048404</v>
      </c>
      <c r="E780" s="332">
        <f>E771</f>
        <v>5.52</v>
      </c>
      <c r="F780" s="335"/>
      <c r="G780" s="319">
        <f t="shared" si="65"/>
        <v>-59076</v>
      </c>
      <c r="H780" s="319">
        <f t="shared" si="65"/>
        <v>-57872</v>
      </c>
      <c r="I780" s="332">
        <f>I771</f>
        <v>6.03</v>
      </c>
      <c r="J780" s="319"/>
      <c r="K780" s="319">
        <f t="shared" si="66"/>
        <v>-63218</v>
      </c>
      <c r="M780" s="84">
        <f>-(I780/100)*D780</f>
        <v>-63218.761200000001</v>
      </c>
    </row>
    <row r="781" spans="1:21">
      <c r="A781" s="321" t="s">
        <v>467</v>
      </c>
      <c r="B781" s="1"/>
      <c r="C781" s="317">
        <f t="shared" si="64"/>
        <v>570875201</v>
      </c>
      <c r="D781" s="317">
        <f t="shared" si="64"/>
        <v>579479682</v>
      </c>
      <c r="E781" s="333">
        <f>E773</f>
        <v>3.2050000000000001</v>
      </c>
      <c r="F781" s="319" t="s">
        <v>377</v>
      </c>
      <c r="G781" s="319">
        <f t="shared" si="65"/>
        <v>-182966</v>
      </c>
      <c r="H781" s="319">
        <f t="shared" si="65"/>
        <v>-185723</v>
      </c>
      <c r="I781" s="333">
        <f>I773</f>
        <v>3.4990000000000001</v>
      </c>
      <c r="J781" s="319" t="s">
        <v>377</v>
      </c>
      <c r="K781" s="319">
        <f t="shared" si="66"/>
        <v>-202760</v>
      </c>
      <c r="M781" s="84">
        <f>-((I781/100)*D781)/100</f>
        <v>-202759.94073180002</v>
      </c>
    </row>
    <row r="782" spans="1:21">
      <c r="A782" s="321" t="s">
        <v>403</v>
      </c>
      <c r="B782" s="1"/>
      <c r="C782" s="317">
        <f t="shared" si="64"/>
        <v>220790</v>
      </c>
      <c r="D782" s="317">
        <f t="shared" si="64"/>
        <v>222465</v>
      </c>
      <c r="E782" s="382">
        <f>E774</f>
        <v>0.45</v>
      </c>
      <c r="F782" s="319"/>
      <c r="G782" s="319">
        <f t="shared" si="65"/>
        <v>-993</v>
      </c>
      <c r="H782" s="319">
        <f t="shared" si="65"/>
        <v>-1001</v>
      </c>
      <c r="I782" s="382">
        <f>I774</f>
        <v>0.45</v>
      </c>
      <c r="J782" s="319"/>
      <c r="K782" s="319">
        <f t="shared" si="66"/>
        <v>-1001</v>
      </c>
      <c r="M782" s="84">
        <f>-(I782/100)*D782</f>
        <v>-1001.0925000000001</v>
      </c>
    </row>
    <row r="783" spans="1:21">
      <c r="A783" s="307" t="s">
        <v>478</v>
      </c>
      <c r="B783" s="1"/>
      <c r="C783" s="317">
        <f t="shared" si="64"/>
        <v>204</v>
      </c>
      <c r="D783" s="317">
        <f t="shared" si="64"/>
        <v>201</v>
      </c>
      <c r="E783" s="335">
        <v>60</v>
      </c>
      <c r="F783" s="335"/>
      <c r="G783" s="319">
        <f t="shared" si="65"/>
        <v>12240</v>
      </c>
      <c r="H783" s="319">
        <f t="shared" si="65"/>
        <v>12060</v>
      </c>
      <c r="I783" s="335">
        <v>60</v>
      </c>
      <c r="J783" s="319"/>
      <c r="K783" s="319">
        <f t="shared" si="66"/>
        <v>12060</v>
      </c>
      <c r="M783" s="84">
        <f>I783*D783</f>
        <v>12060</v>
      </c>
      <c r="O783" s="14">
        <f>(I783-E783)/E783</f>
        <v>0</v>
      </c>
    </row>
    <row r="784" spans="1:21">
      <c r="A784" s="307" t="s">
        <v>447</v>
      </c>
      <c r="B784" s="1"/>
      <c r="C784" s="317">
        <f t="shared" si="64"/>
        <v>1188375</v>
      </c>
      <c r="D784" s="317">
        <f t="shared" si="64"/>
        <v>1149247</v>
      </c>
      <c r="E784" s="335">
        <v>-0.3</v>
      </c>
      <c r="F784" s="319"/>
      <c r="G784" s="319">
        <f t="shared" si="65"/>
        <v>-356513</v>
      </c>
      <c r="H784" s="319">
        <f t="shared" si="65"/>
        <v>-344774</v>
      </c>
      <c r="I784" s="335">
        <v>-0.75</v>
      </c>
      <c r="J784" s="319"/>
      <c r="K784" s="319">
        <f t="shared" si="66"/>
        <v>-861936</v>
      </c>
      <c r="M784" s="84">
        <f>I784*D784</f>
        <v>-861935.25</v>
      </c>
      <c r="O784" s="235">
        <v>1.0864172229701943</v>
      </c>
    </row>
    <row r="785" spans="1:17">
      <c r="A785" s="1" t="s">
        <v>384</v>
      </c>
      <c r="B785" s="1"/>
      <c r="C785" s="317">
        <f t="shared" si="64"/>
        <v>871959257</v>
      </c>
      <c r="D785" s="317">
        <f t="shared" si="64"/>
        <v>892786385.17848599</v>
      </c>
      <c r="E785" s="328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84">
        <f>SUM(M766:M784)</f>
        <v>43480543.043228194</v>
      </c>
    </row>
    <row r="786" spans="1:17">
      <c r="A786" s="1" t="s">
        <v>366</v>
      </c>
      <c r="B786" s="1"/>
      <c r="C786" s="317">
        <f t="shared" si="64"/>
        <v>-15462158.225744508</v>
      </c>
      <c r="D786" s="317">
        <f t="shared" si="64"/>
        <v>0</v>
      </c>
      <c r="E786" s="307"/>
      <c r="F786" s="307"/>
      <c r="G786" s="339">
        <f t="shared" si="65"/>
        <v>-584107.65036853903</v>
      </c>
      <c r="H786" s="339">
        <f t="shared" si="65"/>
        <v>0</v>
      </c>
      <c r="I786" s="307"/>
      <c r="J786" s="307"/>
      <c r="K786" s="339">
        <f t="shared" si="66"/>
        <v>0</v>
      </c>
      <c r="Q786" s="274"/>
    </row>
    <row r="787" spans="1:17" ht="16.5" thickBot="1">
      <c r="A787" s="1" t="s">
        <v>385</v>
      </c>
      <c r="B787" s="1"/>
      <c r="C787" s="391">
        <f>SUM(C785)+C786</f>
        <v>856497098.77425551</v>
      </c>
      <c r="D787" s="391">
        <f>SUM(D773)+D786</f>
        <v>892786384</v>
      </c>
      <c r="E787" s="340"/>
      <c r="F787" s="341"/>
      <c r="G787" s="342">
        <f>G785+G786</f>
        <v>38996209.349631459</v>
      </c>
      <c r="H787" s="342">
        <f>H785+H786</f>
        <v>40276639</v>
      </c>
      <c r="I787" s="340"/>
      <c r="J787" s="343"/>
      <c r="K787" s="342">
        <f>K785+K786</f>
        <v>43480541</v>
      </c>
      <c r="N787" s="3" t="s">
        <v>367</v>
      </c>
      <c r="O787" s="69" t="e">
        <f>#REF!*1000</f>
        <v>#REF!</v>
      </c>
    </row>
    <row r="788" spans="1:17" ht="16.5" thickTop="1">
      <c r="A788" s="1"/>
      <c r="B788" s="1"/>
      <c r="C788" s="21"/>
      <c r="D788" s="21"/>
      <c r="E788" s="335"/>
      <c r="F788" s="2"/>
      <c r="G788" s="2"/>
      <c r="H788" s="2"/>
      <c r="I788" s="351" t="s">
        <v>31</v>
      </c>
      <c r="J788" s="1"/>
      <c r="K788" s="2" t="s">
        <v>31</v>
      </c>
      <c r="N788" s="3" t="s">
        <v>265</v>
      </c>
      <c r="O788" s="69" t="e">
        <f>O787-K787</f>
        <v>#REF!</v>
      </c>
      <c r="P788" s="274" t="e">
        <f>(O787-K787)/K787</f>
        <v>#REF!</v>
      </c>
    </row>
    <row r="789" spans="1:17">
      <c r="A789" s="1"/>
      <c r="B789" s="1"/>
      <c r="C789" s="21"/>
      <c r="D789" s="21"/>
      <c r="E789" s="335"/>
      <c r="F789" s="2"/>
      <c r="G789" s="2"/>
      <c r="H789" s="2"/>
      <c r="I789" s="335"/>
      <c r="J789" s="1"/>
      <c r="K789" s="378"/>
    </row>
    <row r="790" spans="1:17">
      <c r="A790" s="291" t="s">
        <v>479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35"/>
      <c r="N790" s="84"/>
      <c r="O790" s="394" t="e">
        <f>O788+O761</f>
        <v>#REF!</v>
      </c>
    </row>
    <row r="791" spans="1:17">
      <c r="A791" s="307" t="s">
        <v>481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321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321" t="s">
        <v>396</v>
      </c>
      <c r="B793" s="1"/>
      <c r="C793" s="317"/>
      <c r="D793" s="317"/>
      <c r="E793" s="2"/>
      <c r="F793" s="2"/>
      <c r="G793" s="1"/>
      <c r="H793" s="1"/>
      <c r="I793" s="2"/>
      <c r="J793" s="1"/>
      <c r="K793" s="1"/>
    </row>
    <row r="794" spans="1:17">
      <c r="A794" s="321" t="s">
        <v>474</v>
      </c>
      <c r="B794" s="1"/>
      <c r="C794" s="317">
        <f>C822+C850</f>
        <v>690</v>
      </c>
      <c r="D794" s="317">
        <f>D822+D850</f>
        <v>680</v>
      </c>
      <c r="E794" s="335">
        <v>1100</v>
      </c>
      <c r="F794" s="335"/>
      <c r="G794" s="2">
        <f>G822+G850</f>
        <v>759000</v>
      </c>
      <c r="H794" s="2">
        <f>H822+H850</f>
        <v>748000</v>
      </c>
      <c r="I794" s="335">
        <f>$I$766</f>
        <v>1205</v>
      </c>
      <c r="J794" s="319"/>
      <c r="K794" s="2">
        <f>K822+K850</f>
        <v>819400</v>
      </c>
    </row>
    <row r="795" spans="1:17">
      <c r="A795" s="321" t="s">
        <v>475</v>
      </c>
      <c r="B795" s="1"/>
      <c r="C795" s="317">
        <f>C823+C851</f>
        <v>62</v>
      </c>
      <c r="D795" s="317">
        <f>D823+D851</f>
        <v>62</v>
      </c>
      <c r="E795" s="335">
        <v>1325</v>
      </c>
      <c r="F795" s="335"/>
      <c r="G795" s="2">
        <f>G823+G851</f>
        <v>82150</v>
      </c>
      <c r="H795" s="2">
        <f>H823+H851</f>
        <v>82150</v>
      </c>
      <c r="I795" s="335">
        <f>$I$767</f>
        <v>1450</v>
      </c>
      <c r="J795" s="322"/>
      <c r="K795" s="2">
        <f>K823+K851</f>
        <v>89900</v>
      </c>
    </row>
    <row r="796" spans="1:17">
      <c r="A796" s="321" t="s">
        <v>397</v>
      </c>
      <c r="B796" s="1"/>
      <c r="C796" s="317">
        <f>SUM(C794:C795)</f>
        <v>752</v>
      </c>
      <c r="D796" s="317">
        <f>SUM(D794:D795)</f>
        <v>742</v>
      </c>
      <c r="E796" s="335" t="s">
        <v>31</v>
      </c>
      <c r="F796" s="335"/>
      <c r="G796" s="2"/>
      <c r="H796" s="2"/>
      <c r="I796" s="335" t="s">
        <v>31</v>
      </c>
      <c r="J796" s="319"/>
      <c r="K796" s="2"/>
    </row>
    <row r="797" spans="1:17">
      <c r="A797" s="321" t="s">
        <v>476</v>
      </c>
      <c r="B797" s="1"/>
      <c r="C797" s="317">
        <f t="shared" ref="C797:D799" si="67">C825+C853</f>
        <v>928030</v>
      </c>
      <c r="D797" s="317">
        <f t="shared" si="67"/>
        <v>950060</v>
      </c>
      <c r="E797" s="335">
        <v>0.83</v>
      </c>
      <c r="F797" s="335"/>
      <c r="G797" s="2">
        <f t="shared" ref="G797:H799" si="68">G825+G853</f>
        <v>770265</v>
      </c>
      <c r="H797" s="2">
        <f t="shared" si="68"/>
        <v>788550</v>
      </c>
      <c r="I797" s="335">
        <f>$I$769</f>
        <v>0.91</v>
      </c>
      <c r="J797" s="319"/>
      <c r="K797" s="2">
        <f>K825+K853</f>
        <v>864554</v>
      </c>
    </row>
    <row r="798" spans="1:17">
      <c r="A798" s="321" t="s">
        <v>477</v>
      </c>
      <c r="B798" s="1"/>
      <c r="C798" s="317">
        <f t="shared" si="67"/>
        <v>868981</v>
      </c>
      <c r="D798" s="317">
        <f t="shared" si="67"/>
        <v>918946</v>
      </c>
      <c r="E798" s="335">
        <v>0.76</v>
      </c>
      <c r="F798" s="335"/>
      <c r="G798" s="2">
        <f t="shared" si="68"/>
        <v>660425</v>
      </c>
      <c r="H798" s="2">
        <f t="shared" si="68"/>
        <v>698399</v>
      </c>
      <c r="I798" s="335">
        <f>$I$770</f>
        <v>0.83</v>
      </c>
      <c r="J798" s="319"/>
      <c r="K798" s="2">
        <f>K826+K854</f>
        <v>762725</v>
      </c>
    </row>
    <row r="799" spans="1:17">
      <c r="A799" s="307" t="s">
        <v>406</v>
      </c>
      <c r="B799" s="1"/>
      <c r="C799" s="317">
        <f t="shared" si="67"/>
        <v>1581133</v>
      </c>
      <c r="D799" s="317">
        <f t="shared" si="67"/>
        <v>1649003</v>
      </c>
      <c r="E799" s="335">
        <v>5.52</v>
      </c>
      <c r="F799" s="335"/>
      <c r="G799" s="2">
        <f t="shared" si="68"/>
        <v>8727854</v>
      </c>
      <c r="H799" s="2">
        <f t="shared" si="68"/>
        <v>9102497</v>
      </c>
      <c r="I799" s="335">
        <f>$I$771</f>
        <v>6.03</v>
      </c>
      <c r="J799" s="319"/>
      <c r="K799" s="2">
        <f>K827+K855</f>
        <v>9943488</v>
      </c>
    </row>
    <row r="800" spans="1:17">
      <c r="A800" s="321" t="s">
        <v>429</v>
      </c>
      <c r="B800" s="1"/>
      <c r="C800" s="317"/>
      <c r="D800" s="317"/>
      <c r="E800" s="335" t="s">
        <v>31</v>
      </c>
      <c r="F800" s="335"/>
      <c r="G800" s="2"/>
      <c r="H800" s="2"/>
      <c r="I800" s="335" t="s">
        <v>31</v>
      </c>
      <c r="J800" s="319"/>
      <c r="K800" s="2"/>
    </row>
    <row r="801" spans="1:15">
      <c r="A801" s="321" t="s">
        <v>467</v>
      </c>
      <c r="B801" s="1"/>
      <c r="C801" s="317">
        <f>C829+C857</f>
        <v>828270257</v>
      </c>
      <c r="D801" s="317">
        <f>D829+D857</f>
        <v>866308148</v>
      </c>
      <c r="E801" s="393">
        <v>3.2050000000000001</v>
      </c>
      <c r="F801" s="319" t="s">
        <v>377</v>
      </c>
      <c r="G801" s="2">
        <f>G829+G857</f>
        <v>26546062</v>
      </c>
      <c r="H801" s="2">
        <f>H829+H857</f>
        <v>27765176</v>
      </c>
      <c r="I801" s="393">
        <f>$I$773</f>
        <v>3.4990000000000001</v>
      </c>
      <c r="J801" s="319" t="s">
        <v>377</v>
      </c>
      <c r="K801" s="2">
        <f>K829+K857</f>
        <v>30312122</v>
      </c>
    </row>
    <row r="802" spans="1:15">
      <c r="A802" s="321" t="s">
        <v>403</v>
      </c>
      <c r="B802" s="1"/>
      <c r="C802" s="317">
        <f>C830+C858</f>
        <v>389844</v>
      </c>
      <c r="D802" s="317">
        <f>D830+D858</f>
        <v>409856</v>
      </c>
      <c r="E802" s="335">
        <v>0.45</v>
      </c>
      <c r="F802" s="319"/>
      <c r="G802" s="2">
        <f>G830+G858</f>
        <v>175429</v>
      </c>
      <c r="H802" s="2">
        <f>H830+H858</f>
        <v>184436</v>
      </c>
      <c r="I802" s="335">
        <f>$I$774</f>
        <v>0.45</v>
      </c>
      <c r="J802" s="319"/>
      <c r="K802" s="2">
        <f>K830+K858</f>
        <v>184436</v>
      </c>
    </row>
    <row r="803" spans="1:15">
      <c r="A803" s="358" t="s">
        <v>404</v>
      </c>
      <c r="B803" s="1"/>
      <c r="C803" s="317"/>
      <c r="D803" s="317"/>
      <c r="E803" s="330">
        <v>-0.01</v>
      </c>
      <c r="F803" s="330"/>
      <c r="G803" s="2"/>
      <c r="H803" s="2"/>
      <c r="I803" s="330">
        <f>$I$775</f>
        <v>-0.01</v>
      </c>
      <c r="J803" s="359"/>
      <c r="K803" s="2"/>
    </row>
    <row r="804" spans="1:15">
      <c r="A804" s="321" t="s">
        <v>474</v>
      </c>
      <c r="B804" s="1"/>
      <c r="C804" s="317">
        <f t="shared" ref="C804:D814" si="69">C832+C860</f>
        <v>155</v>
      </c>
      <c r="D804" s="317">
        <f t="shared" si="69"/>
        <v>152</v>
      </c>
      <c r="E804" s="332">
        <f>E794</f>
        <v>1100</v>
      </c>
      <c r="F804" s="332"/>
      <c r="G804" s="319">
        <f t="shared" ref="G804:H814" si="70">G832+G860</f>
        <v>-1705</v>
      </c>
      <c r="H804" s="319">
        <f t="shared" si="70"/>
        <v>-1672</v>
      </c>
      <c r="I804" s="332">
        <f>I794</f>
        <v>1205</v>
      </c>
      <c r="J804" s="319"/>
      <c r="K804" s="319">
        <f t="shared" ref="K804:K814" si="71">K832+K860</f>
        <v>-1832</v>
      </c>
    </row>
    <row r="805" spans="1:15">
      <c r="A805" s="321" t="s">
        <v>475</v>
      </c>
      <c r="B805" s="1"/>
      <c r="C805" s="317">
        <f t="shared" si="69"/>
        <v>37</v>
      </c>
      <c r="D805" s="317">
        <f t="shared" si="69"/>
        <v>37</v>
      </c>
      <c r="E805" s="332">
        <f>E795</f>
        <v>1325</v>
      </c>
      <c r="F805" s="332"/>
      <c r="G805" s="319">
        <f t="shared" si="70"/>
        <v>-491</v>
      </c>
      <c r="H805" s="319">
        <f t="shared" si="70"/>
        <v>-491</v>
      </c>
      <c r="I805" s="332">
        <f>I795</f>
        <v>1450</v>
      </c>
      <c r="J805" s="319"/>
      <c r="K805" s="319">
        <f t="shared" si="71"/>
        <v>-537</v>
      </c>
    </row>
    <row r="806" spans="1:15">
      <c r="A806" s="321" t="s">
        <v>476</v>
      </c>
      <c r="B806" s="1"/>
      <c r="C806" s="317">
        <f t="shared" si="69"/>
        <v>215573</v>
      </c>
      <c r="D806" s="317">
        <f t="shared" si="69"/>
        <v>213423</v>
      </c>
      <c r="E806" s="332">
        <f>E797</f>
        <v>0.83</v>
      </c>
      <c r="F806" s="332"/>
      <c r="G806" s="319">
        <f t="shared" si="70"/>
        <v>-1789</v>
      </c>
      <c r="H806" s="319">
        <f t="shared" si="70"/>
        <v>-1771</v>
      </c>
      <c r="I806" s="332">
        <f>I797</f>
        <v>0.91</v>
      </c>
      <c r="J806" s="319"/>
      <c r="K806" s="319">
        <f t="shared" si="71"/>
        <v>-1942</v>
      </c>
    </row>
    <row r="807" spans="1:15">
      <c r="A807" s="321" t="s">
        <v>477</v>
      </c>
      <c r="B807" s="1"/>
      <c r="C807" s="317">
        <f t="shared" si="69"/>
        <v>767778</v>
      </c>
      <c r="D807" s="317">
        <f t="shared" si="69"/>
        <v>811567</v>
      </c>
      <c r="E807" s="332">
        <f>E798</f>
        <v>0.76</v>
      </c>
      <c r="F807" s="332"/>
      <c r="G807" s="319">
        <f t="shared" si="70"/>
        <v>-5835</v>
      </c>
      <c r="H807" s="319">
        <f t="shared" si="70"/>
        <v>-6168</v>
      </c>
      <c r="I807" s="332">
        <f>I798</f>
        <v>0.83</v>
      </c>
      <c r="J807" s="319"/>
      <c r="K807" s="319">
        <f t="shared" si="71"/>
        <v>-6736</v>
      </c>
    </row>
    <row r="808" spans="1:15">
      <c r="A808" s="307" t="s">
        <v>406</v>
      </c>
      <c r="B808" s="378"/>
      <c r="C808" s="317">
        <f t="shared" si="69"/>
        <v>911586</v>
      </c>
      <c r="D808" s="317">
        <f t="shared" si="69"/>
        <v>952260</v>
      </c>
      <c r="E808" s="332">
        <f>E799</f>
        <v>5.52</v>
      </c>
      <c r="F808" s="335"/>
      <c r="G808" s="319">
        <f t="shared" si="70"/>
        <v>-50319</v>
      </c>
      <c r="H808" s="319">
        <f t="shared" si="70"/>
        <v>-52565</v>
      </c>
      <c r="I808" s="332">
        <f>I799</f>
        <v>6.03</v>
      </c>
      <c r="J808" s="319"/>
      <c r="K808" s="319">
        <f t="shared" si="71"/>
        <v>-57421</v>
      </c>
    </row>
    <row r="809" spans="1:15">
      <c r="A809" s="321" t="s">
        <v>467</v>
      </c>
      <c r="B809" s="1"/>
      <c r="C809" s="317">
        <f t="shared" si="69"/>
        <v>527186201</v>
      </c>
      <c r="D809" s="317">
        <f t="shared" si="69"/>
        <v>553001446</v>
      </c>
      <c r="E809" s="333">
        <f>E801</f>
        <v>3.2050000000000001</v>
      </c>
      <c r="F809" s="319" t="s">
        <v>377</v>
      </c>
      <c r="G809" s="319">
        <f t="shared" si="70"/>
        <v>-168964</v>
      </c>
      <c r="H809" s="319">
        <f t="shared" si="70"/>
        <v>-177237</v>
      </c>
      <c r="I809" s="333">
        <f>I801</f>
        <v>3.4990000000000001</v>
      </c>
      <c r="J809" s="319" t="s">
        <v>377</v>
      </c>
      <c r="K809" s="319">
        <f t="shared" si="71"/>
        <v>-193495</v>
      </c>
    </row>
    <row r="810" spans="1:15">
      <c r="A810" s="321" t="s">
        <v>403</v>
      </c>
      <c r="B810" s="1"/>
      <c r="C810" s="317">
        <f t="shared" si="69"/>
        <v>197802</v>
      </c>
      <c r="D810" s="317">
        <f t="shared" si="69"/>
        <v>208533</v>
      </c>
      <c r="E810" s="382">
        <f>E802</f>
        <v>0.45</v>
      </c>
      <c r="F810" s="319"/>
      <c r="G810" s="319">
        <f t="shared" si="70"/>
        <v>-890</v>
      </c>
      <c r="H810" s="319">
        <f t="shared" si="70"/>
        <v>-938</v>
      </c>
      <c r="I810" s="382">
        <f>I802</f>
        <v>0.45</v>
      </c>
      <c r="J810" s="319"/>
      <c r="K810" s="319">
        <f t="shared" si="71"/>
        <v>-938</v>
      </c>
    </row>
    <row r="811" spans="1:15">
      <c r="A811" s="307" t="s">
        <v>478</v>
      </c>
      <c r="B811" s="1"/>
      <c r="C811" s="317">
        <f t="shared" si="69"/>
        <v>192</v>
      </c>
      <c r="D811" s="317">
        <f t="shared" si="69"/>
        <v>189</v>
      </c>
      <c r="E811" s="335">
        <v>60</v>
      </c>
      <c r="F811" s="335"/>
      <c r="G811" s="319">
        <f t="shared" si="70"/>
        <v>11520</v>
      </c>
      <c r="H811" s="319">
        <f t="shared" si="70"/>
        <v>11340</v>
      </c>
      <c r="I811" s="335">
        <f>$I$783</f>
        <v>60</v>
      </c>
      <c r="J811" s="319"/>
      <c r="K811" s="319">
        <f t="shared" si="71"/>
        <v>11340</v>
      </c>
    </row>
    <row r="812" spans="1:15">
      <c r="A812" s="307" t="s">
        <v>447</v>
      </c>
      <c r="B812" s="1"/>
      <c r="C812" s="317">
        <f t="shared" si="69"/>
        <v>983351</v>
      </c>
      <c r="D812" s="317">
        <f t="shared" si="69"/>
        <v>1024990</v>
      </c>
      <c r="E812" s="335">
        <v>-0.3</v>
      </c>
      <c r="F812" s="319"/>
      <c r="G812" s="319">
        <f t="shared" si="70"/>
        <v>-295006</v>
      </c>
      <c r="H812" s="319">
        <f t="shared" si="70"/>
        <v>-307497</v>
      </c>
      <c r="I812" s="335">
        <f>$I$784</f>
        <v>-0.75</v>
      </c>
      <c r="J812" s="319"/>
      <c r="K812" s="319">
        <f t="shared" si="71"/>
        <v>-768743</v>
      </c>
    </row>
    <row r="813" spans="1:15">
      <c r="A813" s="1" t="s">
        <v>384</v>
      </c>
      <c r="B813" s="1"/>
      <c r="C813" s="317">
        <f t="shared" si="69"/>
        <v>828270257</v>
      </c>
      <c r="D813" s="317">
        <f t="shared" si="69"/>
        <v>866308148.72444463</v>
      </c>
      <c r="E813" s="328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366</v>
      </c>
      <c r="B814" s="1"/>
      <c r="C814" s="317">
        <f t="shared" si="69"/>
        <v>-14477401.998794576</v>
      </c>
      <c r="D814" s="317">
        <f t="shared" si="69"/>
        <v>0</v>
      </c>
      <c r="E814" s="307"/>
      <c r="F814" s="307"/>
      <c r="G814" s="339">
        <f t="shared" si="70"/>
        <v>-539028.47841944266</v>
      </c>
      <c r="H814" s="339">
        <f t="shared" si="70"/>
        <v>0</v>
      </c>
      <c r="I814" s="307"/>
      <c r="J814" s="307"/>
      <c r="K814" s="339">
        <f t="shared" si="71"/>
        <v>0</v>
      </c>
      <c r="M814" s="287"/>
      <c r="N814" s="287"/>
      <c r="O814" s="288"/>
    </row>
    <row r="815" spans="1:15" ht="16.5" thickBot="1">
      <c r="A815" s="1" t="s">
        <v>385</v>
      </c>
      <c r="B815" s="1"/>
      <c r="C815" s="391">
        <f>SUM(C813)+C814</f>
        <v>813792855.00120544</v>
      </c>
      <c r="D815" s="391">
        <f>SUM(D801)+D814</f>
        <v>866308148</v>
      </c>
      <c r="E815" s="340"/>
      <c r="F815" s="341"/>
      <c r="G815" s="342">
        <f>G813+G814</f>
        <v>36668677.521580555</v>
      </c>
      <c r="H815" s="342">
        <f>H813+H814</f>
        <v>38832209</v>
      </c>
      <c r="I815" s="340"/>
      <c r="J815" s="343"/>
      <c r="K815" s="342">
        <f>K813+K814</f>
        <v>41956321</v>
      </c>
      <c r="M815" s="289"/>
      <c r="N815" s="289"/>
      <c r="O815" s="290"/>
    </row>
    <row r="816" spans="1:15" ht="16.5" thickTop="1">
      <c r="A816" s="1"/>
      <c r="B816" s="1"/>
      <c r="C816" s="21"/>
      <c r="D816" s="21"/>
      <c r="E816" s="335"/>
      <c r="F816" s="2"/>
      <c r="G816" s="2"/>
      <c r="H816" s="2"/>
      <c r="I816" s="351" t="s">
        <v>31</v>
      </c>
      <c r="J816" s="1"/>
      <c r="K816" s="2" t="s">
        <v>31</v>
      </c>
    </row>
    <row r="817" spans="1:11">
      <c r="A817" s="1"/>
      <c r="B817" s="1"/>
      <c r="C817" s="21"/>
      <c r="D817" s="21"/>
      <c r="E817" s="335"/>
      <c r="F817" s="2"/>
      <c r="G817" s="2"/>
      <c r="H817" s="2"/>
      <c r="I817" s="335"/>
      <c r="J817" s="1"/>
      <c r="K817" s="378"/>
    </row>
    <row r="818" spans="1:11">
      <c r="A818" s="291" t="s">
        <v>479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307" t="s">
        <v>482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321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321" t="s">
        <v>396</v>
      </c>
      <c r="B821" s="1"/>
      <c r="C821" s="317"/>
      <c r="D821" s="317"/>
      <c r="E821" s="2"/>
      <c r="F821" s="2"/>
      <c r="G821" s="1"/>
      <c r="H821" s="1"/>
      <c r="I821" s="2"/>
      <c r="J821" s="1"/>
      <c r="K821" s="1"/>
    </row>
    <row r="822" spans="1:11">
      <c r="A822" s="321" t="s">
        <v>474</v>
      </c>
      <c r="B822" s="1"/>
      <c r="C822" s="317">
        <f>133+193</f>
        <v>326</v>
      </c>
      <c r="D822" s="317">
        <v>318</v>
      </c>
      <c r="E822" s="335">
        <v>1100</v>
      </c>
      <c r="F822" s="335"/>
      <c r="G822" s="2">
        <f>ROUND(E822*$C822,0)</f>
        <v>358600</v>
      </c>
      <c r="H822" s="2">
        <f>ROUND(E822*$D822,0)</f>
        <v>349800</v>
      </c>
      <c r="I822" s="335">
        <f>$I$766</f>
        <v>1205</v>
      </c>
      <c r="J822" s="319"/>
      <c r="K822" s="2">
        <f>ROUND(I822*$D822,0)</f>
        <v>383190</v>
      </c>
    </row>
    <row r="823" spans="1:11">
      <c r="A823" s="321" t="s">
        <v>475</v>
      </c>
      <c r="B823" s="1"/>
      <c r="C823" s="317">
        <v>11</v>
      </c>
      <c r="D823" s="317">
        <v>11</v>
      </c>
      <c r="E823" s="335">
        <v>1325</v>
      </c>
      <c r="F823" s="335"/>
      <c r="G823" s="2">
        <f>ROUND(E823*$C823,0)</f>
        <v>14575</v>
      </c>
      <c r="H823" s="2">
        <f>ROUND(E823*$D823,0)</f>
        <v>14575</v>
      </c>
      <c r="I823" s="335">
        <f>$I$767</f>
        <v>1450</v>
      </c>
      <c r="J823" s="322"/>
      <c r="K823" s="2">
        <f>ROUND(I823*$D823,0)</f>
        <v>15950</v>
      </c>
    </row>
    <row r="824" spans="1:11">
      <c r="A824" s="321" t="s">
        <v>397</v>
      </c>
      <c r="B824" s="1"/>
      <c r="C824" s="317">
        <f>SUM(C822:C823)</f>
        <v>337</v>
      </c>
      <c r="D824" s="317">
        <f>SUM(D822:D823)</f>
        <v>329</v>
      </c>
      <c r="E824" s="335" t="s">
        <v>31</v>
      </c>
      <c r="F824" s="335"/>
      <c r="G824" s="2" t="s">
        <v>31</v>
      </c>
      <c r="H824" s="2" t="s">
        <v>31</v>
      </c>
      <c r="I824" s="335" t="s">
        <v>31</v>
      </c>
      <c r="J824" s="319"/>
      <c r="K824" s="2" t="s">
        <v>31</v>
      </c>
    </row>
    <row r="825" spans="1:11">
      <c r="A825" s="321" t="s">
        <v>476</v>
      </c>
      <c r="B825" s="1"/>
      <c r="C825" s="317">
        <f>192047+242158</f>
        <v>434205</v>
      </c>
      <c r="D825" s="317">
        <f>ROUND((C825/$C$841)*$D$841,0)</f>
        <v>426097</v>
      </c>
      <c r="E825" s="335">
        <v>0.83</v>
      </c>
      <c r="F825" s="335"/>
      <c r="G825" s="2">
        <f>ROUND(E825*$C825,0)</f>
        <v>360390</v>
      </c>
      <c r="H825" s="2">
        <f>ROUND(E825*$D825,0)</f>
        <v>353661</v>
      </c>
      <c r="I825" s="335">
        <f>$I$769</f>
        <v>0.91</v>
      </c>
      <c r="J825" s="319"/>
      <c r="K825" s="2">
        <f>ROUND(I825*$D825,0)</f>
        <v>387748</v>
      </c>
    </row>
    <row r="826" spans="1:11">
      <c r="A826" s="321" t="s">
        <v>477</v>
      </c>
      <c r="B826" s="1"/>
      <c r="C826" s="317">
        <f>38508</f>
        <v>38508</v>
      </c>
      <c r="D826" s="317">
        <f>ROUND((C826/$C$841)*$D$841,0)</f>
        <v>37789</v>
      </c>
      <c r="E826" s="335">
        <v>0.76</v>
      </c>
      <c r="F826" s="335"/>
      <c r="G826" s="2">
        <f>ROUND(E826*$C826,0)</f>
        <v>29266</v>
      </c>
      <c r="H826" s="2">
        <f>ROUND(E826*$D826,0)</f>
        <v>28720</v>
      </c>
      <c r="I826" s="335">
        <f>$I$770</f>
        <v>0.83</v>
      </c>
      <c r="J826" s="319"/>
      <c r="K826" s="2">
        <f>ROUND(I826*$D826,0)</f>
        <v>31365</v>
      </c>
    </row>
    <row r="827" spans="1:11">
      <c r="A827" s="307" t="s">
        <v>406</v>
      </c>
      <c r="B827" s="1"/>
      <c r="C827" s="317">
        <f>152840+171467+34863</f>
        <v>359170</v>
      </c>
      <c r="D827" s="317">
        <f>ROUND((C827/$C$841)*$D$841,0)</f>
        <v>352463</v>
      </c>
      <c r="E827" s="335">
        <v>5.52</v>
      </c>
      <c r="F827" s="335"/>
      <c r="G827" s="2">
        <f>ROUND(E827*$C827,0)</f>
        <v>1982618</v>
      </c>
      <c r="H827" s="2">
        <f>ROUND(E827*$D827,0)</f>
        <v>1945596</v>
      </c>
      <c r="I827" s="335">
        <f>$I$771</f>
        <v>6.03</v>
      </c>
      <c r="J827" s="319"/>
      <c r="K827" s="2">
        <f>ROUND(I827*$D827,0)</f>
        <v>2125352</v>
      </c>
    </row>
    <row r="828" spans="1:11">
      <c r="A828" s="321" t="s">
        <v>429</v>
      </c>
      <c r="B828" s="1"/>
      <c r="C828" s="317"/>
      <c r="D828" s="317"/>
      <c r="E828" s="335" t="s">
        <v>31</v>
      </c>
      <c r="F828" s="335"/>
      <c r="G828" s="2"/>
      <c r="H828" s="2"/>
      <c r="I828" s="335" t="s">
        <v>31</v>
      </c>
      <c r="J828" s="319"/>
      <c r="K828" s="2"/>
    </row>
    <row r="829" spans="1:11">
      <c r="A829" s="321" t="s">
        <v>467</v>
      </c>
      <c r="B829" s="1"/>
      <c r="C829" s="317">
        <f>61181500+18604800+77195004</f>
        <v>156981304</v>
      </c>
      <c r="D829" s="317">
        <f>ROUND((C829/$C$841)*$D$841,0)</f>
        <v>154050076</v>
      </c>
      <c r="E829" s="393">
        <v>3.2050000000000001</v>
      </c>
      <c r="F829" s="319" t="s">
        <v>377</v>
      </c>
      <c r="G829" s="2">
        <f>ROUND(E829/100*$C829,0)</f>
        <v>5031251</v>
      </c>
      <c r="H829" s="2">
        <f>ROUND(E829/100*$D829,0)</f>
        <v>4937305</v>
      </c>
      <c r="I829" s="393">
        <f>$I$773</f>
        <v>3.4990000000000001</v>
      </c>
      <c r="J829" s="319" t="s">
        <v>377</v>
      </c>
      <c r="K829" s="2">
        <f>ROUND(I829/100*$D829,0)</f>
        <v>5390212</v>
      </c>
    </row>
    <row r="830" spans="1:11">
      <c r="A830" s="321" t="s">
        <v>403</v>
      </c>
      <c r="B830" s="1"/>
      <c r="C830" s="317">
        <f>13550+3280+30593</f>
        <v>47423</v>
      </c>
      <c r="D830" s="317">
        <f>ROUND((C830/$C$841)*$D$841,0)</f>
        <v>46537</v>
      </c>
      <c r="E830" s="335">
        <v>0.45</v>
      </c>
      <c r="F830" s="319"/>
      <c r="G830" s="2">
        <f>ROUND(E830*$C830,0)</f>
        <v>21340</v>
      </c>
      <c r="H830" s="2">
        <f>ROUND(E830*$D830,0)</f>
        <v>20942</v>
      </c>
      <c r="I830" s="335">
        <f>$I$774</f>
        <v>0.45</v>
      </c>
      <c r="J830" s="319"/>
      <c r="K830" s="2">
        <f>ROUND(I830*$D830,0)</f>
        <v>20942</v>
      </c>
    </row>
    <row r="831" spans="1:11">
      <c r="A831" s="358" t="s">
        <v>404</v>
      </c>
      <c r="B831" s="1"/>
      <c r="C831" s="317"/>
      <c r="D831" s="317"/>
      <c r="E831" s="330">
        <v>-0.01</v>
      </c>
      <c r="F831" s="330"/>
      <c r="G831" s="2"/>
      <c r="H831" s="2"/>
      <c r="I831" s="330">
        <f>$I$775</f>
        <v>-0.01</v>
      </c>
      <c r="J831" s="359"/>
      <c r="K831" s="2"/>
    </row>
    <row r="832" spans="1:11">
      <c r="A832" s="321" t="s">
        <v>474</v>
      </c>
      <c r="B832" s="1"/>
      <c r="C832" s="317">
        <v>133</v>
      </c>
      <c r="D832" s="317">
        <v>130</v>
      </c>
      <c r="E832" s="332">
        <f>E822</f>
        <v>1100</v>
      </c>
      <c r="F832" s="332"/>
      <c r="G832" s="319">
        <f>ROUND(E832*$C832*$E$803,0)</f>
        <v>-1463</v>
      </c>
      <c r="H832" s="319">
        <f>ROUND(E832*$D832*$E$803,0)</f>
        <v>-1430</v>
      </c>
      <c r="I832" s="332">
        <f>I822</f>
        <v>1205</v>
      </c>
      <c r="J832" s="319"/>
      <c r="K832" s="319">
        <f>ROUND(I832*$D832*$E$803,0)</f>
        <v>-1567</v>
      </c>
    </row>
    <row r="833" spans="1:15">
      <c r="A833" s="321" t="s">
        <v>475</v>
      </c>
      <c r="B833" s="1"/>
      <c r="C833" s="317">
        <v>11</v>
      </c>
      <c r="D833" s="317">
        <v>11</v>
      </c>
      <c r="E833" s="332">
        <f>E823</f>
        <v>1325</v>
      </c>
      <c r="F833" s="332"/>
      <c r="G833" s="319">
        <f>ROUND(E833*$C833*$E$803,0)</f>
        <v>-146</v>
      </c>
      <c r="H833" s="319">
        <f>ROUND(E833*$D833*$E$803,0)</f>
        <v>-146</v>
      </c>
      <c r="I833" s="332">
        <f>I823</f>
        <v>1450</v>
      </c>
      <c r="J833" s="319"/>
      <c r="K833" s="319">
        <f>ROUND(I833*$D833*$E$803,0)</f>
        <v>-160</v>
      </c>
    </row>
    <row r="834" spans="1:15">
      <c r="A834" s="321" t="s">
        <v>476</v>
      </c>
      <c r="B834" s="1"/>
      <c r="C834" s="317">
        <v>192047</v>
      </c>
      <c r="D834" s="317">
        <f>ROUND((C834/$C$841)*$D$841,0)</f>
        <v>188461</v>
      </c>
      <c r="E834" s="332">
        <f>E825</f>
        <v>0.83</v>
      </c>
      <c r="F834" s="332"/>
      <c r="G834" s="319">
        <f>ROUND(E834*$C834*$E$803,0)</f>
        <v>-1594</v>
      </c>
      <c r="H834" s="319">
        <f>ROUND(E834*$D834*$E$803,0)</f>
        <v>-1564</v>
      </c>
      <c r="I834" s="332">
        <f>I825</f>
        <v>0.91</v>
      </c>
      <c r="J834" s="319"/>
      <c r="K834" s="319">
        <f>ROUND(I834*$D834*$E$803,0)</f>
        <v>-1715</v>
      </c>
    </row>
    <row r="835" spans="1:15">
      <c r="A835" s="321" t="s">
        <v>477</v>
      </c>
      <c r="B835" s="1"/>
      <c r="C835" s="317">
        <v>38508</v>
      </c>
      <c r="D835" s="317">
        <f>ROUND((C835/$C$841)*$D$841,0)</f>
        <v>37789</v>
      </c>
      <c r="E835" s="332">
        <f>E826</f>
        <v>0.76</v>
      </c>
      <c r="F835" s="332"/>
      <c r="G835" s="319">
        <f>ROUND(E835*$C835*$E$803,0)</f>
        <v>-293</v>
      </c>
      <c r="H835" s="319">
        <f>ROUND(E835*$D835*$E$803,0)</f>
        <v>-287</v>
      </c>
      <c r="I835" s="332">
        <f>I826</f>
        <v>0.83</v>
      </c>
      <c r="J835" s="319"/>
      <c r="K835" s="319">
        <f>ROUND(I835*$D835*$E$803,0)</f>
        <v>-314</v>
      </c>
    </row>
    <row r="836" spans="1:15">
      <c r="A836" s="307" t="s">
        <v>406</v>
      </c>
      <c r="B836" s="378"/>
      <c r="C836" s="317">
        <f>152840+34863</f>
        <v>187703</v>
      </c>
      <c r="D836" s="317">
        <f>ROUND((C836/$C$841)*$D$841,0)</f>
        <v>184198</v>
      </c>
      <c r="E836" s="332">
        <f>E827</f>
        <v>5.52</v>
      </c>
      <c r="F836" s="335"/>
      <c r="G836" s="319">
        <f>ROUND(E836*$C836*$E$803,0)</f>
        <v>-10361</v>
      </c>
      <c r="H836" s="319">
        <f>ROUND(E836*$D836*$E$803,0)</f>
        <v>-10168</v>
      </c>
      <c r="I836" s="332">
        <f>I827</f>
        <v>6.03</v>
      </c>
      <c r="J836" s="319"/>
      <c r="K836" s="319">
        <f>ROUND(I836*$D836*$E$803,0)</f>
        <v>-11107</v>
      </c>
    </row>
    <row r="837" spans="1:15">
      <c r="A837" s="321" t="s">
        <v>467</v>
      </c>
      <c r="B837" s="1"/>
      <c r="C837" s="317">
        <f>61181500+18604800</f>
        <v>79786300</v>
      </c>
      <c r="D837" s="317">
        <f>ROUND((C837/$C$841)*$D$841,0)</f>
        <v>78296493</v>
      </c>
      <c r="E837" s="333">
        <f>E829</f>
        <v>3.2050000000000001</v>
      </c>
      <c r="F837" s="319" t="s">
        <v>377</v>
      </c>
      <c r="G837" s="319">
        <f>ROUND(E837/100*$C837*$E$803,0)</f>
        <v>-25572</v>
      </c>
      <c r="H837" s="319">
        <f>ROUND(E837/100*$D837*$E$803,0)</f>
        <v>-25094</v>
      </c>
      <c r="I837" s="333">
        <f>I829</f>
        <v>3.4990000000000001</v>
      </c>
      <c r="J837" s="319" t="s">
        <v>377</v>
      </c>
      <c r="K837" s="319">
        <f>ROUND(I837/100*$D837*$E$803,0)</f>
        <v>-27396</v>
      </c>
    </row>
    <row r="838" spans="1:15">
      <c r="A838" s="321" t="s">
        <v>403</v>
      </c>
      <c r="B838" s="1"/>
      <c r="C838" s="317">
        <f>13550+3280</f>
        <v>16830</v>
      </c>
      <c r="D838" s="317">
        <f>ROUND((C838/$C$841)*$D$841,0)</f>
        <v>16516</v>
      </c>
      <c r="E838" s="382">
        <f>E830</f>
        <v>0.45</v>
      </c>
      <c r="F838" s="319"/>
      <c r="G838" s="319">
        <f>ROUND(E838*$C838*$E$803,0)</f>
        <v>-76</v>
      </c>
      <c r="H838" s="319">
        <f>ROUND(E838*$D838*$E$803,0)</f>
        <v>-74</v>
      </c>
      <c r="I838" s="382">
        <f>I830</f>
        <v>0.45</v>
      </c>
      <c r="J838" s="319"/>
      <c r="K838" s="319">
        <f>ROUND(I838*$D838*$E$803,0)</f>
        <v>-74</v>
      </c>
    </row>
    <row r="839" spans="1:15">
      <c r="A839" s="307" t="s">
        <v>478</v>
      </c>
      <c r="B839" s="1"/>
      <c r="C839" s="317">
        <f>133+11</f>
        <v>144</v>
      </c>
      <c r="D839" s="317">
        <v>141</v>
      </c>
      <c r="E839" s="335">
        <v>60</v>
      </c>
      <c r="F839" s="335"/>
      <c r="G839" s="319">
        <f>ROUND(E839*$C839,0)</f>
        <v>8640</v>
      </c>
      <c r="H839" s="319">
        <f>ROUND(E839*$D839,0)</f>
        <v>8460</v>
      </c>
      <c r="I839" s="335">
        <f>$I$783</f>
        <v>60</v>
      </c>
      <c r="J839" s="319"/>
      <c r="K839" s="319">
        <f>ROUND(I839*$D839,0)</f>
        <v>8460</v>
      </c>
    </row>
    <row r="840" spans="1:15">
      <c r="A840" s="307" t="s">
        <v>447</v>
      </c>
      <c r="B840" s="1"/>
      <c r="C840" s="317">
        <f>192047+38508</f>
        <v>230555</v>
      </c>
      <c r="D840" s="317">
        <f>ROUND((C840/$C$841)*$D$841,0)</f>
        <v>226250</v>
      </c>
      <c r="E840" s="335">
        <v>-0.3</v>
      </c>
      <c r="F840" s="319"/>
      <c r="G840" s="319">
        <f>ROUND(E840*$C840,0)</f>
        <v>-69167</v>
      </c>
      <c r="H840" s="319">
        <f>ROUND(E840*$D840,0)</f>
        <v>-67875</v>
      </c>
      <c r="I840" s="335">
        <f>$I$784</f>
        <v>-0.75</v>
      </c>
      <c r="J840" s="319"/>
      <c r="K840" s="319">
        <f>ROUND(I840*$D840,0)</f>
        <v>-169688</v>
      </c>
    </row>
    <row r="841" spans="1:15">
      <c r="A841" s="1" t="s">
        <v>384</v>
      </c>
      <c r="B841" s="1"/>
      <c r="C841" s="317">
        <f>C829</f>
        <v>156981304</v>
      </c>
      <c r="D841" s="317">
        <v>154050076.39425009</v>
      </c>
      <c r="E841" s="328"/>
      <c r="F841" s="2"/>
      <c r="G841" s="2">
        <f>SUM(G822:G840)</f>
        <v>7698008</v>
      </c>
      <c r="H841" s="2">
        <f>SUM(H822:H840)</f>
        <v>7552421</v>
      </c>
      <c r="I841" s="328"/>
      <c r="J841" s="1"/>
      <c r="K841" s="2">
        <f>SUM(K822:K840)</f>
        <v>8151198</v>
      </c>
    </row>
    <row r="842" spans="1:15">
      <c r="A842" s="1" t="s">
        <v>366</v>
      </c>
      <c r="B842" s="1"/>
      <c r="C842" s="317">
        <v>687227.4909941873</v>
      </c>
      <c r="D842" s="317">
        <v>0</v>
      </c>
      <c r="E842" s="307"/>
      <c r="F842" s="307"/>
      <c r="G842" s="339">
        <v>28763.430775107623</v>
      </c>
      <c r="H842" s="339">
        <v>0</v>
      </c>
      <c r="I842" s="307"/>
      <c r="J842" s="307"/>
      <c r="K842" s="339">
        <v>0</v>
      </c>
      <c r="M842" s="287"/>
      <c r="N842" s="287"/>
      <c r="O842" s="288"/>
    </row>
    <row r="843" spans="1:15" ht="16.5" thickBot="1">
      <c r="A843" s="1" t="s">
        <v>385</v>
      </c>
      <c r="B843" s="1"/>
      <c r="C843" s="391">
        <f>SUM(C841)+C842</f>
        <v>157668531.49099419</v>
      </c>
      <c r="D843" s="391">
        <f>SUM(D829)+D842</f>
        <v>154050076</v>
      </c>
      <c r="E843" s="340"/>
      <c r="F843" s="341"/>
      <c r="G843" s="342">
        <f>G841+G842</f>
        <v>7726771.4307751078</v>
      </c>
      <c r="H843" s="342">
        <f>H841+H842</f>
        <v>7552421</v>
      </c>
      <c r="I843" s="340"/>
      <c r="J843" s="343"/>
      <c r="K843" s="342">
        <f>K841+K842</f>
        <v>8151198</v>
      </c>
      <c r="M843" s="289"/>
      <c r="N843" s="289"/>
      <c r="O843" s="290"/>
    </row>
    <row r="844" spans="1:15" ht="16.5" thickTop="1">
      <c r="A844" s="1"/>
      <c r="B844" s="1"/>
      <c r="C844" s="21"/>
      <c r="D844" s="21"/>
      <c r="E844" s="335"/>
      <c r="F844" s="2"/>
      <c r="G844" s="2"/>
      <c r="H844" s="2"/>
      <c r="I844" s="351" t="s">
        <v>31</v>
      </c>
      <c r="J844" s="1"/>
      <c r="K844" s="2" t="s">
        <v>31</v>
      </c>
    </row>
    <row r="845" spans="1:15">
      <c r="A845" s="1"/>
      <c r="B845" s="1"/>
      <c r="C845" s="21"/>
      <c r="D845" s="21"/>
      <c r="E845" s="335"/>
      <c r="F845" s="2"/>
      <c r="G845" s="2"/>
      <c r="H845" s="2"/>
      <c r="I845" s="335"/>
      <c r="J845" s="1"/>
      <c r="K845" s="378"/>
    </row>
    <row r="846" spans="1:15">
      <c r="A846" s="291" t="s">
        <v>479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307" t="s">
        <v>483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321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321" t="s">
        <v>396</v>
      </c>
      <c r="B849" s="1"/>
      <c r="C849" s="317"/>
      <c r="D849" s="317"/>
      <c r="E849" s="2"/>
      <c r="F849" s="2"/>
      <c r="G849" s="1"/>
      <c r="H849" s="1"/>
      <c r="I849" s="2"/>
      <c r="J849" s="1"/>
      <c r="K849" s="1"/>
    </row>
    <row r="850" spans="1:11">
      <c r="A850" s="321" t="s">
        <v>474</v>
      </c>
      <c r="B850" s="1"/>
      <c r="C850" s="317">
        <f>22+336+6</f>
        <v>364</v>
      </c>
      <c r="D850" s="317">
        <v>362</v>
      </c>
      <c r="E850" s="335">
        <v>1100</v>
      </c>
      <c r="F850" s="335"/>
      <c r="G850" s="2">
        <f>ROUND(E850*$C850,0)</f>
        <v>400400</v>
      </c>
      <c r="H850" s="2">
        <f>ROUND(E850*$D850,0)</f>
        <v>398200</v>
      </c>
      <c r="I850" s="335">
        <f>$I$766</f>
        <v>1205</v>
      </c>
      <c r="J850" s="319"/>
      <c r="K850" s="2">
        <f>ROUND(I850*$D850,0)</f>
        <v>436210</v>
      </c>
    </row>
    <row r="851" spans="1:11">
      <c r="A851" s="321" t="s">
        <v>475</v>
      </c>
      <c r="B851" s="1"/>
      <c r="C851" s="317">
        <f>26+25</f>
        <v>51</v>
      </c>
      <c r="D851" s="317">
        <v>51</v>
      </c>
      <c r="E851" s="335">
        <v>1325</v>
      </c>
      <c r="F851" s="335"/>
      <c r="G851" s="2">
        <f>ROUND(E851*$C851,0)</f>
        <v>67575</v>
      </c>
      <c r="H851" s="2">
        <f>ROUND(E851*$D851,0)</f>
        <v>67575</v>
      </c>
      <c r="I851" s="335">
        <f>$I$767</f>
        <v>1450</v>
      </c>
      <c r="J851" s="322"/>
      <c r="K851" s="2">
        <f>ROUND(I851*$D851,0)</f>
        <v>73950</v>
      </c>
    </row>
    <row r="852" spans="1:11">
      <c r="A852" s="321" t="s">
        <v>397</v>
      </c>
      <c r="B852" s="1"/>
      <c r="C852" s="317">
        <f>SUM(C850:C851)</f>
        <v>415</v>
      </c>
      <c r="D852" s="317">
        <f>SUM(D850:D851)</f>
        <v>413</v>
      </c>
      <c r="E852" s="335" t="s">
        <v>31</v>
      </c>
      <c r="F852" s="335"/>
      <c r="G852" s="2" t="s">
        <v>31</v>
      </c>
      <c r="H852" s="2" t="s">
        <v>31</v>
      </c>
      <c r="I852" s="335" t="s">
        <v>31</v>
      </c>
      <c r="J852" s="319"/>
      <c r="K852" s="2" t="s">
        <v>31</v>
      </c>
    </row>
    <row r="853" spans="1:11">
      <c r="A853" s="321" t="s">
        <v>476</v>
      </c>
      <c r="B853" s="1"/>
      <c r="C853" s="317">
        <f>23526+462664+7635</f>
        <v>493825</v>
      </c>
      <c r="D853" s="317">
        <f>ROUND(($D$869/$C$869)*C853,0)</f>
        <v>523963</v>
      </c>
      <c r="E853" s="335">
        <v>0.83</v>
      </c>
      <c r="F853" s="335"/>
      <c r="G853" s="2">
        <f>ROUND(E853*$C853,0)</f>
        <v>409875</v>
      </c>
      <c r="H853" s="2">
        <f>ROUND(E853*$D853,0)</f>
        <v>434889</v>
      </c>
      <c r="I853" s="335">
        <f>$I$769</f>
        <v>0.91</v>
      </c>
      <c r="J853" s="319"/>
      <c r="K853" s="2">
        <f>ROUND(I853*$D853,0)</f>
        <v>476806</v>
      </c>
    </row>
    <row r="854" spans="1:11">
      <c r="A854" s="321" t="s">
        <v>477</v>
      </c>
      <c r="B854" s="1"/>
      <c r="C854" s="317">
        <f>729270+101203</f>
        <v>830473</v>
      </c>
      <c r="D854" s="317">
        <f>ROUND(($D$869/$C$869)*C854,0)</f>
        <v>881157</v>
      </c>
      <c r="E854" s="335">
        <v>0.76</v>
      </c>
      <c r="F854" s="335"/>
      <c r="G854" s="2">
        <f>ROUND(E854*$C854,0)</f>
        <v>631159</v>
      </c>
      <c r="H854" s="2">
        <f>ROUND(E854*$D854,0)</f>
        <v>669679</v>
      </c>
      <c r="I854" s="335">
        <f>$I$770</f>
        <v>0.83</v>
      </c>
      <c r="J854" s="319"/>
      <c r="K854" s="2">
        <f>ROUND(I854*$D854,0)</f>
        <v>731360</v>
      </c>
    </row>
    <row r="855" spans="1:11">
      <c r="A855" s="307" t="s">
        <v>406</v>
      </c>
      <c r="B855" s="1"/>
      <c r="C855" s="317">
        <f>21282+702601+399599+90949+7532</f>
        <v>1221963</v>
      </c>
      <c r="D855" s="317">
        <f>ROUND(($D$869/$C$869)*C855,0)</f>
        <v>1296540</v>
      </c>
      <c r="E855" s="335">
        <v>5.52</v>
      </c>
      <c r="F855" s="335"/>
      <c r="G855" s="2">
        <f>ROUND(E855*$C855,0)</f>
        <v>6745236</v>
      </c>
      <c r="H855" s="2">
        <f>ROUND(E855*$D855,0)</f>
        <v>7156901</v>
      </c>
      <c r="I855" s="335">
        <f>$I$771</f>
        <v>6.03</v>
      </c>
      <c r="J855" s="319"/>
      <c r="K855" s="2">
        <f>ROUND(I855*$D855,0)</f>
        <v>7818136</v>
      </c>
    </row>
    <row r="856" spans="1:11">
      <c r="A856" s="321" t="s">
        <v>429</v>
      </c>
      <c r="B856" s="1"/>
      <c r="C856" s="317"/>
      <c r="D856" s="317"/>
      <c r="E856" s="335" t="s">
        <v>31</v>
      </c>
      <c r="F856" s="335"/>
      <c r="G856" s="2"/>
      <c r="H856" s="2"/>
      <c r="I856" s="335" t="s">
        <v>31</v>
      </c>
      <c r="J856" s="319"/>
      <c r="K856" s="2"/>
    </row>
    <row r="857" spans="1:11">
      <c r="A857" s="321" t="s">
        <v>467</v>
      </c>
      <c r="B857" s="1"/>
      <c r="C857" s="317">
        <f>6333900+441066001+175276602+45716850+2895600</f>
        <v>671288953</v>
      </c>
      <c r="D857" s="317">
        <f>ROUND(($D$869/$C$869)*C857,0)</f>
        <v>712258072</v>
      </c>
      <c r="E857" s="393">
        <v>3.2050000000000001</v>
      </c>
      <c r="F857" s="319" t="s">
        <v>377</v>
      </c>
      <c r="G857" s="2">
        <f>ROUND(E857/100*$C857,0)</f>
        <v>21514811</v>
      </c>
      <c r="H857" s="2">
        <f>ROUND(E857/100*$D857,0)</f>
        <v>22827871</v>
      </c>
      <c r="I857" s="393">
        <f>$I$773</f>
        <v>3.4990000000000001</v>
      </c>
      <c r="J857" s="319" t="s">
        <v>377</v>
      </c>
      <c r="K857" s="2">
        <f>ROUND(I857/100*$D857,0)</f>
        <v>24921910</v>
      </c>
    </row>
    <row r="858" spans="1:11">
      <c r="A858" s="321" t="s">
        <v>403</v>
      </c>
      <c r="B858" s="1"/>
      <c r="C858" s="317">
        <f>6818+174154+133859+26014+1576</f>
        <v>342421</v>
      </c>
      <c r="D858" s="317">
        <f>ROUND(($D$869/$C$869)*C858,0)</f>
        <v>363319</v>
      </c>
      <c r="E858" s="335">
        <v>0.45</v>
      </c>
      <c r="F858" s="319"/>
      <c r="G858" s="2">
        <f>ROUND(E858*$C858,0)</f>
        <v>154089</v>
      </c>
      <c r="H858" s="2">
        <f>ROUND(E858*$D858,0)</f>
        <v>163494</v>
      </c>
      <c r="I858" s="335">
        <f>$I$774</f>
        <v>0.45</v>
      </c>
      <c r="J858" s="319"/>
      <c r="K858" s="2">
        <f>ROUND(I858*$D858,0)</f>
        <v>163494</v>
      </c>
    </row>
    <row r="859" spans="1:11">
      <c r="A859" s="358" t="s">
        <v>404</v>
      </c>
      <c r="B859" s="1"/>
      <c r="C859" s="317"/>
      <c r="D859" s="317"/>
      <c r="E859" s="330">
        <v>-0.01</v>
      </c>
      <c r="F859" s="330"/>
      <c r="G859" s="2"/>
      <c r="H859" s="2"/>
      <c r="I859" s="330">
        <f>$I$775</f>
        <v>-0.01</v>
      </c>
      <c r="J859" s="359"/>
      <c r="K859" s="2"/>
    </row>
    <row r="860" spans="1:11">
      <c r="A860" s="321" t="s">
        <v>474</v>
      </c>
      <c r="B860" s="1"/>
      <c r="C860" s="317">
        <v>22</v>
      </c>
      <c r="D860" s="317">
        <v>22</v>
      </c>
      <c r="E860" s="332">
        <f>E850</f>
        <v>1100</v>
      </c>
      <c r="F860" s="332"/>
      <c r="G860" s="319">
        <f>ROUND(E860*$C860*$E$803,0)</f>
        <v>-242</v>
      </c>
      <c r="H860" s="319">
        <f>ROUND(E860*$D860*$E$803,0)</f>
        <v>-242</v>
      </c>
      <c r="I860" s="332">
        <f>I850</f>
        <v>1205</v>
      </c>
      <c r="J860" s="319"/>
      <c r="K860" s="319">
        <f>ROUND(I860*$D860*$E$803,0)</f>
        <v>-265</v>
      </c>
    </row>
    <row r="861" spans="1:11">
      <c r="A861" s="321" t="s">
        <v>475</v>
      </c>
      <c r="B861" s="1"/>
      <c r="C861" s="317">
        <v>26</v>
      </c>
      <c r="D861" s="317">
        <v>26</v>
      </c>
      <c r="E861" s="332">
        <f>E851</f>
        <v>1325</v>
      </c>
      <c r="F861" s="332"/>
      <c r="G861" s="319">
        <f>ROUND(E861*$C861*$E$803,0)</f>
        <v>-345</v>
      </c>
      <c r="H861" s="319">
        <f>ROUND(E861*$D861*$E$803,0)</f>
        <v>-345</v>
      </c>
      <c r="I861" s="332">
        <f>I851</f>
        <v>1450</v>
      </c>
      <c r="J861" s="319"/>
      <c r="K861" s="319">
        <f>ROUND(I861*$D861*$E$803,0)</f>
        <v>-377</v>
      </c>
    </row>
    <row r="862" spans="1:11">
      <c r="A862" s="321" t="s">
        <v>476</v>
      </c>
      <c r="B862" s="1"/>
      <c r="C862" s="317">
        <v>23526</v>
      </c>
      <c r="D862" s="317">
        <f>ROUND(($D$869/$C$869)*C862,0)</f>
        <v>24962</v>
      </c>
      <c r="E862" s="332">
        <f>E853</f>
        <v>0.83</v>
      </c>
      <c r="F862" s="332"/>
      <c r="G862" s="319">
        <f>ROUND(E862*$C862*$E$803,0)</f>
        <v>-195</v>
      </c>
      <c r="H862" s="319">
        <f>ROUND(E862*$D862*$E$803,0)</f>
        <v>-207</v>
      </c>
      <c r="I862" s="332">
        <f>I853</f>
        <v>0.91</v>
      </c>
      <c r="J862" s="319"/>
      <c r="K862" s="319">
        <f>ROUND(I862*$D862*$E$803,0)</f>
        <v>-227</v>
      </c>
    </row>
    <row r="863" spans="1:11">
      <c r="A863" s="321" t="s">
        <v>477</v>
      </c>
      <c r="B863" s="1"/>
      <c r="C863" s="317">
        <f>729270</f>
        <v>729270</v>
      </c>
      <c r="D863" s="317">
        <f>ROUND(($D$869/$C$869)*C863,0)</f>
        <v>773778</v>
      </c>
      <c r="E863" s="332">
        <f>E854</f>
        <v>0.76</v>
      </c>
      <c r="F863" s="332"/>
      <c r="G863" s="319">
        <f>ROUND(E863*$C863*$E$803,0)</f>
        <v>-5542</v>
      </c>
      <c r="H863" s="319">
        <f>ROUND(E863*$D863*$E$803,0)</f>
        <v>-5881</v>
      </c>
      <c r="I863" s="332">
        <f>I854</f>
        <v>0.83</v>
      </c>
      <c r="J863" s="319"/>
      <c r="K863" s="319">
        <f>ROUND(I863*$D863*$E$803,0)</f>
        <v>-6422</v>
      </c>
    </row>
    <row r="864" spans="1:11">
      <c r="A864" s="307" t="s">
        <v>406</v>
      </c>
      <c r="B864" s="378"/>
      <c r="C864" s="317">
        <f>21282+702601</f>
        <v>723883</v>
      </c>
      <c r="D864" s="317">
        <f>ROUND(($D$869/$C$869)*C864,0)</f>
        <v>768062</v>
      </c>
      <c r="E864" s="332">
        <f>E855</f>
        <v>5.52</v>
      </c>
      <c r="F864" s="335"/>
      <c r="G864" s="319">
        <f>ROUND(E864*$C864*$E$803,0)</f>
        <v>-39958</v>
      </c>
      <c r="H864" s="319">
        <f>ROUND(E864*$D864*$E$803,0)</f>
        <v>-42397</v>
      </c>
      <c r="I864" s="332">
        <f>I855</f>
        <v>6.03</v>
      </c>
      <c r="J864" s="319"/>
      <c r="K864" s="319">
        <f>ROUND(I864*$D864*$E$803,0)</f>
        <v>-46314</v>
      </c>
    </row>
    <row r="865" spans="1:15">
      <c r="A865" s="321" t="s">
        <v>467</v>
      </c>
      <c r="B865" s="1"/>
      <c r="C865" s="317">
        <f>6333900+441066001</f>
        <v>447399901</v>
      </c>
      <c r="D865" s="317">
        <f>ROUND(($D$869/$C$869)*C865,0)</f>
        <v>474704953</v>
      </c>
      <c r="E865" s="333">
        <f>E857</f>
        <v>3.2050000000000001</v>
      </c>
      <c r="F865" s="319" t="s">
        <v>377</v>
      </c>
      <c r="G865" s="319">
        <f>ROUND(E865/100*$C865*$E$803,0)</f>
        <v>-143392</v>
      </c>
      <c r="H865" s="319">
        <f>ROUND(E865/100*$D865*$E$803,0)</f>
        <v>-152143</v>
      </c>
      <c r="I865" s="333">
        <f>I857</f>
        <v>3.4990000000000001</v>
      </c>
      <c r="J865" s="319" t="s">
        <v>377</v>
      </c>
      <c r="K865" s="319">
        <f>ROUND(I865/100*$D865*$E$803,0)</f>
        <v>-166099</v>
      </c>
    </row>
    <row r="866" spans="1:15">
      <c r="A866" s="321" t="s">
        <v>403</v>
      </c>
      <c r="B866" s="1"/>
      <c r="C866" s="317">
        <f>6818+174154</f>
        <v>180972</v>
      </c>
      <c r="D866" s="317">
        <f>ROUND(($D$869/$C$869)*C866,0)</f>
        <v>192017</v>
      </c>
      <c r="E866" s="382">
        <f>E858</f>
        <v>0.45</v>
      </c>
      <c r="F866" s="319"/>
      <c r="G866" s="319">
        <f>ROUND(E866*$C866*$E$803,0)</f>
        <v>-814</v>
      </c>
      <c r="H866" s="319">
        <f>ROUND(E866*$D866*$E$803,0)</f>
        <v>-864</v>
      </c>
      <c r="I866" s="382">
        <f>I858</f>
        <v>0.45</v>
      </c>
      <c r="J866" s="319"/>
      <c r="K866" s="319">
        <f>ROUND(I866*$D866*$E$803,0)</f>
        <v>-864</v>
      </c>
    </row>
    <row r="867" spans="1:15">
      <c r="A867" s="307" t="s">
        <v>478</v>
      </c>
      <c r="B867" s="1"/>
      <c r="C867" s="317">
        <f>22+26</f>
        <v>48</v>
      </c>
      <c r="D867" s="317">
        <v>48</v>
      </c>
      <c r="E867" s="335">
        <v>60</v>
      </c>
      <c r="F867" s="335"/>
      <c r="G867" s="319">
        <f>ROUND(E867*$C867,0)</f>
        <v>2880</v>
      </c>
      <c r="H867" s="319">
        <f>ROUND(E867*$D867,0)</f>
        <v>2880</v>
      </c>
      <c r="I867" s="335">
        <f>$I$783</f>
        <v>60</v>
      </c>
      <c r="J867" s="319"/>
      <c r="K867" s="319">
        <f>ROUND(I867*$D867,0)</f>
        <v>2880</v>
      </c>
    </row>
    <row r="868" spans="1:15">
      <c r="A868" s="307" t="s">
        <v>447</v>
      </c>
      <c r="B868" s="1"/>
      <c r="C868" s="317">
        <f>23526+729270</f>
        <v>752796</v>
      </c>
      <c r="D868" s="317">
        <f>ROUND(($D$869/$C$869)*C868,0)</f>
        <v>798740</v>
      </c>
      <c r="E868" s="335">
        <v>-0.3</v>
      </c>
      <c r="F868" s="319"/>
      <c r="G868" s="319">
        <f>ROUND(E868*$C868,0)</f>
        <v>-225839</v>
      </c>
      <c r="H868" s="319">
        <f>ROUND(E868*$D868,0)</f>
        <v>-239622</v>
      </c>
      <c r="I868" s="335">
        <f>$I$784</f>
        <v>-0.75</v>
      </c>
      <c r="J868" s="319"/>
      <c r="K868" s="319">
        <f>ROUND(I868*$D868,0)</f>
        <v>-599055</v>
      </c>
    </row>
    <row r="869" spans="1:15">
      <c r="A869" s="1" t="s">
        <v>384</v>
      </c>
      <c r="B869" s="1"/>
      <c r="C869" s="317">
        <f>C857</f>
        <v>671288953</v>
      </c>
      <c r="D869" s="317">
        <v>712258072.33019459</v>
      </c>
      <c r="E869" s="328"/>
      <c r="F869" s="2"/>
      <c r="G869" s="2">
        <f>SUM(G850:G868)</f>
        <v>29509698</v>
      </c>
      <c r="H869" s="2">
        <f>SUM(H850:H868)</f>
        <v>31279788</v>
      </c>
      <c r="I869" s="328"/>
      <c r="J869" s="1"/>
      <c r="K869" s="2">
        <f>SUM(K850:K868)</f>
        <v>33805123</v>
      </c>
    </row>
    <row r="870" spans="1:15">
      <c r="A870" s="1" t="s">
        <v>366</v>
      </c>
      <c r="B870" s="1"/>
      <c r="C870" s="317">
        <v>-15164629.489788763</v>
      </c>
      <c r="D870" s="317">
        <v>0</v>
      </c>
      <c r="E870" s="307"/>
      <c r="F870" s="307"/>
      <c r="G870" s="339">
        <v>-567791.90919455024</v>
      </c>
      <c r="H870" s="339">
        <v>0</v>
      </c>
      <c r="I870" s="307"/>
      <c r="J870" s="307"/>
      <c r="K870" s="339">
        <v>0</v>
      </c>
      <c r="M870" s="287"/>
      <c r="N870" s="287"/>
      <c r="O870" s="288"/>
    </row>
    <row r="871" spans="1:15" ht="16.5" thickBot="1">
      <c r="A871" s="1" t="s">
        <v>385</v>
      </c>
      <c r="B871" s="1"/>
      <c r="C871" s="391">
        <f>SUM(C869)+C870</f>
        <v>656124323.51021123</v>
      </c>
      <c r="D871" s="391">
        <f>SUM(D857)+D870</f>
        <v>712258072</v>
      </c>
      <c r="E871" s="340"/>
      <c r="F871" s="341"/>
      <c r="G871" s="342">
        <f>G869+G870</f>
        <v>28941906.090805449</v>
      </c>
      <c r="H871" s="342">
        <f>H869+H870</f>
        <v>31279788</v>
      </c>
      <c r="I871" s="340"/>
      <c r="J871" s="343"/>
      <c r="K871" s="342">
        <f>K869+K870</f>
        <v>33805123</v>
      </c>
      <c r="M871" s="289"/>
      <c r="N871" s="289"/>
      <c r="O871" s="290"/>
    </row>
    <row r="872" spans="1:15" ht="16.5" thickTop="1">
      <c r="A872" s="1"/>
      <c r="B872" s="1"/>
      <c r="C872" s="21"/>
      <c r="D872" s="21"/>
      <c r="E872" s="335"/>
      <c r="F872" s="2"/>
      <c r="G872" s="2"/>
      <c r="H872" s="2"/>
      <c r="I872" s="351" t="s">
        <v>31</v>
      </c>
      <c r="J872" s="1"/>
      <c r="K872" s="2" t="s">
        <v>31</v>
      </c>
    </row>
    <row r="873" spans="1:15">
      <c r="A873" s="291" t="s">
        <v>484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307" t="s">
        <v>483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321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321" t="s">
        <v>396</v>
      </c>
      <c r="B876" s="1"/>
      <c r="C876" s="317"/>
      <c r="D876" s="317"/>
      <c r="E876" s="2"/>
      <c r="F876" s="2"/>
      <c r="G876" s="1"/>
      <c r="H876" s="1"/>
      <c r="I876" s="2"/>
      <c r="J876" s="1"/>
      <c r="K876" s="1"/>
    </row>
    <row r="877" spans="1:15">
      <c r="A877" s="321" t="s">
        <v>474</v>
      </c>
      <c r="B877" s="1"/>
      <c r="C877" s="317">
        <v>0</v>
      </c>
      <c r="D877" s="317">
        <v>0</v>
      </c>
      <c r="E877" s="335">
        <v>1100</v>
      </c>
      <c r="F877" s="335"/>
      <c r="G877" s="2">
        <f>ROUND(E877*$C877,0)</f>
        <v>0</v>
      </c>
      <c r="H877" s="2">
        <f>ROUND(E877*$D877,0)</f>
        <v>0</v>
      </c>
      <c r="I877" s="335">
        <f>$I$766</f>
        <v>1205</v>
      </c>
      <c r="J877" s="319"/>
      <c r="K877" s="2">
        <f>ROUND(I877*$D877,0)</f>
        <v>0</v>
      </c>
    </row>
    <row r="878" spans="1:15">
      <c r="A878" s="321" t="s">
        <v>475</v>
      </c>
      <c r="B878" s="1"/>
      <c r="C878" s="317">
        <v>12</v>
      </c>
      <c r="D878" s="317">
        <v>12</v>
      </c>
      <c r="E878" s="335">
        <v>1325</v>
      </c>
      <c r="F878" s="335"/>
      <c r="G878" s="2">
        <f>ROUND(E878*$C878,0)</f>
        <v>15900</v>
      </c>
      <c r="H878" s="2">
        <f>ROUND(E878*$D878,0)</f>
        <v>15900</v>
      </c>
      <c r="I878" s="335">
        <f>$I$767</f>
        <v>1450</v>
      </c>
      <c r="J878" s="322"/>
      <c r="K878" s="2">
        <f>ROUND(I878*$D878,0)</f>
        <v>17400</v>
      </c>
    </row>
    <row r="879" spans="1:15">
      <c r="A879" s="321" t="s">
        <v>397</v>
      </c>
      <c r="B879" s="1"/>
      <c r="C879" s="317">
        <f>SUM(C877:C878)</f>
        <v>12</v>
      </c>
      <c r="D879" s="317">
        <v>12</v>
      </c>
      <c r="E879" s="335" t="s">
        <v>31</v>
      </c>
      <c r="F879" s="335"/>
      <c r="G879" s="2" t="s">
        <v>31</v>
      </c>
      <c r="H879" s="2" t="s">
        <v>31</v>
      </c>
      <c r="I879" s="335" t="s">
        <v>31</v>
      </c>
      <c r="J879" s="319"/>
      <c r="K879" s="2" t="s">
        <v>31</v>
      </c>
    </row>
    <row r="880" spans="1:15">
      <c r="A880" s="321" t="s">
        <v>476</v>
      </c>
      <c r="B880" s="1"/>
      <c r="C880" s="317">
        <v>0</v>
      </c>
      <c r="D880" s="317">
        <v>0</v>
      </c>
      <c r="E880" s="335">
        <v>0.83</v>
      </c>
      <c r="F880" s="335"/>
      <c r="G880" s="2">
        <f>ROUND(E880*$C880,0)</f>
        <v>0</v>
      </c>
      <c r="H880" s="2">
        <f>ROUND(E880*$D880,0)</f>
        <v>0</v>
      </c>
      <c r="I880" s="335">
        <f>$I$769</f>
        <v>0.91</v>
      </c>
      <c r="J880" s="319"/>
      <c r="K880" s="2">
        <f>ROUND(I880*$D880,0)</f>
        <v>0</v>
      </c>
    </row>
    <row r="881" spans="1:11">
      <c r="A881" s="321" t="s">
        <v>477</v>
      </c>
      <c r="B881" s="1"/>
      <c r="C881" s="317">
        <v>205024</v>
      </c>
      <c r="D881" s="317">
        <f>ROUND(($D$896/$C$896)*C881,0)</f>
        <v>124257</v>
      </c>
      <c r="E881" s="335">
        <v>0.76</v>
      </c>
      <c r="F881" s="335"/>
      <c r="G881" s="2">
        <f>ROUND(E881*$C881,0)</f>
        <v>155818</v>
      </c>
      <c r="H881" s="2">
        <f>ROUND(E881*$D881,0)</f>
        <v>94435</v>
      </c>
      <c r="I881" s="335">
        <f>$I$770</f>
        <v>0.83</v>
      </c>
      <c r="J881" s="319"/>
      <c r="K881" s="2">
        <f>ROUND(I881*$D881,0)</f>
        <v>103133</v>
      </c>
    </row>
    <row r="882" spans="1:11">
      <c r="A882" s="307" t="s">
        <v>406</v>
      </c>
      <c r="B882" s="1"/>
      <c r="C882" s="317">
        <v>158638</v>
      </c>
      <c r="D882" s="317">
        <f>ROUND(($D$896/$C$896)*C882,0)</f>
        <v>96144</v>
      </c>
      <c r="E882" s="335">
        <v>5.52</v>
      </c>
      <c r="F882" s="335"/>
      <c r="G882" s="2">
        <f>ROUND(E882*$C882,0)</f>
        <v>875682</v>
      </c>
      <c r="H882" s="2">
        <f>ROUND(E882*$D882,0)</f>
        <v>530715</v>
      </c>
      <c r="I882" s="335">
        <f>$I$771</f>
        <v>6.03</v>
      </c>
      <c r="J882" s="319"/>
      <c r="K882" s="2">
        <f>ROUND(I882*$D882,0)</f>
        <v>579748</v>
      </c>
    </row>
    <row r="883" spans="1:11">
      <c r="A883" s="321" t="s">
        <v>429</v>
      </c>
      <c r="B883" s="1"/>
      <c r="C883" s="317"/>
      <c r="D883" s="317"/>
      <c r="E883" s="335" t="s">
        <v>31</v>
      </c>
      <c r="F883" s="335"/>
      <c r="G883" s="2"/>
      <c r="H883" s="2"/>
      <c r="I883" s="335" t="s">
        <v>31</v>
      </c>
      <c r="J883" s="319"/>
      <c r="K883" s="2"/>
    </row>
    <row r="884" spans="1:11">
      <c r="A884" s="321" t="s">
        <v>467</v>
      </c>
      <c r="B884" s="1"/>
      <c r="C884" s="317">
        <f>43689000</f>
        <v>43689000</v>
      </c>
      <c r="D884" s="317">
        <f>ROUND(($D$896/$C$896)*C884,0)</f>
        <v>26478236</v>
      </c>
      <c r="E884" s="393">
        <v>3.2050000000000001</v>
      </c>
      <c r="F884" s="319" t="s">
        <v>377</v>
      </c>
      <c r="G884" s="2">
        <f>ROUND(E884/100*$C884,0)</f>
        <v>1400232</v>
      </c>
      <c r="H884" s="2">
        <f>ROUND(E884/100*$D884,0)</f>
        <v>848627</v>
      </c>
      <c r="I884" s="393">
        <f>$I$773</f>
        <v>3.4990000000000001</v>
      </c>
      <c r="J884" s="319" t="s">
        <v>377</v>
      </c>
      <c r="K884" s="2">
        <f>ROUND(I884/100*$D884,0)</f>
        <v>926473</v>
      </c>
    </row>
    <row r="885" spans="1:11">
      <c r="A885" s="321" t="s">
        <v>403</v>
      </c>
      <c r="B885" s="1"/>
      <c r="C885" s="317">
        <v>22988</v>
      </c>
      <c r="D885" s="317">
        <f>ROUND(($D$896/$C$896)*C885,0)</f>
        <v>13932</v>
      </c>
      <c r="E885" s="335">
        <v>0.45</v>
      </c>
      <c r="F885" s="319"/>
      <c r="G885" s="2">
        <f>ROUND(E885*$C885,0)</f>
        <v>10345</v>
      </c>
      <c r="H885" s="2">
        <f>ROUND(E885*$D885,0)</f>
        <v>6269</v>
      </c>
      <c r="I885" s="335">
        <f>$I$774</f>
        <v>0.45</v>
      </c>
      <c r="J885" s="319"/>
      <c r="K885" s="2">
        <f>ROUND(I885*$D885,0)</f>
        <v>6269</v>
      </c>
    </row>
    <row r="886" spans="1:11">
      <c r="A886" s="358" t="s">
        <v>404</v>
      </c>
      <c r="B886" s="1"/>
      <c r="C886" s="317"/>
      <c r="D886" s="317"/>
      <c r="E886" s="330">
        <v>-0.01</v>
      </c>
      <c r="F886" s="330"/>
      <c r="G886" s="2"/>
      <c r="H886" s="2"/>
      <c r="I886" s="330">
        <f>$I$775</f>
        <v>-0.01</v>
      </c>
      <c r="J886" s="359"/>
      <c r="K886" s="2"/>
    </row>
    <row r="887" spans="1:11">
      <c r="A887" s="321" t="s">
        <v>474</v>
      </c>
      <c r="B887" s="1"/>
      <c r="C887" s="317">
        <v>0</v>
      </c>
      <c r="D887" s="317">
        <v>0</v>
      </c>
      <c r="E887" s="332">
        <f>E877</f>
        <v>1100</v>
      </c>
      <c r="F887" s="332"/>
      <c r="G887" s="319">
        <f>ROUND(E887*$C887*$E$803,0)</f>
        <v>0</v>
      </c>
      <c r="H887" s="319">
        <f>ROUND(E887*$D887*$E$803,0)</f>
        <v>0</v>
      </c>
      <c r="I887" s="332">
        <f>I877</f>
        <v>1205</v>
      </c>
      <c r="J887" s="319"/>
      <c r="K887" s="319">
        <f>ROUND(I887*$D887*$E$803,0)</f>
        <v>0</v>
      </c>
    </row>
    <row r="888" spans="1:11">
      <c r="A888" s="321" t="s">
        <v>475</v>
      </c>
      <c r="B888" s="1"/>
      <c r="C888" s="317">
        <v>12</v>
      </c>
      <c r="D888" s="317">
        <v>12</v>
      </c>
      <c r="E888" s="332">
        <f>E878</f>
        <v>1325</v>
      </c>
      <c r="F888" s="332"/>
      <c r="G888" s="319">
        <f>ROUND(E888*$C888*$E$803,0)</f>
        <v>-159</v>
      </c>
      <c r="H888" s="319">
        <f>ROUND(E888*$D888*$E$803,0)</f>
        <v>-159</v>
      </c>
      <c r="I888" s="332">
        <f>I878</f>
        <v>1450</v>
      </c>
      <c r="J888" s="319"/>
      <c r="K888" s="319">
        <f>ROUND(I888*$D888*$E$803,0)</f>
        <v>-174</v>
      </c>
    </row>
    <row r="889" spans="1:11">
      <c r="A889" s="321" t="s">
        <v>476</v>
      </c>
      <c r="B889" s="1"/>
      <c r="C889" s="317">
        <v>0</v>
      </c>
      <c r="D889" s="317">
        <v>0</v>
      </c>
      <c r="E889" s="332">
        <f>E880</f>
        <v>0.83</v>
      </c>
      <c r="F889" s="332"/>
      <c r="G889" s="319">
        <f>ROUND(E889*$C889*$E$803,0)</f>
        <v>0</v>
      </c>
      <c r="H889" s="319">
        <f>ROUND(E889*$D889*$E$803,0)</f>
        <v>0</v>
      </c>
      <c r="I889" s="332">
        <f>I880</f>
        <v>0.91</v>
      </c>
      <c r="J889" s="319"/>
      <c r="K889" s="319">
        <f>ROUND(I889*$D889*$E$803,0)</f>
        <v>0</v>
      </c>
    </row>
    <row r="890" spans="1:11">
      <c r="A890" s="321" t="s">
        <v>477</v>
      </c>
      <c r="B890" s="1"/>
      <c r="C890" s="317">
        <v>205024</v>
      </c>
      <c r="D890" s="317">
        <f>ROUND(($D$896/$C$896)*C890,0)</f>
        <v>124257</v>
      </c>
      <c r="E890" s="332">
        <f>E881</f>
        <v>0.76</v>
      </c>
      <c r="F890" s="332"/>
      <c r="G890" s="319">
        <f>ROUND(E890*$C890*$E$803,0)</f>
        <v>-1558</v>
      </c>
      <c r="H890" s="319">
        <f>ROUND(E890*$D890*$E$803,0)</f>
        <v>-944</v>
      </c>
      <c r="I890" s="332">
        <f>I881</f>
        <v>0.83</v>
      </c>
      <c r="J890" s="319"/>
      <c r="K890" s="319">
        <f>ROUND(I890*$D890*$E$803,0)</f>
        <v>-1031</v>
      </c>
    </row>
    <row r="891" spans="1:11">
      <c r="A891" s="307" t="s">
        <v>406</v>
      </c>
      <c r="B891" s="378"/>
      <c r="C891" s="317">
        <v>158638</v>
      </c>
      <c r="D891" s="317">
        <f>ROUND(($D$896/$C$896)*C891,0)</f>
        <v>96144</v>
      </c>
      <c r="E891" s="332">
        <f>E882</f>
        <v>5.52</v>
      </c>
      <c r="F891" s="335"/>
      <c r="G891" s="319">
        <f>ROUND(E891*$C891*$E$803,0)</f>
        <v>-8757</v>
      </c>
      <c r="H891" s="319">
        <f>ROUND(E891*$D891*$E$803,0)</f>
        <v>-5307</v>
      </c>
      <c r="I891" s="332">
        <f>I882</f>
        <v>6.03</v>
      </c>
      <c r="J891" s="319"/>
      <c r="K891" s="319">
        <f>ROUND(I891*$D891*$E$803,0)</f>
        <v>-5797</v>
      </c>
    </row>
    <row r="892" spans="1:11">
      <c r="A892" s="321" t="s">
        <v>467</v>
      </c>
      <c r="B892" s="1"/>
      <c r="C892" s="317">
        <f>C884</f>
        <v>43689000</v>
      </c>
      <c r="D892" s="317">
        <f>ROUND(($D$896/$C$896)*C892,0)</f>
        <v>26478236</v>
      </c>
      <c r="E892" s="333">
        <f>E884</f>
        <v>3.2050000000000001</v>
      </c>
      <c r="F892" s="319" t="s">
        <v>377</v>
      </c>
      <c r="G892" s="319">
        <f>ROUND(E892/100*$C892*$E$803,0)</f>
        <v>-14002</v>
      </c>
      <c r="H892" s="319">
        <f>ROUND(E892/100*$D892*$E$803,0)</f>
        <v>-8486</v>
      </c>
      <c r="I892" s="333">
        <f>I884</f>
        <v>3.4990000000000001</v>
      </c>
      <c r="J892" s="319" t="s">
        <v>377</v>
      </c>
      <c r="K892" s="319">
        <f>ROUND(I892/100*$D892*$E$803,0)</f>
        <v>-9265</v>
      </c>
    </row>
    <row r="893" spans="1:11">
      <c r="A893" s="321" t="s">
        <v>403</v>
      </c>
      <c r="B893" s="1"/>
      <c r="C893" s="317">
        <v>22988</v>
      </c>
      <c r="D893" s="317">
        <f>ROUND(($D$896/$C$896)*C893,0)</f>
        <v>13932</v>
      </c>
      <c r="E893" s="382">
        <f>E885</f>
        <v>0.45</v>
      </c>
      <c r="F893" s="319"/>
      <c r="G893" s="319">
        <f>ROUND(E893*$C893*$E$803,0)</f>
        <v>-103</v>
      </c>
      <c r="H893" s="319">
        <f>ROUND(E893*$D893*$E$803,0)</f>
        <v>-63</v>
      </c>
      <c r="I893" s="382">
        <f>I885</f>
        <v>0.45</v>
      </c>
      <c r="J893" s="319"/>
      <c r="K893" s="319">
        <f>ROUND(I893*$D893*$E$803,0)</f>
        <v>-63</v>
      </c>
    </row>
    <row r="894" spans="1:11">
      <c r="A894" s="307" t="s">
        <v>478</v>
      </c>
      <c r="B894" s="1"/>
      <c r="C894" s="317">
        <v>12</v>
      </c>
      <c r="D894" s="317">
        <v>12</v>
      </c>
      <c r="E894" s="335">
        <v>60</v>
      </c>
      <c r="F894" s="335"/>
      <c r="G894" s="319">
        <f>ROUND(E894*$C894,0)</f>
        <v>720</v>
      </c>
      <c r="H894" s="319">
        <f>ROUND(E894*$D894,0)</f>
        <v>720</v>
      </c>
      <c r="I894" s="335">
        <f>$I$783</f>
        <v>60</v>
      </c>
      <c r="J894" s="319"/>
      <c r="K894" s="319">
        <f>ROUND(I894*$D894,0)</f>
        <v>720</v>
      </c>
    </row>
    <row r="895" spans="1:11">
      <c r="A895" s="307" t="s">
        <v>447</v>
      </c>
      <c r="B895" s="1"/>
      <c r="C895" s="317">
        <v>205024</v>
      </c>
      <c r="D895" s="317">
        <f>ROUND(($D$896/$C$896)*C895,0)</f>
        <v>124257</v>
      </c>
      <c r="E895" s="335">
        <v>-0.3</v>
      </c>
      <c r="F895" s="319"/>
      <c r="G895" s="319">
        <f>ROUND(E895*$C895,0)</f>
        <v>-61507</v>
      </c>
      <c r="H895" s="319">
        <f>ROUND(E895*$D895,0)</f>
        <v>-37277</v>
      </c>
      <c r="I895" s="335">
        <f>$I$784</f>
        <v>-0.75</v>
      </c>
      <c r="J895" s="319"/>
      <c r="K895" s="319">
        <f>ROUND(I895*$D895,0)</f>
        <v>-93193</v>
      </c>
    </row>
    <row r="896" spans="1:11">
      <c r="A896" s="1" t="s">
        <v>384</v>
      </c>
      <c r="B896" s="1"/>
      <c r="C896" s="317">
        <f>C884</f>
        <v>43689000</v>
      </c>
      <c r="D896" s="317">
        <v>26478236.454041336</v>
      </c>
      <c r="E896" s="328"/>
      <c r="F896" s="2"/>
      <c r="G896" s="2">
        <f>SUM(G877:G895)</f>
        <v>2372611</v>
      </c>
      <c r="H896" s="2">
        <f>SUM(H877:H895)</f>
        <v>1444430</v>
      </c>
      <c r="I896" s="328"/>
      <c r="J896" s="1"/>
      <c r="K896" s="2">
        <f>SUM(K877:K895)</f>
        <v>1524220</v>
      </c>
    </row>
    <row r="897" spans="1:24">
      <c r="A897" s="1" t="s">
        <v>366</v>
      </c>
      <c r="B897" s="1"/>
      <c r="C897" s="317">
        <v>-984756.22694993159</v>
      </c>
      <c r="D897" s="317">
        <v>0</v>
      </c>
      <c r="E897" s="307"/>
      <c r="F897" s="307"/>
      <c r="G897" s="339">
        <v>-45079.171949096344</v>
      </c>
      <c r="H897" s="339">
        <v>0</v>
      </c>
      <c r="I897" s="307"/>
      <c r="J897" s="307"/>
      <c r="K897" s="339">
        <v>0</v>
      </c>
      <c r="M897" s="287"/>
      <c r="N897" s="287"/>
      <c r="O897" s="288"/>
    </row>
    <row r="898" spans="1:24" ht="16.5" thickBot="1">
      <c r="A898" s="1" t="s">
        <v>385</v>
      </c>
      <c r="B898" s="1"/>
      <c r="C898" s="391">
        <f>SUM(C896)+C897</f>
        <v>42704243.77305007</v>
      </c>
      <c r="D898" s="391">
        <f>SUM(D884)+D897</f>
        <v>26478236</v>
      </c>
      <c r="E898" s="340"/>
      <c r="F898" s="341"/>
      <c r="G898" s="342">
        <f>G896+G897</f>
        <v>2327531.8280509035</v>
      </c>
      <c r="H898" s="342">
        <f>H896+H897</f>
        <v>1444430</v>
      </c>
      <c r="I898" s="340"/>
      <c r="J898" s="343"/>
      <c r="K898" s="342">
        <f>K896+K897</f>
        <v>1524220</v>
      </c>
      <c r="M898" s="289"/>
      <c r="N898" s="289"/>
      <c r="O898" s="290"/>
    </row>
    <row r="899" spans="1:24" ht="16.5" thickTop="1">
      <c r="A899" s="1"/>
      <c r="B899" s="1"/>
      <c r="C899" s="21"/>
      <c r="D899" s="21"/>
      <c r="E899" s="335"/>
      <c r="F899" s="2"/>
      <c r="G899" s="2"/>
      <c r="H899" s="2"/>
      <c r="I899" s="351" t="s">
        <v>31</v>
      </c>
      <c r="J899" s="1"/>
      <c r="K899" s="2" t="s">
        <v>31</v>
      </c>
    </row>
    <row r="900" spans="1:24">
      <c r="A900" s="291" t="s">
        <v>485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486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</row>
    <row r="903" spans="1:24">
      <c r="A903" s="1" t="s">
        <v>487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75"/>
      <c r="N903" s="275"/>
      <c r="O903" s="275"/>
      <c r="Q903" s="395"/>
      <c r="R903" s="278"/>
      <c r="S903" s="279"/>
      <c r="T903" s="280"/>
      <c r="U903" s="276"/>
      <c r="V903" s="276"/>
      <c r="W903" s="276"/>
      <c r="X903" s="276"/>
    </row>
    <row r="904" spans="1:24">
      <c r="A904" s="3" t="s">
        <v>361</v>
      </c>
      <c r="C904" s="262">
        <f>15247</f>
        <v>15247</v>
      </c>
      <c r="D904" s="262">
        <f>ROUND(($D$909/$C$909)*C904,0)</f>
        <v>15700</v>
      </c>
      <c r="E904" s="263">
        <v>7.61</v>
      </c>
      <c r="G904" s="2">
        <f>ROUND(E904*$C904,0)</f>
        <v>116030</v>
      </c>
      <c r="H904" s="2">
        <f>ROUND(E904*$D904,0)</f>
        <v>119477</v>
      </c>
      <c r="I904" s="263">
        <v>7.61</v>
      </c>
      <c r="K904" s="2">
        <f>ROUND(I904*$D904,0)</f>
        <v>119477</v>
      </c>
      <c r="M904" s="84">
        <f>I904*D904</f>
        <v>119477</v>
      </c>
      <c r="O904" s="396">
        <v>31</v>
      </c>
      <c r="P904" s="397">
        <f>O904*D904</f>
        <v>486700</v>
      </c>
      <c r="Q904" s="398" t="e">
        <f>$P$910*O904</f>
        <v>#REF!</v>
      </c>
      <c r="R904" s="399" t="e">
        <f>ROUND(E904+Q904,2)</f>
        <v>#REF!</v>
      </c>
      <c r="S904" s="282"/>
      <c r="T904" s="276"/>
      <c r="U904" s="279"/>
      <c r="V904" s="279"/>
      <c r="W904" s="283"/>
      <c r="X904" s="279"/>
    </row>
    <row r="905" spans="1:24">
      <c r="A905" s="3" t="s">
        <v>488</v>
      </c>
      <c r="C905" s="262">
        <f>14583</f>
        <v>14583</v>
      </c>
      <c r="D905" s="262">
        <f>ROUND(($D$909/$C$909)*C905,0)</f>
        <v>15016</v>
      </c>
      <c r="E905" s="263">
        <v>9.1300000000000008</v>
      </c>
      <c r="G905" s="2">
        <f>ROUND(E905*$C905,0)</f>
        <v>133143</v>
      </c>
      <c r="H905" s="2">
        <f>ROUND(E905*$D905,0)</f>
        <v>137096</v>
      </c>
      <c r="I905" s="263">
        <v>9.1300000000000008</v>
      </c>
      <c r="K905" s="2">
        <f>ROUND(I905*$D905,0)</f>
        <v>137096</v>
      </c>
      <c r="M905" s="84">
        <f>I905*D905</f>
        <v>137096.08000000002</v>
      </c>
      <c r="O905" s="400">
        <v>44</v>
      </c>
      <c r="P905" s="74">
        <f>O905*D905</f>
        <v>660704</v>
      </c>
      <c r="Q905" s="401" t="e">
        <f>$P$910*O905</f>
        <v>#REF!</v>
      </c>
      <c r="R905" s="402" t="e">
        <f>ROUND(E905+Q905,2)</f>
        <v>#REF!</v>
      </c>
      <c r="S905" s="276"/>
      <c r="T905" s="276"/>
      <c r="U905" s="279"/>
      <c r="V905" s="279"/>
      <c r="W905" s="283"/>
      <c r="X905" s="279"/>
    </row>
    <row r="906" spans="1:24">
      <c r="A906" s="3" t="s">
        <v>362</v>
      </c>
      <c r="C906" s="262">
        <f>17554</f>
        <v>17554</v>
      </c>
      <c r="D906" s="262">
        <f>ROUND(($D$909/$C$909)*C906,0)</f>
        <v>18075</v>
      </c>
      <c r="E906" s="263">
        <v>13.33</v>
      </c>
      <c r="G906" s="2">
        <f>ROUND(E906*$C906,0)</f>
        <v>233995</v>
      </c>
      <c r="H906" s="2">
        <f>ROUND(E906*$D906,0)</f>
        <v>240940</v>
      </c>
      <c r="I906" s="263">
        <v>13.33</v>
      </c>
      <c r="K906" s="2">
        <f>ROUND(I906*$D906,0)</f>
        <v>240940</v>
      </c>
      <c r="M906" s="84">
        <f>I906*D906</f>
        <v>240939.75</v>
      </c>
      <c r="O906" s="400">
        <v>85</v>
      </c>
      <c r="P906" s="74">
        <f>O906*D906</f>
        <v>1536375</v>
      </c>
      <c r="Q906" s="401" t="e">
        <f>$P$910*O906</f>
        <v>#REF!</v>
      </c>
      <c r="R906" s="402" t="e">
        <f>ROUND(E906+Q906,2)</f>
        <v>#REF!</v>
      </c>
      <c r="S906" s="276"/>
      <c r="T906" s="276"/>
      <c r="U906" s="279"/>
      <c r="V906" s="279"/>
      <c r="W906" s="283"/>
      <c r="X906" s="279"/>
    </row>
    <row r="907" spans="1:24">
      <c r="A907" s="3" t="s">
        <v>363</v>
      </c>
      <c r="C907" s="262">
        <f>1478</f>
        <v>1478</v>
      </c>
      <c r="D907" s="262">
        <f>ROUND(($D$909/$C$909)*C907,0)</f>
        <v>1522</v>
      </c>
      <c r="E907" s="263">
        <v>22.32</v>
      </c>
      <c r="G907" s="2">
        <f>ROUND(E907*$C907,0)</f>
        <v>32989</v>
      </c>
      <c r="H907" s="2">
        <f>ROUND(E907*$D907,0)</f>
        <v>33971</v>
      </c>
      <c r="I907" s="263">
        <v>22.32</v>
      </c>
      <c r="K907" s="2">
        <f>ROUND(I907*$D907,0)</f>
        <v>33971</v>
      </c>
      <c r="M907" s="84">
        <f>I907*D907</f>
        <v>33971.040000000001</v>
      </c>
      <c r="O907" s="400">
        <v>176</v>
      </c>
      <c r="P907" s="74">
        <f>O907*D907</f>
        <v>267872</v>
      </c>
      <c r="Q907" s="401" t="e">
        <f>$P$910*O907</f>
        <v>#REF!</v>
      </c>
      <c r="R907" s="402" t="e">
        <f>ROUND(E907+Q907,2)</f>
        <v>#REF!</v>
      </c>
      <c r="S907" s="276"/>
      <c r="T907" s="276"/>
      <c r="U907" s="279"/>
      <c r="V907" s="279"/>
      <c r="W907" s="283"/>
      <c r="X907" s="279"/>
    </row>
    <row r="908" spans="1:24">
      <c r="A908" s="3" t="s">
        <v>365</v>
      </c>
      <c r="C908" s="262">
        <f>178*12</f>
        <v>2136</v>
      </c>
      <c r="D908" s="262">
        <v>1874</v>
      </c>
      <c r="E908" s="263"/>
      <c r="G908" s="2"/>
      <c r="H908" s="2"/>
      <c r="I908" s="263"/>
      <c r="K908" s="2"/>
      <c r="O908" s="400"/>
      <c r="P908" s="74">
        <f>SUM(P904:P907)</f>
        <v>2951651</v>
      </c>
      <c r="Q908" s="401"/>
      <c r="R908" s="402"/>
      <c r="S908" s="276"/>
      <c r="T908" s="276"/>
      <c r="U908" s="279"/>
      <c r="V908" s="279"/>
      <c r="W908" s="279"/>
      <c r="X908" s="279"/>
    </row>
    <row r="909" spans="1:24">
      <c r="A909" s="3" t="s">
        <v>384</v>
      </c>
      <c r="C909" s="262">
        <v>2866398.1098855259</v>
      </c>
      <c r="D909" s="262">
        <v>2951534.6465794938</v>
      </c>
      <c r="E909" s="267"/>
      <c r="F909" s="20"/>
      <c r="G909" s="270">
        <f>SUM(G904:G907)</f>
        <v>516157</v>
      </c>
      <c r="H909" s="270">
        <f>SUM(H904:H907)</f>
        <v>531484</v>
      </c>
      <c r="I909" s="267"/>
      <c r="J909" s="20"/>
      <c r="K909" s="270">
        <f>SUM(K904:K907)</f>
        <v>531484</v>
      </c>
      <c r="M909" s="84">
        <f>SUM(M904:M908)</f>
        <v>531483.87</v>
      </c>
      <c r="O909" s="400"/>
      <c r="P909" s="403" t="e">
        <f>O911-H911</f>
        <v>#REF!</v>
      </c>
      <c r="Q909" s="20"/>
      <c r="R909" s="404"/>
      <c r="S909" s="276"/>
      <c r="T909" s="276"/>
      <c r="U909" s="286"/>
      <c r="V909" s="276"/>
      <c r="W909" s="276"/>
      <c r="X909" s="276"/>
    </row>
    <row r="910" spans="1:24">
      <c r="A910" s="3" t="s">
        <v>366</v>
      </c>
      <c r="C910" s="262">
        <v>35840.593415054755</v>
      </c>
      <c r="D910" s="262">
        <v>0</v>
      </c>
      <c r="E910" s="267"/>
      <c r="F910" s="20"/>
      <c r="G910" s="270">
        <v>6155.2420195719942</v>
      </c>
      <c r="H910" s="270">
        <v>0</v>
      </c>
      <c r="I910" s="267"/>
      <c r="J910" s="20"/>
      <c r="K910" s="270">
        <v>0</v>
      </c>
      <c r="M910" s="287"/>
      <c r="N910" s="287"/>
      <c r="O910" s="405"/>
      <c r="P910" s="406" t="e">
        <f>P909/P908</f>
        <v>#REF!</v>
      </c>
      <c r="Q910" s="112"/>
      <c r="R910" s="407"/>
      <c r="S910" s="279"/>
      <c r="T910" s="276"/>
      <c r="U910" s="20"/>
      <c r="V910" s="20"/>
      <c r="W910" s="20"/>
      <c r="X910" s="20"/>
    </row>
    <row r="911" spans="1:24" ht="16.5" thickBot="1">
      <c r="A911" s="3" t="s">
        <v>9</v>
      </c>
      <c r="C911" s="271">
        <f>C909+C910</f>
        <v>2902238.7033005808</v>
      </c>
      <c r="D911" s="271">
        <f>D909+D910</f>
        <v>2951534.6465794938</v>
      </c>
      <c r="E911" s="272"/>
      <c r="F911" s="272"/>
      <c r="G911" s="272">
        <f>G909+G910</f>
        <v>522312.242019572</v>
      </c>
      <c r="H911" s="272">
        <f>H909+H910</f>
        <v>531484</v>
      </c>
      <c r="I911" s="272"/>
      <c r="J911" s="272"/>
      <c r="K911" s="272">
        <f>K909+K910</f>
        <v>531484</v>
      </c>
      <c r="M911" s="289"/>
      <c r="N911" s="275" t="s">
        <v>412</v>
      </c>
      <c r="O911" s="408" t="e">
        <f>#REF!*1000</f>
        <v>#REF!</v>
      </c>
      <c r="P911" s="275"/>
      <c r="S911" s="276"/>
      <c r="T911" s="276"/>
      <c r="U911" s="20"/>
      <c r="V911" s="20"/>
      <c r="W911" s="20"/>
      <c r="X911" s="20"/>
    </row>
    <row r="912" spans="1:24" ht="16.5" thickTop="1">
      <c r="A912" s="1"/>
      <c r="B912" s="1"/>
      <c r="C912" s="21"/>
      <c r="D912" s="21"/>
      <c r="E912" s="21"/>
      <c r="F912" s="21"/>
      <c r="G912" s="2"/>
      <c r="H912" s="2"/>
      <c r="I912" s="21" t="s">
        <v>31</v>
      </c>
      <c r="J912" s="21"/>
      <c r="K912" s="2" t="s">
        <v>31</v>
      </c>
      <c r="M912" s="275"/>
      <c r="N912" s="275" t="s">
        <v>265</v>
      </c>
      <c r="O912" s="409" t="e">
        <f>O911-K911</f>
        <v>#REF!</v>
      </c>
      <c r="P912" s="14" t="e">
        <f>(O911-K911)/K911</f>
        <v>#REF!</v>
      </c>
      <c r="Q912" s="275"/>
      <c r="R912" s="275"/>
      <c r="S912" s="275"/>
      <c r="T912" s="275"/>
    </row>
    <row r="913" spans="1:24">
      <c r="A913" s="291" t="s">
        <v>489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275"/>
      <c r="N913" s="275"/>
      <c r="O913" s="288"/>
      <c r="P913" s="275"/>
      <c r="T913" s="275"/>
      <c r="U913" s="275"/>
      <c r="V913" s="275"/>
      <c r="W913" s="275"/>
      <c r="X913" s="275"/>
    </row>
    <row r="914" spans="1:24">
      <c r="A914" s="1" t="s">
        <v>490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275"/>
      <c r="U914" s="275"/>
      <c r="V914" s="275"/>
      <c r="W914" s="275"/>
      <c r="X914" s="275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275"/>
      <c r="U915" s="275"/>
      <c r="V915" s="275"/>
      <c r="W915" s="275"/>
      <c r="X915" s="275"/>
    </row>
    <row r="916" spans="1:24">
      <c r="A916" s="1" t="s">
        <v>491</v>
      </c>
      <c r="B916" s="1"/>
      <c r="C916" s="21"/>
      <c r="D916" s="21"/>
      <c r="E916" s="296"/>
      <c r="F916" s="1"/>
      <c r="G916" s="410">
        <v>30454.32</v>
      </c>
      <c r="H916" s="410">
        <v>30454.32</v>
      </c>
      <c r="I916" s="296"/>
      <c r="J916" s="1"/>
      <c r="K916" s="2">
        <f>G916</f>
        <v>30454.32</v>
      </c>
      <c r="M916" s="84">
        <f>K916</f>
        <v>30454.32</v>
      </c>
      <c r="N916" s="20"/>
      <c r="O916" s="74"/>
      <c r="P916" s="74"/>
      <c r="Q916" s="20"/>
      <c r="R916" s="20"/>
      <c r="S916" s="20"/>
      <c r="T916" s="20"/>
      <c r="U916" s="20"/>
      <c r="V916" s="20"/>
      <c r="W916" s="20"/>
      <c r="X916" s="20"/>
    </row>
    <row r="917" spans="1:24">
      <c r="A917" s="1" t="s">
        <v>492</v>
      </c>
      <c r="B917" s="1"/>
      <c r="C917" s="262">
        <f>460481</f>
        <v>460481</v>
      </c>
      <c r="D917" s="317">
        <f>ROUND(($D$920/$C$920)*C917,0)</f>
        <v>453966</v>
      </c>
      <c r="E917" s="411">
        <v>6.4050000000000002</v>
      </c>
      <c r="F917" s="1" t="s">
        <v>377</v>
      </c>
      <c r="G917" s="412">
        <f>ROUND(C917*E917/100,0)</f>
        <v>29494</v>
      </c>
      <c r="H917" s="412">
        <f>ROUND(D917*E917/100,0)</f>
        <v>29077</v>
      </c>
      <c r="I917" s="411">
        <v>6.4050000000000002</v>
      </c>
      <c r="J917" s="1" t="s">
        <v>377</v>
      </c>
      <c r="K917" s="2">
        <f>ROUND(I917*D917/100,0)</f>
        <v>29077</v>
      </c>
      <c r="M917" s="84">
        <f>(I917/100)*D917</f>
        <v>29076.522299999997</v>
      </c>
      <c r="N917" s="20"/>
      <c r="O917" s="74"/>
      <c r="P917" s="74"/>
      <c r="Q917" s="20"/>
      <c r="R917" s="20"/>
      <c r="S917" s="20"/>
      <c r="T917" s="20"/>
      <c r="U917" s="20"/>
      <c r="V917" s="20"/>
      <c r="W917" s="20"/>
      <c r="X917" s="20"/>
    </row>
    <row r="918" spans="1:24">
      <c r="A918" s="1" t="s">
        <v>493</v>
      </c>
      <c r="B918" s="1"/>
      <c r="C918" s="262">
        <v>0</v>
      </c>
      <c r="D918" s="317">
        <f>ROUND(($D$920/$C$920)*C918,0)</f>
        <v>0</v>
      </c>
      <c r="E918" s="411">
        <v>7.1669999999999998</v>
      </c>
      <c r="F918" s="1" t="s">
        <v>377</v>
      </c>
      <c r="G918" s="412">
        <f>ROUND(C918*E918/100,0)</f>
        <v>0</v>
      </c>
      <c r="H918" s="412">
        <f>ROUND(D918*E918/100,0)</f>
        <v>0</v>
      </c>
      <c r="I918" s="411">
        <v>7.1669999999999998</v>
      </c>
      <c r="J918" s="1" t="s">
        <v>377</v>
      </c>
      <c r="K918" s="2">
        <f>ROUND(I918*D918/100,0)</f>
        <v>0</v>
      </c>
      <c r="M918" s="84">
        <f>(I918/100)*D918</f>
        <v>0</v>
      </c>
      <c r="N918" s="20"/>
      <c r="O918" s="74"/>
      <c r="P918" s="20"/>
      <c r="Q918" s="20"/>
      <c r="R918" s="20"/>
      <c r="S918" s="20"/>
      <c r="T918" s="20"/>
      <c r="U918" s="20"/>
      <c r="V918" s="20"/>
      <c r="W918" s="20"/>
      <c r="X918" s="20"/>
    </row>
    <row r="919" spans="1:24">
      <c r="A919" s="1" t="s">
        <v>365</v>
      </c>
      <c r="B919" s="1"/>
      <c r="C919" s="262">
        <f>30*12</f>
        <v>360</v>
      </c>
      <c r="D919" s="317">
        <v>241</v>
      </c>
      <c r="E919" s="413"/>
      <c r="F919" s="1"/>
      <c r="G919" s="2"/>
      <c r="H919" s="2"/>
      <c r="I919" s="413"/>
      <c r="J919" s="1"/>
      <c r="K919" s="2"/>
      <c r="M919" s="20"/>
      <c r="N919" s="20"/>
      <c r="O919" s="74"/>
      <c r="P919" s="74"/>
      <c r="Q919" s="20"/>
      <c r="R919" s="20"/>
      <c r="S919" s="20"/>
      <c r="T919" s="20"/>
      <c r="U919" s="20"/>
      <c r="V919" s="20"/>
      <c r="W919" s="20"/>
      <c r="X919" s="20"/>
    </row>
    <row r="920" spans="1:24">
      <c r="A920" s="3" t="s">
        <v>494</v>
      </c>
      <c r="C920" s="262">
        <f>SUM(C917:C918)</f>
        <v>460481</v>
      </c>
      <c r="D920" s="262">
        <v>453965.95876460936</v>
      </c>
      <c r="E920" s="267"/>
      <c r="F920" s="20"/>
      <c r="G920" s="270">
        <f>SUM(G916:G918)</f>
        <v>59948.32</v>
      </c>
      <c r="H920" s="270">
        <f>SUM(H916:H918)</f>
        <v>59531.32</v>
      </c>
      <c r="I920" s="267"/>
      <c r="J920" s="20"/>
      <c r="K920" s="270">
        <f>SUM(K916:K918)</f>
        <v>59531.32</v>
      </c>
      <c r="M920" s="414">
        <f>SUM(M916:M919)</f>
        <v>59530.842299999997</v>
      </c>
      <c r="N920" s="20"/>
      <c r="O920" s="74"/>
      <c r="P920" s="74"/>
      <c r="Q920" s="20"/>
      <c r="R920" s="20"/>
      <c r="S920" s="20"/>
      <c r="T920" s="20"/>
      <c r="U920" s="20"/>
      <c r="V920" s="20"/>
      <c r="W920" s="20"/>
      <c r="X920" s="20"/>
    </row>
    <row r="921" spans="1:24">
      <c r="A921" s="3" t="s">
        <v>495</v>
      </c>
      <c r="C921" s="262">
        <v>5757.7672357238089</v>
      </c>
      <c r="D921" s="262">
        <v>0</v>
      </c>
      <c r="E921" s="267"/>
      <c r="F921" s="20"/>
      <c r="G921" s="270">
        <v>721.95019570943907</v>
      </c>
      <c r="H921" s="270">
        <v>0</v>
      </c>
      <c r="I921" s="267"/>
      <c r="J921" s="20"/>
      <c r="K921" s="270">
        <v>0</v>
      </c>
      <c r="M921" s="287"/>
      <c r="N921" s="287"/>
      <c r="O921" s="288"/>
      <c r="P921" s="74"/>
      <c r="S921" s="20"/>
      <c r="T921" s="20"/>
      <c r="U921" s="20"/>
      <c r="V921" s="20"/>
      <c r="W921" s="20"/>
      <c r="X921" s="20"/>
    </row>
    <row r="922" spans="1:24" ht="16.5" thickBot="1">
      <c r="A922" s="1" t="s">
        <v>9</v>
      </c>
      <c r="B922" s="1"/>
      <c r="C922" s="391">
        <f>C920+C921</f>
        <v>466238.76723572379</v>
      </c>
      <c r="D922" s="391">
        <f>D920+D921</f>
        <v>453965.95876460936</v>
      </c>
      <c r="E922" s="415"/>
      <c r="F922" s="416"/>
      <c r="G922" s="272">
        <f>G920+G921</f>
        <v>60670.27019570944</v>
      </c>
      <c r="H922" s="272">
        <f>H920+H921</f>
        <v>59531.32</v>
      </c>
      <c r="I922" s="415"/>
      <c r="J922" s="416"/>
      <c r="K922" s="272">
        <f>K920+K921</f>
        <v>59531.32</v>
      </c>
      <c r="M922" s="289"/>
      <c r="N922" s="275" t="s">
        <v>412</v>
      </c>
      <c r="O922" s="414" t="e">
        <f>#REF!*1000</f>
        <v>#REF!</v>
      </c>
      <c r="P922" s="74"/>
      <c r="S922" s="20"/>
      <c r="T922" s="20"/>
      <c r="U922" s="20"/>
      <c r="V922" s="20"/>
      <c r="W922" s="20"/>
      <c r="X922" s="20"/>
    </row>
    <row r="923" spans="1:24" ht="16.5" thickTop="1">
      <c r="A923" s="1"/>
      <c r="B923" s="1"/>
      <c r="C923" s="1"/>
      <c r="D923" s="1"/>
      <c r="E923" s="417"/>
      <c r="F923" s="1"/>
      <c r="G923" s="1"/>
      <c r="H923" s="1"/>
      <c r="I923" s="417" t="s">
        <v>31</v>
      </c>
      <c r="J923" s="1"/>
      <c r="K923" s="2" t="s">
        <v>31</v>
      </c>
      <c r="M923" s="20"/>
      <c r="N923" s="275" t="s">
        <v>265</v>
      </c>
      <c r="O923" s="414" t="e">
        <f>O922-K922</f>
        <v>#REF!</v>
      </c>
      <c r="P923" s="14" t="e">
        <f>(O922-K922)/K922</f>
        <v>#REF!</v>
      </c>
      <c r="Q923" s="20"/>
      <c r="R923" s="20"/>
      <c r="S923" s="20"/>
      <c r="T923" s="20"/>
      <c r="U923" s="20"/>
      <c r="V923" s="20"/>
      <c r="W923" s="20"/>
      <c r="X923" s="20"/>
    </row>
    <row r="924" spans="1:24">
      <c r="A924" s="291" t="s">
        <v>496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20"/>
      <c r="N924" s="20"/>
      <c r="O924" s="74"/>
      <c r="P924" s="418"/>
      <c r="Q924" s="20"/>
      <c r="R924" s="20"/>
      <c r="S924" s="20"/>
      <c r="T924" s="20"/>
      <c r="U924" s="20"/>
      <c r="V924" s="20"/>
      <c r="W924" s="20"/>
      <c r="X924" s="20"/>
    </row>
    <row r="925" spans="1:24">
      <c r="A925" s="1" t="s">
        <v>497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20"/>
      <c r="N925" s="20"/>
      <c r="O925" s="74"/>
      <c r="P925" s="74"/>
      <c r="Q925" s="20"/>
      <c r="R925" s="20"/>
      <c r="S925" s="20"/>
      <c r="T925" s="20"/>
      <c r="U925" s="20"/>
      <c r="V925" s="20"/>
      <c r="W925" s="20"/>
      <c r="X925" s="20"/>
    </row>
    <row r="926" spans="1:24">
      <c r="A926" s="1"/>
      <c r="B926" s="1"/>
      <c r="C926" s="1"/>
      <c r="D926" s="1"/>
      <c r="E926" s="417"/>
      <c r="F926" s="1"/>
      <c r="G926" s="1"/>
      <c r="H926" s="1"/>
      <c r="I926" s="417"/>
      <c r="J926" s="1"/>
      <c r="K926" s="1"/>
      <c r="M926" s="20"/>
      <c r="N926" s="20"/>
      <c r="O926" s="74"/>
      <c r="P926" s="74"/>
      <c r="Q926" s="20"/>
      <c r="R926" s="20"/>
      <c r="S926" s="20"/>
      <c r="T926" s="20"/>
      <c r="U926" s="20"/>
      <c r="V926" s="20"/>
      <c r="W926" s="20"/>
      <c r="X926" s="20"/>
    </row>
    <row r="927" spans="1:24">
      <c r="A927" s="1" t="s">
        <v>491</v>
      </c>
      <c r="B927" s="1"/>
      <c r="C927" s="21"/>
      <c r="D927" s="21"/>
      <c r="E927" s="296"/>
      <c r="F927" s="1"/>
      <c r="G927" s="410">
        <f t="shared" ref="G927:H929" si="72">G938+G949</f>
        <v>2349.2199999999998</v>
      </c>
      <c r="H927" s="410">
        <f t="shared" si="72"/>
        <v>2349.2199999999998</v>
      </c>
      <c r="I927" s="296"/>
      <c r="J927" s="1"/>
      <c r="K927" s="2">
        <f>G927</f>
        <v>2349.2199999999998</v>
      </c>
      <c r="M927" s="414">
        <f>K927</f>
        <v>2349.2199999999998</v>
      </c>
      <c r="N927" s="20"/>
      <c r="O927" s="74"/>
      <c r="P927" s="74"/>
      <c r="Q927" s="20"/>
      <c r="R927" s="20"/>
      <c r="S927" s="20"/>
      <c r="T927" s="20"/>
      <c r="U927" s="20"/>
      <c r="V927" s="20"/>
      <c r="W927" s="20"/>
      <c r="X927" s="20"/>
    </row>
    <row r="928" spans="1:24">
      <c r="A928" s="1" t="s">
        <v>498</v>
      </c>
      <c r="B928" s="1"/>
      <c r="C928" s="262">
        <f t="shared" ref="C928:D932" si="73">C939+C950</f>
        <v>127219</v>
      </c>
      <c r="D928" s="262">
        <f t="shared" si="73"/>
        <v>128106</v>
      </c>
      <c r="E928" s="411">
        <v>6.1459999999999999</v>
      </c>
      <c r="F928" s="1" t="s">
        <v>377</v>
      </c>
      <c r="G928" s="412">
        <f t="shared" si="72"/>
        <v>7819</v>
      </c>
      <c r="H928" s="412">
        <f t="shared" si="72"/>
        <v>7873</v>
      </c>
      <c r="I928" s="411">
        <v>6.1459999999999999</v>
      </c>
      <c r="J928" s="1" t="s">
        <v>377</v>
      </c>
      <c r="K928" s="2">
        <f>K939+K950</f>
        <v>7873</v>
      </c>
      <c r="M928" s="84">
        <f>(I928/100)*D928</f>
        <v>7873.3947600000001</v>
      </c>
      <c r="N928" s="20"/>
      <c r="O928" s="74"/>
      <c r="P928" s="74"/>
      <c r="Q928" s="20"/>
      <c r="R928" s="20"/>
      <c r="S928" s="20"/>
      <c r="T928" s="20"/>
      <c r="U928" s="20"/>
      <c r="V928" s="20"/>
      <c r="W928" s="20"/>
      <c r="X928" s="20"/>
    </row>
    <row r="929" spans="1:24">
      <c r="A929" s="1" t="s">
        <v>499</v>
      </c>
      <c r="B929" s="1"/>
      <c r="C929" s="262">
        <f t="shared" si="73"/>
        <v>4317144</v>
      </c>
      <c r="D929" s="262">
        <f t="shared" si="73"/>
        <v>4311224</v>
      </c>
      <c r="E929" s="419">
        <f>E928</f>
        <v>6.1459999999999999</v>
      </c>
      <c r="F929" s="1" t="s">
        <v>377</v>
      </c>
      <c r="G929" s="412">
        <f t="shared" si="72"/>
        <v>265332</v>
      </c>
      <c r="H929" s="412">
        <f t="shared" si="72"/>
        <v>264968</v>
      </c>
      <c r="I929" s="419">
        <f>I928</f>
        <v>6.1459999999999999</v>
      </c>
      <c r="J929" s="1" t="s">
        <v>377</v>
      </c>
      <c r="K929" s="2">
        <f>K940+K951</f>
        <v>264968</v>
      </c>
      <c r="M929" s="84">
        <f>(I929/100)*D929</f>
        <v>264967.82704</v>
      </c>
      <c r="N929" s="20"/>
      <c r="O929" s="74"/>
      <c r="P929" s="74"/>
      <c r="Q929" s="20"/>
      <c r="R929" s="20"/>
      <c r="S929" s="20"/>
      <c r="T929" s="20"/>
      <c r="U929" s="20"/>
      <c r="V929" s="20"/>
      <c r="W929" s="20"/>
      <c r="X929" s="20"/>
    </row>
    <row r="930" spans="1:24">
      <c r="A930" s="1" t="s">
        <v>365</v>
      </c>
      <c r="B930" s="1"/>
      <c r="C930" s="262">
        <f t="shared" si="73"/>
        <v>3268</v>
      </c>
      <c r="D930" s="262">
        <f t="shared" si="73"/>
        <v>3401</v>
      </c>
      <c r="E930" s="413"/>
      <c r="F930" s="1"/>
      <c r="G930" s="2"/>
      <c r="H930" s="2"/>
      <c r="I930" s="413"/>
      <c r="J930" s="1"/>
      <c r="K930" s="2"/>
      <c r="M930" s="20"/>
      <c r="N930" s="20"/>
      <c r="O930" s="74"/>
      <c r="P930" s="74"/>
      <c r="Q930" s="20"/>
      <c r="R930" s="20"/>
      <c r="S930" s="20"/>
      <c r="T930" s="20"/>
      <c r="U930" s="20"/>
      <c r="V930" s="20"/>
      <c r="W930" s="20"/>
      <c r="X930" s="20"/>
    </row>
    <row r="931" spans="1:24">
      <c r="A931" s="3" t="s">
        <v>494</v>
      </c>
      <c r="C931" s="262">
        <f t="shared" si="73"/>
        <v>4444363</v>
      </c>
      <c r="D931" s="262">
        <f t="shared" si="73"/>
        <v>4439329.75109665</v>
      </c>
      <c r="E931" s="267"/>
      <c r="F931" s="20"/>
      <c r="G931" s="270">
        <f>G942+G953</f>
        <v>275500.21999999997</v>
      </c>
      <c r="H931" s="270">
        <f>H942+H953</f>
        <v>275190.21999999997</v>
      </c>
      <c r="I931" s="267"/>
      <c r="J931" s="20"/>
      <c r="K931" s="270">
        <f>K942+K953</f>
        <v>275190.21999999997</v>
      </c>
      <c r="M931" s="414">
        <f>SUM(M927:M930)</f>
        <v>275190.44180000003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</row>
    <row r="932" spans="1:24">
      <c r="A932" s="3" t="s">
        <v>495</v>
      </c>
      <c r="C932" s="262">
        <f t="shared" si="73"/>
        <v>55568.648757006318</v>
      </c>
      <c r="D932" s="262">
        <f t="shared" si="73"/>
        <v>0</v>
      </c>
      <c r="E932" s="267"/>
      <c r="F932" s="20"/>
      <c r="G932" s="270">
        <f>G943+G954</f>
        <v>3332.8497590767615</v>
      </c>
      <c r="H932" s="270">
        <f>H943+H954</f>
        <v>0</v>
      </c>
      <c r="I932" s="267"/>
      <c r="J932" s="20"/>
      <c r="K932" s="270">
        <f>K943+K954</f>
        <v>0</v>
      </c>
      <c r="M932" s="287"/>
      <c r="N932" s="287"/>
      <c r="O932" s="288"/>
      <c r="P932" s="74"/>
      <c r="S932" s="20"/>
      <c r="T932" s="20"/>
      <c r="U932" s="20"/>
      <c r="V932" s="20"/>
      <c r="W932" s="20"/>
      <c r="X932" s="20"/>
    </row>
    <row r="933" spans="1:24" ht="16.5" thickBot="1">
      <c r="A933" s="1" t="s">
        <v>9</v>
      </c>
      <c r="B933" s="1"/>
      <c r="C933" s="391">
        <f>C931+C932</f>
        <v>4499931.648757006</v>
      </c>
      <c r="D933" s="391">
        <f>D931+D932</f>
        <v>4439329.75109665</v>
      </c>
      <c r="E933" s="415"/>
      <c r="F933" s="416"/>
      <c r="G933" s="272">
        <f>G931+G932</f>
        <v>278833.06975907675</v>
      </c>
      <c r="H933" s="272">
        <f>H931+H932</f>
        <v>275190.21999999997</v>
      </c>
      <c r="I933" s="415"/>
      <c r="J933" s="416"/>
      <c r="K933" s="272">
        <f>K931+K932</f>
        <v>275190.21999999997</v>
      </c>
      <c r="M933" s="289"/>
      <c r="N933" s="275" t="s">
        <v>412</v>
      </c>
      <c r="O933" s="414" t="e">
        <f>#REF!*1000</f>
        <v>#REF!</v>
      </c>
      <c r="P933" s="74"/>
      <c r="S933" s="20"/>
      <c r="T933" s="20"/>
      <c r="U933" s="20"/>
      <c r="V933" s="20"/>
      <c r="W933" s="20"/>
      <c r="X933" s="20"/>
    </row>
    <row r="934" spans="1:24" ht="16.5" thickTop="1">
      <c r="A934" s="1"/>
      <c r="B934" s="1"/>
      <c r="C934" s="26"/>
      <c r="D934" s="26"/>
      <c r="E934" s="420"/>
      <c r="F934" s="23"/>
      <c r="G934" s="51"/>
      <c r="H934" s="51"/>
      <c r="I934" s="420" t="s">
        <v>31</v>
      </c>
      <c r="J934" s="23"/>
      <c r="K934" s="51" t="s">
        <v>31</v>
      </c>
      <c r="M934" s="20"/>
      <c r="N934" s="275" t="s">
        <v>265</v>
      </c>
      <c r="O934" s="414" t="e">
        <f>O933-K933</f>
        <v>#REF!</v>
      </c>
      <c r="P934" s="14" t="e">
        <f>(O933-K933)/K933</f>
        <v>#REF!</v>
      </c>
      <c r="Q934" s="20"/>
      <c r="R934" s="20"/>
      <c r="S934" s="20"/>
      <c r="T934" s="20"/>
      <c r="U934" s="20"/>
      <c r="V934" s="20"/>
      <c r="W934" s="20"/>
      <c r="X934" s="20"/>
    </row>
    <row r="935" spans="1:24">
      <c r="A935" s="291" t="s">
        <v>500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414"/>
      <c r="N935" s="414"/>
      <c r="O935" s="74"/>
      <c r="P935" s="74"/>
      <c r="Q935" s="20"/>
      <c r="R935" s="20"/>
      <c r="S935" s="20"/>
      <c r="T935" s="20"/>
      <c r="U935" s="20"/>
      <c r="V935" s="20"/>
      <c r="W935" s="20"/>
      <c r="X935" s="20"/>
    </row>
    <row r="936" spans="1:24">
      <c r="A936" s="1" t="s">
        <v>501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20"/>
      <c r="N936" s="20"/>
      <c r="O936" s="421" t="e">
        <f>O934/(H933-H927)</f>
        <v>#REF!</v>
      </c>
      <c r="P936" s="74"/>
      <c r="Q936" s="20"/>
      <c r="R936" s="20"/>
      <c r="S936" s="20"/>
      <c r="T936" s="20"/>
      <c r="U936" s="20"/>
      <c r="V936" s="20"/>
      <c r="W936" s="20"/>
      <c r="X936" s="20"/>
    </row>
    <row r="937" spans="1:24">
      <c r="A937" s="1"/>
      <c r="B937" s="1"/>
      <c r="C937" s="1"/>
      <c r="D937" s="1"/>
      <c r="E937" s="417"/>
      <c r="F937" s="1"/>
      <c r="G937" s="1"/>
      <c r="H937" s="1"/>
      <c r="I937" s="417"/>
      <c r="J937" s="1"/>
      <c r="K937" s="1"/>
      <c r="M937" s="20"/>
      <c r="N937" s="20"/>
      <c r="O937" s="74"/>
      <c r="P937" s="74"/>
      <c r="Q937" s="20"/>
      <c r="R937" s="20"/>
      <c r="S937" s="20"/>
      <c r="T937" s="20"/>
      <c r="U937" s="20"/>
      <c r="V937" s="20"/>
      <c r="W937" s="20"/>
      <c r="X937" s="20"/>
    </row>
    <row r="938" spans="1:24">
      <c r="A938" s="1" t="s">
        <v>491</v>
      </c>
      <c r="B938" s="1"/>
      <c r="C938" s="21"/>
      <c r="D938" s="21"/>
      <c r="E938" s="296"/>
      <c r="F938" s="1"/>
      <c r="G938" s="410">
        <v>2349.2199999999998</v>
      </c>
      <c r="H938" s="410">
        <v>2349.2199999999998</v>
      </c>
      <c r="I938" s="296"/>
      <c r="J938" s="1"/>
      <c r="K938" s="2">
        <f>G938</f>
        <v>2349.2199999999998</v>
      </c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</row>
    <row r="939" spans="1:24">
      <c r="A939" s="1" t="s">
        <v>498</v>
      </c>
      <c r="B939" s="1"/>
      <c r="C939" s="262">
        <f>127219</f>
        <v>127219</v>
      </c>
      <c r="D939" s="317">
        <f>ROUND(($D$942/$C$942)*C939,0)</f>
        <v>128106</v>
      </c>
      <c r="E939" s="411">
        <v>6.1459999999999999</v>
      </c>
      <c r="F939" s="1" t="s">
        <v>377</v>
      </c>
      <c r="G939" s="412">
        <f>ROUND(C939*E939/100,0)</f>
        <v>7819</v>
      </c>
      <c r="H939" s="412">
        <f>ROUND(D939*E939/100,0)</f>
        <v>7873</v>
      </c>
      <c r="I939" s="380">
        <f>I928</f>
        <v>6.1459999999999999</v>
      </c>
      <c r="J939" s="1" t="s">
        <v>377</v>
      </c>
      <c r="K939" s="2">
        <f>ROUND(I939*D939/100,0)</f>
        <v>7873</v>
      </c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</row>
    <row r="940" spans="1:24">
      <c r="A940" s="1" t="s">
        <v>499</v>
      </c>
      <c r="B940" s="1"/>
      <c r="C940" s="262">
        <f>3303301</f>
        <v>3303301</v>
      </c>
      <c r="D940" s="317">
        <f>ROUND(($D$942/$C$942)*C940,0)</f>
        <v>3326331</v>
      </c>
      <c r="E940" s="419">
        <f>E939</f>
        <v>6.1459999999999999</v>
      </c>
      <c r="F940" s="1" t="s">
        <v>377</v>
      </c>
      <c r="G940" s="412">
        <f>ROUND(C940*E940/100,0)</f>
        <v>203021</v>
      </c>
      <c r="H940" s="412">
        <f>ROUND(D940*E940/100,0)</f>
        <v>204436</v>
      </c>
      <c r="I940" s="422">
        <f>I939</f>
        <v>6.1459999999999999</v>
      </c>
      <c r="J940" s="1" t="s">
        <v>377</v>
      </c>
      <c r="K940" s="2">
        <f>ROUND(I940*D940/100,0)</f>
        <v>204436</v>
      </c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</row>
    <row r="941" spans="1:24">
      <c r="A941" s="1" t="s">
        <v>365</v>
      </c>
      <c r="B941" s="1"/>
      <c r="C941" s="262">
        <f>60+2185</f>
        <v>2245</v>
      </c>
      <c r="D941" s="317">
        <v>2369</v>
      </c>
      <c r="E941" s="413"/>
      <c r="F941" s="1"/>
      <c r="G941" s="2"/>
      <c r="H941" s="2"/>
      <c r="I941" s="413"/>
      <c r="J941" s="1"/>
      <c r="K941" s="2"/>
      <c r="M941" s="20"/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</row>
    <row r="942" spans="1:24">
      <c r="A942" s="3" t="s">
        <v>494</v>
      </c>
      <c r="C942" s="262">
        <f>C939+C940</f>
        <v>3430520</v>
      </c>
      <c r="D942" s="262">
        <v>3454436.4805654008</v>
      </c>
      <c r="E942" s="267"/>
      <c r="F942" s="20"/>
      <c r="G942" s="270">
        <f>SUM(G938:G940)</f>
        <v>213189.22</v>
      </c>
      <c r="H942" s="270">
        <f>SUM(H938:H940)</f>
        <v>214658.22</v>
      </c>
      <c r="I942" s="267"/>
      <c r="J942" s="20"/>
      <c r="K942" s="270">
        <f>SUM(K938:K940)</f>
        <v>214658.22</v>
      </c>
      <c r="M942" s="20"/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</row>
    <row r="943" spans="1:24">
      <c r="A943" s="3" t="s">
        <v>495</v>
      </c>
      <c r="C943" s="262">
        <v>42879.146799479597</v>
      </c>
      <c r="D943" s="262">
        <v>0</v>
      </c>
      <c r="E943" s="267"/>
      <c r="F943" s="20"/>
      <c r="G943" s="270">
        <v>2578.7840543150201</v>
      </c>
      <c r="H943" s="270">
        <v>0</v>
      </c>
      <c r="I943" s="267"/>
      <c r="J943" s="20"/>
      <c r="K943" s="270">
        <v>0</v>
      </c>
      <c r="M943" s="287"/>
      <c r="N943" s="287"/>
      <c r="O943" s="288"/>
      <c r="P943" s="74"/>
      <c r="Q943" s="20"/>
      <c r="R943" s="20"/>
      <c r="S943" s="20"/>
      <c r="T943" s="20"/>
      <c r="U943" s="20"/>
      <c r="V943" s="20"/>
      <c r="W943" s="20"/>
      <c r="X943" s="20"/>
    </row>
    <row r="944" spans="1:24" ht="16.5" thickBot="1">
      <c r="A944" s="1" t="s">
        <v>9</v>
      </c>
      <c r="B944" s="1"/>
      <c r="C944" s="391">
        <f>C942+C943</f>
        <v>3473399.1467994796</v>
      </c>
      <c r="D944" s="391">
        <f>D942+D943</f>
        <v>3454436.4805654008</v>
      </c>
      <c r="E944" s="415"/>
      <c r="F944" s="416"/>
      <c r="G944" s="272">
        <f>G942+G943</f>
        <v>215768.00405431501</v>
      </c>
      <c r="H944" s="272">
        <f>H942+H943</f>
        <v>214658.22</v>
      </c>
      <c r="I944" s="415"/>
      <c r="J944" s="416"/>
      <c r="K944" s="272">
        <f>K942+K943</f>
        <v>214658.22</v>
      </c>
      <c r="M944" s="289"/>
      <c r="N944" s="289"/>
      <c r="O944" s="290"/>
      <c r="P944" s="74"/>
      <c r="Q944" s="20"/>
      <c r="R944" s="20"/>
      <c r="S944" s="20"/>
      <c r="T944" s="20"/>
      <c r="U944" s="20"/>
      <c r="V944" s="20"/>
      <c r="W944" s="20"/>
      <c r="X944" s="20"/>
    </row>
    <row r="945" spans="1:24" ht="16.5" thickTop="1">
      <c r="A945" s="1"/>
      <c r="B945" s="1"/>
      <c r="C945" s="26"/>
      <c r="D945" s="26"/>
      <c r="E945" s="420"/>
      <c r="F945" s="23"/>
      <c r="G945" s="51"/>
      <c r="H945" s="51"/>
      <c r="I945" s="420" t="s">
        <v>31</v>
      </c>
      <c r="J945" s="23"/>
      <c r="K945" s="51" t="s">
        <v>31</v>
      </c>
      <c r="M945" s="20"/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</row>
    <row r="946" spans="1:24">
      <c r="A946" s="291" t="s">
        <v>502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20"/>
      <c r="N946" s="20"/>
      <c r="O946" s="74"/>
      <c r="P946" s="74"/>
      <c r="Q946" s="20"/>
      <c r="R946" s="20"/>
      <c r="S946" s="20"/>
      <c r="T946" s="20"/>
      <c r="U946" s="20"/>
      <c r="V946" s="20"/>
      <c r="W946" s="20"/>
      <c r="X946" s="20"/>
    </row>
    <row r="947" spans="1:24">
      <c r="A947" s="1" t="s">
        <v>503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20"/>
      <c r="N947" s="20"/>
      <c r="O947" s="74"/>
      <c r="P947" s="74"/>
      <c r="Q947" s="20"/>
      <c r="R947" s="20"/>
      <c r="S947" s="20"/>
      <c r="T947" s="20"/>
      <c r="U947" s="20"/>
      <c r="V947" s="20"/>
      <c r="W947" s="20"/>
      <c r="X947" s="20"/>
    </row>
    <row r="948" spans="1:24">
      <c r="A948" s="1"/>
      <c r="B948" s="1"/>
      <c r="C948" s="1"/>
      <c r="D948" s="1"/>
      <c r="E948" s="417"/>
      <c r="F948" s="1"/>
      <c r="G948" s="1"/>
      <c r="H948" s="1"/>
      <c r="I948" s="417"/>
      <c r="J948" s="1"/>
      <c r="K948" s="1"/>
      <c r="M948" s="20"/>
      <c r="N948" s="20"/>
      <c r="O948" s="74"/>
      <c r="P948" s="74"/>
      <c r="Q948" s="20"/>
      <c r="R948" s="20"/>
      <c r="S948" s="20"/>
      <c r="T948" s="20"/>
      <c r="U948" s="20"/>
      <c r="V948" s="20"/>
      <c r="W948" s="20"/>
      <c r="X948" s="20"/>
    </row>
    <row r="949" spans="1:24">
      <c r="A949" s="1" t="s">
        <v>491</v>
      </c>
      <c r="B949" s="1"/>
      <c r="C949" s="21"/>
      <c r="D949" s="21"/>
      <c r="E949" s="296"/>
      <c r="F949" s="1"/>
      <c r="G949" s="410">
        <v>0</v>
      </c>
      <c r="H949" s="410">
        <v>0</v>
      </c>
      <c r="I949" s="296"/>
      <c r="J949" s="1"/>
      <c r="K949" s="2">
        <f>G949</f>
        <v>0</v>
      </c>
      <c r="M949" s="20"/>
      <c r="N949" s="20"/>
      <c r="O949" s="74"/>
      <c r="P949" s="74"/>
      <c r="Q949" s="20"/>
      <c r="R949" s="20"/>
      <c r="S949" s="20"/>
      <c r="T949" s="20"/>
      <c r="U949" s="20"/>
      <c r="V949" s="20"/>
      <c r="W949" s="20"/>
      <c r="X949" s="20"/>
    </row>
    <row r="950" spans="1:24">
      <c r="A950" s="1" t="s">
        <v>498</v>
      </c>
      <c r="B950" s="1"/>
      <c r="C950" s="262">
        <v>0</v>
      </c>
      <c r="D950" s="317">
        <f>ROUND(($D$953/$C$953)*C950,0)</f>
        <v>0</v>
      </c>
      <c r="E950" s="411">
        <v>6.1459999999999999</v>
      </c>
      <c r="F950" s="1" t="s">
        <v>377</v>
      </c>
      <c r="G950" s="412">
        <f>ROUND(C950*E950/100,0)</f>
        <v>0</v>
      </c>
      <c r="H950" s="412">
        <f>ROUND(D950*E950/100,0)</f>
        <v>0</v>
      </c>
      <c r="I950" s="380">
        <f>I928</f>
        <v>6.1459999999999999</v>
      </c>
      <c r="J950" s="1" t="s">
        <v>377</v>
      </c>
      <c r="K950" s="2">
        <f>ROUND(I950*D950/100,0)</f>
        <v>0</v>
      </c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</row>
    <row r="951" spans="1:24">
      <c r="A951" s="1" t="s">
        <v>499</v>
      </c>
      <c r="B951" s="1"/>
      <c r="C951" s="262">
        <f>1013843</f>
        <v>1013843</v>
      </c>
      <c r="D951" s="317">
        <f>ROUND(($D$953/$C$953)*C951,0)</f>
        <v>984893</v>
      </c>
      <c r="E951" s="419">
        <f>E950</f>
        <v>6.1459999999999999</v>
      </c>
      <c r="F951" s="1" t="s">
        <v>377</v>
      </c>
      <c r="G951" s="412">
        <f>ROUND(C951*E951/100,0)</f>
        <v>62311</v>
      </c>
      <c r="H951" s="412">
        <f>ROUND(D951*E951/100,0)</f>
        <v>60532</v>
      </c>
      <c r="I951" s="422">
        <f>I950</f>
        <v>6.1459999999999999</v>
      </c>
      <c r="J951" s="1" t="s">
        <v>377</v>
      </c>
      <c r="K951" s="2">
        <f>ROUND(I951*D951/100,0)</f>
        <v>60532</v>
      </c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</row>
    <row r="952" spans="1:24">
      <c r="A952" s="1" t="s">
        <v>365</v>
      </c>
      <c r="B952" s="1"/>
      <c r="C952" s="262">
        <f>1023</f>
        <v>1023</v>
      </c>
      <c r="D952" s="317">
        <v>1032</v>
      </c>
      <c r="E952" s="413"/>
      <c r="F952" s="1"/>
      <c r="G952" s="2"/>
      <c r="H952" s="2"/>
      <c r="I952" s="413"/>
      <c r="J952" s="1"/>
      <c r="K952" s="2"/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</row>
    <row r="953" spans="1:24">
      <c r="A953" s="3" t="s">
        <v>494</v>
      </c>
      <c r="C953" s="262">
        <f>C950+C951</f>
        <v>1013843</v>
      </c>
      <c r="D953" s="262">
        <v>984893.270531249</v>
      </c>
      <c r="E953" s="267"/>
      <c r="F953" s="20"/>
      <c r="G953" s="270">
        <f>SUM(G949:G951)</f>
        <v>62311</v>
      </c>
      <c r="H953" s="270">
        <f>SUM(H949:H951)</f>
        <v>60532</v>
      </c>
      <c r="I953" s="267"/>
      <c r="J953" s="20"/>
      <c r="K953" s="270">
        <f>SUM(K949:K951)</f>
        <v>60532</v>
      </c>
      <c r="M953" s="20"/>
      <c r="N953" s="20"/>
      <c r="O953" s="74"/>
      <c r="P953" s="74"/>
      <c r="Q953" s="20"/>
      <c r="R953" s="20"/>
      <c r="S953" s="20"/>
      <c r="T953" s="20"/>
      <c r="U953" s="20"/>
      <c r="V953" s="20"/>
      <c r="W953" s="20"/>
      <c r="X953" s="20"/>
    </row>
    <row r="954" spans="1:24">
      <c r="A954" s="3" t="s">
        <v>495</v>
      </c>
      <c r="C954" s="262">
        <v>12689.501957526723</v>
      </c>
      <c r="D954" s="262">
        <v>0</v>
      </c>
      <c r="E954" s="267"/>
      <c r="F954" s="20"/>
      <c r="G954" s="270">
        <v>754.06570476174147</v>
      </c>
      <c r="H954" s="270">
        <v>0</v>
      </c>
      <c r="I954" s="267"/>
      <c r="J954" s="20"/>
      <c r="K954" s="270">
        <v>0</v>
      </c>
      <c r="M954" s="287"/>
      <c r="N954" s="287"/>
      <c r="O954" s="288"/>
      <c r="P954" s="74"/>
      <c r="Q954" s="20"/>
      <c r="R954" s="20"/>
      <c r="S954" s="20"/>
      <c r="T954" s="20"/>
      <c r="U954" s="20"/>
      <c r="V954" s="20"/>
      <c r="W954" s="20"/>
      <c r="X954" s="20"/>
    </row>
    <row r="955" spans="1:24" ht="16.5" thickBot="1">
      <c r="A955" s="1" t="s">
        <v>9</v>
      </c>
      <c r="B955" s="1"/>
      <c r="C955" s="391">
        <f>C953+C954</f>
        <v>1026532.5019575268</v>
      </c>
      <c r="D955" s="391">
        <f>D953+D954</f>
        <v>984893.270531249</v>
      </c>
      <c r="E955" s="415"/>
      <c r="F955" s="416"/>
      <c r="G955" s="272">
        <f>G953+G954</f>
        <v>63065.065704761742</v>
      </c>
      <c r="H955" s="272">
        <f>H953+H954</f>
        <v>60532</v>
      </c>
      <c r="I955" s="415"/>
      <c r="J955" s="416"/>
      <c r="K955" s="272">
        <f>K953+K954</f>
        <v>60532</v>
      </c>
      <c r="M955" s="289"/>
      <c r="N955" s="289"/>
      <c r="O955" s="290"/>
      <c r="P955" s="74"/>
      <c r="Q955" s="20"/>
      <c r="R955" s="20"/>
      <c r="S955" s="20"/>
      <c r="T955" s="20"/>
      <c r="U955" s="20"/>
      <c r="V955" s="20"/>
      <c r="W955" s="20"/>
      <c r="X955" s="20"/>
    </row>
    <row r="956" spans="1:24" ht="16.5" thickTop="1">
      <c r="A956" s="1"/>
      <c r="B956" s="1"/>
      <c r="C956" s="26"/>
      <c r="D956" s="26"/>
      <c r="E956" s="420"/>
      <c r="F956" s="23"/>
      <c r="G956" s="51"/>
      <c r="H956" s="51"/>
      <c r="I956" s="420" t="s">
        <v>31</v>
      </c>
      <c r="J956" s="23"/>
      <c r="K956" s="51" t="s">
        <v>31</v>
      </c>
      <c r="M956" s="20"/>
      <c r="N956" s="20"/>
      <c r="O956" s="74"/>
      <c r="P956" s="74"/>
      <c r="Q956" s="20"/>
      <c r="R956" s="20"/>
      <c r="S956" s="20"/>
      <c r="T956" s="20"/>
      <c r="U956" s="20"/>
      <c r="V956" s="20"/>
      <c r="W956" s="20"/>
      <c r="X956" s="20"/>
    </row>
    <row r="957" spans="1:24">
      <c r="A957" s="291" t="s">
        <v>504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31</v>
      </c>
      <c r="M957" s="20"/>
      <c r="N957" s="20"/>
      <c r="O957" s="74"/>
      <c r="P957" s="74"/>
      <c r="Q957" s="20"/>
      <c r="R957" s="20"/>
      <c r="S957" s="20"/>
      <c r="T957" s="20"/>
      <c r="U957" s="20"/>
      <c r="V957" s="20"/>
      <c r="W957" s="20"/>
      <c r="X957" s="20"/>
    </row>
    <row r="958" spans="1:24">
      <c r="A958" s="1" t="s">
        <v>194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20"/>
      <c r="N958" s="20"/>
      <c r="O958" s="74"/>
      <c r="P958" s="74"/>
      <c r="Q958" s="20"/>
      <c r="R958" s="20"/>
      <c r="S958" s="20"/>
      <c r="T958" s="20"/>
      <c r="U958" s="20"/>
      <c r="V958" s="20"/>
      <c r="W958" s="20"/>
      <c r="X958" s="20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20"/>
      <c r="N959" s="20"/>
      <c r="O959" s="74"/>
      <c r="P959" s="74"/>
      <c r="Q959" s="20"/>
      <c r="R959" s="20"/>
      <c r="S959" s="20"/>
      <c r="T959" s="20"/>
      <c r="U959" s="20"/>
      <c r="V959" s="20"/>
      <c r="W959" s="20"/>
      <c r="X959" s="20"/>
    </row>
    <row r="960" spans="1:24">
      <c r="A960" s="1" t="s">
        <v>505</v>
      </c>
      <c r="B960" s="1"/>
      <c r="C960" s="21">
        <v>192</v>
      </c>
      <c r="D960" s="317">
        <v>191</v>
      </c>
      <c r="E960" s="296">
        <v>3.5</v>
      </c>
      <c r="F960" s="1"/>
      <c r="G960" s="2">
        <f>ROUND(E960*C960,0)</f>
        <v>672</v>
      </c>
      <c r="H960" s="2">
        <f>ROUND(E960*D960,0)</f>
        <v>669</v>
      </c>
      <c r="I960" s="296">
        <v>3.5</v>
      </c>
      <c r="J960" s="1"/>
      <c r="K960" s="2">
        <f>ROUND(I960*D960,0)</f>
        <v>669</v>
      </c>
      <c r="M960" s="84">
        <f>I960*D960</f>
        <v>668.5</v>
      </c>
      <c r="N960" s="20"/>
      <c r="O960" s="423"/>
      <c r="P960" s="423"/>
      <c r="Q960" s="20"/>
      <c r="R960" s="20"/>
      <c r="S960" s="20"/>
      <c r="T960" s="20"/>
      <c r="U960" s="20"/>
      <c r="V960" s="20"/>
      <c r="W960" s="20"/>
      <c r="X960" s="20"/>
    </row>
    <row r="961" spans="1:28">
      <c r="A961" s="1" t="s">
        <v>506</v>
      </c>
      <c r="B961" s="1"/>
      <c r="C961" s="21">
        <v>144</v>
      </c>
      <c r="D961" s="317">
        <v>144</v>
      </c>
      <c r="E961" s="296">
        <v>6.5</v>
      </c>
      <c r="F961" s="1"/>
      <c r="G961" s="2">
        <f>ROUND(E961*C961,0)</f>
        <v>936</v>
      </c>
      <c r="H961" s="2">
        <f>ROUND(E961*D961,0)</f>
        <v>936</v>
      </c>
      <c r="I961" s="296">
        <v>6.5</v>
      </c>
      <c r="J961" s="1"/>
      <c r="K961" s="2">
        <f>ROUND(I961*D961,0)</f>
        <v>936</v>
      </c>
      <c r="M961" s="84">
        <f>I961*D961</f>
        <v>936</v>
      </c>
      <c r="N961" s="20"/>
      <c r="O961" s="423"/>
      <c r="P961" s="423"/>
      <c r="Q961" s="20"/>
      <c r="R961" s="20"/>
      <c r="S961" s="20"/>
      <c r="T961" s="20"/>
      <c r="U961" s="20"/>
      <c r="V961" s="20"/>
      <c r="W961" s="20"/>
      <c r="X961" s="20"/>
    </row>
    <row r="962" spans="1:28">
      <c r="A962" s="1" t="s">
        <v>507</v>
      </c>
      <c r="B962" s="1"/>
      <c r="C962" s="21">
        <f>SUM(C960:C961)</f>
        <v>336</v>
      </c>
      <c r="D962" s="317">
        <v>335</v>
      </c>
      <c r="E962" s="372"/>
      <c r="F962" s="1"/>
      <c r="G962" s="412"/>
      <c r="H962" s="412"/>
      <c r="I962" s="372"/>
      <c r="J962" s="1"/>
      <c r="K962" s="2"/>
      <c r="M962" s="20"/>
      <c r="N962" s="20"/>
      <c r="O962" s="423"/>
      <c r="P962" s="423"/>
      <c r="Q962" s="20"/>
      <c r="R962" s="20"/>
      <c r="S962" s="20"/>
      <c r="T962" s="20"/>
      <c r="U962" s="20"/>
      <c r="V962" s="20"/>
      <c r="W962" s="20"/>
      <c r="X962" s="20"/>
    </row>
    <row r="963" spans="1:28">
      <c r="A963" s="1" t="s">
        <v>467</v>
      </c>
      <c r="B963" s="1"/>
      <c r="C963" s="21">
        <f>94703+138152</f>
        <v>232855</v>
      </c>
      <c r="D963" s="317">
        <v>235030</v>
      </c>
      <c r="E963" s="424">
        <v>7.2930000000000001</v>
      </c>
      <c r="F963" s="1" t="s">
        <v>377</v>
      </c>
      <c r="G963" s="412">
        <f>ROUND(C963*E963/100,0)</f>
        <v>16982</v>
      </c>
      <c r="H963" s="412">
        <f>ROUND(D963*E963/100,0)</f>
        <v>17141</v>
      </c>
      <c r="I963" s="424">
        <v>7.2930000000000001</v>
      </c>
      <c r="J963" s="2" t="s">
        <v>377</v>
      </c>
      <c r="K963" s="2">
        <f>ROUND(I963*D963/100,0)</f>
        <v>17141</v>
      </c>
      <c r="M963" s="84">
        <f>(I963/100)*D963</f>
        <v>17140.7379</v>
      </c>
      <c r="N963" s="20"/>
      <c r="O963" s="423"/>
      <c r="P963" s="423"/>
      <c r="Q963" s="20"/>
      <c r="R963" s="20"/>
      <c r="S963" s="20"/>
      <c r="T963" s="20"/>
      <c r="U963" s="20"/>
      <c r="V963" s="20"/>
      <c r="W963" s="20"/>
      <c r="X963" s="20"/>
    </row>
    <row r="964" spans="1:28">
      <c r="A964" s="1" t="s">
        <v>384</v>
      </c>
      <c r="B964" s="1"/>
      <c r="C964" s="317">
        <f>SUM(C963)</f>
        <v>232855</v>
      </c>
      <c r="D964" s="317">
        <f>SUM(D963)</f>
        <v>235030</v>
      </c>
      <c r="E964" s="21"/>
      <c r="F964" s="21"/>
      <c r="G964" s="412">
        <f>SUM(G960:G963)</f>
        <v>18590</v>
      </c>
      <c r="H964" s="412">
        <f>SUM(H960:H963)</f>
        <v>18746</v>
      </c>
      <c r="I964" s="21"/>
      <c r="J964" s="2"/>
      <c r="K964" s="412">
        <f>SUM(K960:K963)</f>
        <v>18746</v>
      </c>
      <c r="M964" s="414">
        <f>SUM(M960:M963)</f>
        <v>18745.2379</v>
      </c>
      <c r="N964" s="20"/>
      <c r="O964" s="74"/>
      <c r="P964" s="74"/>
      <c r="Q964" s="20"/>
      <c r="R964" s="20"/>
      <c r="S964" s="20"/>
      <c r="T964" s="20"/>
      <c r="U964" s="20"/>
      <c r="V964" s="20"/>
      <c r="W964" s="20"/>
      <c r="X964" s="20"/>
    </row>
    <row r="965" spans="1:28">
      <c r="A965" s="1" t="s">
        <v>366</v>
      </c>
      <c r="B965" s="1"/>
      <c r="C965" s="347">
        <v>1006.7724689934877</v>
      </c>
      <c r="D965" s="347">
        <v>0</v>
      </c>
      <c r="E965" s="425"/>
      <c r="F965" s="425"/>
      <c r="G965" s="426">
        <v>69.249899021408055</v>
      </c>
      <c r="H965" s="426">
        <v>0</v>
      </c>
      <c r="I965" s="425"/>
      <c r="J965" s="425"/>
      <c r="K965" s="426">
        <v>0</v>
      </c>
      <c r="M965" s="287"/>
      <c r="N965" s="287"/>
      <c r="O965" s="288"/>
      <c r="P965" s="74"/>
      <c r="S965" s="20"/>
      <c r="T965" s="20"/>
      <c r="U965" s="20"/>
      <c r="V965" s="20"/>
      <c r="W965" s="20"/>
      <c r="X965" s="20"/>
    </row>
    <row r="966" spans="1:28" ht="16.5" thickBot="1">
      <c r="A966" s="1" t="s">
        <v>385</v>
      </c>
      <c r="B966" s="1"/>
      <c r="C966" s="364">
        <f>C964+C965</f>
        <v>233861.7724689935</v>
      </c>
      <c r="D966" s="364">
        <f>D963+D965</f>
        <v>235030</v>
      </c>
      <c r="E966" s="343"/>
      <c r="F966" s="343"/>
      <c r="G966" s="310">
        <f>G964+G965</f>
        <v>18659.249899021408</v>
      </c>
      <c r="H966" s="310">
        <f>H964+H965</f>
        <v>18746</v>
      </c>
      <c r="I966" s="343"/>
      <c r="J966" s="343"/>
      <c r="K966" s="310">
        <f>K964+K965</f>
        <v>18746</v>
      </c>
      <c r="M966" s="289"/>
      <c r="N966" s="275" t="s">
        <v>412</v>
      </c>
      <c r="O966" s="427" t="e">
        <f>#REF!*1000</f>
        <v>#REF!</v>
      </c>
      <c r="P966" s="74"/>
      <c r="S966" s="20"/>
      <c r="T966" s="20"/>
      <c r="U966" s="20"/>
      <c r="V966" s="20"/>
      <c r="W966" s="20"/>
      <c r="X966" s="20"/>
    </row>
    <row r="967" spans="1:28" ht="16.5" thickTop="1">
      <c r="A967" s="1"/>
      <c r="B967" s="311"/>
      <c r="C967" s="1"/>
      <c r="D967" s="1"/>
      <c r="E967" s="1"/>
      <c r="F967" s="1"/>
      <c r="G967" s="1"/>
      <c r="H967" s="1"/>
      <c r="I967" s="1" t="s">
        <v>31</v>
      </c>
      <c r="J967" s="1"/>
      <c r="K967" s="2" t="s">
        <v>31</v>
      </c>
      <c r="M967" s="20"/>
      <c r="N967" s="275" t="s">
        <v>265</v>
      </c>
      <c r="O967" s="414" t="e">
        <f>O966-K966</f>
        <v>#REF!</v>
      </c>
      <c r="P967" s="274" t="e">
        <f>(O966-K966)/K966</f>
        <v>#REF!</v>
      </c>
      <c r="Q967" s="20"/>
      <c r="R967" s="20"/>
      <c r="S967" s="20"/>
      <c r="T967" s="20"/>
      <c r="U967" s="20"/>
      <c r="V967" s="20"/>
      <c r="W967" s="20"/>
      <c r="X967" s="20"/>
    </row>
    <row r="968" spans="1:28">
      <c r="A968" s="260" t="s">
        <v>508</v>
      </c>
      <c r="B968" s="301"/>
      <c r="C968" s="301"/>
      <c r="D968" s="301"/>
      <c r="E968" s="301"/>
      <c r="F968" s="301"/>
      <c r="G968" s="301"/>
      <c r="H968" s="301"/>
      <c r="I968" s="301"/>
      <c r="J968" s="301"/>
      <c r="K968" s="301"/>
    </row>
    <row r="969" spans="1:28">
      <c r="A969" s="301" t="s">
        <v>509</v>
      </c>
      <c r="B969" s="301"/>
      <c r="C969" s="301"/>
      <c r="D969" s="301"/>
      <c r="E969" s="301"/>
      <c r="F969" s="301"/>
      <c r="G969" s="301"/>
      <c r="H969" s="301"/>
      <c r="I969" s="301"/>
      <c r="J969" s="301"/>
      <c r="K969" s="301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</row>
    <row r="970" spans="1:28">
      <c r="A970" s="428" t="s">
        <v>510</v>
      </c>
      <c r="B970" s="301"/>
      <c r="C970" s="301"/>
      <c r="D970" s="301"/>
      <c r="E970" s="301"/>
      <c r="F970" s="301"/>
      <c r="G970" s="301"/>
      <c r="H970" s="301"/>
      <c r="I970" s="301"/>
      <c r="J970" s="301"/>
      <c r="K970" s="301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</row>
    <row r="971" spans="1:28">
      <c r="A971" s="3" t="s">
        <v>511</v>
      </c>
      <c r="G971" s="261"/>
      <c r="H971" s="261"/>
      <c r="M971" s="275"/>
      <c r="N971" s="278"/>
      <c r="O971" s="278"/>
      <c r="P971" s="74"/>
      <c r="Q971" s="277"/>
      <c r="R971" s="278"/>
      <c r="S971" s="429"/>
      <c r="T971" s="280"/>
      <c r="U971" s="276"/>
      <c r="V971" s="276"/>
      <c r="W971" s="276"/>
      <c r="X971" s="276"/>
      <c r="Y971" s="20"/>
      <c r="Z971" s="20"/>
      <c r="AA971" s="20"/>
      <c r="AB971" s="20"/>
    </row>
    <row r="972" spans="1:28">
      <c r="A972" s="3" t="s">
        <v>357</v>
      </c>
      <c r="C972" s="262">
        <f>10751</f>
        <v>10751</v>
      </c>
      <c r="D972" s="262">
        <f>ROUND(($D$1001/$C$1001)*C972,0)</f>
        <v>10394</v>
      </c>
      <c r="E972" s="263">
        <v>8.7799999999999994</v>
      </c>
      <c r="G972" s="2">
        <f>ROUND(E972*$C972,0)</f>
        <v>94394</v>
      </c>
      <c r="H972" s="2">
        <f>ROUND(E972*$D972,0)</f>
        <v>91259</v>
      </c>
      <c r="I972" s="263">
        <v>8.7799999999999994</v>
      </c>
      <c r="K972" s="2">
        <f>ROUND(I972*$D972,0)</f>
        <v>91259</v>
      </c>
      <c r="M972" s="84">
        <f>I972*D972</f>
        <v>91259.319999999992</v>
      </c>
      <c r="N972" s="20"/>
      <c r="O972" s="396">
        <v>76</v>
      </c>
      <c r="P972" s="397">
        <f>O972*D972</f>
        <v>789944</v>
      </c>
      <c r="Q972" s="398" t="e">
        <f>O972*$P$1001</f>
        <v>#REF!</v>
      </c>
      <c r="R972" s="399" t="e">
        <f>ROUND(E972+Q972,2)</f>
        <v>#REF!</v>
      </c>
      <c r="S972" s="282"/>
      <c r="T972" s="276"/>
      <c r="U972" s="279"/>
      <c r="V972" s="279"/>
      <c r="W972" s="430"/>
      <c r="X972" s="279"/>
      <c r="Y972" s="20"/>
      <c r="Z972" s="20"/>
      <c r="AA972" s="20"/>
      <c r="AB972" s="20"/>
    </row>
    <row r="973" spans="1:28">
      <c r="A973" s="3" t="s">
        <v>358</v>
      </c>
      <c r="C973" s="262">
        <f>1951</f>
        <v>1951</v>
      </c>
      <c r="D973" s="262">
        <f>ROUND(($D$1001/$C$1001)*C973,0)</f>
        <v>1886</v>
      </c>
      <c r="E973" s="263">
        <v>16.079999999999998</v>
      </c>
      <c r="G973" s="2">
        <f>ROUND(E973*$C973,0)</f>
        <v>31372</v>
      </c>
      <c r="H973" s="2">
        <f>ROUND(E973*$D973,0)</f>
        <v>30327</v>
      </c>
      <c r="I973" s="263">
        <v>16.079999999999998</v>
      </c>
      <c r="K973" s="2">
        <f>ROUND(I973*$D973,0)</f>
        <v>30327</v>
      </c>
      <c r="M973" s="84">
        <f>I973*D973</f>
        <v>30326.879999999997</v>
      </c>
      <c r="N973" s="20"/>
      <c r="O973" s="400">
        <v>172</v>
      </c>
      <c r="P973" s="74">
        <f>O973*D973</f>
        <v>324392</v>
      </c>
      <c r="Q973" s="401" t="e">
        <f>O973*$P$1001</f>
        <v>#REF!</v>
      </c>
      <c r="R973" s="402" t="e">
        <f>ROUND(E973+Q973,2)</f>
        <v>#REF!</v>
      </c>
      <c r="S973" s="276"/>
      <c r="T973" s="276"/>
      <c r="U973" s="279"/>
      <c r="V973" s="279"/>
      <c r="W973" s="430"/>
      <c r="X973" s="279"/>
      <c r="Y973" s="20"/>
      <c r="Z973" s="20"/>
      <c r="AA973" s="20"/>
      <c r="AB973" s="20"/>
    </row>
    <row r="974" spans="1:28">
      <c r="A974" s="3" t="s">
        <v>359</v>
      </c>
      <c r="C974" s="262">
        <f>12</f>
        <v>12</v>
      </c>
      <c r="D974" s="262">
        <f>ROUND(($D$1001/$C$1001)*C974,0)</f>
        <v>12</v>
      </c>
      <c r="E974" s="263">
        <v>32.53</v>
      </c>
      <c r="G974" s="2">
        <f>ROUND(E974*$C974,0)</f>
        <v>390</v>
      </c>
      <c r="H974" s="2">
        <f>ROUND(E974*$D974,0)</f>
        <v>390</v>
      </c>
      <c r="I974" s="263">
        <v>32.53</v>
      </c>
      <c r="K974" s="2">
        <f>ROUND(I974*$D974,0)</f>
        <v>390</v>
      </c>
      <c r="M974" s="84">
        <f>I974*D974</f>
        <v>390.36</v>
      </c>
      <c r="N974" s="20"/>
      <c r="O974" s="400">
        <v>412</v>
      </c>
      <c r="P974" s="74">
        <f>O974*D974</f>
        <v>4944</v>
      </c>
      <c r="Q974" s="401" t="e">
        <f>O974*$P$1001</f>
        <v>#REF!</v>
      </c>
      <c r="R974" s="402" t="e">
        <f>ROUND(E974+Q974,2)</f>
        <v>#REF!</v>
      </c>
      <c r="S974" s="276"/>
      <c r="T974" s="276"/>
      <c r="U974" s="279"/>
      <c r="V974" s="279"/>
      <c r="W974" s="430"/>
      <c r="X974" s="279"/>
      <c r="Y974" s="20"/>
      <c r="Z974" s="20"/>
      <c r="AA974" s="20"/>
      <c r="AB974" s="20"/>
    </row>
    <row r="975" spans="1:28">
      <c r="A975" s="3" t="s">
        <v>512</v>
      </c>
      <c r="C975" s="262"/>
      <c r="D975" s="262"/>
      <c r="E975" s="431"/>
      <c r="G975" s="261"/>
      <c r="H975" s="261"/>
      <c r="I975" s="431"/>
      <c r="N975" s="20"/>
      <c r="O975" s="400"/>
      <c r="P975" s="74"/>
      <c r="Q975" s="20"/>
      <c r="R975" s="404"/>
      <c r="S975" s="276"/>
      <c r="T975" s="276"/>
      <c r="U975" s="279"/>
      <c r="V975" s="279"/>
      <c r="W975" s="430"/>
      <c r="X975" s="279"/>
      <c r="Y975" s="20"/>
      <c r="Z975" s="20"/>
      <c r="AA975" s="20"/>
      <c r="AB975" s="20"/>
    </row>
    <row r="976" spans="1:28">
      <c r="A976" s="3" t="s">
        <v>357</v>
      </c>
      <c r="C976" s="262">
        <f>5858</f>
        <v>5858</v>
      </c>
      <c r="D976" s="262">
        <f>ROUND(($D$1001/$C$1001)*C976,0)</f>
        <v>5664</v>
      </c>
      <c r="E976" s="263">
        <v>8.23</v>
      </c>
      <c r="G976" s="2">
        <f>ROUND(E976*$C976,0)</f>
        <v>48211</v>
      </c>
      <c r="H976" s="2">
        <f>ROUND(E976*$D976,0)</f>
        <v>46615</v>
      </c>
      <c r="I976" s="263">
        <v>8.23</v>
      </c>
      <c r="K976" s="2">
        <f>ROUND(I976*$D976,0)</f>
        <v>46615</v>
      </c>
      <c r="M976" s="84">
        <f>I976*D976</f>
        <v>46614.720000000001</v>
      </c>
      <c r="N976" s="20"/>
      <c r="O976" s="400">
        <v>76</v>
      </c>
      <c r="P976" s="74">
        <f>O976*D976</f>
        <v>430464</v>
      </c>
      <c r="Q976" s="401" t="e">
        <f>O976*$P$1001</f>
        <v>#REF!</v>
      </c>
      <c r="R976" s="402" t="e">
        <f>ROUND(E976+Q976,2)</f>
        <v>#REF!</v>
      </c>
      <c r="S976" s="20"/>
      <c r="T976" s="20"/>
      <c r="U976" s="279"/>
      <c r="V976" s="279"/>
      <c r="W976" s="430"/>
      <c r="X976" s="279"/>
      <c r="Y976" s="20"/>
      <c r="Z976" s="20"/>
      <c r="AA976" s="20"/>
      <c r="AB976" s="20"/>
    </row>
    <row r="977" spans="1:28">
      <c r="A977" s="3" t="s">
        <v>358</v>
      </c>
      <c r="C977" s="262">
        <f>8</f>
        <v>8</v>
      </c>
      <c r="D977" s="262">
        <f>ROUND(($D$1001/$C$1001)*C977,0)</f>
        <v>8</v>
      </c>
      <c r="E977" s="263">
        <v>15</v>
      </c>
      <c r="G977" s="2">
        <f>ROUND(E977*$C977,0)</f>
        <v>120</v>
      </c>
      <c r="H977" s="2">
        <f>ROUND(E977*$D977,0)</f>
        <v>120</v>
      </c>
      <c r="I977" s="263">
        <v>15</v>
      </c>
      <c r="K977" s="2">
        <f>ROUND(I977*$D977,0)</f>
        <v>120</v>
      </c>
      <c r="M977" s="84">
        <f>I977*D977</f>
        <v>120</v>
      </c>
      <c r="N977" s="20"/>
      <c r="O977" s="400">
        <v>172</v>
      </c>
      <c r="P977" s="74">
        <f>O977*D977</f>
        <v>1376</v>
      </c>
      <c r="Q977" s="401" t="e">
        <f>O977*$P$1001</f>
        <v>#REF!</v>
      </c>
      <c r="R977" s="402" t="e">
        <f>ROUND(E977+Q977,2)</f>
        <v>#REF!</v>
      </c>
      <c r="S977" s="20"/>
      <c r="T977" s="20"/>
      <c r="U977" s="279"/>
      <c r="V977" s="279"/>
      <c r="W977" s="430"/>
      <c r="X977" s="279"/>
      <c r="Y977" s="20"/>
      <c r="Z977" s="20"/>
      <c r="AA977" s="20"/>
      <c r="AB977" s="20"/>
    </row>
    <row r="978" spans="1:28">
      <c r="A978" s="428" t="s">
        <v>513</v>
      </c>
      <c r="C978" s="262"/>
      <c r="D978" s="262"/>
      <c r="E978" s="263"/>
      <c r="G978" s="2"/>
      <c r="H978" s="2"/>
      <c r="I978" s="263"/>
      <c r="K978" s="2"/>
      <c r="N978" s="20"/>
      <c r="O978" s="400"/>
      <c r="P978" s="74"/>
      <c r="Q978" s="20"/>
      <c r="R978" s="81"/>
      <c r="S978" s="20"/>
      <c r="T978" s="20"/>
      <c r="U978" s="20"/>
      <c r="V978" s="20"/>
      <c r="W978" s="430"/>
      <c r="X978" s="20"/>
      <c r="Y978" s="20"/>
      <c r="Z978" s="20"/>
      <c r="AA978" s="20"/>
      <c r="AB978" s="20"/>
    </row>
    <row r="979" spans="1:28">
      <c r="A979" s="3" t="s">
        <v>511</v>
      </c>
      <c r="C979" s="262"/>
      <c r="D979" s="262"/>
      <c r="E979" s="431"/>
      <c r="G979" s="261"/>
      <c r="H979" s="261"/>
      <c r="I979" s="431"/>
      <c r="N979" s="20"/>
      <c r="O979" s="432"/>
      <c r="P979" s="74"/>
      <c r="Q979" s="20"/>
      <c r="R979" s="81"/>
      <c r="S979" s="20"/>
      <c r="T979" s="20"/>
      <c r="U979" s="20"/>
      <c r="V979" s="20"/>
      <c r="W979" s="430"/>
      <c r="X979" s="20"/>
      <c r="Y979" s="20"/>
      <c r="Z979" s="20"/>
      <c r="AA979" s="20"/>
      <c r="AB979" s="20"/>
    </row>
    <row r="980" spans="1:28">
      <c r="A980" s="3" t="s">
        <v>357</v>
      </c>
      <c r="C980" s="262">
        <f>91</f>
        <v>91</v>
      </c>
      <c r="D980" s="262">
        <f>ROUND(($D$1001/$C$1001)*C980,0)</f>
        <v>88</v>
      </c>
      <c r="E980" s="263">
        <v>11.47</v>
      </c>
      <c r="G980" s="2">
        <f>ROUND(E980*$C980,0)</f>
        <v>1044</v>
      </c>
      <c r="H980" s="2">
        <f>ROUND(E980*$D980,0)</f>
        <v>1009</v>
      </c>
      <c r="I980" s="263">
        <v>11.47</v>
      </c>
      <c r="K980" s="2">
        <f>ROUND(I980*$D980,0)</f>
        <v>1009</v>
      </c>
      <c r="M980" s="84">
        <f>I980*D980</f>
        <v>1009.36</v>
      </c>
      <c r="N980" s="20"/>
      <c r="O980" s="400">
        <v>76</v>
      </c>
      <c r="P980" s="74">
        <f>O980*D980</f>
        <v>6688</v>
      </c>
      <c r="Q980" s="401" t="e">
        <f>O980*$P$1001</f>
        <v>#REF!</v>
      </c>
      <c r="R980" s="402" t="e">
        <f>ROUND(E980+Q980,2)</f>
        <v>#REF!</v>
      </c>
      <c r="S980" s="20"/>
      <c r="T980" s="20"/>
      <c r="U980" s="279"/>
      <c r="V980" s="279"/>
      <c r="W980" s="430"/>
      <c r="X980" s="279"/>
      <c r="Y980" s="20"/>
      <c r="Z980" s="20"/>
      <c r="AA980" s="20"/>
      <c r="AB980" s="20"/>
    </row>
    <row r="981" spans="1:28">
      <c r="A981" s="3" t="s">
        <v>358</v>
      </c>
      <c r="C981" s="262">
        <f>324</f>
        <v>324</v>
      </c>
      <c r="D981" s="262">
        <f>ROUND(($D$1001/$C$1001)*C981,0)</f>
        <v>313</v>
      </c>
      <c r="E981" s="263">
        <v>19.260000000000002</v>
      </c>
      <c r="G981" s="2">
        <f>ROUND(E981*$C981,0)</f>
        <v>6240</v>
      </c>
      <c r="H981" s="2">
        <f>ROUND(E981*$D981,0)</f>
        <v>6028</v>
      </c>
      <c r="I981" s="263">
        <v>19.260000000000002</v>
      </c>
      <c r="K981" s="2">
        <f>ROUND(I981*$D981,0)</f>
        <v>6028</v>
      </c>
      <c r="M981" s="84">
        <f>I981*D981</f>
        <v>6028.38</v>
      </c>
      <c r="N981" s="20"/>
      <c r="O981" s="400">
        <v>172</v>
      </c>
      <c r="P981" s="74">
        <f>O981*D981</f>
        <v>53836</v>
      </c>
      <c r="Q981" s="401" t="e">
        <f>O981*$P$1001</f>
        <v>#REF!</v>
      </c>
      <c r="R981" s="402" t="e">
        <f>ROUND(E981+Q981,2)</f>
        <v>#REF!</v>
      </c>
      <c r="S981" s="427"/>
      <c r="T981" s="427"/>
      <c r="U981" s="279"/>
      <c r="V981" s="279"/>
      <c r="W981" s="430"/>
      <c r="X981" s="279"/>
      <c r="Y981" s="20"/>
      <c r="Z981" s="20"/>
      <c r="AA981" s="20"/>
      <c r="AB981" s="20"/>
    </row>
    <row r="982" spans="1:28">
      <c r="A982" s="3" t="s">
        <v>359</v>
      </c>
      <c r="C982" s="262">
        <v>0</v>
      </c>
      <c r="D982" s="262">
        <f>ROUND(($D$1001/$C$1001)*C982,0)</f>
        <v>0</v>
      </c>
      <c r="E982" s="263">
        <v>35.75</v>
      </c>
      <c r="G982" s="2">
        <f>ROUND(E982*$C982,0)</f>
        <v>0</v>
      </c>
      <c r="H982" s="2">
        <f>ROUND(E982*$D982,0)</f>
        <v>0</v>
      </c>
      <c r="I982" s="263">
        <v>35.75</v>
      </c>
      <c r="K982" s="2">
        <f>ROUND(I982*$D982,0)</f>
        <v>0</v>
      </c>
      <c r="M982" s="84">
        <f>I982*D982</f>
        <v>0</v>
      </c>
      <c r="N982" s="20"/>
      <c r="O982" s="400">
        <v>412</v>
      </c>
      <c r="P982" s="74">
        <f>O982*D982</f>
        <v>0</v>
      </c>
      <c r="Q982" s="401" t="e">
        <f>O982*$P$1001</f>
        <v>#REF!</v>
      </c>
      <c r="R982" s="402" t="e">
        <f>ROUND(E982+Q982,2)</f>
        <v>#REF!</v>
      </c>
      <c r="S982" s="427"/>
      <c r="T982" s="427"/>
      <c r="U982" s="279"/>
      <c r="V982" s="279"/>
      <c r="W982" s="430"/>
      <c r="X982" s="279"/>
      <c r="Y982" s="20"/>
      <c r="Z982" s="20"/>
      <c r="AA982" s="20"/>
      <c r="AB982" s="20"/>
    </row>
    <row r="983" spans="1:28">
      <c r="A983" s="3" t="s">
        <v>512</v>
      </c>
      <c r="C983" s="262"/>
      <c r="D983" s="262"/>
      <c r="E983" s="431"/>
      <c r="G983" s="261"/>
      <c r="H983" s="261"/>
      <c r="I983" s="431"/>
      <c r="M983" s="20"/>
      <c r="N983" s="20"/>
      <c r="O983" s="42"/>
      <c r="P983" s="433"/>
      <c r="Q983" s="433"/>
      <c r="R983" s="434"/>
      <c r="S983" s="427"/>
      <c r="T983" s="427"/>
      <c r="U983" s="435"/>
      <c r="V983" s="20"/>
      <c r="W983" s="430"/>
      <c r="X983" s="20"/>
      <c r="Y983" s="20"/>
      <c r="Z983" s="20"/>
      <c r="AA983" s="20"/>
      <c r="AB983" s="20"/>
    </row>
    <row r="984" spans="1:28">
      <c r="A984" s="3" t="s">
        <v>357</v>
      </c>
      <c r="C984" s="262">
        <v>0</v>
      </c>
      <c r="D984" s="262">
        <f>ROUND(($D$1001/$C$1001)*C984,0)</f>
        <v>0</v>
      </c>
      <c r="E984" s="263">
        <v>10.86</v>
      </c>
      <c r="G984" s="2">
        <f>ROUND(E984*$C984,0)</f>
        <v>0</v>
      </c>
      <c r="H984" s="2">
        <f>ROUND(E984*$D984,0)</f>
        <v>0</v>
      </c>
      <c r="I984" s="263">
        <v>10.86</v>
      </c>
      <c r="K984" s="2">
        <f>ROUND(I984*$D984,0)</f>
        <v>0</v>
      </c>
      <c r="M984" s="84">
        <f>I984*D984</f>
        <v>0</v>
      </c>
      <c r="N984" s="20"/>
      <c r="O984" s="400">
        <v>76</v>
      </c>
      <c r="P984" s="74">
        <f>O984*D984</f>
        <v>0</v>
      </c>
      <c r="Q984" s="401" t="e">
        <f>O984*$P$1001</f>
        <v>#REF!</v>
      </c>
      <c r="R984" s="402" t="e">
        <f>ROUND(E984+Q984,2)</f>
        <v>#REF!</v>
      </c>
      <c r="S984" s="427"/>
      <c r="T984" s="427"/>
      <c r="U984" s="279"/>
      <c r="V984" s="279"/>
      <c r="W984" s="430"/>
      <c r="X984" s="279"/>
      <c r="Y984" s="20"/>
      <c r="Z984" s="20"/>
      <c r="AA984" s="20"/>
      <c r="AB984" s="20"/>
    </row>
    <row r="985" spans="1:28">
      <c r="A985" s="3" t="s">
        <v>358</v>
      </c>
      <c r="C985" s="262">
        <v>0</v>
      </c>
      <c r="D985" s="262">
        <f>ROUND(($D$1001/$C$1001)*C985,0)</f>
        <v>0</v>
      </c>
      <c r="E985" s="263">
        <v>18.21</v>
      </c>
      <c r="G985" s="2">
        <f>ROUND(E985*$C985,0)</f>
        <v>0</v>
      </c>
      <c r="H985" s="2">
        <f>ROUND(E985*$D985,0)</f>
        <v>0</v>
      </c>
      <c r="I985" s="263">
        <v>18.21</v>
      </c>
      <c r="K985" s="2">
        <f>ROUND(I985*$D985,0)</f>
        <v>0</v>
      </c>
      <c r="M985" s="84">
        <f>I985*D985</f>
        <v>0</v>
      </c>
      <c r="N985" s="20"/>
      <c r="O985" s="400">
        <v>172</v>
      </c>
      <c r="P985" s="74">
        <f>O985*D985</f>
        <v>0</v>
      </c>
      <c r="Q985" s="401" t="e">
        <f>O985*$P$1001</f>
        <v>#REF!</v>
      </c>
      <c r="R985" s="402" t="e">
        <f>ROUND(E985+Q985,2)</f>
        <v>#REF!</v>
      </c>
      <c r="S985" s="427"/>
      <c r="T985" s="427"/>
      <c r="U985" s="279"/>
      <c r="V985" s="279"/>
      <c r="W985" s="430"/>
      <c r="X985" s="279"/>
      <c r="Y985" s="20"/>
      <c r="Z985" s="20"/>
      <c r="AA985" s="20"/>
      <c r="AB985" s="20"/>
    </row>
    <row r="986" spans="1:28">
      <c r="A986" s="428" t="s">
        <v>514</v>
      </c>
      <c r="B986" s="301"/>
      <c r="C986" s="262"/>
      <c r="D986" s="262"/>
      <c r="E986" s="431"/>
      <c r="F986" s="301"/>
      <c r="G986" s="301"/>
      <c r="H986" s="301"/>
      <c r="I986" s="431"/>
      <c r="J986" s="301"/>
      <c r="K986" s="301"/>
      <c r="M986" s="20"/>
      <c r="N986" s="20"/>
      <c r="O986" s="42"/>
      <c r="P986" s="433"/>
      <c r="Q986" s="433"/>
      <c r="R986" s="434"/>
      <c r="S986" s="427"/>
      <c r="T986" s="427"/>
      <c r="U986" s="435"/>
      <c r="V986" s="20"/>
      <c r="W986" s="430"/>
      <c r="X986" s="20"/>
      <c r="Y986" s="20"/>
      <c r="Z986" s="20"/>
      <c r="AA986" s="20"/>
      <c r="AB986" s="20"/>
    </row>
    <row r="987" spans="1:28">
      <c r="A987" s="3" t="s">
        <v>511</v>
      </c>
      <c r="C987" s="262"/>
      <c r="D987" s="262"/>
      <c r="E987" s="431"/>
      <c r="G987" s="261"/>
      <c r="H987" s="261"/>
      <c r="I987" s="431"/>
      <c r="M987" s="20"/>
      <c r="N987" s="20"/>
      <c r="O987" s="42"/>
      <c r="P987" s="433"/>
      <c r="Q987" s="433"/>
      <c r="R987" s="434"/>
      <c r="S987" s="427"/>
      <c r="T987" s="427"/>
      <c r="U987" s="435"/>
      <c r="V987" s="20"/>
      <c r="W987" s="430"/>
      <c r="X987" s="20"/>
      <c r="Y987" s="20"/>
      <c r="Z987" s="20"/>
      <c r="AA987" s="20"/>
      <c r="AB987" s="20"/>
    </row>
    <row r="988" spans="1:28">
      <c r="A988" s="3" t="s">
        <v>357</v>
      </c>
      <c r="C988" s="262">
        <v>0</v>
      </c>
      <c r="D988" s="262">
        <f>ROUND(($D$1001/$C$1001)*C988,0)</f>
        <v>0</v>
      </c>
      <c r="E988" s="263">
        <v>11.47</v>
      </c>
      <c r="G988" s="2">
        <f>ROUND(E988*$C988,0)</f>
        <v>0</v>
      </c>
      <c r="H988" s="2">
        <f>ROUND(E988*$D988,0)</f>
        <v>0</v>
      </c>
      <c r="I988" s="263">
        <v>11.47</v>
      </c>
      <c r="K988" s="2">
        <f>ROUND(I988*$D988,0)</f>
        <v>0</v>
      </c>
      <c r="M988" s="84">
        <f>I988*D988</f>
        <v>0</v>
      </c>
      <c r="N988" s="20"/>
      <c r="O988" s="400">
        <v>76</v>
      </c>
      <c r="P988" s="74">
        <f>O988*D988</f>
        <v>0</v>
      </c>
      <c r="Q988" s="401" t="e">
        <f>O988*$P$1001</f>
        <v>#REF!</v>
      </c>
      <c r="R988" s="402" t="e">
        <f>ROUND(E988+Q988,2)</f>
        <v>#REF!</v>
      </c>
      <c r="S988" s="427"/>
      <c r="T988" s="427"/>
      <c r="U988" s="279"/>
      <c r="V988" s="279"/>
      <c r="W988" s="430"/>
      <c r="X988" s="279"/>
      <c r="Y988" s="20"/>
      <c r="Z988" s="20"/>
      <c r="AA988" s="20"/>
      <c r="AB988" s="20"/>
    </row>
    <row r="989" spans="1:28">
      <c r="A989" s="3" t="s">
        <v>358</v>
      </c>
      <c r="C989" s="262">
        <v>0</v>
      </c>
      <c r="D989" s="262">
        <f>ROUND(($D$1001/$C$1001)*C989,0)</f>
        <v>0</v>
      </c>
      <c r="E989" s="263">
        <v>18.649999999999999</v>
      </c>
      <c r="G989" s="2">
        <f>ROUND(E989*$C989,0)</f>
        <v>0</v>
      </c>
      <c r="H989" s="2">
        <f>ROUND(E989*$D989,0)</f>
        <v>0</v>
      </c>
      <c r="I989" s="263">
        <v>18.649999999999999</v>
      </c>
      <c r="K989" s="2">
        <f>ROUND(I989*$D989,0)</f>
        <v>0</v>
      </c>
      <c r="M989" s="84">
        <f>I989*D989</f>
        <v>0</v>
      </c>
      <c r="N989" s="20"/>
      <c r="O989" s="400">
        <v>172</v>
      </c>
      <c r="P989" s="74">
        <f>O989*D989</f>
        <v>0</v>
      </c>
      <c r="Q989" s="401" t="e">
        <f>O989*$P$1001</f>
        <v>#REF!</v>
      </c>
      <c r="R989" s="402" t="e">
        <f>ROUND(E989+Q989,2)</f>
        <v>#REF!</v>
      </c>
      <c r="S989" s="427"/>
      <c r="T989" s="427"/>
      <c r="U989" s="279"/>
      <c r="V989" s="279"/>
      <c r="W989" s="430"/>
      <c r="X989" s="279"/>
      <c r="Y989" s="20"/>
      <c r="Z989" s="20"/>
      <c r="AA989" s="20"/>
      <c r="AB989" s="20"/>
    </row>
    <row r="990" spans="1:28">
      <c r="A990" s="3" t="s">
        <v>359</v>
      </c>
      <c r="C990" s="262">
        <v>0</v>
      </c>
      <c r="D990" s="262">
        <f>ROUND(($D$1001/$C$1001)*C990,0)</f>
        <v>0</v>
      </c>
      <c r="E990" s="263">
        <v>35.130000000000003</v>
      </c>
      <c r="G990" s="2">
        <f>ROUND(E990*$C990,0)</f>
        <v>0</v>
      </c>
      <c r="H990" s="2">
        <f>ROUND(E990*$D990,0)</f>
        <v>0</v>
      </c>
      <c r="I990" s="263">
        <v>35.130000000000003</v>
      </c>
      <c r="K990" s="2">
        <f>ROUND(I990*$D990,0)</f>
        <v>0</v>
      </c>
      <c r="M990" s="84">
        <f>I990*D990</f>
        <v>0</v>
      </c>
      <c r="N990" s="20"/>
      <c r="O990" s="400">
        <v>412</v>
      </c>
      <c r="P990" s="74">
        <f>O990*D990</f>
        <v>0</v>
      </c>
      <c r="Q990" s="401" t="e">
        <f>O990*$P$1001</f>
        <v>#REF!</v>
      </c>
      <c r="R990" s="402" t="e">
        <f>ROUND(E990+Q990,2)</f>
        <v>#REF!</v>
      </c>
      <c r="S990" s="427"/>
      <c r="T990" s="427"/>
      <c r="U990" s="279"/>
      <c r="V990" s="279"/>
      <c r="W990" s="430"/>
      <c r="X990" s="279"/>
      <c r="Y990" s="20"/>
      <c r="Z990" s="20"/>
      <c r="AA990" s="20"/>
      <c r="AB990" s="20"/>
    </row>
    <row r="991" spans="1:28">
      <c r="A991" s="3" t="s">
        <v>512</v>
      </c>
      <c r="C991" s="262"/>
      <c r="D991" s="262"/>
      <c r="E991" s="431"/>
      <c r="G991" s="261"/>
      <c r="H991" s="261"/>
      <c r="I991" s="431"/>
      <c r="M991" s="20"/>
      <c r="N991" s="20"/>
      <c r="O991" s="42"/>
      <c r="P991" s="433"/>
      <c r="Q991" s="433"/>
      <c r="R991" s="434"/>
      <c r="S991" s="427"/>
      <c r="T991" s="427"/>
      <c r="U991" s="435"/>
      <c r="V991" s="20"/>
      <c r="W991" s="430"/>
      <c r="X991" s="20"/>
      <c r="Y991" s="20"/>
      <c r="Z991" s="20"/>
      <c r="AA991" s="20"/>
      <c r="AB991" s="20"/>
    </row>
    <row r="992" spans="1:28">
      <c r="A992" s="3" t="s">
        <v>357</v>
      </c>
      <c r="C992" s="262">
        <v>0</v>
      </c>
      <c r="D992" s="262">
        <f>ROUND(($D$1001/$C$1001)*C992,0)</f>
        <v>0</v>
      </c>
      <c r="E992" s="263">
        <v>10.86</v>
      </c>
      <c r="G992" s="2">
        <f>ROUND(E992*$C992,0)</f>
        <v>0</v>
      </c>
      <c r="H992" s="2">
        <f>ROUND(E992*$D992,0)</f>
        <v>0</v>
      </c>
      <c r="I992" s="263">
        <v>10.86</v>
      </c>
      <c r="K992" s="2">
        <f>ROUND(I992*$D992,0)</f>
        <v>0</v>
      </c>
      <c r="M992" s="84">
        <f>I992*D992</f>
        <v>0</v>
      </c>
      <c r="N992" s="20"/>
      <c r="O992" s="400">
        <v>76</v>
      </c>
      <c r="P992" s="74">
        <f>O992*D992</f>
        <v>0</v>
      </c>
      <c r="Q992" s="401" t="e">
        <f>O992*$P$1001</f>
        <v>#REF!</v>
      </c>
      <c r="R992" s="402" t="e">
        <f>ROUND(E992+Q992,2)</f>
        <v>#REF!</v>
      </c>
      <c r="S992" s="427"/>
      <c r="T992" s="427"/>
      <c r="U992" s="279"/>
      <c r="V992" s="279"/>
      <c r="W992" s="430"/>
      <c r="X992" s="279"/>
      <c r="Y992" s="20"/>
      <c r="Z992" s="20"/>
      <c r="AA992" s="20"/>
      <c r="AB992" s="20"/>
    </row>
    <row r="993" spans="1:28">
      <c r="A993" s="3" t="s">
        <v>358</v>
      </c>
      <c r="C993" s="262">
        <v>0</v>
      </c>
      <c r="D993" s="262">
        <f>ROUND(($D$1001/$C$1001)*C993,0)</f>
        <v>0</v>
      </c>
      <c r="E993" s="263">
        <v>17.600000000000001</v>
      </c>
      <c r="G993" s="2">
        <f>ROUND(E993*$C993,0)</f>
        <v>0</v>
      </c>
      <c r="H993" s="2">
        <f>ROUND(E993*$D993,0)</f>
        <v>0</v>
      </c>
      <c r="I993" s="263">
        <v>17.600000000000001</v>
      </c>
      <c r="K993" s="2">
        <f>ROUND(I993*$D993,0)</f>
        <v>0</v>
      </c>
      <c r="M993" s="84">
        <f>I993*D993</f>
        <v>0</v>
      </c>
      <c r="N993" s="20"/>
      <c r="O993" s="400">
        <v>172</v>
      </c>
      <c r="P993" s="74">
        <f>O993*D993</f>
        <v>0</v>
      </c>
      <c r="Q993" s="401" t="e">
        <f>O993*$P$1001</f>
        <v>#REF!</v>
      </c>
      <c r="R993" s="402" t="e">
        <f>ROUND(E993+Q993,2)</f>
        <v>#REF!</v>
      </c>
      <c r="S993" s="427"/>
      <c r="T993" s="427"/>
      <c r="U993" s="279"/>
      <c r="V993" s="279"/>
      <c r="W993" s="430"/>
      <c r="X993" s="279"/>
      <c r="Y993" s="20"/>
      <c r="Z993" s="20"/>
      <c r="AA993" s="20"/>
      <c r="AB993" s="20"/>
    </row>
    <row r="994" spans="1:28">
      <c r="A994" s="428" t="s">
        <v>515</v>
      </c>
      <c r="B994" s="301"/>
      <c r="C994" s="262"/>
      <c r="D994" s="262"/>
      <c r="E994" s="431"/>
      <c r="F994" s="301"/>
      <c r="G994" s="301"/>
      <c r="H994" s="301"/>
      <c r="I994" s="431"/>
      <c r="J994" s="301"/>
      <c r="K994" s="301"/>
      <c r="M994" s="20"/>
      <c r="N994" s="20"/>
      <c r="O994" s="42"/>
      <c r="P994" s="433"/>
      <c r="Q994" s="433"/>
      <c r="R994" s="434"/>
      <c r="S994" s="427"/>
      <c r="T994" s="427"/>
      <c r="U994" s="435"/>
      <c r="V994" s="20"/>
      <c r="W994" s="430"/>
      <c r="X994" s="20"/>
      <c r="Y994" s="20"/>
      <c r="Z994" s="20"/>
      <c r="AA994" s="20"/>
      <c r="AB994" s="20"/>
    </row>
    <row r="995" spans="1:28">
      <c r="A995" s="3" t="s">
        <v>357</v>
      </c>
      <c r="C995" s="262">
        <f>2270</f>
        <v>2270</v>
      </c>
      <c r="D995" s="262">
        <f>ROUND(($D$1001/$C$1001)*C995,0)</f>
        <v>2195</v>
      </c>
      <c r="E995" s="263">
        <v>9.18</v>
      </c>
      <c r="G995" s="2">
        <f>ROUND(E995*$C995,0)</f>
        <v>20839</v>
      </c>
      <c r="H995" s="2">
        <f>ROUND(E995*$D995,0)</f>
        <v>20150</v>
      </c>
      <c r="I995" s="263">
        <v>9.18</v>
      </c>
      <c r="K995" s="2">
        <f>ROUND(I995*$D995,0)</f>
        <v>20150</v>
      </c>
      <c r="M995" s="84">
        <f>I995*D995</f>
        <v>20150.099999999999</v>
      </c>
      <c r="N995" s="20"/>
      <c r="O995" s="400">
        <v>76</v>
      </c>
      <c r="P995" s="74">
        <f>O995*D995</f>
        <v>166820</v>
      </c>
      <c r="Q995" s="401" t="e">
        <f>O995*$P$1001</f>
        <v>#REF!</v>
      </c>
      <c r="R995" s="402" t="e">
        <f>ROUND(E995+Q995,2)</f>
        <v>#REF!</v>
      </c>
      <c r="S995" s="427"/>
      <c r="T995" s="427"/>
      <c r="U995" s="279"/>
      <c r="V995" s="279"/>
      <c r="W995" s="430"/>
      <c r="X995" s="279"/>
      <c r="Y995" s="20"/>
      <c r="Z995" s="20"/>
      <c r="AA995" s="20"/>
      <c r="AB995" s="20"/>
    </row>
    <row r="996" spans="1:28">
      <c r="A996" s="3" t="s">
        <v>358</v>
      </c>
      <c r="C996" s="262">
        <f>1694</f>
        <v>1694</v>
      </c>
      <c r="D996" s="262">
        <f>ROUND(($D$1001/$C$1001)*C996,0)</f>
        <v>1638</v>
      </c>
      <c r="E996" s="263">
        <v>16.079999999999998</v>
      </c>
      <c r="G996" s="2">
        <f>ROUND(E996*$C996,0)</f>
        <v>27240</v>
      </c>
      <c r="H996" s="2">
        <f>ROUND(E996*$D996,0)</f>
        <v>26339</v>
      </c>
      <c r="I996" s="263">
        <v>16.079999999999998</v>
      </c>
      <c r="K996" s="2">
        <f>ROUND(I996*$D996,0)</f>
        <v>26339</v>
      </c>
      <c r="M996" s="84">
        <f>I996*D996</f>
        <v>26339.039999999997</v>
      </c>
      <c r="N996" s="20"/>
      <c r="O996" s="400">
        <v>172</v>
      </c>
      <c r="P996" s="74">
        <f>O996*D996</f>
        <v>281736</v>
      </c>
      <c r="Q996" s="401" t="e">
        <f>O996*$P$1001</f>
        <v>#REF!</v>
      </c>
      <c r="R996" s="402" t="e">
        <f>ROUND(E996+Q996,2)</f>
        <v>#REF!</v>
      </c>
      <c r="S996" s="427"/>
      <c r="T996" s="427"/>
      <c r="U996" s="279"/>
      <c r="V996" s="279"/>
      <c r="W996" s="430"/>
      <c r="X996" s="279"/>
      <c r="Y996" s="20"/>
      <c r="Z996" s="20"/>
      <c r="AA996" s="20"/>
      <c r="AB996" s="20"/>
    </row>
    <row r="997" spans="1:28">
      <c r="A997" s="3" t="s">
        <v>359</v>
      </c>
      <c r="C997" s="262">
        <v>0</v>
      </c>
      <c r="D997" s="262">
        <f>ROUND(($D$1001/$C$1001)*C997,0)</f>
        <v>0</v>
      </c>
      <c r="E997" s="263">
        <v>34.340000000000003</v>
      </c>
      <c r="G997" s="2">
        <f>ROUND(E997*$C997,0)</f>
        <v>0</v>
      </c>
      <c r="H997" s="2">
        <f>ROUND(E997*$D997,0)</f>
        <v>0</v>
      </c>
      <c r="I997" s="263">
        <v>34.340000000000003</v>
      </c>
      <c r="K997" s="2">
        <f>ROUND(I997*$D997,0)</f>
        <v>0</v>
      </c>
      <c r="M997" s="84">
        <f>I997*D997</f>
        <v>0</v>
      </c>
      <c r="N997" s="20"/>
      <c r="O997" s="400">
        <v>412</v>
      </c>
      <c r="P997" s="74">
        <f>O997*D997</f>
        <v>0</v>
      </c>
      <c r="Q997" s="401" t="e">
        <f>O997*$P$1001</f>
        <v>#REF!</v>
      </c>
      <c r="R997" s="402" t="e">
        <f>ROUND(E997+Q997,2)</f>
        <v>#REF!</v>
      </c>
      <c r="S997" s="427"/>
      <c r="T997" s="427"/>
      <c r="U997" s="279"/>
      <c r="V997" s="279"/>
      <c r="W997" s="430"/>
      <c r="X997" s="279"/>
      <c r="Y997" s="20"/>
      <c r="Z997" s="20"/>
      <c r="AA997" s="20"/>
      <c r="AB997" s="20"/>
    </row>
    <row r="998" spans="1:28">
      <c r="A998" s="5" t="s">
        <v>516</v>
      </c>
      <c r="C998" s="262"/>
      <c r="D998" s="262"/>
      <c r="E998" s="263"/>
      <c r="G998" s="2"/>
      <c r="H998" s="2"/>
      <c r="I998" s="263"/>
      <c r="K998" s="2"/>
      <c r="M998" s="20"/>
      <c r="N998" s="20"/>
      <c r="O998" s="42"/>
      <c r="P998" s="433"/>
      <c r="Q998" s="433"/>
      <c r="R998" s="436"/>
      <c r="S998" s="427"/>
      <c r="T998" s="427"/>
      <c r="U998" s="435"/>
      <c r="V998" s="20"/>
      <c r="W998" s="430"/>
      <c r="X998" s="20"/>
      <c r="Y998" s="20"/>
      <c r="Z998" s="20"/>
      <c r="AA998" s="20"/>
      <c r="AB998" s="20"/>
    </row>
    <row r="999" spans="1:28">
      <c r="A999" s="3" t="s">
        <v>517</v>
      </c>
      <c r="C999" s="262">
        <f>96</f>
        <v>96</v>
      </c>
      <c r="D999" s="262">
        <f>ROUND(($D$1001/$C$1001)*C999,0)</f>
        <v>93</v>
      </c>
      <c r="E999" s="263">
        <v>32.950000000000003</v>
      </c>
      <c r="G999" s="2">
        <f>ROUND(E999*$C999,0)</f>
        <v>3163</v>
      </c>
      <c r="H999" s="2">
        <f>ROUND(E999*$D999,0)</f>
        <v>3064</v>
      </c>
      <c r="I999" s="263">
        <v>32.950000000000003</v>
      </c>
      <c r="K999" s="2">
        <f>ROUND(I999*$D999,0)</f>
        <v>3064</v>
      </c>
      <c r="M999" s="84">
        <f>I999*D999</f>
        <v>3064.3500000000004</v>
      </c>
      <c r="N999" s="20"/>
      <c r="O999" s="400">
        <v>172</v>
      </c>
      <c r="P999" s="74">
        <f>O999*D999</f>
        <v>15996</v>
      </c>
      <c r="Q999" s="401" t="e">
        <f>O999*$P$1001</f>
        <v>#REF!</v>
      </c>
      <c r="R999" s="402" t="e">
        <f>ROUND(E999+Q999,2)</f>
        <v>#REF!</v>
      </c>
      <c r="S999" s="427"/>
      <c r="T999" s="427"/>
      <c r="U999" s="279"/>
      <c r="V999" s="279"/>
      <c r="W999" s="430"/>
      <c r="X999" s="279"/>
      <c r="Y999" s="20"/>
      <c r="Z999" s="20"/>
      <c r="AA999" s="20"/>
      <c r="AB999" s="20"/>
    </row>
    <row r="1000" spans="1:28">
      <c r="A1000" s="3" t="s">
        <v>365</v>
      </c>
      <c r="C1000" s="262">
        <f>608</f>
        <v>608</v>
      </c>
      <c r="D1000" s="262">
        <v>588</v>
      </c>
      <c r="E1000" s="437"/>
      <c r="G1000" s="2"/>
      <c r="H1000" s="2"/>
      <c r="I1000" s="437"/>
      <c r="K1000" s="2"/>
      <c r="N1000" s="20"/>
      <c r="O1000" s="400"/>
      <c r="P1000" s="438" t="e">
        <f>O1003-H1003</f>
        <v>#REF!</v>
      </c>
      <c r="Q1000" s="20"/>
      <c r="R1000" s="404"/>
      <c r="S1000" s="276"/>
      <c r="T1000" s="276"/>
      <c r="U1000" s="279"/>
      <c r="V1000" s="279"/>
      <c r="W1000" s="279"/>
      <c r="X1000" s="279"/>
      <c r="Y1000" s="20"/>
      <c r="Z1000" s="20"/>
      <c r="AA1000" s="20"/>
      <c r="AB1000" s="20"/>
    </row>
    <row r="1001" spans="1:28">
      <c r="A1001" s="3" t="s">
        <v>384</v>
      </c>
      <c r="C1001" s="262">
        <v>2147214</v>
      </c>
      <c r="D1001" s="262">
        <v>2075987.7990116791</v>
      </c>
      <c r="E1001" s="267"/>
      <c r="F1001" s="20"/>
      <c r="G1001" s="270">
        <f>SUM(G972:G999)</f>
        <v>233013</v>
      </c>
      <c r="H1001" s="270">
        <f>SUM(H972:H999)</f>
        <v>225301</v>
      </c>
      <c r="I1001" s="267"/>
      <c r="J1001" s="20"/>
      <c r="K1001" s="270">
        <f>SUM(K972:K999)</f>
        <v>225301</v>
      </c>
      <c r="M1001" s="84">
        <f>SUM(M972:M1000)</f>
        <v>225302.50999999998</v>
      </c>
      <c r="N1001" s="20"/>
      <c r="O1001" s="439"/>
      <c r="P1001" s="440" t="e">
        <f>P1000/SUM(P972:P999)</f>
        <v>#REF!</v>
      </c>
      <c r="Q1001" s="112"/>
      <c r="R1001" s="441"/>
      <c r="S1001" s="276"/>
      <c r="T1001" s="276"/>
      <c r="U1001" s="286"/>
      <c r="V1001" s="276"/>
      <c r="W1001" s="276"/>
      <c r="X1001" s="276"/>
      <c r="Y1001" s="20"/>
      <c r="Z1001" s="20"/>
      <c r="AA1001" s="20"/>
      <c r="AB1001" s="20"/>
    </row>
    <row r="1002" spans="1:28">
      <c r="A1002" s="3" t="s">
        <v>366</v>
      </c>
      <c r="C1002" s="262">
        <v>26832.990592215094</v>
      </c>
      <c r="D1002" s="262">
        <v>0</v>
      </c>
      <c r="E1002" s="267"/>
      <c r="F1002" s="20"/>
      <c r="G1002" s="270">
        <v>2789.9580256418058</v>
      </c>
      <c r="H1002" s="270">
        <v>0</v>
      </c>
      <c r="I1002" s="267"/>
      <c r="J1002" s="20"/>
      <c r="K1002" s="270">
        <v>0</v>
      </c>
      <c r="M1002" s="287"/>
      <c r="N1002" s="442"/>
      <c r="O1002" s="285"/>
      <c r="P1002" s="276"/>
      <c r="Q1002" s="276"/>
      <c r="R1002" s="281"/>
      <c r="S1002" s="279"/>
      <c r="T1002" s="276"/>
      <c r="U1002" s="20"/>
      <c r="V1002" s="20"/>
      <c r="W1002" s="20"/>
      <c r="X1002" s="20"/>
      <c r="Y1002" s="20"/>
      <c r="Z1002" s="20"/>
      <c r="AA1002" s="20"/>
      <c r="AB1002" s="20"/>
    </row>
    <row r="1003" spans="1:28" ht="16.5" thickBot="1">
      <c r="A1003" s="3" t="s">
        <v>9</v>
      </c>
      <c r="C1003" s="271">
        <f>C1001+C1002</f>
        <v>2174046.9905922152</v>
      </c>
      <c r="D1003" s="271">
        <f>D1001+D1002</f>
        <v>2075987.7990116791</v>
      </c>
      <c r="E1003" s="272"/>
      <c r="F1003" s="272"/>
      <c r="G1003" s="272">
        <f>G1001+G1002</f>
        <v>235802.9580256418</v>
      </c>
      <c r="H1003" s="272">
        <f>H1001+H1002</f>
        <v>225301</v>
      </c>
      <c r="I1003" s="272"/>
      <c r="J1003" s="272"/>
      <c r="K1003" s="272">
        <f>K1001+K1002</f>
        <v>225301</v>
      </c>
      <c r="M1003" s="289"/>
      <c r="N1003" s="275" t="s">
        <v>412</v>
      </c>
      <c r="O1003" s="427" t="e">
        <f>#REF!*1000</f>
        <v>#REF!</v>
      </c>
      <c r="P1003" s="74"/>
      <c r="Q1003" s="276"/>
      <c r="R1003" s="276"/>
      <c r="S1003" s="276"/>
      <c r="T1003" s="276"/>
      <c r="U1003" s="20"/>
      <c r="V1003" s="20"/>
      <c r="W1003" s="20"/>
      <c r="X1003" s="20"/>
      <c r="Y1003" s="20"/>
      <c r="Z1003" s="20"/>
      <c r="AA1003" s="20"/>
      <c r="AB1003" s="20"/>
    </row>
    <row r="1004" spans="1:28" ht="16.5" thickTop="1">
      <c r="C1004" s="273"/>
      <c r="D1004" s="273"/>
      <c r="E1004" s="273"/>
      <c r="F1004" s="273"/>
      <c r="G1004" s="261"/>
      <c r="H1004" s="261"/>
      <c r="I1004" s="273" t="s">
        <v>31</v>
      </c>
      <c r="J1004" s="273"/>
      <c r="K1004" s="2" t="s">
        <v>31</v>
      </c>
      <c r="M1004" s="275"/>
      <c r="N1004" s="275" t="s">
        <v>265</v>
      </c>
      <c r="O1004" s="414" t="e">
        <f>O1003-K1003</f>
        <v>#REF!</v>
      </c>
      <c r="P1004" s="292" t="e">
        <f>(O1003-K1003)/K1003</f>
        <v>#REF!</v>
      </c>
      <c r="Q1004" s="276"/>
      <c r="R1004" s="276"/>
      <c r="S1004" s="276"/>
      <c r="T1004" s="276"/>
      <c r="U1004" s="20"/>
      <c r="V1004" s="20"/>
      <c r="W1004" s="20"/>
      <c r="X1004" s="20"/>
      <c r="Y1004" s="20"/>
      <c r="Z1004" s="20"/>
      <c r="AA1004" s="20"/>
      <c r="AB1004" s="20"/>
    </row>
    <row r="1005" spans="1:28">
      <c r="A1005" s="301"/>
      <c r="B1005" s="311"/>
      <c r="C1005" s="443"/>
      <c r="D1005" s="443"/>
      <c r="E1005" s="444"/>
      <c r="F1005" s="2"/>
      <c r="G1005" s="2"/>
      <c r="H1005" s="2"/>
      <c r="I1005" s="444"/>
      <c r="J1005" s="301"/>
      <c r="K1005" s="2"/>
      <c r="M1005" s="20"/>
      <c r="N1005" s="20"/>
      <c r="O1005" s="74"/>
      <c r="P1005" s="74"/>
      <c r="Q1005" s="20"/>
      <c r="R1005" s="20"/>
      <c r="S1005" s="20"/>
      <c r="T1005" s="20"/>
      <c r="U1005" s="20"/>
      <c r="V1005" s="20"/>
      <c r="W1005" s="20"/>
      <c r="X1005" s="20"/>
    </row>
    <row r="1006" spans="1:28" s="4" customFormat="1" ht="19.899999999999999" customHeight="1" thickBot="1">
      <c r="A1006" s="445" t="s">
        <v>518</v>
      </c>
      <c r="B1006" s="446"/>
      <c r="C1006" s="447">
        <f>C27+C91+C176+C474+C508+C627+C760+C787+C911+C922+C933+C966+C1003</f>
        <v>4024330101.6098857</v>
      </c>
      <c r="D1006" s="447">
        <f>D27+D91+D176+D474+D508+D627+D760+D787+D911+D922+D933+D966+D1003</f>
        <v>4081125561.3610039</v>
      </c>
      <c r="E1006" s="448"/>
      <c r="F1006" s="449"/>
      <c r="G1006" s="449">
        <f>G27+G91+G176+G474+G508+G627+G760+G787+G911+G922+G933+G966+G1003</f>
        <v>236218228.53999999</v>
      </c>
      <c r="H1006" s="449">
        <f>H27+H91+H176+H474+H508+H627+H760+H787+H911+H922+H933+H966+H1003</f>
        <v>238933609.53999999</v>
      </c>
      <c r="I1006" s="448"/>
      <c r="J1006" s="449"/>
      <c r="K1006" s="449">
        <f>K27+K91+K176+K474+K508+K627+K760+K787+K911+K922+K933+K966+K1003</f>
        <v>257330671.53999999</v>
      </c>
      <c r="M1006" s="20"/>
      <c r="N1006" s="20"/>
      <c r="O1006" s="74"/>
      <c r="P1006" s="450"/>
      <c r="Q1006" s="7"/>
      <c r="R1006" s="7"/>
      <c r="S1006" s="7"/>
      <c r="T1006" s="7"/>
      <c r="U1006" s="7"/>
      <c r="V1006" s="7"/>
      <c r="W1006" s="7"/>
      <c r="X1006" s="7"/>
    </row>
    <row r="1007" spans="1:28" ht="16.5" thickTop="1">
      <c r="A1007" s="1"/>
      <c r="B1007" s="311"/>
      <c r="C1007" s="21"/>
      <c r="D1007" s="21"/>
      <c r="E1007" s="335"/>
      <c r="F1007" s="2"/>
      <c r="G1007" s="2"/>
      <c r="H1007" s="2"/>
      <c r="I1007" s="351" t="s">
        <v>31</v>
      </c>
      <c r="J1007" s="1"/>
      <c r="K1007" s="2" t="s">
        <v>31</v>
      </c>
      <c r="M1007" s="20"/>
      <c r="N1007" s="20"/>
      <c r="O1007" s="74"/>
      <c r="P1007" s="74"/>
      <c r="Q1007" s="20"/>
      <c r="R1007" s="20"/>
      <c r="S1007" s="20"/>
      <c r="T1007" s="20"/>
      <c r="U1007" s="20"/>
      <c r="V1007" s="20"/>
      <c r="W1007" s="20"/>
      <c r="X1007" s="20"/>
    </row>
    <row r="1008" spans="1:28">
      <c r="A1008" s="1" t="s">
        <v>34</v>
      </c>
      <c r="B1008" s="311"/>
      <c r="C1008" s="451"/>
      <c r="D1008" s="451"/>
      <c r="E1008" s="452"/>
      <c r="F1008" s="453"/>
      <c r="G1008" s="453">
        <v>311006.74</v>
      </c>
      <c r="H1008" s="453">
        <v>311006.74</v>
      </c>
      <c r="I1008" s="454"/>
      <c r="J1008" s="455"/>
      <c r="K1008" s="453">
        <f>G1008</f>
        <v>311006.74</v>
      </c>
      <c r="M1008" s="20"/>
      <c r="N1008" s="7" t="s">
        <v>412</v>
      </c>
      <c r="O1008" s="456" t="e">
        <f>#REF!*1000</f>
        <v>#REF!</v>
      </c>
      <c r="P1008" s="74"/>
      <c r="Q1008" s="20"/>
      <c r="R1008" s="20"/>
      <c r="S1008" s="20"/>
      <c r="T1008" s="20"/>
      <c r="U1008" s="20"/>
      <c r="V1008" s="20"/>
      <c r="W1008" s="20"/>
      <c r="X1008" s="20"/>
    </row>
    <row r="1009" spans="1:24" s="4" customFormat="1" ht="19.899999999999999" customHeight="1" thickBot="1">
      <c r="A1009" s="457" t="s">
        <v>519</v>
      </c>
      <c r="B1009" s="458"/>
      <c r="C1009" s="459">
        <f>C1006+C1008</f>
        <v>4024330101.6098857</v>
      </c>
      <c r="D1009" s="459">
        <f>D1006+D1008</f>
        <v>4081125561.3610039</v>
      </c>
      <c r="E1009" s="460"/>
      <c r="F1009" s="461"/>
      <c r="G1009" s="462">
        <f>G1006+G1008</f>
        <v>236529235.28</v>
      </c>
      <c r="H1009" s="462">
        <f>H1006+H1008</f>
        <v>239244616.28</v>
      </c>
      <c r="I1009" s="463"/>
      <c r="J1009" s="461"/>
      <c r="K1009" s="459">
        <f>K1006+K1008</f>
        <v>257641678.28</v>
      </c>
      <c r="M1009" s="7"/>
      <c r="N1009" s="20" t="s">
        <v>265</v>
      </c>
      <c r="O1009" s="74" t="e">
        <f>O1008-K1009</f>
        <v>#REF!</v>
      </c>
      <c r="P1009" s="312" t="e">
        <f>(O1008-K1009)/K1009</f>
        <v>#REF!</v>
      </c>
      <c r="Q1009" s="7"/>
      <c r="R1009" s="7"/>
      <c r="S1009" s="7"/>
      <c r="T1009" s="7"/>
      <c r="U1009" s="7"/>
      <c r="V1009" s="7"/>
      <c r="W1009" s="7"/>
      <c r="X1009" s="7"/>
    </row>
    <row r="1010" spans="1:24" ht="16.5" thickTop="1">
      <c r="A1010" s="1"/>
      <c r="B1010" s="311"/>
      <c r="C1010" s="21"/>
      <c r="D1010" s="21"/>
      <c r="E1010" s="464">
        <v>0</v>
      </c>
      <c r="F1010" s="2"/>
      <c r="G1010" s="2" t="s">
        <v>31</v>
      </c>
      <c r="H1010" s="2" t="s">
        <v>31</v>
      </c>
      <c r="I1010" s="335"/>
      <c r="J1010" s="1"/>
      <c r="K1010" s="2"/>
      <c r="M1010" s="20"/>
      <c r="P1010" s="74"/>
      <c r="Q1010" s="20"/>
      <c r="R1010" s="20"/>
      <c r="S1010" s="20"/>
      <c r="T1010" s="20"/>
      <c r="U1010" s="20"/>
      <c r="V1010" s="20"/>
      <c r="W1010" s="20"/>
      <c r="X1010" s="20"/>
    </row>
    <row r="1011" spans="1:24">
      <c r="C1011" s="465"/>
      <c r="D1011" s="465"/>
      <c r="E1011" s="268"/>
      <c r="H1011" s="466"/>
      <c r="M1011" s="20"/>
      <c r="N1011" s="20"/>
      <c r="O1011" s="74"/>
      <c r="P1011" s="74"/>
      <c r="Q1011" s="20"/>
      <c r="R1011" s="20"/>
      <c r="S1011" s="20"/>
      <c r="T1011" s="20"/>
      <c r="U1011" s="20"/>
      <c r="V1011" s="20"/>
      <c r="W1011" s="20"/>
      <c r="X1011" s="20"/>
    </row>
    <row r="1012" spans="1:24">
      <c r="A1012" s="467"/>
      <c r="K1012" s="262">
        <f>K1009-H1009</f>
        <v>18397062</v>
      </c>
      <c r="M1012" s="20"/>
      <c r="N1012" s="414"/>
      <c r="O1012" s="74"/>
      <c r="P1012" s="74"/>
      <c r="Q1012" s="20"/>
      <c r="R1012" s="20"/>
      <c r="S1012" s="20"/>
      <c r="T1012" s="20"/>
      <c r="U1012" s="20"/>
      <c r="V1012" s="20"/>
      <c r="W1012" s="20"/>
      <c r="X1012" s="20"/>
    </row>
    <row r="1013" spans="1:24">
      <c r="A1013" s="1" t="s">
        <v>170</v>
      </c>
      <c r="B1013" s="3" t="s">
        <v>520</v>
      </c>
      <c r="C1013" s="262">
        <v>4024330100</v>
      </c>
      <c r="D1013" s="262">
        <v>4081125563.3743143</v>
      </c>
      <c r="G1013" s="84">
        <v>236529235.27999997</v>
      </c>
      <c r="H1013" s="84">
        <v>239244616.27999997</v>
      </c>
      <c r="M1013" s="20"/>
      <c r="N1013" s="20"/>
      <c r="O1013" s="74"/>
      <c r="P1013" s="74"/>
      <c r="Q1013" s="20"/>
      <c r="R1013" s="20"/>
      <c r="S1013" s="20"/>
      <c r="T1013" s="20"/>
      <c r="U1013" s="20"/>
      <c r="V1013" s="20"/>
      <c r="W1013" s="20"/>
      <c r="X1013" s="20"/>
    </row>
    <row r="1014" spans="1:24">
      <c r="B1014" s="3" t="s">
        <v>521</v>
      </c>
      <c r="C1014" s="262">
        <v>4024330100</v>
      </c>
      <c r="D1014" s="262">
        <v>4081125563.3743143</v>
      </c>
      <c r="G1014" s="84">
        <v>236529235.27999997</v>
      </c>
      <c r="H1014" s="84">
        <v>239244616.27999997</v>
      </c>
      <c r="M1014" s="20"/>
      <c r="N1014" s="20"/>
      <c r="O1014" s="74"/>
      <c r="P1014" s="74"/>
      <c r="Q1014" s="20"/>
      <c r="R1014" s="20"/>
      <c r="S1014" s="20"/>
      <c r="T1014" s="20"/>
      <c r="U1014" s="20"/>
      <c r="V1014" s="20"/>
      <c r="W1014" s="20"/>
      <c r="X1014" s="20"/>
    </row>
    <row r="1015" spans="1:24">
      <c r="M1015" s="20"/>
      <c r="N1015" s="20"/>
      <c r="O1015" s="74"/>
      <c r="P1015" s="74"/>
      <c r="Q1015" s="20"/>
      <c r="R1015" s="20"/>
      <c r="S1015" s="20"/>
      <c r="T1015" s="20"/>
      <c r="U1015" s="20"/>
      <c r="V1015" s="20"/>
      <c r="W1015" s="20"/>
      <c r="X1015" s="20"/>
    </row>
    <row r="1016" spans="1:24">
      <c r="B1016" s="3" t="s">
        <v>253</v>
      </c>
      <c r="C1016" s="262">
        <f>C1009-C1014</f>
        <v>1.6098856925964355</v>
      </c>
      <c r="D1016" s="262">
        <f>D1009-D1014</f>
        <v>-2.013310432434082</v>
      </c>
      <c r="G1016" s="262">
        <f>G1009-G1014</f>
        <v>0</v>
      </c>
      <c r="H1016" s="262">
        <f>H1009-H1014</f>
        <v>0</v>
      </c>
      <c r="M1016" s="20"/>
      <c r="N1016" s="20"/>
      <c r="O1016" s="74"/>
      <c r="P1016" s="74"/>
      <c r="Q1016" s="20"/>
      <c r="R1016" s="20"/>
      <c r="S1016" s="20"/>
      <c r="T1016" s="20"/>
      <c r="U1016" s="20"/>
      <c r="V1016" s="20"/>
      <c r="W1016" s="20"/>
      <c r="X1016" s="20"/>
    </row>
    <row r="1017" spans="1:24">
      <c r="M1017" s="20"/>
      <c r="N1017" s="20"/>
      <c r="O1017" s="74"/>
      <c r="P1017" s="74"/>
      <c r="Q1017" s="20"/>
      <c r="R1017" s="20"/>
      <c r="S1017" s="20"/>
      <c r="T1017" s="20"/>
      <c r="U1017" s="20"/>
      <c r="V1017" s="20"/>
      <c r="W1017" s="20"/>
      <c r="X1017" s="20"/>
    </row>
    <row r="1019" spans="1:24">
      <c r="B1019" s="3" t="s">
        <v>522</v>
      </c>
      <c r="C1019" s="262">
        <f>C24+C83+C157+C483+C587+C737+C768+C908+C919+C930+C962+C1000</f>
        <v>1450753</v>
      </c>
      <c r="D1019" s="262">
        <f>D24+D83+D157+D483+D587+D737+D768+D908+D919+D930+D962+D1000</f>
        <v>1466661.75</v>
      </c>
    </row>
    <row r="1020" spans="1:24">
      <c r="B1020" s="3" t="s">
        <v>40</v>
      </c>
      <c r="C1020" s="262">
        <f>((C83+C186+C271+C483+C737+C768+C908+C919+C930+C962+C1000)/12)+C358+C587+C24</f>
        <v>128412.75</v>
      </c>
      <c r="D1020" s="262">
        <f>((D83+D186+D271+D483+D737+D768+D908+D919+D930+D962+D1000)/12)+D358+D587+D24</f>
        <v>129738.25</v>
      </c>
    </row>
    <row r="1022" spans="1:24">
      <c r="B1022" s="3" t="s">
        <v>253</v>
      </c>
      <c r="C1022" s="262">
        <v>0</v>
      </c>
      <c r="D1022" s="262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AG92"/>
  <sheetViews>
    <sheetView view="pageBreakPreview" zoomScale="70" zoomScaleNormal="85" zoomScaleSheetLayoutView="70" workbookViewId="0">
      <pane xSplit="3" ySplit="4" topLeftCell="D5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RowHeight="15.75"/>
  <cols>
    <col min="1" max="1" width="5.25" style="613" customWidth="1"/>
    <col min="2" max="2" width="2.875" customWidth="1"/>
    <col min="3" max="3" width="33.125" bestFit="1" customWidth="1"/>
    <col min="4" max="7" width="15.125" bestFit="1" customWidth="1"/>
    <col min="8" max="8" width="15.375" bestFit="1" customWidth="1"/>
    <col min="9" max="9" width="14.625" bestFit="1" customWidth="1"/>
    <col min="10" max="10" width="15.375" bestFit="1" customWidth="1"/>
    <col min="11" max="11" width="14.625" bestFit="1" customWidth="1"/>
    <col min="12" max="15" width="14.875" bestFit="1" customWidth="1"/>
    <col min="16" max="16" width="17.125" bestFit="1" customWidth="1"/>
    <col min="17" max="17" width="17.625" style="20" bestFit="1" customWidth="1"/>
    <col min="18" max="19" width="13.25" customWidth="1"/>
    <col min="20" max="20" width="13.25" style="614" customWidth="1"/>
    <col min="21" max="28" width="13.25" customWidth="1"/>
    <col min="29" max="29" width="18.375" style="3" bestFit="1" customWidth="1"/>
    <col min="30" max="30" width="16.375" bestFit="1" customWidth="1"/>
    <col min="31" max="31" width="22.125" customWidth="1"/>
    <col min="32" max="32" width="21.375" customWidth="1"/>
    <col min="33" max="33" width="12.625" bestFit="1" customWidth="1"/>
  </cols>
  <sheetData>
    <row r="2" spans="1:33">
      <c r="C2" s="3" t="s">
        <v>176</v>
      </c>
      <c r="AE2" t="s">
        <v>580</v>
      </c>
    </row>
    <row r="3" spans="1:33">
      <c r="C3" s="615" t="s">
        <v>581</v>
      </c>
      <c r="D3" s="615"/>
      <c r="E3" s="615"/>
      <c r="F3" s="615"/>
      <c r="G3" s="615"/>
      <c r="H3" s="615"/>
      <c r="I3" s="615"/>
      <c r="J3" s="615"/>
      <c r="K3" s="615"/>
      <c r="L3" s="615"/>
      <c r="M3" s="615" t="s">
        <v>31</v>
      </c>
      <c r="N3" s="615"/>
      <c r="O3" s="615"/>
      <c r="P3" s="615"/>
      <c r="Q3" s="616" t="s">
        <v>31</v>
      </c>
      <c r="AC3" s="3" t="s">
        <v>9</v>
      </c>
      <c r="AE3" t="s">
        <v>582</v>
      </c>
    </row>
    <row r="4" spans="1:33">
      <c r="C4" s="615"/>
      <c r="D4" s="615">
        <v>201107</v>
      </c>
      <c r="E4" s="615">
        <v>201108</v>
      </c>
      <c r="F4" s="615">
        <v>201109</v>
      </c>
      <c r="G4" s="615">
        <v>201110</v>
      </c>
      <c r="H4" s="615">
        <v>201111</v>
      </c>
      <c r="I4" s="615">
        <v>201112</v>
      </c>
      <c r="J4" s="615">
        <v>201201</v>
      </c>
      <c r="K4" s="615">
        <v>201202</v>
      </c>
      <c r="L4" s="615">
        <v>201203</v>
      </c>
      <c r="M4" s="615">
        <v>201204</v>
      </c>
      <c r="N4" s="615">
        <v>201205</v>
      </c>
      <c r="O4" s="615">
        <v>201206</v>
      </c>
      <c r="P4" s="615" t="s">
        <v>35</v>
      </c>
      <c r="Q4" s="615">
        <v>201107</v>
      </c>
      <c r="R4" s="615">
        <v>201108</v>
      </c>
      <c r="S4" s="615">
        <v>201109</v>
      </c>
      <c r="T4" s="615">
        <v>201110</v>
      </c>
      <c r="U4" s="615">
        <v>201111</v>
      </c>
      <c r="V4" s="615">
        <v>201112</v>
      </c>
      <c r="W4" s="615">
        <v>201201</v>
      </c>
      <c r="X4" s="615">
        <v>201202</v>
      </c>
      <c r="Y4" s="615">
        <v>201203</v>
      </c>
      <c r="Z4" s="615">
        <v>201204</v>
      </c>
      <c r="AA4" s="615">
        <v>201205</v>
      </c>
      <c r="AB4" s="615">
        <v>201206</v>
      </c>
      <c r="AC4" s="20" t="s">
        <v>201</v>
      </c>
      <c r="AD4" t="s">
        <v>12</v>
      </c>
      <c r="AE4" t="s">
        <v>9</v>
      </c>
      <c r="AF4" s="617" t="s">
        <v>170</v>
      </c>
    </row>
    <row r="5" spans="1:33">
      <c r="B5" s="615" t="s">
        <v>267</v>
      </c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20"/>
      <c r="AF5" s="617"/>
    </row>
    <row r="6" spans="1:33" s="3" customFormat="1">
      <c r="A6" s="53">
        <v>16</v>
      </c>
      <c r="C6" s="4" t="s">
        <v>48</v>
      </c>
      <c r="D6" s="776">
        <v>97964132</v>
      </c>
      <c r="E6" s="776">
        <v>110953934</v>
      </c>
      <c r="F6" s="776">
        <v>110634551</v>
      </c>
      <c r="G6" s="776">
        <v>90907234</v>
      </c>
      <c r="H6" s="776">
        <v>126761515</v>
      </c>
      <c r="I6" s="776">
        <v>189161632</v>
      </c>
      <c r="J6" s="776">
        <v>201187755</v>
      </c>
      <c r="K6" s="776">
        <v>167942685</v>
      </c>
      <c r="L6" s="776">
        <v>143385035</v>
      </c>
      <c r="M6" s="776">
        <v>117979536</v>
      </c>
      <c r="N6" s="776">
        <v>91792551</v>
      </c>
      <c r="O6" s="776">
        <v>90141087</v>
      </c>
      <c r="P6" s="471">
        <f t="shared" ref="P6:P12" si="0">SUM(D6:O6)</f>
        <v>1538811647</v>
      </c>
      <c r="Q6" s="645">
        <f t="shared" ref="Q6:AB10" ca="1" si="1">D6/$P$12*$AC$13</f>
        <v>-6274.5443895274211</v>
      </c>
      <c r="R6" s="645">
        <f t="shared" ca="1" si="1"/>
        <v>-7106.5334818226702</v>
      </c>
      <c r="S6" s="645">
        <f ca="1">F6/$P$12*$AC$13</f>
        <v>-7086.07719062866</v>
      </c>
      <c r="T6" s="645">
        <f t="shared" ca="1" si="1"/>
        <v>-5822.5542697827032</v>
      </c>
      <c r="U6" s="645">
        <f t="shared" ca="1" si="1"/>
        <v>-8118.9996431678283</v>
      </c>
      <c r="V6" s="645">
        <f t="shared" ca="1" si="1"/>
        <v>-12115.69002397174</v>
      </c>
      <c r="W6" s="645">
        <f t="shared" ca="1" si="1"/>
        <v>-12885.956049473978</v>
      </c>
      <c r="X6" s="645">
        <f t="shared" ca="1" si="1"/>
        <v>-10756.629088786505</v>
      </c>
      <c r="Y6" s="645">
        <f t="shared" ca="1" si="1"/>
        <v>-9183.7262121757267</v>
      </c>
      <c r="Z6" s="645">
        <f t="shared" ca="1" si="1"/>
        <v>-7556.5191113809733</v>
      </c>
      <c r="AA6" s="645">
        <f t="shared" ca="1" si="1"/>
        <v>-5879.2582970822386</v>
      </c>
      <c r="AB6" s="645">
        <f t="shared" ca="1" si="1"/>
        <v>-5773.4830101057096</v>
      </c>
      <c r="AC6" s="471">
        <f t="shared" ref="AC6:AC11" ca="1" si="2">SUM(Q6:AB6)</f>
        <v>-98559.970767906168</v>
      </c>
      <c r="AD6" s="262">
        <f>Temperature!B22*1000</f>
        <v>-2709729.2351466403</v>
      </c>
      <c r="AE6" s="105">
        <f ca="1">P6+AC6+AD6</f>
        <v>1536003357.7940855</v>
      </c>
      <c r="AF6" s="621">
        <f ca="1">'Pages 4-11, All Other Schedules'!B109</f>
        <v>1536003357.7940855</v>
      </c>
      <c r="AG6" s="69">
        <f t="shared" ref="AG6:AG10" ca="1" si="3">AF6-AE6</f>
        <v>0</v>
      </c>
    </row>
    <row r="7" spans="1:33" s="3" customFormat="1">
      <c r="A7" s="53">
        <v>17</v>
      </c>
      <c r="C7" s="4" t="s">
        <v>93</v>
      </c>
      <c r="D7" s="776">
        <v>3384316</v>
      </c>
      <c r="E7" s="776">
        <v>3656198</v>
      </c>
      <c r="F7" s="776">
        <v>3628082</v>
      </c>
      <c r="G7" s="776">
        <v>3740165</v>
      </c>
      <c r="H7" s="776">
        <v>5106781</v>
      </c>
      <c r="I7" s="776">
        <v>7616300</v>
      </c>
      <c r="J7" s="776">
        <v>8536249</v>
      </c>
      <c r="K7" s="776">
        <v>7721631</v>
      </c>
      <c r="L7" s="776">
        <v>6815778</v>
      </c>
      <c r="M7" s="776">
        <v>5531648</v>
      </c>
      <c r="N7" s="776">
        <v>3941784</v>
      </c>
      <c r="O7" s="776">
        <v>3554549</v>
      </c>
      <c r="P7" s="471">
        <f t="shared" si="0"/>
        <v>63233481</v>
      </c>
      <c r="Q7" s="645">
        <f t="shared" ca="1" si="1"/>
        <v>-216.76342694679192</v>
      </c>
      <c r="R7" s="645">
        <f t="shared" ca="1" si="1"/>
        <v>-234.17730734246055</v>
      </c>
      <c r="S7" s="645">
        <f t="shared" ca="1" si="1"/>
        <v>-232.37649426471131</v>
      </c>
      <c r="T7" s="645">
        <f t="shared" ca="1" si="1"/>
        <v>-239.55534375231159</v>
      </c>
      <c r="U7" s="645">
        <f t="shared" ca="1" si="1"/>
        <v>-327.08628574481963</v>
      </c>
      <c r="V7" s="645">
        <f t="shared" ca="1" si="1"/>
        <v>-487.81948513520939</v>
      </c>
      <c r="W7" s="645">
        <f t="shared" ca="1" si="1"/>
        <v>-546.74167143704244</v>
      </c>
      <c r="X7" s="645">
        <f t="shared" ca="1" si="1"/>
        <v>-494.56587303862403</v>
      </c>
      <c r="Y7" s="645">
        <f t="shared" ca="1" si="1"/>
        <v>-436.5465271530648</v>
      </c>
      <c r="Z7" s="645">
        <f t="shared" ca="1" si="1"/>
        <v>-354.2987644012461</v>
      </c>
      <c r="AA7" s="645">
        <f t="shared" ca="1" si="1"/>
        <v>-252.4689207875486</v>
      </c>
      <c r="AB7" s="645">
        <f t="shared" ca="1" si="1"/>
        <v>-227.66674934914241</v>
      </c>
      <c r="AC7" s="471">
        <f t="shared" ca="1" si="2"/>
        <v>-4050.066849352972</v>
      </c>
      <c r="AD7" s="262">
        <f>Temperature!B40*1000</f>
        <v>-71318.653570129405</v>
      </c>
      <c r="AE7" s="105">
        <f t="shared" ref="AE7:AE11" ca="1" si="4">P7+AC7+AD7</f>
        <v>63158112.279580519</v>
      </c>
      <c r="AF7" s="621">
        <f ca="1">'Pages 4-11, All Other Schedules'!B124</f>
        <v>63158112.279580519</v>
      </c>
      <c r="AG7" s="69">
        <f t="shared" ca="1" si="3"/>
        <v>0</v>
      </c>
    </row>
    <row r="8" spans="1:33" s="3" customFormat="1">
      <c r="A8" s="53">
        <v>18</v>
      </c>
      <c r="C8" s="4" t="s">
        <v>49</v>
      </c>
      <c r="D8" s="776">
        <v>171331</v>
      </c>
      <c r="E8" s="776">
        <v>188829</v>
      </c>
      <c r="F8" s="776">
        <v>191557</v>
      </c>
      <c r="G8" s="776">
        <v>154796</v>
      </c>
      <c r="H8" s="776">
        <v>168297</v>
      </c>
      <c r="I8" s="776">
        <v>234122</v>
      </c>
      <c r="J8" s="776">
        <v>253286</v>
      </c>
      <c r="K8" s="776">
        <v>211279</v>
      </c>
      <c r="L8" s="776">
        <v>185008</v>
      </c>
      <c r="M8" s="776">
        <v>160956</v>
      </c>
      <c r="N8" s="776">
        <v>145108</v>
      </c>
      <c r="O8" s="776">
        <v>151685</v>
      </c>
      <c r="P8" s="471">
        <f t="shared" si="0"/>
        <v>2216254</v>
      </c>
      <c r="Q8" s="645">
        <f t="shared" ca="1" si="1"/>
        <v>-10.973648649304854</v>
      </c>
      <c r="R8" s="645">
        <f t="shared" ca="1" si="1"/>
        <v>-12.094385142207694</v>
      </c>
      <c r="S8" s="645">
        <f t="shared" ca="1" si="1"/>
        <v>-12.269111919704491</v>
      </c>
      <c r="T8" s="645">
        <f t="shared" ca="1" si="1"/>
        <v>-9.9145917336488676</v>
      </c>
      <c r="U8" s="645">
        <f t="shared" ca="1" si="1"/>
        <v>-10.779322753804385</v>
      </c>
      <c r="V8" s="645">
        <f t="shared" ca="1" si="1"/>
        <v>-14.99537485377749</v>
      </c>
      <c r="W8" s="645">
        <f t="shared" ca="1" si="1"/>
        <v>-16.222817655811436</v>
      </c>
      <c r="X8" s="645">
        <f t="shared" ca="1" si="1"/>
        <v>-13.532294289862783</v>
      </c>
      <c r="Y8" s="645">
        <f t="shared" ca="1" si="1"/>
        <v>-11.849652364782745</v>
      </c>
      <c r="Z8" s="645">
        <f t="shared" ca="1" si="1"/>
        <v>-10.309136069931958</v>
      </c>
      <c r="AA8" s="645">
        <f t="shared" ca="1" si="1"/>
        <v>-9.2940810956763737</v>
      </c>
      <c r="AB8" s="645">
        <f t="shared" ca="1" si="1"/>
        <v>-9.7153340339448597</v>
      </c>
      <c r="AC8" s="471">
        <f t="shared" ca="1" si="2"/>
        <v>-141.94975056245792</v>
      </c>
      <c r="AD8" s="262">
        <f>Temperature!B58*1000</f>
        <v>-3150.4652189124149</v>
      </c>
      <c r="AE8" s="105">
        <f t="shared" ca="1" si="4"/>
        <v>2212961.585030525</v>
      </c>
      <c r="AF8" s="621">
        <f ca="1">'Pages 4-11, All Other Schedules'!B139</f>
        <v>2212961.585030525</v>
      </c>
      <c r="AG8" s="69">
        <f t="shared" ca="1" si="3"/>
        <v>0</v>
      </c>
    </row>
    <row r="9" spans="1:33" s="3" customFormat="1">
      <c r="A9" s="53" t="s">
        <v>162</v>
      </c>
      <c r="C9" s="7" t="s">
        <v>164</v>
      </c>
      <c r="D9" s="776">
        <v>40199</v>
      </c>
      <c r="E9" s="776">
        <v>46065</v>
      </c>
      <c r="F9" s="776">
        <v>38839</v>
      </c>
      <c r="G9" s="776">
        <v>28343</v>
      </c>
      <c r="H9" s="776">
        <v>31152</v>
      </c>
      <c r="I9" s="776">
        <v>44595</v>
      </c>
      <c r="J9" s="776">
        <v>45193</v>
      </c>
      <c r="K9" s="776">
        <v>36663</v>
      </c>
      <c r="L9" s="776">
        <v>32687</v>
      </c>
      <c r="M9" s="776">
        <v>29522</v>
      </c>
      <c r="N9" s="776">
        <v>28674</v>
      </c>
      <c r="O9" s="776">
        <v>31453</v>
      </c>
      <c r="P9" s="471">
        <f t="shared" si="0"/>
        <v>433385</v>
      </c>
      <c r="Q9" s="645">
        <f t="shared" ca="1" si="1"/>
        <v>-2.5747220412733589</v>
      </c>
      <c r="R9" s="645">
        <f t="shared" ca="1" si="1"/>
        <v>-2.950435852415664</v>
      </c>
      <c r="S9" s="645">
        <f t="shared" ca="1" si="1"/>
        <v>-2.4876148501459237</v>
      </c>
      <c r="T9" s="645">
        <f t="shared" ca="1" si="1"/>
        <v>-1.8153522927388943</v>
      </c>
      <c r="U9" s="645">
        <f t="shared" ca="1" si="1"/>
        <v>-1.9952670720601924</v>
      </c>
      <c r="V9" s="645">
        <f t="shared" ca="1" si="1"/>
        <v>-2.8562832267117453</v>
      </c>
      <c r="W9" s="645">
        <f t="shared" ca="1" si="1"/>
        <v>-2.8945847710457202</v>
      </c>
      <c r="X9" s="645">
        <f t="shared" ca="1" si="1"/>
        <v>-2.3482433443420274</v>
      </c>
      <c r="Y9" s="645">
        <f t="shared" ca="1" si="1"/>
        <v>-2.0935829091047609</v>
      </c>
      <c r="Z9" s="645">
        <f t="shared" ca="1" si="1"/>
        <v>-1.8908665415177517</v>
      </c>
      <c r="AA9" s="645">
        <f t="shared" ca="1" si="1"/>
        <v>-1.8365526458735864</v>
      </c>
      <c r="AB9" s="645">
        <f t="shared" ca="1" si="1"/>
        <v>-2.0145459430376618</v>
      </c>
      <c r="AC9" s="471">
        <f t="shared" ca="1" si="2"/>
        <v>-27.758051490267285</v>
      </c>
      <c r="AE9" s="105">
        <f t="shared" ca="1" si="4"/>
        <v>433357.24194850971</v>
      </c>
      <c r="AF9" s="621">
        <f ca="1">'Pages 4-11, All Other Schedules'!B154</f>
        <v>433357.24194850971</v>
      </c>
      <c r="AG9" s="69">
        <f t="shared" ca="1" si="3"/>
        <v>0</v>
      </c>
    </row>
    <row r="10" spans="1:33" s="3" customFormat="1">
      <c r="A10" s="53" t="s">
        <v>161</v>
      </c>
      <c r="C10" s="4" t="s">
        <v>50</v>
      </c>
      <c r="D10" s="778">
        <v>90270.600000000093</v>
      </c>
      <c r="E10" s="778">
        <v>90011.000000000102</v>
      </c>
      <c r="F10" s="778">
        <v>89499.8</v>
      </c>
      <c r="G10" s="778">
        <v>89384.400000000096</v>
      </c>
      <c r="H10" s="778">
        <v>89269.600000000093</v>
      </c>
      <c r="I10" s="778">
        <v>88415.000000000204</v>
      </c>
      <c r="J10" s="778">
        <v>89212.800000000003</v>
      </c>
      <c r="K10" s="778">
        <v>89048.400000000096</v>
      </c>
      <c r="L10" s="778">
        <v>89780.2</v>
      </c>
      <c r="M10" s="778">
        <v>89889.200000000099</v>
      </c>
      <c r="N10" s="778">
        <v>89758.800000000105</v>
      </c>
      <c r="O10" s="778">
        <v>87488.4</v>
      </c>
      <c r="P10" s="471">
        <f t="shared" si="0"/>
        <v>1072028.2000000009</v>
      </c>
      <c r="Q10" s="645">
        <f t="shared" ca="1" si="1"/>
        <v>-5.7817782407266627</v>
      </c>
      <c r="R10" s="645">
        <f t="shared" ca="1" si="1"/>
        <v>-5.765151015126162</v>
      </c>
      <c r="S10" s="645">
        <f t="shared" ca="1" si="1"/>
        <v>-5.7324089591670786</v>
      </c>
      <c r="T10" s="645">
        <f t="shared" ca="1" si="1"/>
        <v>-5.7250176578023009</v>
      </c>
      <c r="U10" s="645">
        <f t="shared" ca="1" si="1"/>
        <v>-5.7176647860806611</v>
      </c>
      <c r="V10" s="645">
        <f t="shared" ca="1" si="1"/>
        <v>-5.6629281643619134</v>
      </c>
      <c r="W10" s="645">
        <f t="shared" ca="1" si="1"/>
        <v>-5.71402677986298</v>
      </c>
      <c r="X10" s="645">
        <f t="shared" ca="1" si="1"/>
        <v>-5.703497057641405</v>
      </c>
      <c r="Y10" s="645">
        <f t="shared" ca="1" si="1"/>
        <v>-5.750368412396587</v>
      </c>
      <c r="Z10" s="645">
        <f t="shared" ca="1" si="1"/>
        <v>-5.7573497975678363</v>
      </c>
      <c r="AA10" s="645">
        <f t="shared" ca="1" si="1"/>
        <v>-5.7489977551244413</v>
      </c>
      <c r="AB10" s="645">
        <f t="shared" ca="1" si="1"/>
        <v>-5.6035799854658102</v>
      </c>
      <c r="AC10" s="471">
        <f t="shared" ca="1" si="2"/>
        <v>-68.662768611323841</v>
      </c>
      <c r="AE10" s="105">
        <f t="shared" ca="1" si="4"/>
        <v>1071959.5372313897</v>
      </c>
      <c r="AF10" s="621">
        <f ca="1">'Pages 4-11, All Other Schedules'!B41</f>
        <v>1071959.3372313888</v>
      </c>
      <c r="AG10" s="69">
        <f t="shared" ca="1" si="3"/>
        <v>-0.20000000088475645</v>
      </c>
    </row>
    <row r="11" spans="1:33" s="3" customFormat="1">
      <c r="A11" s="53">
        <v>24</v>
      </c>
      <c r="C11" s="60" t="s">
        <v>51</v>
      </c>
      <c r="D11" s="778">
        <v>195589</v>
      </c>
      <c r="E11" s="778">
        <v>212368</v>
      </c>
      <c r="F11" s="778">
        <v>210343</v>
      </c>
      <c r="G11" s="778">
        <v>166491</v>
      </c>
      <c r="H11" s="778">
        <v>167477</v>
      </c>
      <c r="I11" s="778">
        <v>240757</v>
      </c>
      <c r="J11" s="778">
        <v>272717</v>
      </c>
      <c r="K11" s="778">
        <v>224374</v>
      </c>
      <c r="L11" s="778">
        <v>188651</v>
      </c>
      <c r="M11" s="778">
        <v>162751</v>
      </c>
      <c r="N11" s="778">
        <v>147447</v>
      </c>
      <c r="O11" s="778">
        <v>177830</v>
      </c>
      <c r="P11" s="471">
        <f t="shared" ref="P11" si="5">SUM(D11:O11)</f>
        <v>2366795</v>
      </c>
      <c r="Q11" s="645">
        <f t="shared" ref="Q11" ca="1" si="6">D11/$P$12*$AC$13</f>
        <v>-12.527359121635239</v>
      </c>
      <c r="R11" s="645">
        <f t="shared" ref="R11" ca="1" si="7">E11/$P$12*$AC$13</f>
        <v>-13.602044092169972</v>
      </c>
      <c r="S11" s="645">
        <f t="shared" ref="S11" ca="1" si="8">F11/$P$12*$AC$13</f>
        <v>-13.47234404655743</v>
      </c>
      <c r="T11" s="645">
        <f t="shared" ref="T11" ca="1" si="9">G11/$P$12*$AC$13</f>
        <v>-10.663649527939571</v>
      </c>
      <c r="U11" s="645">
        <f t="shared" ref="U11" ca="1" si="10">H11/$P$12*$AC$13</f>
        <v>-10.726802241506961</v>
      </c>
      <c r="V11" s="645">
        <f t="shared" ref="V11" ca="1" si="11">I11/$P$12*$AC$13</f>
        <v>-15.42034265754994</v>
      </c>
      <c r="W11" s="645">
        <f t="shared" ref="W11" ca="1" si="12">J11/$P$12*$AC$13</f>
        <v>-17.467361649044669</v>
      </c>
      <c r="X11" s="645">
        <f t="shared" ref="X11" ca="1" si="13">K11/$P$12*$AC$13</f>
        <v>-14.371021251490552</v>
      </c>
      <c r="Y11" s="645">
        <f t="shared" ref="Y11" ca="1" si="14">L11/$P$12*$AC$13</f>
        <v>-12.08298434807484</v>
      </c>
      <c r="Z11" s="645">
        <f t="shared" ref="Z11" ca="1" si="15">M11/$P$12*$AC$13</f>
        <v>-10.424104752339124</v>
      </c>
      <c r="AA11" s="645">
        <f t="shared" ref="AA11" ca="1" si="16">N11/$P$12*$AC$13</f>
        <v>-9.4438926545345137</v>
      </c>
      <c r="AB11" s="645">
        <f t="shared" ref="AB11" ca="1" si="17">O11/$P$12*$AC$13</f>
        <v>-11.389905733964563</v>
      </c>
      <c r="AC11" s="471">
        <f t="shared" ca="1" si="2"/>
        <v>-151.59181207680737</v>
      </c>
      <c r="AD11" s="262">
        <f>Temperature!O75*1000</f>
        <v>-8931.3444356592681</v>
      </c>
      <c r="AE11" s="105">
        <f t="shared" ca="1" si="4"/>
        <v>2357712.0637522638</v>
      </c>
      <c r="AF11" s="621">
        <f ca="1">'Pages 4-11, All Other Schedules'!B265</f>
        <v>2357712.0637522638</v>
      </c>
      <c r="AG11" s="69">
        <f t="shared" ref="AG11" ca="1" si="18">AF11-AE11</f>
        <v>0</v>
      </c>
    </row>
    <row r="12" spans="1:33" s="3" customFormat="1">
      <c r="A12" s="53"/>
      <c r="B12" s="20" t="s">
        <v>267</v>
      </c>
      <c r="C12" s="5"/>
      <c r="D12" s="471">
        <f>SUM(D6:D11)</f>
        <v>101845837.59999999</v>
      </c>
      <c r="E12" s="471">
        <f t="shared" ref="E12:O12" si="19">SUM(E6:E11)</f>
        <v>115147405</v>
      </c>
      <c r="F12" s="471">
        <f t="shared" si="19"/>
        <v>114792871.8</v>
      </c>
      <c r="G12" s="471">
        <f t="shared" si="19"/>
        <v>95086413.400000006</v>
      </c>
      <c r="H12" s="471">
        <f t="shared" si="19"/>
        <v>132324491.59999999</v>
      </c>
      <c r="I12" s="471">
        <f t="shared" si="19"/>
        <v>197385821</v>
      </c>
      <c r="J12" s="471">
        <f t="shared" si="19"/>
        <v>210384412.80000001</v>
      </c>
      <c r="K12" s="471">
        <f t="shared" si="19"/>
        <v>176225680.40000001</v>
      </c>
      <c r="L12" s="471">
        <f t="shared" si="19"/>
        <v>150696939.19999999</v>
      </c>
      <c r="M12" s="471">
        <f t="shared" si="19"/>
        <v>123954302.2</v>
      </c>
      <c r="N12" s="471">
        <f t="shared" si="19"/>
        <v>96145322.799999997</v>
      </c>
      <c r="O12" s="471">
        <f t="shared" si="19"/>
        <v>94144092.400000006</v>
      </c>
      <c r="P12" s="471">
        <f t="shared" si="0"/>
        <v>1608133590.2000003</v>
      </c>
      <c r="Q12" s="471">
        <f ca="1">SUM(Q6:Q11)</f>
        <v>-6523.1653245271527</v>
      </c>
      <c r="R12" s="471">
        <f t="shared" ref="R12:AB12" ca="1" si="20">SUM(R6:R11)</f>
        <v>-7375.1228052670504</v>
      </c>
      <c r="S12" s="471">
        <f t="shared" ca="1" si="20"/>
        <v>-7352.415164668947</v>
      </c>
      <c r="T12" s="471">
        <f t="shared" ca="1" si="20"/>
        <v>-6090.2282247471448</v>
      </c>
      <c r="U12" s="471">
        <f t="shared" ca="1" si="20"/>
        <v>-8475.304985766099</v>
      </c>
      <c r="V12" s="471">
        <f t="shared" ca="1" si="20"/>
        <v>-12642.44443800935</v>
      </c>
      <c r="W12" s="471">
        <f t="shared" ca="1" si="20"/>
        <v>-13474.996511766785</v>
      </c>
      <c r="X12" s="471">
        <f t="shared" ca="1" si="20"/>
        <v>-11287.150017768465</v>
      </c>
      <c r="Y12" s="471">
        <f t="shared" ca="1" si="20"/>
        <v>-9652.049327363151</v>
      </c>
      <c r="Z12" s="471">
        <f t="shared" ca="1" si="20"/>
        <v>-7939.1993329435763</v>
      </c>
      <c r="AA12" s="471">
        <f t="shared" ca="1" si="20"/>
        <v>-6158.050742020996</v>
      </c>
      <c r="AB12" s="471">
        <f t="shared" ca="1" si="20"/>
        <v>-6029.8731251512654</v>
      </c>
      <c r="AC12" s="623">
        <f ca="1">SUM(AC6:AC11)</f>
        <v>-102999.99999999999</v>
      </c>
      <c r="AD12" s="107">
        <f>SUM(AD6:AD11)</f>
        <v>-2793129.6983713415</v>
      </c>
      <c r="AE12" s="107">
        <f ca="1">SUM(AE6:AE11)</f>
        <v>1605237460.5016289</v>
      </c>
      <c r="AF12" s="624">
        <f ca="1">SUM(AF6:AF11)</f>
        <v>1605237460.3016288</v>
      </c>
      <c r="AG12" s="69" t="s">
        <v>31</v>
      </c>
    </row>
    <row r="13" spans="1:33" s="3" customFormat="1">
      <c r="A13" s="53"/>
      <c r="B13" s="3" t="s">
        <v>274</v>
      </c>
      <c r="C13" s="5"/>
      <c r="D13" s="471"/>
      <c r="E13" s="471"/>
      <c r="F13" s="471"/>
      <c r="G13" s="471"/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50">
        <f ca="1">'Table 2'!G36</f>
        <v>-103000</v>
      </c>
      <c r="AD13" s="107"/>
      <c r="AE13" s="107"/>
      <c r="AF13" s="624"/>
      <c r="AG13" s="69"/>
    </row>
    <row r="14" spans="1:33" s="3" customFormat="1">
      <c r="A14" s="53">
        <v>24</v>
      </c>
      <c r="C14" s="60" t="s">
        <v>51</v>
      </c>
      <c r="D14" s="778">
        <v>41726336</v>
      </c>
      <c r="E14" s="778">
        <v>46747651</v>
      </c>
      <c r="F14" s="778">
        <v>47036229</v>
      </c>
      <c r="G14" s="778">
        <v>41131998</v>
      </c>
      <c r="H14" s="778">
        <v>41190889</v>
      </c>
      <c r="I14" s="778">
        <v>49393192</v>
      </c>
      <c r="J14" s="778">
        <v>50994687</v>
      </c>
      <c r="K14" s="778">
        <v>45669905</v>
      </c>
      <c r="L14" s="778">
        <v>41926169</v>
      </c>
      <c r="M14" s="778">
        <v>38844068</v>
      </c>
      <c r="N14" s="778">
        <v>37418630</v>
      </c>
      <c r="O14" s="778">
        <v>39557890</v>
      </c>
      <c r="P14" s="471">
        <f t="shared" ref="P14:P22" si="21">SUM(D14:O14)</f>
        <v>521637644</v>
      </c>
      <c r="Q14" s="645">
        <f t="shared" ref="Q14:AB21" si="22">D14/$P$22*$AC$23</f>
        <v>-107577.8016249467</v>
      </c>
      <c r="R14" s="645">
        <f t="shared" si="22"/>
        <v>-120523.63106384997</v>
      </c>
      <c r="S14" s="645">
        <f t="shared" si="22"/>
        <v>-121267.63568571095</v>
      </c>
      <c r="T14" s="645">
        <f t="shared" si="22"/>
        <v>-106045.49417618898</v>
      </c>
      <c r="U14" s="645">
        <f t="shared" si="22"/>
        <v>-106197.32548760572</v>
      </c>
      <c r="V14" s="645">
        <f t="shared" si="22"/>
        <v>-127344.29906807309</v>
      </c>
      <c r="W14" s="645">
        <f t="shared" si="22"/>
        <v>-131473.23364342964</v>
      </c>
      <c r="X14" s="645">
        <f t="shared" si="22"/>
        <v>-117745.01313319631</v>
      </c>
      <c r="Y14" s="645">
        <f t="shared" si="22"/>
        <v>-108093.00609514314</v>
      </c>
      <c r="Z14" s="645">
        <f t="shared" si="22"/>
        <v>-100146.80995738377</v>
      </c>
      <c r="AA14" s="645">
        <f t="shared" si="22"/>
        <v>-96471.781160399027</v>
      </c>
      <c r="AB14" s="645">
        <f t="shared" si="22"/>
        <v>-101987.16808304144</v>
      </c>
      <c r="AC14" s="471">
        <f t="shared" ref="AC14:AC21" si="23">SUM(Q14:AB14)</f>
        <v>-1344873.1991789686</v>
      </c>
      <c r="AD14" s="262">
        <f>Temperature!B75*1000</f>
        <v>-4570289.1914465493</v>
      </c>
      <c r="AE14" s="105">
        <f t="shared" ref="AE14:AE21" si="24">P14+AC14+AD14</f>
        <v>515722481.60937446</v>
      </c>
      <c r="AF14" s="621">
        <f>'Pages 4-11, All Other Schedules'!B300</f>
        <v>515722481.60937458</v>
      </c>
      <c r="AG14" s="69">
        <f t="shared" ref="AG14:AG22" si="25">AF14-AE14</f>
        <v>0</v>
      </c>
    </row>
    <row r="15" spans="1:33" s="3" customFormat="1">
      <c r="A15" s="53" t="s">
        <v>149</v>
      </c>
      <c r="C15" s="60" t="s">
        <v>52</v>
      </c>
      <c r="D15" s="778">
        <v>105782</v>
      </c>
      <c r="E15" s="778">
        <v>105782</v>
      </c>
      <c r="F15" s="778">
        <v>105782</v>
      </c>
      <c r="G15" s="778">
        <v>105782</v>
      </c>
      <c r="H15" s="778">
        <v>105776</v>
      </c>
      <c r="I15" s="778">
        <v>105776</v>
      </c>
      <c r="J15" s="778">
        <v>105776</v>
      </c>
      <c r="K15" s="778">
        <v>105776</v>
      </c>
      <c r="L15" s="778">
        <v>105776</v>
      </c>
      <c r="M15" s="778">
        <v>105776</v>
      </c>
      <c r="N15" s="778">
        <v>105776</v>
      </c>
      <c r="O15" s="778">
        <v>105786.781812224</v>
      </c>
      <c r="P15" s="471">
        <f t="shared" si="21"/>
        <v>1269346.7818122241</v>
      </c>
      <c r="Q15" s="645">
        <f t="shared" si="22"/>
        <v>-272.72452130688185</v>
      </c>
      <c r="R15" s="645">
        <f t="shared" si="22"/>
        <v>-272.72452130688185</v>
      </c>
      <c r="S15" s="645">
        <f t="shared" si="22"/>
        <v>-272.72452130688185</v>
      </c>
      <c r="T15" s="645">
        <f t="shared" si="22"/>
        <v>-272.72452130688185</v>
      </c>
      <c r="U15" s="645">
        <f t="shared" si="22"/>
        <v>-272.70905225611864</v>
      </c>
      <c r="V15" s="645">
        <f t="shared" si="22"/>
        <v>-272.70905225611864</v>
      </c>
      <c r="W15" s="645">
        <f t="shared" si="22"/>
        <v>-272.70905225611864</v>
      </c>
      <c r="X15" s="645">
        <f t="shared" si="22"/>
        <v>-272.70905225611864</v>
      </c>
      <c r="Y15" s="645">
        <f t="shared" si="22"/>
        <v>-272.70905225611864</v>
      </c>
      <c r="Z15" s="645">
        <f t="shared" si="22"/>
        <v>-272.70905225611864</v>
      </c>
      <c r="AA15" s="645">
        <f t="shared" si="22"/>
        <v>-272.70905225611864</v>
      </c>
      <c r="AB15" s="645">
        <f t="shared" si="22"/>
        <v>-272.73684965622084</v>
      </c>
      <c r="AC15" s="471">
        <f t="shared" si="23"/>
        <v>-3272.5983006765778</v>
      </c>
      <c r="AE15" s="105">
        <f t="shared" si="24"/>
        <v>1266074.1835115475</v>
      </c>
      <c r="AF15" s="621">
        <f>'Pages 4-11, All Other Schedules'!B404</f>
        <v>1266074.4016993234</v>
      </c>
      <c r="AG15" s="69">
        <f t="shared" si="25"/>
        <v>0.21818777592852712</v>
      </c>
    </row>
    <row r="16" spans="1:33" s="3" customFormat="1">
      <c r="A16" s="53" t="s">
        <v>157</v>
      </c>
      <c r="C16" s="61" t="s">
        <v>57</v>
      </c>
      <c r="D16" s="778">
        <v>6740</v>
      </c>
      <c r="E16" s="778">
        <v>6249</v>
      </c>
      <c r="F16" s="778">
        <v>7810</v>
      </c>
      <c r="G16" s="778">
        <v>18535</v>
      </c>
      <c r="H16" s="778">
        <v>17451</v>
      </c>
      <c r="I16" s="778">
        <v>4191</v>
      </c>
      <c r="J16" s="778">
        <v>12314</v>
      </c>
      <c r="K16" s="778">
        <v>19252</v>
      </c>
      <c r="L16" s="778">
        <v>29916</v>
      </c>
      <c r="M16" s="778">
        <v>70809</v>
      </c>
      <c r="N16" s="778">
        <v>81799</v>
      </c>
      <c r="O16" s="778">
        <v>76345</v>
      </c>
      <c r="P16" s="471">
        <f t="shared" si="21"/>
        <v>351411</v>
      </c>
      <c r="Q16" s="645">
        <f t="shared" si="22"/>
        <v>-17.376900357417934</v>
      </c>
      <c r="R16" s="645">
        <f t="shared" si="22"/>
        <v>-16.111016369956186</v>
      </c>
      <c r="S16" s="645">
        <f t="shared" si="22"/>
        <v>-20.135547743536211</v>
      </c>
      <c r="T16" s="645">
        <f t="shared" si="22"/>
        <v>-47.786475982899319</v>
      </c>
      <c r="U16" s="645">
        <f t="shared" si="22"/>
        <v>-44.991734145000052</v>
      </c>
      <c r="V16" s="645">
        <f t="shared" si="22"/>
        <v>-10.805131958151122</v>
      </c>
      <c r="W16" s="645">
        <f t="shared" si="22"/>
        <v>-31.747648516505112</v>
      </c>
      <c r="X16" s="645">
        <f t="shared" si="22"/>
        <v>-49.635027549111292</v>
      </c>
      <c r="Y16" s="645">
        <f t="shared" si="22"/>
        <v>-77.128687105714377</v>
      </c>
      <c r="Z16" s="645">
        <f t="shared" si="22"/>
        <v>-182.55800258284964</v>
      </c>
      <c r="AA16" s="645">
        <f t="shared" si="22"/>
        <v>-210.89214723092428</v>
      </c>
      <c r="AB16" s="645">
        <f t="shared" si="22"/>
        <v>-196.83078008710271</v>
      </c>
      <c r="AC16" s="471">
        <f t="shared" si="23"/>
        <v>-905.99909962916831</v>
      </c>
      <c r="AE16" s="105">
        <f t="shared" si="24"/>
        <v>350505.00090037083</v>
      </c>
      <c r="AF16" s="621">
        <f>'Pages 4-11, All Other Schedules'!B510</f>
        <v>350505.00090037083</v>
      </c>
      <c r="AG16" s="69">
        <f t="shared" si="25"/>
        <v>0</v>
      </c>
    </row>
    <row r="17" spans="1:33" s="3" customFormat="1">
      <c r="A17" s="53">
        <v>33</v>
      </c>
      <c r="C17" s="60" t="s">
        <v>275</v>
      </c>
      <c r="D17" s="645">
        <v>0</v>
      </c>
      <c r="E17" s="645">
        <v>0</v>
      </c>
      <c r="F17" s="645">
        <v>0</v>
      </c>
      <c r="G17" s="645">
        <v>0</v>
      </c>
      <c r="H17" s="645">
        <v>0</v>
      </c>
      <c r="I17" s="645">
        <v>0</v>
      </c>
      <c r="J17" s="645">
        <v>0</v>
      </c>
      <c r="K17" s="645">
        <v>0</v>
      </c>
      <c r="L17" s="645">
        <v>0</v>
      </c>
      <c r="M17" s="645">
        <v>0</v>
      </c>
      <c r="N17" s="645">
        <v>0</v>
      </c>
      <c r="O17" s="645">
        <v>0</v>
      </c>
      <c r="P17" s="471">
        <f t="shared" si="21"/>
        <v>0</v>
      </c>
      <c r="Q17" s="645">
        <f t="shared" si="22"/>
        <v>0</v>
      </c>
      <c r="R17" s="645">
        <f t="shared" si="22"/>
        <v>0</v>
      </c>
      <c r="S17" s="645">
        <f t="shared" si="22"/>
        <v>0</v>
      </c>
      <c r="T17" s="645">
        <f t="shared" si="22"/>
        <v>0</v>
      </c>
      <c r="U17" s="645">
        <f t="shared" si="22"/>
        <v>0</v>
      </c>
      <c r="V17" s="645">
        <f t="shared" si="22"/>
        <v>0</v>
      </c>
      <c r="W17" s="645">
        <f t="shared" si="22"/>
        <v>0</v>
      </c>
      <c r="X17" s="645">
        <f t="shared" si="22"/>
        <v>0</v>
      </c>
      <c r="Y17" s="645">
        <f t="shared" si="22"/>
        <v>0</v>
      </c>
      <c r="Z17" s="645">
        <f t="shared" si="22"/>
        <v>0</v>
      </c>
      <c r="AA17" s="645">
        <f t="shared" si="22"/>
        <v>0</v>
      </c>
      <c r="AB17" s="645">
        <f t="shared" si="22"/>
        <v>0</v>
      </c>
      <c r="AC17" s="471">
        <f t="shared" si="23"/>
        <v>0</v>
      </c>
      <c r="AE17" s="105">
        <f t="shared" si="24"/>
        <v>0</v>
      </c>
      <c r="AF17" s="621">
        <v>0</v>
      </c>
      <c r="AG17" s="69">
        <f t="shared" si="25"/>
        <v>0</v>
      </c>
    </row>
    <row r="18" spans="1:33" s="3" customFormat="1">
      <c r="A18" s="53">
        <v>36</v>
      </c>
      <c r="C18" s="60" t="s">
        <v>53</v>
      </c>
      <c r="D18" s="776">
        <v>59590390</v>
      </c>
      <c r="E18" s="776">
        <v>61974989</v>
      </c>
      <c r="F18" s="776">
        <v>66116821</v>
      </c>
      <c r="G18" s="776">
        <v>69283404</v>
      </c>
      <c r="H18" s="776">
        <v>69605836</v>
      </c>
      <c r="I18" s="776">
        <v>71855388</v>
      </c>
      <c r="J18" s="776">
        <v>67436657</v>
      </c>
      <c r="K18" s="776">
        <v>60591662</v>
      </c>
      <c r="L18" s="776">
        <v>57662658</v>
      </c>
      <c r="M18" s="776">
        <v>55413323</v>
      </c>
      <c r="N18" s="776">
        <v>54684525</v>
      </c>
      <c r="O18" s="776">
        <v>57330602</v>
      </c>
      <c r="P18" s="471">
        <f t="shared" si="21"/>
        <v>751546255</v>
      </c>
      <c r="Q18" s="645">
        <f t="shared" si="22"/>
        <v>-153634.46131894275</v>
      </c>
      <c r="R18" s="645">
        <f t="shared" si="22"/>
        <v>-159782.37514912055</v>
      </c>
      <c r="S18" s="645">
        <f t="shared" si="22"/>
        <v>-170460.74339261686</v>
      </c>
      <c r="T18" s="645">
        <f t="shared" si="22"/>
        <v>-178624.74892147348</v>
      </c>
      <c r="U18" s="645">
        <f t="shared" si="22"/>
        <v>-179456.03508409113</v>
      </c>
      <c r="V18" s="645">
        <f t="shared" si="22"/>
        <v>-185255.77409786414</v>
      </c>
      <c r="W18" s="645">
        <f t="shared" si="22"/>
        <v>-173863.51173981759</v>
      </c>
      <c r="X18" s="645">
        <f t="shared" si="22"/>
        <v>-156215.91588491789</v>
      </c>
      <c r="Y18" s="645">
        <f t="shared" si="22"/>
        <v>-148664.43062460952</v>
      </c>
      <c r="Z18" s="645">
        <f t="shared" si="22"/>
        <v>-142865.25107483909</v>
      </c>
      <c r="AA18" s="645">
        <f t="shared" si="22"/>
        <v>-140986.28219847626</v>
      </c>
      <c r="AB18" s="645">
        <f t="shared" si="22"/>
        <v>-147808.33210456758</v>
      </c>
      <c r="AC18" s="471">
        <f t="shared" si="23"/>
        <v>-1937617.861591337</v>
      </c>
      <c r="AD18" s="262">
        <v>0</v>
      </c>
      <c r="AE18" s="105">
        <f t="shared" si="24"/>
        <v>749608637.13840866</v>
      </c>
      <c r="AF18" s="621">
        <f>'Pages 4-11, All Other Schedules'!B665</f>
        <v>749608637.13840866</v>
      </c>
      <c r="AG18" s="69">
        <f t="shared" si="25"/>
        <v>0</v>
      </c>
    </row>
    <row r="19" spans="1:33" s="3" customFormat="1">
      <c r="A19" s="53" t="s">
        <v>156</v>
      </c>
      <c r="C19" s="60" t="s">
        <v>54</v>
      </c>
      <c r="D19" s="778">
        <v>11142540</v>
      </c>
      <c r="E19" s="778">
        <v>12439440</v>
      </c>
      <c r="F19" s="778">
        <v>12841180</v>
      </c>
      <c r="G19" s="778">
        <v>13599620</v>
      </c>
      <c r="H19" s="778">
        <v>13855960</v>
      </c>
      <c r="I19" s="778">
        <v>12906800</v>
      </c>
      <c r="J19" s="778">
        <v>12470700</v>
      </c>
      <c r="K19" s="778">
        <v>11182200</v>
      </c>
      <c r="L19" s="778">
        <v>10509600</v>
      </c>
      <c r="M19" s="778">
        <v>10429100</v>
      </c>
      <c r="N19" s="778">
        <v>10399200</v>
      </c>
      <c r="O19" s="778">
        <v>10511101</v>
      </c>
      <c r="P19" s="471">
        <f t="shared" si="21"/>
        <v>142287441</v>
      </c>
      <c r="Q19" s="645">
        <f t="shared" si="22"/>
        <v>-28727.41948197977</v>
      </c>
      <c r="R19" s="645">
        <f t="shared" si="22"/>
        <v>-32071.054804462754</v>
      </c>
      <c r="S19" s="645">
        <f t="shared" si="22"/>
        <v>-33106.810880069439</v>
      </c>
      <c r="T19" s="645">
        <f t="shared" si="22"/>
        <v>-35062.202023553131</v>
      </c>
      <c r="U19" s="645">
        <f t="shared" si="22"/>
        <v>-35723.091435663002</v>
      </c>
      <c r="V19" s="645">
        <f t="shared" si="22"/>
        <v>-33275.990731917176</v>
      </c>
      <c r="W19" s="645">
        <f t="shared" si="22"/>
        <v>-32151.648558939443</v>
      </c>
      <c r="X19" s="645">
        <f t="shared" si="22"/>
        <v>-28829.669907525047</v>
      </c>
      <c r="Y19" s="645">
        <f t="shared" si="22"/>
        <v>-27095.589316961356</v>
      </c>
      <c r="Z19" s="645">
        <f t="shared" si="22"/>
        <v>-26888.04621922068</v>
      </c>
      <c r="AA19" s="645">
        <f t="shared" si="22"/>
        <v>-26810.958782917001</v>
      </c>
      <c r="AB19" s="645">
        <f t="shared" si="22"/>
        <v>-27099.459157827303</v>
      </c>
      <c r="AC19" s="471">
        <f t="shared" si="23"/>
        <v>-366841.9413010361</v>
      </c>
      <c r="AE19" s="105">
        <f t="shared" si="24"/>
        <v>141920599.05869895</v>
      </c>
      <c r="AF19" s="621">
        <f>'Pages 4-11, All Other Schedules'!B1053</f>
        <v>141920599.05869895</v>
      </c>
      <c r="AG19" s="69">
        <f t="shared" si="25"/>
        <v>0</v>
      </c>
    </row>
    <row r="20" spans="1:33" s="3" customFormat="1">
      <c r="A20" s="53" t="s">
        <v>151</v>
      </c>
      <c r="C20" s="60" t="s">
        <v>55</v>
      </c>
      <c r="D20" s="778">
        <v>186355.8</v>
      </c>
      <c r="E20" s="778">
        <v>186435.20000000001</v>
      </c>
      <c r="F20" s="778">
        <v>186327.2</v>
      </c>
      <c r="G20" s="778">
        <v>186419.4</v>
      </c>
      <c r="H20" s="778">
        <v>187430.8</v>
      </c>
      <c r="I20" s="778">
        <v>187071.2</v>
      </c>
      <c r="J20" s="778">
        <v>188142</v>
      </c>
      <c r="K20" s="778">
        <v>186267</v>
      </c>
      <c r="L20" s="778">
        <v>185767</v>
      </c>
      <c r="M20" s="778">
        <v>185310.8</v>
      </c>
      <c r="N20" s="778">
        <v>185551.8</v>
      </c>
      <c r="O20" s="778">
        <v>182339.8</v>
      </c>
      <c r="P20" s="471">
        <f t="shared" si="21"/>
        <v>2233418</v>
      </c>
      <c r="Q20" s="645">
        <f t="shared" si="22"/>
        <v>-480.45788837194436</v>
      </c>
      <c r="R20" s="645">
        <f t="shared" si="22"/>
        <v>-480.66259547704516</v>
      </c>
      <c r="S20" s="645">
        <f t="shared" si="22"/>
        <v>-480.38415256330609</v>
      </c>
      <c r="T20" s="645">
        <f t="shared" si="22"/>
        <v>-480.62186031003512</v>
      </c>
      <c r="U20" s="645">
        <f t="shared" si="22"/>
        <v>-483.22942663369867</v>
      </c>
      <c r="V20" s="645">
        <f t="shared" si="22"/>
        <v>-482.30231485795281</v>
      </c>
      <c r="W20" s="645">
        <f t="shared" si="22"/>
        <v>-485.06302478417285</v>
      </c>
      <c r="X20" s="645">
        <f t="shared" si="22"/>
        <v>-480.22894642064784</v>
      </c>
      <c r="Y20" s="645">
        <f t="shared" si="22"/>
        <v>-478.93985885704114</v>
      </c>
      <c r="Z20" s="645">
        <f t="shared" si="22"/>
        <v>-477.76369536400642</v>
      </c>
      <c r="AA20" s="645">
        <f t="shared" si="22"/>
        <v>-478.38503556966486</v>
      </c>
      <c r="AB20" s="645">
        <f t="shared" si="22"/>
        <v>-470.1039370610556</v>
      </c>
      <c r="AC20" s="471">
        <f t="shared" si="23"/>
        <v>-5758.1427362705708</v>
      </c>
      <c r="AD20" s="3">
        <v>0</v>
      </c>
      <c r="AE20" s="105">
        <f t="shared" si="24"/>
        <v>2227659.8572637294</v>
      </c>
      <c r="AF20" s="621">
        <f>'Pages 4-11, All Other Schedules'!B59</f>
        <v>2227659.8572637294</v>
      </c>
      <c r="AG20" s="69">
        <f t="shared" si="25"/>
        <v>0</v>
      </c>
    </row>
    <row r="21" spans="1:33" s="3" customFormat="1">
      <c r="A21" s="53">
        <v>54</v>
      </c>
      <c r="C21" s="60" t="s">
        <v>56</v>
      </c>
      <c r="D21" s="778">
        <v>28072</v>
      </c>
      <c r="E21" s="778">
        <v>23653</v>
      </c>
      <c r="F21" s="778">
        <v>17273</v>
      </c>
      <c r="G21" s="778">
        <v>29389</v>
      </c>
      <c r="H21" s="778">
        <v>32591</v>
      </c>
      <c r="I21" s="778">
        <v>21957</v>
      </c>
      <c r="J21" s="778">
        <v>14665</v>
      </c>
      <c r="K21" s="778">
        <v>13252</v>
      </c>
      <c r="L21" s="778">
        <v>32936</v>
      </c>
      <c r="M21" s="778">
        <v>30295</v>
      </c>
      <c r="N21" s="778">
        <v>17236</v>
      </c>
      <c r="O21" s="778">
        <v>21927</v>
      </c>
      <c r="P21" s="471">
        <f t="shared" si="21"/>
        <v>283246</v>
      </c>
      <c r="Q21" s="645">
        <f t="shared" si="22"/>
        <v>-72.374532171132984</v>
      </c>
      <c r="R21" s="645">
        <f t="shared" si="22"/>
        <v>-60.981576283977212</v>
      </c>
      <c r="S21" s="645">
        <f t="shared" si="22"/>
        <v>-44.532818972356083</v>
      </c>
      <c r="T21" s="645">
        <f t="shared" si="22"/>
        <v>-75.769988813672953</v>
      </c>
      <c r="U21" s="645">
        <f t="shared" si="22"/>
        <v>-84.02530557101008</v>
      </c>
      <c r="V21" s="645">
        <f t="shared" si="22"/>
        <v>-56.608991268223377</v>
      </c>
      <c r="W21" s="645">
        <f t="shared" si="22"/>
        <v>-37.808938240583686</v>
      </c>
      <c r="X21" s="645">
        <f t="shared" si="22"/>
        <v>-34.165976785831226</v>
      </c>
      <c r="Y21" s="645">
        <f t="shared" si="22"/>
        <v>-84.914775989898686</v>
      </c>
      <c r="Z21" s="645">
        <f t="shared" si="22"/>
        <v>-78.105815478928236</v>
      </c>
      <c r="AA21" s="645">
        <f t="shared" si="22"/>
        <v>-44.437426492649188</v>
      </c>
      <c r="AB21" s="645">
        <f t="shared" si="22"/>
        <v>-56.531646014406981</v>
      </c>
      <c r="AC21" s="471">
        <f t="shared" si="23"/>
        <v>-730.25779208267056</v>
      </c>
      <c r="AE21" s="105">
        <f t="shared" si="24"/>
        <v>282515.74220791733</v>
      </c>
      <c r="AF21" s="621">
        <f>'Pages 4-11, All Other Schedules'!B1197</f>
        <v>282515.74220791733</v>
      </c>
      <c r="AG21" s="69">
        <f t="shared" si="25"/>
        <v>0</v>
      </c>
    </row>
    <row r="22" spans="1:33" s="3" customFormat="1">
      <c r="A22" s="53"/>
      <c r="B22" s="3" t="s">
        <v>274</v>
      </c>
      <c r="C22" s="5"/>
      <c r="D22" s="471">
        <f t="shared" ref="D22:O22" si="26">SUM(D14:D21)</f>
        <v>112786215.8</v>
      </c>
      <c r="E22" s="471">
        <f t="shared" si="26"/>
        <v>121484199.2</v>
      </c>
      <c r="F22" s="471">
        <f t="shared" si="26"/>
        <v>126311422.2</v>
      </c>
      <c r="G22" s="471">
        <f t="shared" si="26"/>
        <v>124355147.40000001</v>
      </c>
      <c r="H22" s="471">
        <f t="shared" si="26"/>
        <v>124995933.8</v>
      </c>
      <c r="I22" s="471">
        <f t="shared" si="26"/>
        <v>134474375.19999999</v>
      </c>
      <c r="J22" s="471">
        <f t="shared" si="26"/>
        <v>131222941</v>
      </c>
      <c r="K22" s="471">
        <f t="shared" si="26"/>
        <v>117768314</v>
      </c>
      <c r="L22" s="471">
        <f t="shared" si="26"/>
        <v>110452822</v>
      </c>
      <c r="M22" s="471">
        <f t="shared" si="26"/>
        <v>105078681.8</v>
      </c>
      <c r="N22" s="471">
        <f t="shared" si="26"/>
        <v>102892717.8</v>
      </c>
      <c r="O22" s="471">
        <f t="shared" si="26"/>
        <v>107785991.58181222</v>
      </c>
      <c r="P22" s="471">
        <f t="shared" si="21"/>
        <v>1419608761.781812</v>
      </c>
      <c r="Q22" s="471">
        <f t="shared" ref="Q22:AF22" si="27">SUM(Q14:Q21)</f>
        <v>-290782.61626807658</v>
      </c>
      <c r="R22" s="471">
        <f t="shared" si="27"/>
        <v>-313207.54072687117</v>
      </c>
      <c r="S22" s="471">
        <f t="shared" si="27"/>
        <v>-325652.96699898335</v>
      </c>
      <c r="T22" s="471">
        <f t="shared" si="27"/>
        <v>-320609.34796762909</v>
      </c>
      <c r="U22" s="471">
        <f t="shared" si="27"/>
        <v>-322261.40752596565</v>
      </c>
      <c r="V22" s="471">
        <f t="shared" si="27"/>
        <v>-346698.48938819487</v>
      </c>
      <c r="W22" s="471">
        <f t="shared" si="27"/>
        <v>-338315.72260598402</v>
      </c>
      <c r="X22" s="471">
        <f t="shared" si="27"/>
        <v>-303627.33792865096</v>
      </c>
      <c r="Y22" s="471">
        <f t="shared" si="27"/>
        <v>-284766.71841092274</v>
      </c>
      <c r="Z22" s="471">
        <f t="shared" si="27"/>
        <v>-270911.24381712545</v>
      </c>
      <c r="AA22" s="471">
        <f t="shared" si="27"/>
        <v>-265275.44580334163</v>
      </c>
      <c r="AB22" s="471">
        <f t="shared" si="27"/>
        <v>-277891.16255825514</v>
      </c>
      <c r="AC22" s="623">
        <f t="shared" si="27"/>
        <v>-3660000.0000000009</v>
      </c>
      <c r="AD22" s="107">
        <f t="shared" si="27"/>
        <v>-4570289.1914465493</v>
      </c>
      <c r="AE22" s="107">
        <f t="shared" si="27"/>
        <v>1411378472.5903659</v>
      </c>
      <c r="AF22" s="624">
        <f t="shared" si="27"/>
        <v>1411378472.8085537</v>
      </c>
      <c r="AG22" s="69">
        <f t="shared" si="25"/>
        <v>0.21818780899047852</v>
      </c>
    </row>
    <row r="23" spans="1:33" s="3" customFormat="1">
      <c r="A23" s="53"/>
      <c r="B23" s="3" t="s">
        <v>277</v>
      </c>
      <c r="C23" s="5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1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50">
        <f>'Table 2'!G66</f>
        <v>-3660000</v>
      </c>
      <c r="AD23" s="107"/>
      <c r="AE23" s="107"/>
      <c r="AF23" s="624"/>
      <c r="AG23" s="69"/>
    </row>
    <row r="24" spans="1:33" s="3" customFormat="1">
      <c r="A24" s="53">
        <v>24</v>
      </c>
      <c r="C24" s="60" t="s">
        <v>51</v>
      </c>
      <c r="D24" s="778">
        <v>1313969</v>
      </c>
      <c r="E24" s="778">
        <v>1378432</v>
      </c>
      <c r="F24" s="778">
        <v>1515214</v>
      </c>
      <c r="G24" s="778">
        <v>1418232</v>
      </c>
      <c r="H24" s="778">
        <v>1426300</v>
      </c>
      <c r="I24" s="778">
        <v>1750991</v>
      </c>
      <c r="J24" s="778">
        <v>1766079</v>
      </c>
      <c r="K24" s="778">
        <v>1586708</v>
      </c>
      <c r="L24" s="778">
        <v>1407423</v>
      </c>
      <c r="M24" s="778">
        <v>1435844</v>
      </c>
      <c r="N24" s="778">
        <v>1199307</v>
      </c>
      <c r="O24" s="778">
        <v>1221601</v>
      </c>
      <c r="P24" s="471">
        <f t="shared" ref="P24:P32" si="28">SUM(D24:O24)</f>
        <v>17420100</v>
      </c>
      <c r="Q24" s="645">
        <f t="shared" ref="Q24:AB31" ca="1" si="29">D24/$P$32*$AC$33</f>
        <v>18027.228847412745</v>
      </c>
      <c r="R24" s="645">
        <f t="shared" ca="1" si="29"/>
        <v>18911.64031616944</v>
      </c>
      <c r="S24" s="645">
        <f t="shared" ca="1" si="29"/>
        <v>20788.245027701305</v>
      </c>
      <c r="T24" s="645">
        <f t="shared" ca="1" si="29"/>
        <v>19457.68341773959</v>
      </c>
      <c r="U24" s="645">
        <f t="shared" ca="1" si="29"/>
        <v>19568.373763052856</v>
      </c>
      <c r="V24" s="645">
        <f t="shared" ca="1" si="29"/>
        <v>24023.02905681952</v>
      </c>
      <c r="W24" s="645">
        <f t="shared" ca="1" si="29"/>
        <v>24230.031527083098</v>
      </c>
      <c r="X24" s="645">
        <f t="shared" ca="1" si="29"/>
        <v>21769.11953784342</v>
      </c>
      <c r="Y24" s="645">
        <f t="shared" ca="1" si="29"/>
        <v>19309.387440732764</v>
      </c>
      <c r="Z24" s="645">
        <f t="shared" ca="1" si="29"/>
        <v>19699.314350022341</v>
      </c>
      <c r="AA24" s="645">
        <f t="shared" ca="1" si="29"/>
        <v>16454.1033672058</v>
      </c>
      <c r="AB24" s="645">
        <f t="shared" ca="1" si="29"/>
        <v>16759.969822140596</v>
      </c>
      <c r="AC24" s="471">
        <f t="shared" ref="AC24:AC31" ca="1" si="30">SUM(Q24:AB24)</f>
        <v>238998.12647392348</v>
      </c>
      <c r="AE24" s="105">
        <f t="shared" ref="AE24:AE31" ca="1" si="31">P24+AC24+AD24</f>
        <v>17659098.126473922</v>
      </c>
      <c r="AF24" s="621">
        <f ca="1">'Pages 4-11, All Other Schedules'!B334</f>
        <v>17659098.126473922</v>
      </c>
      <c r="AG24" s="69">
        <f t="shared" ref="AG24:AG32" ca="1" si="32">AF24-AE24</f>
        <v>0</v>
      </c>
    </row>
    <row r="25" spans="1:33" s="3" customFormat="1">
      <c r="A25" s="53" t="s">
        <v>149</v>
      </c>
      <c r="C25" s="60" t="s">
        <v>52</v>
      </c>
      <c r="D25" s="778">
        <v>2776</v>
      </c>
      <c r="E25" s="778">
        <v>2776</v>
      </c>
      <c r="F25" s="778">
        <v>2776</v>
      </c>
      <c r="G25" s="778">
        <v>2776</v>
      </c>
      <c r="H25" s="778">
        <v>2776</v>
      </c>
      <c r="I25" s="778">
        <v>2776</v>
      </c>
      <c r="J25" s="778">
        <v>2776</v>
      </c>
      <c r="K25" s="778">
        <v>2776</v>
      </c>
      <c r="L25" s="778">
        <v>2776</v>
      </c>
      <c r="M25" s="778">
        <v>2776</v>
      </c>
      <c r="N25" s="778">
        <v>2776</v>
      </c>
      <c r="O25" s="778">
        <v>2777</v>
      </c>
      <c r="P25" s="471">
        <f t="shared" si="28"/>
        <v>33313</v>
      </c>
      <c r="Q25" s="645">
        <f t="shared" ca="1" si="29"/>
        <v>38.08582035072196</v>
      </c>
      <c r="R25" s="645">
        <f t="shared" ca="1" si="29"/>
        <v>38.08582035072196</v>
      </c>
      <c r="S25" s="645">
        <f t="shared" ca="1" si="29"/>
        <v>38.08582035072196</v>
      </c>
      <c r="T25" s="645">
        <f t="shared" ca="1" si="29"/>
        <v>38.08582035072196</v>
      </c>
      <c r="U25" s="645">
        <f t="shared" ca="1" si="29"/>
        <v>38.08582035072196</v>
      </c>
      <c r="V25" s="645">
        <f t="shared" ca="1" si="29"/>
        <v>38.08582035072196</v>
      </c>
      <c r="W25" s="645">
        <f t="shared" ca="1" si="29"/>
        <v>38.08582035072196</v>
      </c>
      <c r="X25" s="645">
        <f t="shared" ca="1" si="29"/>
        <v>38.08582035072196</v>
      </c>
      <c r="Y25" s="645">
        <f t="shared" ca="1" si="29"/>
        <v>38.08582035072196</v>
      </c>
      <c r="Z25" s="645">
        <f t="shared" ca="1" si="29"/>
        <v>38.08582035072196</v>
      </c>
      <c r="AA25" s="645">
        <f t="shared" ca="1" si="29"/>
        <v>38.08582035072196</v>
      </c>
      <c r="AB25" s="645">
        <f t="shared" ca="1" si="29"/>
        <v>38.099540026640803</v>
      </c>
      <c r="AC25" s="471">
        <f t="shared" ca="1" si="30"/>
        <v>457.04356388458245</v>
      </c>
      <c r="AE25" s="105">
        <f t="shared" ca="1" si="31"/>
        <v>33770.043563884581</v>
      </c>
      <c r="AF25" s="621">
        <f ca="1">'Pages 4-11, All Other Schedules'!B439</f>
        <v>33770.043563884581</v>
      </c>
      <c r="AG25" s="69">
        <f t="shared" ca="1" si="32"/>
        <v>0</v>
      </c>
    </row>
    <row r="26" spans="1:33" s="3" customFormat="1">
      <c r="A26" s="53" t="s">
        <v>157</v>
      </c>
      <c r="C26" s="60" t="s">
        <v>57</v>
      </c>
      <c r="D26" s="778">
        <v>296</v>
      </c>
      <c r="E26" s="778">
        <v>1392</v>
      </c>
      <c r="F26" s="778">
        <v>702</v>
      </c>
      <c r="G26" s="778">
        <v>729</v>
      </c>
      <c r="H26" s="778">
        <v>18</v>
      </c>
      <c r="I26" s="778">
        <v>17</v>
      </c>
      <c r="J26" s="778">
        <v>18</v>
      </c>
      <c r="K26" s="778">
        <v>15</v>
      </c>
      <c r="L26" s="778">
        <v>463</v>
      </c>
      <c r="M26" s="778">
        <v>627</v>
      </c>
      <c r="N26" s="778">
        <v>548</v>
      </c>
      <c r="O26" s="778">
        <v>1242</v>
      </c>
      <c r="P26" s="471">
        <f t="shared" si="28"/>
        <v>6067</v>
      </c>
      <c r="Q26" s="645">
        <f t="shared" ca="1" si="29"/>
        <v>4.0610240719789985</v>
      </c>
      <c r="R26" s="645">
        <f t="shared" ca="1" si="29"/>
        <v>19.097788879036369</v>
      </c>
      <c r="S26" s="645">
        <f t="shared" ca="1" si="29"/>
        <v>9.6312124950312725</v>
      </c>
      <c r="T26" s="645">
        <f t="shared" ca="1" si="29"/>
        <v>10.001643744840168</v>
      </c>
      <c r="U26" s="645">
        <f t="shared" ca="1" si="29"/>
        <v>0.24695416653926341</v>
      </c>
      <c r="V26" s="645">
        <f t="shared" ca="1" si="29"/>
        <v>0.23323449062041543</v>
      </c>
      <c r="W26" s="645">
        <f t="shared" ca="1" si="29"/>
        <v>0.24695416653926341</v>
      </c>
      <c r="X26" s="645">
        <f t="shared" ca="1" si="29"/>
        <v>0.20579513878271952</v>
      </c>
      <c r="Y26" s="645">
        <f t="shared" ca="1" si="29"/>
        <v>6.3522099504266087</v>
      </c>
      <c r="Z26" s="645">
        <f t="shared" ca="1" si="29"/>
        <v>8.6022368011176749</v>
      </c>
      <c r="AA26" s="645">
        <f t="shared" ca="1" si="29"/>
        <v>7.518382403528685</v>
      </c>
      <c r="AB26" s="645">
        <f t="shared" ca="1" si="29"/>
        <v>17.039837491209177</v>
      </c>
      <c r="AC26" s="471">
        <f t="shared" ca="1" si="30"/>
        <v>83.237273799650609</v>
      </c>
      <c r="AE26" s="105">
        <f t="shared" ca="1" si="31"/>
        <v>6150.2372737996502</v>
      </c>
      <c r="AF26" s="621">
        <f ca="1">'Pages 4-11, All Other Schedules'!B545</f>
        <v>6150.2372737996502</v>
      </c>
      <c r="AG26" s="69">
        <f t="shared" ca="1" si="32"/>
        <v>0</v>
      </c>
    </row>
    <row r="27" spans="1:33" s="3" customFormat="1">
      <c r="A27" s="53">
        <v>36</v>
      </c>
      <c r="C27" s="60" t="s">
        <v>53</v>
      </c>
      <c r="D27" s="778">
        <v>8622400</v>
      </c>
      <c r="E27" s="778">
        <v>9431200</v>
      </c>
      <c r="F27" s="778">
        <v>10854620</v>
      </c>
      <c r="G27" s="778">
        <v>11058740</v>
      </c>
      <c r="H27" s="778">
        <v>10855040</v>
      </c>
      <c r="I27" s="778">
        <v>10012440</v>
      </c>
      <c r="J27" s="778">
        <v>8907200</v>
      </c>
      <c r="K27" s="778">
        <v>8368080</v>
      </c>
      <c r="L27" s="778">
        <v>8266880</v>
      </c>
      <c r="M27" s="778">
        <v>7780800</v>
      </c>
      <c r="N27" s="778">
        <v>7694300</v>
      </c>
      <c r="O27" s="778">
        <v>7740484</v>
      </c>
      <c r="P27" s="471">
        <f t="shared" si="28"/>
        <v>109592184</v>
      </c>
      <c r="Q27" s="645">
        <f t="shared" ca="1" si="29"/>
        <v>118296.53364267471</v>
      </c>
      <c r="R27" s="645">
        <f t="shared" ca="1" si="29"/>
        <v>129393.00752583894</v>
      </c>
      <c r="S27" s="645">
        <f t="shared" ca="1" si="29"/>
        <v>148921.8686222455</v>
      </c>
      <c r="T27" s="645">
        <f t="shared" ca="1" si="29"/>
        <v>151722.32887080076</v>
      </c>
      <c r="U27" s="645">
        <f t="shared" ca="1" si="29"/>
        <v>148927.63088613143</v>
      </c>
      <c r="V27" s="645">
        <f t="shared" ca="1" si="29"/>
        <v>137367.43195691012</v>
      </c>
      <c r="W27" s="645">
        <f t="shared" ca="1" si="29"/>
        <v>122203.89734436262</v>
      </c>
      <c r="X27" s="645">
        <f t="shared" ca="1" si="29"/>
        <v>114807.34566299329</v>
      </c>
      <c r="Y27" s="645">
        <f t="shared" ca="1" si="29"/>
        <v>113418.91446000588</v>
      </c>
      <c r="Z27" s="645">
        <f t="shared" ca="1" si="29"/>
        <v>106750.05438937226</v>
      </c>
      <c r="AA27" s="645">
        <f t="shared" ca="1" si="29"/>
        <v>105563.30242239191</v>
      </c>
      <c r="AB27" s="645">
        <f t="shared" ca="1" si="29"/>
        <v>106196.93193502797</v>
      </c>
      <c r="AC27" s="471">
        <f t="shared" ca="1" si="30"/>
        <v>1503569.2477187554</v>
      </c>
      <c r="AE27" s="105">
        <f t="shared" ca="1" si="31"/>
        <v>111095753.24771875</v>
      </c>
      <c r="AF27" s="621">
        <f ca="1">'Pages 4-11, All Other Schedules'!B703</f>
        <v>111095753.24771875</v>
      </c>
      <c r="AG27" s="69">
        <f t="shared" ca="1" si="32"/>
        <v>0</v>
      </c>
    </row>
    <row r="28" spans="1:33" s="3" customFormat="1">
      <c r="A28" s="53">
        <v>47</v>
      </c>
      <c r="C28" s="60" t="s">
        <v>167</v>
      </c>
      <c r="D28" s="778">
        <v>150000</v>
      </c>
      <c r="E28" s="778">
        <v>112000</v>
      </c>
      <c r="F28" s="778">
        <v>228000</v>
      </c>
      <c r="G28" s="778">
        <v>112000</v>
      </c>
      <c r="H28" s="778">
        <v>109000</v>
      </c>
      <c r="I28" s="778">
        <v>382000</v>
      </c>
      <c r="J28" s="778">
        <v>118000</v>
      </c>
      <c r="K28" s="778">
        <v>168000</v>
      </c>
      <c r="L28" s="778">
        <v>57000</v>
      </c>
      <c r="M28" s="778">
        <v>71000</v>
      </c>
      <c r="N28" s="778">
        <v>118000</v>
      </c>
      <c r="O28" s="778">
        <v>86000</v>
      </c>
      <c r="P28" s="471">
        <f t="shared" si="28"/>
        <v>1711000</v>
      </c>
      <c r="Q28" s="645">
        <f t="shared" ca="1" si="29"/>
        <v>2057.951387827195</v>
      </c>
      <c r="R28" s="645">
        <f t="shared" ca="1" si="29"/>
        <v>1536.6037029109723</v>
      </c>
      <c r="S28" s="645">
        <f t="shared" ca="1" si="29"/>
        <v>3128.0861094973361</v>
      </c>
      <c r="T28" s="645">
        <f t="shared" ca="1" si="29"/>
        <v>1536.6037029109723</v>
      </c>
      <c r="U28" s="645">
        <f t="shared" ca="1" si="29"/>
        <v>1495.4446751544283</v>
      </c>
      <c r="V28" s="645">
        <f t="shared" ca="1" si="29"/>
        <v>5240.9162009999236</v>
      </c>
      <c r="W28" s="645">
        <f t="shared" ca="1" si="29"/>
        <v>1618.92175842406</v>
      </c>
      <c r="X28" s="645">
        <f t="shared" ca="1" si="29"/>
        <v>2304.9055543664585</v>
      </c>
      <c r="Y28" s="645">
        <f t="shared" ca="1" si="29"/>
        <v>782.02152737433403</v>
      </c>
      <c r="Z28" s="645">
        <f t="shared" ca="1" si="29"/>
        <v>974.09699023820576</v>
      </c>
      <c r="AA28" s="645">
        <f t="shared" ca="1" si="29"/>
        <v>1618.92175842406</v>
      </c>
      <c r="AB28" s="645">
        <f t="shared" ca="1" si="29"/>
        <v>1179.892129020925</v>
      </c>
      <c r="AC28" s="471">
        <f t="shared" ca="1" si="30"/>
        <v>23474.365497148876</v>
      </c>
      <c r="AE28" s="105">
        <f t="shared" ca="1" si="31"/>
        <v>1734474.3654971488</v>
      </c>
      <c r="AF28" s="621">
        <f ca="1">'Pages 4-11, All Other Schedules'!B885</f>
        <v>1734474.3654971488</v>
      </c>
      <c r="AG28" s="69">
        <f t="shared" ca="1" si="32"/>
        <v>0</v>
      </c>
    </row>
    <row r="29" spans="1:33" s="3" customFormat="1">
      <c r="A29" s="53" t="s">
        <v>592</v>
      </c>
      <c r="C29" s="60" t="s">
        <v>593</v>
      </c>
      <c r="D29" s="778">
        <v>38826000</v>
      </c>
      <c r="E29" s="778">
        <v>39852000</v>
      </c>
      <c r="F29" s="778">
        <v>39996000</v>
      </c>
      <c r="G29" s="778">
        <v>38592000</v>
      </c>
      <c r="H29" s="778">
        <v>39456000</v>
      </c>
      <c r="I29" s="778">
        <v>39420000</v>
      </c>
      <c r="J29" s="778">
        <v>40878000</v>
      </c>
      <c r="K29" s="778">
        <v>40176000</v>
      </c>
      <c r="L29" s="778">
        <v>37710000</v>
      </c>
      <c r="M29" s="778">
        <v>39456000</v>
      </c>
      <c r="N29" s="778">
        <v>32616000</v>
      </c>
      <c r="O29" s="778">
        <v>40536000</v>
      </c>
      <c r="P29" s="471">
        <f t="shared" si="28"/>
        <v>467514000</v>
      </c>
      <c r="Q29" s="645">
        <f t="shared" ca="1" si="29"/>
        <v>532680.13722519123</v>
      </c>
      <c r="R29" s="645">
        <f t="shared" ca="1" si="29"/>
        <v>546756.52471792919</v>
      </c>
      <c r="S29" s="645">
        <f t="shared" ca="1" si="29"/>
        <v>548732.15805024328</v>
      </c>
      <c r="T29" s="645">
        <f t="shared" ca="1" si="29"/>
        <v>529469.73306018068</v>
      </c>
      <c r="U29" s="645">
        <f t="shared" ca="1" si="29"/>
        <v>541323.53305406542</v>
      </c>
      <c r="V29" s="645">
        <f t="shared" ca="1" si="29"/>
        <v>540829.62472098682</v>
      </c>
      <c r="W29" s="645">
        <f t="shared" ca="1" si="29"/>
        <v>560832.91221066716</v>
      </c>
      <c r="X29" s="645">
        <f t="shared" ca="1" si="29"/>
        <v>551201.69971563597</v>
      </c>
      <c r="Y29" s="645">
        <f t="shared" ca="1" si="29"/>
        <v>517368.9788997568</v>
      </c>
      <c r="Z29" s="645">
        <f t="shared" ca="1" si="29"/>
        <v>541323.53305406542</v>
      </c>
      <c r="AA29" s="645">
        <f t="shared" ca="1" si="29"/>
        <v>447480.94976914529</v>
      </c>
      <c r="AB29" s="645">
        <f t="shared" ca="1" si="29"/>
        <v>556140.78304642113</v>
      </c>
      <c r="AC29" s="471">
        <f t="shared" ca="1" si="30"/>
        <v>6414140.5675242878</v>
      </c>
      <c r="AE29" s="105">
        <f t="shared" ca="1" si="31"/>
        <v>473928140.56752431</v>
      </c>
      <c r="AF29" s="621">
        <f ca="1">'Pages 4-11, All Other Schedules'!B1091</f>
        <v>473928140.56752431</v>
      </c>
      <c r="AG29" s="69">
        <f t="shared" ca="1" si="32"/>
        <v>0</v>
      </c>
    </row>
    <row r="30" spans="1:33" s="3" customFormat="1">
      <c r="A30" s="53" t="s">
        <v>156</v>
      </c>
      <c r="C30" s="60" t="s">
        <v>54</v>
      </c>
      <c r="D30" s="778">
        <v>17910500</v>
      </c>
      <c r="E30" s="778">
        <v>18348200</v>
      </c>
      <c r="F30" s="778">
        <v>17859700</v>
      </c>
      <c r="G30" s="778">
        <v>17958750</v>
      </c>
      <c r="H30" s="778">
        <v>21240000</v>
      </c>
      <c r="I30" s="778">
        <v>16919000</v>
      </c>
      <c r="J30" s="778">
        <v>16571750</v>
      </c>
      <c r="K30" s="778">
        <v>16909950</v>
      </c>
      <c r="L30" s="778">
        <v>17133200</v>
      </c>
      <c r="M30" s="778">
        <v>17298650</v>
      </c>
      <c r="N30" s="778">
        <v>17208550</v>
      </c>
      <c r="O30" s="778">
        <v>18146702</v>
      </c>
      <c r="P30" s="471">
        <f t="shared" si="28"/>
        <v>213504952</v>
      </c>
      <c r="Q30" s="645">
        <f t="shared" ca="1" si="29"/>
        <v>245726.25554452653</v>
      </c>
      <c r="R30" s="645">
        <f t="shared" ca="1" si="29"/>
        <v>251731.35769420626</v>
      </c>
      <c r="S30" s="645">
        <f t="shared" ca="1" si="29"/>
        <v>245029.29600784901</v>
      </c>
      <c r="T30" s="645">
        <f t="shared" ca="1" si="29"/>
        <v>246388.22990761095</v>
      </c>
      <c r="U30" s="645">
        <f t="shared" ca="1" si="29"/>
        <v>291405.91651633079</v>
      </c>
      <c r="V30" s="645">
        <f t="shared" ca="1" si="29"/>
        <v>232123.19687098873</v>
      </c>
      <c r="W30" s="645">
        <f t="shared" ca="1" si="29"/>
        <v>227359.03940816878</v>
      </c>
      <c r="X30" s="645">
        <f t="shared" ca="1" si="29"/>
        <v>231999.03380392317</v>
      </c>
      <c r="Y30" s="645">
        <f t="shared" ca="1" si="29"/>
        <v>235061.95145280598</v>
      </c>
      <c r="Z30" s="645">
        <f t="shared" ca="1" si="29"/>
        <v>237331.87183357938</v>
      </c>
      <c r="AA30" s="645">
        <f t="shared" ca="1" si="29"/>
        <v>236095.72903329117</v>
      </c>
      <c r="AB30" s="645">
        <f t="shared" ca="1" si="29"/>
        <v>248966.87043591021</v>
      </c>
      <c r="AC30" s="471">
        <f t="shared" ca="1" si="30"/>
        <v>2929218.748509191</v>
      </c>
      <c r="AE30" s="105">
        <f t="shared" ca="1" si="31"/>
        <v>216434170.7485092</v>
      </c>
      <c r="AF30" s="621">
        <f ca="1">'Pages 4-11, All Other Schedules'!B1072</f>
        <v>216434170.7485092</v>
      </c>
      <c r="AG30" s="69">
        <f t="shared" ca="1" si="32"/>
        <v>0</v>
      </c>
    </row>
    <row r="31" spans="1:33" s="3" customFormat="1">
      <c r="A31" s="53" t="s">
        <v>151</v>
      </c>
      <c r="C31" s="60" t="s">
        <v>55</v>
      </c>
      <c r="D31" s="778">
        <v>12587</v>
      </c>
      <c r="E31" s="778">
        <v>12587</v>
      </c>
      <c r="F31" s="778">
        <v>12587</v>
      </c>
      <c r="G31" s="778">
        <v>12427</v>
      </c>
      <c r="H31" s="778">
        <v>12427</v>
      </c>
      <c r="I31" s="778">
        <v>12296.6</v>
      </c>
      <c r="J31" s="778">
        <v>12296.6</v>
      </c>
      <c r="K31" s="778">
        <v>12644.6</v>
      </c>
      <c r="L31" s="778">
        <v>12587</v>
      </c>
      <c r="M31" s="778">
        <v>12556.6</v>
      </c>
      <c r="N31" s="778">
        <v>12587</v>
      </c>
      <c r="O31" s="778">
        <v>12468.5</v>
      </c>
      <c r="P31" s="471">
        <f t="shared" si="28"/>
        <v>150051.90000000002</v>
      </c>
      <c r="Q31" s="645">
        <f t="shared" ca="1" si="29"/>
        <v>172.68956079053936</v>
      </c>
      <c r="R31" s="645">
        <f t="shared" ca="1" si="29"/>
        <v>172.68956079053936</v>
      </c>
      <c r="S31" s="645">
        <f t="shared" ca="1" si="29"/>
        <v>172.68956079053936</v>
      </c>
      <c r="T31" s="645">
        <f t="shared" ca="1" si="29"/>
        <v>170.49441264352367</v>
      </c>
      <c r="U31" s="645">
        <f t="shared" ca="1" si="29"/>
        <v>170.49441264352367</v>
      </c>
      <c r="V31" s="645">
        <f t="shared" ca="1" si="29"/>
        <v>168.70536690370591</v>
      </c>
      <c r="W31" s="645">
        <f t="shared" ca="1" si="29"/>
        <v>168.70536690370591</v>
      </c>
      <c r="X31" s="645">
        <f t="shared" ca="1" si="29"/>
        <v>173.47981412346499</v>
      </c>
      <c r="Y31" s="645">
        <f t="shared" ca="1" si="29"/>
        <v>172.68956079053936</v>
      </c>
      <c r="Z31" s="645">
        <f t="shared" ca="1" si="29"/>
        <v>172.27248264260638</v>
      </c>
      <c r="AA31" s="645">
        <f t="shared" ca="1" si="29"/>
        <v>172.68956079053936</v>
      </c>
      <c r="AB31" s="645">
        <f t="shared" ca="1" si="29"/>
        <v>171.06377919415587</v>
      </c>
      <c r="AC31" s="471">
        <f t="shared" ca="1" si="30"/>
        <v>2058.6634390073832</v>
      </c>
      <c r="AE31" s="105">
        <f t="shared" ca="1" si="31"/>
        <v>152110.56343900741</v>
      </c>
      <c r="AF31" s="621">
        <f ca="1">'Pages 4-11, All Other Schedules'!B77</f>
        <v>152110.66343900739</v>
      </c>
      <c r="AG31" s="69">
        <f t="shared" ca="1" si="32"/>
        <v>9.9999999976716936E-2</v>
      </c>
    </row>
    <row r="32" spans="1:33" s="3" customFormat="1">
      <c r="A32" s="53"/>
      <c r="B32" s="3" t="s">
        <v>277</v>
      </c>
      <c r="C32" s="60"/>
      <c r="D32" s="471">
        <f t="shared" ref="D32:O32" si="33">SUM(D24:D31)</f>
        <v>66838528</v>
      </c>
      <c r="E32" s="471">
        <f t="shared" si="33"/>
        <v>69138587</v>
      </c>
      <c r="F32" s="471">
        <f t="shared" si="33"/>
        <v>70469599</v>
      </c>
      <c r="G32" s="471">
        <f t="shared" si="33"/>
        <v>69155654</v>
      </c>
      <c r="H32" s="471">
        <f t="shared" si="33"/>
        <v>73101561</v>
      </c>
      <c r="I32" s="471">
        <f t="shared" si="33"/>
        <v>68499520.599999994</v>
      </c>
      <c r="J32" s="471">
        <f t="shared" si="33"/>
        <v>68256119.599999994</v>
      </c>
      <c r="K32" s="471">
        <f t="shared" si="33"/>
        <v>67224173.599999994</v>
      </c>
      <c r="L32" s="471">
        <f t="shared" si="33"/>
        <v>64590329</v>
      </c>
      <c r="M32" s="471">
        <f t="shared" si="33"/>
        <v>66058253.600000001</v>
      </c>
      <c r="N32" s="471">
        <f t="shared" si="33"/>
        <v>58852068</v>
      </c>
      <c r="O32" s="471">
        <f t="shared" si="33"/>
        <v>67747274.5</v>
      </c>
      <c r="P32" s="471">
        <f t="shared" si="28"/>
        <v>809931667.9000001</v>
      </c>
      <c r="Q32" s="471">
        <f t="shared" ref="Q32:AF32" ca="1" si="34">SUM(Q24:Q31)</f>
        <v>917002.94305284566</v>
      </c>
      <c r="R32" s="471">
        <f t="shared" ca="1" si="34"/>
        <v>948559.00712707511</v>
      </c>
      <c r="S32" s="471">
        <f t="shared" ca="1" si="34"/>
        <v>966820.06041117269</v>
      </c>
      <c r="T32" s="471">
        <f t="shared" ca="1" si="34"/>
        <v>948793.16083598195</v>
      </c>
      <c r="U32" s="471">
        <f t="shared" ca="1" si="34"/>
        <v>1002929.7260818956</v>
      </c>
      <c r="V32" s="471">
        <f t="shared" ca="1" si="34"/>
        <v>939791.22322845017</v>
      </c>
      <c r="W32" s="471">
        <f t="shared" ca="1" si="34"/>
        <v>936451.84039012669</v>
      </c>
      <c r="X32" s="471">
        <f t="shared" ca="1" si="34"/>
        <v>922293.87570437533</v>
      </c>
      <c r="Y32" s="471">
        <f t="shared" ca="1" si="34"/>
        <v>886158.38137176749</v>
      </c>
      <c r="Z32" s="471">
        <f t="shared" ca="1" si="34"/>
        <v>906297.83115707198</v>
      </c>
      <c r="AA32" s="471">
        <f t="shared" ca="1" si="34"/>
        <v>807431.30011400301</v>
      </c>
      <c r="AB32" s="471">
        <f t="shared" ca="1" si="34"/>
        <v>929470.65052523278</v>
      </c>
      <c r="AC32" s="628">
        <f t="shared" ca="1" si="34"/>
        <v>11111999.999999998</v>
      </c>
      <c r="AD32" s="107">
        <f t="shared" si="34"/>
        <v>0</v>
      </c>
      <c r="AE32" s="107">
        <f t="shared" ca="1" si="34"/>
        <v>821043667.89999998</v>
      </c>
      <c r="AF32" s="624">
        <f t="shared" ca="1" si="34"/>
        <v>821043668</v>
      </c>
      <c r="AG32" s="69">
        <f t="shared" ca="1" si="32"/>
        <v>0.10000002384185791</v>
      </c>
    </row>
    <row r="33" spans="1:33" s="3" customFormat="1">
      <c r="A33" s="53"/>
      <c r="B33" s="60" t="s">
        <v>279</v>
      </c>
      <c r="D33" s="645"/>
      <c r="E33" s="645"/>
      <c r="F33" s="645"/>
      <c r="G33" s="645"/>
      <c r="H33" s="645"/>
      <c r="I33" s="645"/>
      <c r="J33" s="645"/>
      <c r="K33" s="645"/>
      <c r="L33" s="645"/>
      <c r="M33" s="645"/>
      <c r="N33" s="645"/>
      <c r="O33" s="645"/>
      <c r="P33" s="471"/>
      <c r="Q33" s="20"/>
      <c r="R33" s="645"/>
      <c r="S33" s="645"/>
      <c r="T33" s="645"/>
      <c r="U33" s="645"/>
      <c r="V33" s="645"/>
      <c r="W33" s="645"/>
      <c r="X33" s="645"/>
      <c r="Y33" s="645"/>
      <c r="Z33" s="645"/>
      <c r="AA33" s="645"/>
      <c r="AB33" s="645"/>
      <c r="AC33" s="471">
        <f ca="1">'Table 2'!G95</f>
        <v>11112000</v>
      </c>
      <c r="AE33" s="105"/>
      <c r="AF33" s="621"/>
      <c r="AG33" s="69"/>
    </row>
    <row r="34" spans="1:33" s="3" customFormat="1">
      <c r="A34" s="53">
        <v>40</v>
      </c>
      <c r="C34" s="60" t="s">
        <v>58</v>
      </c>
      <c r="D34" s="778">
        <v>27113388</v>
      </c>
      <c r="E34" s="778">
        <v>30266693</v>
      </c>
      <c r="F34" s="778">
        <v>28206865</v>
      </c>
      <c r="G34" s="778">
        <v>15966867</v>
      </c>
      <c r="H34" s="778">
        <v>3312561</v>
      </c>
      <c r="I34" s="778">
        <v>536122</v>
      </c>
      <c r="J34" s="778">
        <v>453348</v>
      </c>
      <c r="K34" s="778">
        <v>435296</v>
      </c>
      <c r="L34" s="778">
        <v>923745</v>
      </c>
      <c r="M34" s="778">
        <v>4825794</v>
      </c>
      <c r="N34" s="778">
        <v>14489955</v>
      </c>
      <c r="O34" s="778">
        <v>21346332</v>
      </c>
      <c r="P34" s="471">
        <f>SUM(D34:O34)</f>
        <v>147876966</v>
      </c>
      <c r="Q34" s="645">
        <f t="shared" ref="Q34:AB35" ca="1" si="35">D34/$P$36*$AC$37</f>
        <v>416575.10127982486</v>
      </c>
      <c r="R34" s="645">
        <f t="shared" ca="1" si="35"/>
        <v>465023.06173910707</v>
      </c>
      <c r="S34" s="645">
        <f t="shared" ca="1" si="35"/>
        <v>433375.48388129682</v>
      </c>
      <c r="T34" s="645">
        <f t="shared" ca="1" si="35"/>
        <v>245317.89378909391</v>
      </c>
      <c r="U34" s="645">
        <f t="shared" ca="1" si="35"/>
        <v>50894.799059069926</v>
      </c>
      <c r="V34" s="645">
        <f t="shared" ca="1" si="35"/>
        <v>8237.077433788143</v>
      </c>
      <c r="W34" s="645">
        <f t="shared" ca="1" si="35"/>
        <v>6965.3224088043162</v>
      </c>
      <c r="X34" s="645">
        <f t="shared" ca="1" si="35"/>
        <v>6687.9681464633868</v>
      </c>
      <c r="Y34" s="645">
        <f t="shared" ca="1" si="35"/>
        <v>14192.588802687875</v>
      </c>
      <c r="Z34" s="645">
        <f t="shared" ca="1" si="35"/>
        <v>74144.390376649753</v>
      </c>
      <c r="AA34" s="645">
        <f t="shared" ca="1" si="35"/>
        <v>222626.34502427749</v>
      </c>
      <c r="AB34" s="645">
        <f t="shared" ca="1" si="35"/>
        <v>327968.98767696484</v>
      </c>
      <c r="AC34" s="471">
        <f ca="1">SUM(Q34:AB34)</f>
        <v>2272009.0196180283</v>
      </c>
      <c r="AD34" s="262">
        <f>Temperature!B92*1000</f>
        <v>-2078487.6356633904</v>
      </c>
      <c r="AE34" s="105">
        <f ca="1">P34+AC34+AD34</f>
        <v>148070487.38395464</v>
      </c>
      <c r="AF34" s="621">
        <f ca="1">'Pages 4-11, All Other Schedules'!B810</f>
        <v>148070487.38395464</v>
      </c>
      <c r="AG34" s="69">
        <f ca="1">AF34-AE34</f>
        <v>0</v>
      </c>
    </row>
    <row r="35" spans="1:33" s="3" customFormat="1">
      <c r="A35" s="53" t="s">
        <v>158</v>
      </c>
      <c r="C35" s="60" t="s">
        <v>59</v>
      </c>
      <c r="D35" s="778">
        <v>899643</v>
      </c>
      <c r="E35" s="778">
        <v>1011477</v>
      </c>
      <c r="F35" s="778">
        <v>979207</v>
      </c>
      <c r="G35" s="778">
        <v>596030</v>
      </c>
      <c r="H35" s="778">
        <v>238388</v>
      </c>
      <c r="I35" s="778">
        <v>62043</v>
      </c>
      <c r="J35" s="778">
        <v>90691</v>
      </c>
      <c r="K35" s="778">
        <v>73926</v>
      </c>
      <c r="L35" s="778">
        <v>29710</v>
      </c>
      <c r="M35" s="778">
        <v>134712</v>
      </c>
      <c r="N35" s="778">
        <v>582274</v>
      </c>
      <c r="O35" s="778">
        <v>703486</v>
      </c>
      <c r="P35" s="471">
        <f>SUM(D35:O35)</f>
        <v>5401587</v>
      </c>
      <c r="Q35" s="645">
        <f t="shared" ca="1" si="35"/>
        <v>13822.28122286619</v>
      </c>
      <c r="R35" s="645">
        <f t="shared" ca="1" si="35"/>
        <v>15540.5194554518</v>
      </c>
      <c r="S35" s="645">
        <f t="shared" ca="1" si="35"/>
        <v>15044.717214938741</v>
      </c>
      <c r="T35" s="645">
        <f t="shared" ca="1" si="35"/>
        <v>9157.5150112488336</v>
      </c>
      <c r="U35" s="645">
        <f t="shared" ca="1" si="35"/>
        <v>3662.6372640665522</v>
      </c>
      <c r="V35" s="645">
        <f t="shared" ca="1" si="35"/>
        <v>953.24011181133733</v>
      </c>
      <c r="W35" s="645">
        <f t="shared" ca="1" si="35"/>
        <v>1393.393275313605</v>
      </c>
      <c r="X35" s="645">
        <f t="shared" ca="1" si="35"/>
        <v>1135.8127186913096</v>
      </c>
      <c r="Y35" s="645">
        <f t="shared" ca="1" si="35"/>
        <v>456.46992766169967</v>
      </c>
      <c r="Z35" s="645">
        <f t="shared" ca="1" si="35"/>
        <v>2069.7400503252402</v>
      </c>
      <c r="AA35" s="645">
        <f t="shared" ca="1" si="35"/>
        <v>8946.1652864115968</v>
      </c>
      <c r="AB35" s="645">
        <f t="shared" ca="1" si="35"/>
        <v>10808.488843184734</v>
      </c>
      <c r="AC35" s="471">
        <f ca="1">SUM(Q35:AB35)</f>
        <v>82990.980381971647</v>
      </c>
      <c r="AE35" s="105">
        <f ca="1">P35+AC35+AD35</f>
        <v>5484577.9803819712</v>
      </c>
      <c r="AF35" s="621">
        <f ca="1">'Pages 4-11, All Other Schedules'!B863</f>
        <v>5484577.9803819712</v>
      </c>
      <c r="AG35" s="69">
        <f ca="1">AF35-AE35</f>
        <v>0</v>
      </c>
    </row>
    <row r="36" spans="1:33" s="3" customFormat="1">
      <c r="A36" s="53"/>
      <c r="B36" s="60" t="s">
        <v>279</v>
      </c>
      <c r="C36" s="60"/>
      <c r="D36" s="471">
        <f t="shared" ref="D36:AC36" si="36">SUM(D34:D35)</f>
        <v>28013031</v>
      </c>
      <c r="E36" s="471">
        <f t="shared" si="36"/>
        <v>31278170</v>
      </c>
      <c r="F36" s="471">
        <f t="shared" si="36"/>
        <v>29186072</v>
      </c>
      <c r="G36" s="471">
        <f t="shared" si="36"/>
        <v>16562897</v>
      </c>
      <c r="H36" s="471">
        <f t="shared" si="36"/>
        <v>3550949</v>
      </c>
      <c r="I36" s="471">
        <f t="shared" si="36"/>
        <v>598165</v>
      </c>
      <c r="J36" s="471">
        <f t="shared" si="36"/>
        <v>544039</v>
      </c>
      <c r="K36" s="471">
        <f t="shared" si="36"/>
        <v>509222</v>
      </c>
      <c r="L36" s="471">
        <f t="shared" si="36"/>
        <v>953455</v>
      </c>
      <c r="M36" s="471">
        <f t="shared" si="36"/>
        <v>4960506</v>
      </c>
      <c r="N36" s="471">
        <f t="shared" si="36"/>
        <v>15072229</v>
      </c>
      <c r="O36" s="471">
        <f t="shared" si="36"/>
        <v>22049818</v>
      </c>
      <c r="P36" s="471">
        <f t="shared" si="36"/>
        <v>153278553</v>
      </c>
      <c r="Q36" s="471">
        <f t="shared" ca="1" si="36"/>
        <v>430397.38250269106</v>
      </c>
      <c r="R36" s="471">
        <f t="shared" ca="1" si="36"/>
        <v>480563.58119455888</v>
      </c>
      <c r="S36" s="471">
        <f t="shared" ca="1" si="36"/>
        <v>448420.20109623554</v>
      </c>
      <c r="T36" s="471">
        <f t="shared" ca="1" si="36"/>
        <v>254475.40880034276</v>
      </c>
      <c r="U36" s="471">
        <f t="shared" ca="1" si="36"/>
        <v>54557.436323136477</v>
      </c>
      <c r="V36" s="471">
        <f t="shared" ca="1" si="36"/>
        <v>9190.3175455994806</v>
      </c>
      <c r="W36" s="471">
        <f t="shared" ca="1" si="36"/>
        <v>8358.7156841179203</v>
      </c>
      <c r="X36" s="471">
        <f t="shared" ca="1" si="36"/>
        <v>7823.7808651546966</v>
      </c>
      <c r="Y36" s="471">
        <f t="shared" ca="1" si="36"/>
        <v>14649.058730349574</v>
      </c>
      <c r="Z36" s="471">
        <f t="shared" ca="1" si="36"/>
        <v>76214.130426974996</v>
      </c>
      <c r="AA36" s="471">
        <f t="shared" ca="1" si="36"/>
        <v>231572.51031068907</v>
      </c>
      <c r="AB36" s="471">
        <f t="shared" ca="1" si="36"/>
        <v>338777.47652014956</v>
      </c>
      <c r="AC36" s="628">
        <f t="shared" ca="1" si="36"/>
        <v>2355000</v>
      </c>
      <c r="AD36" s="262">
        <f>SUM(AD34:AD35)</f>
        <v>-2078487.6356633904</v>
      </c>
      <c r="AE36" s="629">
        <f ca="1">SUM(AE34:AE35)</f>
        <v>153555065.36433661</v>
      </c>
      <c r="AF36" s="621">
        <f ca="1">SUM(AF34:AF35)</f>
        <v>153555065.36433661</v>
      </c>
      <c r="AG36" s="69"/>
    </row>
    <row r="37" spans="1:33" s="3" customFormat="1">
      <c r="A37" s="53"/>
      <c r="B37" s="3" t="s">
        <v>583</v>
      </c>
      <c r="C37" s="60"/>
      <c r="D37" s="645"/>
      <c r="E37" s="645"/>
      <c r="F37" s="645"/>
      <c r="G37" s="645"/>
      <c r="H37" s="645"/>
      <c r="I37" s="645"/>
      <c r="J37" s="645"/>
      <c r="K37" s="645"/>
      <c r="L37" s="645"/>
      <c r="M37" s="645"/>
      <c r="N37" s="645"/>
      <c r="O37" s="645"/>
      <c r="P37" s="471"/>
      <c r="Q37" s="645"/>
      <c r="R37" s="645"/>
      <c r="S37" s="645"/>
      <c r="T37" s="645"/>
      <c r="U37" s="645"/>
      <c r="V37" s="645"/>
      <c r="W37" s="645"/>
      <c r="X37" s="645"/>
      <c r="Y37" s="645"/>
      <c r="Z37" s="645"/>
      <c r="AA37" s="645"/>
      <c r="AB37" s="645"/>
      <c r="AC37" s="471">
        <f ca="1">'Table 2'!G115</f>
        <v>2355000</v>
      </c>
      <c r="AE37" s="105"/>
      <c r="AF37" s="621"/>
      <c r="AG37" s="69"/>
    </row>
    <row r="38" spans="1:33" s="3" customFormat="1">
      <c r="A38" s="53">
        <v>52</v>
      </c>
      <c r="C38" s="60" t="s">
        <v>61</v>
      </c>
      <c r="D38" s="778">
        <v>27193.2474483156</v>
      </c>
      <c r="E38" s="778">
        <v>27149.2516286588</v>
      </c>
      <c r="F38" s="778">
        <v>27149.2516286588</v>
      </c>
      <c r="G38" s="778">
        <v>27149.2516286588</v>
      </c>
      <c r="H38" s="778">
        <v>27149.2516286588</v>
      </c>
      <c r="I38" s="778">
        <v>27143.9717778101</v>
      </c>
      <c r="J38" s="778">
        <v>26662.2520476672</v>
      </c>
      <c r="K38" s="778">
        <v>25279</v>
      </c>
      <c r="L38" s="778">
        <v>25230</v>
      </c>
      <c r="M38" s="778">
        <v>24934.9145765311</v>
      </c>
      <c r="N38" s="778">
        <v>24555</v>
      </c>
      <c r="O38" s="778">
        <v>24530</v>
      </c>
      <c r="P38" s="471">
        <f t="shared" ref="P38:P43" si="37">SUM(D38:O38)</f>
        <v>314125.39236495917</v>
      </c>
      <c r="Q38" s="645">
        <f t="shared" ref="Q38:AB42" ca="1" si="38">D38/$P$43*$AC$44</f>
        <v>-2374.2413127044128</v>
      </c>
      <c r="R38" s="645">
        <f t="shared" ca="1" si="38"/>
        <v>-2370.4000395054691</v>
      </c>
      <c r="S38" s="645">
        <f t="shared" ca="1" si="38"/>
        <v>-2370.4000395054691</v>
      </c>
      <c r="T38" s="645">
        <f t="shared" ca="1" si="38"/>
        <v>-2370.4000395054691</v>
      </c>
      <c r="U38" s="645">
        <f t="shared" ca="1" si="38"/>
        <v>-2370.4000395054691</v>
      </c>
      <c r="V38" s="645">
        <f t="shared" ca="1" si="38"/>
        <v>-2369.9390559457183</v>
      </c>
      <c r="W38" s="645">
        <f t="shared" ca="1" si="38"/>
        <v>-2327.8801261829572</v>
      </c>
      <c r="X38" s="645">
        <f t="shared" ca="1" si="38"/>
        <v>-2207.1084469748575</v>
      </c>
      <c r="Y38" s="645">
        <f t="shared" ca="1" si="38"/>
        <v>-2202.8302589966238</v>
      </c>
      <c r="Z38" s="645">
        <f t="shared" ca="1" si="38"/>
        <v>-2177.0663628489374</v>
      </c>
      <c r="AA38" s="645">
        <f t="shared" ca="1" si="38"/>
        <v>-2143.8960368474873</v>
      </c>
      <c r="AB38" s="645">
        <f t="shared" ca="1" si="38"/>
        <v>-2141.7132878790007</v>
      </c>
      <c r="AC38" s="471">
        <f ca="1">SUM(Q38:AB38)</f>
        <v>-27426.275046401868</v>
      </c>
      <c r="AE38" s="105">
        <f ca="1">P38+AC38+AD38</f>
        <v>286699.11731855728</v>
      </c>
      <c r="AF38" s="621">
        <f ca="1">'Pages 4-11, All Other Schedules'!B1132</f>
        <v>286698.72495359811</v>
      </c>
      <c r="AG38" s="69">
        <f t="shared" ref="AG38:AG43" ca="1" si="39">AF38-AE38</f>
        <v>-0.39236495917430148</v>
      </c>
    </row>
    <row r="39" spans="1:33" s="3" customFormat="1">
      <c r="A39" s="53" t="s">
        <v>159</v>
      </c>
      <c r="C39" s="60" t="s">
        <v>62</v>
      </c>
      <c r="D39" s="778">
        <v>293103</v>
      </c>
      <c r="E39" s="778">
        <v>293103</v>
      </c>
      <c r="F39" s="778">
        <v>293131</v>
      </c>
      <c r="G39" s="778">
        <v>293135</v>
      </c>
      <c r="H39" s="778">
        <v>293228</v>
      </c>
      <c r="I39" s="778">
        <v>293934</v>
      </c>
      <c r="J39" s="778">
        <v>293754</v>
      </c>
      <c r="K39" s="778">
        <v>293754</v>
      </c>
      <c r="L39" s="778">
        <v>293754</v>
      </c>
      <c r="M39" s="778">
        <v>294134</v>
      </c>
      <c r="N39" s="778">
        <v>295626</v>
      </c>
      <c r="O39" s="778">
        <v>293051</v>
      </c>
      <c r="P39" s="471">
        <f t="shared" si="37"/>
        <v>3523707</v>
      </c>
      <c r="Q39" s="645">
        <f t="shared" ca="1" si="38"/>
        <v>-25590.810836412504</v>
      </c>
      <c r="R39" s="645">
        <f t="shared" ca="1" si="38"/>
        <v>-25590.810836412504</v>
      </c>
      <c r="S39" s="645">
        <f t="shared" ca="1" si="38"/>
        <v>-25593.255515257209</v>
      </c>
      <c r="T39" s="645">
        <f t="shared" ca="1" si="38"/>
        <v>-25593.604755092165</v>
      </c>
      <c r="U39" s="645">
        <f t="shared" ca="1" si="38"/>
        <v>-25601.724581254937</v>
      </c>
      <c r="V39" s="645">
        <f t="shared" ca="1" si="38"/>
        <v>-25663.365412124997</v>
      </c>
      <c r="W39" s="645">
        <f t="shared" ca="1" si="38"/>
        <v>-25647.649619551892</v>
      </c>
      <c r="X39" s="645">
        <f t="shared" ca="1" si="38"/>
        <v>-25647.649619551892</v>
      </c>
      <c r="Y39" s="645">
        <f t="shared" ca="1" si="38"/>
        <v>-25647.649619551892</v>
      </c>
      <c r="Z39" s="645">
        <f t="shared" ca="1" si="38"/>
        <v>-25680.827403872889</v>
      </c>
      <c r="AA39" s="645">
        <f t="shared" ca="1" si="38"/>
        <v>-25811.093862312166</v>
      </c>
      <c r="AB39" s="645">
        <f t="shared" ca="1" si="38"/>
        <v>-25586.270718558051</v>
      </c>
      <c r="AC39" s="471">
        <f ca="1">SUM(Q39:AB39)</f>
        <v>-307654.71277995309</v>
      </c>
      <c r="AE39" s="105">
        <f ca="1">P39+AC39+AD39</f>
        <v>3216052.2872200469</v>
      </c>
      <c r="AF39" s="621">
        <f ca="1">'Pages 4-11, All Other Schedules'!B1172</f>
        <v>3216052.2872200469</v>
      </c>
      <c r="AG39" s="69">
        <f t="shared" ca="1" si="39"/>
        <v>0</v>
      </c>
    </row>
    <row r="40" spans="1:33" s="3" customFormat="1">
      <c r="A40" s="53" t="s">
        <v>160</v>
      </c>
      <c r="C40" s="60" t="s">
        <v>63</v>
      </c>
      <c r="D40" s="778">
        <v>65496.5</v>
      </c>
      <c r="E40" s="778">
        <v>71454</v>
      </c>
      <c r="F40" s="778">
        <v>81953</v>
      </c>
      <c r="G40" s="778">
        <v>94788.5</v>
      </c>
      <c r="H40" s="778">
        <v>113773</v>
      </c>
      <c r="I40" s="778">
        <v>133181</v>
      </c>
      <c r="J40" s="778">
        <v>135624</v>
      </c>
      <c r="K40" s="778">
        <v>117268</v>
      </c>
      <c r="L40" s="778">
        <v>105560</v>
      </c>
      <c r="M40" s="778">
        <v>94086</v>
      </c>
      <c r="N40" s="778">
        <v>80662</v>
      </c>
      <c r="O40" s="778">
        <v>73235</v>
      </c>
      <c r="P40" s="471">
        <f t="shared" si="37"/>
        <v>1167081</v>
      </c>
      <c r="Q40" s="645">
        <f t="shared" ca="1" si="38"/>
        <v>-5718.4967125791673</v>
      </c>
      <c r="R40" s="645">
        <f t="shared" ca="1" si="38"/>
        <v>-6238.6457917695116</v>
      </c>
      <c r="S40" s="645">
        <f t="shared" ca="1" si="38"/>
        <v>-7155.3130485751226</v>
      </c>
      <c r="T40" s="645">
        <f t="shared" ca="1" si="38"/>
        <v>-8275.9800239754859</v>
      </c>
      <c r="U40" s="645">
        <f t="shared" ca="1" si="38"/>
        <v>-9933.5159356647982</v>
      </c>
      <c r="V40" s="645">
        <f t="shared" ca="1" si="38"/>
        <v>-11628.027614880275</v>
      </c>
      <c r="W40" s="645">
        <f t="shared" ca="1" si="38"/>
        <v>-11841.325844080782</v>
      </c>
      <c r="X40" s="645">
        <f t="shared" ca="1" si="38"/>
        <v>-10238.664241459219</v>
      </c>
      <c r="Y40" s="645">
        <f t="shared" ca="1" si="38"/>
        <v>-9216.4392445375979</v>
      </c>
      <c r="Z40" s="645">
        <f t="shared" ca="1" si="38"/>
        <v>-8214.6447779610135</v>
      </c>
      <c r="AA40" s="645">
        <f t="shared" ca="1" si="38"/>
        <v>-7042.5958918424767</v>
      </c>
      <c r="AB40" s="645">
        <f t="shared" ca="1" si="38"/>
        <v>-6394.1448282844922</v>
      </c>
      <c r="AC40" s="471">
        <f ca="1">SUM(Q40:AB40)</f>
        <v>-101897.79395560994</v>
      </c>
      <c r="AE40" s="105">
        <f ca="1">P40+AC40+AD40</f>
        <v>1065183.2060443901</v>
      </c>
      <c r="AF40" s="621">
        <f ca="1">'Pages 4-11, All Other Schedules'!B1184</f>
        <v>1065183.2060443901</v>
      </c>
      <c r="AG40" s="69">
        <f t="shared" ca="1" si="39"/>
        <v>0</v>
      </c>
    </row>
    <row r="41" spans="1:33" s="3" customFormat="1">
      <c r="A41" s="53">
        <v>51</v>
      </c>
      <c r="C41" s="60" t="s">
        <v>64</v>
      </c>
      <c r="D41" s="778">
        <v>275562.06739036698</v>
      </c>
      <c r="E41" s="778">
        <v>275346.72697140998</v>
      </c>
      <c r="F41" s="778">
        <v>275267.15618101601</v>
      </c>
      <c r="G41" s="778">
        <v>275677.87086092698</v>
      </c>
      <c r="H41" s="778">
        <v>276730.872964643</v>
      </c>
      <c r="I41" s="778">
        <v>277013.98269506398</v>
      </c>
      <c r="J41" s="778">
        <v>277858.97618666099</v>
      </c>
      <c r="K41" s="778">
        <v>278387.34321043699</v>
      </c>
      <c r="L41" s="778">
        <v>278556.24521856499</v>
      </c>
      <c r="M41" s="778">
        <v>280043.40664237703</v>
      </c>
      <c r="N41" s="778">
        <v>279952.060767674</v>
      </c>
      <c r="O41" s="778">
        <v>280621</v>
      </c>
      <c r="P41" s="471">
        <f t="shared" si="37"/>
        <v>3331017.7090891409</v>
      </c>
      <c r="Q41" s="645">
        <f t="shared" ca="1" si="38"/>
        <v>-24059.312734013762</v>
      </c>
      <c r="R41" s="645">
        <f t="shared" ca="1" si="38"/>
        <v>-24040.511370919688</v>
      </c>
      <c r="S41" s="645">
        <f t="shared" ca="1" si="38"/>
        <v>-24033.564048493525</v>
      </c>
      <c r="T41" s="645">
        <f t="shared" ca="1" si="38"/>
        <v>-24069.423530250242</v>
      </c>
      <c r="U41" s="645">
        <f t="shared" ca="1" si="38"/>
        <v>-24161.361100478254</v>
      </c>
      <c r="V41" s="645">
        <f t="shared" ca="1" si="38"/>
        <v>-24186.079399360049</v>
      </c>
      <c r="W41" s="645">
        <f t="shared" ca="1" si="38"/>
        <v>-24259.8557462465</v>
      </c>
      <c r="X41" s="645">
        <f t="shared" ca="1" si="38"/>
        <v>-24305.987449291675</v>
      </c>
      <c r="Y41" s="645">
        <f t="shared" ca="1" si="38"/>
        <v>-24320.734276652343</v>
      </c>
      <c r="Z41" s="645">
        <f t="shared" ca="1" si="38"/>
        <v>-24450.578279204292</v>
      </c>
      <c r="AA41" s="645">
        <f t="shared" ca="1" si="38"/>
        <v>-24442.602874652952</v>
      </c>
      <c r="AB41" s="645">
        <f t="shared" ca="1" si="38"/>
        <v>-24501.007931426539</v>
      </c>
      <c r="AC41" s="471">
        <f ca="1">SUM(Q41:AB41)</f>
        <v>-290831.01874098979</v>
      </c>
      <c r="AE41" s="105">
        <f ca="1">P41+AC41+AD41</f>
        <v>3040186.6903481511</v>
      </c>
      <c r="AF41" s="621">
        <f ca="1">'Pages 4-11, All Other Schedules'!B1119</f>
        <v>3040186.9812590103</v>
      </c>
      <c r="AG41" s="69">
        <f t="shared" ca="1" si="39"/>
        <v>0.29091085912659764</v>
      </c>
    </row>
    <row r="42" spans="1:33" s="3" customFormat="1">
      <c r="A42" s="53">
        <v>57</v>
      </c>
      <c r="C42" s="60" t="s">
        <v>65</v>
      </c>
      <c r="D42" s="778">
        <v>163659.67032967001</v>
      </c>
      <c r="E42" s="778">
        <v>163659.67032967001</v>
      </c>
      <c r="F42" s="778">
        <v>163659.67032967001</v>
      </c>
      <c r="G42" s="778">
        <v>163659.67032967001</v>
      </c>
      <c r="H42" s="778">
        <v>163659.67032967001</v>
      </c>
      <c r="I42" s="778">
        <v>163392.95454328001</v>
      </c>
      <c r="J42" s="778">
        <v>163228.489454094</v>
      </c>
      <c r="K42" s="778">
        <v>163046.32681230101</v>
      </c>
      <c r="L42" s="778">
        <v>162969.467114345</v>
      </c>
      <c r="M42" s="778">
        <v>162961.745050153</v>
      </c>
      <c r="N42" s="778">
        <v>162858.57142857101</v>
      </c>
      <c r="O42" s="778">
        <v>163962</v>
      </c>
      <c r="P42" s="471">
        <f t="shared" si="37"/>
        <v>1960717.9060510942</v>
      </c>
      <c r="Q42" s="645">
        <f t="shared" ca="1" si="38"/>
        <v>-14289.119063797427</v>
      </c>
      <c r="R42" s="645">
        <f t="shared" ca="1" si="38"/>
        <v>-14289.119063797427</v>
      </c>
      <c r="S42" s="645">
        <f t="shared" ca="1" si="38"/>
        <v>-14289.119063797427</v>
      </c>
      <c r="T42" s="645">
        <f t="shared" ca="1" si="38"/>
        <v>-14289.119063797427</v>
      </c>
      <c r="U42" s="645">
        <f t="shared" ca="1" si="38"/>
        <v>-14289.119063797427</v>
      </c>
      <c r="V42" s="645">
        <f t="shared" ca="1" si="38"/>
        <v>-14265.832119492552</v>
      </c>
      <c r="W42" s="645">
        <f t="shared" ca="1" si="38"/>
        <v>-14251.472679341641</v>
      </c>
      <c r="X42" s="645">
        <f t="shared" ca="1" si="38"/>
        <v>-14235.568066602822</v>
      </c>
      <c r="Y42" s="645">
        <f t="shared" ca="1" si="38"/>
        <v>-14228.857449545556</v>
      </c>
      <c r="Z42" s="645">
        <f t="shared" ca="1" si="38"/>
        <v>-14228.183236439569</v>
      </c>
      <c r="AA42" s="645">
        <f t="shared" ca="1" si="38"/>
        <v>-14219.175151796246</v>
      </c>
      <c r="AB42" s="645">
        <f t="shared" ca="1" si="38"/>
        <v>-14315.515454839653</v>
      </c>
      <c r="AC42" s="471">
        <f ca="1">SUM(Q42:AB42)</f>
        <v>-171190.19947704519</v>
      </c>
      <c r="AD42" s="20"/>
      <c r="AE42" s="105">
        <f ca="1">P42+AC42+AD42</f>
        <v>1789527.7065740491</v>
      </c>
      <c r="AF42" s="621">
        <f ca="1">'Pages 4-11, All Other Schedules'!B1235</f>
        <v>1789527.8005229549</v>
      </c>
      <c r="AG42" s="69">
        <f t="shared" ca="1" si="39"/>
        <v>9.3948905821889639E-2</v>
      </c>
    </row>
    <row r="43" spans="1:33">
      <c r="B43" t="s">
        <v>583</v>
      </c>
      <c r="C43" s="625"/>
      <c r="D43" s="631">
        <f t="shared" ref="D43:O43" si="40">SUM(D38:D42)</f>
        <v>825014.48516835249</v>
      </c>
      <c r="E43" s="631">
        <f t="shared" si="40"/>
        <v>830712.64892973867</v>
      </c>
      <c r="F43" s="631">
        <f t="shared" si="40"/>
        <v>841160.0781393447</v>
      </c>
      <c r="G43" s="631">
        <f t="shared" si="40"/>
        <v>854410.29281925573</v>
      </c>
      <c r="H43" s="631">
        <f t="shared" si="40"/>
        <v>874540.79492297187</v>
      </c>
      <c r="I43" s="631">
        <f t="shared" si="40"/>
        <v>894665.90901615401</v>
      </c>
      <c r="J43" s="631">
        <f t="shared" si="40"/>
        <v>897127.71768842218</v>
      </c>
      <c r="K43" s="631">
        <f t="shared" si="40"/>
        <v>877734.67002273793</v>
      </c>
      <c r="L43" s="631">
        <f t="shared" si="40"/>
        <v>866069.71233290993</v>
      </c>
      <c r="M43" s="631">
        <f t="shared" si="40"/>
        <v>856160.06626906106</v>
      </c>
      <c r="N43" s="631">
        <f t="shared" si="40"/>
        <v>843653.63219624502</v>
      </c>
      <c r="O43" s="631">
        <f t="shared" si="40"/>
        <v>835399</v>
      </c>
      <c r="P43" s="631">
        <f t="shared" si="37"/>
        <v>10296649.007505195</v>
      </c>
      <c r="Q43" s="631">
        <f t="shared" ref="Q43:AF43" ca="1" si="41">SUM(Q38:Q42)</f>
        <v>-72031.980659507273</v>
      </c>
      <c r="R43" s="631">
        <f t="shared" ca="1" si="41"/>
        <v>-72529.487102404601</v>
      </c>
      <c r="S43" s="631">
        <f t="shared" ca="1" si="41"/>
        <v>-73441.651715628745</v>
      </c>
      <c r="T43" s="631">
        <f t="shared" ca="1" si="41"/>
        <v>-74598.527412620781</v>
      </c>
      <c r="U43" s="631">
        <f t="shared" ca="1" si="41"/>
        <v>-76356.120720700885</v>
      </c>
      <c r="V43" s="631">
        <f t="shared" ca="1" si="41"/>
        <v>-78113.243601803595</v>
      </c>
      <c r="W43" s="631">
        <f t="shared" ca="1" si="41"/>
        <v>-78328.184015403764</v>
      </c>
      <c r="X43" s="631">
        <f t="shared" ca="1" si="41"/>
        <v>-76634.977823880457</v>
      </c>
      <c r="Y43" s="631">
        <f t="shared" ca="1" si="41"/>
        <v>-75616.510849284008</v>
      </c>
      <c r="Z43" s="631">
        <f t="shared" ca="1" si="41"/>
        <v>-74751.300060326699</v>
      </c>
      <c r="AA43" s="631">
        <f t="shared" ca="1" si="41"/>
        <v>-73659.363817451318</v>
      </c>
      <c r="AB43" s="631">
        <f t="shared" ca="1" si="41"/>
        <v>-72938.652220987744</v>
      </c>
      <c r="AC43" s="632">
        <f t="shared" ca="1" si="41"/>
        <v>-898999.99999999988</v>
      </c>
      <c r="AD43" s="633">
        <f t="shared" si="41"/>
        <v>0</v>
      </c>
      <c r="AE43" s="633">
        <f t="shared" ca="1" si="41"/>
        <v>9397649.0075051952</v>
      </c>
      <c r="AF43" s="634">
        <f t="shared" ca="1" si="41"/>
        <v>9397649</v>
      </c>
      <c r="AG43" s="622">
        <f t="shared" ca="1" si="39"/>
        <v>-7.505195215344429E-3</v>
      </c>
    </row>
    <row r="44" spans="1:33">
      <c r="C44" s="625"/>
      <c r="D44" s="615"/>
      <c r="E44" s="615"/>
      <c r="F44" s="615"/>
      <c r="G44" s="615"/>
      <c r="H44" s="615"/>
      <c r="I44" s="615"/>
      <c r="J44" s="615"/>
      <c r="K44" s="615"/>
      <c r="L44" s="615"/>
      <c r="M44" s="615"/>
      <c r="N44" s="615"/>
      <c r="O44" s="615"/>
      <c r="P44" s="615"/>
      <c r="Q44" s="615"/>
      <c r="R44" s="615"/>
      <c r="S44" s="615"/>
      <c r="T44" s="615"/>
      <c r="U44" s="615"/>
      <c r="V44" s="615"/>
      <c r="W44" s="615"/>
      <c r="X44" s="615"/>
      <c r="Y44" s="615"/>
      <c r="Z44" s="615"/>
      <c r="AA44" s="615"/>
      <c r="AB44" s="615"/>
      <c r="AC44" s="471">
        <f ca="1">'Table 2'!G135</f>
        <v>-899000</v>
      </c>
      <c r="AD44" s="107">
        <f>SUM(AD43,AD36,AD32,AD22,AD12)</f>
        <v>-9441906.5254812799</v>
      </c>
      <c r="AE44" s="107">
        <f ca="1">SUM(AE43,AE36,AE32,AE22,AE12)</f>
        <v>4000612315.3638363</v>
      </c>
      <c r="AF44" s="624">
        <f ca="1">SUM(AF43,AF36,AF32,AF22,AF12)</f>
        <v>4000612315.4745188</v>
      </c>
    </row>
    <row r="45" spans="1:33">
      <c r="C45" s="625" t="s">
        <v>9</v>
      </c>
      <c r="D45" s="631">
        <f t="shared" ref="D45:O45" si="42">D12+D22+D32+D36+D43</f>
        <v>310308626.88516831</v>
      </c>
      <c r="E45" s="631">
        <f t="shared" si="42"/>
        <v>337879073.8489297</v>
      </c>
      <c r="F45" s="631">
        <f t="shared" si="42"/>
        <v>341601125.07813936</v>
      </c>
      <c r="G45" s="631">
        <f t="shared" si="42"/>
        <v>306014522.09281927</v>
      </c>
      <c r="H45" s="631">
        <f t="shared" si="42"/>
        <v>334847476.19492292</v>
      </c>
      <c r="I45" s="631">
        <f t="shared" si="42"/>
        <v>401852547.70901608</v>
      </c>
      <c r="J45" s="631">
        <f t="shared" si="42"/>
        <v>411304640.11768842</v>
      </c>
      <c r="K45" s="631">
        <f t="shared" si="42"/>
        <v>362605124.67002273</v>
      </c>
      <c r="L45" s="631">
        <f t="shared" si="42"/>
        <v>327559614.91233289</v>
      </c>
      <c r="M45" s="631">
        <f t="shared" si="42"/>
        <v>300907903.66626906</v>
      </c>
      <c r="N45" s="631">
        <f t="shared" si="42"/>
        <v>273805991.23219627</v>
      </c>
      <c r="O45" s="631">
        <f t="shared" si="42"/>
        <v>292562575.48181224</v>
      </c>
      <c r="P45" s="631">
        <f>SUM(D45:O45)</f>
        <v>4001249221.8893166</v>
      </c>
      <c r="Q45" s="631">
        <f ca="1">Q12+Q22+Q32+Q36+Q43</f>
        <v>978062.56330342591</v>
      </c>
      <c r="R45" s="615"/>
      <c r="S45" s="615"/>
      <c r="T45" s="615"/>
      <c r="U45" s="615"/>
      <c r="V45" s="615"/>
      <c r="W45" s="615"/>
      <c r="X45" s="615"/>
      <c r="Y45" s="615"/>
      <c r="Z45" s="615"/>
      <c r="AA45" s="615"/>
      <c r="AB45" s="615"/>
      <c r="AC45" s="646">
        <f ca="1">AC12+AC22+AC32+AC36+AC43</f>
        <v>8804999.9999999963</v>
      </c>
      <c r="AD45" s="621" t="s">
        <v>31</v>
      </c>
      <c r="AE45" s="621" t="s">
        <v>31</v>
      </c>
      <c r="AF45" s="621" t="s">
        <v>31</v>
      </c>
    </row>
    <row r="46" spans="1:33">
      <c r="B46" s="636"/>
      <c r="C46" s="637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36"/>
      <c r="Q46" s="74"/>
      <c r="S46" s="639"/>
      <c r="AE46" s="639" t="s">
        <v>584</v>
      </c>
    </row>
    <row r="47" spans="1:33">
      <c r="C47" s="625"/>
      <c r="D47" s="615"/>
      <c r="E47" s="615"/>
      <c r="F47" s="615"/>
      <c r="G47" s="615"/>
      <c r="H47" s="615"/>
      <c r="I47" s="615"/>
      <c r="J47" s="615"/>
      <c r="K47" s="615"/>
      <c r="L47" s="615"/>
      <c r="M47" s="615"/>
      <c r="N47" s="615"/>
      <c r="O47" s="615"/>
      <c r="P47" s="615"/>
      <c r="Q47" s="74"/>
      <c r="S47" s="640"/>
    </row>
    <row r="48" spans="1:33">
      <c r="C48" s="3" t="s">
        <v>176</v>
      </c>
      <c r="D48" s="615"/>
      <c r="E48" s="615"/>
      <c r="F48" s="615"/>
      <c r="G48" s="615"/>
      <c r="H48" s="615"/>
      <c r="I48" s="615"/>
      <c r="J48" s="615"/>
      <c r="K48" s="615"/>
      <c r="L48" s="615"/>
      <c r="M48" s="615"/>
      <c r="N48" s="615"/>
      <c r="O48" s="615"/>
      <c r="P48" s="615"/>
      <c r="Q48" s="74"/>
      <c r="S48" s="640"/>
    </row>
    <row r="49" spans="2:19">
      <c r="C49" s="615" t="s">
        <v>585</v>
      </c>
      <c r="D49" s="615"/>
      <c r="E49" s="615"/>
      <c r="F49" s="615"/>
      <c r="G49" s="615"/>
      <c r="H49" s="615"/>
      <c r="I49" s="615"/>
      <c r="J49" s="615"/>
      <c r="K49" s="615"/>
      <c r="L49" s="615"/>
      <c r="M49" s="615"/>
      <c r="N49" s="615"/>
      <c r="O49" s="615"/>
      <c r="P49" s="615"/>
      <c r="Q49" s="74"/>
      <c r="S49" s="640"/>
    </row>
    <row r="50" spans="2:19">
      <c r="C50" s="615"/>
      <c r="D50" s="615">
        <v>201107</v>
      </c>
      <c r="E50" s="615">
        <v>201108</v>
      </c>
      <c r="F50" s="615">
        <v>201109</v>
      </c>
      <c r="G50" s="615">
        <v>201110</v>
      </c>
      <c r="H50" s="615">
        <v>201111</v>
      </c>
      <c r="I50" s="615">
        <v>201112</v>
      </c>
      <c r="J50" s="615">
        <v>201201</v>
      </c>
      <c r="K50" s="615">
        <v>201202</v>
      </c>
      <c r="L50" s="615">
        <v>201203</v>
      </c>
      <c r="M50" s="615">
        <v>201204</v>
      </c>
      <c r="N50" s="615">
        <v>201205</v>
      </c>
      <c r="O50" s="615">
        <v>201206</v>
      </c>
      <c r="P50" s="615" t="s">
        <v>35</v>
      </c>
      <c r="Q50" s="621" t="s">
        <v>170</v>
      </c>
      <c r="S50" s="640"/>
    </row>
    <row r="51" spans="2:19">
      <c r="B51" s="615" t="s">
        <v>267</v>
      </c>
      <c r="D51" s="615"/>
      <c r="E51" s="615"/>
      <c r="F51" s="615"/>
      <c r="G51" s="615"/>
      <c r="H51" s="615"/>
      <c r="I51" s="615"/>
      <c r="J51" s="615"/>
      <c r="K51" s="615"/>
      <c r="L51" s="615"/>
      <c r="M51" s="615"/>
      <c r="N51" s="615"/>
      <c r="O51" s="615"/>
      <c r="P51" s="615"/>
      <c r="Q51" s="621"/>
      <c r="S51" s="640"/>
    </row>
    <row r="52" spans="2:19">
      <c r="C52" s="4" t="s">
        <v>48</v>
      </c>
      <c r="D52" s="647">
        <f ca="1">D6+Q6+Temperature!B10*1000</f>
        <v>108366449.85300222</v>
      </c>
      <c r="E52" s="647">
        <f ca="1">E6+R6+Temperature!B11*1000</f>
        <v>101380484.8460401</v>
      </c>
      <c r="F52" s="647">
        <f ca="1">F6+S6+Temperature!B12*1000</f>
        <v>108168628.84036346</v>
      </c>
      <c r="G52" s="647">
        <f ca="1">G6+T6+Temperature!B13*1000</f>
        <v>96526549.27871412</v>
      </c>
      <c r="H52" s="647">
        <f ca="1">H6+U6+Temperature!B14*1000</f>
        <v>123694074.95633313</v>
      </c>
      <c r="I52" s="647">
        <f ca="1">I6+V6+Temperature!B15*1000</f>
        <v>178777218.88335413</v>
      </c>
      <c r="J52" s="647">
        <f ca="1">J6+W6+Temperature!B16*1000</f>
        <v>192321705.99581569</v>
      </c>
      <c r="K52" s="647">
        <f ca="1">K6+X6+Temperature!B17*1000</f>
        <v>173559462.95467722</v>
      </c>
      <c r="L52" s="647">
        <f ca="1">L6+Y6+Temperature!B18*1000</f>
        <v>142953024.00985926</v>
      </c>
      <c r="M52" s="647">
        <f ca="1">M6+Z6+Temperature!B19*1000</f>
        <v>122549628.82472239</v>
      </c>
      <c r="N52" s="647">
        <f ca="1">N6+AA6+Temperature!B20*1000</f>
        <v>93559331.940311879</v>
      </c>
      <c r="O52" s="647">
        <f ca="1">O6+AB6+Temperature!B21*1000</f>
        <v>94146797.410891891</v>
      </c>
      <c r="P52" s="648">
        <f t="shared" ref="P52:P57" ca="1" si="43">SUM(D52:O52)</f>
        <v>1536003357.7940855</v>
      </c>
      <c r="Q52" s="621">
        <f t="shared" ref="Q52:Q57" ca="1" si="44">AE6</f>
        <v>1536003357.7940855</v>
      </c>
      <c r="R52" s="641">
        <f t="shared" ref="R52:R58" ca="1" si="45">Q52-P52</f>
        <v>0</v>
      </c>
      <c r="S52" s="640"/>
    </row>
    <row r="53" spans="2:19">
      <c r="C53" s="4" t="s">
        <v>93</v>
      </c>
      <c r="D53" s="647">
        <f ca="1">D7+Q7+Temperature!B28*1000</f>
        <v>3384339.5387488501</v>
      </c>
      <c r="E53" s="647">
        <f ca="1">E7+R7+Temperature!B29*1000</f>
        <v>3658372.6045247684</v>
      </c>
      <c r="F53" s="647">
        <f ca="1">F7+S7+Temperature!B30*1000</f>
        <v>3708704.3194180066</v>
      </c>
      <c r="G53" s="647">
        <f ca="1">G7+T7+Temperature!B31*1000</f>
        <v>4021963.5536676496</v>
      </c>
      <c r="H53" s="647">
        <f ca="1">H7+U7+Temperature!B32*1000</f>
        <v>4972706.3672609217</v>
      </c>
      <c r="I53" s="647">
        <f ca="1">I7+V7+Temperature!B33*1000</f>
        <v>7144123.8684266564</v>
      </c>
      <c r="J53" s="647">
        <f ca="1">J7+W7+Temperature!B34*1000</f>
        <v>8103415.4177096635</v>
      </c>
      <c r="K53" s="647">
        <f ca="1">K7+X7+Temperature!B35*1000</f>
        <v>8005194.1772237858</v>
      </c>
      <c r="L53" s="647">
        <f ca="1">L7+Y7+Temperature!B36*1000</f>
        <v>6792988.1829682877</v>
      </c>
      <c r="M53" s="647">
        <f ca="1">M7+Z7+Temperature!B37*1000</f>
        <v>5801531.7655129693</v>
      </c>
      <c r="N53" s="647">
        <f ca="1">N7+AA7+Temperature!B38*1000</f>
        <v>4016404.4267660971</v>
      </c>
      <c r="O53" s="647">
        <f ca="1">O7+AB7+Temperature!B39*1000</f>
        <v>3548368.05735286</v>
      </c>
      <c r="P53" s="648">
        <f t="shared" ca="1" si="43"/>
        <v>63158112.279580526</v>
      </c>
      <c r="Q53" s="621">
        <f t="shared" ca="1" si="44"/>
        <v>63158112.279580519</v>
      </c>
      <c r="R53" s="641">
        <f t="shared" ca="1" si="45"/>
        <v>0</v>
      </c>
      <c r="S53" s="640"/>
    </row>
    <row r="54" spans="2:19">
      <c r="C54" s="4" t="s">
        <v>49</v>
      </c>
      <c r="D54" s="647">
        <f ca="1">D8+Q8+Temperature!B46*1000</f>
        <v>184045.39038837337</v>
      </c>
      <c r="E54" s="647">
        <f ca="1">E8+R8+Temperature!B47*1000</f>
        <v>177244.9632251146</v>
      </c>
      <c r="F54" s="647">
        <f ca="1">F8+S8+Temperature!B48*1000</f>
        <v>188505.01929914384</v>
      </c>
      <c r="G54" s="647">
        <f ca="1">G8+T8+Temperature!B49*1000</f>
        <v>161544.058686567</v>
      </c>
      <c r="H54" s="647">
        <f ca="1">H8+U8+Temperature!B50*1000</f>
        <v>164751.52688337574</v>
      </c>
      <c r="I54" s="647">
        <f ca="1">I8+V8+Temperature!B51*1000</f>
        <v>221873.39707377905</v>
      </c>
      <c r="J54" s="647">
        <f ca="1">J8+W8+Temperature!B52*1000</f>
        <v>242811.92066710896</v>
      </c>
      <c r="K54" s="647">
        <f ca="1">K8+X8+Temperature!B53*1000</f>
        <v>217916.22517857724</v>
      </c>
      <c r="L54" s="647">
        <f ca="1">L8+Y8+Temperature!B54*1000</f>
        <v>184500.29308714499</v>
      </c>
      <c r="M54" s="647">
        <f ca="1">M8+Z8+Temperature!B55*1000</f>
        <v>166246.1332178961</v>
      </c>
      <c r="N54" s="647">
        <f ca="1">N8+AA8+Temperature!B56*1000</f>
        <v>147161.28753447233</v>
      </c>
      <c r="O54" s="647">
        <f ca="1">O8+AB8+Temperature!B57*1000</f>
        <v>156361.36978897193</v>
      </c>
      <c r="P54" s="648">
        <f t="shared" ca="1" si="43"/>
        <v>2212961.585030525</v>
      </c>
      <c r="Q54" s="621">
        <f t="shared" ca="1" si="44"/>
        <v>2212961.585030525</v>
      </c>
      <c r="R54" s="641">
        <f t="shared" ca="1" si="45"/>
        <v>0</v>
      </c>
      <c r="S54" s="640"/>
    </row>
    <row r="55" spans="2:19">
      <c r="C55" s="7" t="s">
        <v>164</v>
      </c>
      <c r="D55" s="647">
        <f t="shared" ref="D55:O55" ca="1" si="46">D9+Q9</f>
        <v>40196.425277958726</v>
      </c>
      <c r="E55" s="647">
        <f t="shared" ca="1" si="46"/>
        <v>46062.049564147586</v>
      </c>
      <c r="F55" s="647">
        <f t="shared" ca="1" si="46"/>
        <v>38836.512385149857</v>
      </c>
      <c r="G55" s="647">
        <f t="shared" ca="1" si="46"/>
        <v>28341.184647707261</v>
      </c>
      <c r="H55" s="647">
        <f t="shared" ca="1" si="46"/>
        <v>31150.00473292794</v>
      </c>
      <c r="I55" s="647">
        <f t="shared" ca="1" si="46"/>
        <v>44592.143716773287</v>
      </c>
      <c r="J55" s="647">
        <f t="shared" ca="1" si="46"/>
        <v>45190.105415228951</v>
      </c>
      <c r="K55" s="647">
        <f t="shared" ca="1" si="46"/>
        <v>36660.651756655658</v>
      </c>
      <c r="L55" s="647">
        <f t="shared" ca="1" si="46"/>
        <v>32684.906417090897</v>
      </c>
      <c r="M55" s="647">
        <f t="shared" ca="1" si="46"/>
        <v>29520.109133458482</v>
      </c>
      <c r="N55" s="647">
        <f t="shared" ca="1" si="46"/>
        <v>28672.163447354127</v>
      </c>
      <c r="O55" s="647">
        <f t="shared" ca="1" si="46"/>
        <v>31450.985454056961</v>
      </c>
      <c r="P55" s="648">
        <f t="shared" ca="1" si="43"/>
        <v>433357.24194850971</v>
      </c>
      <c r="Q55" s="621">
        <f t="shared" ca="1" si="44"/>
        <v>433357.24194850971</v>
      </c>
      <c r="R55" s="641">
        <f t="shared" ca="1" si="45"/>
        <v>0</v>
      </c>
      <c r="S55" s="640"/>
    </row>
    <row r="56" spans="2:19">
      <c r="C56" s="4" t="s">
        <v>50</v>
      </c>
      <c r="D56" s="647">
        <f t="shared" ref="D56:O56" ca="1" si="47">D10+Q10</f>
        <v>90264.818221759371</v>
      </c>
      <c r="E56" s="647">
        <f t="shared" ca="1" si="47"/>
        <v>90005.234848984983</v>
      </c>
      <c r="F56" s="647">
        <f t="shared" ca="1" si="47"/>
        <v>89494.067591040832</v>
      </c>
      <c r="G56" s="647">
        <f t="shared" ca="1" si="47"/>
        <v>89378.674982342287</v>
      </c>
      <c r="H56" s="647">
        <f t="shared" ca="1" si="47"/>
        <v>89263.882335214017</v>
      </c>
      <c r="I56" s="647">
        <f t="shared" ca="1" si="47"/>
        <v>88409.337071835835</v>
      </c>
      <c r="J56" s="647">
        <f t="shared" ca="1" si="47"/>
        <v>89207.085973220135</v>
      </c>
      <c r="K56" s="647">
        <f t="shared" ca="1" si="47"/>
        <v>89042.696502942461</v>
      </c>
      <c r="L56" s="647">
        <f t="shared" ca="1" si="47"/>
        <v>89774.449631587602</v>
      </c>
      <c r="M56" s="647">
        <f t="shared" ca="1" si="47"/>
        <v>89883.442650202531</v>
      </c>
      <c r="N56" s="647">
        <f t="shared" ca="1" si="47"/>
        <v>89753.051002244974</v>
      </c>
      <c r="O56" s="647">
        <f t="shared" ca="1" si="47"/>
        <v>87482.796420014522</v>
      </c>
      <c r="P56" s="648">
        <f t="shared" ca="1" si="43"/>
        <v>1071959.5372313897</v>
      </c>
      <c r="Q56" s="621">
        <f t="shared" ca="1" si="44"/>
        <v>1071959.5372313897</v>
      </c>
      <c r="R56" s="641">
        <f t="shared" ca="1" si="45"/>
        <v>0</v>
      </c>
      <c r="S56" s="640"/>
    </row>
    <row r="57" spans="2:19">
      <c r="C57" s="625" t="s">
        <v>51</v>
      </c>
      <c r="D57" s="647">
        <f ca="1">D11+Q11+Temperature!O63*1000</f>
        <v>201976.78877673994</v>
      </c>
      <c r="E57" s="647">
        <f ca="1">E11+R11+Temperature!O64*1000</f>
        <v>203280.56692145416</v>
      </c>
      <c r="F57" s="647">
        <f ca="1">F11+S11+Temperature!O65*1000</f>
        <v>204860.66944081915</v>
      </c>
      <c r="G57" s="647">
        <f ca="1">G11+T11+Temperature!O66*1000</f>
        <v>169752.41358366978</v>
      </c>
      <c r="H57" s="647">
        <f ca="1">H11+U11+Temperature!O67*1000</f>
        <v>165426.00765268202</v>
      </c>
      <c r="I57" s="647">
        <f ca="1">I11+V11+Temperature!O68*1000</f>
        <v>236508.0457278743</v>
      </c>
      <c r="J57" s="647">
        <f ca="1">J11+W11+Temperature!O69*1000</f>
        <v>269083.97685080365</v>
      </c>
      <c r="K57" s="647">
        <f ca="1">K11+X11+Temperature!O70*1000</f>
        <v>226491.89495605882</v>
      </c>
      <c r="L57" s="647">
        <f ca="1">L11+Y11+Temperature!O71*1000</f>
        <v>188701.5539727477</v>
      </c>
      <c r="M57" s="647">
        <f ca="1">M11+Z11+Temperature!O72*1000</f>
        <v>162928.47953496722</v>
      </c>
      <c r="N57" s="647">
        <f ca="1">N11+AA11+Temperature!O73*1000</f>
        <v>147857.30994614461</v>
      </c>
      <c r="O57" s="647">
        <f ca="1">O11+AB11+Temperature!O74*1000</f>
        <v>180844.35638830264</v>
      </c>
      <c r="P57" s="648">
        <f t="shared" ca="1" si="43"/>
        <v>2357712.0637522638</v>
      </c>
      <c r="Q57" s="621">
        <f t="shared" ca="1" si="44"/>
        <v>2357712.0637522638</v>
      </c>
      <c r="R57" s="641">
        <f t="shared" ref="R57" ca="1" si="48">Q57-P57</f>
        <v>0</v>
      </c>
      <c r="S57" s="640"/>
    </row>
    <row r="58" spans="2:19">
      <c r="B58" s="615" t="s">
        <v>267</v>
      </c>
      <c r="C58" s="5"/>
      <c r="D58" s="649">
        <f ca="1">SUM(D52:D57)</f>
        <v>112267272.8144159</v>
      </c>
      <c r="E58" s="649">
        <f t="shared" ref="E58:O58" ca="1" si="49">SUM(E52:E57)</f>
        <v>105555450.26512457</v>
      </c>
      <c r="F58" s="649">
        <f t="shared" ca="1" si="49"/>
        <v>112399029.42849763</v>
      </c>
      <c r="G58" s="649">
        <f t="shared" ca="1" si="49"/>
        <v>100997529.16428205</v>
      </c>
      <c r="H58" s="649">
        <f t="shared" ca="1" si="49"/>
        <v>129117372.74519825</v>
      </c>
      <c r="I58" s="649">
        <f t="shared" ca="1" si="49"/>
        <v>186512725.67537105</v>
      </c>
      <c r="J58" s="649">
        <f t="shared" ca="1" si="49"/>
        <v>201071414.50243172</v>
      </c>
      <c r="K58" s="649">
        <f t="shared" ca="1" si="49"/>
        <v>182134768.60029522</v>
      </c>
      <c r="L58" s="649">
        <f t="shared" ca="1" si="49"/>
        <v>150241673.39593616</v>
      </c>
      <c r="M58" s="649">
        <f t="shared" ca="1" si="49"/>
        <v>128799738.75477189</v>
      </c>
      <c r="N58" s="649">
        <f t="shared" ca="1" si="49"/>
        <v>97989180.179008201</v>
      </c>
      <c r="O58" s="649">
        <f t="shared" ca="1" si="49"/>
        <v>98151304.976296082</v>
      </c>
      <c r="P58" s="650">
        <f ca="1">SUM(P52:P57)</f>
        <v>1605237460.5016289</v>
      </c>
      <c r="Q58" s="621">
        <f ca="1">SUM(Q52:Q57)</f>
        <v>1605237460.5016289</v>
      </c>
      <c r="R58" s="641">
        <f t="shared" ca="1" si="45"/>
        <v>0</v>
      </c>
      <c r="S58" s="640"/>
    </row>
    <row r="59" spans="2:19">
      <c r="B59" t="s">
        <v>274</v>
      </c>
      <c r="C59" s="5"/>
      <c r="D59" s="649"/>
      <c r="E59" s="649"/>
      <c r="F59" s="649"/>
      <c r="G59" s="649"/>
      <c r="H59" s="649"/>
      <c r="I59" s="649"/>
      <c r="J59" s="649"/>
      <c r="K59" s="649"/>
      <c r="L59" s="649"/>
      <c r="M59" s="649"/>
      <c r="N59" s="649"/>
      <c r="O59" s="649"/>
      <c r="P59" s="650"/>
      <c r="Q59" s="621"/>
      <c r="R59" s="641"/>
      <c r="S59" s="640"/>
    </row>
    <row r="60" spans="2:19">
      <c r="C60" s="625" t="s">
        <v>51</v>
      </c>
      <c r="D60" s="631">
        <f>D14+Q14+Temperature!B63*1000</f>
        <v>44893886.133289352</v>
      </c>
      <c r="E60" s="631">
        <f>E14+R14+Temperature!B64*1000</f>
        <v>41983925.866572998</v>
      </c>
      <c r="F60" s="631">
        <f>F14+S14+Temperature!B65*1000</f>
        <v>44116472.987761497</v>
      </c>
      <c r="G60" s="631">
        <f>G14+T14+Temperature!B66*1000</f>
        <v>42700318.478404067</v>
      </c>
      <c r="H60" s="631">
        <f>H14+U14+Temperature!B67*1000</f>
        <v>40040660.326766528</v>
      </c>
      <c r="I60" s="631">
        <f>I14+V14+Temperature!B68*1000</f>
        <v>47099491.392667755</v>
      </c>
      <c r="J60" s="631">
        <f>J14+W14+Temperature!B69*1000</f>
        <v>49013085.193224259</v>
      </c>
      <c r="K60" s="631">
        <f>K14+X14+Temperature!B70*1000</f>
        <v>46643269.194399141</v>
      </c>
      <c r="L60" s="631">
        <f>L14+Y14+Temperature!B71*1000</f>
        <v>41850128.168139338</v>
      </c>
      <c r="M60" s="631">
        <f>M14+Z14+Temperature!B72*1000</f>
        <v>38840074.012255482</v>
      </c>
      <c r="N60" s="631">
        <f>N14+AA14+Temperature!B73*1000</f>
        <v>37536951.90934743</v>
      </c>
      <c r="O60" s="631">
        <f>O14+AB14+Temperature!B74*1000</f>
        <v>41004217.946546637</v>
      </c>
      <c r="P60" s="648">
        <f t="shared" ref="P60:P67" si="50">SUM(D60:O60)</f>
        <v>515722481.6093744</v>
      </c>
      <c r="Q60" s="621">
        <f t="shared" ref="Q60:Q68" si="51">AE14</f>
        <v>515722481.60937446</v>
      </c>
      <c r="R60" s="641">
        <f t="shared" ref="R60:R68" si="52">Q60-P60</f>
        <v>0</v>
      </c>
      <c r="S60" s="640"/>
    </row>
    <row r="61" spans="2:19">
      <c r="C61" s="625" t="s">
        <v>52</v>
      </c>
      <c r="D61" s="647">
        <f t="shared" ref="D61:O63" si="53">D15+Q15</f>
        <v>105509.27547869312</v>
      </c>
      <c r="E61" s="647">
        <f t="shared" si="53"/>
        <v>105509.27547869312</v>
      </c>
      <c r="F61" s="647">
        <f t="shared" si="53"/>
        <v>105509.27547869312</v>
      </c>
      <c r="G61" s="647">
        <f t="shared" si="53"/>
        <v>105509.27547869312</v>
      </c>
      <c r="H61" s="647">
        <f t="shared" si="53"/>
        <v>105503.29094774388</v>
      </c>
      <c r="I61" s="647">
        <f t="shared" si="53"/>
        <v>105503.29094774388</v>
      </c>
      <c r="J61" s="647">
        <f t="shared" si="53"/>
        <v>105503.29094774388</v>
      </c>
      <c r="K61" s="647">
        <f t="shared" si="53"/>
        <v>105503.29094774388</v>
      </c>
      <c r="L61" s="647">
        <f t="shared" si="53"/>
        <v>105503.29094774388</v>
      </c>
      <c r="M61" s="647">
        <f t="shared" si="53"/>
        <v>105503.29094774388</v>
      </c>
      <c r="N61" s="647">
        <f t="shared" si="53"/>
        <v>105503.29094774388</v>
      </c>
      <c r="O61" s="647">
        <f t="shared" si="53"/>
        <v>105514.04496256777</v>
      </c>
      <c r="P61" s="648">
        <f t="shared" si="50"/>
        <v>1266074.1835115475</v>
      </c>
      <c r="Q61" s="621">
        <f t="shared" si="51"/>
        <v>1266074.1835115475</v>
      </c>
      <c r="R61" s="641">
        <f t="shared" si="52"/>
        <v>0</v>
      </c>
      <c r="S61" s="640"/>
    </row>
    <row r="62" spans="2:19">
      <c r="C62" s="626" t="s">
        <v>57</v>
      </c>
      <c r="D62" s="647">
        <f t="shared" si="53"/>
        <v>6722.623099642582</v>
      </c>
      <c r="E62" s="647">
        <f t="shared" si="53"/>
        <v>6232.8889836300441</v>
      </c>
      <c r="F62" s="647">
        <f t="shared" si="53"/>
        <v>7789.8644522564637</v>
      </c>
      <c r="G62" s="647">
        <f t="shared" si="53"/>
        <v>18487.213524017101</v>
      </c>
      <c r="H62" s="647">
        <f t="shared" si="53"/>
        <v>17406.008265854998</v>
      </c>
      <c r="I62" s="647">
        <f t="shared" si="53"/>
        <v>4180.1948680418491</v>
      </c>
      <c r="J62" s="647">
        <f t="shared" si="53"/>
        <v>12282.252351483496</v>
      </c>
      <c r="K62" s="647">
        <f t="shared" si="53"/>
        <v>19202.36497245089</v>
      </c>
      <c r="L62" s="647">
        <f t="shared" si="53"/>
        <v>29838.871312894287</v>
      </c>
      <c r="M62" s="647">
        <f t="shared" si="53"/>
        <v>70626.441997417147</v>
      </c>
      <c r="N62" s="647">
        <f t="shared" si="53"/>
        <v>81588.10785276907</v>
      </c>
      <c r="O62" s="647">
        <f t="shared" si="53"/>
        <v>76148.169219912903</v>
      </c>
      <c r="P62" s="648">
        <f t="shared" si="50"/>
        <v>350505.00090037083</v>
      </c>
      <c r="Q62" s="621">
        <f t="shared" si="51"/>
        <v>350505.00090037083</v>
      </c>
      <c r="R62" s="641">
        <f t="shared" si="52"/>
        <v>0</v>
      </c>
      <c r="S62" s="640"/>
    </row>
    <row r="63" spans="2:19">
      <c r="C63" s="625" t="s">
        <v>275</v>
      </c>
      <c r="D63" s="647">
        <f t="shared" si="53"/>
        <v>0</v>
      </c>
      <c r="E63" s="647">
        <f t="shared" si="53"/>
        <v>0</v>
      </c>
      <c r="F63" s="647">
        <f t="shared" si="53"/>
        <v>0</v>
      </c>
      <c r="G63" s="647">
        <f t="shared" si="53"/>
        <v>0</v>
      </c>
      <c r="H63" s="647">
        <f t="shared" si="53"/>
        <v>0</v>
      </c>
      <c r="I63" s="647">
        <f t="shared" si="53"/>
        <v>0</v>
      </c>
      <c r="J63" s="647">
        <f t="shared" si="53"/>
        <v>0</v>
      </c>
      <c r="K63" s="647">
        <f t="shared" si="53"/>
        <v>0</v>
      </c>
      <c r="L63" s="647">
        <f t="shared" si="53"/>
        <v>0</v>
      </c>
      <c r="M63" s="647">
        <f t="shared" si="53"/>
        <v>0</v>
      </c>
      <c r="N63" s="647">
        <f t="shared" si="53"/>
        <v>0</v>
      </c>
      <c r="O63" s="647">
        <f t="shared" si="53"/>
        <v>0</v>
      </c>
      <c r="P63" s="648">
        <f t="shared" si="50"/>
        <v>0</v>
      </c>
      <c r="Q63" s="621">
        <f t="shared" si="51"/>
        <v>0</v>
      </c>
      <c r="R63" s="641">
        <f t="shared" si="52"/>
        <v>0</v>
      </c>
      <c r="S63" s="640"/>
    </row>
    <row r="64" spans="2:19">
      <c r="C64" s="625" t="s">
        <v>53</v>
      </c>
      <c r="D64" s="647">
        <f t="shared" ref="D64:O64" si="54">D18+Q18</f>
        <v>59436755.53868106</v>
      </c>
      <c r="E64" s="647">
        <f t="shared" si="54"/>
        <v>61815206.624850877</v>
      </c>
      <c r="F64" s="647">
        <f t="shared" si="54"/>
        <v>65946360.256607383</v>
      </c>
      <c r="G64" s="647">
        <f t="shared" si="54"/>
        <v>69104779.251078531</v>
      </c>
      <c r="H64" s="647">
        <f t="shared" si="54"/>
        <v>69426379.964915901</v>
      </c>
      <c r="I64" s="647">
        <f t="shared" si="54"/>
        <v>71670132.22590214</v>
      </c>
      <c r="J64" s="647">
        <f t="shared" si="54"/>
        <v>67262793.48826018</v>
      </c>
      <c r="K64" s="647">
        <f t="shared" si="54"/>
        <v>60435446.084115081</v>
      </c>
      <c r="L64" s="647">
        <f t="shared" si="54"/>
        <v>57513993.569375388</v>
      </c>
      <c r="M64" s="647">
        <f t="shared" si="54"/>
        <v>55270457.748925164</v>
      </c>
      <c r="N64" s="647">
        <f t="shared" si="54"/>
        <v>54543538.717801526</v>
      </c>
      <c r="O64" s="647">
        <f t="shared" si="54"/>
        <v>57182793.667895429</v>
      </c>
      <c r="P64" s="648">
        <f t="shared" si="50"/>
        <v>749608637.13840878</v>
      </c>
      <c r="Q64" s="621">
        <f t="shared" si="51"/>
        <v>749608637.13840866</v>
      </c>
      <c r="R64" s="641">
        <f t="shared" si="52"/>
        <v>0</v>
      </c>
      <c r="S64" s="640"/>
    </row>
    <row r="65" spans="2:19">
      <c r="C65" s="625" t="s">
        <v>54</v>
      </c>
      <c r="D65" s="647">
        <f t="shared" ref="D65:O67" si="55">D19+Q19</f>
        <v>11113812.58051802</v>
      </c>
      <c r="E65" s="647">
        <f t="shared" si="55"/>
        <v>12407368.945195537</v>
      </c>
      <c r="F65" s="647">
        <f t="shared" si="55"/>
        <v>12808073.189119931</v>
      </c>
      <c r="G65" s="647">
        <f t="shared" si="55"/>
        <v>13564557.797976447</v>
      </c>
      <c r="H65" s="647">
        <f t="shared" si="55"/>
        <v>13820236.908564337</v>
      </c>
      <c r="I65" s="647">
        <f t="shared" si="55"/>
        <v>12873524.009268083</v>
      </c>
      <c r="J65" s="647">
        <f t="shared" si="55"/>
        <v>12438548.351441061</v>
      </c>
      <c r="K65" s="647">
        <f t="shared" si="55"/>
        <v>11153370.330092475</v>
      </c>
      <c r="L65" s="647">
        <f t="shared" si="55"/>
        <v>10482504.41068304</v>
      </c>
      <c r="M65" s="647">
        <f t="shared" si="55"/>
        <v>10402211.95378078</v>
      </c>
      <c r="N65" s="647">
        <f t="shared" si="55"/>
        <v>10372389.041217083</v>
      </c>
      <c r="O65" s="647">
        <f t="shared" si="55"/>
        <v>10484001.540842174</v>
      </c>
      <c r="P65" s="648">
        <f t="shared" si="50"/>
        <v>141920599.05869895</v>
      </c>
      <c r="Q65" s="621">
        <f t="shared" si="51"/>
        <v>141920599.05869895</v>
      </c>
      <c r="R65" s="641">
        <f t="shared" si="52"/>
        <v>0</v>
      </c>
      <c r="S65" s="640"/>
    </row>
    <row r="66" spans="2:19">
      <c r="C66" s="625" t="s">
        <v>55</v>
      </c>
      <c r="D66" s="647">
        <f t="shared" si="55"/>
        <v>185875.34211162804</v>
      </c>
      <c r="E66" s="647">
        <f t="shared" si="55"/>
        <v>185954.53740452297</v>
      </c>
      <c r="F66" s="647">
        <f t="shared" si="55"/>
        <v>185846.81584743669</v>
      </c>
      <c r="G66" s="647">
        <f t="shared" si="55"/>
        <v>185938.77813968997</v>
      </c>
      <c r="H66" s="647">
        <f t="shared" si="55"/>
        <v>186947.57057336628</v>
      </c>
      <c r="I66" s="647">
        <f t="shared" si="55"/>
        <v>186588.89768514206</v>
      </c>
      <c r="J66" s="647">
        <f t="shared" si="55"/>
        <v>187656.93697521582</v>
      </c>
      <c r="K66" s="647">
        <f t="shared" si="55"/>
        <v>185786.77105357934</v>
      </c>
      <c r="L66" s="647">
        <f t="shared" si="55"/>
        <v>185288.06014114295</v>
      </c>
      <c r="M66" s="647">
        <f t="shared" si="55"/>
        <v>184833.03630463599</v>
      </c>
      <c r="N66" s="647">
        <f t="shared" si="55"/>
        <v>185073.41496443033</v>
      </c>
      <c r="O66" s="647">
        <f t="shared" si="55"/>
        <v>181869.69606293892</v>
      </c>
      <c r="P66" s="648">
        <f t="shared" si="50"/>
        <v>2227659.857263729</v>
      </c>
      <c r="Q66" s="621">
        <f t="shared" si="51"/>
        <v>2227659.8572637294</v>
      </c>
      <c r="R66" s="641">
        <f t="shared" si="52"/>
        <v>0</v>
      </c>
      <c r="S66" s="640"/>
    </row>
    <row r="67" spans="2:19">
      <c r="C67" s="625" t="s">
        <v>56</v>
      </c>
      <c r="D67" s="647">
        <f t="shared" si="55"/>
        <v>27999.625467828868</v>
      </c>
      <c r="E67" s="647">
        <f t="shared" si="55"/>
        <v>23592.018423716021</v>
      </c>
      <c r="F67" s="647">
        <f t="shared" si="55"/>
        <v>17228.467181027645</v>
      </c>
      <c r="G67" s="647">
        <f t="shared" si="55"/>
        <v>29313.230011186326</v>
      </c>
      <c r="H67" s="647">
        <f t="shared" si="55"/>
        <v>32506.974694428991</v>
      </c>
      <c r="I67" s="647">
        <f t="shared" si="55"/>
        <v>21900.391008731778</v>
      </c>
      <c r="J67" s="647">
        <f t="shared" si="55"/>
        <v>14627.191061759417</v>
      </c>
      <c r="K67" s="647">
        <f t="shared" si="55"/>
        <v>13217.834023214169</v>
      </c>
      <c r="L67" s="647">
        <f t="shared" si="55"/>
        <v>32851.085224010101</v>
      </c>
      <c r="M67" s="647">
        <f t="shared" si="55"/>
        <v>30216.894184521072</v>
      </c>
      <c r="N67" s="647">
        <f t="shared" si="55"/>
        <v>17191.562573507352</v>
      </c>
      <c r="O67" s="647">
        <f t="shared" si="55"/>
        <v>21870.468353985594</v>
      </c>
      <c r="P67" s="648">
        <f t="shared" si="50"/>
        <v>282515.74220791733</v>
      </c>
      <c r="Q67" s="621">
        <f t="shared" si="51"/>
        <v>282515.74220791733</v>
      </c>
      <c r="R67" s="641">
        <f t="shared" si="52"/>
        <v>0</v>
      </c>
      <c r="S67" s="640"/>
    </row>
    <row r="68" spans="2:19">
      <c r="B68" t="s">
        <v>274</v>
      </c>
      <c r="C68" s="5"/>
      <c r="D68" s="649">
        <f t="shared" ref="D68:P68" si="56">SUM(D60:D67)</f>
        <v>115770561.11864622</v>
      </c>
      <c r="E68" s="649">
        <f t="shared" si="56"/>
        <v>116527790.15690999</v>
      </c>
      <c r="F68" s="649">
        <f t="shared" si="56"/>
        <v>123187280.85644823</v>
      </c>
      <c r="G68" s="649">
        <f t="shared" si="56"/>
        <v>125708904.02461262</v>
      </c>
      <c r="H68" s="649">
        <f t="shared" si="56"/>
        <v>123629641.04472816</v>
      </c>
      <c r="I68" s="649">
        <f t="shared" si="56"/>
        <v>131961320.40234762</v>
      </c>
      <c r="J68" s="649">
        <f t="shared" si="56"/>
        <v>129034496.70426169</v>
      </c>
      <c r="K68" s="649">
        <f t="shared" si="56"/>
        <v>118555795.86960368</v>
      </c>
      <c r="L68" s="649">
        <f t="shared" si="56"/>
        <v>110200107.45582356</v>
      </c>
      <c r="M68" s="649">
        <f t="shared" si="56"/>
        <v>104903923.37839575</v>
      </c>
      <c r="N68" s="649">
        <f t="shared" si="56"/>
        <v>102842236.04470451</v>
      </c>
      <c r="O68" s="649">
        <f t="shared" si="56"/>
        <v>109056415.53388365</v>
      </c>
      <c r="P68" s="650">
        <f t="shared" si="56"/>
        <v>1411378472.5903659</v>
      </c>
      <c r="Q68" s="621">
        <f t="shared" si="51"/>
        <v>1411378472.5903659</v>
      </c>
      <c r="R68" s="641">
        <f t="shared" si="52"/>
        <v>0</v>
      </c>
      <c r="S68" s="640"/>
    </row>
    <row r="69" spans="2:19">
      <c r="B69" t="s">
        <v>277</v>
      </c>
      <c r="C69" s="5"/>
      <c r="D69" s="649"/>
      <c r="E69" s="649"/>
      <c r="F69" s="649"/>
      <c r="G69" s="649"/>
      <c r="H69" s="649"/>
      <c r="I69" s="649"/>
      <c r="J69" s="649"/>
      <c r="K69" s="649"/>
      <c r="L69" s="649"/>
      <c r="M69" s="649"/>
      <c r="N69" s="649"/>
      <c r="O69" s="649"/>
      <c r="P69" s="650"/>
      <c r="Q69" s="621"/>
      <c r="R69" s="641"/>
      <c r="S69" s="640"/>
    </row>
    <row r="70" spans="2:19">
      <c r="C70" s="625" t="s">
        <v>51</v>
      </c>
      <c r="D70" s="647">
        <f t="shared" ref="D70:O77" ca="1" si="57">D24+Q24</f>
        <v>1331996.2288474129</v>
      </c>
      <c r="E70" s="647">
        <f t="shared" ca="1" si="57"/>
        <v>1397343.6403161695</v>
      </c>
      <c r="F70" s="647">
        <f t="shared" ca="1" si="57"/>
        <v>1536002.2450277014</v>
      </c>
      <c r="G70" s="647">
        <f t="shared" ca="1" si="57"/>
        <v>1437689.6834177396</v>
      </c>
      <c r="H70" s="647">
        <f t="shared" ca="1" si="57"/>
        <v>1445868.3737630527</v>
      </c>
      <c r="I70" s="647">
        <f t="shared" ca="1" si="57"/>
        <v>1775014.0290568196</v>
      </c>
      <c r="J70" s="647">
        <f t="shared" ca="1" si="57"/>
        <v>1790309.0315270831</v>
      </c>
      <c r="K70" s="647">
        <f t="shared" ca="1" si="57"/>
        <v>1608477.1195378434</v>
      </c>
      <c r="L70" s="647">
        <f t="shared" ca="1" si="57"/>
        <v>1426732.3874407327</v>
      </c>
      <c r="M70" s="647">
        <f t="shared" ca="1" si="57"/>
        <v>1455543.3143500222</v>
      </c>
      <c r="N70" s="647">
        <f t="shared" ca="1" si="57"/>
        <v>1215761.1033672057</v>
      </c>
      <c r="O70" s="647">
        <f t="shared" ca="1" si="57"/>
        <v>1238360.9698221406</v>
      </c>
      <c r="P70" s="648">
        <f t="shared" ref="P70:P77" ca="1" si="58">SUM(D70:O70)</f>
        <v>17659098.126473922</v>
      </c>
      <c r="Q70" s="621">
        <f t="shared" ref="Q70:Q77" ca="1" si="59">AE24</f>
        <v>17659098.126473922</v>
      </c>
      <c r="R70" s="641">
        <f t="shared" ref="R70:R77" ca="1" si="60">Q70-P70</f>
        <v>0</v>
      </c>
      <c r="S70" s="640"/>
    </row>
    <row r="71" spans="2:19">
      <c r="C71" s="625" t="s">
        <v>52</v>
      </c>
      <c r="D71" s="647">
        <f t="shared" ca="1" si="57"/>
        <v>2814.0858203507219</v>
      </c>
      <c r="E71" s="647">
        <f t="shared" ca="1" si="57"/>
        <v>2814.0858203507219</v>
      </c>
      <c r="F71" s="647">
        <f t="shared" ca="1" si="57"/>
        <v>2814.0858203507219</v>
      </c>
      <c r="G71" s="647">
        <f t="shared" ca="1" si="57"/>
        <v>2814.0858203507219</v>
      </c>
      <c r="H71" s="647">
        <f t="shared" ca="1" si="57"/>
        <v>2814.0858203507219</v>
      </c>
      <c r="I71" s="647">
        <f t="shared" ca="1" si="57"/>
        <v>2814.0858203507219</v>
      </c>
      <c r="J71" s="647">
        <f t="shared" ca="1" si="57"/>
        <v>2814.0858203507219</v>
      </c>
      <c r="K71" s="647">
        <f t="shared" ca="1" si="57"/>
        <v>2814.0858203507219</v>
      </c>
      <c r="L71" s="647">
        <f t="shared" ca="1" si="57"/>
        <v>2814.0858203507219</v>
      </c>
      <c r="M71" s="647">
        <f t="shared" ca="1" si="57"/>
        <v>2814.0858203507219</v>
      </c>
      <c r="N71" s="647">
        <f t="shared" ca="1" si="57"/>
        <v>2814.0858203507219</v>
      </c>
      <c r="O71" s="647">
        <f t="shared" ca="1" si="57"/>
        <v>2815.0995400266406</v>
      </c>
      <c r="P71" s="648">
        <f t="shared" ca="1" si="58"/>
        <v>33770.043563884588</v>
      </c>
      <c r="Q71" s="621">
        <f t="shared" ca="1" si="59"/>
        <v>33770.043563884581</v>
      </c>
      <c r="R71" s="641">
        <f t="shared" ca="1" si="60"/>
        <v>0</v>
      </c>
      <c r="S71" s="640"/>
    </row>
    <row r="72" spans="2:19">
      <c r="C72" s="625" t="s">
        <v>57</v>
      </c>
      <c r="D72" s="647">
        <f t="shared" ca="1" si="57"/>
        <v>300.06102407197898</v>
      </c>
      <c r="E72" s="647">
        <f t="shared" ca="1" si="57"/>
        <v>1411.0977888790364</v>
      </c>
      <c r="F72" s="647">
        <f t="shared" ca="1" si="57"/>
        <v>711.63121249503126</v>
      </c>
      <c r="G72" s="647">
        <f t="shared" ca="1" si="57"/>
        <v>739.00164374484018</v>
      </c>
      <c r="H72" s="647">
        <f t="shared" ca="1" si="57"/>
        <v>18.246954166539265</v>
      </c>
      <c r="I72" s="647">
        <f t="shared" ca="1" si="57"/>
        <v>17.233234490620415</v>
      </c>
      <c r="J72" s="647">
        <f t="shared" ca="1" si="57"/>
        <v>18.246954166539265</v>
      </c>
      <c r="K72" s="647">
        <f t="shared" ca="1" si="57"/>
        <v>15.205795138782719</v>
      </c>
      <c r="L72" s="647">
        <f t="shared" ca="1" si="57"/>
        <v>469.35220995042658</v>
      </c>
      <c r="M72" s="647">
        <f t="shared" ca="1" si="57"/>
        <v>635.60223680111767</v>
      </c>
      <c r="N72" s="647">
        <f t="shared" ca="1" si="57"/>
        <v>555.51838240352868</v>
      </c>
      <c r="O72" s="647">
        <f t="shared" ca="1" si="57"/>
        <v>1259.0398374912093</v>
      </c>
      <c r="P72" s="648">
        <f t="shared" ca="1" si="58"/>
        <v>6150.2372737996502</v>
      </c>
      <c r="Q72" s="621">
        <f t="shared" ca="1" si="59"/>
        <v>6150.2372737996502</v>
      </c>
      <c r="R72" s="641">
        <f t="shared" ca="1" si="60"/>
        <v>0</v>
      </c>
      <c r="S72" s="640"/>
    </row>
    <row r="73" spans="2:19">
      <c r="C73" s="625" t="s">
        <v>53</v>
      </c>
      <c r="D73" s="647">
        <f t="shared" ca="1" si="57"/>
        <v>8740696.5336426739</v>
      </c>
      <c r="E73" s="647">
        <f t="shared" ca="1" si="57"/>
        <v>9560593.0075258389</v>
      </c>
      <c r="F73" s="647">
        <f t="shared" ca="1" si="57"/>
        <v>11003541.868622245</v>
      </c>
      <c r="G73" s="647">
        <f t="shared" ca="1" si="57"/>
        <v>11210462.328870801</v>
      </c>
      <c r="H73" s="647">
        <f t="shared" ca="1" si="57"/>
        <v>11003967.630886132</v>
      </c>
      <c r="I73" s="647">
        <f t="shared" ca="1" si="57"/>
        <v>10149807.43195691</v>
      </c>
      <c r="J73" s="647">
        <f t="shared" ca="1" si="57"/>
        <v>9029403.897344362</v>
      </c>
      <c r="K73" s="647">
        <f t="shared" ca="1" si="57"/>
        <v>8482887.3456629924</v>
      </c>
      <c r="L73" s="647">
        <f t="shared" ca="1" si="57"/>
        <v>8380298.9144600062</v>
      </c>
      <c r="M73" s="647">
        <f t="shared" ca="1" si="57"/>
        <v>7887550.0543893725</v>
      </c>
      <c r="N73" s="647">
        <f t="shared" ca="1" si="57"/>
        <v>7799863.3024223922</v>
      </c>
      <c r="O73" s="647">
        <f t="shared" ca="1" si="57"/>
        <v>7846680.9319350282</v>
      </c>
      <c r="P73" s="648">
        <f t="shared" ca="1" si="58"/>
        <v>111095753.24771875</v>
      </c>
      <c r="Q73" s="621">
        <f t="shared" ca="1" si="59"/>
        <v>111095753.24771875</v>
      </c>
      <c r="R73" s="641">
        <f t="shared" ca="1" si="60"/>
        <v>0</v>
      </c>
      <c r="S73" s="640"/>
    </row>
    <row r="74" spans="2:19">
      <c r="C74" s="625" t="s">
        <v>167</v>
      </c>
      <c r="D74" s="647">
        <f t="shared" ca="1" si="57"/>
        <v>152057.9513878272</v>
      </c>
      <c r="E74" s="647">
        <f t="shared" ca="1" si="57"/>
        <v>113536.60370291097</v>
      </c>
      <c r="F74" s="647">
        <f t="shared" ca="1" si="57"/>
        <v>231128.08610949732</v>
      </c>
      <c r="G74" s="647">
        <f t="shared" ca="1" si="57"/>
        <v>113536.60370291097</v>
      </c>
      <c r="H74" s="647">
        <f t="shared" ca="1" si="57"/>
        <v>110495.44467515443</v>
      </c>
      <c r="I74" s="647">
        <f t="shared" ca="1" si="57"/>
        <v>387240.91620099993</v>
      </c>
      <c r="J74" s="647">
        <f t="shared" ca="1" si="57"/>
        <v>119618.92175842405</v>
      </c>
      <c r="K74" s="647">
        <f t="shared" ca="1" si="57"/>
        <v>170304.90555436647</v>
      </c>
      <c r="L74" s="647">
        <f t="shared" ca="1" si="57"/>
        <v>57782.021527374331</v>
      </c>
      <c r="M74" s="647">
        <f t="shared" ca="1" si="57"/>
        <v>71974.096990238206</v>
      </c>
      <c r="N74" s="647">
        <f t="shared" ca="1" si="57"/>
        <v>119618.92175842405</v>
      </c>
      <c r="O74" s="647">
        <f t="shared" ca="1" si="57"/>
        <v>87179.892129020925</v>
      </c>
      <c r="P74" s="648">
        <f t="shared" ca="1" si="58"/>
        <v>1734474.3654971488</v>
      </c>
      <c r="Q74" s="621">
        <f t="shared" ca="1" si="59"/>
        <v>1734474.3654971488</v>
      </c>
      <c r="R74" s="641">
        <f t="shared" ca="1" si="60"/>
        <v>0</v>
      </c>
      <c r="S74" s="640"/>
    </row>
    <row r="75" spans="2:19">
      <c r="C75" s="625" t="s">
        <v>591</v>
      </c>
      <c r="D75" s="647">
        <f t="shared" ca="1" si="57"/>
        <v>39358680.137225188</v>
      </c>
      <c r="E75" s="647">
        <f t="shared" ca="1" si="57"/>
        <v>40398756.524717927</v>
      </c>
      <c r="F75" s="647">
        <f t="shared" ca="1" si="57"/>
        <v>40544732.158050247</v>
      </c>
      <c r="G75" s="647">
        <f t="shared" ca="1" si="57"/>
        <v>39121469.733060181</v>
      </c>
      <c r="H75" s="647">
        <f t="shared" ca="1" si="57"/>
        <v>39997323.533054069</v>
      </c>
      <c r="I75" s="647">
        <f t="shared" ca="1" si="57"/>
        <v>39960829.624720983</v>
      </c>
      <c r="J75" s="647">
        <f t="shared" ca="1" si="57"/>
        <v>41438832.912210666</v>
      </c>
      <c r="K75" s="647">
        <f t="shared" ca="1" si="57"/>
        <v>40727201.699715637</v>
      </c>
      <c r="L75" s="647">
        <f t="shared" ca="1" si="57"/>
        <v>38227368.978899755</v>
      </c>
      <c r="M75" s="647">
        <f t="shared" ca="1" si="57"/>
        <v>39997323.533054069</v>
      </c>
      <c r="N75" s="647">
        <f t="shared" ca="1" si="57"/>
        <v>33063480.949769147</v>
      </c>
      <c r="O75" s="647">
        <f t="shared" ca="1" si="57"/>
        <v>41092140.783046424</v>
      </c>
      <c r="P75" s="648">
        <f t="shared" ca="1" si="58"/>
        <v>473928140.56752425</v>
      </c>
      <c r="Q75" s="621">
        <f t="shared" ca="1" si="59"/>
        <v>473928140.56752431</v>
      </c>
      <c r="R75" s="641">
        <f t="shared" ca="1" si="60"/>
        <v>0</v>
      </c>
      <c r="S75" s="640"/>
    </row>
    <row r="76" spans="2:19">
      <c r="C76" s="625" t="s">
        <v>54</v>
      </c>
      <c r="D76" s="647">
        <f t="shared" ca="1" si="57"/>
        <v>18156226.255544528</v>
      </c>
      <c r="E76" s="647">
        <f t="shared" ca="1" si="57"/>
        <v>18599931.357694205</v>
      </c>
      <c r="F76" s="647">
        <f t="shared" ca="1" si="57"/>
        <v>18104729.296007849</v>
      </c>
      <c r="G76" s="647">
        <f t="shared" ca="1" si="57"/>
        <v>18205138.22990761</v>
      </c>
      <c r="H76" s="647">
        <f t="shared" ca="1" si="57"/>
        <v>21531405.91651633</v>
      </c>
      <c r="I76" s="647">
        <f t="shared" ca="1" si="57"/>
        <v>17151123.19687099</v>
      </c>
      <c r="J76" s="647">
        <f t="shared" ca="1" si="57"/>
        <v>16799109.03940817</v>
      </c>
      <c r="K76" s="647">
        <f t="shared" ca="1" si="57"/>
        <v>17141949.033803925</v>
      </c>
      <c r="L76" s="647">
        <f t="shared" ca="1" si="57"/>
        <v>17368261.951452807</v>
      </c>
      <c r="M76" s="647">
        <f t="shared" ca="1" si="57"/>
        <v>17535981.871833578</v>
      </c>
      <c r="N76" s="647">
        <f t="shared" ca="1" si="57"/>
        <v>17444645.729033291</v>
      </c>
      <c r="O76" s="647">
        <f t="shared" ca="1" si="57"/>
        <v>18395668.870435908</v>
      </c>
      <c r="P76" s="648">
        <f t="shared" ca="1" si="58"/>
        <v>216434170.74850917</v>
      </c>
      <c r="Q76" s="621">
        <f t="shared" ca="1" si="59"/>
        <v>216434170.7485092</v>
      </c>
      <c r="R76" s="641">
        <f t="shared" ca="1" si="60"/>
        <v>0</v>
      </c>
      <c r="S76" s="640"/>
    </row>
    <row r="77" spans="2:19">
      <c r="C77" s="625" t="s">
        <v>55</v>
      </c>
      <c r="D77" s="647">
        <f t="shared" ca="1" si="57"/>
        <v>12759.689560790539</v>
      </c>
      <c r="E77" s="647">
        <f t="shared" ca="1" si="57"/>
        <v>12759.689560790539</v>
      </c>
      <c r="F77" s="647">
        <f t="shared" ca="1" si="57"/>
        <v>12759.689560790539</v>
      </c>
      <c r="G77" s="647">
        <f t="shared" ca="1" si="57"/>
        <v>12597.494412643524</v>
      </c>
      <c r="H77" s="647">
        <f t="shared" ca="1" si="57"/>
        <v>12597.494412643524</v>
      </c>
      <c r="I77" s="647">
        <f t="shared" ca="1" si="57"/>
        <v>12465.305366903707</v>
      </c>
      <c r="J77" s="647">
        <f t="shared" ca="1" si="57"/>
        <v>12465.305366903707</v>
      </c>
      <c r="K77" s="647">
        <f t="shared" ca="1" si="57"/>
        <v>12818.079814123465</v>
      </c>
      <c r="L77" s="647">
        <f t="shared" ca="1" si="57"/>
        <v>12759.689560790539</v>
      </c>
      <c r="M77" s="647">
        <f t="shared" ca="1" si="57"/>
        <v>12728.872482642606</v>
      </c>
      <c r="N77" s="647">
        <f t="shared" ca="1" si="57"/>
        <v>12759.689560790539</v>
      </c>
      <c r="O77" s="647">
        <f t="shared" ca="1" si="57"/>
        <v>12639.563779194155</v>
      </c>
      <c r="P77" s="648">
        <f t="shared" ca="1" si="58"/>
        <v>152110.56343900738</v>
      </c>
      <c r="Q77" s="621">
        <f t="shared" ca="1" si="59"/>
        <v>152110.56343900741</v>
      </c>
      <c r="R77" s="641">
        <f t="shared" ca="1" si="60"/>
        <v>0</v>
      </c>
      <c r="S77" s="640"/>
    </row>
    <row r="78" spans="2:19">
      <c r="B78" t="s">
        <v>277</v>
      </c>
      <c r="C78" s="625"/>
      <c r="D78" s="649">
        <f t="shared" ref="D78:P78" ca="1" si="61">SUM(D70:D77)</f>
        <v>67755530.943052843</v>
      </c>
      <c r="E78" s="649">
        <f t="shared" ca="1" si="61"/>
        <v>70087146.007127061</v>
      </c>
      <c r="F78" s="649">
        <f t="shared" ca="1" si="61"/>
        <v>71436419.06041117</v>
      </c>
      <c r="G78" s="649">
        <f t="shared" ca="1" si="61"/>
        <v>70104447.160835981</v>
      </c>
      <c r="H78" s="649">
        <f t="shared" ca="1" si="61"/>
        <v>74104490.726081908</v>
      </c>
      <c r="I78" s="649">
        <f t="shared" ca="1" si="61"/>
        <v>69439311.823228449</v>
      </c>
      <c r="J78" s="649">
        <f t="shared" ca="1" si="61"/>
        <v>69192571.440390125</v>
      </c>
      <c r="K78" s="649">
        <f t="shared" ca="1" si="61"/>
        <v>68146467.475704372</v>
      </c>
      <c r="L78" s="649">
        <f t="shared" ca="1" si="61"/>
        <v>65476487.381371766</v>
      </c>
      <c r="M78" s="649">
        <f t="shared" ca="1" si="61"/>
        <v>66964551.431157075</v>
      </c>
      <c r="N78" s="649">
        <f t="shared" ca="1" si="61"/>
        <v>59659499.300114006</v>
      </c>
      <c r="O78" s="649">
        <f t="shared" ca="1" si="61"/>
        <v>68676745.150525227</v>
      </c>
      <c r="P78" s="649">
        <f t="shared" ca="1" si="61"/>
        <v>821043667.89999998</v>
      </c>
      <c r="Q78" s="621"/>
      <c r="R78" s="641"/>
      <c r="S78" s="640"/>
    </row>
    <row r="79" spans="2:19">
      <c r="B79" t="s">
        <v>279</v>
      </c>
      <c r="C79" s="625"/>
      <c r="D79" s="647"/>
      <c r="E79" s="647"/>
      <c r="F79" s="647"/>
      <c r="G79" s="647"/>
      <c r="H79" s="647"/>
      <c r="I79" s="647"/>
      <c r="J79" s="647"/>
      <c r="K79" s="647"/>
      <c r="L79" s="647"/>
      <c r="M79" s="647"/>
      <c r="N79" s="647"/>
      <c r="O79" s="647"/>
      <c r="P79" s="648"/>
      <c r="Q79" s="621"/>
      <c r="R79" s="641"/>
      <c r="S79" s="640"/>
    </row>
    <row r="80" spans="2:19">
      <c r="C80" s="625" t="s">
        <v>58</v>
      </c>
      <c r="D80" s="647">
        <f ca="1">D34+Q34+Temperature!B80*1000</f>
        <v>30651496.090579726</v>
      </c>
      <c r="E80" s="647">
        <f ca="1">E34+R34+Temperature!B81*1000</f>
        <v>29890246.662235104</v>
      </c>
      <c r="F80" s="647">
        <f ca="1">F34+S34+Temperature!B82*1000</f>
        <v>23179842.53481048</v>
      </c>
      <c r="G80" s="647">
        <f ca="1">G34+T34+Temperature!B83*1000</f>
        <v>13657368.996598314</v>
      </c>
      <c r="H80" s="647">
        <f ca="1">H34+U34+Temperature!B84*1000</f>
        <v>3326191.7771614203</v>
      </c>
      <c r="I80" s="647">
        <f ca="1">I34+V34+Temperature!B85*1000</f>
        <v>544359.0774337881</v>
      </c>
      <c r="J80" s="647">
        <f ca="1">J34+W34+Temperature!B86*1000</f>
        <v>460313.32240880432</v>
      </c>
      <c r="K80" s="647">
        <f ca="1">K34+X34+Temperature!B87*1000</f>
        <v>444898.91194999189</v>
      </c>
      <c r="L80" s="647">
        <f ca="1">L34+Y34+Temperature!B88*1000</f>
        <v>976097.7455726692</v>
      </c>
      <c r="M80" s="647">
        <f ca="1">M34+Z34+Temperature!B89*1000</f>
        <v>5239933.1140803806</v>
      </c>
      <c r="N80" s="647">
        <f ca="1">N34+AA34+Temperature!B90*1000</f>
        <v>15810550.845765978</v>
      </c>
      <c r="O80" s="647">
        <f ca="1">O34+AB34+Temperature!B91*1000</f>
        <v>23889188.305357985</v>
      </c>
      <c r="P80" s="648">
        <f ca="1">SUM(D80:O80)</f>
        <v>148070487.38395467</v>
      </c>
      <c r="Q80" s="621">
        <f ca="1">AE34</f>
        <v>148070487.38395464</v>
      </c>
      <c r="R80" s="641">
        <f ca="1">Q80-P80</f>
        <v>0</v>
      </c>
      <c r="S80" s="640"/>
    </row>
    <row r="81" spans="2:19">
      <c r="C81" s="625" t="s">
        <v>59</v>
      </c>
      <c r="D81" s="647">
        <f t="shared" ref="D81:O81" ca="1" si="62">D35+Q35</f>
        <v>913465.28122286615</v>
      </c>
      <c r="E81" s="647">
        <f t="shared" ca="1" si="62"/>
        <v>1027017.5194554518</v>
      </c>
      <c r="F81" s="647">
        <f t="shared" ca="1" si="62"/>
        <v>994251.71721493872</v>
      </c>
      <c r="G81" s="647">
        <f t="shared" ca="1" si="62"/>
        <v>605187.51501124888</v>
      </c>
      <c r="H81" s="647">
        <f t="shared" ca="1" si="62"/>
        <v>242050.63726406655</v>
      </c>
      <c r="I81" s="647">
        <f t="shared" ca="1" si="62"/>
        <v>62996.240111811334</v>
      </c>
      <c r="J81" s="647">
        <f t="shared" ca="1" si="62"/>
        <v>92084.393275313603</v>
      </c>
      <c r="K81" s="647">
        <f t="shared" ca="1" si="62"/>
        <v>75061.812718691304</v>
      </c>
      <c r="L81" s="647">
        <f t="shared" ca="1" si="62"/>
        <v>30166.469927661699</v>
      </c>
      <c r="M81" s="647">
        <f t="shared" ca="1" si="62"/>
        <v>136781.74005032523</v>
      </c>
      <c r="N81" s="647">
        <f t="shared" ca="1" si="62"/>
        <v>591220.16528641165</v>
      </c>
      <c r="O81" s="647">
        <f t="shared" ca="1" si="62"/>
        <v>714294.48884318478</v>
      </c>
      <c r="P81" s="648">
        <f ca="1">SUM(D81:O81)</f>
        <v>5484577.9803819722</v>
      </c>
      <c r="Q81" s="621">
        <f ca="1">AE35</f>
        <v>5484577.9803819712</v>
      </c>
      <c r="R81" s="641">
        <f ca="1">Q81-P81</f>
        <v>0</v>
      </c>
      <c r="S81" s="640"/>
    </row>
    <row r="82" spans="2:19">
      <c r="B82" t="s">
        <v>279</v>
      </c>
      <c r="C82" s="625"/>
      <c r="D82" s="649">
        <f t="shared" ref="D82:P82" ca="1" si="63">SUM(D80:D81)</f>
        <v>31564961.371802591</v>
      </c>
      <c r="E82" s="649">
        <f t="shared" ca="1" si="63"/>
        <v>30917264.181690555</v>
      </c>
      <c r="F82" s="649">
        <f t="shared" ca="1" si="63"/>
        <v>24174094.252025418</v>
      </c>
      <c r="G82" s="649">
        <f t="shared" ca="1" si="63"/>
        <v>14262556.511609564</v>
      </c>
      <c r="H82" s="649">
        <f t="shared" ca="1" si="63"/>
        <v>3568242.4144254867</v>
      </c>
      <c r="I82" s="649">
        <f t="shared" ca="1" si="63"/>
        <v>607355.31754559942</v>
      </c>
      <c r="J82" s="649">
        <f t="shared" ca="1" si="63"/>
        <v>552397.71568411798</v>
      </c>
      <c r="K82" s="649">
        <f t="shared" ca="1" si="63"/>
        <v>519960.72466868319</v>
      </c>
      <c r="L82" s="649">
        <f t="shared" ca="1" si="63"/>
        <v>1006264.2155003309</v>
      </c>
      <c r="M82" s="649">
        <f t="shared" ca="1" si="63"/>
        <v>5376714.8541307058</v>
      </c>
      <c r="N82" s="649">
        <f t="shared" ca="1" si="63"/>
        <v>16401771.011052391</v>
      </c>
      <c r="O82" s="649">
        <f t="shared" ca="1" si="63"/>
        <v>24603482.794201169</v>
      </c>
      <c r="P82" s="649">
        <f t="shared" ca="1" si="63"/>
        <v>153555065.36433664</v>
      </c>
      <c r="Q82" s="621">
        <f ca="1">AE36</f>
        <v>153555065.36433661</v>
      </c>
      <c r="R82" s="641">
        <f ca="1">Q82-P82</f>
        <v>0</v>
      </c>
      <c r="S82" s="640"/>
    </row>
    <row r="83" spans="2:19">
      <c r="B83" t="s">
        <v>583</v>
      </c>
      <c r="C83" s="625"/>
      <c r="D83" s="649" t="s">
        <v>31</v>
      </c>
      <c r="E83" s="649" t="s">
        <v>31</v>
      </c>
      <c r="F83" s="649" t="s">
        <v>31</v>
      </c>
      <c r="G83" s="649" t="s">
        <v>31</v>
      </c>
      <c r="H83" s="649" t="s">
        <v>31</v>
      </c>
      <c r="I83" s="649" t="s">
        <v>31</v>
      </c>
      <c r="J83" s="649" t="s">
        <v>31</v>
      </c>
      <c r="K83" s="649" t="s">
        <v>31</v>
      </c>
      <c r="L83" s="649" t="s">
        <v>31</v>
      </c>
      <c r="M83" s="649" t="s">
        <v>31</v>
      </c>
      <c r="N83" s="649" t="s">
        <v>31</v>
      </c>
      <c r="O83" s="649" t="s">
        <v>31</v>
      </c>
      <c r="P83" s="650" t="s">
        <v>31</v>
      </c>
      <c r="S83" s="640"/>
    </row>
    <row r="84" spans="2:19">
      <c r="C84" s="625" t="s">
        <v>61</v>
      </c>
      <c r="D84" s="647">
        <f t="shared" ref="D84:O88" ca="1" si="64">D38+Q38</f>
        <v>24819.006135611187</v>
      </c>
      <c r="E84" s="647">
        <f t="shared" ca="1" si="64"/>
        <v>24778.851589153332</v>
      </c>
      <c r="F84" s="647">
        <f t="shared" ca="1" si="64"/>
        <v>24778.851589153332</v>
      </c>
      <c r="G84" s="647">
        <f t="shared" ca="1" si="64"/>
        <v>24778.851589153332</v>
      </c>
      <c r="H84" s="647">
        <f t="shared" ca="1" si="64"/>
        <v>24778.851589153332</v>
      </c>
      <c r="I84" s="647">
        <f t="shared" ca="1" si="64"/>
        <v>24774.032721864383</v>
      </c>
      <c r="J84" s="647">
        <f t="shared" ca="1" si="64"/>
        <v>24334.371921484242</v>
      </c>
      <c r="K84" s="647">
        <f t="shared" ca="1" si="64"/>
        <v>23071.891553025143</v>
      </c>
      <c r="L84" s="647">
        <f t="shared" ca="1" si="64"/>
        <v>23027.169741003378</v>
      </c>
      <c r="M84" s="647">
        <f t="shared" ca="1" si="64"/>
        <v>22757.848213682162</v>
      </c>
      <c r="N84" s="647">
        <f t="shared" ca="1" si="64"/>
        <v>22411.103963152513</v>
      </c>
      <c r="O84" s="647">
        <f t="shared" ca="1" si="64"/>
        <v>22388.286712121</v>
      </c>
      <c r="P84" s="648">
        <f ca="1">SUM(D84:O84)</f>
        <v>286699.11731855728</v>
      </c>
      <c r="Q84" s="621">
        <f t="shared" ref="Q84:Q89" ca="1" si="65">AE38</f>
        <v>286699.11731855728</v>
      </c>
      <c r="R84" s="641">
        <f t="shared" ref="R84:R89" ca="1" si="66">Q84-P84</f>
        <v>0</v>
      </c>
      <c r="S84" s="640"/>
    </row>
    <row r="85" spans="2:19">
      <c r="C85" s="625" t="s">
        <v>62</v>
      </c>
      <c r="D85" s="647">
        <f t="shared" ca="1" si="64"/>
        <v>267512.18916358752</v>
      </c>
      <c r="E85" s="647">
        <f t="shared" ca="1" si="64"/>
        <v>267512.18916358752</v>
      </c>
      <c r="F85" s="647">
        <f t="shared" ca="1" si="64"/>
        <v>267537.74448474281</v>
      </c>
      <c r="G85" s="647">
        <f t="shared" ca="1" si="64"/>
        <v>267541.39524490782</v>
      </c>
      <c r="H85" s="647">
        <f t="shared" ca="1" si="64"/>
        <v>267626.27541874506</v>
      </c>
      <c r="I85" s="647">
        <f t="shared" ca="1" si="64"/>
        <v>268270.63458787499</v>
      </c>
      <c r="J85" s="647">
        <f t="shared" ca="1" si="64"/>
        <v>268106.3503804481</v>
      </c>
      <c r="K85" s="647">
        <f t="shared" ca="1" si="64"/>
        <v>268106.3503804481</v>
      </c>
      <c r="L85" s="647">
        <f t="shared" ca="1" si="64"/>
        <v>268106.3503804481</v>
      </c>
      <c r="M85" s="647">
        <f t="shared" ca="1" si="64"/>
        <v>268453.17259612709</v>
      </c>
      <c r="N85" s="647">
        <f t="shared" ca="1" si="64"/>
        <v>269814.90613768785</v>
      </c>
      <c r="O85" s="647">
        <f t="shared" ca="1" si="64"/>
        <v>267464.72928144195</v>
      </c>
      <c r="P85" s="648">
        <f ca="1">SUM(D85:O85)</f>
        <v>3216052.2872200473</v>
      </c>
      <c r="Q85" s="621">
        <f t="shared" ca="1" si="65"/>
        <v>3216052.2872200469</v>
      </c>
      <c r="R85" s="641">
        <f t="shared" ca="1" si="66"/>
        <v>0</v>
      </c>
      <c r="S85" s="640"/>
    </row>
    <row r="86" spans="2:19">
      <c r="C86" s="625" t="s">
        <v>63</v>
      </c>
      <c r="D86" s="647">
        <f t="shared" ca="1" si="64"/>
        <v>59778.003287420834</v>
      </c>
      <c r="E86" s="647">
        <f t="shared" ca="1" si="64"/>
        <v>65215.354208230492</v>
      </c>
      <c r="F86" s="647">
        <f t="shared" ca="1" si="64"/>
        <v>74797.686951424883</v>
      </c>
      <c r="G86" s="647">
        <f t="shared" ca="1" si="64"/>
        <v>86512.519976024516</v>
      </c>
      <c r="H86" s="647">
        <f t="shared" ca="1" si="64"/>
        <v>103839.48406433521</v>
      </c>
      <c r="I86" s="647">
        <f t="shared" ca="1" si="64"/>
        <v>121552.97238511972</v>
      </c>
      <c r="J86" s="647">
        <f t="shared" ca="1" si="64"/>
        <v>123782.67415591922</v>
      </c>
      <c r="K86" s="647">
        <f t="shared" ca="1" si="64"/>
        <v>107029.33575854078</v>
      </c>
      <c r="L86" s="647">
        <f t="shared" ca="1" si="64"/>
        <v>96343.5607554624</v>
      </c>
      <c r="M86" s="647">
        <f t="shared" ca="1" si="64"/>
        <v>85871.355222038983</v>
      </c>
      <c r="N86" s="647">
        <f t="shared" ca="1" si="64"/>
        <v>73619.404108157527</v>
      </c>
      <c r="O86" s="647">
        <f t="shared" ca="1" si="64"/>
        <v>66840.855171715506</v>
      </c>
      <c r="P86" s="648">
        <f ca="1">SUM(D86:O86)</f>
        <v>1065183.2060443899</v>
      </c>
      <c r="Q86" s="621">
        <f t="shared" ca="1" si="65"/>
        <v>1065183.2060443901</v>
      </c>
      <c r="R86" s="641">
        <f t="shared" ca="1" si="66"/>
        <v>0</v>
      </c>
      <c r="S86" s="640"/>
    </row>
    <row r="87" spans="2:19">
      <c r="C87" s="625" t="s">
        <v>64</v>
      </c>
      <c r="D87" s="647">
        <f t="shared" ca="1" si="64"/>
        <v>251502.75465635321</v>
      </c>
      <c r="E87" s="647">
        <f t="shared" ca="1" si="64"/>
        <v>251306.21560049028</v>
      </c>
      <c r="F87" s="647">
        <f t="shared" ca="1" si="64"/>
        <v>251233.59213252249</v>
      </c>
      <c r="G87" s="647">
        <f t="shared" ca="1" si="64"/>
        <v>251608.44733067675</v>
      </c>
      <c r="H87" s="647">
        <f t="shared" ca="1" si="64"/>
        <v>252569.51186416476</v>
      </c>
      <c r="I87" s="647">
        <f t="shared" ca="1" si="64"/>
        <v>252827.90329570393</v>
      </c>
      <c r="J87" s="647">
        <f t="shared" ca="1" si="64"/>
        <v>253599.1204404145</v>
      </c>
      <c r="K87" s="647">
        <f t="shared" ca="1" si="64"/>
        <v>254081.3557611453</v>
      </c>
      <c r="L87" s="647">
        <f t="shared" ca="1" si="64"/>
        <v>254235.51094191265</v>
      </c>
      <c r="M87" s="647">
        <f t="shared" ca="1" si="64"/>
        <v>255592.82836317274</v>
      </c>
      <c r="N87" s="647">
        <f t="shared" ca="1" si="64"/>
        <v>255509.45789302106</v>
      </c>
      <c r="O87" s="647">
        <f t="shared" ca="1" si="64"/>
        <v>256119.99206857345</v>
      </c>
      <c r="P87" s="648">
        <f ca="1">SUM(D87:O87)</f>
        <v>3040186.6903481507</v>
      </c>
      <c r="Q87" s="621">
        <f t="shared" ca="1" si="65"/>
        <v>3040186.6903481511</v>
      </c>
      <c r="R87" s="641">
        <f t="shared" ca="1" si="66"/>
        <v>0</v>
      </c>
      <c r="S87" s="640"/>
    </row>
    <row r="88" spans="2:19">
      <c r="C88" s="625" t="s">
        <v>65</v>
      </c>
      <c r="D88" s="647">
        <f t="shared" ca="1" si="64"/>
        <v>149370.55126587258</v>
      </c>
      <c r="E88" s="647">
        <f t="shared" ca="1" si="64"/>
        <v>149370.55126587258</v>
      </c>
      <c r="F88" s="647">
        <f t="shared" ca="1" si="64"/>
        <v>149370.55126587258</v>
      </c>
      <c r="G88" s="647">
        <f t="shared" ca="1" si="64"/>
        <v>149370.55126587258</v>
      </c>
      <c r="H88" s="647">
        <f t="shared" ca="1" si="64"/>
        <v>149370.55126587258</v>
      </c>
      <c r="I88" s="647">
        <f t="shared" ca="1" si="64"/>
        <v>149127.12242378746</v>
      </c>
      <c r="J88" s="647">
        <f t="shared" ca="1" si="64"/>
        <v>148977.01677475235</v>
      </c>
      <c r="K88" s="647">
        <f t="shared" ca="1" si="64"/>
        <v>148810.75874569817</v>
      </c>
      <c r="L88" s="647">
        <f t="shared" ca="1" si="64"/>
        <v>148740.60966479944</v>
      </c>
      <c r="M88" s="647">
        <f t="shared" ca="1" si="64"/>
        <v>148733.56181371343</v>
      </c>
      <c r="N88" s="647">
        <f t="shared" ca="1" si="64"/>
        <v>148639.39627677476</v>
      </c>
      <c r="O88" s="647">
        <f t="shared" ca="1" si="64"/>
        <v>149646.48454516035</v>
      </c>
      <c r="P88" s="648">
        <f ca="1">SUM(D88:O88)</f>
        <v>1789527.7065740491</v>
      </c>
      <c r="Q88" s="621">
        <f t="shared" ca="1" si="65"/>
        <v>1789527.7065740491</v>
      </c>
      <c r="R88" s="641">
        <f t="shared" ca="1" si="66"/>
        <v>0</v>
      </c>
      <c r="S88" s="640"/>
    </row>
    <row r="89" spans="2:19">
      <c r="B89" t="s">
        <v>583</v>
      </c>
      <c r="D89" s="649">
        <f t="shared" ref="D89:P89" ca="1" si="67">SUM(D84:D88)</f>
        <v>752982.50450884528</v>
      </c>
      <c r="E89" s="649">
        <f t="shared" ca="1" si="67"/>
        <v>758183.1618273342</v>
      </c>
      <c r="F89" s="649">
        <f t="shared" ca="1" si="67"/>
        <v>767718.42642371613</v>
      </c>
      <c r="G89" s="649">
        <f t="shared" ca="1" si="67"/>
        <v>779811.76540663501</v>
      </c>
      <c r="H89" s="649">
        <f t="shared" ca="1" si="67"/>
        <v>798184.67420227092</v>
      </c>
      <c r="I89" s="649">
        <f t="shared" ca="1" si="67"/>
        <v>816552.66541435046</v>
      </c>
      <c r="J89" s="649">
        <f t="shared" ca="1" si="67"/>
        <v>818799.53367301845</v>
      </c>
      <c r="K89" s="649">
        <f t="shared" ca="1" si="67"/>
        <v>801099.69219885755</v>
      </c>
      <c r="L89" s="649">
        <f t="shared" ca="1" si="67"/>
        <v>790453.20148362592</v>
      </c>
      <c r="M89" s="649">
        <f t="shared" ca="1" si="67"/>
        <v>781408.76620873436</v>
      </c>
      <c r="N89" s="649">
        <f t="shared" ca="1" si="67"/>
        <v>769994.26837879373</v>
      </c>
      <c r="O89" s="649">
        <f t="shared" ca="1" si="67"/>
        <v>762460.34777901217</v>
      </c>
      <c r="P89" s="650">
        <f t="shared" ca="1" si="67"/>
        <v>9397649.0075051934</v>
      </c>
      <c r="Q89" s="621">
        <f t="shared" ca="1" si="65"/>
        <v>9397649.0075051952</v>
      </c>
      <c r="R89" s="641">
        <f t="shared" ca="1" si="66"/>
        <v>0</v>
      </c>
      <c r="S89" s="640"/>
    </row>
    <row r="90" spans="2:19">
      <c r="D90" s="615"/>
      <c r="E90" s="615"/>
      <c r="F90" s="615"/>
      <c r="G90" s="615"/>
      <c r="H90" s="615"/>
      <c r="I90" s="615"/>
      <c r="J90" s="615"/>
      <c r="K90" s="615"/>
      <c r="L90" s="615"/>
      <c r="M90" s="615"/>
      <c r="N90" s="615"/>
      <c r="O90" s="615"/>
      <c r="P90" s="651" t="s">
        <v>31</v>
      </c>
      <c r="S90" s="640"/>
    </row>
    <row r="91" spans="2:19">
      <c r="C91" s="625" t="s">
        <v>9</v>
      </c>
      <c r="D91" s="647">
        <f t="shared" ref="D91:O91" ca="1" si="68">D58+D68+D78+D82+D89</f>
        <v>328111308.75242639</v>
      </c>
      <c r="E91" s="647">
        <f t="shared" ca="1" si="68"/>
        <v>323845833.77267951</v>
      </c>
      <c r="F91" s="647">
        <f t="shared" ca="1" si="68"/>
        <v>331964542.02380615</v>
      </c>
      <c r="G91" s="647">
        <f t="shared" ca="1" si="68"/>
        <v>311853248.62674683</v>
      </c>
      <c r="H91" s="647">
        <f t="shared" ca="1" si="68"/>
        <v>331217931.60463607</v>
      </c>
      <c r="I91" s="647">
        <f t="shared" ca="1" si="68"/>
        <v>389337265.88390702</v>
      </c>
      <c r="J91" s="647">
        <f t="shared" ca="1" si="68"/>
        <v>400669679.89644068</v>
      </c>
      <c r="K91" s="647">
        <f t="shared" ca="1" si="68"/>
        <v>370158092.36247081</v>
      </c>
      <c r="L91" s="647">
        <f t="shared" ca="1" si="68"/>
        <v>327714985.65011549</v>
      </c>
      <c r="M91" s="647">
        <f t="shared" ca="1" si="68"/>
        <v>306826337.18466407</v>
      </c>
      <c r="N91" s="647">
        <f t="shared" ca="1" si="68"/>
        <v>277662680.80325788</v>
      </c>
      <c r="O91" s="647">
        <f t="shared" ca="1" si="68"/>
        <v>301250408.8026852</v>
      </c>
      <c r="P91" s="647">
        <f ca="1">SUM(D91:O91)</f>
        <v>4000612315.3638363</v>
      </c>
      <c r="Q91" s="624">
        <f ca="1">AE44</f>
        <v>4000612315.3638363</v>
      </c>
      <c r="R91" s="641">
        <f ca="1">Q91-P91</f>
        <v>0</v>
      </c>
      <c r="S91" s="640"/>
    </row>
    <row r="92" spans="2:19">
      <c r="D92" s="615"/>
      <c r="E92" s="615"/>
      <c r="F92" s="615"/>
      <c r="G92" s="615"/>
      <c r="H92" s="615"/>
      <c r="I92" s="615"/>
      <c r="J92" s="615"/>
      <c r="K92" s="615"/>
      <c r="L92" s="615"/>
      <c r="M92" s="615"/>
      <c r="N92" s="615"/>
      <c r="O92" s="615"/>
      <c r="P92" s="615"/>
      <c r="Q92" s="639"/>
      <c r="S92" s="640"/>
    </row>
  </sheetData>
  <phoneticPr fontId="28" type="noConversion"/>
  <printOptions horizontalCentered="1"/>
  <pageMargins left="0.25" right="0.25" top="0.5" bottom="0.3" header="0.5" footer="0.25"/>
  <pageSetup scale="53" fitToWidth="2" fitToHeight="2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46" max="16383" man="1"/>
  </rowBreaks>
  <colBreaks count="1" manualBreakCount="1">
    <brk id="16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2:AJ93"/>
  <sheetViews>
    <sheetView view="pageBreakPreview" zoomScale="80" zoomScaleNormal="85" zoomScaleSheetLayoutView="80" workbookViewId="0">
      <pane xSplit="3" ySplit="4" topLeftCell="S5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RowHeight="15.75"/>
  <cols>
    <col min="1" max="1" width="4.875" style="613" bestFit="1" customWidth="1"/>
    <col min="2" max="2" width="2.875" customWidth="1"/>
    <col min="3" max="3" width="33.125" bestFit="1" customWidth="1"/>
    <col min="4" max="4" width="15" bestFit="1" customWidth="1"/>
    <col min="5" max="7" width="15.375" bestFit="1" customWidth="1"/>
    <col min="8" max="8" width="14.625" bestFit="1" customWidth="1"/>
    <col min="9" max="9" width="15.375" bestFit="1" customWidth="1"/>
    <col min="10" max="10" width="14.25" bestFit="1" customWidth="1"/>
    <col min="11" max="12" width="14.625" bestFit="1" customWidth="1"/>
    <col min="13" max="13" width="14.25" customWidth="1"/>
    <col min="14" max="15" width="15.375" bestFit="1" customWidth="1"/>
    <col min="16" max="16" width="17" bestFit="1" customWidth="1"/>
    <col min="17" max="17" width="17.625" style="20" bestFit="1" customWidth="1"/>
    <col min="18" max="19" width="13.25" customWidth="1"/>
    <col min="20" max="20" width="13.25" style="614" customWidth="1"/>
    <col min="21" max="28" width="13.25" customWidth="1"/>
    <col min="29" max="29" width="15.125" style="3" bestFit="1" customWidth="1"/>
    <col min="30" max="30" width="13.875" bestFit="1" customWidth="1"/>
    <col min="31" max="31" width="16.5" customWidth="1"/>
    <col min="32" max="32" width="18.125" bestFit="1" customWidth="1"/>
    <col min="33" max="33" width="17.625" bestFit="1" customWidth="1"/>
    <col min="35" max="35" width="13.25" bestFit="1" customWidth="1"/>
    <col min="36" max="36" width="11" bestFit="1" customWidth="1"/>
  </cols>
  <sheetData>
    <row r="2" spans="1:36">
      <c r="C2" s="3" t="s">
        <v>579</v>
      </c>
      <c r="AE2" t="s">
        <v>580</v>
      </c>
    </row>
    <row r="3" spans="1:36">
      <c r="C3" s="615" t="s">
        <v>581</v>
      </c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6" t="s">
        <v>31</v>
      </c>
      <c r="AC3" s="3" t="s">
        <v>9</v>
      </c>
      <c r="AE3" s="757" t="s">
        <v>710</v>
      </c>
    </row>
    <row r="4" spans="1:36">
      <c r="C4" s="615"/>
      <c r="D4" s="615">
        <v>201107</v>
      </c>
      <c r="E4" s="615">
        <v>201108</v>
      </c>
      <c r="F4" s="615">
        <v>201109</v>
      </c>
      <c r="G4" s="615">
        <v>201110</v>
      </c>
      <c r="H4" s="615">
        <v>201111</v>
      </c>
      <c r="I4" s="615">
        <v>201112</v>
      </c>
      <c r="J4" s="615">
        <v>201201</v>
      </c>
      <c r="K4" s="615">
        <v>201202</v>
      </c>
      <c r="L4" s="615">
        <v>201203</v>
      </c>
      <c r="M4" s="615">
        <v>201204</v>
      </c>
      <c r="N4" s="615">
        <v>201205</v>
      </c>
      <c r="O4" s="615">
        <v>201206</v>
      </c>
      <c r="P4" s="615" t="s">
        <v>35</v>
      </c>
      <c r="Q4" s="615">
        <v>201107</v>
      </c>
      <c r="R4" s="615">
        <v>201108</v>
      </c>
      <c r="S4" s="615">
        <v>201109</v>
      </c>
      <c r="T4" s="615">
        <v>201110</v>
      </c>
      <c r="U4" s="615">
        <v>201111</v>
      </c>
      <c r="V4" s="615">
        <v>201112</v>
      </c>
      <c r="W4" s="615">
        <v>201201</v>
      </c>
      <c r="X4" s="615">
        <v>201202</v>
      </c>
      <c r="Y4" s="615">
        <v>201203</v>
      </c>
      <c r="Z4" s="615">
        <v>201204</v>
      </c>
      <c r="AA4" s="615">
        <v>201205</v>
      </c>
      <c r="AB4" s="615">
        <v>201206</v>
      </c>
      <c r="AC4" s="20" t="s">
        <v>201</v>
      </c>
      <c r="AD4" t="s">
        <v>12</v>
      </c>
      <c r="AE4" t="s">
        <v>9</v>
      </c>
      <c r="AF4" s="617" t="s">
        <v>170</v>
      </c>
      <c r="AI4" s="757" t="s">
        <v>189</v>
      </c>
      <c r="AJ4" s="757" t="s">
        <v>586</v>
      </c>
    </row>
    <row r="5" spans="1:36" s="3" customFormat="1" ht="17.25" customHeight="1">
      <c r="A5" s="53"/>
      <c r="B5" s="20" t="s">
        <v>267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F5" s="658"/>
    </row>
    <row r="6" spans="1:36" s="3" customFormat="1">
      <c r="A6" s="53">
        <v>16</v>
      </c>
      <c r="C6" s="4" t="s">
        <v>48</v>
      </c>
      <c r="D6" s="777">
        <v>7860771.1399999503</v>
      </c>
      <c r="E6" s="777">
        <v>9019997.8900000397</v>
      </c>
      <c r="F6" s="777">
        <v>8982930.4500001296</v>
      </c>
      <c r="G6" s="777">
        <v>7214092.23999999</v>
      </c>
      <c r="H6" s="777">
        <v>10442461.2199999</v>
      </c>
      <c r="I6" s="777">
        <v>16142375.1000001</v>
      </c>
      <c r="J6" s="777">
        <v>17252065.9099999</v>
      </c>
      <c r="K6" s="777">
        <v>14206487.33</v>
      </c>
      <c r="L6" s="777">
        <v>11958177.779999999</v>
      </c>
      <c r="M6" s="777">
        <v>9642595.2500001602</v>
      </c>
      <c r="N6" s="777">
        <v>7285462.25000004</v>
      </c>
      <c r="O6" s="777">
        <v>7221334.1799999503</v>
      </c>
      <c r="P6" s="758">
        <f t="shared" ref="P6:P12" si="0">SUM(D6:O6)</f>
        <v>127228750.74000017</v>
      </c>
      <c r="Q6" s="645">
        <f t="shared" ref="Q6:AB10" ca="1" si="1">D6/$P$12*$AC$13</f>
        <v>768.62205386440451</v>
      </c>
      <c r="R6" s="645">
        <f t="shared" ca="1" si="1"/>
        <v>881.97063374427012</v>
      </c>
      <c r="S6" s="645">
        <f t="shared" ca="1" si="1"/>
        <v>878.3461990219248</v>
      </c>
      <c r="T6" s="645">
        <f t="shared" ca="1" si="1"/>
        <v>705.39013228110468</v>
      </c>
      <c r="U6" s="645">
        <f t="shared" ca="1" si="1"/>
        <v>1021.0583475040299</v>
      </c>
      <c r="V6" s="645">
        <f t="shared" ca="1" si="1"/>
        <v>1578.3929187908882</v>
      </c>
      <c r="W6" s="645">
        <f t="shared" ca="1" si="1"/>
        <v>1686.8979005981189</v>
      </c>
      <c r="X6" s="645">
        <f t="shared" ca="1" si="1"/>
        <v>1389.1028342269369</v>
      </c>
      <c r="Y6" s="645">
        <f t="shared" ca="1" si="1"/>
        <v>1169.2643128825837</v>
      </c>
      <c r="Z6" s="645">
        <f t="shared" ca="1" si="1"/>
        <v>942.84787505444683</v>
      </c>
      <c r="AA6" s="645">
        <f t="shared" ca="1" si="1"/>
        <v>712.36865419626656</v>
      </c>
      <c r="AB6" s="645">
        <f t="shared" ca="1" si="1"/>
        <v>706.09824535265909</v>
      </c>
      <c r="AC6" s="471">
        <f t="shared" ref="AC6:AC11" ca="1" si="2">SUM(Q6:AB6)</f>
        <v>12440.360107517636</v>
      </c>
      <c r="AD6" s="262">
        <f>Temperature!G22*1000</f>
        <v>-206448.37000000029</v>
      </c>
      <c r="AE6" s="105">
        <f t="shared" ref="AE6:AE11" ca="1" si="3">P6+AC6+AD6</f>
        <v>127034742.73010768</v>
      </c>
      <c r="AF6" s="621">
        <f ca="1">'Table 3'!L13+'Table 3'!L17</f>
        <v>127172557.55166653</v>
      </c>
      <c r="AG6" s="69">
        <f t="shared" ref="AG6:AG12" ca="1" si="4">AF6-AE6</f>
        <v>137814.82155884802</v>
      </c>
      <c r="AI6" s="659">
        <f>114079554.67+502.53+13070.57</f>
        <v>114093127.77</v>
      </c>
      <c r="AJ6" s="759">
        <f t="shared" ref="AJ6:AJ11" si="5">AI6-P6</f>
        <v>-13135622.970000178</v>
      </c>
    </row>
    <row r="7" spans="1:36" s="3" customFormat="1">
      <c r="A7" s="53">
        <v>17</v>
      </c>
      <c r="C7" s="4" t="s">
        <v>93</v>
      </c>
      <c r="D7" s="777">
        <v>264917.84000000003</v>
      </c>
      <c r="E7" s="777">
        <v>289726.19000000099</v>
      </c>
      <c r="F7" s="777">
        <v>286807.42</v>
      </c>
      <c r="G7" s="777">
        <v>291102.77</v>
      </c>
      <c r="H7" s="777">
        <v>419324.34000000102</v>
      </c>
      <c r="I7" s="777">
        <v>652045.75000000105</v>
      </c>
      <c r="J7" s="777">
        <v>735105.02999999898</v>
      </c>
      <c r="K7" s="777">
        <v>656460.71999999904</v>
      </c>
      <c r="L7" s="777">
        <v>570974.51000000106</v>
      </c>
      <c r="M7" s="777">
        <v>452704.81</v>
      </c>
      <c r="N7" s="777">
        <v>309709.63</v>
      </c>
      <c r="O7" s="777">
        <v>279098.82</v>
      </c>
      <c r="P7" s="659">
        <f t="shared" si="0"/>
        <v>5207977.8300000019</v>
      </c>
      <c r="Q7" s="645">
        <f t="shared" ca="1" si="1"/>
        <v>25.903526595499255</v>
      </c>
      <c r="R7" s="645">
        <f t="shared" ca="1" si="1"/>
        <v>28.329273966893645</v>
      </c>
      <c r="S7" s="645">
        <f t="shared" ca="1" si="1"/>
        <v>28.043878176556643</v>
      </c>
      <c r="T7" s="645">
        <f t="shared" ca="1" si="1"/>
        <v>28.463875232858996</v>
      </c>
      <c r="U7" s="645">
        <f t="shared" ca="1" si="1"/>
        <v>41.001312683699204</v>
      </c>
      <c r="V7" s="645">
        <f t="shared" ca="1" si="1"/>
        <v>63.756689344165288</v>
      </c>
      <c r="W7" s="645">
        <f t="shared" ca="1" si="1"/>
        <v>71.878181911381475</v>
      </c>
      <c r="X7" s="645">
        <f t="shared" ca="1" si="1"/>
        <v>64.188382780942817</v>
      </c>
      <c r="Y7" s="645">
        <f t="shared" ca="1" si="1"/>
        <v>55.82958627904101</v>
      </c>
      <c r="Z7" s="645">
        <f t="shared" ca="1" si="1"/>
        <v>44.265237425102953</v>
      </c>
      <c r="AA7" s="645">
        <f t="shared" ca="1" si="1"/>
        <v>30.283244184639408</v>
      </c>
      <c r="AB7" s="645">
        <f t="shared" ca="1" si="1"/>
        <v>27.290135336459254</v>
      </c>
      <c r="AC7" s="471">
        <f t="shared" ca="1" si="2"/>
        <v>509.23332391723989</v>
      </c>
      <c r="AD7" s="262">
        <f>Temperature!G40*1000</f>
        <v>-5546.3600000000042</v>
      </c>
      <c r="AE7" s="105">
        <f t="shared" ca="1" si="3"/>
        <v>5202940.7033239184</v>
      </c>
      <c r="AF7" s="621">
        <f ca="1">'Table 3'!L14</f>
        <v>5201891.8733589463</v>
      </c>
      <c r="AG7" s="69">
        <f t="shared" ca="1" si="4"/>
        <v>-1048.8299649721012</v>
      </c>
      <c r="AI7" s="659">
        <f>4976778.15</f>
        <v>4976778.1500000004</v>
      </c>
      <c r="AJ7" s="759">
        <f t="shared" si="5"/>
        <v>-231199.68000000156</v>
      </c>
    </row>
    <row r="8" spans="1:36" s="3" customFormat="1">
      <c r="A8" s="53">
        <v>18</v>
      </c>
      <c r="C8" s="4" t="s">
        <v>49</v>
      </c>
      <c r="D8" s="968">
        <v>15585.26</v>
      </c>
      <c r="E8" s="968">
        <v>17148.89</v>
      </c>
      <c r="F8" s="968">
        <v>17477.39</v>
      </c>
      <c r="G8" s="968">
        <v>14007.32</v>
      </c>
      <c r="H8" s="968">
        <v>15271.78</v>
      </c>
      <c r="I8" s="968">
        <v>21357.07</v>
      </c>
      <c r="J8" s="968">
        <v>23166.85</v>
      </c>
      <c r="K8" s="968">
        <v>19278.150000000001</v>
      </c>
      <c r="L8" s="968">
        <v>16784.310000000001</v>
      </c>
      <c r="M8" s="968">
        <v>14584.71</v>
      </c>
      <c r="N8" s="968">
        <v>13155.16</v>
      </c>
      <c r="O8" s="968">
        <v>13898.28</v>
      </c>
      <c r="P8" s="659">
        <f t="shared" si="0"/>
        <v>201715.16999999998</v>
      </c>
      <c r="Q8" s="645">
        <f t="shared" ca="1" si="1"/>
        <v>1.5239184983078931</v>
      </c>
      <c r="R8" s="645">
        <f t="shared" ca="1" si="1"/>
        <v>1.6768094145652523</v>
      </c>
      <c r="S8" s="645">
        <f t="shared" ca="1" si="1"/>
        <v>1.708929971212632</v>
      </c>
      <c r="T8" s="645">
        <f t="shared" ca="1" si="1"/>
        <v>1.3696283578020589</v>
      </c>
      <c r="U8" s="645">
        <f t="shared" ca="1" si="1"/>
        <v>1.4932665893343142</v>
      </c>
      <c r="V8" s="645">
        <f t="shared" ca="1" si="1"/>
        <v>2.0882830342680556</v>
      </c>
      <c r="W8" s="645">
        <f t="shared" ca="1" si="1"/>
        <v>2.2652423676296842</v>
      </c>
      <c r="X8" s="645">
        <f t="shared" ca="1" si="1"/>
        <v>1.8850073337342019</v>
      </c>
      <c r="Y8" s="645">
        <f t="shared" ca="1" si="1"/>
        <v>1.6411609745576368</v>
      </c>
      <c r="Z8" s="645">
        <f t="shared" ca="1" si="1"/>
        <v>1.4260852473077836</v>
      </c>
      <c r="AA8" s="645">
        <f t="shared" ca="1" si="1"/>
        <v>1.2863046026951146</v>
      </c>
      <c r="AB8" s="645">
        <f t="shared" ca="1" si="1"/>
        <v>1.3589664841435194</v>
      </c>
      <c r="AC8" s="471">
        <f t="shared" ca="1" si="2"/>
        <v>19.723602875558147</v>
      </c>
      <c r="AD8" s="262">
        <f>Temperature!G58*1000</f>
        <v>-256.96999999999986</v>
      </c>
      <c r="AE8" s="105">
        <f t="shared" ca="1" si="3"/>
        <v>201477.92360287555</v>
      </c>
      <c r="AF8" s="621">
        <f ca="1">'Table 3'!L15</f>
        <v>201559.21430787555</v>
      </c>
      <c r="AG8" s="69">
        <f t="shared" ca="1" si="4"/>
        <v>81.290704999992158</v>
      </c>
      <c r="AI8" s="659">
        <f>206329.02</f>
        <v>206329.02</v>
      </c>
      <c r="AJ8" s="759">
        <f t="shared" si="5"/>
        <v>4613.8500000000058</v>
      </c>
    </row>
    <row r="9" spans="1:36" s="3" customFormat="1">
      <c r="A9" s="53" t="s">
        <v>162</v>
      </c>
      <c r="C9" s="7" t="s">
        <v>164</v>
      </c>
      <c r="D9" s="968">
        <v>3628.54</v>
      </c>
      <c r="E9" s="968">
        <v>4183.6400000000003</v>
      </c>
      <c r="F9" s="968">
        <v>3492.62</v>
      </c>
      <c r="G9" s="968">
        <v>2503.5700000000002</v>
      </c>
      <c r="H9" s="968">
        <v>2730.73</v>
      </c>
      <c r="I9" s="968">
        <v>4011.12</v>
      </c>
      <c r="J9" s="968">
        <v>4087.77</v>
      </c>
      <c r="K9" s="968">
        <v>3289.36</v>
      </c>
      <c r="L9" s="968">
        <v>2916.58</v>
      </c>
      <c r="M9" s="968">
        <v>2594.69</v>
      </c>
      <c r="N9" s="968">
        <v>2512.6799999999998</v>
      </c>
      <c r="O9" s="968">
        <v>2777.69</v>
      </c>
      <c r="P9" s="659">
        <f t="shared" si="0"/>
        <v>38728.990000000005</v>
      </c>
      <c r="Q9" s="645">
        <f t="shared" ca="1" si="1"/>
        <v>0.35479672638442494</v>
      </c>
      <c r="R9" s="645">
        <f t="shared" ca="1" si="1"/>
        <v>0.40907411145279798</v>
      </c>
      <c r="S9" s="645">
        <f t="shared" ca="1" si="1"/>
        <v>0.3415065405107206</v>
      </c>
      <c r="T9" s="645">
        <f t="shared" ca="1" si="1"/>
        <v>0.24479775344195043</v>
      </c>
      <c r="U9" s="645">
        <f t="shared" ca="1" si="1"/>
        <v>0.26700933836742624</v>
      </c>
      <c r="V9" s="645">
        <f t="shared" ca="1" si="1"/>
        <v>0.39220519689326683</v>
      </c>
      <c r="W9" s="645">
        <f t="shared" ca="1" si="1"/>
        <v>0.39969999344432211</v>
      </c>
      <c r="X9" s="645">
        <f t="shared" ca="1" si="1"/>
        <v>0.32163188497298417</v>
      </c>
      <c r="Y9" s="645">
        <f t="shared" ca="1" si="1"/>
        <v>0.28518165329258766</v>
      </c>
      <c r="Z9" s="645">
        <f t="shared" ca="1" si="1"/>
        <v>0.25370741895704707</v>
      </c>
      <c r="AA9" s="645">
        <f t="shared" ca="1" si="1"/>
        <v>0.24568852443451544</v>
      </c>
      <c r="AB9" s="645">
        <f t="shared" ca="1" si="1"/>
        <v>0.27160106238618098</v>
      </c>
      <c r="AC9" s="471">
        <f t="shared" ca="1" si="2"/>
        <v>3.7869002045382243</v>
      </c>
      <c r="AE9" s="105">
        <f t="shared" ca="1" si="3"/>
        <v>38732.776900204546</v>
      </c>
      <c r="AF9" s="621">
        <f ca="1">'Table 3'!L16</f>
        <v>38733.05864020453</v>
      </c>
      <c r="AG9" s="69">
        <f t="shared" ca="1" si="4"/>
        <v>0.28173999998398358</v>
      </c>
      <c r="AI9" s="659">
        <f>44197.22</f>
        <v>44197.22</v>
      </c>
      <c r="AJ9" s="759">
        <f t="shared" si="5"/>
        <v>5468.2299999999959</v>
      </c>
    </row>
    <row r="10" spans="1:36" s="3" customFormat="1">
      <c r="A10" s="53" t="s">
        <v>161</v>
      </c>
      <c r="C10" s="4" t="s">
        <v>50</v>
      </c>
      <c r="D10" s="969">
        <v>13144.369999999901</v>
      </c>
      <c r="E10" s="969">
        <v>13076.3499999999</v>
      </c>
      <c r="F10" s="969">
        <v>13065.3999999999</v>
      </c>
      <c r="G10" s="969">
        <v>13031.359999999901</v>
      </c>
      <c r="H10" s="969">
        <v>12999.109999999901</v>
      </c>
      <c r="I10" s="969">
        <v>13110.6699999999</v>
      </c>
      <c r="J10" s="969">
        <v>13053.639999999899</v>
      </c>
      <c r="K10" s="969">
        <v>13072.059999999899</v>
      </c>
      <c r="L10" s="969">
        <v>13047.959999999901</v>
      </c>
      <c r="M10" s="969">
        <v>13073.699999999901</v>
      </c>
      <c r="N10" s="969">
        <v>13084.279999999901</v>
      </c>
      <c r="O10" s="969">
        <v>13123.2</v>
      </c>
      <c r="P10" s="659">
        <f t="shared" si="0"/>
        <v>156882.0999999989</v>
      </c>
      <c r="Q10" s="645">
        <f t="shared" ca="1" si="1"/>
        <v>1.285249562189092</v>
      </c>
      <c r="R10" s="645">
        <f t="shared" ca="1" si="1"/>
        <v>1.2785986024839024</v>
      </c>
      <c r="S10" s="645">
        <f t="shared" ca="1" si="1"/>
        <v>1.2775279172623231</v>
      </c>
      <c r="T10" s="645">
        <f t="shared" ca="1" si="1"/>
        <v>1.2741995040255596</v>
      </c>
      <c r="U10" s="645">
        <f t="shared" ca="1" si="1"/>
        <v>1.2710461160441959</v>
      </c>
      <c r="V10" s="645">
        <f t="shared" ca="1" si="1"/>
        <v>1.2819543939729072</v>
      </c>
      <c r="W10" s="645">
        <f t="shared" ca="1" si="1"/>
        <v>1.2763780306681884</v>
      </c>
      <c r="X10" s="645">
        <f t="shared" ca="1" si="1"/>
        <v>1.2781791285477768</v>
      </c>
      <c r="Y10" s="645">
        <f t="shared" ca="1" si="1"/>
        <v>1.2758226432655795</v>
      </c>
      <c r="Z10" s="645">
        <f t="shared" ca="1" si="1"/>
        <v>1.278339486882333</v>
      </c>
      <c r="AA10" s="645">
        <f t="shared" ca="1" si="1"/>
        <v>1.2793739936991648</v>
      </c>
      <c r="AB10" s="645">
        <f t="shared" ca="1" si="1"/>
        <v>1.2831795707607152</v>
      </c>
      <c r="AC10" s="471">
        <f t="shared" ca="1" si="2"/>
        <v>15.339848949801738</v>
      </c>
      <c r="AE10" s="105">
        <f t="shared" ca="1" si="3"/>
        <v>156897.43984894871</v>
      </c>
      <c r="AF10" s="621">
        <f ca="1">'Table 3'!L21</f>
        <v>156892.47984894982</v>
      </c>
      <c r="AG10" s="69">
        <f t="shared" ca="1" si="4"/>
        <v>-4.9599999988859054</v>
      </c>
      <c r="AI10" s="659">
        <f>146675.4</f>
        <v>146675.4</v>
      </c>
      <c r="AJ10" s="759">
        <f t="shared" si="5"/>
        <v>-10206.699999998906</v>
      </c>
    </row>
    <row r="11" spans="1:36" s="3" customFormat="1">
      <c r="A11" s="53">
        <v>24</v>
      </c>
      <c r="C11" s="60" t="s">
        <v>51</v>
      </c>
      <c r="D11" s="777"/>
      <c r="E11" s="777"/>
      <c r="F11" s="777"/>
      <c r="G11" s="777"/>
      <c r="H11" s="777">
        <v>231.93</v>
      </c>
      <c r="I11" s="777">
        <v>775.61</v>
      </c>
      <c r="J11" s="777">
        <v>15170.69</v>
      </c>
      <c r="K11" s="777">
        <v>21678.240000000002</v>
      </c>
      <c r="L11" s="777">
        <v>21071.41</v>
      </c>
      <c r="M11" s="777">
        <v>19535.41</v>
      </c>
      <c r="N11" s="777">
        <v>18345.050000000003</v>
      </c>
      <c r="O11" s="777">
        <v>21378.190000000002</v>
      </c>
      <c r="P11" s="659">
        <f t="shared" ref="P11" si="6">SUM(D11:O11)</f>
        <v>118186.53000000001</v>
      </c>
      <c r="Q11" s="645">
        <f t="shared" ref="Q11" ca="1" si="7">D11/$P$12*$AC$13</f>
        <v>0</v>
      </c>
      <c r="R11" s="645">
        <f t="shared" ref="R11" ca="1" si="8">E11/$P$12*$AC$13</f>
        <v>0</v>
      </c>
      <c r="S11" s="645">
        <f t="shared" ref="S11" ca="1" si="9">F11/$P$12*$AC$13</f>
        <v>0</v>
      </c>
      <c r="T11" s="645">
        <f t="shared" ref="T11" ca="1" si="10">G11/$P$12*$AC$13</f>
        <v>0</v>
      </c>
      <c r="U11" s="645">
        <f t="shared" ref="U11" ca="1" si="11">H11/$P$12*$AC$13</f>
        <v>2.267799300830077E-2</v>
      </c>
      <c r="V11" s="645">
        <f t="shared" ref="V11" ca="1" si="12">I11/$P$12*$AC$13</f>
        <v>7.5838736503118009E-2</v>
      </c>
      <c r="W11" s="645">
        <f t="shared" ref="W11" ca="1" si="13">J11/$P$12*$AC$13</f>
        <v>1.483382062480483</v>
      </c>
      <c r="X11" s="645">
        <f t="shared" ref="X11" ca="1" si="14">K11/$P$12*$AC$13</f>
        <v>2.1196868673835474</v>
      </c>
      <c r="Y11" s="645">
        <f t="shared" ref="Y11" ca="1" si="15">L11/$P$12*$AC$13</f>
        <v>2.0603513502135939</v>
      </c>
      <c r="Z11" s="645">
        <f t="shared" ref="Z11" ca="1" si="16">M11/$P$12*$AC$13</f>
        <v>1.9101620807756172</v>
      </c>
      <c r="AA11" s="645">
        <f t="shared" ref="AA11" ca="1" si="17">N11/$P$12*$AC$13</f>
        <v>1.793769308140077</v>
      </c>
      <c r="AB11" s="645">
        <f t="shared" ref="AB11" ca="1" si="18">O11/$P$12*$AC$13</f>
        <v>2.0903481367228278</v>
      </c>
      <c r="AC11" s="471">
        <f t="shared" ca="1" si="2"/>
        <v>11.556216535227565</v>
      </c>
      <c r="AD11" s="262">
        <f>Temperature!V75*1000</f>
        <v>-800.57999999999993</v>
      </c>
      <c r="AE11" s="105">
        <f t="shared" ca="1" si="3"/>
        <v>117397.50621653524</v>
      </c>
      <c r="AF11" s="621">
        <f ca="1">'Table 3'!L18</f>
        <v>267910.09621653525</v>
      </c>
      <c r="AG11" s="69">
        <f t="shared" ref="AG11" ca="1" si="19">AF11-AE11</f>
        <v>150512.59000000003</v>
      </c>
      <c r="AI11" s="659">
        <f>146675.4</f>
        <v>146675.4</v>
      </c>
      <c r="AJ11" s="759">
        <f t="shared" si="5"/>
        <v>28488.869999999981</v>
      </c>
    </row>
    <row r="12" spans="1:36" s="3" customFormat="1">
      <c r="A12" s="53"/>
      <c r="B12" s="20" t="s">
        <v>267</v>
      </c>
      <c r="C12" s="5"/>
      <c r="D12" s="659">
        <f>SUM(D6:D11)</f>
        <v>8158047.1499999501</v>
      </c>
      <c r="E12" s="659">
        <f t="shared" ref="E12:O12" si="20">SUM(E6:E11)</f>
        <v>9344132.9600000419</v>
      </c>
      <c r="F12" s="659">
        <f t="shared" si="20"/>
        <v>9303773.2800001297</v>
      </c>
      <c r="G12" s="659">
        <f t="shared" si="20"/>
        <v>7534737.2599999914</v>
      </c>
      <c r="H12" s="659">
        <f t="shared" si="20"/>
        <v>10893019.109999901</v>
      </c>
      <c r="I12" s="659">
        <f t="shared" si="20"/>
        <v>16833675.320000101</v>
      </c>
      <c r="J12" s="659">
        <f t="shared" si="20"/>
        <v>18042649.8899999</v>
      </c>
      <c r="K12" s="659">
        <f t="shared" si="20"/>
        <v>14920265.859999999</v>
      </c>
      <c r="L12" s="659">
        <f t="shared" si="20"/>
        <v>12582972.550000001</v>
      </c>
      <c r="M12" s="659">
        <f t="shared" si="20"/>
        <v>10145088.57000016</v>
      </c>
      <c r="N12" s="659">
        <f t="shared" si="20"/>
        <v>7642269.0500000399</v>
      </c>
      <c r="O12" s="659">
        <f t="shared" si="20"/>
        <v>7551610.3599999519</v>
      </c>
      <c r="P12" s="659">
        <f t="shared" si="0"/>
        <v>132952241.36000016</v>
      </c>
      <c r="Q12" s="471">
        <f ca="1">SUM(Q6:Q11)</f>
        <v>797.68954524678509</v>
      </c>
      <c r="R12" s="471">
        <f t="shared" ref="R12:AB12" ca="1" si="21">SUM(R6:R11)</f>
        <v>913.66438983966577</v>
      </c>
      <c r="S12" s="471">
        <f t="shared" ca="1" si="21"/>
        <v>909.71804162746719</v>
      </c>
      <c r="T12" s="471">
        <f t="shared" ca="1" si="21"/>
        <v>736.74263312923324</v>
      </c>
      <c r="U12" s="471">
        <f t="shared" ca="1" si="21"/>
        <v>1065.1136602244833</v>
      </c>
      <c r="V12" s="471">
        <f t="shared" ca="1" si="21"/>
        <v>1645.9878894966907</v>
      </c>
      <c r="W12" s="471">
        <f t="shared" ca="1" si="21"/>
        <v>1764.2007849637232</v>
      </c>
      <c r="X12" s="471">
        <f t="shared" ca="1" si="21"/>
        <v>1458.8957222225183</v>
      </c>
      <c r="Y12" s="471">
        <f t="shared" ca="1" si="21"/>
        <v>1230.3564157829539</v>
      </c>
      <c r="Z12" s="471">
        <f t="shared" ca="1" si="21"/>
        <v>991.98140671347255</v>
      </c>
      <c r="AA12" s="471">
        <f t="shared" ca="1" si="21"/>
        <v>747.25703480987499</v>
      </c>
      <c r="AB12" s="471">
        <f t="shared" ca="1" si="21"/>
        <v>738.39247594313144</v>
      </c>
      <c r="AC12" s="623">
        <f ca="1">SUM(AC6:AC11)</f>
        <v>13000.000000000002</v>
      </c>
      <c r="AD12" s="107">
        <f>SUM(AD6:AD11)</f>
        <v>-213052.28000000029</v>
      </c>
      <c r="AE12" s="107">
        <f ca="1">SUM(AE6:AE11)</f>
        <v>132752189.08000016</v>
      </c>
      <c r="AF12" s="624">
        <f ca="1">SUM(AF6:AF11)</f>
        <v>133039544.27403904</v>
      </c>
      <c r="AG12" s="69">
        <f t="shared" ca="1" si="4"/>
        <v>287355.19403888285</v>
      </c>
    </row>
    <row r="13" spans="1:36" s="3" customFormat="1">
      <c r="A13" s="53"/>
      <c r="B13" s="3" t="s">
        <v>274</v>
      </c>
      <c r="C13" s="5"/>
      <c r="D13" s="659"/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47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50">
        <f ca="1">'Table 3'!D36</f>
        <v>13000</v>
      </c>
      <c r="AD13" s="107"/>
      <c r="AE13" s="107"/>
      <c r="AF13" s="624"/>
      <c r="AG13" s="69"/>
    </row>
    <row r="14" spans="1:36" s="3" customFormat="1">
      <c r="A14" s="53">
        <v>24</v>
      </c>
      <c r="C14" s="60" t="s">
        <v>51</v>
      </c>
      <c r="D14" s="654">
        <v>3466985.8200000105</v>
      </c>
      <c r="E14" s="654">
        <v>3801350.1800000016</v>
      </c>
      <c r="F14" s="654">
        <v>3842512.23000002</v>
      </c>
      <c r="G14" s="654">
        <v>3449765.75000002</v>
      </c>
      <c r="H14" s="654">
        <v>3455831.2899999903</v>
      </c>
      <c r="I14" s="654">
        <v>4016898.6400000104</v>
      </c>
      <c r="J14" s="654">
        <v>4110291.8000000198</v>
      </c>
      <c r="K14" s="654">
        <v>3747413.1600000011</v>
      </c>
      <c r="L14" s="654">
        <v>3489087.7500000098</v>
      </c>
      <c r="M14" s="654">
        <v>3276419.1100000213</v>
      </c>
      <c r="N14" s="654">
        <v>3181179.5700000208</v>
      </c>
      <c r="O14" s="654">
        <v>3330545.3199999793</v>
      </c>
      <c r="P14" s="758">
        <f t="shared" ref="P14:P22" si="22">SUM(D14:O14)</f>
        <v>43168280.620000109</v>
      </c>
      <c r="Q14" s="645">
        <f t="shared" ref="Q14:AB21" ca="1" si="23">D14/$P$22*$AC$23</f>
        <v>-10255.778782068754</v>
      </c>
      <c r="R14" s="645">
        <f t="shared" ca="1" si="23"/>
        <v>-11244.87048500739</v>
      </c>
      <c r="S14" s="645">
        <f t="shared" ca="1" si="23"/>
        <v>-11366.632990230628</v>
      </c>
      <c r="T14" s="645">
        <f t="shared" ca="1" si="23"/>
        <v>-10204.83965577846</v>
      </c>
      <c r="U14" s="645">
        <f t="shared" ca="1" si="23"/>
        <v>-10222.782283658456</v>
      </c>
      <c r="V14" s="645">
        <f t="shared" ca="1" si="23"/>
        <v>-11882.489857380731</v>
      </c>
      <c r="W14" s="645">
        <f t="shared" ca="1" si="23"/>
        <v>-12158.758535260253</v>
      </c>
      <c r="X14" s="645">
        <f t="shared" ca="1" si="23"/>
        <v>-11085.318016666455</v>
      </c>
      <c r="Y14" s="645">
        <f t="shared" ca="1" si="23"/>
        <v>-10321.159062377132</v>
      </c>
      <c r="Z14" s="645">
        <f t="shared" ca="1" si="23"/>
        <v>-9692.0585586654379</v>
      </c>
      <c r="AA14" s="645">
        <f t="shared" ca="1" si="23"/>
        <v>-9410.3280572277381</v>
      </c>
      <c r="AB14" s="645">
        <f t="shared" ca="1" si="23"/>
        <v>-9852.1706747488461</v>
      </c>
      <c r="AC14" s="471">
        <f t="shared" ref="AC14:AC21" ca="1" si="24">SUM(Q14:AB14)</f>
        <v>-127697.18695907027</v>
      </c>
      <c r="AD14" s="262">
        <f>Temperature!I75*1000</f>
        <v>-325770.97000000003</v>
      </c>
      <c r="AE14" s="105">
        <f t="shared" ref="AE14:AE21" ca="1" si="25">P14+AC14+AD14</f>
        <v>42714812.463041037</v>
      </c>
      <c r="AF14" s="621">
        <f ca="1">'Table 3'!L41</f>
        <v>42575648.913040936</v>
      </c>
      <c r="AG14" s="69">
        <f t="shared" ref="AG14:AG22" ca="1" si="26">AF14-AE14</f>
        <v>-139163.55000010133</v>
      </c>
      <c r="AI14" s="659">
        <f>1568630.53+597.9+1606368.57+638.63+13108.81+13418497.36+17561.36+13838.66+12045.73+19426972.61+5133.75+217.97+205.88+2958.65+9977.89</f>
        <v>36096754.299999997</v>
      </c>
      <c r="AJ14" s="759">
        <f t="shared" ref="AJ14:AJ21" si="27">AI14-P14</f>
        <v>-7071526.3200001121</v>
      </c>
    </row>
    <row r="15" spans="1:36" s="3" customFormat="1">
      <c r="A15" s="53" t="s">
        <v>149</v>
      </c>
      <c r="C15" s="60" t="s">
        <v>52</v>
      </c>
      <c r="D15" s="654">
        <v>12891.82</v>
      </c>
      <c r="E15" s="654">
        <v>12891.82</v>
      </c>
      <c r="F15" s="654">
        <v>12891.82</v>
      </c>
      <c r="G15" s="654">
        <v>12891.82</v>
      </c>
      <c r="H15" s="654">
        <v>12883.21</v>
      </c>
      <c r="I15" s="654">
        <v>12882.64</v>
      </c>
      <c r="J15" s="654">
        <v>12882.64</v>
      </c>
      <c r="K15" s="654">
        <v>12882.64</v>
      </c>
      <c r="L15" s="654">
        <v>12882.64</v>
      </c>
      <c r="M15" s="654">
        <v>12882.64</v>
      </c>
      <c r="N15" s="654">
        <v>12882.64</v>
      </c>
      <c r="O15" s="654">
        <v>12960.3</v>
      </c>
      <c r="P15" s="758">
        <f t="shared" si="22"/>
        <v>154706.63</v>
      </c>
      <c r="Q15" s="645">
        <f t="shared" ca="1" si="23"/>
        <v>-38.135620069611136</v>
      </c>
      <c r="R15" s="645">
        <f t="shared" ca="1" si="23"/>
        <v>-38.135620069611136</v>
      </c>
      <c r="S15" s="645">
        <f t="shared" ca="1" si="23"/>
        <v>-38.135620069611136</v>
      </c>
      <c r="T15" s="645">
        <f t="shared" ca="1" si="23"/>
        <v>-38.135620069611136</v>
      </c>
      <c r="U15" s="645">
        <f t="shared" ca="1" si="23"/>
        <v>-38.11015061000036</v>
      </c>
      <c r="V15" s="645">
        <f t="shared" ca="1" si="23"/>
        <v>-38.108464478527871</v>
      </c>
      <c r="W15" s="645">
        <f t="shared" ca="1" si="23"/>
        <v>-38.108464478527871</v>
      </c>
      <c r="X15" s="645">
        <f t="shared" ca="1" si="23"/>
        <v>-38.108464478527871</v>
      </c>
      <c r="Y15" s="645">
        <f t="shared" ca="1" si="23"/>
        <v>-38.108464478527871</v>
      </c>
      <c r="Z15" s="645">
        <f t="shared" ca="1" si="23"/>
        <v>-38.108464478527871</v>
      </c>
      <c r="AA15" s="645">
        <f t="shared" ca="1" si="23"/>
        <v>-38.108464478527871</v>
      </c>
      <c r="AB15" s="645">
        <f t="shared" ca="1" si="23"/>
        <v>-38.338192496341179</v>
      </c>
      <c r="AC15" s="471">
        <f t="shared" ca="1" si="24"/>
        <v>-457.64161025595331</v>
      </c>
      <c r="AE15" s="105">
        <f t="shared" ca="1" si="25"/>
        <v>154248.98838974404</v>
      </c>
      <c r="AF15" s="621">
        <f ca="1">'Table 3'!L42</f>
        <v>154279.06545532602</v>
      </c>
      <c r="AG15" s="69">
        <f t="shared" ca="1" si="26"/>
        <v>30.077065581979696</v>
      </c>
      <c r="AI15" s="659">
        <f>14927.3+116460.19</f>
        <v>131387.49</v>
      </c>
      <c r="AJ15" s="759">
        <f t="shared" si="27"/>
        <v>-23319.140000000014</v>
      </c>
    </row>
    <row r="16" spans="1:36" s="3" customFormat="1">
      <c r="A16" s="53" t="s">
        <v>157</v>
      </c>
      <c r="C16" s="61" t="s">
        <v>57</v>
      </c>
      <c r="D16" s="654">
        <v>1881.49</v>
      </c>
      <c r="E16" s="654">
        <v>1316.29</v>
      </c>
      <c r="F16" s="654">
        <v>770.62</v>
      </c>
      <c r="G16" s="654">
        <v>2902.69</v>
      </c>
      <c r="H16" s="654">
        <v>49346.12</v>
      </c>
      <c r="I16" s="654">
        <v>1104.74</v>
      </c>
      <c r="J16" s="654">
        <v>1369.46</v>
      </c>
      <c r="K16" s="654">
        <v>1762.58</v>
      </c>
      <c r="L16" s="654">
        <v>4380.99</v>
      </c>
      <c r="M16" s="654">
        <v>12737.84</v>
      </c>
      <c r="N16" s="654">
        <v>14784.82</v>
      </c>
      <c r="O16" s="654">
        <v>9334.2800000000007</v>
      </c>
      <c r="P16" s="659">
        <f t="shared" si="22"/>
        <v>101691.92000000001</v>
      </c>
      <c r="Q16" s="645">
        <f t="shared" ca="1" si="23"/>
        <v>-5.5656833406588566</v>
      </c>
      <c r="R16" s="645">
        <f t="shared" ca="1" si="23"/>
        <v>-3.893750870042278</v>
      </c>
      <c r="S16" s="645">
        <f t="shared" ca="1" si="23"/>
        <v>-2.279590588298916</v>
      </c>
      <c r="T16" s="645">
        <f t="shared" ca="1" si="23"/>
        <v>-8.5865209892675782</v>
      </c>
      <c r="U16" s="645">
        <f t="shared" ca="1" si="23"/>
        <v>-145.97201048645107</v>
      </c>
      <c r="V16" s="645">
        <f t="shared" ca="1" si="23"/>
        <v>-3.2679594437171944</v>
      </c>
      <c r="W16" s="645">
        <f t="shared" ca="1" si="23"/>
        <v>-4.0510343970463181</v>
      </c>
      <c r="X16" s="645">
        <f t="shared" ca="1" si="23"/>
        <v>-5.2139326504942813</v>
      </c>
      <c r="Y16" s="645">
        <f t="shared" ca="1" si="23"/>
        <v>-12.95951775379781</v>
      </c>
      <c r="Z16" s="645">
        <f t="shared" ca="1" si="23"/>
        <v>-37.680127922007564</v>
      </c>
      <c r="AA16" s="645">
        <f t="shared" ca="1" si="23"/>
        <v>-43.735351433512733</v>
      </c>
      <c r="AB16" s="645">
        <f t="shared" ca="1" si="23"/>
        <v>-27.611970668483568</v>
      </c>
      <c r="AC16" s="471">
        <f t="shared" ca="1" si="24"/>
        <v>-300.81745054377819</v>
      </c>
      <c r="AE16" s="105">
        <f t="shared" ca="1" si="25"/>
        <v>101391.10254945623</v>
      </c>
      <c r="AF16" s="621">
        <f ca="1">'Table 3'!L43</f>
        <v>101546.83165899622</v>
      </c>
      <c r="AG16" s="69">
        <f t="shared" ca="1" si="26"/>
        <v>155.72910953998507</v>
      </c>
      <c r="AI16" s="659">
        <f>444.08+95500.06+69.12</f>
        <v>96013.26</v>
      </c>
      <c r="AJ16" s="759">
        <f t="shared" si="27"/>
        <v>-5678.660000000018</v>
      </c>
    </row>
    <row r="17" spans="1:36" s="3" customFormat="1">
      <c r="A17" s="53">
        <v>33</v>
      </c>
      <c r="C17" s="60" t="s">
        <v>275</v>
      </c>
      <c r="D17" s="627">
        <v>0</v>
      </c>
      <c r="E17" s="627">
        <v>0</v>
      </c>
      <c r="F17" s="627">
        <v>0</v>
      </c>
      <c r="G17" s="627">
        <v>0</v>
      </c>
      <c r="H17" s="627">
        <v>0</v>
      </c>
      <c r="I17" s="627">
        <v>0</v>
      </c>
      <c r="J17" s="627">
        <v>0</v>
      </c>
      <c r="K17" s="627">
        <v>0</v>
      </c>
      <c r="L17" s="627">
        <v>0</v>
      </c>
      <c r="M17" s="627">
        <v>0</v>
      </c>
      <c r="N17" s="627">
        <v>0</v>
      </c>
      <c r="O17" s="627">
        <v>0</v>
      </c>
      <c r="P17" s="659">
        <f t="shared" si="22"/>
        <v>0</v>
      </c>
      <c r="Q17" s="645">
        <f t="shared" ca="1" si="23"/>
        <v>0</v>
      </c>
      <c r="R17" s="645">
        <f t="shared" ca="1" si="23"/>
        <v>0</v>
      </c>
      <c r="S17" s="645">
        <f t="shared" ca="1" si="23"/>
        <v>0</v>
      </c>
      <c r="T17" s="645">
        <f t="shared" ca="1" si="23"/>
        <v>0</v>
      </c>
      <c r="U17" s="645">
        <f t="shared" ca="1" si="23"/>
        <v>0</v>
      </c>
      <c r="V17" s="645">
        <f t="shared" ca="1" si="23"/>
        <v>0</v>
      </c>
      <c r="W17" s="645">
        <f t="shared" ca="1" si="23"/>
        <v>0</v>
      </c>
      <c r="X17" s="645">
        <f t="shared" ca="1" si="23"/>
        <v>0</v>
      </c>
      <c r="Y17" s="645">
        <f t="shared" ca="1" si="23"/>
        <v>0</v>
      </c>
      <c r="Z17" s="645">
        <f t="shared" ca="1" si="23"/>
        <v>0</v>
      </c>
      <c r="AA17" s="645">
        <f t="shared" ca="1" si="23"/>
        <v>0</v>
      </c>
      <c r="AB17" s="645">
        <f t="shared" ca="1" si="23"/>
        <v>0</v>
      </c>
      <c r="AC17" s="471">
        <f t="shared" ca="1" si="24"/>
        <v>0</v>
      </c>
      <c r="AE17" s="105">
        <f t="shared" ca="1" si="25"/>
        <v>0</v>
      </c>
      <c r="AF17" s="621">
        <v>0</v>
      </c>
      <c r="AG17" s="69">
        <f t="shared" ca="1" si="26"/>
        <v>0</v>
      </c>
      <c r="AI17" s="659">
        <v>0</v>
      </c>
      <c r="AJ17" s="759">
        <f t="shared" si="27"/>
        <v>0</v>
      </c>
    </row>
    <row r="18" spans="1:36" s="3" customFormat="1">
      <c r="A18" s="53">
        <v>36</v>
      </c>
      <c r="C18" s="60" t="s">
        <v>53</v>
      </c>
      <c r="D18" s="1113">
        <v>4217619.2700000005</v>
      </c>
      <c r="E18" s="1113">
        <v>4330276.1099999994</v>
      </c>
      <c r="F18" s="1113">
        <v>4630106.5999999996</v>
      </c>
      <c r="G18" s="1113">
        <v>4786632.12</v>
      </c>
      <c r="H18" s="1113">
        <v>4744385.2699999996</v>
      </c>
      <c r="I18" s="1113">
        <v>4814327.0599999996</v>
      </c>
      <c r="J18" s="1113">
        <v>4576024.57</v>
      </c>
      <c r="K18" s="1113">
        <v>4213809.1399999997</v>
      </c>
      <c r="L18" s="1113">
        <v>4052880.3699999996</v>
      </c>
      <c r="M18" s="1113">
        <v>3942847.41</v>
      </c>
      <c r="N18" s="1113">
        <v>3950374.62</v>
      </c>
      <c r="O18" s="1113">
        <v>4124082.29</v>
      </c>
      <c r="P18" s="758">
        <f t="shared" si="22"/>
        <v>52383364.829999983</v>
      </c>
      <c r="Q18" s="645">
        <f t="shared" ca="1" si="23"/>
        <v>-12476.246649347468</v>
      </c>
      <c r="R18" s="645">
        <f t="shared" ca="1" si="23"/>
        <v>-12809.499708146222</v>
      </c>
      <c r="S18" s="645">
        <f t="shared" ca="1" si="23"/>
        <v>-13696.435893411401</v>
      </c>
      <c r="T18" s="645">
        <f t="shared" ca="1" si="23"/>
        <v>-14159.458008358579</v>
      </c>
      <c r="U18" s="645">
        <f t="shared" ca="1" si="23"/>
        <v>-14034.486528711959</v>
      </c>
      <c r="V18" s="645">
        <f t="shared" ca="1" si="23"/>
        <v>-14241.383113556345</v>
      </c>
      <c r="W18" s="645">
        <f t="shared" ca="1" si="23"/>
        <v>-13536.454467307618</v>
      </c>
      <c r="X18" s="645">
        <f t="shared" ca="1" si="23"/>
        <v>-12464.975807053994</v>
      </c>
      <c r="Y18" s="645">
        <f t="shared" ca="1" si="23"/>
        <v>-11988.92832648183</v>
      </c>
      <c r="Z18" s="645">
        <f t="shared" ca="1" si="23"/>
        <v>-11663.437033732265</v>
      </c>
      <c r="AA18" s="645">
        <f t="shared" ca="1" si="23"/>
        <v>-11685.703464751638</v>
      </c>
      <c r="AB18" s="645">
        <f t="shared" ca="1" si="23"/>
        <v>-12199.552533874335</v>
      </c>
      <c r="AC18" s="471">
        <f t="shared" ca="1" si="24"/>
        <v>-154956.56153473366</v>
      </c>
      <c r="AD18" s="262">
        <v>0</v>
      </c>
      <c r="AE18" s="105">
        <f t="shared" ca="1" si="25"/>
        <v>52228408.268465251</v>
      </c>
      <c r="AF18" s="621">
        <f ca="1">'Table 3'!L46</f>
        <v>52222347.638465263</v>
      </c>
      <c r="AG18" s="69">
        <f t="shared" ca="1" si="26"/>
        <v>-6060.629999987781</v>
      </c>
      <c r="AI18" s="659">
        <f>6674.79+2721466.72+1912273.45+4539.76+111459.27+950387.04+179033.14+18568724.12+21817600.01+3228.2</f>
        <v>46275386.5</v>
      </c>
      <c r="AJ18" s="759">
        <f t="shared" si="27"/>
        <v>-6107978.3299999833</v>
      </c>
    </row>
    <row r="19" spans="1:36" s="3" customFormat="1">
      <c r="A19" s="53" t="s">
        <v>156</v>
      </c>
      <c r="C19" s="60" t="s">
        <v>54</v>
      </c>
      <c r="D19" s="969">
        <v>715798.93</v>
      </c>
      <c r="E19" s="969">
        <v>779687.69</v>
      </c>
      <c r="F19" s="969">
        <v>815572.65</v>
      </c>
      <c r="G19" s="969">
        <v>867779.63</v>
      </c>
      <c r="H19" s="969">
        <v>849874.19</v>
      </c>
      <c r="I19" s="969">
        <v>783697.29</v>
      </c>
      <c r="J19" s="969">
        <v>759363.91</v>
      </c>
      <c r="K19" s="969">
        <v>704918.38</v>
      </c>
      <c r="L19" s="969">
        <v>675692.33</v>
      </c>
      <c r="M19" s="969">
        <v>670146.87</v>
      </c>
      <c r="N19" s="969">
        <v>681346.07</v>
      </c>
      <c r="O19" s="969">
        <v>689521.52500000002</v>
      </c>
      <c r="P19" s="758">
        <f t="shared" si="22"/>
        <v>8993399.4649999999</v>
      </c>
      <c r="Q19" s="645">
        <f t="shared" ca="1" si="23"/>
        <v>-2117.4229892066578</v>
      </c>
      <c r="R19" s="645">
        <f t="shared" ca="1" si="23"/>
        <v>-2306.4139523195904</v>
      </c>
      <c r="S19" s="645">
        <f t="shared" ca="1" si="23"/>
        <v>-2412.5661636266982</v>
      </c>
      <c r="T19" s="645">
        <f t="shared" ca="1" si="23"/>
        <v>-2567.0009567173388</v>
      </c>
      <c r="U19" s="645">
        <f t="shared" ca="1" si="23"/>
        <v>-2514.0344200282429</v>
      </c>
      <c r="V19" s="645">
        <f t="shared" ca="1" si="23"/>
        <v>-2318.2748518846724</v>
      </c>
      <c r="W19" s="645">
        <f t="shared" ca="1" si="23"/>
        <v>-2246.2936626740352</v>
      </c>
      <c r="X19" s="645">
        <f t="shared" ca="1" si="23"/>
        <v>-2085.2369579908632</v>
      </c>
      <c r="Y19" s="645">
        <f t="shared" ca="1" si="23"/>
        <v>-1998.7826374267022</v>
      </c>
      <c r="Z19" s="645">
        <f t="shared" ca="1" si="23"/>
        <v>-1982.3784713996226</v>
      </c>
      <c r="AA19" s="645">
        <f t="shared" ca="1" si="23"/>
        <v>-2015.5071092710471</v>
      </c>
      <c r="AB19" s="645">
        <f t="shared" ca="1" si="23"/>
        <v>-2039.6911302840774</v>
      </c>
      <c r="AC19" s="471">
        <f t="shared" ca="1" si="24"/>
        <v>-26603.603302829546</v>
      </c>
      <c r="AE19" s="105">
        <f t="shared" ca="1" si="25"/>
        <v>8966795.8616971709</v>
      </c>
      <c r="AF19" s="621">
        <f ca="1">'Table 3'!L49</f>
        <v>8950910.7866971716</v>
      </c>
      <c r="AG19" s="69">
        <f t="shared" ca="1" si="26"/>
        <v>-15885.074999999255</v>
      </c>
      <c r="AI19" s="659">
        <f>2207236.57+1056563.18+3986274.67</f>
        <v>7250074.4199999999</v>
      </c>
      <c r="AJ19" s="759">
        <f t="shared" si="27"/>
        <v>-1743325.0449999999</v>
      </c>
    </row>
    <row r="20" spans="1:36" s="3" customFormat="1">
      <c r="A20" s="53" t="s">
        <v>151</v>
      </c>
      <c r="C20" s="60" t="s">
        <v>55</v>
      </c>
      <c r="D20" s="969">
        <v>25679.0999999997</v>
      </c>
      <c r="E20" s="969">
        <v>25658.769999999698</v>
      </c>
      <c r="F20" s="969">
        <v>25626.299999999701</v>
      </c>
      <c r="G20" s="969">
        <v>25662.749999999702</v>
      </c>
      <c r="H20" s="969">
        <v>25781.019999999698</v>
      </c>
      <c r="I20" s="969">
        <v>25772.749999999702</v>
      </c>
      <c r="J20" s="969">
        <v>25791.109999999699</v>
      </c>
      <c r="K20" s="969">
        <v>25632.879999999699</v>
      </c>
      <c r="L20" s="969">
        <v>25568.0799999997</v>
      </c>
      <c r="M20" s="969">
        <v>25588.9399999997</v>
      </c>
      <c r="N20" s="969">
        <v>25545.499999999702</v>
      </c>
      <c r="O20" s="969">
        <v>25593.4</v>
      </c>
      <c r="P20" s="659">
        <f t="shared" si="22"/>
        <v>307900.59999999672</v>
      </c>
      <c r="Q20" s="645">
        <f t="shared" ca="1" si="23"/>
        <v>-75.961997710915895</v>
      </c>
      <c r="R20" s="645">
        <f t="shared" ca="1" si="23"/>
        <v>-75.901859021730417</v>
      </c>
      <c r="S20" s="645">
        <f t="shared" ca="1" si="23"/>
        <v>-75.805808690306293</v>
      </c>
      <c r="T20" s="645">
        <f t="shared" ca="1" si="23"/>
        <v>-75.91363236078395</v>
      </c>
      <c r="U20" s="645">
        <f t="shared" ca="1" si="23"/>
        <v>-76.263489850698704</v>
      </c>
      <c r="V20" s="645">
        <f t="shared" ca="1" si="23"/>
        <v>-76.239026153720658</v>
      </c>
      <c r="W20" s="645">
        <f t="shared" ca="1" si="23"/>
        <v>-76.293337335887159</v>
      </c>
      <c r="X20" s="645">
        <f t="shared" ca="1" si="23"/>
        <v>-75.825273155374674</v>
      </c>
      <c r="Y20" s="645">
        <f t="shared" ca="1" si="23"/>
        <v>-75.633586630081055</v>
      </c>
      <c r="Z20" s="645">
        <f t="shared" ca="1" si="23"/>
        <v>-75.695293125723424</v>
      </c>
      <c r="AA20" s="645">
        <f t="shared" ca="1" si="23"/>
        <v>-75.566792158767328</v>
      </c>
      <c r="AB20" s="645">
        <f t="shared" ca="1" si="23"/>
        <v>-75.708486364965196</v>
      </c>
      <c r="AC20" s="471">
        <f t="shared" ca="1" si="24"/>
        <v>-910.80858255895487</v>
      </c>
      <c r="AE20" s="105">
        <f t="shared" ca="1" si="25"/>
        <v>306989.79141743778</v>
      </c>
      <c r="AF20" s="621">
        <f ca="1">'Table 3'!L52</f>
        <v>306833.70141744107</v>
      </c>
      <c r="AG20" s="69">
        <f t="shared" ca="1" si="26"/>
        <v>-156.08999999670777</v>
      </c>
      <c r="AI20" s="659">
        <f>203909.08+80626.15</f>
        <v>284535.23</v>
      </c>
      <c r="AJ20" s="759">
        <f t="shared" si="27"/>
        <v>-23365.369999996736</v>
      </c>
    </row>
    <row r="21" spans="1:36" s="3" customFormat="1">
      <c r="A21" s="53">
        <v>54</v>
      </c>
      <c r="C21" s="60" t="s">
        <v>56</v>
      </c>
      <c r="D21" s="969">
        <v>2420.92</v>
      </c>
      <c r="E21" s="969">
        <v>2062.4899999999998</v>
      </c>
      <c r="F21" s="969">
        <v>1545</v>
      </c>
      <c r="G21" s="969">
        <v>2527.5</v>
      </c>
      <c r="H21" s="969">
        <v>2800.98</v>
      </c>
      <c r="I21" s="969">
        <v>1938.41</v>
      </c>
      <c r="J21" s="969">
        <v>1347</v>
      </c>
      <c r="K21" s="969">
        <v>1232.3399999999999</v>
      </c>
      <c r="L21" s="969">
        <v>2828.8</v>
      </c>
      <c r="M21" s="969">
        <v>2610.9699999999998</v>
      </c>
      <c r="N21" s="969">
        <v>1551.77</v>
      </c>
      <c r="O21" s="969">
        <v>1940.26</v>
      </c>
      <c r="P21" s="659">
        <f t="shared" si="22"/>
        <v>24806.44</v>
      </c>
      <c r="Q21" s="645">
        <f t="shared" ca="1" si="23"/>
        <v>-7.1613849199665367</v>
      </c>
      <c r="R21" s="645">
        <f t="shared" ca="1" si="23"/>
        <v>-6.1011040363092457</v>
      </c>
      <c r="S21" s="645">
        <f t="shared" ca="1" si="23"/>
        <v>-4.570303728065487</v>
      </c>
      <c r="T21" s="645">
        <f t="shared" ca="1" si="23"/>
        <v>-7.4766619240682965</v>
      </c>
      <c r="U21" s="645">
        <f t="shared" ca="1" si="23"/>
        <v>-8.2856500558167436</v>
      </c>
      <c r="V21" s="645">
        <f t="shared" ca="1" si="23"/>
        <v>-5.7340598378766474</v>
      </c>
      <c r="W21" s="645">
        <f t="shared" ca="1" si="23"/>
        <v>-3.9845949007794244</v>
      </c>
      <c r="X21" s="645">
        <f t="shared" ca="1" si="23"/>
        <v>-3.6454162435237678</v>
      </c>
      <c r="Y21" s="645">
        <f t="shared" ca="1" si="23"/>
        <v>-8.3679451041758242</v>
      </c>
      <c r="Z21" s="645">
        <f t="shared" ca="1" si="23"/>
        <v>-7.7235766503994459</v>
      </c>
      <c r="AA21" s="645">
        <f t="shared" ca="1" si="23"/>
        <v>-4.5903302369580459</v>
      </c>
      <c r="AB21" s="645">
        <f t="shared" ca="1" si="23"/>
        <v>-5.7395323698487646</v>
      </c>
      <c r="AC21" s="471">
        <f t="shared" ca="1" si="24"/>
        <v>-73.380560007788219</v>
      </c>
      <c r="AE21" s="105">
        <f t="shared" ca="1" si="25"/>
        <v>24733.059439992212</v>
      </c>
      <c r="AF21" s="621">
        <f ca="1">'Table 3'!L53</f>
        <v>24725.119439992213</v>
      </c>
      <c r="AG21" s="69">
        <f t="shared" ca="1" si="26"/>
        <v>-7.9399999999986903</v>
      </c>
      <c r="AI21" s="659">
        <f>7161.55+13379.45</f>
        <v>20541</v>
      </c>
      <c r="AJ21" s="759">
        <f t="shared" si="27"/>
        <v>-4265.4399999999987</v>
      </c>
    </row>
    <row r="22" spans="1:36" s="3" customFormat="1">
      <c r="A22" s="53"/>
      <c r="B22" s="3" t="s">
        <v>274</v>
      </c>
      <c r="C22" s="5"/>
      <c r="D22" s="659">
        <f t="shared" ref="D22:O22" si="28">SUM(D14:D21)</f>
        <v>8443277.3500000108</v>
      </c>
      <c r="E22" s="659">
        <f t="shared" si="28"/>
        <v>8953243.3499999996</v>
      </c>
      <c r="F22" s="659">
        <f t="shared" si="28"/>
        <v>9329025.2200000193</v>
      </c>
      <c r="G22" s="659">
        <f t="shared" si="28"/>
        <v>9148162.2600000203</v>
      </c>
      <c r="H22" s="659">
        <f t="shared" si="28"/>
        <v>9140902.0799999889</v>
      </c>
      <c r="I22" s="659">
        <f t="shared" si="28"/>
        <v>9656621.5300000086</v>
      </c>
      <c r="J22" s="659">
        <f t="shared" si="28"/>
        <v>9487070.4900000207</v>
      </c>
      <c r="K22" s="659">
        <f t="shared" si="28"/>
        <v>8707651.120000001</v>
      </c>
      <c r="L22" s="659">
        <f t="shared" si="28"/>
        <v>8263320.9600000093</v>
      </c>
      <c r="M22" s="659">
        <f t="shared" si="28"/>
        <v>7943233.7800000207</v>
      </c>
      <c r="N22" s="659">
        <f t="shared" si="28"/>
        <v>7867664.9900000207</v>
      </c>
      <c r="O22" s="659">
        <f t="shared" si="28"/>
        <v>8193977.3749999795</v>
      </c>
      <c r="P22" s="659">
        <f t="shared" si="22"/>
        <v>105134150.50500011</v>
      </c>
      <c r="Q22" s="471">
        <f t="shared" ref="Q22:AF22" ca="1" si="29">SUM(Q14:Q21)</f>
        <v>-24976.273106664034</v>
      </c>
      <c r="R22" s="471">
        <f t="shared" ca="1" si="29"/>
        <v>-26484.816479470897</v>
      </c>
      <c r="S22" s="471">
        <f t="shared" ca="1" si="29"/>
        <v>-27596.426370345012</v>
      </c>
      <c r="T22" s="471">
        <f t="shared" ca="1" si="29"/>
        <v>-27061.411056198111</v>
      </c>
      <c r="U22" s="471">
        <f t="shared" ca="1" si="29"/>
        <v>-27039.934533401625</v>
      </c>
      <c r="V22" s="471">
        <f t="shared" ca="1" si="29"/>
        <v>-28565.497332735591</v>
      </c>
      <c r="W22" s="471">
        <f t="shared" ca="1" si="29"/>
        <v>-28063.944096354146</v>
      </c>
      <c r="X22" s="471">
        <f t="shared" ca="1" si="29"/>
        <v>-25758.323868239229</v>
      </c>
      <c r="Y22" s="471">
        <f t="shared" ca="1" si="29"/>
        <v>-24443.939540252242</v>
      </c>
      <c r="Z22" s="471">
        <f t="shared" ca="1" si="29"/>
        <v>-23497.081525973979</v>
      </c>
      <c r="AA22" s="471">
        <f t="shared" ca="1" si="29"/>
        <v>-23273.539569558186</v>
      </c>
      <c r="AB22" s="471">
        <f t="shared" ca="1" si="29"/>
        <v>-24238.812520806896</v>
      </c>
      <c r="AC22" s="623">
        <f t="shared" ca="1" si="29"/>
        <v>-310999.99999999994</v>
      </c>
      <c r="AD22" s="107">
        <f t="shared" si="29"/>
        <v>-325770.97000000003</v>
      </c>
      <c r="AE22" s="107">
        <f t="shared" ca="1" si="29"/>
        <v>104497379.53500007</v>
      </c>
      <c r="AF22" s="624">
        <f t="shared" ca="1" si="29"/>
        <v>104336292.05617514</v>
      </c>
      <c r="AG22" s="69">
        <f t="shared" ca="1" si="26"/>
        <v>-161087.4788249284</v>
      </c>
    </row>
    <row r="23" spans="1:36" s="3" customFormat="1">
      <c r="A23" s="53"/>
      <c r="B23" s="3" t="s">
        <v>277</v>
      </c>
      <c r="C23" s="5"/>
      <c r="D23" s="659"/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50">
        <f ca="1">'Table 3'!D66</f>
        <v>-311000</v>
      </c>
      <c r="AD23" s="107"/>
      <c r="AE23" s="107"/>
      <c r="AF23" s="624"/>
      <c r="AG23" s="69"/>
    </row>
    <row r="24" spans="1:36" s="3" customFormat="1">
      <c r="A24" s="53">
        <v>24</v>
      </c>
      <c r="C24" s="60" t="s">
        <v>51</v>
      </c>
      <c r="D24" s="654">
        <v>113662.09</v>
      </c>
      <c r="E24" s="654">
        <v>118050.48999999999</v>
      </c>
      <c r="F24" s="654">
        <v>128549.43000000001</v>
      </c>
      <c r="G24" s="654">
        <v>122172.38</v>
      </c>
      <c r="H24" s="654">
        <v>121337.05</v>
      </c>
      <c r="I24" s="654">
        <v>142422.60999999999</v>
      </c>
      <c r="J24" s="654">
        <v>143867.24</v>
      </c>
      <c r="K24" s="654">
        <v>132051.46</v>
      </c>
      <c r="L24" s="654">
        <v>119386.59</v>
      </c>
      <c r="M24" s="654">
        <v>121448.51000000001</v>
      </c>
      <c r="N24" s="654">
        <v>105441.8499999999</v>
      </c>
      <c r="O24" s="654">
        <v>107124.38</v>
      </c>
      <c r="P24" s="758">
        <f t="shared" ref="P24:P32" si="30">SUM(D24:O24)</f>
        <v>1475514.08</v>
      </c>
      <c r="Q24" s="645">
        <f t="shared" ref="Q24:AB31" ca="1" si="31">D24/$P$32*$AC$33</f>
        <v>1861.2891303576666</v>
      </c>
      <c r="R24" s="645">
        <f t="shared" ca="1" si="31"/>
        <v>1933.1519759173564</v>
      </c>
      <c r="S24" s="645">
        <f t="shared" ca="1" si="31"/>
        <v>2105.0788065983456</v>
      </c>
      <c r="T24" s="645">
        <f t="shared" ca="1" si="31"/>
        <v>2000.6505504511344</v>
      </c>
      <c r="U24" s="645">
        <f t="shared" ca="1" si="31"/>
        <v>1986.9714895675831</v>
      </c>
      <c r="V24" s="645">
        <f t="shared" ca="1" si="31"/>
        <v>2332.2609667846955</v>
      </c>
      <c r="W24" s="645">
        <f t="shared" ca="1" si="31"/>
        <v>2355.917703313019</v>
      </c>
      <c r="X24" s="645">
        <f t="shared" ca="1" si="31"/>
        <v>2162.4267787602726</v>
      </c>
      <c r="Y24" s="645">
        <f t="shared" ca="1" si="31"/>
        <v>1955.0314645583878</v>
      </c>
      <c r="Z24" s="645">
        <f t="shared" ca="1" si="31"/>
        <v>1988.7967180713849</v>
      </c>
      <c r="AA24" s="645">
        <f t="shared" ca="1" si="31"/>
        <v>1726.6774637858882</v>
      </c>
      <c r="AB24" s="645">
        <f t="shared" ca="1" si="31"/>
        <v>1754.2299643645847</v>
      </c>
      <c r="AC24" s="471">
        <f t="shared" ref="AC24:AC31" ca="1" si="32">SUM(Q24:AB24)</f>
        <v>24162.483012530323</v>
      </c>
      <c r="AE24" s="105">
        <f t="shared" ref="AE24:AE31" ca="1" si="33">P24+AC24+AD24</f>
        <v>1499676.5630125303</v>
      </c>
      <c r="AF24" s="621">
        <f ca="1">'Table 3'!L71</f>
        <v>1499649.5630125303</v>
      </c>
      <c r="AG24" s="69">
        <f t="shared" ref="AG24:AG32" ca="1" si="34">AF24-AE24</f>
        <v>-27</v>
      </c>
      <c r="AI24" s="659">
        <f>38016.59+162004.49+194812.69+969736.78</f>
        <v>1364570.55</v>
      </c>
      <c r="AJ24" s="759">
        <f t="shared" ref="AJ24:AJ31" si="35">AI24-P24</f>
        <v>-110943.53000000003</v>
      </c>
    </row>
    <row r="25" spans="1:36" s="3" customFormat="1">
      <c r="A25" s="53" t="s">
        <v>149</v>
      </c>
      <c r="C25" s="60" t="s">
        <v>52</v>
      </c>
      <c r="D25" s="654">
        <v>637.05999999999995</v>
      </c>
      <c r="E25" s="654">
        <v>637.05999999999995</v>
      </c>
      <c r="F25" s="654">
        <v>637.05999999999995</v>
      </c>
      <c r="G25" s="654">
        <v>637.05999999999995</v>
      </c>
      <c r="H25" s="654">
        <v>637.05999999999995</v>
      </c>
      <c r="I25" s="654">
        <v>637.05999999999995</v>
      </c>
      <c r="J25" s="654">
        <v>637.05999999999995</v>
      </c>
      <c r="K25" s="654">
        <v>637.05999999999995</v>
      </c>
      <c r="L25" s="654">
        <v>637.05999999999995</v>
      </c>
      <c r="M25" s="654">
        <v>637.05999999999995</v>
      </c>
      <c r="N25" s="654">
        <v>637.05999999999995</v>
      </c>
      <c r="O25" s="654">
        <v>642.36</v>
      </c>
      <c r="P25" s="659">
        <f t="shared" si="30"/>
        <v>7650.0199999999977</v>
      </c>
      <c r="Q25" s="645">
        <f t="shared" ca="1" si="31"/>
        <v>10.432263328834223</v>
      </c>
      <c r="R25" s="645">
        <f t="shared" ca="1" si="31"/>
        <v>10.432263328834223</v>
      </c>
      <c r="S25" s="645">
        <f t="shared" ca="1" si="31"/>
        <v>10.432263328834223</v>
      </c>
      <c r="T25" s="645">
        <f t="shared" ca="1" si="31"/>
        <v>10.432263328834223</v>
      </c>
      <c r="U25" s="645">
        <f t="shared" ca="1" si="31"/>
        <v>10.432263328834223</v>
      </c>
      <c r="V25" s="645">
        <f t="shared" ca="1" si="31"/>
        <v>10.432263328834223</v>
      </c>
      <c r="W25" s="645">
        <f t="shared" ca="1" si="31"/>
        <v>10.432263328834223</v>
      </c>
      <c r="X25" s="645">
        <f t="shared" ca="1" si="31"/>
        <v>10.432263328834223</v>
      </c>
      <c r="Y25" s="645">
        <f t="shared" ca="1" si="31"/>
        <v>10.432263328834223</v>
      </c>
      <c r="Z25" s="645">
        <f t="shared" ca="1" si="31"/>
        <v>10.432263328834223</v>
      </c>
      <c r="AA25" s="645">
        <f t="shared" ca="1" si="31"/>
        <v>10.432263328834223</v>
      </c>
      <c r="AB25" s="645">
        <f t="shared" ca="1" si="31"/>
        <v>10.519054205114044</v>
      </c>
      <c r="AC25" s="471">
        <f t="shared" ca="1" si="32"/>
        <v>125.2739508222905</v>
      </c>
      <c r="AE25" s="105">
        <f t="shared" ca="1" si="33"/>
        <v>7775.293950822288</v>
      </c>
      <c r="AF25" s="621">
        <f ca="1">'Table 3'!L72</f>
        <v>7776.6754850083407</v>
      </c>
      <c r="AG25" s="69">
        <f t="shared" ca="1" si="34"/>
        <v>1.3815341860527042</v>
      </c>
      <c r="AI25" s="659">
        <f>6582.52</f>
        <v>6582.52</v>
      </c>
      <c r="AJ25" s="759">
        <f t="shared" si="35"/>
        <v>-1067.4999999999973</v>
      </c>
    </row>
    <row r="26" spans="1:36" s="3" customFormat="1">
      <c r="A26" s="53" t="s">
        <v>157</v>
      </c>
      <c r="C26" s="60" t="s">
        <v>57</v>
      </c>
      <c r="D26" s="654">
        <v>28.48</v>
      </c>
      <c r="E26" s="654">
        <v>122.29</v>
      </c>
      <c r="F26" s="654">
        <v>67.56</v>
      </c>
      <c r="G26" s="654">
        <v>70.16</v>
      </c>
      <c r="H26" s="654">
        <v>936.59</v>
      </c>
      <c r="I26" s="654">
        <v>1.64</v>
      </c>
      <c r="J26" s="654">
        <v>1.74</v>
      </c>
      <c r="K26" s="654">
        <v>1.44</v>
      </c>
      <c r="L26" s="654">
        <v>248.91</v>
      </c>
      <c r="M26" s="654">
        <v>281.44</v>
      </c>
      <c r="N26" s="654">
        <v>243.69</v>
      </c>
      <c r="O26" s="654">
        <v>296.02</v>
      </c>
      <c r="P26" s="659">
        <f t="shared" si="30"/>
        <v>2299.96</v>
      </c>
      <c r="Q26" s="645">
        <f t="shared" ca="1" si="31"/>
        <v>0.46637814272627176</v>
      </c>
      <c r="R26" s="645">
        <f t="shared" ca="1" si="31"/>
        <v>2.0025766528790649</v>
      </c>
      <c r="S26" s="645">
        <f t="shared" ca="1" si="31"/>
        <v>1.1063380380121812</v>
      </c>
      <c r="T26" s="645">
        <f t="shared" ca="1" si="31"/>
        <v>1.1489146943003941</v>
      </c>
      <c r="U26" s="645">
        <f t="shared" ca="1" si="31"/>
        <v>15.337257889606702</v>
      </c>
      <c r="V26" s="645">
        <f t="shared" ca="1" si="31"/>
        <v>2.685604473564205E-2</v>
      </c>
      <c r="W26" s="645">
        <f t="shared" ca="1" si="31"/>
        <v>2.8493608439034861E-2</v>
      </c>
      <c r="X26" s="645">
        <f t="shared" ca="1" si="31"/>
        <v>2.3580917328856438E-2</v>
      </c>
      <c r="Y26" s="645">
        <f t="shared" ca="1" si="31"/>
        <v>4.0760598141150384</v>
      </c>
      <c r="Z26" s="645">
        <f t="shared" ca="1" si="31"/>
        <v>4.608759286828719</v>
      </c>
      <c r="AA26" s="645">
        <f t="shared" ca="1" si="31"/>
        <v>3.9905789887979339</v>
      </c>
      <c r="AB26" s="645">
        <f t="shared" ca="1" si="31"/>
        <v>4.8475160747833907</v>
      </c>
      <c r="AC26" s="471">
        <f t="shared" ca="1" si="32"/>
        <v>37.66331015255323</v>
      </c>
      <c r="AE26" s="105">
        <f t="shared" ca="1" si="33"/>
        <v>2337.6233101525531</v>
      </c>
      <c r="AF26" s="621">
        <f ca="1">'Table 3'!L73</f>
        <v>2331.8089501525533</v>
      </c>
      <c r="AG26" s="69">
        <f t="shared" ca="1" si="34"/>
        <v>-5.8143599999998514</v>
      </c>
      <c r="AI26" s="659">
        <f>1890.72</f>
        <v>1890.72</v>
      </c>
      <c r="AJ26" s="759">
        <f t="shared" si="35"/>
        <v>-409.24</v>
      </c>
    </row>
    <row r="27" spans="1:36" s="3" customFormat="1">
      <c r="A27" s="53">
        <v>36</v>
      </c>
      <c r="C27" s="60" t="s">
        <v>53</v>
      </c>
      <c r="D27" s="969">
        <v>642107.62</v>
      </c>
      <c r="E27" s="969">
        <v>689628.33</v>
      </c>
      <c r="F27" s="969">
        <v>783443.5</v>
      </c>
      <c r="G27" s="969">
        <v>789299.99</v>
      </c>
      <c r="H27" s="969">
        <v>755611.3899999999</v>
      </c>
      <c r="I27" s="969">
        <v>716335.66</v>
      </c>
      <c r="J27" s="969">
        <v>656009.88</v>
      </c>
      <c r="K27" s="969">
        <v>621870.87</v>
      </c>
      <c r="L27" s="969">
        <v>620882.05999999994</v>
      </c>
      <c r="M27" s="969">
        <v>596528.47</v>
      </c>
      <c r="N27" s="969">
        <v>593307.10000000009</v>
      </c>
      <c r="O27" s="969">
        <v>603978.16999999993</v>
      </c>
      <c r="P27" s="758">
        <f t="shared" si="30"/>
        <v>8069003.0399999991</v>
      </c>
      <c r="Q27" s="645">
        <f t="shared" ca="1" si="31"/>
        <v>10514.92132183942</v>
      </c>
      <c r="R27" s="645">
        <f t="shared" ca="1" si="31"/>
        <v>11293.103220393976</v>
      </c>
      <c r="S27" s="645">
        <f t="shared" ca="1" si="31"/>
        <v>12829.386392590235</v>
      </c>
      <c r="T27" s="645">
        <f t="shared" ca="1" si="31"/>
        <v>12925.290147123063</v>
      </c>
      <c r="U27" s="645">
        <f t="shared" ca="1" si="31"/>
        <v>12373.617861341872</v>
      </c>
      <c r="V27" s="645">
        <f t="shared" ca="1" si="31"/>
        <v>11730.452762619314</v>
      </c>
      <c r="W27" s="645">
        <f t="shared" ca="1" si="31"/>
        <v>10742.579685550716</v>
      </c>
      <c r="X27" s="645">
        <f t="shared" ca="1" si="31"/>
        <v>10183.531649093076</v>
      </c>
      <c r="Y27" s="645">
        <f t="shared" ca="1" si="31"/>
        <v>10167.339255437557</v>
      </c>
      <c r="Z27" s="645">
        <f t="shared" ca="1" si="31"/>
        <v>9768.5337051244551</v>
      </c>
      <c r="AA27" s="645">
        <f t="shared" ca="1" si="31"/>
        <v>9715.7817192524726</v>
      </c>
      <c r="AB27" s="645">
        <f t="shared" ca="1" si="31"/>
        <v>9890.5272883361085</v>
      </c>
      <c r="AC27" s="471">
        <f t="shared" ca="1" si="32"/>
        <v>132135.06500870228</v>
      </c>
      <c r="AE27" s="105">
        <f t="shared" ca="1" si="33"/>
        <v>8201138.1050087018</v>
      </c>
      <c r="AF27" s="621">
        <f ca="1">'Table 3'!L76</f>
        <v>8212916.3350087022</v>
      </c>
      <c r="AG27" s="69">
        <f t="shared" ca="1" si="34"/>
        <v>11778.230000000447</v>
      </c>
      <c r="AI27" s="659">
        <f>1454.02+392730.8+29052.02+46533.95+345559.36+27570.65+1957598.66+5268311.45</f>
        <v>8068810.9100000001</v>
      </c>
      <c r="AJ27" s="759">
        <f t="shared" si="35"/>
        <v>-192.12999999895692</v>
      </c>
    </row>
    <row r="28" spans="1:36" s="3" customFormat="1">
      <c r="A28" s="53">
        <v>47</v>
      </c>
      <c r="C28" s="60" t="s">
        <v>167</v>
      </c>
      <c r="D28" s="969">
        <v>21902.46</v>
      </c>
      <c r="E28" s="969">
        <v>20978.67</v>
      </c>
      <c r="F28" s="969">
        <v>25289.22</v>
      </c>
      <c r="G28" s="969">
        <v>19276.32</v>
      </c>
      <c r="H28" s="969">
        <v>19372.68</v>
      </c>
      <c r="I28" s="969">
        <v>51717.71</v>
      </c>
      <c r="J28" s="969">
        <v>22614.79</v>
      </c>
      <c r="K28" s="969">
        <v>24472.12</v>
      </c>
      <c r="L28" s="969">
        <v>17601.43</v>
      </c>
      <c r="M28" s="969">
        <v>18675.22</v>
      </c>
      <c r="N28" s="969">
        <v>20553.63</v>
      </c>
      <c r="O28" s="969">
        <v>19642.36</v>
      </c>
      <c r="P28" s="659">
        <f t="shared" si="30"/>
        <v>282096.61</v>
      </c>
      <c r="Q28" s="645">
        <f t="shared" ca="1" si="31"/>
        <v>358.66673511012846</v>
      </c>
      <c r="R28" s="645">
        <f t="shared" ca="1" si="31"/>
        <v>343.53908537455601</v>
      </c>
      <c r="S28" s="645">
        <f t="shared" ca="1" si="31"/>
        <v>414.12708759115475</v>
      </c>
      <c r="T28" s="645">
        <f t="shared" ca="1" si="31"/>
        <v>315.66201966984858</v>
      </c>
      <c r="U28" s="645">
        <f t="shared" ca="1" si="31"/>
        <v>317.23997605443788</v>
      </c>
      <c r="V28" s="645">
        <f t="shared" ca="1" si="31"/>
        <v>846.91044718595253</v>
      </c>
      <c r="W28" s="645">
        <f t="shared" ca="1" si="31"/>
        <v>370.33159263850649</v>
      </c>
      <c r="X28" s="645">
        <f t="shared" ca="1" si="31"/>
        <v>400.74655457073209</v>
      </c>
      <c r="Y28" s="645">
        <f t="shared" ca="1" si="31"/>
        <v>288.23462895809274</v>
      </c>
      <c r="Z28" s="645">
        <f t="shared" ca="1" si="31"/>
        <v>305.81862424875442</v>
      </c>
      <c r="AA28" s="645">
        <f t="shared" ca="1" si="31"/>
        <v>336.57878460965526</v>
      </c>
      <c r="AB28" s="645">
        <f t="shared" ca="1" si="31"/>
        <v>321.65615784974761</v>
      </c>
      <c r="AC28" s="471">
        <f t="shared" ca="1" si="32"/>
        <v>4619.5116938615674</v>
      </c>
      <c r="AD28" s="3">
        <v>0</v>
      </c>
      <c r="AE28" s="105">
        <f t="shared" ca="1" si="33"/>
        <v>286716.12169386155</v>
      </c>
      <c r="AF28" s="621">
        <f ca="1">'Table 3'!L79</f>
        <v>286374.90169386158</v>
      </c>
      <c r="AG28" s="69">
        <f t="shared" ca="1" si="34"/>
        <v>-341.21999999997206</v>
      </c>
      <c r="AI28" s="659">
        <f>179344.2</f>
        <v>179344.2</v>
      </c>
      <c r="AJ28" s="759">
        <f t="shared" si="35"/>
        <v>-102752.40999999997</v>
      </c>
    </row>
    <row r="29" spans="1:36" s="3" customFormat="1">
      <c r="A29" s="53" t="s">
        <v>592</v>
      </c>
      <c r="C29" s="60" t="s">
        <v>593</v>
      </c>
      <c r="D29" s="969">
        <v>2015563.06</v>
      </c>
      <c r="E29" s="969">
        <v>2057142.26</v>
      </c>
      <c r="F29" s="969">
        <v>2064676.46</v>
      </c>
      <c r="G29" s="969">
        <v>2005376.42</v>
      </c>
      <c r="H29" s="969">
        <v>2045121.3</v>
      </c>
      <c r="I29" s="969">
        <v>2047671.65</v>
      </c>
      <c r="J29" s="969">
        <v>2111950</v>
      </c>
      <c r="K29" s="969">
        <v>2077551.65</v>
      </c>
      <c r="L29" s="969">
        <v>1977097.97</v>
      </c>
      <c r="M29" s="969">
        <v>2047641.77</v>
      </c>
      <c r="N29" s="969">
        <v>1758860.33</v>
      </c>
      <c r="O29" s="969">
        <v>2092959.65</v>
      </c>
      <c r="P29" s="659">
        <f t="shared" si="30"/>
        <v>24301612.519999996</v>
      </c>
      <c r="Q29" s="645">
        <f t="shared" ca="1" si="31"/>
        <v>33006.129089553404</v>
      </c>
      <c r="R29" s="645">
        <f t="shared" ca="1" si="31"/>
        <v>33687.014976914506</v>
      </c>
      <c r="S29" s="645">
        <f t="shared" ca="1" si="31"/>
        <v>33810.392301455533</v>
      </c>
      <c r="T29" s="645">
        <f t="shared" ca="1" si="31"/>
        <v>32839.316370318113</v>
      </c>
      <c r="U29" s="645">
        <f t="shared" ca="1" si="31"/>
        <v>33490.164099155139</v>
      </c>
      <c r="V29" s="645">
        <f t="shared" ca="1" si="31"/>
        <v>33531.92770506462</v>
      </c>
      <c r="W29" s="645">
        <f t="shared" ca="1" si="31"/>
        <v>34584.526633804409</v>
      </c>
      <c r="X29" s="645">
        <f t="shared" ca="1" si="31"/>
        <v>34021.231739638388</v>
      </c>
      <c r="Y29" s="645">
        <f t="shared" ca="1" si="31"/>
        <v>32376.238737236028</v>
      </c>
      <c r="Z29" s="645">
        <f t="shared" ca="1" si="31"/>
        <v>33531.438401030049</v>
      </c>
      <c r="AA29" s="645">
        <f t="shared" ca="1" si="31"/>
        <v>28802.458357454965</v>
      </c>
      <c r="AB29" s="645">
        <f t="shared" ca="1" si="31"/>
        <v>34273.54755505715</v>
      </c>
      <c r="AC29" s="471">
        <f t="shared" ca="1" si="32"/>
        <v>397954.38596668228</v>
      </c>
      <c r="AE29" s="105">
        <f t="shared" ca="1" si="33"/>
        <v>24699566.905966677</v>
      </c>
      <c r="AF29" s="621">
        <f ca="1">'Table 3'!L81</f>
        <v>24699566.90596668</v>
      </c>
      <c r="AG29" s="69">
        <f t="shared" ca="1" si="34"/>
        <v>0</v>
      </c>
      <c r="AI29" s="659">
        <f>19175464.78</f>
        <v>19175464.780000001</v>
      </c>
      <c r="AJ29" s="759">
        <f t="shared" si="35"/>
        <v>-5126147.7399999946</v>
      </c>
    </row>
    <row r="30" spans="1:36" s="3" customFormat="1">
      <c r="A30" s="53" t="s">
        <v>156</v>
      </c>
      <c r="C30" s="60" t="s">
        <v>54</v>
      </c>
      <c r="D30" s="969">
        <v>1135980.93</v>
      </c>
      <c r="E30" s="969">
        <v>1159022.57</v>
      </c>
      <c r="F30" s="969">
        <v>1140119.04</v>
      </c>
      <c r="G30" s="969">
        <v>1147480.3400000001</v>
      </c>
      <c r="H30" s="969">
        <v>1302930.79</v>
      </c>
      <c r="I30" s="969">
        <v>1098174.45</v>
      </c>
      <c r="J30" s="969">
        <v>1067012.67</v>
      </c>
      <c r="K30" s="969">
        <v>1082172.71</v>
      </c>
      <c r="L30" s="969">
        <v>1097219.1100000001</v>
      </c>
      <c r="M30" s="969">
        <v>1107592.79</v>
      </c>
      <c r="N30" s="969">
        <v>1107811.6299999999</v>
      </c>
      <c r="O30" s="969">
        <v>1150422.68</v>
      </c>
      <c r="P30" s="659">
        <f t="shared" si="30"/>
        <v>13595939.709999997</v>
      </c>
      <c r="Q30" s="645">
        <f t="shared" ca="1" si="31"/>
        <v>18602.411387144064</v>
      </c>
      <c r="R30" s="645">
        <f t="shared" ca="1" si="31"/>
        <v>18979.732920450504</v>
      </c>
      <c r="S30" s="645">
        <f t="shared" ca="1" si="31"/>
        <v>18670.175574510533</v>
      </c>
      <c r="T30" s="645">
        <f t="shared" ca="1" si="31"/>
        <v>18790.721551408387</v>
      </c>
      <c r="U30" s="645">
        <f t="shared" ca="1" si="31"/>
        <v>21336.321697369171</v>
      </c>
      <c r="V30" s="645">
        <f t="shared" ca="1" si="31"/>
        <v>17983.306193133601</v>
      </c>
      <c r="W30" s="645">
        <f t="shared" ca="1" si="31"/>
        <v>17473.012194522482</v>
      </c>
      <c r="X30" s="645">
        <f t="shared" ca="1" si="31"/>
        <v>17721.267506982313</v>
      </c>
      <c r="Y30" s="645">
        <f t="shared" ca="1" si="31"/>
        <v>17967.661892049611</v>
      </c>
      <c r="Z30" s="645">
        <f t="shared" ca="1" si="31"/>
        <v>18137.53751043573</v>
      </c>
      <c r="AA30" s="645">
        <f t="shared" ca="1" si="31"/>
        <v>18141.12115484423</v>
      </c>
      <c r="AB30" s="645">
        <f t="shared" ca="1" si="31"/>
        <v>18838.904243278794</v>
      </c>
      <c r="AC30" s="471">
        <f t="shared" ca="1" si="32"/>
        <v>222642.17382612941</v>
      </c>
      <c r="AE30" s="105">
        <f t="shared" ca="1" si="33"/>
        <v>13818581.883826127</v>
      </c>
      <c r="AF30" s="621">
        <f ca="1">'Table 3'!L80</f>
        <v>13798450.573826129</v>
      </c>
      <c r="AG30" s="69">
        <f t="shared" ca="1" si="34"/>
        <v>-20131.309999998659</v>
      </c>
      <c r="AI30" s="659">
        <f>1203335.83+361223.46+415249.34+8608970.13+2610199.27-1203335.83</f>
        <v>11995642.200000001</v>
      </c>
      <c r="AJ30" s="759">
        <f t="shared" si="35"/>
        <v>-1600297.5099999961</v>
      </c>
    </row>
    <row r="31" spans="1:36" s="3" customFormat="1">
      <c r="A31" s="53" t="s">
        <v>151</v>
      </c>
      <c r="C31" s="60" t="s">
        <v>55</v>
      </c>
      <c r="D31" s="969">
        <v>1641.35</v>
      </c>
      <c r="E31" s="969">
        <v>1641.35</v>
      </c>
      <c r="F31" s="969">
        <v>1641.35</v>
      </c>
      <c r="G31" s="969">
        <v>1649</v>
      </c>
      <c r="H31" s="969">
        <v>1638.31</v>
      </c>
      <c r="I31" s="969">
        <v>1665.92</v>
      </c>
      <c r="J31" s="969">
        <v>1660.02</v>
      </c>
      <c r="K31" s="969">
        <v>1642.64</v>
      </c>
      <c r="L31" s="969">
        <v>1641.35</v>
      </c>
      <c r="M31" s="969">
        <v>1639.27</v>
      </c>
      <c r="N31" s="969">
        <v>1641.35</v>
      </c>
      <c r="O31" s="969">
        <v>1649.58</v>
      </c>
      <c r="P31" s="659">
        <f t="shared" si="30"/>
        <v>19751.489999999998</v>
      </c>
      <c r="Q31" s="645">
        <f t="shared" ca="1" si="31"/>
        <v>26.878151845637856</v>
      </c>
      <c r="R31" s="645">
        <f t="shared" ca="1" si="31"/>
        <v>26.878151845637856</v>
      </c>
      <c r="S31" s="645">
        <f t="shared" ca="1" si="31"/>
        <v>26.878151845637856</v>
      </c>
      <c r="T31" s="645">
        <f t="shared" ca="1" si="31"/>
        <v>27.003425468947405</v>
      </c>
      <c r="U31" s="645">
        <f t="shared" ca="1" si="31"/>
        <v>26.828369909054715</v>
      </c>
      <c r="V31" s="645">
        <f t="shared" ca="1" si="31"/>
        <v>27.280501247561471</v>
      </c>
      <c r="W31" s="645">
        <f t="shared" ca="1" si="31"/>
        <v>27.183884989061291</v>
      </c>
      <c r="X31" s="645">
        <f t="shared" ca="1" si="31"/>
        <v>26.899276417411624</v>
      </c>
      <c r="Y31" s="645">
        <f t="shared" ca="1" si="31"/>
        <v>26.878151845637856</v>
      </c>
      <c r="Z31" s="645">
        <f t="shared" ca="1" si="31"/>
        <v>26.844090520607288</v>
      </c>
      <c r="AA31" s="645">
        <f t="shared" ca="1" si="31"/>
        <v>26.878151845637856</v>
      </c>
      <c r="AB31" s="645">
        <f t="shared" ca="1" si="31"/>
        <v>27.012923338427086</v>
      </c>
      <c r="AC31" s="471">
        <f t="shared" ca="1" si="32"/>
        <v>323.44323111926008</v>
      </c>
      <c r="AE31" s="105">
        <f t="shared" ca="1" si="33"/>
        <v>20074.933231119259</v>
      </c>
      <c r="AF31" s="621">
        <f ca="1">'Table 3'!L84</f>
        <v>20059.693231119261</v>
      </c>
      <c r="AG31" s="69">
        <f t="shared" ca="1" si="34"/>
        <v>-15.239999999997963</v>
      </c>
      <c r="AI31" s="659">
        <f>13992.48+4027.86</f>
        <v>18020.34</v>
      </c>
      <c r="AJ31" s="759">
        <f t="shared" si="35"/>
        <v>-1731.1499999999978</v>
      </c>
    </row>
    <row r="32" spans="1:36" s="3" customFormat="1">
      <c r="A32" s="53"/>
      <c r="B32" s="3" t="s">
        <v>277</v>
      </c>
      <c r="C32" s="60"/>
      <c r="D32" s="659">
        <f t="shared" ref="D32:O32" si="36">SUM(D24:D31)</f>
        <v>3931523.0500000003</v>
      </c>
      <c r="E32" s="659">
        <f t="shared" si="36"/>
        <v>4047223.02</v>
      </c>
      <c r="F32" s="659">
        <f t="shared" si="36"/>
        <v>4144423.62</v>
      </c>
      <c r="G32" s="659">
        <f t="shared" si="36"/>
        <v>4085961.67</v>
      </c>
      <c r="H32" s="659">
        <f t="shared" si="36"/>
        <v>4247585.169999999</v>
      </c>
      <c r="I32" s="659">
        <f t="shared" si="36"/>
        <v>4058626.7</v>
      </c>
      <c r="J32" s="659">
        <f t="shared" si="36"/>
        <v>4003753.4</v>
      </c>
      <c r="K32" s="659">
        <f t="shared" si="36"/>
        <v>3940399.9499999997</v>
      </c>
      <c r="L32" s="659">
        <f t="shared" si="36"/>
        <v>3834714.48</v>
      </c>
      <c r="M32" s="659">
        <f t="shared" si="36"/>
        <v>3894444.53</v>
      </c>
      <c r="N32" s="659">
        <f t="shared" si="36"/>
        <v>3588496.64</v>
      </c>
      <c r="O32" s="659">
        <f t="shared" si="36"/>
        <v>3976715.2</v>
      </c>
      <c r="P32" s="659">
        <f t="shared" si="30"/>
        <v>47753867.43</v>
      </c>
      <c r="Q32" s="471">
        <f t="shared" ref="Q32:AF32" ca="1" si="37">SUM(Q24:Q31)</f>
        <v>64381.194457321879</v>
      </c>
      <c r="R32" s="471">
        <f t="shared" ca="1" si="37"/>
        <v>66275.855170878247</v>
      </c>
      <c r="S32" s="471">
        <f t="shared" ca="1" si="37"/>
        <v>67867.576915958285</v>
      </c>
      <c r="T32" s="471">
        <f t="shared" ca="1" si="37"/>
        <v>66910.225242462635</v>
      </c>
      <c r="U32" s="471">
        <f t="shared" ca="1" si="37"/>
        <v>69556.913014615697</v>
      </c>
      <c r="V32" s="471">
        <f t="shared" ca="1" si="37"/>
        <v>66462.597695409306</v>
      </c>
      <c r="W32" s="471">
        <f t="shared" ca="1" si="37"/>
        <v>65564.012451755465</v>
      </c>
      <c r="X32" s="471">
        <f t="shared" ca="1" si="37"/>
        <v>64526.559349708354</v>
      </c>
      <c r="Y32" s="471">
        <f t="shared" ca="1" si="37"/>
        <v>62795.892453228262</v>
      </c>
      <c r="Z32" s="471">
        <f t="shared" ca="1" si="37"/>
        <v>63774.010072046643</v>
      </c>
      <c r="AA32" s="471">
        <f t="shared" ca="1" si="37"/>
        <v>58763.918474110484</v>
      </c>
      <c r="AB32" s="471">
        <f t="shared" ca="1" si="37"/>
        <v>65121.244702504708</v>
      </c>
      <c r="AC32" s="628">
        <f t="shared" ca="1" si="37"/>
        <v>782000</v>
      </c>
      <c r="AD32" s="107">
        <f t="shared" si="37"/>
        <v>0</v>
      </c>
      <c r="AE32" s="107">
        <f t="shared" ca="1" si="37"/>
        <v>48535867.429999992</v>
      </c>
      <c r="AF32" s="624">
        <f t="shared" ca="1" si="37"/>
        <v>48527126.457174182</v>
      </c>
      <c r="AG32" s="69">
        <f t="shared" ca="1" si="34"/>
        <v>-8740.9728258103132</v>
      </c>
    </row>
    <row r="33" spans="1:36" s="3" customFormat="1">
      <c r="A33" s="53"/>
      <c r="B33" s="60" t="s">
        <v>279</v>
      </c>
      <c r="D33" s="627"/>
      <c r="E33" s="627"/>
      <c r="F33" s="627"/>
      <c r="G33" s="627"/>
      <c r="H33" s="627"/>
      <c r="I33" s="627"/>
      <c r="J33" s="627"/>
      <c r="K33" s="627"/>
      <c r="L33" s="627"/>
      <c r="M33" s="627"/>
      <c r="N33" s="627"/>
      <c r="O33" s="627"/>
      <c r="P33" s="659"/>
      <c r="Q33" s="20"/>
      <c r="R33" s="645"/>
      <c r="S33" s="645"/>
      <c r="T33" s="645"/>
      <c r="U33" s="645"/>
      <c r="V33" s="645"/>
      <c r="W33" s="645"/>
      <c r="X33" s="645"/>
      <c r="Y33" s="645"/>
      <c r="Z33" s="645"/>
      <c r="AA33" s="645"/>
      <c r="AB33" s="645"/>
      <c r="AC33" s="471">
        <f ca="1">'Table 3'!D95</f>
        <v>782000</v>
      </c>
      <c r="AE33" s="105"/>
      <c r="AF33" s="621"/>
      <c r="AG33" s="69"/>
    </row>
    <row r="34" spans="1:36" s="3" customFormat="1">
      <c r="A34" s="53">
        <v>40</v>
      </c>
      <c r="C34" s="60" t="s">
        <v>58</v>
      </c>
      <c r="D34" s="969">
        <v>1732400.3899999899</v>
      </c>
      <c r="E34" s="969">
        <v>1940482.06</v>
      </c>
      <c r="F34" s="969">
        <v>1817024.4</v>
      </c>
      <c r="G34" s="969">
        <v>1036168.51</v>
      </c>
      <c r="H34" s="969">
        <v>2283428.0999999801</v>
      </c>
      <c r="I34" s="969">
        <v>34384.3999999999</v>
      </c>
      <c r="J34" s="969">
        <v>29372.499999999902</v>
      </c>
      <c r="K34" s="969">
        <v>29324.44</v>
      </c>
      <c r="L34" s="969">
        <v>60438.400000000198</v>
      </c>
      <c r="M34" s="969">
        <v>310473.45000000199</v>
      </c>
      <c r="N34" s="969">
        <v>929552.85</v>
      </c>
      <c r="O34" s="969">
        <v>1371162.61</v>
      </c>
      <c r="P34" s="758">
        <f>SUM(D34:O34)</f>
        <v>11574212.109999971</v>
      </c>
      <c r="Q34" s="645">
        <f t="shared" ref="Q34:AB35" ca="1" si="38">D34/$P$36*$AC$37</f>
        <v>41596.784957905635</v>
      </c>
      <c r="R34" s="645">
        <f t="shared" ca="1" si="38"/>
        <v>46593.048252831562</v>
      </c>
      <c r="S34" s="645">
        <f t="shared" ca="1" si="38"/>
        <v>43628.697884366069</v>
      </c>
      <c r="T34" s="645">
        <f t="shared" ca="1" si="38"/>
        <v>24879.513384676477</v>
      </c>
      <c r="U34" s="645">
        <f t="shared" ca="1" si="38"/>
        <v>54827.549214843319</v>
      </c>
      <c r="V34" s="645">
        <f t="shared" ca="1" si="38"/>
        <v>825.60619413541849</v>
      </c>
      <c r="W34" s="645">
        <f t="shared" ca="1" si="38"/>
        <v>705.26511840376941</v>
      </c>
      <c r="X34" s="645">
        <f t="shared" ca="1" si="38"/>
        <v>704.11114643711983</v>
      </c>
      <c r="Y34" s="645">
        <f t="shared" ca="1" si="38"/>
        <v>1451.1905807178366</v>
      </c>
      <c r="Z34" s="645">
        <f t="shared" ca="1" si="38"/>
        <v>7454.7993693243316</v>
      </c>
      <c r="AA34" s="645">
        <f t="shared" ca="1" si="38"/>
        <v>22319.557436984032</v>
      </c>
      <c r="AB34" s="645">
        <f t="shared" ca="1" si="38"/>
        <v>32923.079768234733</v>
      </c>
      <c r="AC34" s="471">
        <f ca="1">SUM(Q34:AB34)</f>
        <v>277909.20330886031</v>
      </c>
      <c r="AD34" s="262">
        <f>Temperature!D92*1000</f>
        <v>-129325.77999999998</v>
      </c>
      <c r="AE34" s="105">
        <f ca="1">P34+AC34+AD34</f>
        <v>11722795.533308832</v>
      </c>
      <c r="AF34" s="621">
        <f ca="1">'Table 3'!L101</f>
        <v>11691233.36330886</v>
      </c>
      <c r="AG34" s="69">
        <f ca="1">AF34-AE34</f>
        <v>-31562.169999971986</v>
      </c>
      <c r="AI34" s="659">
        <f>351635.93+4980462.07+3664589.16+465114.05</f>
        <v>9461801.2100000009</v>
      </c>
      <c r="AJ34" s="759">
        <f>AI34-P34</f>
        <v>-2112410.8999999706</v>
      </c>
    </row>
    <row r="35" spans="1:36" s="3" customFormat="1">
      <c r="A35" s="53" t="s">
        <v>158</v>
      </c>
      <c r="C35" s="60" t="s">
        <v>59</v>
      </c>
      <c r="D35" s="969">
        <v>59215.57</v>
      </c>
      <c r="E35" s="969">
        <v>64229.74</v>
      </c>
      <c r="F35" s="969">
        <v>62302.77</v>
      </c>
      <c r="G35" s="969">
        <v>38908</v>
      </c>
      <c r="H35" s="969">
        <v>88473.87</v>
      </c>
      <c r="I35" s="969">
        <v>3986.68</v>
      </c>
      <c r="J35" s="969">
        <v>5786.43</v>
      </c>
      <c r="K35" s="969">
        <v>4720.68</v>
      </c>
      <c r="L35" s="969">
        <v>1905.18</v>
      </c>
      <c r="M35" s="969">
        <v>8592.34</v>
      </c>
      <c r="N35" s="969">
        <v>37266.39</v>
      </c>
      <c r="O35" s="969">
        <v>44868.39</v>
      </c>
      <c r="P35" s="758">
        <f>SUM(D35:O35)</f>
        <v>420256.04</v>
      </c>
      <c r="Q35" s="645">
        <f t="shared" ca="1" si="38"/>
        <v>1421.8291254539736</v>
      </c>
      <c r="R35" s="645">
        <f t="shared" ca="1" si="38"/>
        <v>1542.2247063118045</v>
      </c>
      <c r="S35" s="645">
        <f t="shared" ca="1" si="38"/>
        <v>1495.9560970612974</v>
      </c>
      <c r="T35" s="645">
        <f t="shared" ca="1" si="38"/>
        <v>934.22266497077032</v>
      </c>
      <c r="U35" s="645">
        <f t="shared" ca="1" si="38"/>
        <v>2124.3521798004904</v>
      </c>
      <c r="V35" s="645">
        <f t="shared" ca="1" si="38"/>
        <v>95.724447773868377</v>
      </c>
      <c r="W35" s="645">
        <f t="shared" ca="1" si="38"/>
        <v>138.93836885131117</v>
      </c>
      <c r="X35" s="645">
        <f t="shared" ca="1" si="38"/>
        <v>113.34857227496187</v>
      </c>
      <c r="Y35" s="645">
        <f t="shared" ca="1" si="38"/>
        <v>45.745408061298761</v>
      </c>
      <c r="Z35" s="645">
        <f t="shared" ca="1" si="38"/>
        <v>206.31126691515755</v>
      </c>
      <c r="AA35" s="645">
        <f t="shared" ca="1" si="38"/>
        <v>894.80585431376744</v>
      </c>
      <c r="AB35" s="645">
        <f t="shared" ca="1" si="38"/>
        <v>1077.3379993509784</v>
      </c>
      <c r="AC35" s="471">
        <f ca="1">SUM(Q35:AB35)</f>
        <v>10090.79669113968</v>
      </c>
      <c r="AE35" s="105">
        <f ca="1">P35+AC35+AD35</f>
        <v>430346.83669113967</v>
      </c>
      <c r="AF35" s="621">
        <f ca="1">'Table 3'!L102</f>
        <v>431808.32669113966</v>
      </c>
      <c r="AG35" s="69">
        <f ca="1">AF35-AE35</f>
        <v>1461.4899999999907</v>
      </c>
      <c r="AI35" s="659">
        <f>193.2+827.18+1526.37+91559.98+788442.9+537870.94+187754.9</f>
        <v>1608175.4699999997</v>
      </c>
      <c r="AJ35" s="759">
        <f>AI35-P35</f>
        <v>1187919.4299999997</v>
      </c>
    </row>
    <row r="36" spans="1:36" s="3" customFormat="1">
      <c r="A36" s="53"/>
      <c r="B36" s="60" t="s">
        <v>279</v>
      </c>
      <c r="C36" s="60"/>
      <c r="D36" s="659">
        <f t="shared" ref="D36:O36" si="39">SUM(D34:D35)</f>
        <v>1791615.95999999</v>
      </c>
      <c r="E36" s="659">
        <f t="shared" si="39"/>
        <v>2004711.8</v>
      </c>
      <c r="F36" s="659">
        <f t="shared" si="39"/>
        <v>1879327.17</v>
      </c>
      <c r="G36" s="659">
        <f t="shared" si="39"/>
        <v>1075076.51</v>
      </c>
      <c r="H36" s="659">
        <f t="shared" si="39"/>
        <v>2371901.9699999802</v>
      </c>
      <c r="I36" s="659">
        <f t="shared" si="39"/>
        <v>38371.0799999999</v>
      </c>
      <c r="J36" s="659">
        <f t="shared" si="39"/>
        <v>35158.929999999906</v>
      </c>
      <c r="K36" s="659">
        <f t="shared" si="39"/>
        <v>34045.119999999995</v>
      </c>
      <c r="L36" s="659">
        <f t="shared" si="39"/>
        <v>62343.580000000198</v>
      </c>
      <c r="M36" s="659">
        <f t="shared" si="39"/>
        <v>319065.79000000202</v>
      </c>
      <c r="N36" s="659">
        <f t="shared" si="39"/>
        <v>966819.24</v>
      </c>
      <c r="O36" s="659">
        <f t="shared" si="39"/>
        <v>1416031</v>
      </c>
      <c r="P36" s="659">
        <f>SUM(D36:O36)</f>
        <v>11994468.149999972</v>
      </c>
      <c r="Q36" s="471">
        <f t="shared" ref="Q36:AC36" ca="1" si="40">SUM(Q34:Q35)</f>
        <v>43018.614083359607</v>
      </c>
      <c r="R36" s="471">
        <f t="shared" ca="1" si="40"/>
        <v>48135.272959143367</v>
      </c>
      <c r="S36" s="471">
        <f t="shared" ca="1" si="40"/>
        <v>45124.653981427364</v>
      </c>
      <c r="T36" s="471">
        <f t="shared" ca="1" si="40"/>
        <v>25813.736049647247</v>
      </c>
      <c r="U36" s="471">
        <f t="shared" ca="1" si="40"/>
        <v>56951.901394643806</v>
      </c>
      <c r="V36" s="471">
        <f t="shared" ca="1" si="40"/>
        <v>921.3306419092869</v>
      </c>
      <c r="W36" s="471">
        <f t="shared" ca="1" si="40"/>
        <v>844.20348725508052</v>
      </c>
      <c r="X36" s="471">
        <f t="shared" ca="1" si="40"/>
        <v>817.45971871208167</v>
      </c>
      <c r="Y36" s="471">
        <f t="shared" ca="1" si="40"/>
        <v>1496.9359887791354</v>
      </c>
      <c r="Z36" s="471">
        <f t="shared" ca="1" si="40"/>
        <v>7661.1106362394894</v>
      </c>
      <c r="AA36" s="471">
        <f t="shared" ca="1" si="40"/>
        <v>23214.363291297799</v>
      </c>
      <c r="AB36" s="471">
        <f t="shared" ca="1" si="40"/>
        <v>34000.417767585714</v>
      </c>
      <c r="AC36" s="623">
        <f t="shared" ca="1" si="40"/>
        <v>288000</v>
      </c>
      <c r="AD36" s="1124">
        <f>SUM(AD34:AD35)</f>
        <v>-129325.77999999998</v>
      </c>
      <c r="AE36" s="629">
        <f ca="1">SUM(AE34:AE35)</f>
        <v>12153142.369999971</v>
      </c>
      <c r="AF36" s="621">
        <f ca="1">SUM(AF34:AF35)</f>
        <v>12123041.689999999</v>
      </c>
      <c r="AG36" s="69"/>
    </row>
    <row r="37" spans="1:36" s="3" customFormat="1">
      <c r="A37" s="53"/>
      <c r="B37" s="3" t="s">
        <v>583</v>
      </c>
      <c r="C37" s="60"/>
      <c r="D37" s="627"/>
      <c r="E37" s="627"/>
      <c r="F37" s="627"/>
      <c r="G37" s="627"/>
      <c r="H37" s="627"/>
      <c r="I37" s="627"/>
      <c r="J37" s="627"/>
      <c r="K37" s="627"/>
      <c r="L37" s="627"/>
      <c r="M37" s="627"/>
      <c r="N37" s="627"/>
      <c r="O37" s="627"/>
      <c r="P37" s="659"/>
      <c r="Q37" s="645"/>
      <c r="R37" s="645"/>
      <c r="S37" s="645"/>
      <c r="T37" s="645"/>
      <c r="U37" s="645"/>
      <c r="V37" s="645"/>
      <c r="W37" s="645"/>
      <c r="X37" s="645"/>
      <c r="Y37" s="645"/>
      <c r="Z37" s="645"/>
      <c r="AA37" s="645"/>
      <c r="AB37" s="645"/>
      <c r="AC37" s="471">
        <f ca="1">'Table 3'!D115</f>
        <v>288000</v>
      </c>
      <c r="AE37" s="105"/>
      <c r="AF37" s="621"/>
      <c r="AG37" s="69"/>
    </row>
    <row r="38" spans="1:36" s="3" customFormat="1">
      <c r="A38" s="53">
        <v>52</v>
      </c>
      <c r="C38" s="60" t="s">
        <v>61</v>
      </c>
      <c r="D38" s="969">
        <v>4350.6099999999997</v>
      </c>
      <c r="E38" s="969">
        <v>4339.67</v>
      </c>
      <c r="F38" s="969">
        <v>4339.67</v>
      </c>
      <c r="G38" s="969">
        <v>4339.67</v>
      </c>
      <c r="H38" s="969">
        <v>4339.67</v>
      </c>
      <c r="I38" s="969">
        <v>4338.71</v>
      </c>
      <c r="J38" s="969">
        <v>4297.1099999999997</v>
      </c>
      <c r="K38" s="969">
        <v>4176.79</v>
      </c>
      <c r="L38" s="969">
        <v>4171.6899999999996</v>
      </c>
      <c r="M38" s="969">
        <v>4097.3599999999997</v>
      </c>
      <c r="N38" s="969">
        <v>4003.53</v>
      </c>
      <c r="O38" s="969">
        <v>4019.26</v>
      </c>
      <c r="P38" s="659">
        <f t="shared" ref="P38:P43" si="41">SUM(D38:O38)</f>
        <v>50813.740000000005</v>
      </c>
      <c r="Q38" s="645">
        <f t="shared" ref="Q38:AB42" ca="1" si="42">D38/$P$43*$AC$44</f>
        <v>-357.40881448462352</v>
      </c>
      <c r="R38" s="645">
        <f t="shared" ca="1" si="42"/>
        <v>-356.51007788666101</v>
      </c>
      <c r="S38" s="645">
        <f t="shared" ca="1" si="42"/>
        <v>-356.51007788666101</v>
      </c>
      <c r="T38" s="645">
        <f t="shared" ca="1" si="42"/>
        <v>-356.51007788666101</v>
      </c>
      <c r="U38" s="645">
        <f t="shared" ca="1" si="42"/>
        <v>-356.51007788666101</v>
      </c>
      <c r="V38" s="645">
        <f t="shared" ca="1" si="42"/>
        <v>-356.43121251791837</v>
      </c>
      <c r="W38" s="645">
        <f t="shared" ca="1" si="42"/>
        <v>-353.01371320573907</v>
      </c>
      <c r="X38" s="645">
        <f t="shared" ca="1" si="42"/>
        <v>-343.12925365666672</v>
      </c>
      <c r="Y38" s="645">
        <f t="shared" ca="1" si="42"/>
        <v>-342.71028138522161</v>
      </c>
      <c r="Z38" s="645">
        <f t="shared" ca="1" si="42"/>
        <v>-336.60396590747433</v>
      </c>
      <c r="AA38" s="645">
        <f t="shared" ca="1" si="42"/>
        <v>-328.89569762714302</v>
      </c>
      <c r="AB38" s="645">
        <f t="shared" ca="1" si="42"/>
        <v>-330.18793955456084</v>
      </c>
      <c r="AC38" s="471">
        <f ca="1">SUM(Q38:AB38)</f>
        <v>-4174.4211898859912</v>
      </c>
      <c r="AE38" s="105">
        <f ca="1">P38+AC38+AD38</f>
        <v>46639.318810114011</v>
      </c>
      <c r="AF38" s="621">
        <f ca="1">'Table 3'!L121</f>
        <v>46624.968810114013</v>
      </c>
      <c r="AG38" s="69">
        <f t="shared" ref="AG38:AG43" ca="1" si="43">AF38-AE38</f>
        <v>-14.349999999998545</v>
      </c>
      <c r="AI38" s="759">
        <f>58000.22</f>
        <v>58000.22</v>
      </c>
      <c r="AJ38" s="759">
        <f>AI38-P38</f>
        <v>7186.4799999999959</v>
      </c>
    </row>
    <row r="39" spans="1:36" s="3" customFormat="1">
      <c r="A39" s="53" t="s">
        <v>159</v>
      </c>
      <c r="C39" s="60" t="s">
        <v>62</v>
      </c>
      <c r="D39" s="969">
        <v>20205.189999999999</v>
      </c>
      <c r="E39" s="969">
        <v>20215.8</v>
      </c>
      <c r="F39" s="969">
        <v>20216.900000000001</v>
      </c>
      <c r="G39" s="969">
        <v>20217.400000000001</v>
      </c>
      <c r="H39" s="969">
        <v>20225.77</v>
      </c>
      <c r="I39" s="969">
        <v>20243.169999999998</v>
      </c>
      <c r="J39" s="969">
        <v>20260.28</v>
      </c>
      <c r="K39" s="969">
        <v>20262.169999999998</v>
      </c>
      <c r="L39" s="969">
        <v>20260.28</v>
      </c>
      <c r="M39" s="969">
        <v>20220.849999999999</v>
      </c>
      <c r="N39" s="969">
        <v>20197.830000000002</v>
      </c>
      <c r="O39" s="969">
        <v>20250.16</v>
      </c>
      <c r="P39" s="659">
        <f t="shared" si="41"/>
        <v>242775.80000000002</v>
      </c>
      <c r="Q39" s="645">
        <f t="shared" ca="1" si="42"/>
        <v>-1659.8851665252851</v>
      </c>
      <c r="R39" s="645">
        <f t="shared" ca="1" si="42"/>
        <v>-1660.7567931527421</v>
      </c>
      <c r="S39" s="645">
        <f t="shared" ca="1" si="42"/>
        <v>-1660.8471597210932</v>
      </c>
      <c r="T39" s="645">
        <f t="shared" ca="1" si="42"/>
        <v>-1660.8882354339798</v>
      </c>
      <c r="U39" s="645">
        <f t="shared" ca="1" si="42"/>
        <v>-1661.5758428677043</v>
      </c>
      <c r="V39" s="645">
        <f t="shared" ca="1" si="42"/>
        <v>-1663.005277676164</v>
      </c>
      <c r="W39" s="645">
        <f t="shared" ca="1" si="42"/>
        <v>-1664.4108885711494</v>
      </c>
      <c r="X39" s="645">
        <f t="shared" ca="1" si="42"/>
        <v>-1664.566154765861</v>
      </c>
      <c r="Y39" s="645">
        <f t="shared" ca="1" si="42"/>
        <v>-1664.4108885711494</v>
      </c>
      <c r="Z39" s="645">
        <f t="shared" ca="1" si="42"/>
        <v>-1661.1716578528985</v>
      </c>
      <c r="AA39" s="645">
        <f t="shared" ca="1" si="42"/>
        <v>-1659.280532031592</v>
      </c>
      <c r="AB39" s="645">
        <f t="shared" ca="1" si="42"/>
        <v>-1663.5795161423212</v>
      </c>
      <c r="AC39" s="471">
        <f ca="1">SUM(Q39:AB39)</f>
        <v>-19944.378113311941</v>
      </c>
      <c r="AE39" s="105">
        <f ca="1">P39+AC39+AD39</f>
        <v>222831.42188668807</v>
      </c>
      <c r="AF39" s="621">
        <f ca="1">'Table 3'!L122</f>
        <v>223097.24188668805</v>
      </c>
      <c r="AG39" s="69">
        <f t="shared" ca="1" si="43"/>
        <v>265.81999999997788</v>
      </c>
      <c r="AI39" s="759">
        <f>228211</f>
        <v>228211</v>
      </c>
      <c r="AJ39" s="759">
        <f>AI39-P39</f>
        <v>-14564.800000000017</v>
      </c>
    </row>
    <row r="40" spans="1:36" s="3" customFormat="1">
      <c r="A40" s="53" t="s">
        <v>160</v>
      </c>
      <c r="C40" s="60" t="s">
        <v>63</v>
      </c>
      <c r="D40" s="969">
        <v>4475.47</v>
      </c>
      <c r="E40" s="969">
        <v>4882.58</v>
      </c>
      <c r="F40" s="969">
        <v>5599.76</v>
      </c>
      <c r="G40" s="969">
        <v>6477.02</v>
      </c>
      <c r="H40" s="969">
        <v>7774.09</v>
      </c>
      <c r="I40" s="969">
        <v>9100.23</v>
      </c>
      <c r="J40" s="969">
        <v>9267.27</v>
      </c>
      <c r="K40" s="969">
        <v>8012.86</v>
      </c>
      <c r="L40" s="969">
        <v>7212.91</v>
      </c>
      <c r="M40" s="969">
        <v>6429</v>
      </c>
      <c r="N40" s="969">
        <v>5511.69</v>
      </c>
      <c r="O40" s="969">
        <v>5029.25</v>
      </c>
      <c r="P40" s="659">
        <f t="shared" si="41"/>
        <v>79772.13</v>
      </c>
      <c r="Q40" s="645">
        <f t="shared" ca="1" si="42"/>
        <v>-367.66624150670782</v>
      </c>
      <c r="R40" s="645">
        <f t="shared" ca="1" si="42"/>
        <v>-401.1109084533739</v>
      </c>
      <c r="S40" s="645">
        <f t="shared" ca="1" si="42"/>
        <v>-460.02826798964185</v>
      </c>
      <c r="T40" s="645">
        <f t="shared" ca="1" si="42"/>
        <v>-532.09642776373812</v>
      </c>
      <c r="U40" s="645">
        <f t="shared" ca="1" si="42"/>
        <v>-638.6525775918243</v>
      </c>
      <c r="V40" s="645">
        <f t="shared" ca="1" si="42"/>
        <v>-747.59686936714741</v>
      </c>
      <c r="W40" s="645">
        <f t="shared" ca="1" si="42"/>
        <v>-761.31944352835967</v>
      </c>
      <c r="X40" s="645">
        <f t="shared" ca="1" si="42"/>
        <v>-658.26787352377255</v>
      </c>
      <c r="Y40" s="645">
        <f t="shared" ca="1" si="42"/>
        <v>-592.55084047622881</v>
      </c>
      <c r="Z40" s="645">
        <f t="shared" ca="1" si="42"/>
        <v>-528.15151629809259</v>
      </c>
      <c r="AA40" s="645">
        <f t="shared" ca="1" si="42"/>
        <v>-452.79319192176598</v>
      </c>
      <c r="AB40" s="645">
        <f t="shared" ca="1" si="42"/>
        <v>-413.16005807157916</v>
      </c>
      <c r="AC40" s="471">
        <f ca="1">SUM(Q40:AB40)</f>
        <v>-6553.3942164922319</v>
      </c>
      <c r="AE40" s="105">
        <f ca="1">P40+AC40+AD40</f>
        <v>73218.735783507771</v>
      </c>
      <c r="AF40" s="621">
        <f ca="1">'Table 3'!L123</f>
        <v>73193.24578350778</v>
      </c>
      <c r="AG40" s="69">
        <f t="shared" ca="1" si="43"/>
        <v>-25.489999999990687</v>
      </c>
      <c r="AI40" s="759">
        <f>71127.04</f>
        <v>71127.039999999994</v>
      </c>
      <c r="AJ40" s="759">
        <f>AI40-P40</f>
        <v>-8645.0900000000111</v>
      </c>
    </row>
    <row r="41" spans="1:36" s="3" customFormat="1">
      <c r="A41" s="53">
        <v>51</v>
      </c>
      <c r="C41" s="60" t="s">
        <v>64</v>
      </c>
      <c r="D41" s="969">
        <v>54228.99</v>
      </c>
      <c r="E41" s="969">
        <v>54176.91</v>
      </c>
      <c r="F41" s="969">
        <v>54157.73</v>
      </c>
      <c r="G41" s="969">
        <v>54229.33</v>
      </c>
      <c r="H41" s="969">
        <v>54380.639999999999</v>
      </c>
      <c r="I41" s="969">
        <v>54428.6</v>
      </c>
      <c r="J41" s="969">
        <v>54579.28</v>
      </c>
      <c r="K41" s="969">
        <v>54642.7</v>
      </c>
      <c r="L41" s="969">
        <v>54671.03</v>
      </c>
      <c r="M41" s="969">
        <v>54968</v>
      </c>
      <c r="N41" s="969">
        <v>54947.09</v>
      </c>
      <c r="O41" s="969">
        <v>54772.15</v>
      </c>
      <c r="P41" s="659">
        <f t="shared" si="41"/>
        <v>654182.44999999995</v>
      </c>
      <c r="Q41" s="645">
        <f t="shared" ca="1" si="42"/>
        <v>-4454.9888467590763</v>
      </c>
      <c r="R41" s="645">
        <f t="shared" ca="1" si="42"/>
        <v>-4450.7104005047904</v>
      </c>
      <c r="S41" s="645">
        <f t="shared" ca="1" si="42"/>
        <v>-4449.134736158454</v>
      </c>
      <c r="T41" s="645">
        <f t="shared" ca="1" si="42"/>
        <v>-4455.0167782438393</v>
      </c>
      <c r="U41" s="645">
        <f t="shared" ca="1" si="42"/>
        <v>-4467.447110477633</v>
      </c>
      <c r="V41" s="645">
        <f t="shared" ca="1" si="42"/>
        <v>-4471.3870928577326</v>
      </c>
      <c r="W41" s="645">
        <f t="shared" ca="1" si="42"/>
        <v>-4483.76566969329</v>
      </c>
      <c r="X41" s="645">
        <f t="shared" ca="1" si="42"/>
        <v>-4488.9757131158476</v>
      </c>
      <c r="Y41" s="645">
        <f t="shared" ca="1" si="42"/>
        <v>-4491.303063008012</v>
      </c>
      <c r="Z41" s="645">
        <f t="shared" ca="1" si="42"/>
        <v>-4515.6995719199804</v>
      </c>
      <c r="AA41" s="645">
        <f t="shared" ca="1" si="42"/>
        <v>-4513.9817856070558</v>
      </c>
      <c r="AB41" s="645">
        <f t="shared" ca="1" si="42"/>
        <v>-4499.6102151822324</v>
      </c>
      <c r="AC41" s="471">
        <f ca="1">SUM(Q41:AB41)</f>
        <v>-53742.020983527946</v>
      </c>
      <c r="AE41" s="105">
        <f ca="1">P41+AC41+AD41</f>
        <v>600440.42901647196</v>
      </c>
      <c r="AF41" s="621">
        <f ca="1">'Table 3'!L124</f>
        <v>600456.19901647209</v>
      </c>
      <c r="AG41" s="69">
        <f t="shared" ca="1" si="43"/>
        <v>15.770000000135042</v>
      </c>
      <c r="AI41" s="659">
        <f>112479.97+146791.68+244311.64+39747.29+1698.33+4710.86</f>
        <v>549739.77</v>
      </c>
      <c r="AJ41" s="759">
        <f>AI41-P41</f>
        <v>-104442.67999999993</v>
      </c>
    </row>
    <row r="42" spans="1:36" s="3" customFormat="1">
      <c r="A42" s="53">
        <v>57</v>
      </c>
      <c r="C42" s="60" t="s">
        <v>65</v>
      </c>
      <c r="D42" s="969">
        <v>19901.66</v>
      </c>
      <c r="E42" s="969">
        <v>19901.66</v>
      </c>
      <c r="F42" s="969">
        <v>19901.66</v>
      </c>
      <c r="G42" s="969">
        <v>19901.66</v>
      </c>
      <c r="H42" s="969">
        <v>19901.66</v>
      </c>
      <c r="I42" s="969">
        <v>19873.490000000002</v>
      </c>
      <c r="J42" s="969">
        <v>19854.419999999998</v>
      </c>
      <c r="K42" s="969">
        <v>19831.650000000001</v>
      </c>
      <c r="L42" s="969">
        <v>19822.78</v>
      </c>
      <c r="M42" s="969">
        <v>19821.400000000001</v>
      </c>
      <c r="N42" s="969">
        <v>19808.03</v>
      </c>
      <c r="O42" s="969">
        <v>19890.71</v>
      </c>
      <c r="P42" s="659">
        <f t="shared" si="41"/>
        <v>238410.78</v>
      </c>
      <c r="Q42" s="645">
        <f t="shared" ca="1" si="42"/>
        <v>-1634.9497442602424</v>
      </c>
      <c r="R42" s="645">
        <f t="shared" ca="1" si="42"/>
        <v>-1634.9497442602424</v>
      </c>
      <c r="S42" s="645">
        <f t="shared" ca="1" si="42"/>
        <v>-1634.9497442602424</v>
      </c>
      <c r="T42" s="645">
        <f t="shared" ca="1" si="42"/>
        <v>-1634.9497442602424</v>
      </c>
      <c r="U42" s="645">
        <f t="shared" ca="1" si="42"/>
        <v>-1634.9497442602424</v>
      </c>
      <c r="V42" s="645">
        <f t="shared" ca="1" si="42"/>
        <v>-1632.6355385962017</v>
      </c>
      <c r="W42" s="645">
        <f t="shared" ca="1" si="42"/>
        <v>-1631.0689109067</v>
      </c>
      <c r="X42" s="645">
        <f t="shared" ca="1" si="42"/>
        <v>-1629.1983229418368</v>
      </c>
      <c r="Y42" s="645">
        <f t="shared" ca="1" si="42"/>
        <v>-1628.4696397952252</v>
      </c>
      <c r="Z42" s="645">
        <f t="shared" ca="1" si="42"/>
        <v>-1628.3562708276581</v>
      </c>
      <c r="AA42" s="645">
        <f t="shared" ca="1" si="42"/>
        <v>-1627.2579062650655</v>
      </c>
      <c r="AB42" s="645">
        <f t="shared" ca="1" si="42"/>
        <v>-1634.050186148022</v>
      </c>
      <c r="AC42" s="471">
        <f ca="1">SUM(Q42:AB42)</f>
        <v>-19585.785496781922</v>
      </c>
      <c r="AD42" s="20"/>
      <c r="AE42" s="105">
        <f ca="1">P42+AC42+AD42</f>
        <v>218824.99450321807</v>
      </c>
      <c r="AF42" s="621">
        <f ca="1">'Table 3'!L125</f>
        <v>218664.25450321808</v>
      </c>
      <c r="AG42" s="69">
        <f t="shared" ca="1" si="43"/>
        <v>-160.73999999999069</v>
      </c>
      <c r="AI42" s="659">
        <f>221443.69</f>
        <v>221443.69</v>
      </c>
      <c r="AJ42" s="759">
        <f>AI42-P42</f>
        <v>-16967.089999999997</v>
      </c>
    </row>
    <row r="43" spans="1:36" s="3" customFormat="1">
      <c r="A43" s="53"/>
      <c r="B43" s="3" t="s">
        <v>583</v>
      </c>
      <c r="C43" s="60"/>
      <c r="D43" s="635">
        <f t="shared" ref="D43:O43" si="44">SUM(D38:D42)</f>
        <v>103161.92</v>
      </c>
      <c r="E43" s="635">
        <f t="shared" si="44"/>
        <v>103516.62000000001</v>
      </c>
      <c r="F43" s="635">
        <f t="shared" si="44"/>
        <v>104215.72</v>
      </c>
      <c r="G43" s="635">
        <f t="shared" si="44"/>
        <v>105165.08</v>
      </c>
      <c r="H43" s="635">
        <f t="shared" si="44"/>
        <v>106621.83</v>
      </c>
      <c r="I43" s="635">
        <f t="shared" si="44"/>
        <v>107984.2</v>
      </c>
      <c r="J43" s="635">
        <f t="shared" si="44"/>
        <v>108258.36</v>
      </c>
      <c r="K43" s="635">
        <f t="shared" si="44"/>
        <v>106926.16999999998</v>
      </c>
      <c r="L43" s="635">
        <f t="shared" si="44"/>
        <v>106138.69</v>
      </c>
      <c r="M43" s="635">
        <f t="shared" si="44"/>
        <v>105536.60999999999</v>
      </c>
      <c r="N43" s="635">
        <f t="shared" si="44"/>
        <v>104468.17</v>
      </c>
      <c r="O43" s="635">
        <f t="shared" si="44"/>
        <v>103961.53</v>
      </c>
      <c r="P43" s="635">
        <f t="shared" si="41"/>
        <v>1265954.8999999997</v>
      </c>
      <c r="Q43" s="646">
        <f t="shared" ref="Q43:AB43" ca="1" si="45">SUM(Q38:Q42)</f>
        <v>-8474.8988135359359</v>
      </c>
      <c r="R43" s="646">
        <f t="shared" ca="1" si="45"/>
        <v>-8504.0379242578092</v>
      </c>
      <c r="S43" s="646">
        <f t="shared" ca="1" si="45"/>
        <v>-8561.4699860160927</v>
      </c>
      <c r="T43" s="646">
        <f t="shared" ca="1" si="45"/>
        <v>-8639.4612635884605</v>
      </c>
      <c r="U43" s="646">
        <f t="shared" ca="1" si="45"/>
        <v>-8759.1353530840643</v>
      </c>
      <c r="V43" s="646">
        <f t="shared" ca="1" si="45"/>
        <v>-8871.0559910151642</v>
      </c>
      <c r="W43" s="646">
        <f t="shared" ca="1" si="45"/>
        <v>-8893.5786259052384</v>
      </c>
      <c r="X43" s="646">
        <f t="shared" ca="1" si="45"/>
        <v>-8784.1373180039845</v>
      </c>
      <c r="Y43" s="646">
        <f t="shared" ca="1" si="45"/>
        <v>-8719.4447132358364</v>
      </c>
      <c r="Z43" s="646">
        <f t="shared" ca="1" si="45"/>
        <v>-8669.9829828061047</v>
      </c>
      <c r="AA43" s="646">
        <f t="shared" ca="1" si="45"/>
        <v>-8582.2091134526218</v>
      </c>
      <c r="AB43" s="646">
        <f t="shared" ca="1" si="45"/>
        <v>-8540.5879150987166</v>
      </c>
      <c r="AC43" s="632">
        <v>6000</v>
      </c>
      <c r="AD43" s="633">
        <f>SUM(AD38:AD42)</f>
        <v>0</v>
      </c>
      <c r="AE43" s="633">
        <f ca="1">SUM(AE38:AE42)</f>
        <v>1161954.8999999999</v>
      </c>
      <c r="AF43" s="634">
        <f ca="1">SUM(AF38:AF42)</f>
        <v>1162035.9099999999</v>
      </c>
      <c r="AG43" s="69">
        <f t="shared" ca="1" si="43"/>
        <v>81.010000000009313</v>
      </c>
      <c r="AI43" s="659"/>
    </row>
    <row r="44" spans="1:36">
      <c r="C44" s="625"/>
      <c r="D44" s="630"/>
      <c r="E44" s="630"/>
      <c r="F44" s="630"/>
      <c r="G44" s="630"/>
      <c r="H44" s="630"/>
      <c r="I44" s="630"/>
      <c r="J44" s="630"/>
      <c r="K44" s="630"/>
      <c r="L44" s="630"/>
      <c r="M44" s="630"/>
      <c r="N44" s="630"/>
      <c r="O44" s="630"/>
      <c r="P44" s="630"/>
      <c r="Q44" s="615"/>
      <c r="R44" s="615"/>
      <c r="S44" s="615"/>
      <c r="T44" s="615"/>
      <c r="U44" s="615"/>
      <c r="V44" s="615"/>
      <c r="W44" s="615"/>
      <c r="X44" s="615"/>
      <c r="Y44" s="615"/>
      <c r="Z44" s="615"/>
      <c r="AA44" s="615"/>
      <c r="AB44" s="615"/>
      <c r="AC44" s="471">
        <f ca="1">'Table 3'!D135</f>
        <v>-104000</v>
      </c>
      <c r="AD44" s="107">
        <f>SUM(AD43,AD36,AD32,AD22,AD12)</f>
        <v>-668149.03000000026</v>
      </c>
      <c r="AE44" s="107">
        <f ca="1">SUM(AE43,AE36,AE32,AE22,AE12)</f>
        <v>299100533.31500018</v>
      </c>
      <c r="AF44" s="621">
        <f ca="1">SUM(AF43,AF36,AF32,AF22,AF12)</f>
        <v>299188040.38738835</v>
      </c>
      <c r="AG44" s="107">
        <f ca="1">SUM(AG43,AG36,AG32,AG22,AG12)</f>
        <v>117607.75238814414</v>
      </c>
      <c r="AI44" t="s">
        <v>31</v>
      </c>
    </row>
    <row r="45" spans="1:36">
      <c r="C45" s="625" t="s">
        <v>9</v>
      </c>
      <c r="D45" s="630">
        <f t="shared" ref="D45:O45" si="46">D12+D22+D32+D36+D43</f>
        <v>22427625.429999951</v>
      </c>
      <c r="E45" s="630">
        <f t="shared" si="46"/>
        <v>24452827.750000041</v>
      </c>
      <c r="F45" s="630">
        <f t="shared" si="46"/>
        <v>24760765.010000147</v>
      </c>
      <c r="G45" s="630">
        <f t="shared" si="46"/>
        <v>21949102.780000012</v>
      </c>
      <c r="H45" s="630">
        <f t="shared" si="46"/>
        <v>26760030.159999866</v>
      </c>
      <c r="I45" s="630">
        <f t="shared" si="46"/>
        <v>30695278.830000106</v>
      </c>
      <c r="J45" s="630">
        <f t="shared" si="46"/>
        <v>31676891.069999918</v>
      </c>
      <c r="K45" s="630">
        <f t="shared" si="46"/>
        <v>27709288.220000003</v>
      </c>
      <c r="L45" s="630">
        <f t="shared" si="46"/>
        <v>24849490.260000013</v>
      </c>
      <c r="M45" s="630">
        <f t="shared" si="46"/>
        <v>22407369.280000184</v>
      </c>
      <c r="N45" s="630">
        <f t="shared" si="46"/>
        <v>20169718.090000059</v>
      </c>
      <c r="O45" s="630">
        <f t="shared" si="46"/>
        <v>21242295.464999933</v>
      </c>
      <c r="P45" s="630">
        <f>SUM(D45:O45)</f>
        <v>299100682.34500021</v>
      </c>
      <c r="Q45" s="618">
        <f t="shared" ref="Q45:AB45" ca="1" si="47">Q12+Q22+Q32+Q36+Q43</f>
        <v>74746.326165728286</v>
      </c>
      <c r="R45" s="618">
        <f t="shared" ca="1" si="47"/>
        <v>80335.938116132573</v>
      </c>
      <c r="S45" s="618">
        <f t="shared" ca="1" si="47"/>
        <v>77744.052582652002</v>
      </c>
      <c r="T45" s="618">
        <f t="shared" ca="1" si="47"/>
        <v>57759.831605452542</v>
      </c>
      <c r="U45" s="618">
        <f t="shared" ca="1" si="47"/>
        <v>91774.858182998287</v>
      </c>
      <c r="V45" s="618">
        <f t="shared" ca="1" si="47"/>
        <v>31593.362903064524</v>
      </c>
      <c r="W45" s="618">
        <f t="shared" ca="1" si="47"/>
        <v>31214.894001714878</v>
      </c>
      <c r="X45" s="618">
        <f t="shared" ca="1" si="47"/>
        <v>32260.45360439974</v>
      </c>
      <c r="Y45" s="618">
        <f t="shared" ca="1" si="47"/>
        <v>32359.800604302272</v>
      </c>
      <c r="Z45" s="618">
        <f t="shared" ca="1" si="47"/>
        <v>40260.037606219528</v>
      </c>
      <c r="AA45" s="618">
        <f t="shared" ca="1" si="47"/>
        <v>50869.790117207347</v>
      </c>
      <c r="AB45" s="618">
        <f t="shared" ca="1" si="47"/>
        <v>67080.654510127948</v>
      </c>
      <c r="AC45" s="635">
        <f ca="1">SUM(Q45:AB45)</f>
        <v>668000</v>
      </c>
      <c r="AD45" s="621" t="s">
        <v>31</v>
      </c>
      <c r="AE45" s="621" t="s">
        <v>31</v>
      </c>
      <c r="AF45" s="621" t="s">
        <v>31</v>
      </c>
    </row>
    <row r="46" spans="1:36">
      <c r="B46" s="636"/>
      <c r="C46" s="637"/>
      <c r="D46" s="638"/>
      <c r="E46" s="638"/>
      <c r="F46" s="638"/>
      <c r="G46" s="638"/>
      <c r="H46" s="638"/>
      <c r="I46" s="638"/>
      <c r="J46" s="638"/>
      <c r="K46" s="638"/>
      <c r="L46" s="638"/>
      <c r="M46" s="638"/>
      <c r="N46" s="638"/>
      <c r="O46" s="638"/>
      <c r="P46" s="638"/>
      <c r="Q46" s="74"/>
      <c r="S46" s="639"/>
      <c r="AE46" s="639" t="s">
        <v>584</v>
      </c>
    </row>
    <row r="47" spans="1:36">
      <c r="C47" s="625"/>
      <c r="D47" s="630"/>
      <c r="E47" s="630"/>
      <c r="F47" s="630"/>
      <c r="G47" s="630"/>
      <c r="H47" s="630"/>
      <c r="I47" s="630"/>
      <c r="J47" s="630"/>
      <c r="K47" s="630"/>
      <c r="L47" s="630"/>
      <c r="M47" s="630"/>
      <c r="N47" s="630"/>
      <c r="O47" s="630"/>
      <c r="P47" s="630"/>
      <c r="Q47" s="74"/>
      <c r="S47" s="640"/>
    </row>
    <row r="48" spans="1:36">
      <c r="C48" s="4" t="s">
        <v>579</v>
      </c>
      <c r="D48" s="630"/>
      <c r="E48" s="630"/>
      <c r="F48" s="630"/>
      <c r="G48" s="630"/>
      <c r="H48" s="630"/>
      <c r="I48" s="630"/>
      <c r="J48" s="630"/>
      <c r="K48" s="630"/>
      <c r="L48" s="630"/>
      <c r="M48" s="630"/>
      <c r="N48" s="630"/>
      <c r="O48" s="630"/>
      <c r="P48" s="630"/>
      <c r="Q48" s="74"/>
      <c r="S48" s="640"/>
    </row>
    <row r="49" spans="1:33">
      <c r="C49" s="615" t="s">
        <v>585</v>
      </c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74"/>
      <c r="S49" s="640"/>
    </row>
    <row r="50" spans="1:33">
      <c r="C50" s="615"/>
      <c r="D50" s="615">
        <v>201107</v>
      </c>
      <c r="E50" s="615">
        <v>201108</v>
      </c>
      <c r="F50" s="615">
        <v>201109</v>
      </c>
      <c r="G50" s="615">
        <v>201110</v>
      </c>
      <c r="H50" s="615">
        <v>201111</v>
      </c>
      <c r="I50" s="615">
        <v>201112</v>
      </c>
      <c r="J50" s="615">
        <v>201201</v>
      </c>
      <c r="K50" s="615">
        <v>201202</v>
      </c>
      <c r="L50" s="615">
        <v>201203</v>
      </c>
      <c r="M50" s="615">
        <v>201204</v>
      </c>
      <c r="N50" s="615">
        <v>201205</v>
      </c>
      <c r="O50" s="615">
        <v>201206</v>
      </c>
      <c r="P50" s="630" t="s">
        <v>35</v>
      </c>
      <c r="Q50" s="621" t="s">
        <v>170</v>
      </c>
      <c r="S50" s="640"/>
    </row>
    <row r="51" spans="1:33">
      <c r="B51" s="615" t="s">
        <v>267</v>
      </c>
      <c r="D51" s="630"/>
      <c r="E51" s="630"/>
      <c r="F51" s="630"/>
      <c r="G51" s="630"/>
      <c r="H51" s="630"/>
      <c r="I51" s="630"/>
      <c r="J51" s="630"/>
      <c r="K51" s="630"/>
      <c r="L51" s="630"/>
      <c r="M51" s="630"/>
      <c r="N51" s="630"/>
      <c r="O51" s="630"/>
      <c r="P51" s="630"/>
      <c r="Q51" s="621"/>
      <c r="S51" s="640"/>
    </row>
    <row r="52" spans="1:33">
      <c r="C52" s="4" t="s">
        <v>48</v>
      </c>
      <c r="D52" s="630">
        <f ca="1">D6+Q6+Temperature!G10*1000</f>
        <v>8673943.1720538139</v>
      </c>
      <c r="E52" s="630">
        <f ca="1">E6+R6+Temperature!G11*1000</f>
        <v>8274215.0706337849</v>
      </c>
      <c r="F52" s="630">
        <f ca="1">F6+S6+Temperature!G12*1000</f>
        <v>8791893.6261991523</v>
      </c>
      <c r="G52" s="630">
        <f ca="1">G6+T6+Temperature!G13*1000</f>
        <v>7653846.5401322711</v>
      </c>
      <c r="H52" s="630">
        <f ca="1">H6+U6+Temperature!G14*1000</f>
        <v>10204698.518347405</v>
      </c>
      <c r="I52" s="630">
        <f ca="1">I6+V6+Temperature!G15*1000</f>
        <v>15334382.942918891</v>
      </c>
      <c r="J52" s="630">
        <f ca="1">J6+W6+Temperature!G16*1000</f>
        <v>16562752.567900496</v>
      </c>
      <c r="K52" s="630">
        <f ca="1">K6+X6+Temperature!G17*1000</f>
        <v>14647112.412834227</v>
      </c>
      <c r="L52" s="630">
        <f ca="1">L6+Y6+Temperature!G18*1000</f>
        <v>11926344.854312882</v>
      </c>
      <c r="M52" s="630">
        <f ca="1">M6+Z6+Temperature!G19*1000</f>
        <v>10000829.247875215</v>
      </c>
      <c r="N52" s="630">
        <f ca="1">N6+AA6+Temperature!G20*1000</f>
        <v>7424532.918654236</v>
      </c>
      <c r="O52" s="630">
        <f ca="1">O6+AB6+Temperature!G21*1000</f>
        <v>7540190.8582453029</v>
      </c>
      <c r="P52" s="630">
        <f t="shared" ref="P52:P57" ca="1" si="48">SUM(D52:O52)</f>
        <v>127034742.73010767</v>
      </c>
      <c r="Q52" s="621">
        <f t="shared" ref="Q52:Q57" ca="1" si="49">AE6</f>
        <v>127034742.73010768</v>
      </c>
      <c r="R52" s="641">
        <f t="shared" ref="R52:R58" ca="1" si="50">Q52-P52</f>
        <v>0</v>
      </c>
      <c r="S52" s="640"/>
    </row>
    <row r="53" spans="1:33">
      <c r="C53" s="4" t="s">
        <v>93</v>
      </c>
      <c r="D53" s="630">
        <f ca="1">D7+Q7+Temperature!G28*1000</f>
        <v>264962.4035265955</v>
      </c>
      <c r="E53" s="630">
        <f ca="1">E7+R7+Temperature!G29*1000</f>
        <v>289941.59927396791</v>
      </c>
      <c r="F53" s="630">
        <f ca="1">F7+S7+Temperature!G30*1000</f>
        <v>293114.98387817654</v>
      </c>
      <c r="G53" s="630">
        <f ca="1">G7+T7+Temperature!G31*1000</f>
        <v>313035.52387523284</v>
      </c>
      <c r="H53" s="630">
        <f ca="1">H7+U7+Temperature!G32*1000</f>
        <v>408977.93131268473</v>
      </c>
      <c r="I53" s="630">
        <f ca="1">I7+V7+Temperature!G33*1000</f>
        <v>615476.17668934527</v>
      </c>
      <c r="J53" s="630">
        <f ca="1">J7+W7+Temperature!G34*1000</f>
        <v>701603.66818191041</v>
      </c>
      <c r="K53" s="630">
        <f ca="1">K7+X7+Temperature!G35*1000</f>
        <v>678586.04838278005</v>
      </c>
      <c r="L53" s="630">
        <f ca="1">L7+Y7+Temperature!G36*1000</f>
        <v>569294.28958628001</v>
      </c>
      <c r="M53" s="630">
        <f ca="1">M7+Z7+Temperature!G37*1000</f>
        <v>473736.91523742513</v>
      </c>
      <c r="N53" s="630">
        <f ca="1">N7+AA7+Temperature!G38*1000</f>
        <v>315554.86324418464</v>
      </c>
      <c r="O53" s="630">
        <f ca="1">O7+AB7+Temperature!G39*1000</f>
        <v>278656.30013533647</v>
      </c>
      <c r="P53" s="630">
        <f t="shared" ca="1" si="48"/>
        <v>5202940.7033239193</v>
      </c>
      <c r="Q53" s="621">
        <f t="shared" ca="1" si="49"/>
        <v>5202940.7033239184</v>
      </c>
      <c r="R53" s="641">
        <f t="shared" ca="1" si="50"/>
        <v>0</v>
      </c>
      <c r="S53" s="640"/>
    </row>
    <row r="54" spans="1:33">
      <c r="C54" s="4" t="s">
        <v>49</v>
      </c>
      <c r="D54" s="1121">
        <f ca="1">D8+Q8+Temperature!G46*1000</f>
        <v>16650.393918498306</v>
      </c>
      <c r="E54" s="1121">
        <f ca="1">E8+R8+Temperature!G47*1000</f>
        <v>16183.356809414567</v>
      </c>
      <c r="F54" s="1121">
        <f ca="1">F8+S8+Temperature!G48*1000</f>
        <v>17225.028929971213</v>
      </c>
      <c r="G54" s="1121">
        <f ca="1">G8+T8+Temperature!G49*1000</f>
        <v>14573.539628357803</v>
      </c>
      <c r="H54" s="1121">
        <f ca="1">H8+U8+Temperature!G50*1000</f>
        <v>14977.833266589334</v>
      </c>
      <c r="I54" s="1121">
        <f ca="1">I8+V8+Temperature!G51*1000</f>
        <v>20336.648283034268</v>
      </c>
      <c r="J54" s="1121">
        <f ca="1">J8+W8+Temperature!G52*1000</f>
        <v>22295.025242367628</v>
      </c>
      <c r="K54" s="1121">
        <f ca="1">K8+X8+Temperature!G53*1000</f>
        <v>19835.915007333737</v>
      </c>
      <c r="L54" s="1121">
        <f ca="1">L8+Y8+Temperature!G54*1000</f>
        <v>16744.511160974562</v>
      </c>
      <c r="M54" s="1121">
        <f ca="1">M8+Z8+Temperature!G55*1000</f>
        <v>15029.156085247307</v>
      </c>
      <c r="N54" s="1121">
        <f ca="1">N8+AA8+Temperature!G56*1000</f>
        <v>13328.836304602695</v>
      </c>
      <c r="O54" s="1121">
        <f ca="1">O8+AB8+Temperature!G57*1000</f>
        <v>14297.678966484145</v>
      </c>
      <c r="P54" s="630">
        <f t="shared" ca="1" si="48"/>
        <v>201477.92360287561</v>
      </c>
      <c r="Q54" s="621">
        <f t="shared" ca="1" si="49"/>
        <v>201477.92360287555</v>
      </c>
      <c r="R54" s="641">
        <f t="shared" ca="1" si="50"/>
        <v>0</v>
      </c>
      <c r="S54" s="640"/>
    </row>
    <row r="55" spans="1:33">
      <c r="C55" s="7" t="s">
        <v>164</v>
      </c>
      <c r="D55" s="630">
        <f t="shared" ref="D55:O55" ca="1" si="51">D9+Q9</f>
        <v>3628.8947967263844</v>
      </c>
      <c r="E55" s="630">
        <f t="shared" ca="1" si="51"/>
        <v>4184.0490741114527</v>
      </c>
      <c r="F55" s="630">
        <f t="shared" ca="1" si="51"/>
        <v>3492.9615065405105</v>
      </c>
      <c r="G55" s="630">
        <f t="shared" ca="1" si="51"/>
        <v>2503.8147977534422</v>
      </c>
      <c r="H55" s="630">
        <f t="shared" ca="1" si="51"/>
        <v>2730.9970093383677</v>
      </c>
      <c r="I55" s="630">
        <f t="shared" ca="1" si="51"/>
        <v>4011.5122051968933</v>
      </c>
      <c r="J55" s="630">
        <f t="shared" ca="1" si="51"/>
        <v>4088.1696999934443</v>
      </c>
      <c r="K55" s="630">
        <f t="shared" ca="1" si="51"/>
        <v>3289.6816318849733</v>
      </c>
      <c r="L55" s="630">
        <f t="shared" ca="1" si="51"/>
        <v>2916.8651816532924</v>
      </c>
      <c r="M55" s="630">
        <f t="shared" ca="1" si="51"/>
        <v>2594.9437074189573</v>
      </c>
      <c r="N55" s="630">
        <f t="shared" ca="1" si="51"/>
        <v>2512.9256885244345</v>
      </c>
      <c r="O55" s="630">
        <f t="shared" ca="1" si="51"/>
        <v>2777.9616010623863</v>
      </c>
      <c r="P55" s="630">
        <f t="shared" ca="1" si="48"/>
        <v>38732.776900204539</v>
      </c>
      <c r="Q55" s="621">
        <f t="shared" ca="1" si="49"/>
        <v>38732.776900204546</v>
      </c>
      <c r="R55" s="641">
        <f t="shared" ca="1" si="50"/>
        <v>0</v>
      </c>
      <c r="S55" s="640"/>
    </row>
    <row r="56" spans="1:33">
      <c r="C56" s="4" t="s">
        <v>50</v>
      </c>
      <c r="D56" s="630">
        <f t="shared" ref="D56:O56" ca="1" si="52">D10+Q10</f>
        <v>13145.655249562089</v>
      </c>
      <c r="E56" s="630">
        <f t="shared" ca="1" si="52"/>
        <v>13077.628598602385</v>
      </c>
      <c r="F56" s="630">
        <f t="shared" ca="1" si="52"/>
        <v>13066.677527917162</v>
      </c>
      <c r="G56" s="630">
        <f t="shared" ca="1" si="52"/>
        <v>13032.634199503926</v>
      </c>
      <c r="H56" s="630">
        <f t="shared" ca="1" si="52"/>
        <v>13000.381046115945</v>
      </c>
      <c r="I56" s="630">
        <f t="shared" ca="1" si="52"/>
        <v>13111.951954393873</v>
      </c>
      <c r="J56" s="630">
        <f t="shared" ca="1" si="52"/>
        <v>13054.916378030568</v>
      </c>
      <c r="K56" s="630">
        <f t="shared" ca="1" si="52"/>
        <v>13073.338179128446</v>
      </c>
      <c r="L56" s="630">
        <f t="shared" ca="1" si="52"/>
        <v>13049.235822643166</v>
      </c>
      <c r="M56" s="630">
        <f t="shared" ca="1" si="52"/>
        <v>13074.978339486783</v>
      </c>
      <c r="N56" s="630">
        <f t="shared" ca="1" si="52"/>
        <v>13085.559373993599</v>
      </c>
      <c r="O56" s="630">
        <f t="shared" ca="1" si="52"/>
        <v>13124.483179570761</v>
      </c>
      <c r="P56" s="630">
        <f t="shared" ca="1" si="48"/>
        <v>156897.43984894871</v>
      </c>
      <c r="Q56" s="621">
        <f t="shared" ca="1" si="49"/>
        <v>156897.43984894871</v>
      </c>
      <c r="R56" s="641">
        <f t="shared" ca="1" si="50"/>
        <v>0</v>
      </c>
      <c r="S56" s="640"/>
    </row>
    <row r="57" spans="1:33">
      <c r="C57" s="625" t="s">
        <v>51</v>
      </c>
      <c r="D57" s="630">
        <f t="shared" ref="D57" ca="1" si="53">D11+Q11</f>
        <v>0</v>
      </c>
      <c r="E57" s="630">
        <f t="shared" ref="E57" ca="1" si="54">E11+R11</f>
        <v>0</v>
      </c>
      <c r="F57" s="630">
        <f t="shared" ref="F57" ca="1" si="55">F11+S11</f>
        <v>0</v>
      </c>
      <c r="G57" s="630">
        <f t="shared" ref="G57" ca="1" si="56">G11+T11</f>
        <v>0</v>
      </c>
      <c r="H57" s="630">
        <f t="shared" ref="H57" ca="1" si="57">H11+U11</f>
        <v>231.95267799300831</v>
      </c>
      <c r="I57" s="630">
        <f t="shared" ref="I57" ca="1" si="58">I11+V11</f>
        <v>775.68583873650311</v>
      </c>
      <c r="J57" s="630">
        <f t="shared" ref="J57" ca="1" si="59">J11+W11</f>
        <v>15172.173382062481</v>
      </c>
      <c r="K57" s="630">
        <f t="shared" ref="K57" ca="1" si="60">K11+X11</f>
        <v>21680.359686867385</v>
      </c>
      <c r="L57" s="630">
        <f t="shared" ref="L57" ca="1" si="61">L11+Y11</f>
        <v>21073.470351350214</v>
      </c>
      <c r="M57" s="630">
        <f t="shared" ref="M57" ca="1" si="62">M11+Z11</f>
        <v>19537.320162080774</v>
      </c>
      <c r="N57" s="630">
        <f t="shared" ref="N57" ca="1" si="63">N11+AA11</f>
        <v>18346.843769308143</v>
      </c>
      <c r="O57" s="630">
        <f t="shared" ref="O57" ca="1" si="64">O11+AB11</f>
        <v>21380.280348136726</v>
      </c>
      <c r="P57" s="630">
        <f t="shared" ca="1" si="48"/>
        <v>118198.08621653524</v>
      </c>
      <c r="Q57" s="621">
        <f t="shared" ca="1" si="49"/>
        <v>117397.50621653524</v>
      </c>
      <c r="R57" s="641">
        <f t="shared" ref="R57" ca="1" si="65">Q57-P57</f>
        <v>-800.58000000000175</v>
      </c>
      <c r="S57" s="640"/>
    </row>
    <row r="58" spans="1:33">
      <c r="B58" s="615" t="s">
        <v>267</v>
      </c>
      <c r="C58" s="5"/>
      <c r="D58" s="642">
        <f ca="1">SUM(D52:D57)</f>
        <v>8972330.5195451956</v>
      </c>
      <c r="E58" s="642">
        <f t="shared" ref="E58:P58" ca="1" si="66">SUM(E52:E57)</f>
        <v>8597601.7043898813</v>
      </c>
      <c r="F58" s="642">
        <f t="shared" ca="1" si="66"/>
        <v>9118793.2780417576</v>
      </c>
      <c r="G58" s="642">
        <f t="shared" ca="1" si="66"/>
        <v>7996992.0526331188</v>
      </c>
      <c r="H58" s="642">
        <f t="shared" ca="1" si="66"/>
        <v>10644617.613660127</v>
      </c>
      <c r="I58" s="642">
        <f t="shared" ca="1" si="66"/>
        <v>15988094.917889599</v>
      </c>
      <c r="J58" s="642">
        <f t="shared" ca="1" si="66"/>
        <v>17318966.520784859</v>
      </c>
      <c r="K58" s="642">
        <f t="shared" ca="1" si="66"/>
        <v>15383577.755722223</v>
      </c>
      <c r="L58" s="642">
        <f t="shared" ca="1" si="66"/>
        <v>12549423.226415783</v>
      </c>
      <c r="M58" s="642">
        <f t="shared" ca="1" si="66"/>
        <v>10524802.561406875</v>
      </c>
      <c r="N58" s="642">
        <f t="shared" ca="1" si="66"/>
        <v>7787361.9470348498</v>
      </c>
      <c r="O58" s="642">
        <f t="shared" ca="1" si="66"/>
        <v>7870427.5624758946</v>
      </c>
      <c r="P58" s="642">
        <f t="shared" ca="1" si="66"/>
        <v>132752989.66000015</v>
      </c>
      <c r="Q58" s="621">
        <f ca="1">SUM(Q52:Q57)</f>
        <v>132752189.08000016</v>
      </c>
      <c r="R58" s="641">
        <f t="shared" ca="1" si="50"/>
        <v>-800.5799999833107</v>
      </c>
      <c r="S58" s="640"/>
    </row>
    <row r="59" spans="1:33">
      <c r="B59" t="s">
        <v>274</v>
      </c>
      <c r="C59" s="5"/>
      <c r="D59" s="642"/>
      <c r="E59" s="642"/>
      <c r="F59" s="642"/>
      <c r="G59" s="642"/>
      <c r="H59" s="642"/>
      <c r="I59" s="642"/>
      <c r="J59" s="642"/>
      <c r="K59" s="642"/>
      <c r="L59" s="642"/>
      <c r="M59" s="642"/>
      <c r="N59" s="642"/>
      <c r="O59" s="642"/>
      <c r="P59" s="642"/>
      <c r="Q59" s="621"/>
      <c r="R59" s="641"/>
      <c r="S59" s="640"/>
    </row>
    <row r="60" spans="1:33">
      <c r="C60" s="625" t="s">
        <v>51</v>
      </c>
      <c r="D60" s="1121">
        <f ca="1">D14+Q14+Temperature!I63*1000</f>
        <v>3691378.3612179416</v>
      </c>
      <c r="E60" s="1121">
        <f ca="1">E14+R14+Temperature!I64*1000</f>
        <v>3457440.6195149943</v>
      </c>
      <c r="F60" s="1121">
        <f ca="1">F14+S14+Temperature!I65*1000</f>
        <v>3630646.377009789</v>
      </c>
      <c r="G60" s="1121">
        <f ca="1">G14+T14+Temperature!I66*1000</f>
        <v>3559521.7703442415</v>
      </c>
      <c r="H60" s="1121">
        <f ca="1">H14+U14+Temperature!I67*1000</f>
        <v>3370808.3177163317</v>
      </c>
      <c r="I60" s="1121">
        <f ca="1">I14+V14+Temperature!I68*1000</f>
        <v>3849806.3801426296</v>
      </c>
      <c r="J60" s="1121">
        <f ca="1">J14+W14+Temperature!I69*1000</f>
        <v>3965579.5714647593</v>
      </c>
      <c r="K60" s="1121">
        <f ca="1">K14+X14+Temperature!I70*1000</f>
        <v>3814500.9519833345</v>
      </c>
      <c r="L60" s="1121">
        <f ca="1">L14+Y14+Temperature!I71*1000</f>
        <v>3481062.9909376325</v>
      </c>
      <c r="M60" s="1121">
        <f ca="1">M14+Z14+Temperature!I72*1000</f>
        <v>3273615.971441356</v>
      </c>
      <c r="N60" s="1121">
        <f ca="1">N14+AA14+Temperature!I73*1000</f>
        <v>3187158.2519427929</v>
      </c>
      <c r="O60" s="1121">
        <f ca="1">O14+AB14+Temperature!I74*1000</f>
        <v>3433292.8993252306</v>
      </c>
      <c r="P60" s="630">
        <f t="shared" ref="P60:P67" ca="1" si="67">SUM(D60:O60)</f>
        <v>42714812.463041022</v>
      </c>
      <c r="Q60" s="621">
        <f t="shared" ref="Q60:Q68" ca="1" si="68">AE14</f>
        <v>42714812.463041037</v>
      </c>
      <c r="R60" s="641">
        <f ca="1">Q60-P60</f>
        <v>0</v>
      </c>
      <c r="S60" s="640"/>
    </row>
    <row r="61" spans="1:33">
      <c r="C61" s="625" t="s">
        <v>52</v>
      </c>
      <c r="D61" s="630">
        <f t="shared" ref="D61:O61" ca="1" si="69">D15+Q15</f>
        <v>12853.684379930388</v>
      </c>
      <c r="E61" s="630">
        <f t="shared" ca="1" si="69"/>
        <v>12853.684379930388</v>
      </c>
      <c r="F61" s="630">
        <f t="shared" ca="1" si="69"/>
        <v>12853.684379930388</v>
      </c>
      <c r="G61" s="630">
        <f t="shared" ca="1" si="69"/>
        <v>12853.684379930388</v>
      </c>
      <c r="H61" s="630">
        <f t="shared" ca="1" si="69"/>
        <v>12845.099849389999</v>
      </c>
      <c r="I61" s="630">
        <f t="shared" ca="1" si="69"/>
        <v>12844.531535521472</v>
      </c>
      <c r="J61" s="630">
        <f t="shared" ca="1" si="69"/>
        <v>12844.531535521472</v>
      </c>
      <c r="K61" s="630">
        <f t="shared" ca="1" si="69"/>
        <v>12844.531535521472</v>
      </c>
      <c r="L61" s="630">
        <f t="shared" ca="1" si="69"/>
        <v>12844.531535521472</v>
      </c>
      <c r="M61" s="630">
        <f t="shared" ca="1" si="69"/>
        <v>12844.531535521472</v>
      </c>
      <c r="N61" s="630">
        <f t="shared" ca="1" si="69"/>
        <v>12844.531535521472</v>
      </c>
      <c r="O61" s="630">
        <f t="shared" ca="1" si="69"/>
        <v>12921.961807503658</v>
      </c>
      <c r="P61" s="630">
        <f t="shared" ca="1" si="67"/>
        <v>154248.98838974404</v>
      </c>
      <c r="Q61" s="621">
        <f t="shared" ca="1" si="68"/>
        <v>154248.98838974404</v>
      </c>
      <c r="R61" s="641">
        <f ca="1">Q61-P61</f>
        <v>0</v>
      </c>
      <c r="S61" s="640"/>
    </row>
    <row r="62" spans="1:33">
      <c r="C62" s="626" t="s">
        <v>57</v>
      </c>
      <c r="D62" s="630">
        <f t="shared" ref="D62:O62" ca="1" si="70">D16+Q16</f>
        <v>1875.9243166593412</v>
      </c>
      <c r="E62" s="630">
        <f t="shared" ca="1" si="70"/>
        <v>1312.3962491299576</v>
      </c>
      <c r="F62" s="630">
        <f t="shared" ca="1" si="70"/>
        <v>768.3404094117011</v>
      </c>
      <c r="G62" s="630">
        <f t="shared" ca="1" si="70"/>
        <v>2894.1034790107324</v>
      </c>
      <c r="H62" s="630">
        <f t="shared" ca="1" si="70"/>
        <v>49200.147989513549</v>
      </c>
      <c r="I62" s="630">
        <f t="shared" ca="1" si="70"/>
        <v>1101.4720405562828</v>
      </c>
      <c r="J62" s="630">
        <f t="shared" ca="1" si="70"/>
        <v>1365.4089656029537</v>
      </c>
      <c r="K62" s="630">
        <f t="shared" ca="1" si="70"/>
        <v>1757.3660673495056</v>
      </c>
      <c r="L62" s="630">
        <f t="shared" ca="1" si="70"/>
        <v>4368.0304822462022</v>
      </c>
      <c r="M62" s="630">
        <f t="shared" ca="1" si="70"/>
        <v>12700.159872077993</v>
      </c>
      <c r="N62" s="630">
        <f t="shared" ca="1" si="70"/>
        <v>14741.084648566488</v>
      </c>
      <c r="O62" s="630">
        <f t="shared" ca="1" si="70"/>
        <v>9306.6680293315167</v>
      </c>
      <c r="P62" s="630">
        <f t="shared" ca="1" si="67"/>
        <v>101391.10254945621</v>
      </c>
      <c r="Q62" s="621">
        <f t="shared" ca="1" si="68"/>
        <v>101391.10254945623</v>
      </c>
      <c r="R62" s="641">
        <f ca="1">Q62-P62</f>
        <v>0</v>
      </c>
      <c r="S62" s="640"/>
    </row>
    <row r="63" spans="1:33">
      <c r="A63" s="613" t="s">
        <v>31</v>
      </c>
      <c r="C63" s="625" t="s">
        <v>275</v>
      </c>
      <c r="D63" s="630">
        <f ca="1">D17+Q17</f>
        <v>0</v>
      </c>
      <c r="E63" s="630">
        <v>0</v>
      </c>
      <c r="F63" s="630">
        <v>0</v>
      </c>
      <c r="G63" s="630">
        <v>0</v>
      </c>
      <c r="H63" s="630">
        <v>0</v>
      </c>
      <c r="I63" s="630">
        <v>0</v>
      </c>
      <c r="J63" s="630">
        <v>0</v>
      </c>
      <c r="K63" s="630">
        <v>0</v>
      </c>
      <c r="L63" s="630">
        <v>0</v>
      </c>
      <c r="M63" s="630">
        <v>0</v>
      </c>
      <c r="N63" s="630">
        <v>0</v>
      </c>
      <c r="O63" s="630">
        <v>0</v>
      </c>
      <c r="P63" s="619">
        <f t="shared" ca="1" si="67"/>
        <v>0</v>
      </c>
      <c r="Q63" s="621">
        <f t="shared" ca="1" si="68"/>
        <v>0</v>
      </c>
      <c r="R63" s="620">
        <f t="shared" ref="R63:AB63" ca="1" si="71">E63/$P$22*$AC$23</f>
        <v>0</v>
      </c>
      <c r="S63" s="620">
        <f t="shared" ca="1" si="71"/>
        <v>0</v>
      </c>
      <c r="T63" s="620">
        <f t="shared" ca="1" si="71"/>
        <v>0</v>
      </c>
      <c r="U63" s="620">
        <f t="shared" ca="1" si="71"/>
        <v>0</v>
      </c>
      <c r="V63" s="620">
        <f t="shared" ca="1" si="71"/>
        <v>0</v>
      </c>
      <c r="W63" s="620">
        <f t="shared" ca="1" si="71"/>
        <v>0</v>
      </c>
      <c r="X63" s="620">
        <f t="shared" ca="1" si="71"/>
        <v>0</v>
      </c>
      <c r="Y63" s="620">
        <f t="shared" ca="1" si="71"/>
        <v>0</v>
      </c>
      <c r="Z63" s="620">
        <f t="shared" ca="1" si="71"/>
        <v>0</v>
      </c>
      <c r="AA63" s="620">
        <f t="shared" ca="1" si="71"/>
        <v>0</v>
      </c>
      <c r="AB63" s="620">
        <f t="shared" ca="1" si="71"/>
        <v>0</v>
      </c>
      <c r="AC63" s="471">
        <f ca="1">SUM(Q63:AB63)</f>
        <v>0</v>
      </c>
      <c r="AE63" s="105">
        <f ca="1">P63+AC63+AD63</f>
        <v>0</v>
      </c>
      <c r="AF63" s="621">
        <v>0</v>
      </c>
      <c r="AG63" s="622">
        <f ca="1">AF63-AE63</f>
        <v>0</v>
      </c>
    </row>
    <row r="64" spans="1:33">
      <c r="C64" s="625" t="s">
        <v>53</v>
      </c>
      <c r="D64" s="630">
        <f ca="1">D18+Q18+Temperature!G80*1000</f>
        <v>4205143.0233506532</v>
      </c>
      <c r="E64" s="630">
        <f ca="1">E18+R18+Temperature!G81*1000</f>
        <v>4317466.6102918535</v>
      </c>
      <c r="F64" s="630">
        <f ca="1">F18+S18+Temperature!G82*1000</f>
        <v>4616410.1641065879</v>
      </c>
      <c r="G64" s="630">
        <f ca="1">G18+T18+Temperature!G83*1000</f>
        <v>4772472.6619916419</v>
      </c>
      <c r="H64" s="630">
        <f ca="1">H18+U18+Temperature!G84*1000</f>
        <v>4730350.7834712872</v>
      </c>
      <c r="I64" s="630">
        <f ca="1">I18+V18+Temperature!G85*1000</f>
        <v>4800085.676886443</v>
      </c>
      <c r="J64" s="630">
        <f ca="1">J18+W18+Temperature!G86*1000</f>
        <v>4562488.1155326925</v>
      </c>
      <c r="K64" s="630">
        <f ca="1">K18+X18+Temperature!G87*1000</f>
        <v>4201344.1641929457</v>
      </c>
      <c r="L64" s="630">
        <f ca="1">L18+Y18+Temperature!G88*1000</f>
        <v>4040891.4416735177</v>
      </c>
      <c r="M64" s="630">
        <f ca="1">M18+Z18+Temperature!G89*1000</f>
        <v>3931183.9729662677</v>
      </c>
      <c r="N64" s="630">
        <f ca="1">N18+AA18+Temperature!G90*1000</f>
        <v>3938688.9165352485</v>
      </c>
      <c r="O64" s="630">
        <f ca="1">O18+AB18+Temperature!G91*1000</f>
        <v>4111882.7374661257</v>
      </c>
      <c r="P64" s="630">
        <f t="shared" ca="1" si="67"/>
        <v>52228408.268465266</v>
      </c>
      <c r="Q64" s="621">
        <f t="shared" ca="1" si="68"/>
        <v>52228408.268465251</v>
      </c>
      <c r="R64" s="641">
        <f ca="1">Q64-P64</f>
        <v>0</v>
      </c>
      <c r="S64" s="640"/>
    </row>
    <row r="65" spans="2:19">
      <c r="C65" s="625" t="s">
        <v>54</v>
      </c>
      <c r="D65" s="630">
        <f t="shared" ref="D65:O67" ca="1" si="72">D19+Q19</f>
        <v>713681.50701079343</v>
      </c>
      <c r="E65" s="630">
        <f t="shared" ca="1" si="72"/>
        <v>777381.27604768041</v>
      </c>
      <c r="F65" s="630">
        <f t="shared" ca="1" si="72"/>
        <v>813160.08383637329</v>
      </c>
      <c r="G65" s="630">
        <f t="shared" ca="1" si="72"/>
        <v>865212.62904328271</v>
      </c>
      <c r="H65" s="630">
        <f t="shared" ca="1" si="72"/>
        <v>847360.15557997173</v>
      </c>
      <c r="I65" s="630">
        <f t="shared" ca="1" si="72"/>
        <v>781379.01514811534</v>
      </c>
      <c r="J65" s="630">
        <f t="shared" ca="1" si="72"/>
        <v>757117.61633732601</v>
      </c>
      <c r="K65" s="630">
        <f t="shared" ca="1" si="72"/>
        <v>702833.14304200909</v>
      </c>
      <c r="L65" s="630">
        <f t="shared" ca="1" si="72"/>
        <v>673693.54736257321</v>
      </c>
      <c r="M65" s="630">
        <f t="shared" ca="1" si="72"/>
        <v>668164.49152860034</v>
      </c>
      <c r="N65" s="630">
        <f t="shared" ca="1" si="72"/>
        <v>679330.56289072894</v>
      </c>
      <c r="O65" s="630">
        <f t="shared" ca="1" si="72"/>
        <v>687481.83386971592</v>
      </c>
      <c r="P65" s="630">
        <f t="shared" ca="1" si="67"/>
        <v>8966795.8616971709</v>
      </c>
      <c r="Q65" s="621">
        <f t="shared" ca="1" si="68"/>
        <v>8966795.8616971709</v>
      </c>
      <c r="R65" s="641">
        <f ca="1">Q65-P65</f>
        <v>0</v>
      </c>
      <c r="S65" s="640"/>
    </row>
    <row r="66" spans="2:19">
      <c r="C66" s="625" t="s">
        <v>55</v>
      </c>
      <c r="D66" s="630">
        <f t="shared" ca="1" si="72"/>
        <v>25603.138002288786</v>
      </c>
      <c r="E66" s="630">
        <f t="shared" ca="1" si="72"/>
        <v>25582.868140977967</v>
      </c>
      <c r="F66" s="630">
        <f t="shared" ca="1" si="72"/>
        <v>25550.494191309393</v>
      </c>
      <c r="G66" s="630">
        <f t="shared" ca="1" si="72"/>
        <v>25586.836367638916</v>
      </c>
      <c r="H66" s="630">
        <f t="shared" ca="1" si="72"/>
        <v>25704.756510149</v>
      </c>
      <c r="I66" s="630">
        <f t="shared" ca="1" si="72"/>
        <v>25696.51097384598</v>
      </c>
      <c r="J66" s="630">
        <f t="shared" ca="1" si="72"/>
        <v>25714.816662663812</v>
      </c>
      <c r="K66" s="630">
        <f t="shared" ca="1" si="72"/>
        <v>25557.054726844326</v>
      </c>
      <c r="L66" s="630">
        <f t="shared" ca="1" si="72"/>
        <v>25492.44641336962</v>
      </c>
      <c r="M66" s="630">
        <f t="shared" ca="1" si="72"/>
        <v>25513.244706873978</v>
      </c>
      <c r="N66" s="630">
        <f t="shared" ca="1" si="72"/>
        <v>25469.933207840935</v>
      </c>
      <c r="O66" s="630">
        <f t="shared" ca="1" si="72"/>
        <v>25517.691513635036</v>
      </c>
      <c r="P66" s="630">
        <f t="shared" ca="1" si="67"/>
        <v>306989.79141743778</v>
      </c>
      <c r="Q66" s="621">
        <f t="shared" ca="1" si="68"/>
        <v>306989.79141743778</v>
      </c>
      <c r="R66" s="641">
        <f ca="1">Q66-P66</f>
        <v>0</v>
      </c>
      <c r="S66" s="640"/>
    </row>
    <row r="67" spans="2:19">
      <c r="C67" s="625" t="s">
        <v>56</v>
      </c>
      <c r="D67" s="630">
        <f t="shared" ca="1" si="72"/>
        <v>2413.7586150800335</v>
      </c>
      <c r="E67" s="630">
        <f t="shared" ca="1" si="72"/>
        <v>2056.3888959636906</v>
      </c>
      <c r="F67" s="630">
        <f t="shared" ca="1" si="72"/>
        <v>1540.4296962719345</v>
      </c>
      <c r="G67" s="630">
        <f t="shared" ca="1" si="72"/>
        <v>2520.0233380759319</v>
      </c>
      <c r="H67" s="630">
        <f t="shared" ca="1" si="72"/>
        <v>2792.6943499441832</v>
      </c>
      <c r="I67" s="630">
        <f t="shared" ca="1" si="72"/>
        <v>1932.6759401621234</v>
      </c>
      <c r="J67" s="630">
        <f t="shared" ca="1" si="72"/>
        <v>1343.0154050992205</v>
      </c>
      <c r="K67" s="630">
        <f t="shared" ca="1" si="72"/>
        <v>1228.694583756476</v>
      </c>
      <c r="L67" s="630">
        <f t="shared" ca="1" si="72"/>
        <v>2820.4320548958244</v>
      </c>
      <c r="M67" s="630">
        <f t="shared" ca="1" si="72"/>
        <v>2603.2464233496003</v>
      </c>
      <c r="N67" s="630">
        <f t="shared" ca="1" si="72"/>
        <v>1547.1796697630418</v>
      </c>
      <c r="O67" s="630">
        <f t="shared" ca="1" si="72"/>
        <v>1934.5204676301512</v>
      </c>
      <c r="P67" s="630">
        <f t="shared" ca="1" si="67"/>
        <v>24733.059439992212</v>
      </c>
      <c r="Q67" s="621">
        <f t="shared" ca="1" si="68"/>
        <v>24733.059439992212</v>
      </c>
      <c r="R67" s="641">
        <f ca="1">Q67-P67</f>
        <v>0</v>
      </c>
      <c r="S67" s="640"/>
    </row>
    <row r="68" spans="2:19">
      <c r="B68" t="s">
        <v>274</v>
      </c>
      <c r="C68" s="5"/>
      <c r="D68" s="642">
        <f t="shared" ref="D68:P68" ca="1" si="73">SUM(D60:D67)</f>
        <v>8652949.3968933485</v>
      </c>
      <c r="E68" s="642">
        <f t="shared" ca="1" si="73"/>
        <v>8594093.8435205314</v>
      </c>
      <c r="F68" s="642">
        <f t="shared" ca="1" si="73"/>
        <v>9100929.5736296736</v>
      </c>
      <c r="G68" s="642">
        <f t="shared" ca="1" si="73"/>
        <v>9241061.7089438215</v>
      </c>
      <c r="H68" s="642">
        <f t="shared" ca="1" si="73"/>
        <v>9039061.9554665871</v>
      </c>
      <c r="I68" s="642">
        <f t="shared" ca="1" si="73"/>
        <v>9472846.2626672722</v>
      </c>
      <c r="J68" s="642">
        <f t="shared" ca="1" si="73"/>
        <v>9326453.0759036653</v>
      </c>
      <c r="K68" s="642">
        <f t="shared" ca="1" si="73"/>
        <v>8760065.9061317611</v>
      </c>
      <c r="L68" s="642">
        <f t="shared" ca="1" si="73"/>
        <v>8241173.4204597566</v>
      </c>
      <c r="M68" s="642">
        <f t="shared" ca="1" si="73"/>
        <v>7926625.6184740476</v>
      </c>
      <c r="N68" s="642">
        <f t="shared" ca="1" si="73"/>
        <v>7859780.4604304619</v>
      </c>
      <c r="O68" s="642">
        <f t="shared" ca="1" si="73"/>
        <v>8282338.3124791738</v>
      </c>
      <c r="P68" s="642">
        <f t="shared" ca="1" si="73"/>
        <v>104497379.53500007</v>
      </c>
      <c r="Q68" s="621">
        <f t="shared" ca="1" si="68"/>
        <v>104497379.53500007</v>
      </c>
      <c r="R68" s="641">
        <f ca="1">Q68-P68</f>
        <v>0</v>
      </c>
      <c r="S68" s="640"/>
    </row>
    <row r="69" spans="2:19">
      <c r="B69" t="s">
        <v>277</v>
      </c>
      <c r="C69" s="5"/>
      <c r="D69" s="642"/>
      <c r="E69" s="642"/>
      <c r="F69" s="642"/>
      <c r="G69" s="642"/>
      <c r="H69" s="642"/>
      <c r="I69" s="642"/>
      <c r="J69" s="642"/>
      <c r="K69" s="642"/>
      <c r="L69" s="642"/>
      <c r="M69" s="642"/>
      <c r="N69" s="642"/>
      <c r="O69" s="642"/>
      <c r="P69" s="642"/>
      <c r="Q69" s="621"/>
      <c r="R69" s="641"/>
      <c r="S69" s="640"/>
    </row>
    <row r="70" spans="2:19">
      <c r="C70" s="625" t="s">
        <v>51</v>
      </c>
      <c r="D70" s="630">
        <f t="shared" ref="D70:O77" ca="1" si="74">D24+Q24</f>
        <v>115523.37913035766</v>
      </c>
      <c r="E70" s="630">
        <f t="shared" ca="1" si="74"/>
        <v>119983.64197591734</v>
      </c>
      <c r="F70" s="630">
        <f t="shared" ca="1" si="74"/>
        <v>130654.50880659836</v>
      </c>
      <c r="G70" s="630">
        <f t="shared" ca="1" si="74"/>
        <v>124173.03055045113</v>
      </c>
      <c r="H70" s="630">
        <f t="shared" ca="1" si="74"/>
        <v>123324.02148956759</v>
      </c>
      <c r="I70" s="630">
        <f t="shared" ca="1" si="74"/>
        <v>144754.87096678469</v>
      </c>
      <c r="J70" s="630">
        <f t="shared" ca="1" si="74"/>
        <v>146223.15770331302</v>
      </c>
      <c r="K70" s="630">
        <f t="shared" ca="1" si="74"/>
        <v>134213.88677876026</v>
      </c>
      <c r="L70" s="630">
        <f t="shared" ca="1" si="74"/>
        <v>121341.62146455838</v>
      </c>
      <c r="M70" s="630">
        <f t="shared" ca="1" si="74"/>
        <v>123437.3067180714</v>
      </c>
      <c r="N70" s="630">
        <f t="shared" ca="1" si="74"/>
        <v>107168.52746378579</v>
      </c>
      <c r="O70" s="630">
        <f t="shared" ca="1" si="74"/>
        <v>108878.60996436459</v>
      </c>
      <c r="P70" s="630">
        <f t="shared" ref="P70:P77" ca="1" si="75">SUM(D70:O70)</f>
        <v>1499676.5630125303</v>
      </c>
      <c r="Q70" s="621">
        <f ca="1">AE24</f>
        <v>1499676.5630125303</v>
      </c>
      <c r="R70" s="641">
        <f t="shared" ref="R70:R78" ca="1" si="76">Q70-P70</f>
        <v>0</v>
      </c>
      <c r="S70" s="640"/>
    </row>
    <row r="71" spans="2:19">
      <c r="C71" s="625" t="s">
        <v>52</v>
      </c>
      <c r="D71" s="630">
        <f t="shared" ca="1" si="74"/>
        <v>647.49226332883416</v>
      </c>
      <c r="E71" s="630">
        <f t="shared" ca="1" si="74"/>
        <v>647.49226332883416</v>
      </c>
      <c r="F71" s="630">
        <f t="shared" ca="1" si="74"/>
        <v>647.49226332883416</v>
      </c>
      <c r="G71" s="630">
        <f t="shared" ca="1" si="74"/>
        <v>647.49226332883416</v>
      </c>
      <c r="H71" s="630">
        <f t="shared" ca="1" si="74"/>
        <v>647.49226332883416</v>
      </c>
      <c r="I71" s="630">
        <f t="shared" ca="1" si="74"/>
        <v>647.49226332883416</v>
      </c>
      <c r="J71" s="630">
        <f t="shared" ca="1" si="74"/>
        <v>647.49226332883416</v>
      </c>
      <c r="K71" s="630">
        <f t="shared" ca="1" si="74"/>
        <v>647.49226332883416</v>
      </c>
      <c r="L71" s="630">
        <f t="shared" ca="1" si="74"/>
        <v>647.49226332883416</v>
      </c>
      <c r="M71" s="630">
        <f t="shared" ca="1" si="74"/>
        <v>647.49226332883416</v>
      </c>
      <c r="N71" s="630">
        <f t="shared" ca="1" si="74"/>
        <v>647.49226332883416</v>
      </c>
      <c r="O71" s="630">
        <f t="shared" ca="1" si="74"/>
        <v>652.87905420511402</v>
      </c>
      <c r="P71" s="630">
        <f t="shared" ca="1" si="75"/>
        <v>7775.2939508222898</v>
      </c>
      <c r="Q71" s="621">
        <f ca="1">AE25</f>
        <v>7775.293950822288</v>
      </c>
      <c r="R71" s="641">
        <f t="shared" ca="1" si="76"/>
        <v>0</v>
      </c>
      <c r="S71" s="640"/>
    </row>
    <row r="72" spans="2:19">
      <c r="C72" s="625" t="s">
        <v>57</v>
      </c>
      <c r="D72" s="630">
        <f t="shared" ca="1" si="74"/>
        <v>28.946378142726271</v>
      </c>
      <c r="E72" s="630">
        <f t="shared" ca="1" si="74"/>
        <v>124.29257665287908</v>
      </c>
      <c r="F72" s="630">
        <f t="shared" ca="1" si="74"/>
        <v>68.666338038012185</v>
      </c>
      <c r="G72" s="630">
        <f t="shared" ca="1" si="74"/>
        <v>71.308914694300384</v>
      </c>
      <c r="H72" s="630">
        <f t="shared" ca="1" si="74"/>
        <v>951.92725788960672</v>
      </c>
      <c r="I72" s="630">
        <f t="shared" ca="1" si="74"/>
        <v>1.666856044735642</v>
      </c>
      <c r="J72" s="630">
        <f t="shared" ca="1" si="74"/>
        <v>1.7684936084390348</v>
      </c>
      <c r="K72" s="630">
        <f t="shared" ca="1" si="74"/>
        <v>1.4635809173288563</v>
      </c>
      <c r="L72" s="630">
        <f t="shared" ca="1" si="74"/>
        <v>252.98605981411504</v>
      </c>
      <c r="M72" s="630">
        <f t="shared" ca="1" si="74"/>
        <v>286.04875928682873</v>
      </c>
      <c r="N72" s="630">
        <f t="shared" ca="1" si="74"/>
        <v>247.68057898879792</v>
      </c>
      <c r="O72" s="630">
        <f t="shared" ca="1" si="74"/>
        <v>300.8675160747834</v>
      </c>
      <c r="P72" s="630">
        <f t="shared" ca="1" si="75"/>
        <v>2337.6233101525531</v>
      </c>
      <c r="Q72" s="621">
        <f ca="1">AE26</f>
        <v>2337.6233101525531</v>
      </c>
      <c r="R72" s="641">
        <f t="shared" ca="1" si="76"/>
        <v>0</v>
      </c>
      <c r="S72" s="640"/>
    </row>
    <row r="73" spans="2:19">
      <c r="C73" s="625" t="s">
        <v>53</v>
      </c>
      <c r="D73" s="630">
        <f t="shared" ca="1" si="74"/>
        <v>652622.54132183944</v>
      </c>
      <c r="E73" s="630">
        <f t="shared" ca="1" si="74"/>
        <v>700921.43322039396</v>
      </c>
      <c r="F73" s="630">
        <f t="shared" ca="1" si="74"/>
        <v>796272.88639259024</v>
      </c>
      <c r="G73" s="630">
        <f t="shared" ca="1" si="74"/>
        <v>802225.28014712303</v>
      </c>
      <c r="H73" s="630">
        <f t="shared" ca="1" si="74"/>
        <v>767985.00786134182</v>
      </c>
      <c r="I73" s="630">
        <f t="shared" ca="1" si="74"/>
        <v>728066.11276261939</v>
      </c>
      <c r="J73" s="630">
        <f t="shared" ca="1" si="74"/>
        <v>666752.45968555077</v>
      </c>
      <c r="K73" s="630">
        <f t="shared" ca="1" si="74"/>
        <v>632054.40164909302</v>
      </c>
      <c r="L73" s="630">
        <f t="shared" ca="1" si="74"/>
        <v>631049.39925543754</v>
      </c>
      <c r="M73" s="630">
        <f t="shared" ca="1" si="74"/>
        <v>606297.00370512437</v>
      </c>
      <c r="N73" s="630">
        <f t="shared" ca="1" si="74"/>
        <v>603022.88171925256</v>
      </c>
      <c r="O73" s="630">
        <f t="shared" ca="1" si="74"/>
        <v>613868.697288336</v>
      </c>
      <c r="P73" s="630">
        <f t="shared" ca="1" si="75"/>
        <v>8201138.1050087027</v>
      </c>
      <c r="Q73" s="621">
        <f t="shared" ref="Q73:Q78" ca="1" si="77">AE27</f>
        <v>8201138.1050087018</v>
      </c>
      <c r="R73" s="641">
        <f t="shared" ca="1" si="76"/>
        <v>0</v>
      </c>
      <c r="S73" s="640"/>
    </row>
    <row r="74" spans="2:19">
      <c r="C74" s="625" t="s">
        <v>167</v>
      </c>
      <c r="D74" s="630">
        <f t="shared" ca="1" si="74"/>
        <v>22261.126735110127</v>
      </c>
      <c r="E74" s="630">
        <f t="shared" ca="1" si="74"/>
        <v>21322.209085374554</v>
      </c>
      <c r="F74" s="630">
        <f t="shared" ca="1" si="74"/>
        <v>25703.347087591155</v>
      </c>
      <c r="G74" s="630">
        <f t="shared" ca="1" si="74"/>
        <v>19591.982019669849</v>
      </c>
      <c r="H74" s="630">
        <f t="shared" ca="1" si="74"/>
        <v>19689.91997605444</v>
      </c>
      <c r="I74" s="630">
        <f t="shared" ca="1" si="74"/>
        <v>52564.620447185953</v>
      </c>
      <c r="J74" s="630">
        <f t="shared" ca="1" si="74"/>
        <v>22985.121592638508</v>
      </c>
      <c r="K74" s="630">
        <f t="shared" ca="1" si="74"/>
        <v>24872.86655457073</v>
      </c>
      <c r="L74" s="630">
        <f t="shared" ca="1" si="74"/>
        <v>17889.664628958093</v>
      </c>
      <c r="M74" s="630">
        <f t="shared" ca="1" si="74"/>
        <v>18981.038624248755</v>
      </c>
      <c r="N74" s="630">
        <f t="shared" ca="1" si="74"/>
        <v>20890.208784609655</v>
      </c>
      <c r="O74" s="630">
        <f t="shared" ca="1" si="74"/>
        <v>19964.01615784975</v>
      </c>
      <c r="P74" s="630">
        <f t="shared" ca="1" si="75"/>
        <v>286716.12169386161</v>
      </c>
      <c r="Q74" s="621">
        <f t="shared" ca="1" si="77"/>
        <v>286716.12169386155</v>
      </c>
      <c r="R74" s="641">
        <f t="shared" ca="1" si="76"/>
        <v>0</v>
      </c>
      <c r="S74" s="640"/>
    </row>
    <row r="75" spans="2:19">
      <c r="C75" s="625" t="s">
        <v>591</v>
      </c>
      <c r="D75" s="630">
        <f t="shared" ca="1" si="74"/>
        <v>2048569.1890895534</v>
      </c>
      <c r="E75" s="630">
        <f t="shared" ca="1" si="74"/>
        <v>2090829.2749769145</v>
      </c>
      <c r="F75" s="630">
        <f t="shared" ca="1" si="74"/>
        <v>2098486.8523014556</v>
      </c>
      <c r="G75" s="630">
        <f t="shared" ca="1" si="74"/>
        <v>2038215.7363703181</v>
      </c>
      <c r="H75" s="630">
        <f t="shared" ca="1" si="74"/>
        <v>2078611.4640991553</v>
      </c>
      <c r="I75" s="630">
        <f t="shared" ca="1" si="74"/>
        <v>2081203.5777050646</v>
      </c>
      <c r="J75" s="630">
        <f t="shared" ca="1" si="74"/>
        <v>2146534.5266338042</v>
      </c>
      <c r="K75" s="630">
        <f t="shared" ca="1" si="74"/>
        <v>2111572.8817396383</v>
      </c>
      <c r="L75" s="630">
        <f t="shared" ca="1" si="74"/>
        <v>2009474.208737236</v>
      </c>
      <c r="M75" s="630">
        <f t="shared" ca="1" si="74"/>
        <v>2081173.2084010302</v>
      </c>
      <c r="N75" s="630">
        <f t="shared" ca="1" si="74"/>
        <v>1787662.7883574551</v>
      </c>
      <c r="O75" s="630">
        <f t="shared" ca="1" si="74"/>
        <v>2127233.1975550572</v>
      </c>
      <c r="P75" s="630">
        <f t="shared" ca="1" si="75"/>
        <v>24699566.905966688</v>
      </c>
      <c r="Q75" s="621">
        <f t="shared" ca="1" si="77"/>
        <v>24699566.905966677</v>
      </c>
      <c r="R75" s="641">
        <f t="shared" ca="1" si="76"/>
        <v>0</v>
      </c>
      <c r="S75" s="640"/>
    </row>
    <row r="76" spans="2:19">
      <c r="C76" s="625" t="s">
        <v>54</v>
      </c>
      <c r="D76" s="630">
        <f t="shared" ca="1" si="74"/>
        <v>1154583.3413871441</v>
      </c>
      <c r="E76" s="630">
        <f t="shared" ca="1" si="74"/>
        <v>1178002.3029204505</v>
      </c>
      <c r="F76" s="630">
        <f t="shared" ca="1" si="74"/>
        <v>1158789.2155745106</v>
      </c>
      <c r="G76" s="630">
        <f t="shared" ca="1" si="74"/>
        <v>1166271.0615514084</v>
      </c>
      <c r="H76" s="630">
        <f t="shared" ca="1" si="74"/>
        <v>1324267.1116973693</v>
      </c>
      <c r="I76" s="630">
        <f t="shared" ca="1" si="74"/>
        <v>1116157.7561931335</v>
      </c>
      <c r="J76" s="630">
        <f t="shared" ca="1" si="74"/>
        <v>1084485.6821945223</v>
      </c>
      <c r="K76" s="630">
        <f t="shared" ca="1" si="74"/>
        <v>1099893.9775069822</v>
      </c>
      <c r="L76" s="630">
        <f t="shared" ca="1" si="74"/>
        <v>1115186.7718920498</v>
      </c>
      <c r="M76" s="630">
        <f t="shared" ca="1" si="74"/>
        <v>1125730.3275104358</v>
      </c>
      <c r="N76" s="630">
        <f t="shared" ca="1" si="74"/>
        <v>1125952.7511548442</v>
      </c>
      <c r="O76" s="630">
        <f t="shared" ca="1" si="74"/>
        <v>1169261.5842432787</v>
      </c>
      <c r="P76" s="630">
        <f t="shared" ca="1" si="75"/>
        <v>13818581.883826131</v>
      </c>
      <c r="Q76" s="621">
        <f t="shared" ca="1" si="77"/>
        <v>13818581.883826127</v>
      </c>
      <c r="R76" s="641">
        <f t="shared" ca="1" si="76"/>
        <v>0</v>
      </c>
      <c r="S76" s="640"/>
    </row>
    <row r="77" spans="2:19">
      <c r="C77" s="625" t="s">
        <v>55</v>
      </c>
      <c r="D77" s="630">
        <f t="shared" ca="1" si="74"/>
        <v>1668.2281518456377</v>
      </c>
      <c r="E77" s="630">
        <f t="shared" ca="1" si="74"/>
        <v>1668.2281518456377</v>
      </c>
      <c r="F77" s="630">
        <f t="shared" ca="1" si="74"/>
        <v>1668.2281518456377</v>
      </c>
      <c r="G77" s="630">
        <f t="shared" ca="1" si="74"/>
        <v>1676.0034254689474</v>
      </c>
      <c r="H77" s="630">
        <f t="shared" ca="1" si="74"/>
        <v>1665.1383699090547</v>
      </c>
      <c r="I77" s="630">
        <f t="shared" ca="1" si="74"/>
        <v>1693.2005012475615</v>
      </c>
      <c r="J77" s="630">
        <f t="shared" ca="1" si="74"/>
        <v>1687.2038849890612</v>
      </c>
      <c r="K77" s="630">
        <f t="shared" ca="1" si="74"/>
        <v>1669.5392764174117</v>
      </c>
      <c r="L77" s="630">
        <f t="shared" ca="1" si="74"/>
        <v>1668.2281518456377</v>
      </c>
      <c r="M77" s="630">
        <f t="shared" ca="1" si="74"/>
        <v>1666.1140905206073</v>
      </c>
      <c r="N77" s="630">
        <f t="shared" ca="1" si="74"/>
        <v>1668.2281518456377</v>
      </c>
      <c r="O77" s="630">
        <f t="shared" ca="1" si="74"/>
        <v>1676.592923338427</v>
      </c>
      <c r="P77" s="630">
        <f t="shared" ca="1" si="75"/>
        <v>20074.933231119259</v>
      </c>
      <c r="Q77" s="621">
        <f t="shared" ca="1" si="77"/>
        <v>20074.933231119259</v>
      </c>
      <c r="R77" s="641">
        <f t="shared" ca="1" si="76"/>
        <v>0</v>
      </c>
      <c r="S77" s="640"/>
    </row>
    <row r="78" spans="2:19">
      <c r="B78" t="s">
        <v>277</v>
      </c>
      <c r="C78" s="625"/>
      <c r="D78" s="642">
        <f t="shared" ref="D78:P78" ca="1" si="78">SUM(D70:D77)</f>
        <v>3995904.2444573222</v>
      </c>
      <c r="E78" s="642">
        <f t="shared" ca="1" si="78"/>
        <v>4113498.8751708781</v>
      </c>
      <c r="F78" s="642">
        <f t="shared" ca="1" si="78"/>
        <v>4212291.1969159581</v>
      </c>
      <c r="G78" s="642">
        <f t="shared" ca="1" si="78"/>
        <v>4152871.8952424629</v>
      </c>
      <c r="H78" s="642">
        <f t="shared" ca="1" si="78"/>
        <v>4317142.0830146158</v>
      </c>
      <c r="I78" s="642">
        <f t="shared" ca="1" si="78"/>
        <v>4125089.2976954095</v>
      </c>
      <c r="J78" s="642">
        <f t="shared" ca="1" si="78"/>
        <v>4069317.4124517553</v>
      </c>
      <c r="K78" s="642">
        <f t="shared" ca="1" si="78"/>
        <v>4004926.509349708</v>
      </c>
      <c r="L78" s="642">
        <f t="shared" ca="1" si="78"/>
        <v>3897510.3724532286</v>
      </c>
      <c r="M78" s="642">
        <f t="shared" ca="1" si="78"/>
        <v>3958218.5400720467</v>
      </c>
      <c r="N78" s="642">
        <f t="shared" ca="1" si="78"/>
        <v>3647260.5584741109</v>
      </c>
      <c r="O78" s="642">
        <f t="shared" ca="1" si="78"/>
        <v>4041836.4447025051</v>
      </c>
      <c r="P78" s="642">
        <f t="shared" ca="1" si="78"/>
        <v>48535867.430000007</v>
      </c>
      <c r="Q78" s="621">
        <f t="shared" ca="1" si="77"/>
        <v>48535867.429999992</v>
      </c>
      <c r="R78" s="641">
        <f t="shared" ca="1" si="76"/>
        <v>0</v>
      </c>
      <c r="S78" s="640"/>
    </row>
    <row r="79" spans="2:19">
      <c r="B79" t="s">
        <v>279</v>
      </c>
      <c r="C79" s="625"/>
      <c r="D79" s="642"/>
      <c r="E79" s="642"/>
      <c r="F79" s="642"/>
      <c r="G79" s="642"/>
      <c r="H79" s="642"/>
      <c r="I79" s="642"/>
      <c r="J79" s="642"/>
      <c r="K79" s="642"/>
      <c r="L79" s="642"/>
      <c r="M79" s="642"/>
      <c r="N79" s="642"/>
      <c r="O79" s="642"/>
      <c r="P79" s="642"/>
      <c r="Q79" s="621"/>
      <c r="R79" s="641"/>
      <c r="S79" s="640"/>
    </row>
    <row r="80" spans="2:19">
      <c r="C80" s="625" t="s">
        <v>58</v>
      </c>
      <c r="D80" s="630">
        <f t="shared" ref="D80:O81" ca="1" si="79">D34+Q34</f>
        <v>1773997.1749578954</v>
      </c>
      <c r="E80" s="630">
        <f t="shared" ca="1" si="79"/>
        <v>1987075.1082528317</v>
      </c>
      <c r="F80" s="630">
        <f t="shared" ca="1" si="79"/>
        <v>1860653.0978843661</v>
      </c>
      <c r="G80" s="630">
        <f t="shared" ca="1" si="79"/>
        <v>1061048.0233846765</v>
      </c>
      <c r="H80" s="630">
        <f t="shared" ca="1" si="79"/>
        <v>2338255.6492148233</v>
      </c>
      <c r="I80" s="630">
        <f t="shared" ca="1" si="79"/>
        <v>35210.00619413532</v>
      </c>
      <c r="J80" s="630">
        <f t="shared" ca="1" si="79"/>
        <v>30077.765118403669</v>
      </c>
      <c r="K80" s="630">
        <f t="shared" ca="1" si="79"/>
        <v>30028.551146437119</v>
      </c>
      <c r="L80" s="630">
        <f t="shared" ca="1" si="79"/>
        <v>61889.590580718032</v>
      </c>
      <c r="M80" s="630">
        <f t="shared" ca="1" si="79"/>
        <v>317928.24936932634</v>
      </c>
      <c r="N80" s="630">
        <f t="shared" ca="1" si="79"/>
        <v>951872.40743698401</v>
      </c>
      <c r="O80" s="630">
        <f t="shared" ca="1" si="79"/>
        <v>1404085.6897682347</v>
      </c>
      <c r="P80" s="630">
        <f ca="1">SUM(D80:O80)</f>
        <v>11852121.313308831</v>
      </c>
      <c r="Q80" s="621">
        <f ca="1">AE34</f>
        <v>11722795.533308832</v>
      </c>
      <c r="R80" s="641">
        <f ca="1">Q80-P80</f>
        <v>-129325.77999999933</v>
      </c>
      <c r="S80" s="640"/>
    </row>
    <row r="81" spans="2:19">
      <c r="C81" s="625" t="s">
        <v>59</v>
      </c>
      <c r="D81" s="630">
        <f t="shared" ca="1" si="79"/>
        <v>60637.399125453972</v>
      </c>
      <c r="E81" s="630">
        <f t="shared" ca="1" si="79"/>
        <v>65771.964706311803</v>
      </c>
      <c r="F81" s="630">
        <f t="shared" ca="1" si="79"/>
        <v>63798.726097061292</v>
      </c>
      <c r="G81" s="630">
        <f t="shared" ca="1" si="79"/>
        <v>39842.222664970774</v>
      </c>
      <c r="H81" s="630">
        <f t="shared" ca="1" si="79"/>
        <v>90598.22217980049</v>
      </c>
      <c r="I81" s="630">
        <f t="shared" ca="1" si="79"/>
        <v>4082.404447773868</v>
      </c>
      <c r="J81" s="630">
        <f t="shared" ca="1" si="79"/>
        <v>5925.3683688513111</v>
      </c>
      <c r="K81" s="630">
        <f t="shared" ca="1" si="79"/>
        <v>4834.0285722749622</v>
      </c>
      <c r="L81" s="630">
        <f t="shared" ca="1" si="79"/>
        <v>1950.9254080612989</v>
      </c>
      <c r="M81" s="630">
        <f t="shared" ca="1" si="79"/>
        <v>8798.651266915158</v>
      </c>
      <c r="N81" s="630">
        <f t="shared" ca="1" si="79"/>
        <v>38161.195854313766</v>
      </c>
      <c r="O81" s="630">
        <f t="shared" ca="1" si="79"/>
        <v>45945.72799935098</v>
      </c>
      <c r="P81" s="630">
        <f ca="1">SUM(D81:O81)</f>
        <v>430346.83669113973</v>
      </c>
      <c r="Q81" s="621">
        <f ca="1">AE35</f>
        <v>430346.83669113967</v>
      </c>
      <c r="R81" s="641">
        <f ca="1">Q81-P81</f>
        <v>0</v>
      </c>
      <c r="S81" s="640"/>
    </row>
    <row r="82" spans="2:19">
      <c r="B82" t="s">
        <v>279</v>
      </c>
      <c r="C82" s="625"/>
      <c r="D82" s="642">
        <f t="shared" ref="D82:P82" ca="1" si="80">SUM(D80:D81)</f>
        <v>1834634.5740833494</v>
      </c>
      <c r="E82" s="642">
        <f t="shared" ca="1" si="80"/>
        <v>2052847.0729591434</v>
      </c>
      <c r="F82" s="642">
        <f t="shared" ca="1" si="80"/>
        <v>1924451.8239814274</v>
      </c>
      <c r="G82" s="642">
        <f t="shared" ca="1" si="80"/>
        <v>1100890.2460496472</v>
      </c>
      <c r="H82" s="642">
        <f t="shared" ca="1" si="80"/>
        <v>2428853.8713946235</v>
      </c>
      <c r="I82" s="642">
        <f t="shared" ca="1" si="80"/>
        <v>39292.410641909184</v>
      </c>
      <c r="J82" s="642">
        <f t="shared" ca="1" si="80"/>
        <v>36003.133487254978</v>
      </c>
      <c r="K82" s="642">
        <f t="shared" ca="1" si="80"/>
        <v>34862.579718712084</v>
      </c>
      <c r="L82" s="642">
        <f t="shared" ca="1" si="80"/>
        <v>63840.515988779327</v>
      </c>
      <c r="M82" s="642">
        <f t="shared" ca="1" si="80"/>
        <v>326726.90063624148</v>
      </c>
      <c r="N82" s="642">
        <f t="shared" ca="1" si="80"/>
        <v>990033.6032912978</v>
      </c>
      <c r="O82" s="642">
        <f t="shared" ca="1" si="80"/>
        <v>1450031.4177675857</v>
      </c>
      <c r="P82" s="642">
        <f t="shared" ca="1" si="80"/>
        <v>12282468.149999971</v>
      </c>
      <c r="Q82" s="621">
        <f ca="1">AE36</f>
        <v>12153142.369999971</v>
      </c>
      <c r="R82" s="641">
        <f ca="1">Q82-P82</f>
        <v>-129325.77999999933</v>
      </c>
      <c r="S82" s="640"/>
    </row>
    <row r="83" spans="2:19">
      <c r="B83" t="s">
        <v>583</v>
      </c>
      <c r="C83" s="625"/>
      <c r="D83" s="642"/>
      <c r="E83" s="642"/>
      <c r="F83" s="642"/>
      <c r="G83" s="642"/>
      <c r="H83" s="642"/>
      <c r="I83" s="642"/>
      <c r="J83" s="642"/>
      <c r="K83" s="642"/>
      <c r="L83" s="642"/>
      <c r="M83" s="642"/>
      <c r="N83" s="642"/>
      <c r="O83" s="642"/>
      <c r="P83" s="642"/>
      <c r="Q83" s="621"/>
      <c r="R83" s="641"/>
      <c r="S83" s="640"/>
    </row>
    <row r="84" spans="2:19">
      <c r="C84" s="625" t="s">
        <v>61</v>
      </c>
      <c r="D84" s="630">
        <f t="shared" ref="D84:O88" ca="1" si="81">D38+Q38</f>
        <v>3993.201185515376</v>
      </c>
      <c r="E84" s="630">
        <f t="shared" ca="1" si="81"/>
        <v>3983.1599221133392</v>
      </c>
      <c r="F84" s="630">
        <f t="shared" ca="1" si="81"/>
        <v>3983.1599221133392</v>
      </c>
      <c r="G84" s="630">
        <f t="shared" ca="1" si="81"/>
        <v>3983.1599221133392</v>
      </c>
      <c r="H84" s="630">
        <f t="shared" ca="1" si="81"/>
        <v>3983.1599221133392</v>
      </c>
      <c r="I84" s="630">
        <f t="shared" ca="1" si="81"/>
        <v>3982.2787874820815</v>
      </c>
      <c r="J84" s="630">
        <f t="shared" ca="1" si="81"/>
        <v>3944.0962867942608</v>
      </c>
      <c r="K84" s="630">
        <f t="shared" ca="1" si="81"/>
        <v>3833.6607463433334</v>
      </c>
      <c r="L84" s="630">
        <f t="shared" ca="1" si="81"/>
        <v>3828.979718614778</v>
      </c>
      <c r="M84" s="630">
        <f t="shared" ca="1" si="81"/>
        <v>3760.7560340925252</v>
      </c>
      <c r="N84" s="630">
        <f t="shared" ca="1" si="81"/>
        <v>3674.6343023728573</v>
      </c>
      <c r="O84" s="630">
        <f t="shared" ca="1" si="81"/>
        <v>3689.0720604454395</v>
      </c>
      <c r="P84" s="630">
        <f ca="1">SUM(D84:O84)</f>
        <v>46639.318810114011</v>
      </c>
      <c r="Q84" s="621">
        <f t="shared" ref="Q84:Q89" ca="1" si="82">AE38</f>
        <v>46639.318810114011</v>
      </c>
      <c r="R84" s="641">
        <f t="shared" ref="R84:R89" ca="1" si="83">Q84-P84</f>
        <v>0</v>
      </c>
      <c r="S84" s="640"/>
    </row>
    <row r="85" spans="2:19">
      <c r="C85" s="625" t="s">
        <v>62</v>
      </c>
      <c r="D85" s="630">
        <f t="shared" ca="1" si="81"/>
        <v>18545.304833474715</v>
      </c>
      <c r="E85" s="630">
        <f t="shared" ca="1" si="81"/>
        <v>18555.043206847258</v>
      </c>
      <c r="F85" s="630">
        <f t="shared" ca="1" si="81"/>
        <v>18556.05284027891</v>
      </c>
      <c r="G85" s="630">
        <f t="shared" ca="1" si="81"/>
        <v>18556.511764566021</v>
      </c>
      <c r="H85" s="630">
        <f t="shared" ca="1" si="81"/>
        <v>18564.194157132297</v>
      </c>
      <c r="I85" s="630">
        <f t="shared" ca="1" si="81"/>
        <v>18580.164722323832</v>
      </c>
      <c r="J85" s="630">
        <f t="shared" ca="1" si="81"/>
        <v>18595.869111428849</v>
      </c>
      <c r="K85" s="630">
        <f t="shared" ca="1" si="81"/>
        <v>18597.603845234138</v>
      </c>
      <c r="L85" s="630">
        <f t="shared" ca="1" si="81"/>
        <v>18595.869111428849</v>
      </c>
      <c r="M85" s="630">
        <f t="shared" ca="1" si="81"/>
        <v>18559.678342147101</v>
      </c>
      <c r="N85" s="630">
        <f t="shared" ca="1" si="81"/>
        <v>18538.549467968409</v>
      </c>
      <c r="O85" s="630">
        <f t="shared" ca="1" si="81"/>
        <v>18586.580483857681</v>
      </c>
      <c r="P85" s="630">
        <f ca="1">SUM(D85:O85)</f>
        <v>222831.42188668807</v>
      </c>
      <c r="Q85" s="621">
        <f t="shared" ca="1" si="82"/>
        <v>222831.42188668807</v>
      </c>
      <c r="R85" s="641">
        <f t="shared" ca="1" si="83"/>
        <v>0</v>
      </c>
      <c r="S85" s="640"/>
    </row>
    <row r="86" spans="2:19">
      <c r="C86" s="625" t="s">
        <v>63</v>
      </c>
      <c r="D86" s="630">
        <f t="shared" ca="1" si="81"/>
        <v>4107.8037584932927</v>
      </c>
      <c r="E86" s="630">
        <f t="shared" ca="1" si="81"/>
        <v>4481.4690915466263</v>
      </c>
      <c r="F86" s="630">
        <f t="shared" ca="1" si="81"/>
        <v>5139.7317320103584</v>
      </c>
      <c r="G86" s="630">
        <f t="shared" ca="1" si="81"/>
        <v>5944.9235722362628</v>
      </c>
      <c r="H86" s="630">
        <f t="shared" ca="1" si="81"/>
        <v>7135.4374224081757</v>
      </c>
      <c r="I86" s="630">
        <f t="shared" ca="1" si="81"/>
        <v>8352.633130632852</v>
      </c>
      <c r="J86" s="630">
        <f t="shared" ca="1" si="81"/>
        <v>8505.9505564716401</v>
      </c>
      <c r="K86" s="630">
        <f t="shared" ca="1" si="81"/>
        <v>7354.5921264762273</v>
      </c>
      <c r="L86" s="630">
        <f t="shared" ca="1" si="81"/>
        <v>6620.3591595237713</v>
      </c>
      <c r="M86" s="630">
        <f t="shared" ca="1" si="81"/>
        <v>5900.8484837019078</v>
      </c>
      <c r="N86" s="630">
        <f t="shared" ca="1" si="81"/>
        <v>5058.8968080782333</v>
      </c>
      <c r="O86" s="630">
        <f t="shared" ca="1" si="81"/>
        <v>4616.0899419284206</v>
      </c>
      <c r="P86" s="630">
        <f ca="1">SUM(D86:O86)</f>
        <v>73218.735783507771</v>
      </c>
      <c r="Q86" s="621">
        <f t="shared" ca="1" si="82"/>
        <v>73218.735783507771</v>
      </c>
      <c r="R86" s="641">
        <f t="shared" ca="1" si="83"/>
        <v>0</v>
      </c>
      <c r="S86" s="640"/>
    </row>
    <row r="87" spans="2:19">
      <c r="C87" s="625" t="s">
        <v>64</v>
      </c>
      <c r="D87" s="630">
        <f t="shared" ca="1" si="81"/>
        <v>49774.001153240919</v>
      </c>
      <c r="E87" s="630">
        <f t="shared" ca="1" si="81"/>
        <v>49726.199599495216</v>
      </c>
      <c r="F87" s="630">
        <f t="shared" ca="1" si="81"/>
        <v>49708.595263841547</v>
      </c>
      <c r="G87" s="630">
        <f t="shared" ca="1" si="81"/>
        <v>49774.313221756165</v>
      </c>
      <c r="H87" s="630">
        <f t="shared" ca="1" si="81"/>
        <v>49913.192889522368</v>
      </c>
      <c r="I87" s="630">
        <f t="shared" ca="1" si="81"/>
        <v>49957.212907142268</v>
      </c>
      <c r="J87" s="630">
        <f t="shared" ca="1" si="81"/>
        <v>50095.514330306709</v>
      </c>
      <c r="K87" s="630">
        <f t="shared" ca="1" si="81"/>
        <v>50153.724286884149</v>
      </c>
      <c r="L87" s="630">
        <f t="shared" ca="1" si="81"/>
        <v>50179.726936991989</v>
      </c>
      <c r="M87" s="630">
        <f t="shared" ca="1" si="81"/>
        <v>50452.300428080023</v>
      </c>
      <c r="N87" s="630">
        <f t="shared" ca="1" si="81"/>
        <v>50433.108214392938</v>
      </c>
      <c r="O87" s="630">
        <f t="shared" ca="1" si="81"/>
        <v>50272.539784817767</v>
      </c>
      <c r="P87" s="630">
        <f ca="1">SUM(D87:O87)</f>
        <v>600440.42901647207</v>
      </c>
      <c r="Q87" s="621">
        <f t="shared" ca="1" si="82"/>
        <v>600440.42901647196</v>
      </c>
      <c r="R87" s="641">
        <f t="shared" ca="1" si="83"/>
        <v>0</v>
      </c>
      <c r="S87" s="640"/>
    </row>
    <row r="88" spans="2:19">
      <c r="C88" s="625" t="s">
        <v>65</v>
      </c>
      <c r="D88" s="630">
        <f t="shared" ca="1" si="81"/>
        <v>18266.710255739759</v>
      </c>
      <c r="E88" s="630">
        <f t="shared" ca="1" si="81"/>
        <v>18266.710255739759</v>
      </c>
      <c r="F88" s="630">
        <f t="shared" ca="1" si="81"/>
        <v>18266.710255739759</v>
      </c>
      <c r="G88" s="630">
        <f t="shared" ca="1" si="81"/>
        <v>18266.710255739759</v>
      </c>
      <c r="H88" s="630">
        <f t="shared" ca="1" si="81"/>
        <v>18266.710255739759</v>
      </c>
      <c r="I88" s="630">
        <f t="shared" ca="1" si="81"/>
        <v>18240.8544614038</v>
      </c>
      <c r="J88" s="630">
        <f t="shared" ca="1" si="81"/>
        <v>18223.351089093299</v>
      </c>
      <c r="K88" s="630">
        <f t="shared" ca="1" si="81"/>
        <v>18202.451677058165</v>
      </c>
      <c r="L88" s="630">
        <f t="shared" ca="1" si="81"/>
        <v>18194.310360204774</v>
      </c>
      <c r="M88" s="630">
        <f t="shared" ca="1" si="81"/>
        <v>18193.043729172343</v>
      </c>
      <c r="N88" s="630">
        <f t="shared" ca="1" si="81"/>
        <v>18180.772093734933</v>
      </c>
      <c r="O88" s="630">
        <f t="shared" ca="1" si="81"/>
        <v>18256.659813851977</v>
      </c>
      <c r="P88" s="630">
        <f ca="1">SUM(D88:O88)</f>
        <v>218824.9945032181</v>
      </c>
      <c r="Q88" s="621">
        <f t="shared" ca="1" si="82"/>
        <v>218824.99450321807</v>
      </c>
      <c r="R88" s="641">
        <f t="shared" ca="1" si="83"/>
        <v>0</v>
      </c>
      <c r="S88" s="640"/>
    </row>
    <row r="89" spans="2:19">
      <c r="B89" t="s">
        <v>583</v>
      </c>
      <c r="D89" s="642">
        <f t="shared" ref="D89:P89" ca="1" si="84">SUM(D84:D88)</f>
        <v>94687.021186464059</v>
      </c>
      <c r="E89" s="642">
        <f t="shared" ca="1" si="84"/>
        <v>95012.582075742204</v>
      </c>
      <c r="F89" s="642">
        <f t="shared" ca="1" si="84"/>
        <v>95654.25001398391</v>
      </c>
      <c r="G89" s="642">
        <f t="shared" ca="1" si="84"/>
        <v>96525.618736411547</v>
      </c>
      <c r="H89" s="642">
        <f t="shared" ca="1" si="84"/>
        <v>97862.694646915945</v>
      </c>
      <c r="I89" s="642">
        <f t="shared" ca="1" si="84"/>
        <v>99113.144008984833</v>
      </c>
      <c r="J89" s="642">
        <f t="shared" ca="1" si="84"/>
        <v>99364.78137409476</v>
      </c>
      <c r="K89" s="642">
        <f t="shared" ca="1" si="84"/>
        <v>98142.032681996017</v>
      </c>
      <c r="L89" s="642">
        <f t="shared" ca="1" si="84"/>
        <v>97419.24528676417</v>
      </c>
      <c r="M89" s="642">
        <f t="shared" ca="1" si="84"/>
        <v>96866.62701719391</v>
      </c>
      <c r="N89" s="642">
        <f t="shared" ca="1" si="84"/>
        <v>95885.960886547371</v>
      </c>
      <c r="O89" s="642">
        <f t="shared" ca="1" si="84"/>
        <v>95420.942084901282</v>
      </c>
      <c r="P89" s="642">
        <f t="shared" ca="1" si="84"/>
        <v>1161954.8999999999</v>
      </c>
      <c r="Q89" s="621">
        <f t="shared" ca="1" si="82"/>
        <v>1161954.8999999999</v>
      </c>
      <c r="R89" s="641">
        <f t="shared" ca="1" si="83"/>
        <v>0</v>
      </c>
      <c r="S89" s="640"/>
    </row>
    <row r="90" spans="2:19">
      <c r="D90" s="630"/>
      <c r="E90" s="630"/>
      <c r="F90" s="630"/>
      <c r="G90" s="630"/>
      <c r="H90" s="630"/>
      <c r="I90" s="630"/>
      <c r="J90" s="630"/>
      <c r="K90" s="630"/>
      <c r="L90" s="630"/>
      <c r="M90" s="630"/>
      <c r="N90" s="630"/>
      <c r="O90" s="630"/>
      <c r="P90" s="643" t="s">
        <v>31</v>
      </c>
      <c r="S90" s="640"/>
    </row>
    <row r="91" spans="2:19">
      <c r="C91" s="625" t="s">
        <v>9</v>
      </c>
      <c r="D91" s="630">
        <f t="shared" ref="D91:O91" ca="1" si="85">D58+D68+D78+D82+D89</f>
        <v>23550505.75616568</v>
      </c>
      <c r="E91" s="630">
        <f t="shared" ca="1" si="85"/>
        <v>23453054.078116179</v>
      </c>
      <c r="F91" s="630">
        <f t="shared" ca="1" si="85"/>
        <v>24452120.122582801</v>
      </c>
      <c r="G91" s="630">
        <f t="shared" ca="1" si="85"/>
        <v>22588341.521605462</v>
      </c>
      <c r="H91" s="630">
        <f t="shared" ca="1" si="85"/>
        <v>26527538.218182869</v>
      </c>
      <c r="I91" s="630">
        <f t="shared" ca="1" si="85"/>
        <v>29724436.032903176</v>
      </c>
      <c r="J91" s="630">
        <f t="shared" ca="1" si="85"/>
        <v>30850104.924001627</v>
      </c>
      <c r="K91" s="630">
        <f t="shared" ca="1" si="85"/>
        <v>28281574.783604402</v>
      </c>
      <c r="L91" s="630">
        <f t="shared" ca="1" si="85"/>
        <v>24849366.780604307</v>
      </c>
      <c r="M91" s="630">
        <f t="shared" ca="1" si="85"/>
        <v>22833240.247606404</v>
      </c>
      <c r="N91" s="630">
        <f t="shared" ca="1" si="85"/>
        <v>20380322.530117273</v>
      </c>
      <c r="O91" s="630">
        <f t="shared" ca="1" si="85"/>
        <v>21740054.679510061</v>
      </c>
      <c r="P91" s="630">
        <f ca="1">SUM(D91:O91)</f>
        <v>299230659.67500025</v>
      </c>
      <c r="Q91" s="624">
        <f ca="1">AE44</f>
        <v>299100533.31500018</v>
      </c>
      <c r="R91" s="641">
        <f ca="1">Q91-P91</f>
        <v>-130126.36000007391</v>
      </c>
      <c r="S91" s="640"/>
    </row>
    <row r="92" spans="2:19">
      <c r="D92" s="630"/>
      <c r="E92" s="630"/>
      <c r="F92" s="630"/>
      <c r="G92" s="630"/>
      <c r="H92" s="630"/>
      <c r="I92" s="630"/>
      <c r="J92" s="630"/>
      <c r="K92" s="630"/>
      <c r="L92" s="630"/>
      <c r="M92" s="630"/>
      <c r="N92" s="630"/>
      <c r="O92" s="630"/>
      <c r="P92" s="630"/>
      <c r="Q92" s="639"/>
      <c r="S92" s="640"/>
    </row>
    <row r="93" spans="2:19">
      <c r="D93" s="644"/>
      <c r="E93" s="644"/>
      <c r="F93" s="644"/>
      <c r="G93" s="644"/>
      <c r="H93" s="644"/>
      <c r="I93" s="644"/>
      <c r="J93" s="644"/>
      <c r="K93" s="644"/>
      <c r="L93" s="644"/>
      <c r="M93" s="644"/>
      <c r="N93" s="644"/>
      <c r="O93" s="644"/>
      <c r="P93" s="644"/>
    </row>
  </sheetData>
  <phoneticPr fontId="28" type="noConversion"/>
  <printOptions horizontalCentered="1"/>
  <pageMargins left="0.25" right="0.25" top="0.5" bottom="0.3" header="0.5" footer="0.25"/>
  <pageSetup scale="53" fitToWidth="2" fitToHeight="2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46" max="16383" man="1"/>
  </rowBreaks>
  <colBreaks count="1" manualBreakCount="1">
    <brk id="16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L170"/>
  <sheetViews>
    <sheetView zoomScale="70" zoomScaleNormal="70" workbookViewId="0">
      <pane xSplit="2" ySplit="6" topLeftCell="C7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RowHeight="15.75"/>
  <cols>
    <col min="1" max="1" width="8.875" style="4" bestFit="1" customWidth="1"/>
    <col min="2" max="2" width="18.625" style="742" customWidth="1"/>
    <col min="3" max="3" width="21.625" style="4" customWidth="1"/>
    <col min="4" max="4" width="55.125" style="4" customWidth="1"/>
    <col min="5" max="5" width="19" style="4" customWidth="1"/>
    <col min="6" max="6" width="15.875" style="4" customWidth="1"/>
    <col min="7" max="7" width="15.875" style="4" hidden="1" customWidth="1"/>
    <col min="8" max="8" width="17.625" style="4" customWidth="1"/>
    <col min="9" max="9" width="20.125" style="4" customWidth="1"/>
    <col min="10" max="10" width="16" style="4" customWidth="1"/>
    <col min="11" max="11" width="9" style="4"/>
    <col min="12" max="12" width="15.125" style="4" bestFit="1" customWidth="1"/>
    <col min="13" max="16384" width="9" style="4"/>
  </cols>
  <sheetData>
    <row r="2" spans="1:10">
      <c r="B2" s="4" t="s">
        <v>779</v>
      </c>
    </row>
    <row r="3" spans="1:10">
      <c r="B3" s="4" t="s">
        <v>780</v>
      </c>
    </row>
    <row r="4" spans="1:10">
      <c r="B4" s="4" t="s">
        <v>781</v>
      </c>
    </row>
    <row r="5" spans="1:10">
      <c r="A5" s="4" t="s">
        <v>235</v>
      </c>
      <c r="B5" s="742" t="s">
        <v>236</v>
      </c>
      <c r="C5" s="911" t="s">
        <v>811</v>
      </c>
      <c r="D5" s="103"/>
      <c r="E5" s="103"/>
      <c r="F5" s="103"/>
      <c r="G5" s="103"/>
      <c r="H5" s="103"/>
      <c r="I5" s="103"/>
      <c r="J5" s="104"/>
    </row>
    <row r="6" spans="1:10">
      <c r="A6" s="4" t="s">
        <v>180</v>
      </c>
      <c r="B6" s="742" t="s">
        <v>32</v>
      </c>
      <c r="C6" s="897" t="s">
        <v>99</v>
      </c>
      <c r="D6" s="7" t="s">
        <v>100</v>
      </c>
      <c r="E6" s="7"/>
      <c r="F6" s="7" t="s">
        <v>101</v>
      </c>
      <c r="G6" s="7"/>
      <c r="H6" s="7" t="s">
        <v>25</v>
      </c>
      <c r="I6" s="7" t="s">
        <v>1</v>
      </c>
      <c r="J6" s="7" t="s">
        <v>103</v>
      </c>
    </row>
    <row r="7" spans="1:10" hidden="1">
      <c r="A7" s="912" t="s">
        <v>154</v>
      </c>
      <c r="B7" s="912" t="s">
        <v>154</v>
      </c>
      <c r="C7" s="897" t="s">
        <v>105</v>
      </c>
      <c r="D7" s="913" t="s">
        <v>123</v>
      </c>
      <c r="E7" s="913"/>
      <c r="F7" s="7" t="s">
        <v>724</v>
      </c>
      <c r="G7" s="7"/>
      <c r="H7" s="914">
        <v>-3660000</v>
      </c>
      <c r="I7" s="915">
        <v>-311000</v>
      </c>
      <c r="J7" s="914">
        <v>0</v>
      </c>
    </row>
    <row r="8" spans="1:10" hidden="1">
      <c r="A8" s="912" t="s">
        <v>152</v>
      </c>
      <c r="B8" s="912" t="s">
        <v>152</v>
      </c>
      <c r="C8" s="897"/>
      <c r="D8" s="913" t="s">
        <v>120</v>
      </c>
      <c r="E8" s="913"/>
      <c r="F8" s="7" t="s">
        <v>4</v>
      </c>
      <c r="G8" s="7"/>
      <c r="H8" s="914">
        <v>0</v>
      </c>
      <c r="I8" s="915">
        <v>31359.52</v>
      </c>
      <c r="J8" s="914">
        <v>0</v>
      </c>
    </row>
    <row r="9" spans="1:10">
      <c r="A9" s="912" t="s">
        <v>696</v>
      </c>
      <c r="B9" s="912" t="s">
        <v>696</v>
      </c>
      <c r="C9" s="897"/>
      <c r="D9" s="913" t="s">
        <v>692</v>
      </c>
      <c r="E9" s="151" t="str">
        <f t="shared" ref="E9:E14" si="0">LEFT(D9,10)</f>
        <v>SMUD REVEN</v>
      </c>
      <c r="F9" s="7" t="s">
        <v>725</v>
      </c>
      <c r="G9" s="7"/>
      <c r="H9" s="914">
        <v>0</v>
      </c>
      <c r="I9" s="915">
        <v>129297.5</v>
      </c>
      <c r="J9" s="914">
        <v>0</v>
      </c>
    </row>
    <row r="10" spans="1:10">
      <c r="A10" s="916" t="s">
        <v>695</v>
      </c>
      <c r="B10" s="916" t="s">
        <v>695</v>
      </c>
      <c r="C10" s="897"/>
      <c r="D10" s="913" t="s">
        <v>782</v>
      </c>
      <c r="E10" s="151" t="str">
        <f t="shared" si="0"/>
        <v>REVENUE AD</v>
      </c>
      <c r="F10" s="7" t="s">
        <v>725</v>
      </c>
      <c r="G10" s="7"/>
      <c r="H10" s="914">
        <v>0</v>
      </c>
      <c r="I10" s="915">
        <v>-1982102.8</v>
      </c>
      <c r="J10" s="914">
        <v>0</v>
      </c>
    </row>
    <row r="11" spans="1:10">
      <c r="A11" s="916" t="s">
        <v>783</v>
      </c>
      <c r="B11" s="916" t="s">
        <v>783</v>
      </c>
      <c r="C11" s="897"/>
      <c r="D11" s="913" t="s">
        <v>693</v>
      </c>
      <c r="E11" s="151" t="str">
        <f t="shared" si="0"/>
        <v>WASHINGTON</v>
      </c>
      <c r="F11" s="7" t="s">
        <v>725</v>
      </c>
      <c r="G11" s="7"/>
      <c r="H11" s="914">
        <v>0</v>
      </c>
      <c r="I11" s="915">
        <v>-1020000</v>
      </c>
      <c r="J11" s="914">
        <v>0</v>
      </c>
    </row>
    <row r="12" spans="1:10">
      <c r="A12" s="916" t="s">
        <v>236</v>
      </c>
      <c r="B12" s="916" t="s">
        <v>236</v>
      </c>
      <c r="C12" s="897"/>
      <c r="D12" s="913" t="s">
        <v>722</v>
      </c>
      <c r="E12" s="151" t="str">
        <f t="shared" si="0"/>
        <v>REVENUE_AC</v>
      </c>
      <c r="F12" s="7" t="s">
        <v>725</v>
      </c>
      <c r="G12" s="7"/>
      <c r="H12" s="914">
        <v>0</v>
      </c>
      <c r="I12" s="915">
        <v>-2768532.36</v>
      </c>
      <c r="J12" s="914">
        <v>0</v>
      </c>
    </row>
    <row r="13" spans="1:10">
      <c r="A13" s="912" t="s">
        <v>784</v>
      </c>
      <c r="B13" s="912" t="s">
        <v>784</v>
      </c>
      <c r="C13" s="897"/>
      <c r="D13" s="913" t="s">
        <v>785</v>
      </c>
      <c r="E13" s="151" t="str">
        <f t="shared" si="0"/>
        <v>301270-DSM</v>
      </c>
      <c r="F13" s="7" t="s">
        <v>725</v>
      </c>
      <c r="G13" s="7"/>
      <c r="H13" s="914">
        <v>0</v>
      </c>
      <c r="I13" s="915">
        <v>1458629.44</v>
      </c>
      <c r="J13" s="914">
        <v>0</v>
      </c>
    </row>
    <row r="14" spans="1:10">
      <c r="A14" s="912" t="s">
        <v>786</v>
      </c>
      <c r="B14" s="912" t="s">
        <v>786</v>
      </c>
      <c r="C14" s="897"/>
      <c r="D14" s="913" t="s">
        <v>787</v>
      </c>
      <c r="E14" s="151" t="str">
        <f t="shared" si="0"/>
        <v>301280-BLU</v>
      </c>
      <c r="F14" s="7" t="s">
        <v>725</v>
      </c>
      <c r="G14" s="7"/>
      <c r="H14" s="914">
        <v>0</v>
      </c>
      <c r="I14" s="915">
        <v>3554.13</v>
      </c>
      <c r="J14" s="914">
        <v>2.1666666666666701</v>
      </c>
    </row>
    <row r="15" spans="1:10">
      <c r="A15" s="912">
        <v>24</v>
      </c>
      <c r="B15" s="912">
        <v>24</v>
      </c>
      <c r="C15" s="897"/>
      <c r="D15" s="913" t="s">
        <v>106</v>
      </c>
      <c r="E15" s="151" t="str">
        <f>LEFT(D15,10)</f>
        <v>02GNSV0024</v>
      </c>
      <c r="F15" s="7" t="s">
        <v>725</v>
      </c>
      <c r="G15" s="7"/>
      <c r="H15" s="914">
        <v>481254567</v>
      </c>
      <c r="I15" s="915">
        <v>40874590.469999999</v>
      </c>
      <c r="J15" s="914">
        <v>14575.083333333299</v>
      </c>
    </row>
    <row r="16" spans="1:10">
      <c r="A16" s="912" t="s">
        <v>149</v>
      </c>
      <c r="B16" s="912" t="s">
        <v>149</v>
      </c>
      <c r="C16" s="897"/>
      <c r="D16" s="913" t="s">
        <v>107</v>
      </c>
      <c r="E16" s="151" t="str">
        <f t="shared" ref="E16:E29" si="1">LEFT(D16,10)</f>
        <v>02GNSV024F</v>
      </c>
      <c r="F16" s="7" t="s">
        <v>725</v>
      </c>
      <c r="G16" s="7"/>
      <c r="H16" s="914">
        <v>1114181</v>
      </c>
      <c r="I16" s="915">
        <v>140260.67000000001</v>
      </c>
      <c r="J16" s="914">
        <v>111.25</v>
      </c>
    </row>
    <row r="17" spans="1:10">
      <c r="A17" s="912">
        <v>36</v>
      </c>
      <c r="B17" s="912">
        <v>36</v>
      </c>
      <c r="C17" s="897"/>
      <c r="D17" s="913" t="s">
        <v>108</v>
      </c>
      <c r="E17" s="151" t="str">
        <f t="shared" si="1"/>
        <v>02LGSV0036</v>
      </c>
      <c r="F17" s="7" t="s">
        <v>725</v>
      </c>
      <c r="G17" s="7"/>
      <c r="H17" s="914">
        <v>670959890</v>
      </c>
      <c r="I17" s="915">
        <v>48522714.439999998</v>
      </c>
      <c r="J17" s="914">
        <v>807.08333333333303</v>
      </c>
    </row>
    <row r="18" spans="1:10">
      <c r="A18" s="912" t="s">
        <v>156</v>
      </c>
      <c r="B18" s="912" t="s">
        <v>156</v>
      </c>
      <c r="C18" s="897"/>
      <c r="D18" s="913" t="s">
        <v>109</v>
      </c>
      <c r="E18" s="151" t="str">
        <f t="shared" si="1"/>
        <v>02LGSV048T</v>
      </c>
      <c r="F18" s="7" t="s">
        <v>725</v>
      </c>
      <c r="G18" s="7"/>
      <c r="H18" s="914">
        <v>141713341</v>
      </c>
      <c r="I18" s="915">
        <v>9243532.3200000003</v>
      </c>
      <c r="J18" s="914">
        <v>26.25</v>
      </c>
    </row>
    <row r="19" spans="1:10">
      <c r="A19" s="912" t="s">
        <v>150</v>
      </c>
      <c r="B19" s="912" t="s">
        <v>150</v>
      </c>
      <c r="C19" s="897"/>
      <c r="D19" s="913" t="s">
        <v>110</v>
      </c>
      <c r="E19" s="151" t="str">
        <f t="shared" si="1"/>
        <v>02LNX00102</v>
      </c>
      <c r="F19" s="7" t="s">
        <v>725</v>
      </c>
      <c r="G19" s="7"/>
      <c r="H19" s="914">
        <v>0</v>
      </c>
      <c r="I19" s="915">
        <v>162488.87</v>
      </c>
      <c r="J19" s="914"/>
    </row>
    <row r="20" spans="1:10">
      <c r="A20" s="912" t="s">
        <v>150</v>
      </c>
      <c r="B20" s="912" t="s">
        <v>150</v>
      </c>
      <c r="C20" s="897"/>
      <c r="D20" s="913" t="s">
        <v>111</v>
      </c>
      <c r="E20" s="151" t="str">
        <f t="shared" si="1"/>
        <v>02LNX00103</v>
      </c>
      <c r="F20" s="7" t="s">
        <v>725</v>
      </c>
      <c r="G20" s="7"/>
      <c r="H20" s="914">
        <v>0</v>
      </c>
      <c r="I20" s="915">
        <v>23474.26</v>
      </c>
      <c r="J20" s="914"/>
    </row>
    <row r="21" spans="1:10">
      <c r="A21" s="912" t="s">
        <v>150</v>
      </c>
      <c r="B21" s="912" t="s">
        <v>150</v>
      </c>
      <c r="C21" s="897"/>
      <c r="D21" s="913" t="s">
        <v>112</v>
      </c>
      <c r="E21" s="151" t="str">
        <f t="shared" si="1"/>
        <v>02LNX00105</v>
      </c>
      <c r="F21" s="7" t="s">
        <v>725</v>
      </c>
      <c r="G21" s="7"/>
      <c r="H21" s="914">
        <v>0</v>
      </c>
      <c r="I21" s="915">
        <v>1247.4000000000001</v>
      </c>
      <c r="J21" s="914"/>
    </row>
    <row r="22" spans="1:10">
      <c r="A22" s="912" t="s">
        <v>150</v>
      </c>
      <c r="B22" s="912" t="s">
        <v>150</v>
      </c>
      <c r="C22" s="897"/>
      <c r="D22" s="913" t="s">
        <v>113</v>
      </c>
      <c r="E22" s="151" t="str">
        <f t="shared" si="1"/>
        <v>02LNX00109</v>
      </c>
      <c r="F22" s="7" t="s">
        <v>725</v>
      </c>
      <c r="G22" s="7"/>
      <c r="H22" s="914">
        <v>0</v>
      </c>
      <c r="I22" s="915">
        <v>94068.83</v>
      </c>
      <c r="J22" s="914"/>
    </row>
    <row r="23" spans="1:10">
      <c r="A23" s="912" t="s">
        <v>150</v>
      </c>
      <c r="B23" s="912" t="s">
        <v>150</v>
      </c>
      <c r="C23" s="897"/>
      <c r="D23" s="913" t="s">
        <v>114</v>
      </c>
      <c r="E23" s="151" t="str">
        <f t="shared" si="1"/>
        <v>02LNX00110</v>
      </c>
      <c r="F23" s="7" t="s">
        <v>725</v>
      </c>
      <c r="G23" s="7"/>
      <c r="H23" s="914">
        <v>0</v>
      </c>
      <c r="I23" s="915">
        <v>8587.75</v>
      </c>
      <c r="J23" s="914"/>
    </row>
    <row r="24" spans="1:10">
      <c r="A24" s="912" t="s">
        <v>150</v>
      </c>
      <c r="B24" s="912" t="s">
        <v>150</v>
      </c>
      <c r="C24" s="897"/>
      <c r="D24" s="913" t="s">
        <v>115</v>
      </c>
      <c r="E24" s="151" t="str">
        <f t="shared" si="1"/>
        <v>02LNX00112</v>
      </c>
      <c r="F24" s="7" t="s">
        <v>725</v>
      </c>
      <c r="G24" s="7"/>
      <c r="H24" s="914">
        <v>0</v>
      </c>
      <c r="I24" s="915">
        <v>651.88</v>
      </c>
      <c r="J24" s="914"/>
    </row>
    <row r="25" spans="1:10">
      <c r="A25" s="912" t="s">
        <v>151</v>
      </c>
      <c r="B25" s="912" t="s">
        <v>151</v>
      </c>
      <c r="C25" s="897"/>
      <c r="D25" s="913" t="s">
        <v>116</v>
      </c>
      <c r="E25" s="151" t="str">
        <f t="shared" si="1"/>
        <v>02OALT015N</v>
      </c>
      <c r="F25" s="7" t="s">
        <v>725</v>
      </c>
      <c r="G25" s="7"/>
      <c r="H25" s="914">
        <v>1639696</v>
      </c>
      <c r="I25" s="915">
        <v>227026.45</v>
      </c>
      <c r="J25" s="914">
        <v>849.41666666666697</v>
      </c>
    </row>
    <row r="26" spans="1:10">
      <c r="A26" s="912">
        <v>54</v>
      </c>
      <c r="B26" s="912">
        <v>54</v>
      </c>
      <c r="C26" s="897"/>
      <c r="D26" s="913" t="s">
        <v>117</v>
      </c>
      <c r="E26" s="151" t="str">
        <f t="shared" si="1"/>
        <v>02RCFL0054</v>
      </c>
      <c r="F26" s="7" t="s">
        <v>725</v>
      </c>
      <c r="G26" s="7"/>
      <c r="H26" s="914">
        <v>282514</v>
      </c>
      <c r="I26" s="915">
        <v>25692.84</v>
      </c>
      <c r="J26" s="914">
        <v>29.25</v>
      </c>
    </row>
    <row r="27" spans="1:10">
      <c r="A27" s="912" t="s">
        <v>150</v>
      </c>
      <c r="B27" s="912" t="s">
        <v>150</v>
      </c>
      <c r="C27" s="897"/>
      <c r="D27" s="913" t="s">
        <v>205</v>
      </c>
      <c r="E27" s="151" t="str">
        <f t="shared" si="1"/>
        <v>02LNX00300</v>
      </c>
      <c r="F27" s="7" t="s">
        <v>725</v>
      </c>
      <c r="G27" s="7"/>
      <c r="H27" s="914">
        <v>0</v>
      </c>
      <c r="I27" s="915">
        <v>14883</v>
      </c>
      <c r="J27" s="914"/>
    </row>
    <row r="28" spans="1:10">
      <c r="A28" s="912">
        <v>24</v>
      </c>
      <c r="B28" s="912">
        <v>24</v>
      </c>
      <c r="C28" s="897"/>
      <c r="D28" s="913" t="s">
        <v>217</v>
      </c>
      <c r="E28" s="151" t="str">
        <f t="shared" si="1"/>
        <v>02NMT24135</v>
      </c>
      <c r="F28" s="7" t="s">
        <v>725</v>
      </c>
      <c r="G28" s="7"/>
      <c r="H28" s="914">
        <v>435783</v>
      </c>
      <c r="I28" s="915">
        <v>37584.519999999997</v>
      </c>
      <c r="J28" s="914">
        <v>5.75</v>
      </c>
    </row>
    <row r="29" spans="1:10">
      <c r="A29" s="916">
        <v>24</v>
      </c>
      <c r="B29" s="916">
        <v>24</v>
      </c>
      <c r="C29" s="897"/>
      <c r="D29" s="913" t="s">
        <v>222</v>
      </c>
      <c r="E29" s="151" t="str">
        <f t="shared" si="1"/>
        <v>02GNSB0024</v>
      </c>
      <c r="F29" s="7" t="s">
        <v>725</v>
      </c>
      <c r="G29" s="7"/>
      <c r="H29" s="914">
        <v>41032264</v>
      </c>
      <c r="I29" s="915">
        <v>3785732.38</v>
      </c>
      <c r="J29" s="914">
        <v>3112.6666666666702</v>
      </c>
    </row>
    <row r="30" spans="1:10" hidden="1">
      <c r="A30" s="912" t="s">
        <v>242</v>
      </c>
      <c r="B30" s="912">
        <v>24</v>
      </c>
      <c r="C30" s="897"/>
      <c r="D30" s="913" t="s">
        <v>228</v>
      </c>
      <c r="E30" s="913"/>
      <c r="F30" s="7" t="s">
        <v>4</v>
      </c>
      <c r="G30" s="7"/>
      <c r="H30" s="914">
        <v>41033843</v>
      </c>
      <c r="I30" s="915">
        <v>-173487.68</v>
      </c>
      <c r="J30" s="914">
        <v>3112.6666666666702</v>
      </c>
    </row>
    <row r="31" spans="1:10">
      <c r="A31" s="912" t="s">
        <v>157</v>
      </c>
      <c r="B31" s="912" t="s">
        <v>157</v>
      </c>
      <c r="C31" s="897"/>
      <c r="D31" s="913" t="s">
        <v>223</v>
      </c>
      <c r="E31" s="151" t="str">
        <f>LEFT(D31,10)</f>
        <v>02GNSB24FP</v>
      </c>
      <c r="F31" s="7" t="s">
        <v>725</v>
      </c>
      <c r="G31" s="7"/>
      <c r="H31" s="914">
        <v>351175</v>
      </c>
      <c r="I31" s="915">
        <v>102482.64</v>
      </c>
      <c r="J31" s="914">
        <v>87.5833333333333</v>
      </c>
    </row>
    <row r="32" spans="1:10" hidden="1">
      <c r="A32" s="912" t="s">
        <v>181</v>
      </c>
      <c r="B32" s="912" t="s">
        <v>157</v>
      </c>
      <c r="C32" s="897"/>
      <c r="D32" s="913" t="s">
        <v>229</v>
      </c>
      <c r="E32" s="913"/>
      <c r="F32" s="7" t="s">
        <v>4</v>
      </c>
      <c r="G32" s="7"/>
      <c r="H32" s="914">
        <v>351138</v>
      </c>
      <c r="I32" s="915">
        <v>-1455.66</v>
      </c>
      <c r="J32" s="914">
        <v>87.5833333333333</v>
      </c>
    </row>
    <row r="33" spans="1:12">
      <c r="A33" s="912">
        <v>36</v>
      </c>
      <c r="B33" s="912">
        <v>36</v>
      </c>
      <c r="C33" s="897"/>
      <c r="D33" s="913" t="s">
        <v>232</v>
      </c>
      <c r="E33" s="151" t="str">
        <f>LEFT(D33,10)</f>
        <v>02LGSB0036</v>
      </c>
      <c r="F33" s="7" t="s">
        <v>725</v>
      </c>
      <c r="G33" s="7"/>
      <c r="H33" s="914">
        <v>81286362</v>
      </c>
      <c r="I33" s="915">
        <v>5749940.3600000003</v>
      </c>
      <c r="J33" s="914">
        <v>99.8333333333333</v>
      </c>
    </row>
    <row r="34" spans="1:12" hidden="1">
      <c r="A34" s="912" t="s">
        <v>238</v>
      </c>
      <c r="B34" s="912">
        <v>36</v>
      </c>
      <c r="C34" s="897"/>
      <c r="D34" s="913" t="s">
        <v>225</v>
      </c>
      <c r="E34" s="913"/>
      <c r="F34" s="7" t="s">
        <v>4</v>
      </c>
      <c r="G34" s="7"/>
      <c r="H34" s="914">
        <v>81189396</v>
      </c>
      <c r="I34" s="915">
        <v>-342173.13</v>
      </c>
      <c r="J34" s="914">
        <v>99.8333333333333</v>
      </c>
    </row>
    <row r="35" spans="1:12">
      <c r="A35" s="912" t="s">
        <v>151</v>
      </c>
      <c r="B35" s="912" t="s">
        <v>151</v>
      </c>
      <c r="C35" s="897"/>
      <c r="D35" s="913" t="s">
        <v>230</v>
      </c>
      <c r="E35" s="151" t="str">
        <f>LEFT(D35,10)</f>
        <v>02OALTB15N</v>
      </c>
      <c r="F35" s="7" t="s">
        <v>725</v>
      </c>
      <c r="G35" s="7"/>
      <c r="H35" s="914">
        <v>590363</v>
      </c>
      <c r="I35" s="915">
        <v>87817.11</v>
      </c>
      <c r="J35" s="914">
        <v>518.83333333333303</v>
      </c>
    </row>
    <row r="36" spans="1:12" hidden="1">
      <c r="A36" s="912" t="s">
        <v>239</v>
      </c>
      <c r="B36" s="912" t="s">
        <v>151</v>
      </c>
      <c r="C36" s="897"/>
      <c r="D36" s="913" t="s">
        <v>226</v>
      </c>
      <c r="E36" s="913"/>
      <c r="F36" s="7" t="s">
        <v>4</v>
      </c>
      <c r="G36" s="7"/>
      <c r="H36" s="914">
        <v>590364</v>
      </c>
      <c r="I36" s="915">
        <v>-2493.2199999999998</v>
      </c>
      <c r="J36" s="914"/>
    </row>
    <row r="37" spans="1:12">
      <c r="A37" s="912" t="s">
        <v>149</v>
      </c>
      <c r="B37" s="912" t="s">
        <v>149</v>
      </c>
      <c r="C37" s="897"/>
      <c r="D37" s="913" t="s">
        <v>231</v>
      </c>
      <c r="E37" s="151" t="str">
        <f>LEFT(D37,10)</f>
        <v>02GNSB024F</v>
      </c>
      <c r="F37" s="7" t="s">
        <v>725</v>
      </c>
      <c r="G37" s="7"/>
      <c r="H37" s="914">
        <v>154284</v>
      </c>
      <c r="I37" s="915">
        <v>18109.759999999998</v>
      </c>
      <c r="J37" s="914">
        <v>6</v>
      </c>
    </row>
    <row r="38" spans="1:12" hidden="1">
      <c r="A38" s="912" t="s">
        <v>237</v>
      </c>
      <c r="B38" s="912" t="s">
        <v>149</v>
      </c>
      <c r="C38" s="897"/>
      <c r="D38" s="913" t="s">
        <v>221</v>
      </c>
      <c r="E38" s="913"/>
      <c r="F38" s="7" t="s">
        <v>4</v>
      </c>
      <c r="G38" s="7"/>
      <c r="H38" s="914">
        <v>864</v>
      </c>
      <c r="I38" s="915">
        <v>-3.69</v>
      </c>
      <c r="J38" s="914">
        <v>1</v>
      </c>
    </row>
    <row r="39" spans="1:12">
      <c r="A39" s="912" t="s">
        <v>150</v>
      </c>
      <c r="B39" s="912" t="s">
        <v>150</v>
      </c>
      <c r="C39" s="897"/>
      <c r="D39" s="913" t="s">
        <v>245</v>
      </c>
      <c r="E39" s="151" t="str">
        <f t="shared" ref="E39:E42" si="2">LEFT(D39,10)</f>
        <v>02LNX00311</v>
      </c>
      <c r="F39" s="7" t="s">
        <v>725</v>
      </c>
      <c r="G39" s="7"/>
      <c r="H39" s="914">
        <v>0</v>
      </c>
      <c r="I39" s="915">
        <v>50891.81</v>
      </c>
      <c r="J39" s="914"/>
    </row>
    <row r="40" spans="1:12">
      <c r="A40" s="912" t="s">
        <v>150</v>
      </c>
      <c r="B40" s="912" t="s">
        <v>150</v>
      </c>
      <c r="C40" s="897"/>
      <c r="D40" s="913" t="s">
        <v>246</v>
      </c>
      <c r="E40" s="151" t="str">
        <f t="shared" si="2"/>
        <v>02LNX00310</v>
      </c>
      <c r="F40" s="7" t="s">
        <v>725</v>
      </c>
      <c r="G40" s="7"/>
      <c r="H40" s="914">
        <v>0</v>
      </c>
      <c r="I40" s="915">
        <v>-2421.79</v>
      </c>
      <c r="J40" s="914"/>
    </row>
    <row r="41" spans="1:12">
      <c r="A41" s="912" t="s">
        <v>150</v>
      </c>
      <c r="B41" s="912" t="s">
        <v>150</v>
      </c>
      <c r="C41" s="897"/>
      <c r="D41" s="913" t="s">
        <v>247</v>
      </c>
      <c r="E41" s="151" t="str">
        <f t="shared" si="2"/>
        <v>02LNX00312</v>
      </c>
      <c r="F41" s="7" t="s">
        <v>725</v>
      </c>
      <c r="G41" s="7"/>
      <c r="H41" s="914">
        <v>0</v>
      </c>
      <c r="I41" s="915">
        <v>3976.36</v>
      </c>
      <c r="J41" s="914"/>
    </row>
    <row r="42" spans="1:12">
      <c r="A42" s="912">
        <v>36</v>
      </c>
      <c r="B42" s="912">
        <v>36</v>
      </c>
      <c r="C42" s="897"/>
      <c r="D42" s="913" t="s">
        <v>691</v>
      </c>
      <c r="E42" s="151" t="str">
        <f t="shared" si="2"/>
        <v>02NMT36135</v>
      </c>
      <c r="F42" s="7" t="s">
        <v>725</v>
      </c>
      <c r="G42" s="7"/>
      <c r="H42" s="914">
        <v>99360</v>
      </c>
      <c r="I42" s="915">
        <v>11103.2</v>
      </c>
      <c r="J42" s="914">
        <v>1</v>
      </c>
    </row>
    <row r="43" spans="1:12" hidden="1">
      <c r="A43" s="912" t="s">
        <v>242</v>
      </c>
      <c r="B43" s="912">
        <v>24</v>
      </c>
      <c r="C43" s="897"/>
      <c r="D43" s="913" t="s">
        <v>788</v>
      </c>
      <c r="E43" s="913"/>
      <c r="F43" s="7" t="s">
        <v>4</v>
      </c>
      <c r="G43" s="7"/>
      <c r="H43" s="914">
        <v>1344</v>
      </c>
      <c r="I43" s="915">
        <v>-5.54</v>
      </c>
      <c r="J43" s="914">
        <v>1</v>
      </c>
    </row>
    <row r="44" spans="1:12">
      <c r="A44" s="912"/>
      <c r="B44" s="912"/>
      <c r="C44" s="897"/>
      <c r="D44" s="913" t="s">
        <v>122</v>
      </c>
      <c r="E44" s="151" t="str">
        <f>LEFT(D44,10)</f>
        <v>CUSTOMER C</v>
      </c>
      <c r="F44" s="7" t="s">
        <v>725</v>
      </c>
      <c r="G44" s="7"/>
      <c r="H44" s="914"/>
      <c r="I44" s="915"/>
      <c r="J44" s="914">
        <v>0</v>
      </c>
    </row>
    <row r="45" spans="1:12" hidden="1">
      <c r="A45" s="912"/>
      <c r="B45" s="912"/>
      <c r="C45" s="897"/>
      <c r="D45" s="913" t="s">
        <v>121</v>
      </c>
      <c r="E45" s="913"/>
      <c r="F45" s="7" t="s">
        <v>4</v>
      </c>
      <c r="G45" s="7"/>
      <c r="H45" s="914"/>
      <c r="I45" s="915"/>
      <c r="J45" s="914">
        <v>0</v>
      </c>
    </row>
    <row r="46" spans="1:12" hidden="1">
      <c r="A46" s="742"/>
      <c r="C46" s="897"/>
      <c r="D46" s="913"/>
      <c r="E46" s="913"/>
      <c r="F46" s="5"/>
      <c r="G46" s="5"/>
      <c r="H46" s="914"/>
      <c r="I46" s="915"/>
      <c r="J46" s="914"/>
    </row>
    <row r="47" spans="1:12" hidden="1">
      <c r="A47" s="742"/>
      <c r="C47" s="897" t="s">
        <v>105</v>
      </c>
      <c r="D47" s="912"/>
      <c r="E47" s="912"/>
      <c r="F47" s="7"/>
      <c r="G47" s="7"/>
      <c r="H47" s="917">
        <f>SUM(H7:H44)-H8-H30-H32-H34-H36-H38-H43</f>
        <v>1417253780</v>
      </c>
      <c r="I47" s="918">
        <f>SUM(I7:I45)</f>
        <v>104206022.03999999</v>
      </c>
      <c r="J47" s="917">
        <f>SUM(J7:J44)-J8-J30-J32-J34-J36-J38-J43</f>
        <v>20232.166666666635</v>
      </c>
      <c r="L47" s="4">
        <f>J47/12</f>
        <v>1686.0138888888862</v>
      </c>
    </row>
    <row r="48" spans="1:12" hidden="1">
      <c r="A48" s="742"/>
      <c r="C48" s="897"/>
      <c r="D48" s="912"/>
      <c r="E48" s="912"/>
      <c r="F48" s="7"/>
      <c r="G48" s="7"/>
      <c r="H48" s="917"/>
      <c r="I48" s="918"/>
      <c r="J48" s="917"/>
    </row>
    <row r="49" spans="1:10" hidden="1">
      <c r="A49" s="742"/>
      <c r="C49" s="897"/>
      <c r="D49" s="7"/>
      <c r="E49" s="7"/>
      <c r="F49" s="7"/>
      <c r="G49" s="7"/>
      <c r="H49" s="781"/>
      <c r="I49" s="781"/>
      <c r="J49" s="109"/>
    </row>
    <row r="50" spans="1:10" hidden="1">
      <c r="A50" s="742"/>
      <c r="C50" s="897" t="s">
        <v>99</v>
      </c>
      <c r="D50" s="7" t="s">
        <v>100</v>
      </c>
      <c r="E50" s="7"/>
      <c r="F50" s="7" t="s">
        <v>101</v>
      </c>
      <c r="G50" s="7"/>
      <c r="H50" s="32" t="s">
        <v>102</v>
      </c>
      <c r="I50" s="110" t="s">
        <v>1</v>
      </c>
      <c r="J50" s="32" t="s">
        <v>103</v>
      </c>
    </row>
    <row r="51" spans="1:10" hidden="1">
      <c r="A51" s="742" t="s">
        <v>154</v>
      </c>
      <c r="B51" s="919" t="s">
        <v>154</v>
      </c>
      <c r="C51" s="897" t="s">
        <v>125</v>
      </c>
      <c r="D51" s="913" t="s">
        <v>123</v>
      </c>
      <c r="E51" s="913"/>
      <c r="F51" s="7" t="s">
        <v>724</v>
      </c>
      <c r="G51" s="7"/>
      <c r="H51" s="914">
        <v>11112000</v>
      </c>
      <c r="I51" s="915">
        <v>782000</v>
      </c>
      <c r="J51" s="914">
        <v>0</v>
      </c>
    </row>
    <row r="52" spans="1:10" hidden="1">
      <c r="A52" s="742" t="s">
        <v>152</v>
      </c>
      <c r="B52" s="919" t="s">
        <v>152</v>
      </c>
      <c r="C52" s="897"/>
      <c r="D52" s="913" t="s">
        <v>120</v>
      </c>
      <c r="E52" s="913"/>
      <c r="F52" s="7" t="s">
        <v>4</v>
      </c>
      <c r="G52" s="7"/>
      <c r="H52" s="914">
        <v>0</v>
      </c>
      <c r="I52" s="915">
        <v>876.09</v>
      </c>
      <c r="J52" s="914">
        <v>0</v>
      </c>
    </row>
    <row r="53" spans="1:10">
      <c r="A53" s="742" t="s">
        <v>696</v>
      </c>
      <c r="B53" s="919" t="s">
        <v>696</v>
      </c>
      <c r="C53" s="897"/>
      <c r="D53" s="913" t="s">
        <v>692</v>
      </c>
      <c r="E53" s="151" t="str">
        <f t="shared" ref="E53:E64" si="3">LEFT(D53,10)</f>
        <v>SMUD REVEN</v>
      </c>
      <c r="F53" s="7" t="s">
        <v>725</v>
      </c>
      <c r="G53" s="7"/>
      <c r="H53" s="914">
        <v>0</v>
      </c>
      <c r="I53" s="915">
        <v>73835.13</v>
      </c>
      <c r="J53" s="914">
        <v>0</v>
      </c>
    </row>
    <row r="54" spans="1:10">
      <c r="A54" s="742" t="s">
        <v>695</v>
      </c>
      <c r="B54" s="919" t="s">
        <v>236</v>
      </c>
      <c r="C54" s="897"/>
      <c r="D54" s="913" t="s">
        <v>782</v>
      </c>
      <c r="E54" s="151" t="str">
        <f t="shared" si="3"/>
        <v>REVENUE AD</v>
      </c>
      <c r="F54" s="7" t="s">
        <v>725</v>
      </c>
      <c r="G54" s="7"/>
      <c r="H54" s="914">
        <v>0</v>
      </c>
      <c r="I54" s="915">
        <v>-1042308.89</v>
      </c>
      <c r="J54" s="914">
        <v>0</v>
      </c>
    </row>
    <row r="55" spans="1:10">
      <c r="A55" s="742" t="s">
        <v>783</v>
      </c>
      <c r="B55" s="919" t="s">
        <v>783</v>
      </c>
      <c r="C55" s="897"/>
      <c r="D55" s="913" t="s">
        <v>693</v>
      </c>
      <c r="E55" s="151" t="str">
        <f t="shared" si="3"/>
        <v>WASHINGTON</v>
      </c>
      <c r="F55" s="7" t="s">
        <v>725</v>
      </c>
      <c r="G55" s="7"/>
      <c r="H55" s="914">
        <v>0</v>
      </c>
      <c r="I55" s="915">
        <v>-510000</v>
      </c>
      <c r="J55" s="914">
        <v>0</v>
      </c>
    </row>
    <row r="56" spans="1:10">
      <c r="A56" s="742" t="s">
        <v>236</v>
      </c>
      <c r="B56" s="919" t="s">
        <v>236</v>
      </c>
      <c r="C56" s="897"/>
      <c r="D56" s="913" t="s">
        <v>722</v>
      </c>
      <c r="E56" s="151" t="str">
        <f t="shared" si="3"/>
        <v>REVENUE_AC</v>
      </c>
      <c r="F56" s="7" t="s">
        <v>725</v>
      </c>
      <c r="G56" s="7"/>
      <c r="H56" s="914">
        <v>0</v>
      </c>
      <c r="I56" s="915">
        <v>-1249236.8700000001</v>
      </c>
      <c r="J56" s="914">
        <v>0</v>
      </c>
    </row>
    <row r="57" spans="1:10">
      <c r="A57" s="742" t="s">
        <v>784</v>
      </c>
      <c r="B57" s="919" t="s">
        <v>784</v>
      </c>
      <c r="C57" s="897"/>
      <c r="D57" s="913" t="s">
        <v>789</v>
      </c>
      <c r="E57" s="151" t="str">
        <f t="shared" si="3"/>
        <v>301370-DSM</v>
      </c>
      <c r="F57" s="7" t="s">
        <v>725</v>
      </c>
      <c r="G57" s="7"/>
      <c r="H57" s="914">
        <v>0</v>
      </c>
      <c r="I57" s="915">
        <v>647525.55000000005</v>
      </c>
      <c r="J57" s="914">
        <v>0</v>
      </c>
    </row>
    <row r="58" spans="1:10">
      <c r="A58" s="742">
        <v>24</v>
      </c>
      <c r="B58" s="919">
        <v>24</v>
      </c>
      <c r="C58" s="897"/>
      <c r="D58" s="913" t="s">
        <v>106</v>
      </c>
      <c r="E58" s="151" t="str">
        <f t="shared" si="3"/>
        <v>02GNSV0024</v>
      </c>
      <c r="F58" s="7" t="s">
        <v>725</v>
      </c>
      <c r="G58" s="7"/>
      <c r="H58" s="914">
        <v>15410488</v>
      </c>
      <c r="I58" s="915">
        <v>1337378.47</v>
      </c>
      <c r="J58" s="914">
        <v>356.08333333333297</v>
      </c>
    </row>
    <row r="59" spans="1:10">
      <c r="A59" s="742" t="s">
        <v>149</v>
      </c>
      <c r="B59" s="919" t="s">
        <v>149</v>
      </c>
      <c r="C59" s="897"/>
      <c r="D59" s="913" t="s">
        <v>107</v>
      </c>
      <c r="E59" s="151" t="str">
        <f t="shared" si="3"/>
        <v>02GNSV024F</v>
      </c>
      <c r="F59" s="7" t="s">
        <v>725</v>
      </c>
      <c r="G59" s="7"/>
      <c r="H59" s="914">
        <v>33313</v>
      </c>
      <c r="I59" s="915">
        <v>7749.11</v>
      </c>
      <c r="J59" s="914">
        <v>4</v>
      </c>
    </row>
    <row r="60" spans="1:10">
      <c r="A60" s="742">
        <v>36</v>
      </c>
      <c r="B60" s="919">
        <v>36</v>
      </c>
      <c r="C60" s="897"/>
      <c r="D60" s="913" t="s">
        <v>108</v>
      </c>
      <c r="E60" s="151" t="str">
        <f t="shared" si="3"/>
        <v>02LGSV0036</v>
      </c>
      <c r="F60" s="7" t="s">
        <v>725</v>
      </c>
      <c r="G60" s="7"/>
      <c r="H60" s="914">
        <v>105916423</v>
      </c>
      <c r="I60" s="915">
        <v>7921812.5899999999</v>
      </c>
      <c r="J60" s="914">
        <v>113.583333333333</v>
      </c>
    </row>
    <row r="61" spans="1:10">
      <c r="A61" s="742" t="s">
        <v>155</v>
      </c>
      <c r="B61" s="919" t="s">
        <v>155</v>
      </c>
      <c r="C61" s="897"/>
      <c r="D61" s="913" t="s">
        <v>109</v>
      </c>
      <c r="E61" s="151" t="str">
        <f t="shared" si="3"/>
        <v>02LGSV048T</v>
      </c>
      <c r="F61" s="7" t="s">
        <v>725</v>
      </c>
      <c r="G61" s="7"/>
      <c r="H61" s="914">
        <v>681024352</v>
      </c>
      <c r="I61" s="915">
        <v>39284020.719999999</v>
      </c>
      <c r="J61" s="914">
        <v>32.9166666666667</v>
      </c>
    </row>
    <row r="62" spans="1:10">
      <c r="A62" s="742" t="s">
        <v>151</v>
      </c>
      <c r="B62" s="919" t="s">
        <v>151</v>
      </c>
      <c r="C62" s="897"/>
      <c r="D62" s="913" t="s">
        <v>116</v>
      </c>
      <c r="E62" s="151" t="str">
        <f t="shared" si="3"/>
        <v>02OALT015N</v>
      </c>
      <c r="F62" s="7" t="s">
        <v>725</v>
      </c>
      <c r="G62" s="7"/>
      <c r="H62" s="914">
        <v>121710</v>
      </c>
      <c r="I62" s="915">
        <v>15816.21</v>
      </c>
      <c r="J62" s="914">
        <v>41.5833333333333</v>
      </c>
    </row>
    <row r="63" spans="1:10">
      <c r="A63" s="742">
        <v>47</v>
      </c>
      <c r="B63" s="919">
        <v>47</v>
      </c>
      <c r="C63" s="897"/>
      <c r="D63" s="913" t="s">
        <v>127</v>
      </c>
      <c r="E63" s="151" t="str">
        <f t="shared" si="3"/>
        <v>02PRSV47TM</v>
      </c>
      <c r="F63" s="7" t="s">
        <v>725</v>
      </c>
      <c r="G63" s="7"/>
      <c r="H63" s="914">
        <v>1706000</v>
      </c>
      <c r="I63" s="915">
        <v>283827.84999999998</v>
      </c>
      <c r="J63" s="914">
        <v>1</v>
      </c>
    </row>
    <row r="64" spans="1:10">
      <c r="A64" s="742">
        <v>24</v>
      </c>
      <c r="B64" s="919">
        <v>24</v>
      </c>
      <c r="C64" s="897"/>
      <c r="D64" s="913" t="s">
        <v>222</v>
      </c>
      <c r="E64" s="151" t="str">
        <f t="shared" si="3"/>
        <v>02GNSB0024</v>
      </c>
      <c r="F64" s="7" t="s">
        <v>725</v>
      </c>
      <c r="G64" s="7"/>
      <c r="H64" s="914">
        <v>1964209</v>
      </c>
      <c r="I64" s="915">
        <v>185386.08</v>
      </c>
      <c r="J64" s="914">
        <v>96.25</v>
      </c>
    </row>
    <row r="65" spans="1:10" hidden="1">
      <c r="A65" s="742" t="s">
        <v>242</v>
      </c>
      <c r="B65" s="919">
        <v>24</v>
      </c>
      <c r="C65" s="897"/>
      <c r="D65" s="913" t="s">
        <v>228</v>
      </c>
      <c r="E65" s="913"/>
      <c r="F65" s="7" t="s">
        <v>4</v>
      </c>
      <c r="G65" s="7"/>
      <c r="H65" s="914">
        <v>1964193</v>
      </c>
      <c r="I65" s="915">
        <v>-8340.52</v>
      </c>
      <c r="J65" s="914">
        <v>96.25</v>
      </c>
    </row>
    <row r="66" spans="1:10">
      <c r="A66" s="742" t="s">
        <v>157</v>
      </c>
      <c r="B66" s="919" t="s">
        <v>157</v>
      </c>
      <c r="C66" s="897"/>
      <c r="D66" s="913" t="s">
        <v>223</v>
      </c>
      <c r="E66" s="151" t="str">
        <f>LEFT(D66,10)</f>
        <v>02GNSB24FP</v>
      </c>
      <c r="F66" s="7" t="s">
        <v>725</v>
      </c>
      <c r="G66" s="7"/>
      <c r="H66" s="914">
        <v>6067</v>
      </c>
      <c r="I66" s="915">
        <v>2317.81</v>
      </c>
      <c r="J66" s="914">
        <v>1</v>
      </c>
    </row>
    <row r="67" spans="1:10" hidden="1">
      <c r="A67" s="742" t="s">
        <v>181</v>
      </c>
      <c r="B67" s="919" t="s">
        <v>157</v>
      </c>
      <c r="C67" s="897"/>
      <c r="D67" s="913" t="s">
        <v>229</v>
      </c>
      <c r="E67" s="913"/>
      <c r="F67" s="7" t="s">
        <v>4</v>
      </c>
      <c r="G67" s="7"/>
      <c r="H67" s="914">
        <v>6067</v>
      </c>
      <c r="I67" s="915">
        <v>-25.91</v>
      </c>
      <c r="J67" s="914">
        <v>1</v>
      </c>
    </row>
    <row r="68" spans="1:10">
      <c r="A68" s="742">
        <v>36</v>
      </c>
      <c r="B68" s="919">
        <v>36</v>
      </c>
      <c r="C68" s="897"/>
      <c r="D68" s="913" t="s">
        <v>232</v>
      </c>
      <c r="E68" s="151" t="str">
        <f>LEFT(D68,10)</f>
        <v>02LGSB0036</v>
      </c>
      <c r="F68" s="7" t="s">
        <v>725</v>
      </c>
      <c r="G68" s="7"/>
      <c r="H68" s="914">
        <v>3292161</v>
      </c>
      <c r="I68" s="915">
        <v>388546.39</v>
      </c>
      <c r="J68" s="914">
        <v>24.5</v>
      </c>
    </row>
    <row r="69" spans="1:10" hidden="1">
      <c r="A69" s="742" t="s">
        <v>238</v>
      </c>
      <c r="B69" s="919">
        <v>36</v>
      </c>
      <c r="C69" s="897"/>
      <c r="D69" s="913" t="s">
        <v>225</v>
      </c>
      <c r="E69" s="913"/>
      <c r="F69" s="7" t="s">
        <v>4</v>
      </c>
      <c r="G69" s="7"/>
      <c r="H69" s="914">
        <v>3292161</v>
      </c>
      <c r="I69" s="915">
        <v>-14345.65</v>
      </c>
      <c r="J69" s="914">
        <v>24.5</v>
      </c>
    </row>
    <row r="70" spans="1:10">
      <c r="A70" s="742" t="s">
        <v>151</v>
      </c>
      <c r="B70" s="919" t="s">
        <v>151</v>
      </c>
      <c r="C70" s="897"/>
      <c r="D70" s="913" t="s">
        <v>230</v>
      </c>
      <c r="E70" s="151" t="str">
        <f>LEFT(D70,10)</f>
        <v>02OALTB15N</v>
      </c>
      <c r="F70" s="7" t="s">
        <v>725</v>
      </c>
      <c r="G70" s="7"/>
      <c r="H70" s="914">
        <v>28575</v>
      </c>
      <c r="I70" s="915">
        <v>4236.83</v>
      </c>
      <c r="J70" s="914">
        <v>16</v>
      </c>
    </row>
    <row r="71" spans="1:10" hidden="1">
      <c r="A71" s="742" t="s">
        <v>239</v>
      </c>
      <c r="B71" s="919" t="s">
        <v>151</v>
      </c>
      <c r="C71" s="897"/>
      <c r="D71" s="913" t="s">
        <v>226</v>
      </c>
      <c r="E71" s="913"/>
      <c r="F71" s="7" t="s">
        <v>4</v>
      </c>
      <c r="G71" s="7"/>
      <c r="H71" s="914">
        <v>28574</v>
      </c>
      <c r="I71" s="915">
        <v>-120.67</v>
      </c>
      <c r="J71" s="914"/>
    </row>
    <row r="72" spans="1:10">
      <c r="A72" s="742"/>
      <c r="B72" s="919"/>
      <c r="C72" s="897"/>
      <c r="D72" s="913" t="s">
        <v>122</v>
      </c>
      <c r="E72" s="151" t="str">
        <f>LEFT(D72,10)</f>
        <v>CUSTOMER C</v>
      </c>
      <c r="F72" s="7" t="s">
        <v>725</v>
      </c>
      <c r="G72" s="7"/>
      <c r="H72" s="914"/>
      <c r="I72" s="915"/>
      <c r="J72" s="914">
        <v>0</v>
      </c>
    </row>
    <row r="73" spans="1:10" hidden="1">
      <c r="A73" s="742"/>
      <c r="B73" s="919"/>
      <c r="C73" s="897"/>
      <c r="D73" s="920" t="s">
        <v>121</v>
      </c>
      <c r="E73" s="920"/>
      <c r="F73" s="7" t="s">
        <v>4</v>
      </c>
      <c r="G73" s="7"/>
      <c r="H73" s="914"/>
      <c r="I73" s="915"/>
      <c r="J73" s="914">
        <v>0</v>
      </c>
    </row>
    <row r="74" spans="1:10" hidden="1">
      <c r="A74" s="742"/>
      <c r="C74" s="897" t="s">
        <v>125</v>
      </c>
      <c r="F74" s="111" t="s">
        <v>124</v>
      </c>
      <c r="G74" s="111"/>
      <c r="H74" s="107">
        <f>SUM(H51:H71)-H52-H65-H67-H69-H71</f>
        <v>820615298</v>
      </c>
      <c r="I74" s="921">
        <f>SUM(I51:I71)</f>
        <v>48110950.32</v>
      </c>
      <c r="J74" s="107">
        <f>SUM(J51:J72)-J52-J65-J67-J69-J71</f>
        <v>686.91666666666595</v>
      </c>
    </row>
    <row r="75" spans="1:10" hidden="1">
      <c r="A75" s="742"/>
      <c r="C75" s="897"/>
      <c r="D75" s="7"/>
      <c r="E75" s="7"/>
      <c r="F75" s="111"/>
      <c r="G75" s="111"/>
      <c r="H75" s="107"/>
      <c r="I75" s="921"/>
      <c r="J75" s="107"/>
    </row>
    <row r="76" spans="1:10" hidden="1">
      <c r="A76" s="742"/>
      <c r="C76" s="897" t="s">
        <v>99</v>
      </c>
      <c r="D76" s="7" t="s">
        <v>100</v>
      </c>
      <c r="E76" s="7"/>
      <c r="F76" s="7" t="s">
        <v>101</v>
      </c>
      <c r="G76" s="7"/>
      <c r="H76" s="32" t="s">
        <v>102</v>
      </c>
      <c r="I76" s="110" t="s">
        <v>1</v>
      </c>
      <c r="J76" s="7" t="s">
        <v>103</v>
      </c>
    </row>
    <row r="77" spans="1:10" hidden="1">
      <c r="A77" s="742" t="s">
        <v>154</v>
      </c>
      <c r="B77" s="742" t="s">
        <v>154</v>
      </c>
      <c r="C77" s="897" t="s">
        <v>128</v>
      </c>
      <c r="D77" s="913" t="s">
        <v>135</v>
      </c>
      <c r="E77" s="913"/>
      <c r="F77" s="7" t="s">
        <v>724</v>
      </c>
      <c r="G77" s="7"/>
      <c r="H77" s="914">
        <v>2355000</v>
      </c>
      <c r="I77" s="915">
        <v>288000</v>
      </c>
      <c r="J77" s="914">
        <v>0</v>
      </c>
    </row>
    <row r="78" spans="1:10" hidden="1">
      <c r="A78" s="742" t="s">
        <v>152</v>
      </c>
      <c r="B78" s="742" t="s">
        <v>152</v>
      </c>
      <c r="C78" s="897"/>
      <c r="D78" s="913" t="s">
        <v>134</v>
      </c>
      <c r="E78" s="913"/>
      <c r="F78" s="7" t="s">
        <v>4</v>
      </c>
      <c r="G78" s="7"/>
      <c r="H78" s="914">
        <v>0</v>
      </c>
      <c r="I78" s="915">
        <v>10775.84</v>
      </c>
      <c r="J78" s="914">
        <v>0</v>
      </c>
    </row>
    <row r="79" spans="1:10">
      <c r="A79" s="742" t="s">
        <v>783</v>
      </c>
      <c r="B79" s="742" t="s">
        <v>783</v>
      </c>
      <c r="C79" s="897"/>
      <c r="D79" s="913" t="s">
        <v>693</v>
      </c>
      <c r="E79" s="151" t="str">
        <f t="shared" ref="E79:E84" si="4">LEFT(D79,10)</f>
        <v>WASHINGTON</v>
      </c>
      <c r="F79" s="7" t="s">
        <v>725</v>
      </c>
      <c r="G79" s="7"/>
      <c r="H79" s="914">
        <v>0</v>
      </c>
      <c r="I79" s="915">
        <v>-120000</v>
      </c>
      <c r="J79" s="914">
        <v>0</v>
      </c>
    </row>
    <row r="80" spans="1:10">
      <c r="A80" s="742" t="s">
        <v>790</v>
      </c>
      <c r="B80" s="742" t="s">
        <v>790</v>
      </c>
      <c r="C80" s="897"/>
      <c r="D80" s="913" t="s">
        <v>723</v>
      </c>
      <c r="E80" s="151" t="str">
        <f t="shared" si="4"/>
        <v>301461-IRR</v>
      </c>
      <c r="F80" s="7" t="s">
        <v>725</v>
      </c>
      <c r="G80" s="7"/>
      <c r="H80" s="914">
        <v>0</v>
      </c>
      <c r="I80" s="915">
        <v>13900</v>
      </c>
      <c r="J80" s="914">
        <v>0</v>
      </c>
    </row>
    <row r="81" spans="1:10">
      <c r="A81" s="742" t="s">
        <v>236</v>
      </c>
      <c r="B81" s="742" t="s">
        <v>236</v>
      </c>
      <c r="C81" s="897"/>
      <c r="D81" s="913" t="s">
        <v>722</v>
      </c>
      <c r="E81" s="151" t="str">
        <f t="shared" si="4"/>
        <v>REVENUE_AC</v>
      </c>
      <c r="F81" s="7" t="s">
        <v>725</v>
      </c>
      <c r="G81" s="7"/>
      <c r="H81" s="914">
        <v>0</v>
      </c>
      <c r="I81" s="915">
        <v>-309344.53999999998</v>
      </c>
      <c r="J81" s="914">
        <v>0</v>
      </c>
    </row>
    <row r="82" spans="1:10">
      <c r="A82" s="742" t="s">
        <v>784</v>
      </c>
      <c r="B82" s="742" t="s">
        <v>784</v>
      </c>
      <c r="C82" s="897"/>
      <c r="D82" s="913" t="s">
        <v>791</v>
      </c>
      <c r="E82" s="151" t="str">
        <f t="shared" si="4"/>
        <v>301470-DSM</v>
      </c>
      <c r="F82" s="7" t="s">
        <v>725</v>
      </c>
      <c r="G82" s="7"/>
      <c r="H82" s="914">
        <v>0</v>
      </c>
      <c r="I82" s="915">
        <v>48833.39</v>
      </c>
      <c r="J82" s="914">
        <v>0</v>
      </c>
    </row>
    <row r="83" spans="1:10">
      <c r="A83" s="742" t="s">
        <v>786</v>
      </c>
      <c r="B83" s="742" t="s">
        <v>786</v>
      </c>
      <c r="C83" s="897"/>
      <c r="D83" s="913" t="s">
        <v>792</v>
      </c>
      <c r="E83" s="151" t="str">
        <f t="shared" si="4"/>
        <v>301480-BLU</v>
      </c>
      <c r="F83" s="7" t="s">
        <v>725</v>
      </c>
      <c r="G83" s="7"/>
      <c r="H83" s="914">
        <v>0</v>
      </c>
      <c r="I83" s="915">
        <v>17.55</v>
      </c>
      <c r="J83" s="914">
        <v>0.75</v>
      </c>
    </row>
    <row r="84" spans="1:10">
      <c r="A84" s="742">
        <v>40</v>
      </c>
      <c r="B84" s="742">
        <v>40</v>
      </c>
      <c r="C84" s="897"/>
      <c r="D84" s="913" t="s">
        <v>129</v>
      </c>
      <c r="E84" s="151" t="str">
        <f t="shared" si="4"/>
        <v>02APSV0040</v>
      </c>
      <c r="F84" s="7" t="s">
        <v>725</v>
      </c>
      <c r="G84" s="7"/>
      <c r="H84" s="914">
        <v>146674202</v>
      </c>
      <c r="I84" s="915">
        <v>11905721.35</v>
      </c>
      <c r="J84" s="914">
        <v>5077.25</v>
      </c>
    </row>
    <row r="85" spans="1:10" hidden="1">
      <c r="A85" s="742" t="s">
        <v>182</v>
      </c>
      <c r="B85" s="742">
        <v>40</v>
      </c>
      <c r="C85" s="897"/>
      <c r="D85" s="913" t="s">
        <v>129</v>
      </c>
      <c r="E85" s="913"/>
      <c r="F85" s="7" t="s">
        <v>4</v>
      </c>
      <c r="G85" s="7"/>
      <c r="H85" s="914">
        <v>146672975</v>
      </c>
      <c r="I85" s="915">
        <v>-635379.06000000006</v>
      </c>
      <c r="J85" s="914">
        <v>5077.25</v>
      </c>
    </row>
    <row r="86" spans="1:10">
      <c r="A86" s="742" t="s">
        <v>158</v>
      </c>
      <c r="B86" s="742" t="s">
        <v>158</v>
      </c>
      <c r="C86" s="897"/>
      <c r="D86" s="913" t="s">
        <v>130</v>
      </c>
      <c r="E86" s="151" t="str">
        <f t="shared" ref="E86:E90" si="5">LEFT(D86,10)</f>
        <v>02APSV040X</v>
      </c>
      <c r="F86" s="7" t="s">
        <v>725</v>
      </c>
      <c r="G86" s="7"/>
      <c r="H86" s="914">
        <v>5321277</v>
      </c>
      <c r="I86" s="915">
        <v>429129.75</v>
      </c>
      <c r="J86" s="914">
        <v>187.833333333333</v>
      </c>
    </row>
    <row r="87" spans="1:10">
      <c r="A87" s="742" t="s">
        <v>150</v>
      </c>
      <c r="B87" s="742" t="s">
        <v>150</v>
      </c>
      <c r="C87" s="897"/>
      <c r="D87" s="913" t="s">
        <v>111</v>
      </c>
      <c r="E87" s="151" t="str">
        <f t="shared" si="5"/>
        <v>02LNX00103</v>
      </c>
      <c r="F87" s="7" t="s">
        <v>725</v>
      </c>
      <c r="G87" s="7"/>
      <c r="H87" s="914">
        <v>0</v>
      </c>
      <c r="I87" s="915">
        <v>4611.76</v>
      </c>
      <c r="J87" s="914"/>
    </row>
    <row r="88" spans="1:10">
      <c r="A88" s="742" t="s">
        <v>150</v>
      </c>
      <c r="B88" s="742" t="s">
        <v>150</v>
      </c>
      <c r="C88" s="897"/>
      <c r="D88" s="913" t="s">
        <v>112</v>
      </c>
      <c r="E88" s="151" t="str">
        <f t="shared" si="5"/>
        <v>02LNX00105</v>
      </c>
      <c r="F88" s="7" t="s">
        <v>725</v>
      </c>
      <c r="G88" s="7"/>
      <c r="H88" s="914">
        <v>0</v>
      </c>
      <c r="I88" s="915">
        <v>79.69</v>
      </c>
      <c r="J88" s="914"/>
    </row>
    <row r="89" spans="1:10">
      <c r="A89" s="742" t="s">
        <v>150</v>
      </c>
      <c r="B89" s="742" t="s">
        <v>150</v>
      </c>
      <c r="C89" s="897"/>
      <c r="D89" s="913" t="s">
        <v>113</v>
      </c>
      <c r="E89" s="151" t="str">
        <f t="shared" si="5"/>
        <v>02LNX00109</v>
      </c>
      <c r="F89" s="7" t="s">
        <v>725</v>
      </c>
      <c r="G89" s="7"/>
      <c r="H89" s="914">
        <v>0</v>
      </c>
      <c r="I89" s="915">
        <v>1483.16</v>
      </c>
      <c r="J89" s="914"/>
    </row>
    <row r="90" spans="1:10">
      <c r="A90" s="742" t="s">
        <v>150</v>
      </c>
      <c r="B90" s="742" t="s">
        <v>150</v>
      </c>
      <c r="C90" s="897"/>
      <c r="D90" s="913" t="s">
        <v>114</v>
      </c>
      <c r="E90" s="151" t="str">
        <f t="shared" si="5"/>
        <v>02LNX00110</v>
      </c>
      <c r="F90" s="7" t="s">
        <v>725</v>
      </c>
      <c r="G90" s="7"/>
      <c r="H90" s="914">
        <v>0</v>
      </c>
      <c r="I90" s="915">
        <v>155685.06</v>
      </c>
      <c r="J90" s="914"/>
    </row>
    <row r="91" spans="1:10" hidden="1">
      <c r="A91" s="742" t="s">
        <v>793</v>
      </c>
      <c r="B91" s="742" t="s">
        <v>727</v>
      </c>
      <c r="C91" s="897"/>
      <c r="D91" s="913" t="s">
        <v>131</v>
      </c>
      <c r="E91" s="913"/>
      <c r="F91" s="7" t="s">
        <v>4</v>
      </c>
      <c r="G91" s="7"/>
      <c r="H91" s="914">
        <v>-5322072</v>
      </c>
      <c r="I91" s="915">
        <v>23118.48</v>
      </c>
      <c r="J91" s="914"/>
    </row>
    <row r="92" spans="1:10">
      <c r="A92" s="742" t="s">
        <v>150</v>
      </c>
      <c r="B92" s="742" t="s">
        <v>150</v>
      </c>
      <c r="C92" s="897"/>
      <c r="D92" s="913" t="s">
        <v>245</v>
      </c>
      <c r="E92" s="151" t="str">
        <f t="shared" ref="E92:E95" si="6">LEFT(D92,10)</f>
        <v>02LNX00311</v>
      </c>
      <c r="F92" s="7" t="s">
        <v>725</v>
      </c>
      <c r="G92" s="7"/>
      <c r="H92" s="914">
        <v>0</v>
      </c>
      <c r="I92" s="915">
        <v>896.33</v>
      </c>
      <c r="J92" s="914"/>
    </row>
    <row r="93" spans="1:10">
      <c r="A93" s="742" t="s">
        <v>150</v>
      </c>
      <c r="B93" s="742" t="s">
        <v>150</v>
      </c>
      <c r="C93" s="897"/>
      <c r="D93" s="913" t="s">
        <v>246</v>
      </c>
      <c r="E93" s="151" t="str">
        <f t="shared" si="6"/>
        <v>02LNX00310</v>
      </c>
      <c r="F93" s="7" t="s">
        <v>725</v>
      </c>
      <c r="G93" s="7"/>
      <c r="H93" s="914">
        <v>0</v>
      </c>
      <c r="I93" s="915">
        <v>2330.88</v>
      </c>
      <c r="J93" s="914"/>
    </row>
    <row r="94" spans="1:10">
      <c r="A94" s="742" t="s">
        <v>150</v>
      </c>
      <c r="B94" s="742" t="s">
        <v>150</v>
      </c>
      <c r="C94" s="897"/>
      <c r="D94" s="913" t="s">
        <v>247</v>
      </c>
      <c r="E94" s="151" t="str">
        <f t="shared" si="6"/>
        <v>02LNX00312</v>
      </c>
      <c r="F94" s="7" t="s">
        <v>725</v>
      </c>
      <c r="G94" s="7"/>
      <c r="H94" s="914">
        <v>0</v>
      </c>
      <c r="I94" s="915">
        <v>21667.040000000001</v>
      </c>
      <c r="J94" s="914"/>
    </row>
    <row r="95" spans="1:10">
      <c r="A95" s="742"/>
      <c r="D95" s="913" t="s">
        <v>132</v>
      </c>
      <c r="E95" s="151" t="str">
        <f t="shared" si="6"/>
        <v>CUSTOMER C</v>
      </c>
      <c r="F95" s="7" t="s">
        <v>725</v>
      </c>
      <c r="G95" s="7"/>
      <c r="J95" s="4">
        <v>0</v>
      </c>
    </row>
    <row r="96" spans="1:10" hidden="1">
      <c r="A96" s="742"/>
      <c r="D96" s="920" t="s">
        <v>133</v>
      </c>
      <c r="E96" s="920"/>
      <c r="F96" s="7" t="s">
        <v>4</v>
      </c>
      <c r="G96" s="7"/>
      <c r="H96" s="107"/>
      <c r="I96" s="921"/>
      <c r="J96" s="107">
        <v>0</v>
      </c>
    </row>
    <row r="97" spans="1:10" hidden="1">
      <c r="A97" s="742"/>
      <c r="D97" s="920"/>
      <c r="E97" s="920"/>
      <c r="F97" s="7"/>
      <c r="G97" s="7"/>
      <c r="H97" s="107"/>
      <c r="I97" s="921"/>
      <c r="J97" s="107"/>
    </row>
    <row r="98" spans="1:10" hidden="1">
      <c r="A98" s="742"/>
      <c r="C98" s="897" t="s">
        <v>128</v>
      </c>
      <c r="D98" s="920"/>
      <c r="E98" s="920"/>
      <c r="F98" s="111" t="s">
        <v>124</v>
      </c>
      <c r="G98" s="111"/>
      <c r="H98" s="107">
        <f>SUM(H77:H94)-H78-H85-H91</f>
        <v>154350479</v>
      </c>
      <c r="I98" s="921">
        <f>SUM(I77:I94)</f>
        <v>11841526.68</v>
      </c>
      <c r="J98" s="107">
        <f>SUM(J77:J94)-J78-J85-J91</f>
        <v>5265.8333333333321</v>
      </c>
    </row>
    <row r="99" spans="1:10" hidden="1">
      <c r="A99" s="742"/>
      <c r="D99" s="920"/>
      <c r="E99" s="920"/>
      <c r="F99" s="111"/>
      <c r="G99" s="111"/>
      <c r="H99" s="107"/>
      <c r="I99" s="921"/>
      <c r="J99" s="107"/>
    </row>
    <row r="100" spans="1:10" hidden="1">
      <c r="A100" s="742"/>
      <c r="C100" s="897" t="s">
        <v>99</v>
      </c>
      <c r="D100" s="7" t="s">
        <v>100</v>
      </c>
      <c r="E100" s="7"/>
      <c r="F100" s="7" t="s">
        <v>101</v>
      </c>
      <c r="G100" s="7"/>
      <c r="H100" s="32" t="s">
        <v>102</v>
      </c>
      <c r="I100" s="922" t="s">
        <v>1</v>
      </c>
      <c r="J100" s="923" t="s">
        <v>103</v>
      </c>
    </row>
    <row r="101" spans="1:10" hidden="1">
      <c r="A101" s="742" t="s">
        <v>154</v>
      </c>
      <c r="B101" s="742" t="s">
        <v>154</v>
      </c>
      <c r="C101" s="897" t="s">
        <v>136</v>
      </c>
      <c r="D101" s="913" t="s">
        <v>123</v>
      </c>
      <c r="E101" s="913"/>
      <c r="F101" s="7" t="s">
        <v>724</v>
      </c>
      <c r="G101" s="7"/>
      <c r="H101" s="914">
        <v>-899000</v>
      </c>
      <c r="I101" s="915">
        <v>-104000</v>
      </c>
      <c r="J101" s="924">
        <v>0</v>
      </c>
    </row>
    <row r="102" spans="1:10">
      <c r="A102" s="742" t="s">
        <v>783</v>
      </c>
      <c r="B102" s="742" t="s">
        <v>783</v>
      </c>
      <c r="C102" s="897"/>
      <c r="D102" s="913" t="s">
        <v>693</v>
      </c>
      <c r="E102" s="151" t="str">
        <f t="shared" ref="E102:E111" si="7">LEFT(D102,10)</f>
        <v>WASHINGTON</v>
      </c>
      <c r="F102" s="7" t="s">
        <v>725</v>
      </c>
      <c r="G102" s="7"/>
      <c r="H102" s="914">
        <v>0</v>
      </c>
      <c r="I102" s="915">
        <v>-30000</v>
      </c>
      <c r="J102" s="924">
        <v>0</v>
      </c>
    </row>
    <row r="103" spans="1:10">
      <c r="A103" s="742" t="s">
        <v>236</v>
      </c>
      <c r="B103" s="742" t="s">
        <v>236</v>
      </c>
      <c r="C103" s="897"/>
      <c r="D103" s="913" t="s">
        <v>722</v>
      </c>
      <c r="E103" s="151" t="str">
        <f t="shared" si="7"/>
        <v>REVENUE_AC</v>
      </c>
      <c r="F103" s="7" t="s">
        <v>725</v>
      </c>
      <c r="G103" s="7"/>
      <c r="H103" s="914">
        <v>0</v>
      </c>
      <c r="I103" s="915">
        <v>-14437.61</v>
      </c>
      <c r="J103" s="924">
        <v>0</v>
      </c>
    </row>
    <row r="104" spans="1:10">
      <c r="A104" s="742" t="s">
        <v>784</v>
      </c>
      <c r="B104" s="742" t="s">
        <v>784</v>
      </c>
      <c r="C104" s="897"/>
      <c r="D104" s="913" t="s">
        <v>794</v>
      </c>
      <c r="E104" s="151" t="str">
        <f t="shared" si="7"/>
        <v>301670-DSM</v>
      </c>
      <c r="F104" s="7" t="s">
        <v>725</v>
      </c>
      <c r="G104" s="7"/>
      <c r="H104" s="914">
        <v>0</v>
      </c>
      <c r="I104" s="915">
        <v>11507.96</v>
      </c>
      <c r="J104" s="924">
        <v>0</v>
      </c>
    </row>
    <row r="105" spans="1:10">
      <c r="A105" s="742" t="s">
        <v>150</v>
      </c>
      <c r="B105" s="742" t="s">
        <v>150</v>
      </c>
      <c r="C105" s="897"/>
      <c r="D105" s="913" t="s">
        <v>137</v>
      </c>
      <c r="E105" s="151" t="str">
        <f t="shared" si="7"/>
        <v>02CFR00012</v>
      </c>
      <c r="F105" s="7" t="s">
        <v>725</v>
      </c>
      <c r="G105" s="7"/>
      <c r="H105" s="914">
        <v>0</v>
      </c>
      <c r="I105" s="915">
        <v>90.84</v>
      </c>
      <c r="J105" s="924"/>
    </row>
    <row r="106" spans="1:10">
      <c r="A106" s="742">
        <v>52</v>
      </c>
      <c r="B106" s="742">
        <v>52</v>
      </c>
      <c r="C106" s="897"/>
      <c r="D106" s="913" t="s">
        <v>138</v>
      </c>
      <c r="E106" s="958" t="str">
        <f t="shared" si="7"/>
        <v>02COSL0052</v>
      </c>
      <c r="F106" s="7" t="s">
        <v>725</v>
      </c>
      <c r="G106" s="7"/>
      <c r="H106" s="914">
        <v>316726</v>
      </c>
      <c r="I106" s="915">
        <v>52215.519999999997</v>
      </c>
      <c r="J106" s="924">
        <v>17.5</v>
      </c>
    </row>
    <row r="107" spans="1:10">
      <c r="A107" s="742" t="s">
        <v>795</v>
      </c>
      <c r="B107" s="742" t="s">
        <v>795</v>
      </c>
      <c r="C107" s="897"/>
      <c r="D107" s="913" t="s">
        <v>139</v>
      </c>
      <c r="E107" s="151" t="str">
        <f t="shared" si="7"/>
        <v>02CUSL053F</v>
      </c>
      <c r="F107" s="7" t="s">
        <v>725</v>
      </c>
      <c r="G107" s="7"/>
      <c r="H107" s="914">
        <v>3282893</v>
      </c>
      <c r="I107" s="915">
        <v>236133.27</v>
      </c>
      <c r="J107" s="924">
        <v>119.5</v>
      </c>
    </row>
    <row r="108" spans="1:10">
      <c r="A108" s="742" t="s">
        <v>160</v>
      </c>
      <c r="B108" s="742" t="s">
        <v>160</v>
      </c>
      <c r="C108" s="897"/>
      <c r="D108" s="913" t="s">
        <v>140</v>
      </c>
      <c r="E108" s="151" t="str">
        <f t="shared" si="7"/>
        <v>02CUSL053M</v>
      </c>
      <c r="F108" s="7" t="s">
        <v>725</v>
      </c>
      <c r="G108" s="7"/>
      <c r="H108" s="914">
        <v>1167018</v>
      </c>
      <c r="I108" s="915">
        <v>82892.25</v>
      </c>
      <c r="J108" s="924">
        <v>100.666666666667</v>
      </c>
    </row>
    <row r="109" spans="1:10">
      <c r="A109" s="742">
        <v>51</v>
      </c>
      <c r="B109" s="742">
        <v>51</v>
      </c>
      <c r="C109" s="897"/>
      <c r="D109" s="913" t="s">
        <v>141</v>
      </c>
      <c r="E109" s="151" t="str">
        <f t="shared" si="7"/>
        <v>02HPSV0051</v>
      </c>
      <c r="F109" s="7" t="s">
        <v>725</v>
      </c>
      <c r="G109" s="7"/>
      <c r="H109" s="914">
        <v>3317369</v>
      </c>
      <c r="I109" s="915">
        <v>663184.49</v>
      </c>
      <c r="J109" s="924">
        <v>157.5</v>
      </c>
    </row>
    <row r="110" spans="1:10">
      <c r="A110" s="742">
        <v>57</v>
      </c>
      <c r="B110" s="742">
        <v>57</v>
      </c>
      <c r="C110" s="897"/>
      <c r="D110" s="913" t="s">
        <v>142</v>
      </c>
      <c r="E110" s="958" t="str">
        <f t="shared" si="7"/>
        <v>02MVSL0057</v>
      </c>
      <c r="F110" s="7" t="s">
        <v>725</v>
      </c>
      <c r="G110" s="7"/>
      <c r="H110" s="914">
        <v>1960705</v>
      </c>
      <c r="I110" s="915">
        <v>244490.19</v>
      </c>
      <c r="J110" s="924">
        <v>41.0833333333333</v>
      </c>
    </row>
    <row r="111" spans="1:10">
      <c r="A111" s="742"/>
      <c r="D111" s="7" t="s">
        <v>122</v>
      </c>
      <c r="E111" s="151" t="str">
        <f t="shared" si="7"/>
        <v>CUSTOMER C</v>
      </c>
      <c r="F111" s="7" t="s">
        <v>725</v>
      </c>
      <c r="G111" s="7"/>
      <c r="H111" s="914"/>
      <c r="I111" s="915"/>
      <c r="J111" s="924">
        <v>0</v>
      </c>
    </row>
    <row r="112" spans="1:10" hidden="1">
      <c r="C112" s="897"/>
      <c r="D112" s="7"/>
      <c r="E112" s="7"/>
      <c r="F112" s="7"/>
      <c r="G112" s="7"/>
      <c r="H112" s="914"/>
      <c r="I112" s="915"/>
      <c r="J112" s="924"/>
    </row>
    <row r="113" spans="1:10" hidden="1">
      <c r="C113" s="897" t="s">
        <v>136</v>
      </c>
      <c r="D113" s="7"/>
      <c r="E113" s="7"/>
      <c r="F113" s="111" t="s">
        <v>124</v>
      </c>
      <c r="G113" s="111"/>
      <c r="H113" s="107">
        <f>SUM(H101:H110)</f>
        <v>9145711</v>
      </c>
      <c r="I113" s="921">
        <f>SUM(I101:I110)</f>
        <v>1142076.9099999999</v>
      </c>
      <c r="J113" s="107">
        <f>SUM(J101:J110)</f>
        <v>436.25000000000028</v>
      </c>
    </row>
    <row r="114" spans="1:10" hidden="1">
      <c r="C114" s="897"/>
      <c r="D114" s="7"/>
      <c r="E114" s="7"/>
      <c r="F114" s="7"/>
      <c r="G114" s="7"/>
      <c r="H114" s="32"/>
      <c r="I114" s="110"/>
      <c r="J114" s="32"/>
    </row>
    <row r="115" spans="1:10" hidden="1">
      <c r="C115" s="897" t="s">
        <v>99</v>
      </c>
      <c r="D115" s="7" t="s">
        <v>100</v>
      </c>
      <c r="E115" s="7"/>
      <c r="F115" s="7" t="s">
        <v>101</v>
      </c>
      <c r="G115" s="7"/>
      <c r="H115" s="32" t="s">
        <v>102</v>
      </c>
      <c r="I115" s="110" t="s">
        <v>1</v>
      </c>
      <c r="J115" s="923" t="s">
        <v>103</v>
      </c>
    </row>
    <row r="116" spans="1:10" hidden="1">
      <c r="A116" s="742" t="s">
        <v>154</v>
      </c>
      <c r="B116" s="742" t="s">
        <v>154</v>
      </c>
      <c r="C116" s="897" t="s">
        <v>143</v>
      </c>
      <c r="D116" s="913" t="s">
        <v>123</v>
      </c>
      <c r="E116" s="913"/>
      <c r="F116" s="7" t="s">
        <v>724</v>
      </c>
      <c r="G116" s="7"/>
      <c r="H116" s="914">
        <v>-103000</v>
      </c>
      <c r="I116" s="915">
        <v>14000</v>
      </c>
      <c r="J116" s="914">
        <v>0</v>
      </c>
    </row>
    <row r="117" spans="1:10" hidden="1">
      <c r="A117" s="742" t="s">
        <v>152</v>
      </c>
      <c r="B117" s="742" t="s">
        <v>152</v>
      </c>
      <c r="C117" s="897"/>
      <c r="D117" s="913" t="s">
        <v>120</v>
      </c>
      <c r="E117" s="913"/>
      <c r="F117" s="7" t="s">
        <v>4</v>
      </c>
      <c r="G117" s="7"/>
      <c r="H117" s="914">
        <v>0</v>
      </c>
      <c r="I117" s="915">
        <v>478039.87</v>
      </c>
      <c r="J117" s="914">
        <v>0</v>
      </c>
    </row>
    <row r="118" spans="1:10">
      <c r="A118" s="742" t="s">
        <v>696</v>
      </c>
      <c r="B118" s="742" t="s">
        <v>696</v>
      </c>
      <c r="C118" s="897"/>
      <c r="D118" s="913" t="s">
        <v>692</v>
      </c>
      <c r="E118" s="151" t="str">
        <f t="shared" ref="E118:E125" si="8">LEFT(D118,10)</f>
        <v>SMUD REVEN</v>
      </c>
      <c r="F118" s="7" t="s">
        <v>725</v>
      </c>
      <c r="G118" s="7"/>
      <c r="H118" s="914">
        <v>0</v>
      </c>
      <c r="I118" s="915">
        <v>149485.85999999999</v>
      </c>
      <c r="J118" s="914">
        <v>0</v>
      </c>
    </row>
    <row r="119" spans="1:10">
      <c r="A119" s="742" t="s">
        <v>236</v>
      </c>
      <c r="B119" s="742" t="s">
        <v>236</v>
      </c>
      <c r="C119" s="897"/>
      <c r="D119" s="913" t="s">
        <v>782</v>
      </c>
      <c r="E119" s="151" t="str">
        <f t="shared" si="8"/>
        <v>REVENUE AD</v>
      </c>
      <c r="F119" s="7" t="s">
        <v>725</v>
      </c>
      <c r="G119" s="7"/>
      <c r="H119" s="914">
        <v>0</v>
      </c>
      <c r="I119" s="915">
        <v>-2467826.9900000002</v>
      </c>
      <c r="J119" s="914">
        <v>0</v>
      </c>
    </row>
    <row r="120" spans="1:10">
      <c r="A120" s="742" t="s">
        <v>783</v>
      </c>
      <c r="B120" s="742" t="s">
        <v>783</v>
      </c>
      <c r="C120" s="897"/>
      <c r="D120" s="913" t="s">
        <v>693</v>
      </c>
      <c r="E120" s="151" t="str">
        <f t="shared" si="8"/>
        <v>WASHINGTON</v>
      </c>
      <c r="F120" s="7" t="s">
        <v>725</v>
      </c>
      <c r="G120" s="7"/>
      <c r="H120" s="914">
        <v>0</v>
      </c>
      <c r="I120" s="915">
        <v>-1320000</v>
      </c>
      <c r="J120" s="914">
        <v>0</v>
      </c>
    </row>
    <row r="121" spans="1:10">
      <c r="A121" s="742" t="s">
        <v>236</v>
      </c>
      <c r="B121" s="742" t="s">
        <v>236</v>
      </c>
      <c r="C121" s="897"/>
      <c r="D121" s="913" t="s">
        <v>722</v>
      </c>
      <c r="E121" s="151" t="str">
        <f t="shared" si="8"/>
        <v>REVENUE_AC</v>
      </c>
      <c r="F121" s="7" t="s">
        <v>725</v>
      </c>
      <c r="G121" s="7"/>
      <c r="H121" s="914">
        <v>0</v>
      </c>
      <c r="I121" s="915">
        <v>-3549414.5</v>
      </c>
      <c r="J121" s="914">
        <v>0</v>
      </c>
    </row>
    <row r="122" spans="1:10">
      <c r="A122" s="742" t="s">
        <v>784</v>
      </c>
      <c r="B122" s="742" t="s">
        <v>784</v>
      </c>
      <c r="C122" s="897"/>
      <c r="D122" s="913" t="s">
        <v>796</v>
      </c>
      <c r="E122" s="151" t="str">
        <f t="shared" si="8"/>
        <v>301170-DSM</v>
      </c>
      <c r="F122" s="7" t="s">
        <v>725</v>
      </c>
      <c r="G122" s="7"/>
      <c r="H122" s="914">
        <v>0</v>
      </c>
      <c r="I122" s="915">
        <v>2249460.66</v>
      </c>
      <c r="J122" s="914">
        <v>0</v>
      </c>
    </row>
    <row r="123" spans="1:10">
      <c r="A123" s="742" t="s">
        <v>786</v>
      </c>
      <c r="B123" s="742" t="s">
        <v>786</v>
      </c>
      <c r="C123" s="897"/>
      <c r="D123" s="913" t="s">
        <v>797</v>
      </c>
      <c r="E123" s="151" t="str">
        <f t="shared" si="8"/>
        <v>301180-BLU</v>
      </c>
      <c r="F123" s="7" t="s">
        <v>725</v>
      </c>
      <c r="G123" s="7"/>
      <c r="H123" s="914">
        <v>0</v>
      </c>
      <c r="I123" s="915">
        <v>15127.85</v>
      </c>
      <c r="J123" s="914">
        <v>0</v>
      </c>
    </row>
    <row r="124" spans="1:10">
      <c r="A124" s="742" t="s">
        <v>150</v>
      </c>
      <c r="B124" s="742" t="s">
        <v>150</v>
      </c>
      <c r="C124" s="897"/>
      <c r="D124" s="913" t="s">
        <v>113</v>
      </c>
      <c r="E124" s="151" t="str">
        <f t="shared" si="8"/>
        <v>02LNX00109</v>
      </c>
      <c r="F124" s="7" t="s">
        <v>725</v>
      </c>
      <c r="G124" s="7"/>
      <c r="H124" s="914">
        <v>0</v>
      </c>
      <c r="I124" s="915">
        <v>359.59</v>
      </c>
      <c r="J124" s="914"/>
    </row>
    <row r="125" spans="1:10">
      <c r="A125" s="742">
        <v>16</v>
      </c>
      <c r="B125" s="742">
        <v>16</v>
      </c>
      <c r="C125" s="897"/>
      <c r="D125" s="913" t="s">
        <v>144</v>
      </c>
      <c r="E125" s="151" t="str">
        <f t="shared" si="8"/>
        <v>02RESD0016</v>
      </c>
      <c r="F125" s="7" t="s">
        <v>725</v>
      </c>
      <c r="G125" s="7"/>
      <c r="H125" s="914">
        <v>1538101036</v>
      </c>
      <c r="I125" s="915">
        <v>131784572.25</v>
      </c>
      <c r="J125" s="914">
        <v>99826.416666666701</v>
      </c>
    </row>
    <row r="126" spans="1:10" hidden="1">
      <c r="A126" s="742" t="s">
        <v>183</v>
      </c>
      <c r="B126" s="742">
        <v>16</v>
      </c>
      <c r="C126" s="897"/>
      <c r="D126" s="913" t="s">
        <v>144</v>
      </c>
      <c r="E126" s="913"/>
      <c r="F126" s="7" t="s">
        <v>4</v>
      </c>
      <c r="G126" s="7"/>
      <c r="H126" s="914">
        <v>1538097558</v>
      </c>
      <c r="I126" s="915">
        <v>-6458711.3899999997</v>
      </c>
      <c r="J126" s="914">
        <v>99826.416666666701</v>
      </c>
    </row>
    <row r="127" spans="1:10">
      <c r="A127" s="742">
        <v>18</v>
      </c>
      <c r="B127" s="742">
        <v>18</v>
      </c>
      <c r="C127" s="897"/>
      <c r="D127" s="913" t="s">
        <v>147</v>
      </c>
      <c r="E127" s="151" t="str">
        <f>LEFT(D127,10)</f>
        <v>02RESD0018</v>
      </c>
      <c r="F127" s="7" t="s">
        <v>725</v>
      </c>
      <c r="G127" s="7"/>
      <c r="H127" s="914">
        <v>2216109</v>
      </c>
      <c r="I127" s="915">
        <v>208307.71</v>
      </c>
      <c r="J127" s="914">
        <v>85.5833333333333</v>
      </c>
    </row>
    <row r="128" spans="1:10" hidden="1">
      <c r="A128" s="742" t="s">
        <v>185</v>
      </c>
      <c r="B128" s="742">
        <v>18</v>
      </c>
      <c r="C128" s="897"/>
      <c r="D128" s="913" t="s">
        <v>147</v>
      </c>
      <c r="E128" s="913"/>
      <c r="F128" s="7" t="s">
        <v>4</v>
      </c>
      <c r="G128" s="7"/>
      <c r="H128" s="914">
        <v>2216104</v>
      </c>
      <c r="I128" s="915">
        <v>-9344.0400000000009</v>
      </c>
      <c r="J128" s="914">
        <v>85.5833333333333</v>
      </c>
    </row>
    <row r="129" spans="1:12">
      <c r="A129" s="742" t="s">
        <v>162</v>
      </c>
      <c r="B129" s="742" t="s">
        <v>162</v>
      </c>
      <c r="C129" s="897"/>
      <c r="D129" s="913" t="s">
        <v>148</v>
      </c>
      <c r="E129" s="151" t="str">
        <f>LEFT(D129,10)</f>
        <v>02RESD018X</v>
      </c>
      <c r="F129" s="7" t="s">
        <v>725</v>
      </c>
      <c r="G129" s="7"/>
      <c r="H129" s="914">
        <v>433385</v>
      </c>
      <c r="I129" s="915">
        <v>40020.43</v>
      </c>
      <c r="J129" s="914">
        <v>18.0833333333333</v>
      </c>
    </row>
    <row r="130" spans="1:12" hidden="1">
      <c r="A130" s="742" t="s">
        <v>186</v>
      </c>
      <c r="B130" s="742" t="s">
        <v>162</v>
      </c>
      <c r="C130" s="897"/>
      <c r="D130" s="913" t="s">
        <v>148</v>
      </c>
      <c r="E130" s="913"/>
      <c r="F130" s="7" t="s">
        <v>4</v>
      </c>
      <c r="G130" s="7"/>
      <c r="H130" s="914">
        <v>433385</v>
      </c>
      <c r="I130" s="915">
        <v>-1832.22</v>
      </c>
      <c r="J130" s="914">
        <v>18.0833333333333</v>
      </c>
    </row>
    <row r="131" spans="1:12">
      <c r="A131" s="742" t="s">
        <v>150</v>
      </c>
      <c r="B131" s="742" t="s">
        <v>150</v>
      </c>
      <c r="C131" s="897"/>
      <c r="D131" s="913" t="s">
        <v>248</v>
      </c>
      <c r="E131" s="151" t="str">
        <f t="shared" ref="E131:E133" si="9">LEFT(D131,10)</f>
        <v>02BLSKY01R</v>
      </c>
      <c r="F131" s="7" t="s">
        <v>725</v>
      </c>
      <c r="G131" s="7"/>
      <c r="H131" s="914">
        <v>0</v>
      </c>
      <c r="I131" s="915">
        <v>-0.54</v>
      </c>
      <c r="J131" s="914"/>
    </row>
    <row r="132" spans="1:12">
      <c r="A132" s="742" t="s">
        <v>153</v>
      </c>
      <c r="B132" s="742" t="s">
        <v>153</v>
      </c>
      <c r="C132" s="897"/>
      <c r="D132" s="913" t="s">
        <v>119</v>
      </c>
      <c r="E132" s="151" t="str">
        <f t="shared" si="9"/>
        <v>02ZZMERGCR</v>
      </c>
      <c r="F132" s="7" t="s">
        <v>725</v>
      </c>
      <c r="G132" s="7"/>
      <c r="H132" s="914">
        <v>0</v>
      </c>
      <c r="I132" s="915">
        <v>0.33</v>
      </c>
      <c r="J132" s="914"/>
    </row>
    <row r="133" spans="1:12">
      <c r="A133" s="742">
        <v>17</v>
      </c>
      <c r="B133" s="742">
        <v>17</v>
      </c>
      <c r="C133" s="897"/>
      <c r="D133" s="913" t="s">
        <v>145</v>
      </c>
      <c r="E133" s="151" t="str">
        <f t="shared" si="9"/>
        <v>02RESD0017</v>
      </c>
      <c r="F133" s="7" t="s">
        <v>725</v>
      </c>
      <c r="G133" s="7"/>
      <c r="H133" s="914">
        <v>63258258</v>
      </c>
      <c r="I133" s="915">
        <v>5397763.5499999998</v>
      </c>
      <c r="J133" s="914">
        <v>4053.9166666666702</v>
      </c>
    </row>
    <row r="134" spans="1:12" hidden="1">
      <c r="A134" s="742" t="s">
        <v>184</v>
      </c>
      <c r="B134" s="742">
        <v>17</v>
      </c>
      <c r="C134" s="897"/>
      <c r="D134" s="913" t="s">
        <v>146</v>
      </c>
      <c r="E134" s="913"/>
      <c r="F134" s="7" t="s">
        <v>4</v>
      </c>
      <c r="G134" s="7"/>
      <c r="H134" s="914">
        <v>63258144</v>
      </c>
      <c r="I134" s="915">
        <v>-264867.03999999998</v>
      </c>
      <c r="J134" s="914">
        <v>4053.9166666666702</v>
      </c>
    </row>
    <row r="135" spans="1:12">
      <c r="A135" s="742" t="s">
        <v>163</v>
      </c>
      <c r="B135" s="742" t="s">
        <v>163</v>
      </c>
      <c r="C135" s="897"/>
      <c r="D135" s="913" t="s">
        <v>118</v>
      </c>
      <c r="E135" s="151" t="str">
        <f>LEFT(D135,10)</f>
        <v>02RFNDCENT</v>
      </c>
      <c r="F135" s="7" t="s">
        <v>725</v>
      </c>
      <c r="G135" s="7"/>
      <c r="H135" s="914">
        <v>0</v>
      </c>
      <c r="I135" s="915">
        <v>0.5</v>
      </c>
      <c r="J135" s="914"/>
    </row>
    <row r="136" spans="1:12" hidden="1">
      <c r="A136" s="742" t="s">
        <v>154</v>
      </c>
      <c r="B136" s="742" t="s">
        <v>154</v>
      </c>
      <c r="C136" s="897"/>
      <c r="D136" s="913" t="s">
        <v>219</v>
      </c>
      <c r="E136" s="913"/>
      <c r="F136" s="7" t="s">
        <v>724</v>
      </c>
      <c r="G136" s="7"/>
      <c r="H136" s="914">
        <v>0</v>
      </c>
      <c r="I136" s="915">
        <v>-1000</v>
      </c>
      <c r="J136" s="914">
        <v>0</v>
      </c>
    </row>
    <row r="137" spans="1:12">
      <c r="A137" s="742" t="s">
        <v>161</v>
      </c>
      <c r="B137" s="742" t="s">
        <v>161</v>
      </c>
      <c r="C137" s="897"/>
      <c r="D137" s="913" t="s">
        <v>233</v>
      </c>
      <c r="E137" s="151" t="str">
        <f>LEFT(D137,10)</f>
        <v>02OALTB15R</v>
      </c>
      <c r="F137" s="7" t="s">
        <v>725</v>
      </c>
      <c r="G137" s="7"/>
      <c r="H137" s="914">
        <v>1071989</v>
      </c>
      <c r="I137" s="915">
        <v>159693.47</v>
      </c>
      <c r="J137" s="914">
        <v>1156.6666666666699</v>
      </c>
    </row>
    <row r="138" spans="1:12" hidden="1">
      <c r="A138" s="742" t="s">
        <v>243</v>
      </c>
      <c r="B138" s="742" t="s">
        <v>161</v>
      </c>
      <c r="C138" s="897"/>
      <c r="D138" s="913" t="s">
        <v>234</v>
      </c>
      <c r="E138" s="913"/>
      <c r="F138" s="7" t="s">
        <v>4</v>
      </c>
      <c r="G138" s="7"/>
      <c r="H138" s="914">
        <v>1072513</v>
      </c>
      <c r="I138" s="915">
        <v>-4529.47</v>
      </c>
      <c r="J138" s="914"/>
    </row>
    <row r="139" spans="1:12">
      <c r="A139" s="742">
        <v>135</v>
      </c>
      <c r="B139" s="742">
        <v>135</v>
      </c>
      <c r="C139" s="897"/>
      <c r="D139" s="913" t="s">
        <v>251</v>
      </c>
      <c r="E139" s="151" t="str">
        <f>LEFT(D139,10)</f>
        <v>02NETMT135</v>
      </c>
      <c r="F139" s="7" t="s">
        <v>725</v>
      </c>
      <c r="G139" s="7"/>
      <c r="H139" s="914">
        <v>655942</v>
      </c>
      <c r="I139" s="915">
        <v>59251.360000000001</v>
      </c>
      <c r="J139" s="914">
        <v>38.1666666666667</v>
      </c>
    </row>
    <row r="140" spans="1:12" hidden="1">
      <c r="A140" s="742" t="s">
        <v>697</v>
      </c>
      <c r="B140" s="742">
        <v>135</v>
      </c>
      <c r="C140" s="897"/>
      <c r="D140" s="913" t="s">
        <v>694</v>
      </c>
      <c r="E140" s="913"/>
      <c r="F140" s="7" t="s">
        <v>4</v>
      </c>
      <c r="G140" s="7"/>
      <c r="H140" s="914">
        <v>655939</v>
      </c>
      <c r="I140" s="915">
        <v>-2741.93</v>
      </c>
      <c r="J140" s="914">
        <v>38.1666666666667</v>
      </c>
    </row>
    <row r="141" spans="1:12">
      <c r="A141" s="742">
        <v>24</v>
      </c>
      <c r="B141" s="742">
        <v>24</v>
      </c>
      <c r="C141" s="897"/>
      <c r="D141" s="913" t="s">
        <v>798</v>
      </c>
      <c r="E141" s="151" t="str">
        <f>LEFT(D141,10)</f>
        <v>02RGNSB024</v>
      </c>
      <c r="F141" s="7" t="s">
        <v>725</v>
      </c>
      <c r="G141" s="7"/>
      <c r="H141" s="914">
        <v>1020058</v>
      </c>
      <c r="I141" s="915">
        <v>120901</v>
      </c>
      <c r="J141" s="914">
        <v>258.41666666666703</v>
      </c>
    </row>
    <row r="142" spans="1:12" hidden="1">
      <c r="A142" s="742" t="s">
        <v>242</v>
      </c>
      <c r="B142" s="742">
        <v>24</v>
      </c>
      <c r="C142" s="897"/>
      <c r="D142" s="913" t="s">
        <v>799</v>
      </c>
      <c r="E142" s="913"/>
      <c r="F142" s="7" t="s">
        <v>4</v>
      </c>
      <c r="G142" s="7"/>
      <c r="H142" s="914">
        <v>1020007</v>
      </c>
      <c r="I142" s="915">
        <v>-4182.37</v>
      </c>
      <c r="J142" s="914">
        <v>258.41666666666703</v>
      </c>
      <c r="L142" s="781"/>
    </row>
    <row r="143" spans="1:12" hidden="1">
      <c r="A143" s="742"/>
      <c r="D143" s="7" t="s">
        <v>122</v>
      </c>
      <c r="E143" s="7"/>
      <c r="F143" s="7"/>
      <c r="G143" s="7"/>
      <c r="H143" s="914"/>
      <c r="I143" s="915"/>
      <c r="J143" s="914">
        <v>0</v>
      </c>
      <c r="L143" s="925"/>
    </row>
    <row r="144" spans="1:12" hidden="1">
      <c r="C144" s="897"/>
      <c r="D144" s="7" t="s">
        <v>121</v>
      </c>
      <c r="E144" s="7"/>
      <c r="F144" s="7"/>
      <c r="G144" s="7"/>
      <c r="H144" s="914"/>
      <c r="I144" s="915"/>
      <c r="J144" s="914">
        <v>0</v>
      </c>
    </row>
    <row r="145" spans="3:12">
      <c r="C145" s="897"/>
      <c r="D145" s="7"/>
      <c r="E145" s="7"/>
      <c r="F145" s="7"/>
      <c r="G145" s="7"/>
      <c r="H145" s="914"/>
      <c r="I145" s="915"/>
      <c r="J145" s="914"/>
    </row>
    <row r="146" spans="3:12">
      <c r="C146" s="897" t="s">
        <v>143</v>
      </c>
      <c r="D146" s="7"/>
      <c r="E146" s="7"/>
      <c r="F146" s="7"/>
      <c r="G146" s="7"/>
      <c r="H146" s="926">
        <f>SUM(H116:H142)-H117-H126-H128-H130-H134-H138-H140-H142</f>
        <v>1606653777</v>
      </c>
      <c r="I146" s="108">
        <f>SUM(I116:I142)</f>
        <v>126592533.93999997</v>
      </c>
      <c r="J146" s="926">
        <f>SUM(J116:J142)-J117-J126-J128-J130-J134-J138-J140-J142</f>
        <v>105437.25</v>
      </c>
    </row>
    <row r="147" spans="3:12">
      <c r="C147" s="897"/>
      <c r="D147" s="7"/>
      <c r="E147" s="7"/>
      <c r="F147" s="7"/>
      <c r="G147" s="7"/>
      <c r="H147" s="926"/>
      <c r="I147" s="108"/>
      <c r="J147" s="926"/>
    </row>
    <row r="148" spans="3:12">
      <c r="C148" s="897"/>
      <c r="D148" s="7"/>
      <c r="E148" s="7"/>
      <c r="F148" s="7"/>
      <c r="G148" s="7"/>
      <c r="H148" s="926"/>
      <c r="I148" s="108"/>
      <c r="J148" s="926"/>
    </row>
    <row r="149" spans="3:12">
      <c r="C149" s="897"/>
      <c r="D149" s="7"/>
      <c r="E149" s="7"/>
      <c r="F149" s="7"/>
      <c r="G149" s="7"/>
      <c r="H149" s="450"/>
      <c r="I149" s="110"/>
      <c r="J149" s="7"/>
    </row>
    <row r="150" spans="3:12">
      <c r="C150" s="897"/>
      <c r="D150" s="7"/>
      <c r="E150" s="7"/>
      <c r="F150" s="7"/>
      <c r="G150" s="7"/>
      <c r="H150" s="7"/>
      <c r="I150" s="110"/>
      <c r="J150" s="7"/>
    </row>
    <row r="151" spans="3:12">
      <c r="C151" s="897"/>
      <c r="D151" s="7"/>
      <c r="E151" s="7"/>
      <c r="F151" s="7"/>
      <c r="G151" s="7"/>
      <c r="H151" s="7"/>
      <c r="I151" s="110"/>
      <c r="J151" s="7"/>
    </row>
    <row r="152" spans="3:12">
      <c r="C152" s="927"/>
      <c r="D152" s="113"/>
      <c r="E152" s="113"/>
      <c r="F152" s="113" t="s">
        <v>124</v>
      </c>
      <c r="G152" s="113"/>
      <c r="H152" s="114">
        <f>H146+H113+H98+H74+H47</f>
        <v>4008019045</v>
      </c>
      <c r="I152" s="928">
        <f>I146+I113+I98+I74+I47</f>
        <v>291893109.88999999</v>
      </c>
      <c r="J152" s="114">
        <f>J146+J113+J98+J74+J47</f>
        <v>132058.41666666663</v>
      </c>
      <c r="L152" s="4">
        <f>J152/12</f>
        <v>11004.868055555553</v>
      </c>
    </row>
    <row r="154" spans="3:12">
      <c r="F154" s="4" t="s">
        <v>170</v>
      </c>
    </row>
    <row r="155" spans="3:12">
      <c r="F155" s="4" t="s">
        <v>169</v>
      </c>
      <c r="H155" s="107">
        <f ca="1">SUMIF(F6:F148,"&lt;&gt;bpa",H6:H146)-H152</f>
        <v>5884581542</v>
      </c>
      <c r="I155" s="107">
        <f>SUMIF($F$7:$F$150,"&lt;&gt;bpa",I7:I150)-I152</f>
        <v>291893109.88999987</v>
      </c>
      <c r="J155" s="107">
        <f>SUMIF($F$7:$F$148,"&lt;&gt;bpa",J7:J149)-J152</f>
        <v>244840.08333333355</v>
      </c>
    </row>
    <row r="156" spans="3:12">
      <c r="F156" s="4" t="s">
        <v>97</v>
      </c>
      <c r="H156" s="114">
        <f ca="1">SUMIF(F6:F148,"=bpa",H6:H146)</f>
        <v>0</v>
      </c>
      <c r="I156" s="929">
        <f ca="1">SUMIF($F$7:$F$148,"=bpa",I$7:I$146)</f>
        <v>0</v>
      </c>
      <c r="J156" s="114">
        <v>0</v>
      </c>
    </row>
    <row r="157" spans="3:12">
      <c r="H157" s="88">
        <f ca="1">SUM(H155:H156)</f>
        <v>5884581542</v>
      </c>
      <c r="I157" s="930">
        <f ca="1">SUM(I155:I156)</f>
        <v>291893109.88999987</v>
      </c>
      <c r="J157" s="88">
        <f>SUM(J155:J156)</f>
        <v>244840.08333333355</v>
      </c>
    </row>
    <row r="159" spans="3:12">
      <c r="I159" s="661"/>
    </row>
    <row r="161" spans="6:11">
      <c r="F161" s="4" t="s">
        <v>177</v>
      </c>
      <c r="H161" s="32">
        <f ca="1">SUMIF($F$7:$F$143,"=regular",H$7:H$141)</f>
        <v>0</v>
      </c>
      <c r="I161" s="107">
        <f ca="1">SUMIF($F$7:$F$141,"=regular",I7:I140)</f>
        <v>0</v>
      </c>
      <c r="J161" s="32">
        <f ca="1">SUMIF($F$7:$F$148,"=regular",J$7:J$146)</f>
        <v>0</v>
      </c>
    </row>
    <row r="162" spans="6:11">
      <c r="F162" s="4" t="s">
        <v>201</v>
      </c>
      <c r="H162" s="32">
        <f ca="1">SUMIF($F$7:$F$148,"UNBILLED",H$7:H$146)</f>
        <v>0</v>
      </c>
      <c r="I162" s="931">
        <f ca="1">SUMIF(F7:F141,"=unbilled",I7:I140)</f>
        <v>0</v>
      </c>
      <c r="J162" s="5"/>
      <c r="K162" s="7"/>
    </row>
    <row r="163" spans="6:11">
      <c r="H163" s="107">
        <f ca="1">SUM(H161:H162)</f>
        <v>0</v>
      </c>
      <c r="I163" s="107">
        <f ca="1">SUM(I161:I162)</f>
        <v>0</v>
      </c>
      <c r="J163" s="59">
        <f ca="1">J161</f>
        <v>0</v>
      </c>
      <c r="K163" s="7"/>
    </row>
    <row r="164" spans="6:11">
      <c r="F164" s="7"/>
      <c r="G164" s="7"/>
      <c r="H164" s="7"/>
      <c r="I164" s="7"/>
      <c r="J164" s="7"/>
      <c r="K164" s="7"/>
    </row>
    <row r="165" spans="6:11">
      <c r="F165" s="7" t="s">
        <v>800</v>
      </c>
      <c r="G165" s="7"/>
      <c r="H165" s="914">
        <v>5884581542</v>
      </c>
      <c r="I165" s="932">
        <v>291893109.88999993</v>
      </c>
      <c r="J165" s="914">
        <v>131933.83333333334</v>
      </c>
      <c r="K165" s="7"/>
    </row>
    <row r="166" spans="6:11">
      <c r="F166" s="7"/>
      <c r="G166" s="7"/>
      <c r="H166" s="7"/>
      <c r="I166" s="7"/>
      <c r="J166" s="7"/>
      <c r="K166" s="7"/>
    </row>
    <row r="167" spans="6:11">
      <c r="F167" s="7"/>
      <c r="G167" s="7"/>
      <c r="H167" s="450"/>
      <c r="I167" s="450"/>
      <c r="J167" s="7"/>
    </row>
    <row r="168" spans="6:11">
      <c r="F168" s="7"/>
      <c r="G168" s="7"/>
      <c r="H168" s="7"/>
      <c r="I168" s="933"/>
      <c r="J168" s="7"/>
    </row>
    <row r="169" spans="6:11">
      <c r="H169" s="88"/>
      <c r="I169" s="934"/>
    </row>
    <row r="170" spans="6:11">
      <c r="I170" s="925"/>
    </row>
  </sheetData>
  <autoFilter ref="A6:J144">
    <filterColumn colId="5">
      <filters>
        <filter val="R"/>
      </filters>
    </filterColumn>
  </autoFilter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"/>
  <sheetViews>
    <sheetView showGridLines="0" workbookViewId="0">
      <selection activeCell="M21" sqref="M21"/>
    </sheetView>
  </sheetViews>
  <sheetFormatPr defaultRowHeight="12.75"/>
  <cols>
    <col min="1" max="1" width="25" style="741" customWidth="1"/>
    <col min="2" max="2" width="18.875" style="741" customWidth="1"/>
    <col min="3" max="3" width="24" style="741" customWidth="1"/>
    <col min="4" max="4" width="13.25" style="741" customWidth="1"/>
    <col min="5" max="5" width="11.375" style="741" customWidth="1"/>
    <col min="6" max="6" width="11.125" style="741" customWidth="1"/>
    <col min="7" max="7" width="12.5" style="741" customWidth="1"/>
    <col min="8" max="16384" width="9" style="741"/>
  </cols>
  <sheetData>
    <row r="1" spans="1:7" ht="13.5" customHeight="1">
      <c r="A1" s="740" t="s">
        <v>807</v>
      </c>
      <c r="B1" s="740" t="s">
        <v>687</v>
      </c>
      <c r="C1" s="740" t="s">
        <v>688</v>
      </c>
      <c r="D1" s="740" t="s">
        <v>690</v>
      </c>
      <c r="E1" s="740" t="s">
        <v>689</v>
      </c>
      <c r="F1" s="740" t="s">
        <v>808</v>
      </c>
      <c r="G1" s="740" t="s">
        <v>809</v>
      </c>
    </row>
    <row r="2" spans="1:7" ht="14.25" customHeight="1">
      <c r="A2" s="767" t="s">
        <v>810</v>
      </c>
      <c r="B2" s="767" t="s">
        <v>105</v>
      </c>
      <c r="C2" s="767" t="s">
        <v>123</v>
      </c>
      <c r="D2" s="768">
        <v>-311000</v>
      </c>
      <c r="E2" s="769">
        <v>-3660000</v>
      </c>
      <c r="F2" s="769">
        <v>0</v>
      </c>
      <c r="G2" s="769">
        <v>0</v>
      </c>
    </row>
    <row r="3" spans="1:7" ht="14.25" customHeight="1">
      <c r="A3" s="770"/>
      <c r="B3" s="770"/>
      <c r="C3" s="767" t="s">
        <v>120</v>
      </c>
      <c r="D3" s="768">
        <v>31359.52</v>
      </c>
      <c r="E3" s="769">
        <v>0</v>
      </c>
      <c r="F3" s="769">
        <v>0</v>
      </c>
      <c r="G3" s="769">
        <v>0</v>
      </c>
    </row>
    <row r="4" spans="1:7" ht="14.25" customHeight="1">
      <c r="A4" s="770"/>
      <c r="B4" s="770"/>
      <c r="C4" s="767" t="s">
        <v>692</v>
      </c>
      <c r="D4" s="768">
        <v>129297.5</v>
      </c>
      <c r="E4" s="769">
        <v>0</v>
      </c>
      <c r="F4" s="769">
        <v>0</v>
      </c>
      <c r="G4" s="769">
        <v>0</v>
      </c>
    </row>
    <row r="5" spans="1:7" ht="14.25" customHeight="1">
      <c r="A5" s="770"/>
      <c r="B5" s="770"/>
      <c r="C5" s="767" t="s">
        <v>782</v>
      </c>
      <c r="D5" s="768">
        <v>-1982102.8</v>
      </c>
      <c r="E5" s="769">
        <v>0</v>
      </c>
      <c r="F5" s="769">
        <v>0</v>
      </c>
      <c r="G5" s="769">
        <v>0</v>
      </c>
    </row>
    <row r="6" spans="1:7" ht="14.25" customHeight="1">
      <c r="A6" s="770"/>
      <c r="B6" s="770"/>
      <c r="C6" s="767" t="s">
        <v>693</v>
      </c>
      <c r="D6" s="768">
        <v>-1020000</v>
      </c>
      <c r="E6" s="769">
        <v>0</v>
      </c>
      <c r="F6" s="769">
        <v>0</v>
      </c>
      <c r="G6" s="769">
        <v>0</v>
      </c>
    </row>
    <row r="7" spans="1:7" ht="14.25" customHeight="1">
      <c r="A7" s="770"/>
      <c r="B7" s="770"/>
      <c r="C7" s="767" t="s">
        <v>722</v>
      </c>
      <c r="D7" s="768">
        <v>-2768532.36</v>
      </c>
      <c r="E7" s="769">
        <v>0</v>
      </c>
      <c r="F7" s="769">
        <v>0</v>
      </c>
      <c r="G7" s="769">
        <v>0</v>
      </c>
    </row>
    <row r="8" spans="1:7" ht="14.25" customHeight="1">
      <c r="A8" s="770"/>
      <c r="B8" s="770"/>
      <c r="C8" s="767" t="s">
        <v>785</v>
      </c>
      <c r="D8" s="768">
        <v>1458629.44</v>
      </c>
      <c r="E8" s="769">
        <v>0</v>
      </c>
      <c r="F8" s="769">
        <v>0</v>
      </c>
      <c r="G8" s="769">
        <v>0</v>
      </c>
    </row>
    <row r="9" spans="1:7" ht="14.25" customHeight="1">
      <c r="A9" s="770"/>
      <c r="B9" s="770"/>
      <c r="C9" s="767" t="s">
        <v>787</v>
      </c>
      <c r="D9" s="768">
        <v>3554.13</v>
      </c>
      <c r="E9" s="769">
        <v>0</v>
      </c>
      <c r="F9" s="769">
        <v>0</v>
      </c>
      <c r="G9" s="769">
        <v>2.1666666666666701</v>
      </c>
    </row>
    <row r="10" spans="1:7" ht="14.25" customHeight="1">
      <c r="A10" s="770"/>
      <c r="B10" s="770"/>
      <c r="C10" s="767" t="s">
        <v>106</v>
      </c>
      <c r="D10" s="768">
        <v>40874590.469999999</v>
      </c>
      <c r="E10" s="769">
        <v>481254567</v>
      </c>
      <c r="F10" s="769">
        <v>0</v>
      </c>
      <c r="G10" s="769">
        <v>14575.083333333299</v>
      </c>
    </row>
    <row r="11" spans="1:7" ht="14.25" customHeight="1">
      <c r="A11" s="770"/>
      <c r="B11" s="770"/>
      <c r="C11" s="767" t="s">
        <v>107</v>
      </c>
      <c r="D11" s="768">
        <v>140260.67000000001</v>
      </c>
      <c r="E11" s="769">
        <v>1114181</v>
      </c>
      <c r="F11" s="769">
        <v>0</v>
      </c>
      <c r="G11" s="769">
        <v>111.25</v>
      </c>
    </row>
    <row r="12" spans="1:7" ht="14.25" customHeight="1">
      <c r="A12" s="770"/>
      <c r="B12" s="770"/>
      <c r="C12" s="767" t="s">
        <v>108</v>
      </c>
      <c r="D12" s="768">
        <v>48522714.439999998</v>
      </c>
      <c r="E12" s="769">
        <v>670959890</v>
      </c>
      <c r="F12" s="769">
        <v>0</v>
      </c>
      <c r="G12" s="769">
        <v>807.08333333333303</v>
      </c>
    </row>
    <row r="13" spans="1:7" ht="14.25" customHeight="1">
      <c r="A13" s="770"/>
      <c r="B13" s="770"/>
      <c r="C13" s="767" t="s">
        <v>109</v>
      </c>
      <c r="D13" s="768">
        <v>9243532.3200000003</v>
      </c>
      <c r="E13" s="769">
        <v>141713341</v>
      </c>
      <c r="F13" s="769">
        <v>0</v>
      </c>
      <c r="G13" s="769">
        <v>26.25</v>
      </c>
    </row>
    <row r="14" spans="1:7" ht="14.25" customHeight="1">
      <c r="A14" s="770"/>
      <c r="B14" s="770"/>
      <c r="C14" s="767" t="s">
        <v>110</v>
      </c>
      <c r="D14" s="768">
        <v>162488.87</v>
      </c>
      <c r="E14" s="769">
        <v>0</v>
      </c>
      <c r="F14" s="769"/>
      <c r="G14" s="769"/>
    </row>
    <row r="15" spans="1:7" ht="14.25" customHeight="1">
      <c r="A15" s="770"/>
      <c r="B15" s="770"/>
      <c r="C15" s="767" t="s">
        <v>111</v>
      </c>
      <c r="D15" s="768">
        <v>23474.26</v>
      </c>
      <c r="E15" s="769">
        <v>0</v>
      </c>
      <c r="F15" s="769"/>
      <c r="G15" s="769"/>
    </row>
    <row r="16" spans="1:7" ht="14.25" customHeight="1">
      <c r="A16" s="770"/>
      <c r="B16" s="770"/>
      <c r="C16" s="767" t="s">
        <v>112</v>
      </c>
      <c r="D16" s="768">
        <v>1247.4000000000001</v>
      </c>
      <c r="E16" s="769">
        <v>0</v>
      </c>
      <c r="F16" s="769"/>
      <c r="G16" s="769"/>
    </row>
    <row r="17" spans="1:7" ht="14.25" customHeight="1">
      <c r="A17" s="770"/>
      <c r="B17" s="770"/>
      <c r="C17" s="767" t="s">
        <v>113</v>
      </c>
      <c r="D17" s="768">
        <v>94068.83</v>
      </c>
      <c r="E17" s="769">
        <v>0</v>
      </c>
      <c r="F17" s="769"/>
      <c r="G17" s="769"/>
    </row>
    <row r="18" spans="1:7" ht="14.25" customHeight="1">
      <c r="A18" s="770"/>
      <c r="B18" s="770"/>
      <c r="C18" s="767" t="s">
        <v>114</v>
      </c>
      <c r="D18" s="768">
        <v>8587.75</v>
      </c>
      <c r="E18" s="769">
        <v>0</v>
      </c>
      <c r="F18" s="769"/>
      <c r="G18" s="769"/>
    </row>
    <row r="19" spans="1:7" ht="14.25" customHeight="1">
      <c r="A19" s="770"/>
      <c r="B19" s="770"/>
      <c r="C19" s="767" t="s">
        <v>115</v>
      </c>
      <c r="D19" s="768">
        <v>651.88</v>
      </c>
      <c r="E19" s="769">
        <v>0</v>
      </c>
      <c r="F19" s="769"/>
      <c r="G19" s="769"/>
    </row>
    <row r="20" spans="1:7" ht="14.25" customHeight="1">
      <c r="A20" s="770"/>
      <c r="B20" s="770"/>
      <c r="C20" s="767" t="s">
        <v>116</v>
      </c>
      <c r="D20" s="768">
        <v>227026.45</v>
      </c>
      <c r="E20" s="769">
        <v>1639696</v>
      </c>
      <c r="F20" s="769">
        <v>0</v>
      </c>
      <c r="G20" s="769">
        <v>849.41666666666697</v>
      </c>
    </row>
    <row r="21" spans="1:7" ht="14.25" customHeight="1">
      <c r="A21" s="770"/>
      <c r="B21" s="770"/>
      <c r="C21" s="767" t="s">
        <v>117</v>
      </c>
      <c r="D21" s="768">
        <v>25692.84</v>
      </c>
      <c r="E21" s="769">
        <v>282514</v>
      </c>
      <c r="F21" s="769">
        <v>0</v>
      </c>
      <c r="G21" s="769">
        <v>29.25</v>
      </c>
    </row>
    <row r="22" spans="1:7" ht="14.25" customHeight="1">
      <c r="A22" s="770"/>
      <c r="B22" s="770"/>
      <c r="C22" s="767" t="s">
        <v>205</v>
      </c>
      <c r="D22" s="768">
        <v>14883</v>
      </c>
      <c r="E22" s="769">
        <v>0</v>
      </c>
      <c r="F22" s="769"/>
      <c r="G22" s="769"/>
    </row>
    <row r="23" spans="1:7" ht="14.25" customHeight="1">
      <c r="A23" s="770"/>
      <c r="B23" s="770"/>
      <c r="C23" s="767" t="s">
        <v>217</v>
      </c>
      <c r="D23" s="768">
        <v>37584.519999999997</v>
      </c>
      <c r="E23" s="769">
        <v>435783</v>
      </c>
      <c r="F23" s="769">
        <v>0</v>
      </c>
      <c r="G23" s="769">
        <v>5.75</v>
      </c>
    </row>
    <row r="24" spans="1:7" ht="14.25" customHeight="1">
      <c r="A24" s="770"/>
      <c r="B24" s="770"/>
      <c r="C24" s="767" t="s">
        <v>222</v>
      </c>
      <c r="D24" s="768">
        <v>3785732.38</v>
      </c>
      <c r="E24" s="769">
        <v>41032264</v>
      </c>
      <c r="F24" s="769">
        <v>0</v>
      </c>
      <c r="G24" s="769">
        <v>3112.6666666666702</v>
      </c>
    </row>
    <row r="25" spans="1:7" ht="14.25" customHeight="1">
      <c r="A25" s="770"/>
      <c r="B25" s="770"/>
      <c r="C25" s="767" t="s">
        <v>228</v>
      </c>
      <c r="D25" s="768">
        <v>-173487.68</v>
      </c>
      <c r="E25" s="769">
        <v>41033843</v>
      </c>
      <c r="F25" s="769">
        <v>0</v>
      </c>
      <c r="G25" s="769">
        <v>3112.6666666666702</v>
      </c>
    </row>
    <row r="26" spans="1:7" ht="14.25" customHeight="1">
      <c r="A26" s="770"/>
      <c r="B26" s="770"/>
      <c r="C26" s="767" t="s">
        <v>223</v>
      </c>
      <c r="D26" s="768">
        <v>102482.64</v>
      </c>
      <c r="E26" s="769">
        <v>351175</v>
      </c>
      <c r="F26" s="769">
        <v>0</v>
      </c>
      <c r="G26" s="769">
        <v>87.5833333333333</v>
      </c>
    </row>
    <row r="27" spans="1:7" ht="14.25" customHeight="1">
      <c r="A27" s="770"/>
      <c r="B27" s="770"/>
      <c r="C27" s="767" t="s">
        <v>229</v>
      </c>
      <c r="D27" s="768">
        <v>-1455.66</v>
      </c>
      <c r="E27" s="769">
        <v>351138</v>
      </c>
      <c r="F27" s="769">
        <v>0</v>
      </c>
      <c r="G27" s="769">
        <v>87.5833333333333</v>
      </c>
    </row>
    <row r="28" spans="1:7" ht="14.25" customHeight="1">
      <c r="A28" s="770"/>
      <c r="B28" s="770"/>
      <c r="C28" s="767" t="s">
        <v>232</v>
      </c>
      <c r="D28" s="768">
        <v>5749940.3600000003</v>
      </c>
      <c r="E28" s="769">
        <v>81286362</v>
      </c>
      <c r="F28" s="769">
        <v>0</v>
      </c>
      <c r="G28" s="769">
        <v>99.8333333333333</v>
      </c>
    </row>
    <row r="29" spans="1:7" ht="14.25" customHeight="1">
      <c r="A29" s="770"/>
      <c r="B29" s="770"/>
      <c r="C29" s="767" t="s">
        <v>225</v>
      </c>
      <c r="D29" s="768">
        <v>-342173.13</v>
      </c>
      <c r="E29" s="769">
        <v>81189396</v>
      </c>
      <c r="F29" s="769">
        <v>0</v>
      </c>
      <c r="G29" s="769">
        <v>99.8333333333333</v>
      </c>
    </row>
    <row r="30" spans="1:7" ht="14.25" customHeight="1">
      <c r="A30" s="770"/>
      <c r="B30" s="770"/>
      <c r="C30" s="767" t="s">
        <v>230</v>
      </c>
      <c r="D30" s="768">
        <v>87817.11</v>
      </c>
      <c r="E30" s="769">
        <v>590363</v>
      </c>
      <c r="F30" s="769">
        <v>0</v>
      </c>
      <c r="G30" s="769">
        <v>518.83333333333303</v>
      </c>
    </row>
    <row r="31" spans="1:7" ht="14.25" customHeight="1">
      <c r="A31" s="770"/>
      <c r="B31" s="770"/>
      <c r="C31" s="767" t="s">
        <v>226</v>
      </c>
      <c r="D31" s="768">
        <v>-2493.2199999999998</v>
      </c>
      <c r="E31" s="769">
        <v>590364</v>
      </c>
      <c r="F31" s="769"/>
      <c r="G31" s="769"/>
    </row>
    <row r="32" spans="1:7" ht="14.25" customHeight="1">
      <c r="A32" s="770"/>
      <c r="B32" s="770"/>
      <c r="C32" s="767" t="s">
        <v>231</v>
      </c>
      <c r="D32" s="768">
        <v>18109.759999999998</v>
      </c>
      <c r="E32" s="769">
        <v>154284</v>
      </c>
      <c r="F32" s="769">
        <v>0</v>
      </c>
      <c r="G32" s="769">
        <v>6</v>
      </c>
    </row>
    <row r="33" spans="1:7" ht="14.25" customHeight="1">
      <c r="A33" s="770"/>
      <c r="B33" s="770"/>
      <c r="C33" s="767" t="s">
        <v>221</v>
      </c>
      <c r="D33" s="768">
        <v>-3.69</v>
      </c>
      <c r="E33" s="769">
        <v>864</v>
      </c>
      <c r="F33" s="769">
        <v>0</v>
      </c>
      <c r="G33" s="769">
        <v>1</v>
      </c>
    </row>
    <row r="34" spans="1:7" ht="14.25" customHeight="1">
      <c r="A34" s="770"/>
      <c r="B34" s="770"/>
      <c r="C34" s="767" t="s">
        <v>245</v>
      </c>
      <c r="D34" s="768">
        <v>50891.81</v>
      </c>
      <c r="E34" s="769">
        <v>0</v>
      </c>
      <c r="F34" s="769"/>
      <c r="G34" s="769"/>
    </row>
    <row r="35" spans="1:7" ht="14.25" customHeight="1">
      <c r="A35" s="770"/>
      <c r="B35" s="770"/>
      <c r="C35" s="767" t="s">
        <v>246</v>
      </c>
      <c r="D35" s="768">
        <v>-2421.79</v>
      </c>
      <c r="E35" s="769">
        <v>0</v>
      </c>
      <c r="F35" s="769"/>
      <c r="G35" s="769"/>
    </row>
    <row r="36" spans="1:7" ht="14.25" customHeight="1">
      <c r="A36" s="770"/>
      <c r="B36" s="770"/>
      <c r="C36" s="767" t="s">
        <v>247</v>
      </c>
      <c r="D36" s="768">
        <v>3976.36</v>
      </c>
      <c r="E36" s="769">
        <v>0</v>
      </c>
      <c r="F36" s="769"/>
      <c r="G36" s="769"/>
    </row>
    <row r="37" spans="1:7" ht="14.25" customHeight="1">
      <c r="A37" s="770"/>
      <c r="B37" s="770"/>
      <c r="C37" s="767" t="s">
        <v>691</v>
      </c>
      <c r="D37" s="768">
        <v>11103.2</v>
      </c>
      <c r="E37" s="769">
        <v>99360</v>
      </c>
      <c r="F37" s="769">
        <v>0</v>
      </c>
      <c r="G37" s="769">
        <v>1</v>
      </c>
    </row>
    <row r="38" spans="1:7" ht="14.25" customHeight="1">
      <c r="A38" s="770"/>
      <c r="B38" s="770"/>
      <c r="C38" s="767" t="s">
        <v>788</v>
      </c>
      <c r="D38" s="768">
        <v>-5.54</v>
      </c>
      <c r="E38" s="769">
        <v>1344</v>
      </c>
      <c r="F38" s="769">
        <v>0</v>
      </c>
      <c r="G38" s="769">
        <v>1</v>
      </c>
    </row>
    <row r="39" spans="1:7" ht="14.25" customHeight="1">
      <c r="A39" s="770"/>
      <c r="B39" s="770"/>
      <c r="C39" s="767" t="s">
        <v>122</v>
      </c>
      <c r="D39" s="768"/>
      <c r="E39" s="769"/>
      <c r="F39" s="769">
        <v>214973</v>
      </c>
      <c r="G39" s="769">
        <v>0</v>
      </c>
    </row>
    <row r="40" spans="1:7" ht="14.25" customHeight="1">
      <c r="A40" s="770"/>
      <c r="B40" s="770"/>
      <c r="C40" s="767" t="s">
        <v>121</v>
      </c>
      <c r="D40" s="768"/>
      <c r="E40" s="769"/>
      <c r="F40" s="769">
        <v>37479</v>
      </c>
      <c r="G40" s="769">
        <v>0</v>
      </c>
    </row>
    <row r="41" spans="1:7" ht="14.25" customHeight="1">
      <c r="A41" s="770"/>
      <c r="B41" s="767" t="s">
        <v>125</v>
      </c>
      <c r="C41" s="767" t="s">
        <v>123</v>
      </c>
      <c r="D41" s="768">
        <v>782000</v>
      </c>
      <c r="E41" s="769">
        <v>11112000</v>
      </c>
      <c r="F41" s="769">
        <v>0</v>
      </c>
      <c r="G41" s="769">
        <v>0</v>
      </c>
    </row>
    <row r="42" spans="1:7" ht="14.25" customHeight="1">
      <c r="A42" s="770"/>
      <c r="B42" s="770"/>
      <c r="C42" s="767" t="s">
        <v>120</v>
      </c>
      <c r="D42" s="768">
        <v>876.09</v>
      </c>
      <c r="E42" s="769">
        <v>0</v>
      </c>
      <c r="F42" s="769">
        <v>0</v>
      </c>
      <c r="G42" s="769">
        <v>0</v>
      </c>
    </row>
    <row r="43" spans="1:7" ht="14.25" customHeight="1">
      <c r="A43" s="770"/>
      <c r="B43" s="770"/>
      <c r="C43" s="767" t="s">
        <v>692</v>
      </c>
      <c r="D43" s="768">
        <v>73835.13</v>
      </c>
      <c r="E43" s="769">
        <v>0</v>
      </c>
      <c r="F43" s="769">
        <v>0</v>
      </c>
      <c r="G43" s="769">
        <v>0</v>
      </c>
    </row>
    <row r="44" spans="1:7" ht="14.25" customHeight="1">
      <c r="A44" s="770"/>
      <c r="B44" s="770"/>
      <c r="C44" s="767" t="s">
        <v>782</v>
      </c>
      <c r="D44" s="768">
        <v>-1042308.89</v>
      </c>
      <c r="E44" s="769">
        <v>0</v>
      </c>
      <c r="F44" s="769">
        <v>0</v>
      </c>
      <c r="G44" s="769">
        <v>0</v>
      </c>
    </row>
    <row r="45" spans="1:7" ht="14.25" customHeight="1">
      <c r="A45" s="770"/>
      <c r="B45" s="770"/>
      <c r="C45" s="767" t="s">
        <v>693</v>
      </c>
      <c r="D45" s="768">
        <v>-510000</v>
      </c>
      <c r="E45" s="769">
        <v>0</v>
      </c>
      <c r="F45" s="769">
        <v>0</v>
      </c>
      <c r="G45" s="769">
        <v>0</v>
      </c>
    </row>
    <row r="46" spans="1:7" ht="14.25" customHeight="1">
      <c r="A46" s="770"/>
      <c r="B46" s="770"/>
      <c r="C46" s="767" t="s">
        <v>722</v>
      </c>
      <c r="D46" s="768">
        <v>-1249236.8700000001</v>
      </c>
      <c r="E46" s="769">
        <v>0</v>
      </c>
      <c r="F46" s="769">
        <v>0</v>
      </c>
      <c r="G46" s="769">
        <v>0</v>
      </c>
    </row>
    <row r="47" spans="1:7" ht="14.25" customHeight="1">
      <c r="A47" s="770"/>
      <c r="B47" s="770"/>
      <c r="C47" s="767" t="s">
        <v>789</v>
      </c>
      <c r="D47" s="768">
        <v>647525.55000000005</v>
      </c>
      <c r="E47" s="769">
        <v>0</v>
      </c>
      <c r="F47" s="769">
        <v>0</v>
      </c>
      <c r="G47" s="769">
        <v>0</v>
      </c>
    </row>
    <row r="48" spans="1:7" ht="14.25" customHeight="1">
      <c r="A48" s="770"/>
      <c r="B48" s="770"/>
      <c r="C48" s="767" t="s">
        <v>106</v>
      </c>
      <c r="D48" s="768">
        <v>1337378.47</v>
      </c>
      <c r="E48" s="769">
        <v>15410488</v>
      </c>
      <c r="F48" s="769">
        <v>0</v>
      </c>
      <c r="G48" s="769">
        <v>356.08333333333297</v>
      </c>
    </row>
    <row r="49" spans="1:7" ht="14.25" customHeight="1">
      <c r="A49" s="770"/>
      <c r="B49" s="770"/>
      <c r="C49" s="767" t="s">
        <v>107</v>
      </c>
      <c r="D49" s="768">
        <v>7749.11</v>
      </c>
      <c r="E49" s="769">
        <v>33313</v>
      </c>
      <c r="F49" s="769">
        <v>0</v>
      </c>
      <c r="G49" s="769">
        <v>4</v>
      </c>
    </row>
    <row r="50" spans="1:7" ht="14.25" customHeight="1">
      <c r="A50" s="770"/>
      <c r="B50" s="770"/>
      <c r="C50" s="767" t="s">
        <v>108</v>
      </c>
      <c r="D50" s="768">
        <v>7921812.5899999999</v>
      </c>
      <c r="E50" s="769">
        <v>105916423</v>
      </c>
      <c r="F50" s="769">
        <v>0</v>
      </c>
      <c r="G50" s="769">
        <v>113.583333333333</v>
      </c>
    </row>
    <row r="51" spans="1:7" ht="14.25" customHeight="1">
      <c r="A51" s="770"/>
      <c r="B51" s="770"/>
      <c r="C51" s="767" t="s">
        <v>109</v>
      </c>
      <c r="D51" s="768">
        <v>39284020.719999999</v>
      </c>
      <c r="E51" s="769">
        <v>681024352</v>
      </c>
      <c r="F51" s="769">
        <v>0</v>
      </c>
      <c r="G51" s="769">
        <v>32.9166666666667</v>
      </c>
    </row>
    <row r="52" spans="1:7" ht="14.25" customHeight="1">
      <c r="A52" s="770"/>
      <c r="B52" s="770"/>
      <c r="C52" s="767" t="s">
        <v>116</v>
      </c>
      <c r="D52" s="768">
        <v>15816.21</v>
      </c>
      <c r="E52" s="769">
        <v>121710</v>
      </c>
      <c r="F52" s="769">
        <v>0</v>
      </c>
      <c r="G52" s="769">
        <v>41.5833333333333</v>
      </c>
    </row>
    <row r="53" spans="1:7" ht="14.25" customHeight="1">
      <c r="A53" s="770"/>
      <c r="B53" s="770"/>
      <c r="C53" s="767" t="s">
        <v>127</v>
      </c>
      <c r="D53" s="768">
        <v>283827.84999999998</v>
      </c>
      <c r="E53" s="769">
        <v>1706000</v>
      </c>
      <c r="F53" s="769">
        <v>0</v>
      </c>
      <c r="G53" s="769">
        <v>1</v>
      </c>
    </row>
    <row r="54" spans="1:7" ht="14.25" customHeight="1">
      <c r="A54" s="770"/>
      <c r="B54" s="770"/>
      <c r="C54" s="767" t="s">
        <v>222</v>
      </c>
      <c r="D54" s="768">
        <v>185386.08</v>
      </c>
      <c r="E54" s="769">
        <v>1964209</v>
      </c>
      <c r="F54" s="769">
        <v>0</v>
      </c>
      <c r="G54" s="769">
        <v>96.25</v>
      </c>
    </row>
    <row r="55" spans="1:7" ht="14.25" customHeight="1">
      <c r="A55" s="770"/>
      <c r="B55" s="770"/>
      <c r="C55" s="767" t="s">
        <v>228</v>
      </c>
      <c r="D55" s="768">
        <v>-8340.52</v>
      </c>
      <c r="E55" s="769">
        <v>1964193</v>
      </c>
      <c r="F55" s="769">
        <v>0</v>
      </c>
      <c r="G55" s="769">
        <v>96.25</v>
      </c>
    </row>
    <row r="56" spans="1:7" ht="14.25" customHeight="1">
      <c r="A56" s="770"/>
      <c r="B56" s="770"/>
      <c r="C56" s="767" t="s">
        <v>223</v>
      </c>
      <c r="D56" s="768">
        <v>2317.81</v>
      </c>
      <c r="E56" s="769">
        <v>6067</v>
      </c>
      <c r="F56" s="769">
        <v>0</v>
      </c>
      <c r="G56" s="769">
        <v>1</v>
      </c>
    </row>
    <row r="57" spans="1:7" ht="14.25" customHeight="1">
      <c r="A57" s="770"/>
      <c r="B57" s="770"/>
      <c r="C57" s="767" t="s">
        <v>229</v>
      </c>
      <c r="D57" s="768">
        <v>-25.91</v>
      </c>
      <c r="E57" s="769">
        <v>6067</v>
      </c>
      <c r="F57" s="769">
        <v>0</v>
      </c>
      <c r="G57" s="769">
        <v>1</v>
      </c>
    </row>
    <row r="58" spans="1:7" ht="14.25" customHeight="1">
      <c r="A58" s="770"/>
      <c r="B58" s="770"/>
      <c r="C58" s="767" t="s">
        <v>232</v>
      </c>
      <c r="D58" s="768">
        <v>388546.39</v>
      </c>
      <c r="E58" s="769">
        <v>3292161</v>
      </c>
      <c r="F58" s="769">
        <v>0</v>
      </c>
      <c r="G58" s="769">
        <v>24.5</v>
      </c>
    </row>
    <row r="59" spans="1:7" ht="14.25" customHeight="1">
      <c r="A59" s="770"/>
      <c r="B59" s="770"/>
      <c r="C59" s="767" t="s">
        <v>225</v>
      </c>
      <c r="D59" s="768">
        <v>-14345.65</v>
      </c>
      <c r="E59" s="769">
        <v>3292161</v>
      </c>
      <c r="F59" s="769">
        <v>0</v>
      </c>
      <c r="G59" s="769">
        <v>24.5</v>
      </c>
    </row>
    <row r="60" spans="1:7" ht="14.25" customHeight="1">
      <c r="A60" s="770"/>
      <c r="B60" s="770"/>
      <c r="C60" s="767" t="s">
        <v>230</v>
      </c>
      <c r="D60" s="768">
        <v>4236.83</v>
      </c>
      <c r="E60" s="769">
        <v>28575</v>
      </c>
      <c r="F60" s="769">
        <v>0</v>
      </c>
      <c r="G60" s="769">
        <v>16</v>
      </c>
    </row>
    <row r="61" spans="1:7" ht="14.25" customHeight="1">
      <c r="A61" s="770"/>
      <c r="B61" s="770"/>
      <c r="C61" s="767" t="s">
        <v>226</v>
      </c>
      <c r="D61" s="768">
        <v>-120.67</v>
      </c>
      <c r="E61" s="769">
        <v>28574</v>
      </c>
      <c r="F61" s="769"/>
      <c r="G61" s="769"/>
    </row>
    <row r="62" spans="1:7" ht="14.25" customHeight="1">
      <c r="A62" s="770"/>
      <c r="B62" s="770"/>
      <c r="C62" s="767" t="s">
        <v>122</v>
      </c>
      <c r="D62" s="768"/>
      <c r="E62" s="769"/>
      <c r="F62" s="769">
        <v>7081</v>
      </c>
      <c r="G62" s="769">
        <v>0</v>
      </c>
    </row>
    <row r="63" spans="1:7" ht="14.25" customHeight="1">
      <c r="A63" s="770"/>
      <c r="B63" s="770"/>
      <c r="C63" s="767" t="s">
        <v>121</v>
      </c>
      <c r="D63" s="768"/>
      <c r="E63" s="769"/>
      <c r="F63" s="769">
        <v>1425</v>
      </c>
      <c r="G63" s="769">
        <v>0</v>
      </c>
    </row>
    <row r="64" spans="1:7" ht="14.25" customHeight="1">
      <c r="A64" s="770"/>
      <c r="B64" s="767" t="s">
        <v>128</v>
      </c>
      <c r="C64" s="767" t="s">
        <v>135</v>
      </c>
      <c r="D64" s="768">
        <v>288000</v>
      </c>
      <c r="E64" s="769">
        <v>2355000</v>
      </c>
      <c r="F64" s="769">
        <v>0</v>
      </c>
      <c r="G64" s="769">
        <v>0</v>
      </c>
    </row>
    <row r="65" spans="1:7" ht="14.25" customHeight="1">
      <c r="A65" s="770"/>
      <c r="B65" s="770"/>
      <c r="C65" s="767" t="s">
        <v>134</v>
      </c>
      <c r="D65" s="768">
        <v>10775.84</v>
      </c>
      <c r="E65" s="769">
        <v>0</v>
      </c>
      <c r="F65" s="769">
        <v>0</v>
      </c>
      <c r="G65" s="769">
        <v>0</v>
      </c>
    </row>
    <row r="66" spans="1:7" ht="14.25" customHeight="1">
      <c r="A66" s="770"/>
      <c r="B66" s="770"/>
      <c r="C66" s="767" t="s">
        <v>693</v>
      </c>
      <c r="D66" s="768">
        <v>-120000</v>
      </c>
      <c r="E66" s="769">
        <v>0</v>
      </c>
      <c r="F66" s="769">
        <v>0</v>
      </c>
      <c r="G66" s="769">
        <v>0</v>
      </c>
    </row>
    <row r="67" spans="1:7" ht="14.25" customHeight="1">
      <c r="A67" s="770"/>
      <c r="B67" s="770"/>
      <c r="C67" s="767" t="s">
        <v>723</v>
      </c>
      <c r="D67" s="768">
        <v>13900</v>
      </c>
      <c r="E67" s="769">
        <v>0</v>
      </c>
      <c r="F67" s="769">
        <v>0</v>
      </c>
      <c r="G67" s="769">
        <v>0</v>
      </c>
    </row>
    <row r="68" spans="1:7" ht="14.25" customHeight="1">
      <c r="A68" s="770"/>
      <c r="B68" s="770"/>
      <c r="C68" s="767" t="s">
        <v>722</v>
      </c>
      <c r="D68" s="768">
        <v>-309344.53999999998</v>
      </c>
      <c r="E68" s="769">
        <v>0</v>
      </c>
      <c r="F68" s="769">
        <v>0</v>
      </c>
      <c r="G68" s="769">
        <v>0</v>
      </c>
    </row>
    <row r="69" spans="1:7" ht="14.25" customHeight="1">
      <c r="A69" s="770"/>
      <c r="B69" s="770"/>
      <c r="C69" s="767" t="s">
        <v>791</v>
      </c>
      <c r="D69" s="768">
        <v>48833.39</v>
      </c>
      <c r="E69" s="769">
        <v>0</v>
      </c>
      <c r="F69" s="769">
        <v>0</v>
      </c>
      <c r="G69" s="769">
        <v>0</v>
      </c>
    </row>
    <row r="70" spans="1:7" ht="14.25" customHeight="1">
      <c r="A70" s="770"/>
      <c r="B70" s="770"/>
      <c r="C70" s="767" t="s">
        <v>792</v>
      </c>
      <c r="D70" s="768">
        <v>17.55</v>
      </c>
      <c r="E70" s="769">
        <v>0</v>
      </c>
      <c r="F70" s="769">
        <v>0</v>
      </c>
      <c r="G70" s="769">
        <v>0.75</v>
      </c>
    </row>
    <row r="71" spans="1:7" ht="14.25" customHeight="1">
      <c r="A71" s="770"/>
      <c r="B71" s="770"/>
      <c r="C71" s="767" t="s">
        <v>129</v>
      </c>
      <c r="D71" s="768">
        <v>11905721.35</v>
      </c>
      <c r="E71" s="769">
        <v>146674202</v>
      </c>
      <c r="F71" s="769">
        <v>0</v>
      </c>
      <c r="G71" s="769">
        <v>5077.25</v>
      </c>
    </row>
    <row r="72" spans="1:7" ht="14.25" customHeight="1">
      <c r="A72" s="770"/>
      <c r="B72" s="770"/>
      <c r="C72" s="767" t="s">
        <v>129</v>
      </c>
      <c r="D72" s="768">
        <v>-635379.06000000006</v>
      </c>
      <c r="E72" s="769">
        <v>146672975</v>
      </c>
      <c r="F72" s="769">
        <v>0</v>
      </c>
      <c r="G72" s="769">
        <v>5077.25</v>
      </c>
    </row>
    <row r="73" spans="1:7" ht="14.25" customHeight="1">
      <c r="A73" s="770"/>
      <c r="B73" s="770"/>
      <c r="C73" s="767" t="s">
        <v>130</v>
      </c>
      <c r="D73" s="768">
        <v>429129.75</v>
      </c>
      <c r="E73" s="769">
        <v>5321277</v>
      </c>
      <c r="F73" s="769">
        <v>0</v>
      </c>
      <c r="G73" s="769">
        <v>187.833333333333</v>
      </c>
    </row>
    <row r="74" spans="1:7" ht="14.25" customHeight="1">
      <c r="A74" s="770"/>
      <c r="B74" s="770"/>
      <c r="C74" s="767" t="s">
        <v>111</v>
      </c>
      <c r="D74" s="768">
        <v>4611.76</v>
      </c>
      <c r="E74" s="769">
        <v>0</v>
      </c>
      <c r="F74" s="769"/>
      <c r="G74" s="769"/>
    </row>
    <row r="75" spans="1:7" ht="14.25" customHeight="1">
      <c r="A75" s="770"/>
      <c r="B75" s="770"/>
      <c r="C75" s="767" t="s">
        <v>112</v>
      </c>
      <c r="D75" s="768">
        <v>79.69</v>
      </c>
      <c r="E75" s="769">
        <v>0</v>
      </c>
      <c r="F75" s="769"/>
      <c r="G75" s="769"/>
    </row>
    <row r="76" spans="1:7" ht="14.25" customHeight="1">
      <c r="A76" s="770"/>
      <c r="B76" s="770"/>
      <c r="C76" s="767" t="s">
        <v>113</v>
      </c>
      <c r="D76" s="768">
        <v>1483.16</v>
      </c>
      <c r="E76" s="769">
        <v>0</v>
      </c>
      <c r="F76" s="769"/>
      <c r="G76" s="769"/>
    </row>
    <row r="77" spans="1:7" ht="14.25" customHeight="1">
      <c r="A77" s="770"/>
      <c r="B77" s="770"/>
      <c r="C77" s="767" t="s">
        <v>114</v>
      </c>
      <c r="D77" s="768">
        <v>155685.06</v>
      </c>
      <c r="E77" s="769">
        <v>0</v>
      </c>
      <c r="F77" s="769"/>
      <c r="G77" s="769"/>
    </row>
    <row r="78" spans="1:7" ht="14.25" customHeight="1">
      <c r="A78" s="770"/>
      <c r="B78" s="770"/>
      <c r="C78" s="767" t="s">
        <v>131</v>
      </c>
      <c r="D78" s="768">
        <v>23118.48</v>
      </c>
      <c r="E78" s="769">
        <v>-5322072</v>
      </c>
      <c r="F78" s="769"/>
      <c r="G78" s="769"/>
    </row>
    <row r="79" spans="1:7" ht="14.25" customHeight="1">
      <c r="A79" s="770"/>
      <c r="B79" s="770"/>
      <c r="C79" s="767" t="s">
        <v>245</v>
      </c>
      <c r="D79" s="768">
        <v>896.33</v>
      </c>
      <c r="E79" s="769">
        <v>0</v>
      </c>
      <c r="F79" s="769"/>
      <c r="G79" s="769"/>
    </row>
    <row r="80" spans="1:7" ht="14.25" customHeight="1">
      <c r="A80" s="770"/>
      <c r="B80" s="770"/>
      <c r="C80" s="767" t="s">
        <v>246</v>
      </c>
      <c r="D80" s="768">
        <v>2330.88</v>
      </c>
      <c r="E80" s="769">
        <v>0</v>
      </c>
      <c r="F80" s="769"/>
      <c r="G80" s="769"/>
    </row>
    <row r="81" spans="1:7" ht="14.25" customHeight="1">
      <c r="A81" s="770"/>
      <c r="B81" s="770"/>
      <c r="C81" s="767" t="s">
        <v>247</v>
      </c>
      <c r="D81" s="768">
        <v>21667.040000000001</v>
      </c>
      <c r="E81" s="769">
        <v>0</v>
      </c>
      <c r="F81" s="769"/>
      <c r="G81" s="769"/>
    </row>
    <row r="82" spans="1:7" ht="14.25" customHeight="1">
      <c r="A82" s="770"/>
      <c r="B82" s="770"/>
      <c r="C82" s="767" t="s">
        <v>132</v>
      </c>
      <c r="D82" s="768"/>
      <c r="E82" s="769"/>
      <c r="F82" s="769">
        <v>62062</v>
      </c>
      <c r="G82" s="769">
        <v>0</v>
      </c>
    </row>
    <row r="83" spans="1:7" ht="14.25" customHeight="1">
      <c r="A83" s="770"/>
      <c r="B83" s="770"/>
      <c r="C83" s="767" t="s">
        <v>133</v>
      </c>
      <c r="D83" s="768"/>
      <c r="E83" s="769"/>
      <c r="F83" s="769">
        <v>59829</v>
      </c>
      <c r="G83" s="769">
        <v>0</v>
      </c>
    </row>
    <row r="84" spans="1:7" ht="14.25" customHeight="1">
      <c r="A84" s="770"/>
      <c r="B84" s="767" t="s">
        <v>136</v>
      </c>
      <c r="C84" s="767" t="s">
        <v>123</v>
      </c>
      <c r="D84" s="768">
        <v>-104000</v>
      </c>
      <c r="E84" s="769">
        <v>-899000</v>
      </c>
      <c r="F84" s="769">
        <v>0</v>
      </c>
      <c r="G84" s="769">
        <v>0</v>
      </c>
    </row>
    <row r="85" spans="1:7" ht="14.25" customHeight="1">
      <c r="A85" s="770"/>
      <c r="B85" s="770"/>
      <c r="C85" s="767" t="s">
        <v>693</v>
      </c>
      <c r="D85" s="768">
        <v>-30000</v>
      </c>
      <c r="E85" s="769">
        <v>0</v>
      </c>
      <c r="F85" s="769">
        <v>0</v>
      </c>
      <c r="G85" s="769">
        <v>0</v>
      </c>
    </row>
    <row r="86" spans="1:7" ht="14.25" customHeight="1">
      <c r="A86" s="770"/>
      <c r="B86" s="770"/>
      <c r="C86" s="767" t="s">
        <v>722</v>
      </c>
      <c r="D86" s="768">
        <v>-14437.61</v>
      </c>
      <c r="E86" s="769">
        <v>0</v>
      </c>
      <c r="F86" s="769">
        <v>0</v>
      </c>
      <c r="G86" s="769">
        <v>0</v>
      </c>
    </row>
    <row r="87" spans="1:7" ht="14.25" customHeight="1">
      <c r="A87" s="770"/>
      <c r="B87" s="770"/>
      <c r="C87" s="767" t="s">
        <v>794</v>
      </c>
      <c r="D87" s="768">
        <v>11507.96</v>
      </c>
      <c r="E87" s="769">
        <v>0</v>
      </c>
      <c r="F87" s="769">
        <v>0</v>
      </c>
      <c r="G87" s="769">
        <v>0</v>
      </c>
    </row>
    <row r="88" spans="1:7" ht="14.25" customHeight="1">
      <c r="A88" s="770"/>
      <c r="B88" s="770"/>
      <c r="C88" s="767" t="s">
        <v>137</v>
      </c>
      <c r="D88" s="768">
        <v>90.84</v>
      </c>
      <c r="E88" s="769">
        <v>0</v>
      </c>
      <c r="F88" s="769"/>
      <c r="G88" s="769"/>
    </row>
    <row r="89" spans="1:7" ht="14.25" customHeight="1">
      <c r="A89" s="770"/>
      <c r="B89" s="770"/>
      <c r="C89" s="767" t="s">
        <v>138</v>
      </c>
      <c r="D89" s="768">
        <v>52215.519999999997</v>
      </c>
      <c r="E89" s="769">
        <v>316726</v>
      </c>
      <c r="F89" s="769">
        <v>0</v>
      </c>
      <c r="G89" s="769">
        <v>17.5</v>
      </c>
    </row>
    <row r="90" spans="1:7" ht="14.25" customHeight="1">
      <c r="A90" s="770"/>
      <c r="B90" s="770"/>
      <c r="C90" s="767" t="s">
        <v>139</v>
      </c>
      <c r="D90" s="768">
        <v>236133.27</v>
      </c>
      <c r="E90" s="769">
        <v>3282893</v>
      </c>
      <c r="F90" s="769">
        <v>0</v>
      </c>
      <c r="G90" s="769">
        <v>119.5</v>
      </c>
    </row>
    <row r="91" spans="1:7" ht="14.25" customHeight="1">
      <c r="A91" s="770"/>
      <c r="B91" s="770"/>
      <c r="C91" s="767" t="s">
        <v>140</v>
      </c>
      <c r="D91" s="768">
        <v>82892.25</v>
      </c>
      <c r="E91" s="769">
        <v>1167018</v>
      </c>
      <c r="F91" s="769">
        <v>0</v>
      </c>
      <c r="G91" s="769">
        <v>100.666666666667</v>
      </c>
    </row>
    <row r="92" spans="1:7" ht="14.25" customHeight="1">
      <c r="A92" s="770"/>
      <c r="B92" s="770"/>
      <c r="C92" s="767" t="s">
        <v>141</v>
      </c>
      <c r="D92" s="768">
        <v>663184.49</v>
      </c>
      <c r="E92" s="769">
        <v>3317369</v>
      </c>
      <c r="F92" s="769">
        <v>0</v>
      </c>
      <c r="G92" s="769">
        <v>157.5</v>
      </c>
    </row>
    <row r="93" spans="1:7" ht="14.25" customHeight="1">
      <c r="A93" s="770"/>
      <c r="B93" s="770"/>
      <c r="C93" s="767" t="s">
        <v>142</v>
      </c>
      <c r="D93" s="768">
        <v>244490.19</v>
      </c>
      <c r="E93" s="769">
        <v>1960705</v>
      </c>
      <c r="F93" s="769">
        <v>0</v>
      </c>
      <c r="G93" s="769">
        <v>41.0833333333333</v>
      </c>
    </row>
    <row r="94" spans="1:7" ht="14.25" customHeight="1">
      <c r="A94" s="770"/>
      <c r="B94" s="770"/>
      <c r="C94" s="767" t="s">
        <v>122</v>
      </c>
      <c r="D94" s="768"/>
      <c r="E94" s="769"/>
      <c r="F94" s="769">
        <v>3041</v>
      </c>
      <c r="G94" s="769">
        <v>0</v>
      </c>
    </row>
    <row r="95" spans="1:7" ht="14.25" customHeight="1">
      <c r="A95" s="770"/>
      <c r="B95" s="767" t="s">
        <v>143</v>
      </c>
      <c r="C95" s="767" t="s">
        <v>123</v>
      </c>
      <c r="D95" s="768">
        <v>14000</v>
      </c>
      <c r="E95" s="769">
        <v>-103000</v>
      </c>
      <c r="F95" s="769">
        <v>0</v>
      </c>
      <c r="G95" s="769">
        <v>0</v>
      </c>
    </row>
    <row r="96" spans="1:7" ht="14.25" customHeight="1">
      <c r="A96" s="770"/>
      <c r="B96" s="770"/>
      <c r="C96" s="767" t="s">
        <v>120</v>
      </c>
      <c r="D96" s="768">
        <v>478039.87</v>
      </c>
      <c r="E96" s="769">
        <v>0</v>
      </c>
      <c r="F96" s="769">
        <v>0</v>
      </c>
      <c r="G96" s="769">
        <v>0</v>
      </c>
    </row>
    <row r="97" spans="1:7" ht="14.25" customHeight="1">
      <c r="A97" s="770"/>
      <c r="B97" s="770"/>
      <c r="C97" s="767" t="s">
        <v>692</v>
      </c>
      <c r="D97" s="768">
        <v>149485.85999999999</v>
      </c>
      <c r="E97" s="769">
        <v>0</v>
      </c>
      <c r="F97" s="769">
        <v>0</v>
      </c>
      <c r="G97" s="769">
        <v>0</v>
      </c>
    </row>
    <row r="98" spans="1:7" ht="14.25" customHeight="1">
      <c r="A98" s="770"/>
      <c r="B98" s="770"/>
      <c r="C98" s="767" t="s">
        <v>782</v>
      </c>
      <c r="D98" s="768">
        <v>-2467826.9900000002</v>
      </c>
      <c r="E98" s="769">
        <v>0</v>
      </c>
      <c r="F98" s="769">
        <v>0</v>
      </c>
      <c r="G98" s="769">
        <v>0</v>
      </c>
    </row>
    <row r="99" spans="1:7" ht="14.25" customHeight="1">
      <c r="A99" s="770"/>
      <c r="B99" s="770"/>
      <c r="C99" s="767" t="s">
        <v>693</v>
      </c>
      <c r="D99" s="768">
        <v>-1320000</v>
      </c>
      <c r="E99" s="769">
        <v>0</v>
      </c>
      <c r="F99" s="769">
        <v>0</v>
      </c>
      <c r="G99" s="769">
        <v>0</v>
      </c>
    </row>
    <row r="100" spans="1:7" ht="14.25" customHeight="1">
      <c r="A100" s="770"/>
      <c r="B100" s="770"/>
      <c r="C100" s="767" t="s">
        <v>722</v>
      </c>
      <c r="D100" s="768">
        <v>-3549414.5</v>
      </c>
      <c r="E100" s="769">
        <v>0</v>
      </c>
      <c r="F100" s="769">
        <v>0</v>
      </c>
      <c r="G100" s="769">
        <v>0</v>
      </c>
    </row>
    <row r="101" spans="1:7" ht="14.25" customHeight="1">
      <c r="A101" s="770"/>
      <c r="B101" s="770"/>
      <c r="C101" s="767" t="s">
        <v>796</v>
      </c>
      <c r="D101" s="768">
        <v>2249460.66</v>
      </c>
      <c r="E101" s="769">
        <v>0</v>
      </c>
      <c r="F101" s="769">
        <v>0</v>
      </c>
      <c r="G101" s="769">
        <v>0</v>
      </c>
    </row>
    <row r="102" spans="1:7" ht="14.25" customHeight="1">
      <c r="A102" s="770"/>
      <c r="B102" s="770"/>
      <c r="C102" s="767" t="s">
        <v>797</v>
      </c>
      <c r="D102" s="768">
        <v>15127.85</v>
      </c>
      <c r="E102" s="769">
        <v>0</v>
      </c>
      <c r="F102" s="769">
        <v>0</v>
      </c>
      <c r="G102" s="769">
        <v>0</v>
      </c>
    </row>
    <row r="103" spans="1:7" ht="14.25" customHeight="1">
      <c r="A103" s="770"/>
      <c r="B103" s="770"/>
      <c r="C103" s="767" t="s">
        <v>113</v>
      </c>
      <c r="D103" s="768">
        <v>359.59</v>
      </c>
      <c r="E103" s="769">
        <v>0</v>
      </c>
      <c r="F103" s="769"/>
      <c r="G103" s="769"/>
    </row>
    <row r="104" spans="1:7" ht="14.25" customHeight="1">
      <c r="A104" s="770"/>
      <c r="B104" s="770"/>
      <c r="C104" s="767" t="s">
        <v>144</v>
      </c>
      <c r="D104" s="768">
        <v>131784572.25</v>
      </c>
      <c r="E104" s="769">
        <v>1538101036</v>
      </c>
      <c r="F104" s="769">
        <v>0</v>
      </c>
      <c r="G104" s="769">
        <v>99826.416666666701</v>
      </c>
    </row>
    <row r="105" spans="1:7" ht="14.25" customHeight="1">
      <c r="A105" s="770"/>
      <c r="B105" s="770"/>
      <c r="C105" s="767" t="s">
        <v>144</v>
      </c>
      <c r="D105" s="768">
        <v>-6458711.3899999997</v>
      </c>
      <c r="E105" s="769">
        <v>1538097558</v>
      </c>
      <c r="F105" s="769">
        <v>0</v>
      </c>
      <c r="G105" s="769">
        <v>99826.416666666701</v>
      </c>
    </row>
    <row r="106" spans="1:7" ht="14.25" customHeight="1">
      <c r="A106" s="770"/>
      <c r="B106" s="770"/>
      <c r="C106" s="767" t="s">
        <v>147</v>
      </c>
      <c r="D106" s="768">
        <v>208307.71</v>
      </c>
      <c r="E106" s="769">
        <v>2216109</v>
      </c>
      <c r="F106" s="769">
        <v>0</v>
      </c>
      <c r="G106" s="769">
        <v>85.5833333333333</v>
      </c>
    </row>
    <row r="107" spans="1:7" ht="14.25" customHeight="1">
      <c r="A107" s="770"/>
      <c r="B107" s="770"/>
      <c r="C107" s="767" t="s">
        <v>147</v>
      </c>
      <c r="D107" s="768">
        <v>-9344.0400000000009</v>
      </c>
      <c r="E107" s="769">
        <v>2216104</v>
      </c>
      <c r="F107" s="769">
        <v>0</v>
      </c>
      <c r="G107" s="769">
        <v>85.5833333333333</v>
      </c>
    </row>
    <row r="108" spans="1:7" ht="14.25" customHeight="1">
      <c r="A108" s="770"/>
      <c r="B108" s="770"/>
      <c r="C108" s="767" t="s">
        <v>148</v>
      </c>
      <c r="D108" s="768">
        <v>40020.43</v>
      </c>
      <c r="E108" s="769">
        <v>433385</v>
      </c>
      <c r="F108" s="769">
        <v>0</v>
      </c>
      <c r="G108" s="769">
        <v>18.0833333333333</v>
      </c>
    </row>
    <row r="109" spans="1:7" ht="14.25" customHeight="1">
      <c r="A109" s="770"/>
      <c r="B109" s="770"/>
      <c r="C109" s="767" t="s">
        <v>148</v>
      </c>
      <c r="D109" s="768">
        <v>-1832.22</v>
      </c>
      <c r="E109" s="769">
        <v>433385</v>
      </c>
      <c r="F109" s="769">
        <v>0</v>
      </c>
      <c r="G109" s="769">
        <v>18.0833333333333</v>
      </c>
    </row>
    <row r="110" spans="1:7" ht="14.25" customHeight="1">
      <c r="A110" s="770"/>
      <c r="B110" s="770"/>
      <c r="C110" s="771" t="s">
        <v>248</v>
      </c>
      <c r="D110" s="772">
        <v>-0.54</v>
      </c>
      <c r="E110" s="773">
        <v>0</v>
      </c>
      <c r="F110" s="773"/>
      <c r="G110" s="773"/>
    </row>
    <row r="111" spans="1:7" ht="14.25" customHeight="1">
      <c r="A111" s="770"/>
      <c r="B111" s="770"/>
      <c r="C111" s="767" t="s">
        <v>119</v>
      </c>
      <c r="D111" s="768">
        <v>0.33</v>
      </c>
      <c r="E111" s="769">
        <v>0</v>
      </c>
      <c r="F111" s="769"/>
      <c r="G111" s="769"/>
    </row>
    <row r="112" spans="1:7" ht="14.25" customHeight="1">
      <c r="A112" s="770"/>
      <c r="B112" s="770"/>
      <c r="C112" s="767" t="s">
        <v>145</v>
      </c>
      <c r="D112" s="768">
        <v>5397763.5499999998</v>
      </c>
      <c r="E112" s="769">
        <v>63258258</v>
      </c>
      <c r="F112" s="769">
        <v>0</v>
      </c>
      <c r="G112" s="769">
        <v>4053.9166666666702</v>
      </c>
    </row>
    <row r="113" spans="1:7" ht="14.25" customHeight="1">
      <c r="A113" s="770"/>
      <c r="B113" s="770"/>
      <c r="C113" s="767" t="s">
        <v>146</v>
      </c>
      <c r="D113" s="768">
        <v>-264867.03999999998</v>
      </c>
      <c r="E113" s="769">
        <v>63258144</v>
      </c>
      <c r="F113" s="769">
        <v>0</v>
      </c>
      <c r="G113" s="769">
        <v>4053.9166666666702</v>
      </c>
    </row>
    <row r="114" spans="1:7" ht="14.25" customHeight="1">
      <c r="A114" s="770"/>
      <c r="B114" s="770"/>
      <c r="C114" s="767" t="s">
        <v>118</v>
      </c>
      <c r="D114" s="768">
        <v>0.5</v>
      </c>
      <c r="E114" s="769">
        <v>0</v>
      </c>
      <c r="F114" s="769"/>
      <c r="G114" s="769"/>
    </row>
    <row r="115" spans="1:7" ht="14.25" customHeight="1">
      <c r="A115" s="770"/>
      <c r="B115" s="770"/>
      <c r="C115" s="767" t="s">
        <v>219</v>
      </c>
      <c r="D115" s="768">
        <v>-1000</v>
      </c>
      <c r="E115" s="769">
        <v>0</v>
      </c>
      <c r="F115" s="769">
        <v>0</v>
      </c>
      <c r="G115" s="769">
        <v>0</v>
      </c>
    </row>
    <row r="116" spans="1:7" ht="14.25" customHeight="1">
      <c r="A116" s="770"/>
      <c r="B116" s="770"/>
      <c r="C116" s="767" t="s">
        <v>233</v>
      </c>
      <c r="D116" s="768">
        <v>159693.47</v>
      </c>
      <c r="E116" s="769">
        <v>1071989</v>
      </c>
      <c r="F116" s="769">
        <v>0</v>
      </c>
      <c r="G116" s="769">
        <v>1156.6666666666699</v>
      </c>
    </row>
    <row r="117" spans="1:7" ht="14.25" customHeight="1">
      <c r="A117" s="770"/>
      <c r="B117" s="770"/>
      <c r="C117" s="767" t="s">
        <v>234</v>
      </c>
      <c r="D117" s="768">
        <v>-4529.47</v>
      </c>
      <c r="E117" s="769">
        <v>1072513</v>
      </c>
      <c r="F117" s="769"/>
      <c r="G117" s="769"/>
    </row>
    <row r="118" spans="1:7" ht="14.25" customHeight="1">
      <c r="A118" s="770"/>
      <c r="B118" s="770"/>
      <c r="C118" s="767" t="s">
        <v>251</v>
      </c>
      <c r="D118" s="768">
        <v>59251.360000000001</v>
      </c>
      <c r="E118" s="769">
        <v>655942</v>
      </c>
      <c r="F118" s="769">
        <v>0</v>
      </c>
      <c r="G118" s="769">
        <v>38.1666666666667</v>
      </c>
    </row>
    <row r="119" spans="1:7" ht="14.25" customHeight="1">
      <c r="A119" s="770"/>
      <c r="B119" s="770"/>
      <c r="C119" s="767" t="s">
        <v>694</v>
      </c>
      <c r="D119" s="768">
        <v>-2741.93</v>
      </c>
      <c r="E119" s="769">
        <v>655939</v>
      </c>
      <c r="F119" s="769">
        <v>0</v>
      </c>
      <c r="G119" s="769">
        <v>38.1666666666667</v>
      </c>
    </row>
    <row r="120" spans="1:7" ht="14.25" customHeight="1">
      <c r="A120" s="770"/>
      <c r="B120" s="770"/>
      <c r="C120" s="767" t="s">
        <v>798</v>
      </c>
      <c r="D120" s="768">
        <v>120901</v>
      </c>
      <c r="E120" s="769">
        <v>1020058</v>
      </c>
      <c r="F120" s="769">
        <v>0</v>
      </c>
      <c r="G120" s="769">
        <v>258.41666666666703</v>
      </c>
    </row>
    <row r="121" spans="1:7" ht="14.25" customHeight="1">
      <c r="A121" s="770"/>
      <c r="B121" s="770"/>
      <c r="C121" s="767" t="s">
        <v>799</v>
      </c>
      <c r="D121" s="768">
        <v>-4182.37</v>
      </c>
      <c r="E121" s="769">
        <v>1020007</v>
      </c>
      <c r="F121" s="769">
        <v>0</v>
      </c>
      <c r="G121" s="769">
        <v>258.41666666666703</v>
      </c>
    </row>
    <row r="122" spans="1:7" ht="14.25" customHeight="1">
      <c r="A122" s="770"/>
      <c r="B122" s="770"/>
      <c r="C122" s="767" t="s">
        <v>122</v>
      </c>
      <c r="D122" s="768"/>
      <c r="E122" s="769"/>
      <c r="F122" s="769">
        <v>1245550</v>
      </c>
      <c r="G122" s="769">
        <v>0</v>
      </c>
    </row>
    <row r="123" spans="1:7" ht="14.25" customHeight="1">
      <c r="A123" s="774"/>
      <c r="B123" s="774"/>
      <c r="C123" s="771" t="s">
        <v>121</v>
      </c>
      <c r="D123" s="772"/>
      <c r="E123" s="773"/>
      <c r="F123" s="773">
        <v>1245227</v>
      </c>
      <c r="G123" s="773">
        <v>0</v>
      </c>
    </row>
    <row r="128" spans="1:7">
      <c r="D128" s="1241">
        <f>SUM(D2:D123)</f>
        <v>291893109.88999993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zoomScale="90" workbookViewId="0">
      <pane xSplit="5" ySplit="1" topLeftCell="F2" activePane="bottomRight" state="frozen"/>
      <selection activeCell="M21" sqref="M21"/>
      <selection pane="topRight" activeCell="M21" sqref="M21"/>
      <selection pane="bottomLeft" activeCell="M21" sqref="M21"/>
      <selection pane="bottomRight" activeCell="M21" sqref="M21"/>
    </sheetView>
  </sheetViews>
  <sheetFormatPr defaultRowHeight="12.75"/>
  <cols>
    <col min="1" max="1" width="9" style="1219"/>
    <col min="2" max="2" width="19.125" style="1219" customWidth="1"/>
    <col min="3" max="3" width="36.125" style="1219" customWidth="1"/>
    <col min="4" max="4" width="4.375" style="1219" customWidth="1"/>
    <col min="5" max="5" width="9.625" style="1219" customWidth="1"/>
    <col min="6" max="6" width="8.75" style="1219" customWidth="1"/>
    <col min="7" max="7" width="16.625" style="1219" customWidth="1"/>
    <col min="8" max="8" width="12.25" style="1219" customWidth="1"/>
    <col min="9" max="10" width="14.875" style="1219" customWidth="1"/>
    <col min="11" max="11" width="15.75" style="1219" customWidth="1"/>
    <col min="12" max="12" width="8.75" style="1219" customWidth="1"/>
    <col min="13" max="14" width="16.625" style="1219" customWidth="1"/>
    <col min="15" max="15" width="14.875" style="1219" customWidth="1"/>
    <col min="16" max="17" width="12.25" style="1219" customWidth="1"/>
    <col min="18" max="18" width="16.625" style="1219" customWidth="1"/>
    <col min="19" max="19" width="15.75" style="1219" customWidth="1"/>
    <col min="20" max="20" width="14.875" style="1219" customWidth="1"/>
    <col min="21" max="16384" width="9" style="1219"/>
  </cols>
  <sheetData>
    <row r="1" spans="1:20" ht="15.4" customHeight="1">
      <c r="B1" s="1233" t="s">
        <v>966</v>
      </c>
      <c r="C1" s="1233" t="s">
        <v>818</v>
      </c>
      <c r="D1" s="1233" t="s">
        <v>965</v>
      </c>
      <c r="E1" s="1233" t="s">
        <v>819</v>
      </c>
      <c r="F1" s="1233" t="s">
        <v>522</v>
      </c>
      <c r="G1" s="1233" t="s">
        <v>822</v>
      </c>
      <c r="H1" s="1233" t="s">
        <v>815</v>
      </c>
      <c r="I1" s="1233" t="s">
        <v>964</v>
      </c>
      <c r="J1" s="1233" t="s">
        <v>963</v>
      </c>
      <c r="K1" s="1233" t="s">
        <v>825</v>
      </c>
      <c r="L1" s="1233" t="s">
        <v>827</v>
      </c>
      <c r="M1" s="1233" t="s">
        <v>962</v>
      </c>
      <c r="N1" s="1233" t="s">
        <v>961</v>
      </c>
      <c r="O1" s="1233" t="s">
        <v>816</v>
      </c>
      <c r="P1" s="1233" t="s">
        <v>202</v>
      </c>
      <c r="Q1" s="1233" t="s">
        <v>312</v>
      </c>
      <c r="R1" s="1233" t="s">
        <v>828</v>
      </c>
      <c r="S1" s="1233" t="s">
        <v>829</v>
      </c>
      <c r="T1" s="1233" t="s">
        <v>830</v>
      </c>
    </row>
    <row r="2" spans="1:20" ht="16.350000000000001" customHeight="1">
      <c r="A2" s="1219" t="s">
        <v>831</v>
      </c>
      <c r="B2" s="1231" t="s">
        <v>831</v>
      </c>
      <c r="C2" s="1231" t="s">
        <v>850</v>
      </c>
      <c r="D2" s="1231" t="s">
        <v>957</v>
      </c>
      <c r="E2" s="1231" t="s">
        <v>898</v>
      </c>
      <c r="F2" s="1230">
        <v>29521.266666666601</v>
      </c>
      <c r="G2" s="1230">
        <v>19130</v>
      </c>
      <c r="H2" s="1230">
        <v>17598460</v>
      </c>
      <c r="I2" s="1230">
        <v>9960813.3333333097</v>
      </c>
      <c r="J2" s="1230">
        <v>6677172.6666666502</v>
      </c>
      <c r="K2" s="1230">
        <v>11535.5</v>
      </c>
      <c r="L2" s="1230">
        <v>0</v>
      </c>
      <c r="M2" s="1229">
        <v>0</v>
      </c>
      <c r="N2" s="1229">
        <v>0</v>
      </c>
      <c r="O2" s="1229">
        <v>1819926.03</v>
      </c>
      <c r="P2" s="1229">
        <v>43114.089999999698</v>
      </c>
      <c r="Q2" s="1229">
        <v>9344.3100000009399</v>
      </c>
      <c r="R2" s="1229">
        <v>1767467.63000006</v>
      </c>
      <c r="S2" s="1229">
        <v>1768182.0829767101</v>
      </c>
      <c r="T2" s="1229">
        <v>1792988.3797732799</v>
      </c>
    </row>
    <row r="3" spans="1:20" ht="16.350000000000001" customHeight="1">
      <c r="A3" s="1219" t="s">
        <v>831</v>
      </c>
      <c r="B3" s="1232"/>
      <c r="C3" s="1232"/>
      <c r="D3" s="1231" t="s">
        <v>956</v>
      </c>
      <c r="E3" s="1231" t="s">
        <v>960</v>
      </c>
      <c r="F3" s="1230">
        <v>12</v>
      </c>
      <c r="G3" s="1230">
        <v>0</v>
      </c>
      <c r="H3" s="1230">
        <v>6878</v>
      </c>
      <c r="I3" s="1230">
        <v>6058</v>
      </c>
      <c r="J3" s="1230">
        <v>820</v>
      </c>
      <c r="K3" s="1230">
        <v>0</v>
      </c>
      <c r="L3" s="1230">
        <v>0</v>
      </c>
      <c r="M3" s="1229">
        <v>0</v>
      </c>
      <c r="N3" s="1229">
        <v>-25.2</v>
      </c>
      <c r="O3" s="1229">
        <v>787.1</v>
      </c>
      <c r="P3" s="1229">
        <v>16.850000000000001</v>
      </c>
      <c r="Q3" s="1229">
        <v>3.53</v>
      </c>
      <c r="R3" s="1229">
        <v>766.72</v>
      </c>
      <c r="S3" s="1229">
        <v>791.72704999999996</v>
      </c>
      <c r="T3" s="1229">
        <v>802.70147999999995</v>
      </c>
    </row>
    <row r="4" spans="1:20" ht="16.350000000000001" customHeight="1">
      <c r="A4" s="1219" t="s">
        <v>831</v>
      </c>
      <c r="B4" s="1232"/>
      <c r="C4" s="1232"/>
      <c r="D4" s="1232"/>
      <c r="E4" s="1231" t="s">
        <v>898</v>
      </c>
      <c r="F4" s="1230">
        <v>6779.9333333333097</v>
      </c>
      <c r="G4" s="1230">
        <v>69319.5</v>
      </c>
      <c r="H4" s="1230">
        <v>23018330</v>
      </c>
      <c r="I4" s="1230">
        <v>3740379</v>
      </c>
      <c r="J4" s="1230">
        <v>10249835</v>
      </c>
      <c r="K4" s="1230">
        <v>39996.5</v>
      </c>
      <c r="L4" s="1230">
        <v>9556.7333333333299</v>
      </c>
      <c r="M4" s="1229">
        <v>0</v>
      </c>
      <c r="N4" s="1229">
        <v>0</v>
      </c>
      <c r="O4" s="1229">
        <v>1915497.79</v>
      </c>
      <c r="P4" s="1229">
        <v>56394.619999999697</v>
      </c>
      <c r="Q4" s="1229">
        <v>12120.550000000199</v>
      </c>
      <c r="R4" s="1229">
        <v>1846982.6200000099</v>
      </c>
      <c r="S4" s="1229">
        <v>1848249.6584233399</v>
      </c>
      <c r="T4" s="1229">
        <v>1874570.72949332</v>
      </c>
    </row>
    <row r="5" spans="1:20" ht="16.350000000000001" customHeight="1">
      <c r="A5" s="1219" t="s">
        <v>831</v>
      </c>
      <c r="B5" s="1232"/>
      <c r="C5" s="1231" t="s">
        <v>51</v>
      </c>
      <c r="D5" s="1231" t="s">
        <v>957</v>
      </c>
      <c r="E5" s="1231" t="s">
        <v>832</v>
      </c>
      <c r="F5" s="1230">
        <v>72.066666666666706</v>
      </c>
      <c r="G5" s="1230">
        <v>305.5</v>
      </c>
      <c r="H5" s="1230">
        <v>264796</v>
      </c>
      <c r="I5" s="1230">
        <v>72066.666666666701</v>
      </c>
      <c r="J5" s="1230">
        <v>192729.33333333299</v>
      </c>
      <c r="K5" s="1230">
        <v>69</v>
      </c>
      <c r="L5" s="1230">
        <v>0</v>
      </c>
      <c r="M5" s="1229">
        <v>-213.61</v>
      </c>
      <c r="N5" s="1229">
        <v>-358.2</v>
      </c>
      <c r="O5" s="1229">
        <v>25426.83</v>
      </c>
      <c r="P5" s="1229">
        <v>648.72</v>
      </c>
      <c r="Q5" s="1229">
        <v>139.93</v>
      </c>
      <c r="R5" s="1229">
        <v>24638.18</v>
      </c>
      <c r="S5" s="1229">
        <v>24907.138543749999</v>
      </c>
      <c r="T5" s="1229">
        <v>25203.433038399999</v>
      </c>
    </row>
    <row r="6" spans="1:20" ht="16.350000000000001" customHeight="1">
      <c r="A6" s="1219" t="s">
        <v>831</v>
      </c>
      <c r="B6" s="1232"/>
      <c r="C6" s="1232"/>
      <c r="D6" s="1232"/>
      <c r="E6" s="1231" t="s">
        <v>898</v>
      </c>
      <c r="F6" s="1230">
        <v>121109.033333327</v>
      </c>
      <c r="G6" s="1230">
        <v>253112.5</v>
      </c>
      <c r="H6" s="1230">
        <v>181589643</v>
      </c>
      <c r="I6" s="1230">
        <v>70401862.333332002</v>
      </c>
      <c r="J6" s="1230">
        <v>100176407.666664</v>
      </c>
      <c r="K6" s="1230">
        <v>145790</v>
      </c>
      <c r="L6" s="1230">
        <v>235.53333333333299</v>
      </c>
      <c r="M6" s="1229">
        <v>0</v>
      </c>
      <c r="N6" s="1229">
        <v>0</v>
      </c>
      <c r="O6" s="1229">
        <v>16369449.359999999</v>
      </c>
      <c r="P6" s="1229">
        <v>444891.20000001299</v>
      </c>
      <c r="Q6" s="1229">
        <v>96314.999999995402</v>
      </c>
      <c r="R6" s="1229">
        <v>15828243.159998899</v>
      </c>
      <c r="S6" s="1229">
        <v>15831510.3072404</v>
      </c>
      <c r="T6" s="1229">
        <v>16056868.4144284</v>
      </c>
    </row>
    <row r="7" spans="1:20" ht="16.350000000000001" customHeight="1">
      <c r="A7" s="1219" t="s">
        <v>831</v>
      </c>
      <c r="B7" s="1232"/>
      <c r="C7" s="1232"/>
      <c r="D7" s="1231" t="s">
        <v>956</v>
      </c>
      <c r="E7" s="1231" t="s">
        <v>960</v>
      </c>
      <c r="F7" s="1230">
        <v>30.566666666666698</v>
      </c>
      <c r="G7" s="1230">
        <v>99</v>
      </c>
      <c r="H7" s="1230">
        <v>166482</v>
      </c>
      <c r="I7" s="1230">
        <v>28855</v>
      </c>
      <c r="J7" s="1230">
        <v>133329</v>
      </c>
      <c r="K7" s="1230">
        <v>42.5</v>
      </c>
      <c r="L7" s="1230">
        <v>0</v>
      </c>
      <c r="M7" s="1229">
        <v>0</v>
      </c>
      <c r="N7" s="1229">
        <v>-161.16999999999999</v>
      </c>
      <c r="O7" s="1229">
        <v>12855.89</v>
      </c>
      <c r="P7" s="1229">
        <v>407.86</v>
      </c>
      <c r="Q7" s="1229">
        <v>86.61</v>
      </c>
      <c r="R7" s="1229">
        <v>12361.42</v>
      </c>
      <c r="S7" s="1229">
        <v>12486.664771666699</v>
      </c>
      <c r="T7" s="1229">
        <v>12664.7887333333</v>
      </c>
    </row>
    <row r="8" spans="1:20" ht="16.350000000000001" customHeight="1">
      <c r="A8" s="1219" t="s">
        <v>831</v>
      </c>
      <c r="B8" s="1232"/>
      <c r="C8" s="1232"/>
      <c r="D8" s="1232"/>
      <c r="E8" s="1231" t="s">
        <v>958</v>
      </c>
      <c r="F8" s="1230">
        <v>24.066666666666698</v>
      </c>
      <c r="G8" s="1230">
        <v>725.5</v>
      </c>
      <c r="H8" s="1230">
        <v>229800</v>
      </c>
      <c r="I8" s="1230">
        <v>18066.666666666701</v>
      </c>
      <c r="J8" s="1230">
        <v>134533.33333333299</v>
      </c>
      <c r="K8" s="1230">
        <v>364</v>
      </c>
      <c r="L8" s="1230">
        <v>0</v>
      </c>
      <c r="M8" s="1229">
        <v>-177.19</v>
      </c>
      <c r="N8" s="1229">
        <v>0</v>
      </c>
      <c r="O8" s="1229">
        <v>17811.73</v>
      </c>
      <c r="P8" s="1229">
        <v>563</v>
      </c>
      <c r="Q8" s="1229">
        <v>122.72</v>
      </c>
      <c r="R8" s="1229">
        <v>17126.009999999998</v>
      </c>
      <c r="S8" s="1229">
        <v>17120.203419000001</v>
      </c>
      <c r="T8" s="1229">
        <v>17368.875479999999</v>
      </c>
    </row>
    <row r="9" spans="1:20" ht="16.350000000000001" customHeight="1">
      <c r="A9" s="1219" t="s">
        <v>831</v>
      </c>
      <c r="B9" s="1232"/>
      <c r="C9" s="1232"/>
      <c r="D9" s="1232"/>
      <c r="E9" s="1231" t="s">
        <v>832</v>
      </c>
      <c r="F9" s="1230">
        <v>60.066666666666698</v>
      </c>
      <c r="G9" s="1230">
        <v>732</v>
      </c>
      <c r="H9" s="1230">
        <v>114600</v>
      </c>
      <c r="I9" s="1230">
        <v>23033.333333333299</v>
      </c>
      <c r="J9" s="1230">
        <v>88686.666666666701</v>
      </c>
      <c r="K9" s="1230">
        <v>237</v>
      </c>
      <c r="L9" s="1230">
        <v>2643.7</v>
      </c>
      <c r="M9" s="1229">
        <v>-121.93</v>
      </c>
      <c r="N9" s="1229">
        <v>-381.92</v>
      </c>
      <c r="O9" s="1229">
        <v>15426.13</v>
      </c>
      <c r="P9" s="1229">
        <v>280.76</v>
      </c>
      <c r="Q9" s="1229">
        <v>60.83</v>
      </c>
      <c r="R9" s="1229">
        <v>15084.54</v>
      </c>
      <c r="S9" s="1229">
        <v>15253.861483000001</v>
      </c>
      <c r="T9" s="1229">
        <v>15402.010791999999</v>
      </c>
    </row>
    <row r="10" spans="1:20" ht="16.350000000000001" customHeight="1">
      <c r="A10" s="1219" t="s">
        <v>831</v>
      </c>
      <c r="B10" s="1232"/>
      <c r="C10" s="1232"/>
      <c r="D10" s="1232"/>
      <c r="E10" s="1231" t="s">
        <v>898</v>
      </c>
      <c r="F10" s="1230">
        <v>52030.766666665797</v>
      </c>
      <c r="G10" s="1230">
        <v>811740.5</v>
      </c>
      <c r="H10" s="1230">
        <v>298182458</v>
      </c>
      <c r="I10" s="1230">
        <v>42012093.999999903</v>
      </c>
      <c r="J10" s="1230">
        <v>160464505</v>
      </c>
      <c r="K10" s="1230">
        <v>543838.5</v>
      </c>
      <c r="L10" s="1230">
        <v>83183.299999999799</v>
      </c>
      <c r="M10" s="1229">
        <v>0</v>
      </c>
      <c r="N10" s="1229">
        <v>0</v>
      </c>
      <c r="O10" s="1229">
        <v>24354323.030000001</v>
      </c>
      <c r="P10" s="1229">
        <v>730547.10000000102</v>
      </c>
      <c r="Q10" s="1229">
        <v>157574.119999997</v>
      </c>
      <c r="R10" s="1229">
        <v>23466201.809999399</v>
      </c>
      <c r="S10" s="1229">
        <v>23471637.6151326</v>
      </c>
      <c r="T10" s="1229">
        <v>23808055.291753899</v>
      </c>
    </row>
    <row r="11" spans="1:20" ht="16.350000000000001" customHeight="1">
      <c r="A11" s="1219" t="s">
        <v>959</v>
      </c>
      <c r="B11" s="1232"/>
      <c r="C11" s="1231" t="s">
        <v>220</v>
      </c>
      <c r="D11" s="1231" t="s">
        <v>957</v>
      </c>
      <c r="E11" s="1231" t="s">
        <v>898</v>
      </c>
      <c r="F11" s="1230">
        <v>22.7</v>
      </c>
      <c r="G11" s="1230">
        <v>37</v>
      </c>
      <c r="H11" s="1230">
        <v>20613</v>
      </c>
      <c r="I11" s="1230">
        <v>13410.666666666701</v>
      </c>
      <c r="J11" s="1230">
        <v>7202.3333333333303</v>
      </c>
      <c r="K11" s="1230">
        <v>3</v>
      </c>
      <c r="L11" s="1230">
        <v>0</v>
      </c>
      <c r="M11" s="1229">
        <v>0</v>
      </c>
      <c r="N11" s="1229">
        <v>0</v>
      </c>
      <c r="O11" s="1229">
        <v>2067.87</v>
      </c>
      <c r="P11" s="1229">
        <v>50.5</v>
      </c>
      <c r="Q11" s="1229">
        <v>10.85</v>
      </c>
      <c r="R11" s="1229">
        <v>2006.52</v>
      </c>
      <c r="S11" s="1229">
        <v>2009.5387499999999</v>
      </c>
      <c r="T11" s="1229">
        <v>2037.51211333333</v>
      </c>
    </row>
    <row r="12" spans="1:20" ht="16.350000000000001" customHeight="1">
      <c r="A12" s="1219" t="s">
        <v>959</v>
      </c>
      <c r="B12" s="1232"/>
      <c r="C12" s="1232"/>
      <c r="D12" s="1231" t="s">
        <v>956</v>
      </c>
      <c r="E12" s="1231" t="s">
        <v>898</v>
      </c>
      <c r="F12" s="1230">
        <v>41.133333333333297</v>
      </c>
      <c r="G12" s="1230">
        <v>1860</v>
      </c>
      <c r="H12" s="1230">
        <v>437801</v>
      </c>
      <c r="I12" s="1230">
        <v>41133.333333333299</v>
      </c>
      <c r="J12" s="1230">
        <v>160107.66666666701</v>
      </c>
      <c r="K12" s="1230">
        <v>1706</v>
      </c>
      <c r="L12" s="1230">
        <v>87.466666666666697</v>
      </c>
      <c r="M12" s="1229">
        <v>0</v>
      </c>
      <c r="N12" s="1229">
        <v>0</v>
      </c>
      <c r="O12" s="1229">
        <v>37455.9</v>
      </c>
      <c r="P12" s="1229">
        <v>1072.5999999999999</v>
      </c>
      <c r="Q12" s="1229">
        <v>234.37</v>
      </c>
      <c r="R12" s="1229">
        <v>36148.93</v>
      </c>
      <c r="S12" s="1229">
        <v>36141.209421666703</v>
      </c>
      <c r="T12" s="1229">
        <v>36661.303726666702</v>
      </c>
    </row>
    <row r="13" spans="1:20" ht="16.350000000000001" customHeight="1">
      <c r="A13" s="1219" t="s">
        <v>858</v>
      </c>
      <c r="B13" s="1232"/>
      <c r="C13" s="1231" t="s">
        <v>763</v>
      </c>
      <c r="D13" s="1231" t="s">
        <v>957</v>
      </c>
      <c r="E13" s="1231" t="s">
        <v>898</v>
      </c>
      <c r="F13" s="1230">
        <v>4.2</v>
      </c>
      <c r="G13" s="1230">
        <v>0</v>
      </c>
      <c r="H13" s="1230">
        <v>896</v>
      </c>
      <c r="I13" s="1230">
        <v>896</v>
      </c>
      <c r="J13" s="1230">
        <v>0</v>
      </c>
      <c r="K13" s="1230">
        <v>0</v>
      </c>
      <c r="L13" s="1230">
        <v>0</v>
      </c>
      <c r="M13" s="1229">
        <v>0</v>
      </c>
      <c r="N13" s="1229">
        <v>0</v>
      </c>
      <c r="O13" s="1229">
        <v>125.08</v>
      </c>
      <c r="P13" s="1229">
        <v>2.19</v>
      </c>
      <c r="Q13" s="1229">
        <v>0.46</v>
      </c>
      <c r="R13" s="1229">
        <v>122.43</v>
      </c>
      <c r="S13" s="1229">
        <v>122.52248</v>
      </c>
      <c r="T13" s="1229">
        <v>124.08535999999999</v>
      </c>
    </row>
    <row r="14" spans="1:20" ht="16.350000000000001" customHeight="1">
      <c r="A14" s="1219" t="s">
        <v>854</v>
      </c>
      <c r="B14" s="1231" t="s">
        <v>854</v>
      </c>
      <c r="C14" s="1231" t="s">
        <v>850</v>
      </c>
      <c r="D14" s="1231" t="s">
        <v>957</v>
      </c>
      <c r="E14" s="1231" t="s">
        <v>898</v>
      </c>
      <c r="F14" s="1230">
        <v>515.83333333333303</v>
      </c>
      <c r="G14" s="1230">
        <v>446</v>
      </c>
      <c r="H14" s="1230">
        <v>259930</v>
      </c>
      <c r="I14" s="1230">
        <v>156149.33333333299</v>
      </c>
      <c r="J14" s="1230">
        <v>88460.666666666701</v>
      </c>
      <c r="K14" s="1230">
        <v>167</v>
      </c>
      <c r="L14" s="1230">
        <v>0</v>
      </c>
      <c r="M14" s="1229">
        <v>0</v>
      </c>
      <c r="N14" s="1229">
        <v>0</v>
      </c>
      <c r="O14" s="1229">
        <v>27963.18</v>
      </c>
      <c r="P14" s="1229">
        <v>636.77</v>
      </c>
      <c r="Q14" s="1229">
        <v>139.38</v>
      </c>
      <c r="R14" s="1229">
        <v>27187.029999999901</v>
      </c>
      <c r="S14" s="1229">
        <v>27195.768828333199</v>
      </c>
      <c r="T14" s="1229">
        <v>27578.527199999899</v>
      </c>
    </row>
    <row r="15" spans="1:20" ht="16.350000000000001" customHeight="1">
      <c r="A15" s="1219" t="s">
        <v>854</v>
      </c>
      <c r="B15" s="1232"/>
      <c r="C15" s="1232"/>
      <c r="D15" s="1231" t="s">
        <v>956</v>
      </c>
      <c r="E15" s="1231" t="s">
        <v>898</v>
      </c>
      <c r="F15" s="1230">
        <v>641.20000000000005</v>
      </c>
      <c r="G15" s="1230">
        <v>11069</v>
      </c>
      <c r="H15" s="1230">
        <v>1712805</v>
      </c>
      <c r="I15" s="1230">
        <v>383768.33333333302</v>
      </c>
      <c r="J15" s="1230">
        <v>866186.66666666698</v>
      </c>
      <c r="K15" s="1230">
        <v>3788</v>
      </c>
      <c r="L15" s="1230">
        <v>2342.36666666667</v>
      </c>
      <c r="M15" s="1229">
        <v>0</v>
      </c>
      <c r="N15" s="1229">
        <v>0</v>
      </c>
      <c r="O15" s="1229">
        <v>158328.85</v>
      </c>
      <c r="P15" s="1229">
        <v>4196.45</v>
      </c>
      <c r="Q15" s="1229">
        <v>913.57999999999902</v>
      </c>
      <c r="R15" s="1229">
        <v>153218.82</v>
      </c>
      <c r="S15" s="1229">
        <v>153337.740936666</v>
      </c>
      <c r="T15" s="1229">
        <v>155509.79130000001</v>
      </c>
    </row>
    <row r="16" spans="1:20" ht="16.350000000000001" customHeight="1">
      <c r="A16" s="1219" t="s">
        <v>854</v>
      </c>
      <c r="B16" s="1232"/>
      <c r="C16" s="1231" t="s">
        <v>51</v>
      </c>
      <c r="D16" s="1231" t="s">
        <v>957</v>
      </c>
      <c r="E16" s="1231" t="s">
        <v>898</v>
      </c>
      <c r="F16" s="1230">
        <v>1652.3</v>
      </c>
      <c r="G16" s="1230">
        <v>3207</v>
      </c>
      <c r="H16" s="1230">
        <v>2171876</v>
      </c>
      <c r="I16" s="1230">
        <v>900353.66666666698</v>
      </c>
      <c r="J16" s="1230">
        <v>1237316.33333333</v>
      </c>
      <c r="K16" s="1230">
        <v>1375</v>
      </c>
      <c r="L16" s="1230">
        <v>0</v>
      </c>
      <c r="M16" s="1229">
        <v>0</v>
      </c>
      <c r="N16" s="1229">
        <v>0</v>
      </c>
      <c r="O16" s="1229">
        <v>199032.74</v>
      </c>
      <c r="P16" s="1229">
        <v>5321.05</v>
      </c>
      <c r="Q16" s="1229">
        <v>1156.05</v>
      </c>
      <c r="R16" s="1229">
        <v>192555.640000001</v>
      </c>
      <c r="S16" s="1229">
        <v>192658.500913333</v>
      </c>
      <c r="T16" s="1229">
        <v>195402.92465333399</v>
      </c>
    </row>
    <row r="17" spans="1:20" ht="16.350000000000001" customHeight="1">
      <c r="A17" s="1219" t="s">
        <v>854</v>
      </c>
      <c r="B17" s="1232"/>
      <c r="C17" s="1232"/>
      <c r="D17" s="1231" t="s">
        <v>956</v>
      </c>
      <c r="E17" s="1231" t="s">
        <v>832</v>
      </c>
      <c r="F17" s="1230">
        <v>3</v>
      </c>
      <c r="G17" s="1230">
        <v>264</v>
      </c>
      <c r="H17" s="1230">
        <v>67200</v>
      </c>
      <c r="I17" s="1230">
        <v>3000</v>
      </c>
      <c r="J17" s="1230">
        <v>24000</v>
      </c>
      <c r="K17" s="1230">
        <v>132</v>
      </c>
      <c r="L17" s="1230">
        <v>0</v>
      </c>
      <c r="M17" s="1229">
        <v>-50.36</v>
      </c>
      <c r="N17" s="1229">
        <v>-92.7</v>
      </c>
      <c r="O17" s="1229">
        <v>5152.37</v>
      </c>
      <c r="P17" s="1229">
        <v>164.64</v>
      </c>
      <c r="Q17" s="1229">
        <v>31.68</v>
      </c>
      <c r="R17" s="1229">
        <v>4956.05</v>
      </c>
      <c r="S17" s="1229">
        <v>4968.4339799999998</v>
      </c>
      <c r="T17" s="1229">
        <v>5030.0733600000003</v>
      </c>
    </row>
    <row r="18" spans="1:20" ht="16.350000000000001" customHeight="1">
      <c r="A18" s="1219" t="s">
        <v>854</v>
      </c>
      <c r="B18" s="1232"/>
      <c r="C18" s="1232"/>
      <c r="D18" s="1232"/>
      <c r="E18" s="1231" t="s">
        <v>898</v>
      </c>
      <c r="F18" s="1230">
        <v>2627.1</v>
      </c>
      <c r="G18" s="1230">
        <v>47779</v>
      </c>
      <c r="H18" s="1230">
        <v>13208289</v>
      </c>
      <c r="I18" s="1230">
        <v>2084720.33333333</v>
      </c>
      <c r="J18" s="1230">
        <v>7486381.6666666605</v>
      </c>
      <c r="K18" s="1230">
        <v>31757.5</v>
      </c>
      <c r="L18" s="1230">
        <v>12392</v>
      </c>
      <c r="M18" s="1229">
        <v>0</v>
      </c>
      <c r="N18" s="1229">
        <v>0</v>
      </c>
      <c r="O18" s="1229">
        <v>1136961.21</v>
      </c>
      <c r="P18" s="1229">
        <v>32360.3299999999</v>
      </c>
      <c r="Q18" s="1229">
        <v>7004.3399999999901</v>
      </c>
      <c r="R18" s="1229">
        <v>1097596.54</v>
      </c>
      <c r="S18" s="1229">
        <v>1097326.639255</v>
      </c>
      <c r="T18" s="1229">
        <v>1112989.8614266701</v>
      </c>
    </row>
    <row r="19" spans="1:20" ht="16.350000000000001" customHeight="1">
      <c r="A19" s="1219" t="s">
        <v>831</v>
      </c>
      <c r="B19" s="1231" t="s">
        <v>856</v>
      </c>
      <c r="C19" s="1231" t="s">
        <v>51</v>
      </c>
      <c r="D19" s="1231" t="s">
        <v>957</v>
      </c>
      <c r="E19" s="1231" t="s">
        <v>898</v>
      </c>
      <c r="F19" s="1230">
        <v>7.7666666666666702</v>
      </c>
      <c r="G19" s="1230">
        <v>0</v>
      </c>
      <c r="H19" s="1230">
        <v>6887</v>
      </c>
      <c r="I19" s="1230">
        <v>3196</v>
      </c>
      <c r="J19" s="1230">
        <v>3691</v>
      </c>
      <c r="K19" s="1230">
        <v>0</v>
      </c>
      <c r="L19" s="1230">
        <v>0</v>
      </c>
      <c r="M19" s="1229">
        <v>0</v>
      </c>
      <c r="N19" s="1229">
        <v>0</v>
      </c>
      <c r="O19" s="1229">
        <v>640.29999999999995</v>
      </c>
      <c r="P19" s="1229">
        <v>16.88</v>
      </c>
      <c r="Q19" s="1229">
        <v>3.79</v>
      </c>
      <c r="R19" s="1229">
        <v>619.63</v>
      </c>
      <c r="S19" s="1229">
        <v>619.643323333333</v>
      </c>
      <c r="T19" s="1229">
        <v>628.76388666666696</v>
      </c>
    </row>
    <row r="20" spans="1:20" ht="16.350000000000001" customHeight="1">
      <c r="A20" s="1219" t="s">
        <v>831</v>
      </c>
      <c r="B20" s="1231" t="s">
        <v>858</v>
      </c>
      <c r="C20" s="1231" t="s">
        <v>850</v>
      </c>
      <c r="D20" s="1231" t="s">
        <v>957</v>
      </c>
      <c r="E20" s="1231" t="s">
        <v>898</v>
      </c>
      <c r="F20" s="1230">
        <v>1176.4000000000001</v>
      </c>
      <c r="G20" s="1230">
        <v>53</v>
      </c>
      <c r="H20" s="1230">
        <v>399794</v>
      </c>
      <c r="I20" s="1230">
        <v>333990</v>
      </c>
      <c r="J20" s="1230">
        <v>65804</v>
      </c>
      <c r="K20" s="1230">
        <v>14</v>
      </c>
      <c r="L20" s="1230">
        <v>0</v>
      </c>
      <c r="M20" s="1229">
        <v>0</v>
      </c>
      <c r="N20" s="1229">
        <v>0</v>
      </c>
      <c r="O20" s="1229">
        <v>47927.39</v>
      </c>
      <c r="P20" s="1229">
        <v>979.44999999999902</v>
      </c>
      <c r="Q20" s="1229">
        <v>219.84</v>
      </c>
      <c r="R20" s="1229">
        <v>46728.099999999897</v>
      </c>
      <c r="S20" s="1229">
        <v>46728.043400000002</v>
      </c>
      <c r="T20" s="1229">
        <v>47399.405239999898</v>
      </c>
    </row>
    <row r="21" spans="1:20" ht="16.350000000000001" customHeight="1">
      <c r="A21" s="1219" t="s">
        <v>831</v>
      </c>
      <c r="B21" s="1232"/>
      <c r="C21" s="1232"/>
      <c r="D21" s="1231" t="s">
        <v>956</v>
      </c>
      <c r="E21" s="1231" t="s">
        <v>898</v>
      </c>
      <c r="F21" s="1230">
        <v>77.133333333333297</v>
      </c>
      <c r="G21" s="1230">
        <v>0</v>
      </c>
      <c r="H21" s="1230">
        <v>47052</v>
      </c>
      <c r="I21" s="1230">
        <v>28907.333333333299</v>
      </c>
      <c r="J21" s="1230">
        <v>18144.666666666701</v>
      </c>
      <c r="K21" s="1230">
        <v>0</v>
      </c>
      <c r="L21" s="1230">
        <v>0</v>
      </c>
      <c r="M21" s="1229">
        <v>0</v>
      </c>
      <c r="N21" s="1229">
        <v>0</v>
      </c>
      <c r="O21" s="1229">
        <v>5115.46</v>
      </c>
      <c r="P21" s="1229">
        <v>115.29</v>
      </c>
      <c r="Q21" s="1229">
        <v>25.88</v>
      </c>
      <c r="R21" s="1229">
        <v>4974.29</v>
      </c>
      <c r="S21" s="1229">
        <v>4974.2901933333296</v>
      </c>
      <c r="T21" s="1229">
        <v>5048.3200533333302</v>
      </c>
    </row>
    <row r="22" spans="1:20" ht="16.350000000000001" customHeight="1">
      <c r="A22" s="1219" t="s">
        <v>831</v>
      </c>
      <c r="B22" s="1232"/>
      <c r="C22" s="1231" t="s">
        <v>51</v>
      </c>
      <c r="D22" s="1231" t="s">
        <v>957</v>
      </c>
      <c r="E22" s="1231" t="s">
        <v>898</v>
      </c>
      <c r="F22" s="1230">
        <v>1890.36666666667</v>
      </c>
      <c r="G22" s="1230">
        <v>504</v>
      </c>
      <c r="H22" s="1230">
        <v>796993</v>
      </c>
      <c r="I22" s="1230">
        <v>614422.33333333302</v>
      </c>
      <c r="J22" s="1230">
        <v>182570.66666666701</v>
      </c>
      <c r="K22" s="1230">
        <v>266</v>
      </c>
      <c r="L22" s="1230">
        <v>0</v>
      </c>
      <c r="M22" s="1229">
        <v>0</v>
      </c>
      <c r="N22" s="1229">
        <v>0</v>
      </c>
      <c r="O22" s="1229">
        <v>91299.03</v>
      </c>
      <c r="P22" s="1229">
        <v>1952.44999999999</v>
      </c>
      <c r="Q22" s="1229">
        <v>438.36</v>
      </c>
      <c r="R22" s="1229">
        <v>88908.220000000103</v>
      </c>
      <c r="S22" s="1229">
        <v>88870.719493333105</v>
      </c>
      <c r="T22" s="1229">
        <v>90153.875913333497</v>
      </c>
    </row>
    <row r="23" spans="1:20" ht="16.350000000000001" customHeight="1">
      <c r="A23" s="1219" t="s">
        <v>831</v>
      </c>
      <c r="B23" s="1232"/>
      <c r="C23" s="1232"/>
      <c r="D23" s="1231" t="s">
        <v>956</v>
      </c>
      <c r="E23" s="1231" t="s">
        <v>958</v>
      </c>
      <c r="F23" s="1230">
        <v>9</v>
      </c>
      <c r="G23" s="1230">
        <v>0</v>
      </c>
      <c r="H23" s="1230">
        <v>1940</v>
      </c>
      <c r="I23" s="1230">
        <v>1940</v>
      </c>
      <c r="J23" s="1230">
        <v>0</v>
      </c>
      <c r="K23" s="1230">
        <v>0</v>
      </c>
      <c r="L23" s="1230">
        <v>0</v>
      </c>
      <c r="M23" s="1229">
        <v>-3.06</v>
      </c>
      <c r="N23" s="1229">
        <v>0</v>
      </c>
      <c r="O23" s="1229">
        <v>304.56</v>
      </c>
      <c r="P23" s="1229">
        <v>4.76</v>
      </c>
      <c r="Q23" s="1229">
        <v>1.06</v>
      </c>
      <c r="R23" s="1229">
        <v>298.74</v>
      </c>
      <c r="S23" s="1229">
        <v>298.79744399999998</v>
      </c>
      <c r="T23" s="1229">
        <v>303.21759600000001</v>
      </c>
    </row>
    <row r="24" spans="1:20" ht="16.350000000000001" customHeight="1">
      <c r="A24" s="1219" t="s">
        <v>831</v>
      </c>
      <c r="B24" s="1232"/>
      <c r="C24" s="1232"/>
      <c r="D24" s="1232"/>
      <c r="E24" s="1231" t="s">
        <v>898</v>
      </c>
      <c r="F24" s="1230">
        <v>118.1</v>
      </c>
      <c r="G24" s="1230">
        <v>21</v>
      </c>
      <c r="H24" s="1230">
        <v>99890</v>
      </c>
      <c r="I24" s="1230">
        <v>52033</v>
      </c>
      <c r="J24" s="1230">
        <v>47857</v>
      </c>
      <c r="K24" s="1230">
        <v>2</v>
      </c>
      <c r="L24" s="1230">
        <v>0</v>
      </c>
      <c r="M24" s="1229">
        <v>0</v>
      </c>
      <c r="N24" s="1229">
        <v>0</v>
      </c>
      <c r="O24" s="1229">
        <v>10023.74</v>
      </c>
      <c r="P24" s="1229">
        <v>244.69</v>
      </c>
      <c r="Q24" s="1229">
        <v>54.95</v>
      </c>
      <c r="R24" s="1229">
        <v>9724.1</v>
      </c>
      <c r="S24" s="1229">
        <v>9724.0625700000001</v>
      </c>
      <c r="T24" s="1229">
        <v>9869.0339999999997</v>
      </c>
    </row>
    <row r="25" spans="1:20" ht="16.350000000000001" customHeight="1">
      <c r="A25" s="1219" t="s">
        <v>858</v>
      </c>
      <c r="B25" s="1232"/>
      <c r="C25" s="1231" t="s">
        <v>763</v>
      </c>
      <c r="D25" s="1231" t="s">
        <v>957</v>
      </c>
      <c r="E25" s="1231" t="s">
        <v>898</v>
      </c>
      <c r="F25" s="1230">
        <v>2664.36666666666</v>
      </c>
      <c r="G25" s="1230">
        <v>405</v>
      </c>
      <c r="H25" s="1230">
        <v>932275</v>
      </c>
      <c r="I25" s="1230">
        <v>754268</v>
      </c>
      <c r="J25" s="1230">
        <v>178007</v>
      </c>
      <c r="K25" s="1230">
        <v>224</v>
      </c>
      <c r="L25" s="1230">
        <v>0</v>
      </c>
      <c r="M25" s="1229">
        <v>0</v>
      </c>
      <c r="N25" s="1229">
        <v>0</v>
      </c>
      <c r="O25" s="1229">
        <v>111235.98</v>
      </c>
      <c r="P25" s="1229">
        <v>2284.06</v>
      </c>
      <c r="Q25" s="1229">
        <v>468.76999999999799</v>
      </c>
      <c r="R25" s="1229">
        <v>108483.15</v>
      </c>
      <c r="S25" s="1229">
        <v>108590.470286667</v>
      </c>
      <c r="T25" s="1229">
        <v>110010.99876666701</v>
      </c>
    </row>
    <row r="26" spans="1:20" ht="16.350000000000001" customHeight="1">
      <c r="A26" s="1219" t="s">
        <v>858</v>
      </c>
      <c r="B26" s="1228"/>
      <c r="C26" s="1228"/>
      <c r="D26" s="1227" t="s">
        <v>956</v>
      </c>
      <c r="E26" s="1227" t="s">
        <v>898</v>
      </c>
      <c r="F26" s="1226">
        <v>157.13333333333301</v>
      </c>
      <c r="G26" s="1226">
        <v>8</v>
      </c>
      <c r="H26" s="1226">
        <v>88851</v>
      </c>
      <c r="I26" s="1226">
        <v>55784.333333333299</v>
      </c>
      <c r="J26" s="1226">
        <v>33066.666666666701</v>
      </c>
      <c r="K26" s="1226">
        <v>0</v>
      </c>
      <c r="L26" s="1226">
        <v>0</v>
      </c>
      <c r="M26" s="1225">
        <v>0</v>
      </c>
      <c r="N26" s="1225">
        <v>0</v>
      </c>
      <c r="O26" s="1225">
        <v>9842.56</v>
      </c>
      <c r="P26" s="1225">
        <v>217.71</v>
      </c>
      <c r="Q26" s="1225">
        <v>43.9</v>
      </c>
      <c r="R26" s="1225">
        <v>9580.9500000000007</v>
      </c>
      <c r="S26" s="1225">
        <v>9597.6339900000003</v>
      </c>
      <c r="T26" s="1225">
        <v>9725.52599333334</v>
      </c>
    </row>
    <row r="27" spans="1:20">
      <c r="H27" s="1221">
        <f>SUM(H2:H26)</f>
        <v>541424539</v>
      </c>
      <c r="R27" s="1223"/>
      <c r="S27" s="1223"/>
    </row>
    <row r="28" spans="1:20" ht="15.75">
      <c r="I28" s="1219" t="s">
        <v>17</v>
      </c>
      <c r="J28" s="1219" t="s">
        <v>18</v>
      </c>
      <c r="L28" s="1219" t="s">
        <v>831</v>
      </c>
      <c r="N28" s="1219" t="s">
        <v>854</v>
      </c>
      <c r="P28" s="1219" t="s">
        <v>220</v>
      </c>
      <c r="R28" s="1224" t="s">
        <v>763</v>
      </c>
    </row>
    <row r="29" spans="1:20">
      <c r="H29" s="1219" t="s">
        <v>955</v>
      </c>
      <c r="I29" s="1221">
        <f>I13+I25+I26</f>
        <v>810948.33333333326</v>
      </c>
      <c r="J29" s="1221">
        <f>SUM(I2:I12,I19:I24)</f>
        <v>127352260.99999854</v>
      </c>
      <c r="L29" s="1219" t="s">
        <v>829</v>
      </c>
      <c r="M29" s="1223">
        <f>SUM(S2:S10,S20:S24)</f>
        <v>43140735.17214112</v>
      </c>
      <c r="N29" s="1219" t="s">
        <v>829</v>
      </c>
      <c r="O29" s="1223">
        <f>SUM(S14:S19)</f>
        <v>1476106.7272366656</v>
      </c>
      <c r="P29" s="1219" t="s">
        <v>829</v>
      </c>
      <c r="Q29" s="1223">
        <f>SUM(S11:S12)</f>
        <v>38150.748171666703</v>
      </c>
      <c r="R29" s="1219" t="s">
        <v>829</v>
      </c>
      <c r="S29" s="1223">
        <f>S13+S25+S26</f>
        <v>118310.626756667</v>
      </c>
    </row>
    <row r="30" spans="1:20">
      <c r="H30" s="1219" t="s">
        <v>954</v>
      </c>
      <c r="I30" s="1221">
        <f>J13+J25+J26</f>
        <v>211073.66666666669</v>
      </c>
      <c r="J30" s="1221">
        <f>SUM(J2:J12,J19:J24)</f>
        <v>278603395.99999738</v>
      </c>
      <c r="L30" s="1219" t="s">
        <v>812</v>
      </c>
      <c r="M30" s="1223">
        <f>SUM(P2:Q10,P20:Q24)</f>
        <v>1556668.530000007</v>
      </c>
      <c r="N30" s="1219" t="s">
        <v>812</v>
      </c>
      <c r="O30" s="1223">
        <f>SUM(P14:Q19)</f>
        <v>51944.939999999886</v>
      </c>
      <c r="P30" s="1219" t="s">
        <v>812</v>
      </c>
      <c r="Q30" s="1223">
        <f>SUM(P11:Q12)</f>
        <v>1368.3199999999997</v>
      </c>
      <c r="R30" s="1219" t="s">
        <v>812</v>
      </c>
      <c r="S30" s="1223">
        <f>P13+Q13+P25+Q25+P26+Q26</f>
        <v>3017.0899999999983</v>
      </c>
    </row>
    <row r="31" spans="1:20">
      <c r="H31" s="1219" t="s">
        <v>953</v>
      </c>
      <c r="I31" s="1221">
        <f>SUM(H13,H25:H26)-I29-I30</f>
        <v>0</v>
      </c>
      <c r="J31" s="1221">
        <f>SUM(H2:H12,H19:H24)-J29-J30</f>
        <v>117026760.00000405</v>
      </c>
      <c r="L31" s="1219" t="s">
        <v>815</v>
      </c>
      <c r="M31" s="1221">
        <f>SUM(H2:H10,H19:H24)</f>
        <v>522524003</v>
      </c>
      <c r="N31" s="1219" t="s">
        <v>815</v>
      </c>
      <c r="O31" s="1221">
        <f>SUM(H14:H18)</f>
        <v>17420100</v>
      </c>
      <c r="P31" s="1219" t="s">
        <v>815</v>
      </c>
      <c r="Q31" s="1221">
        <f>SUM(H11:H12)</f>
        <v>458414</v>
      </c>
      <c r="R31" s="1219" t="s">
        <v>815</v>
      </c>
      <c r="S31" s="1221">
        <f>H26+H25+H13</f>
        <v>1022022</v>
      </c>
    </row>
    <row r="32" spans="1:20">
      <c r="I32" s="1221">
        <f>SUM(I29:I31)</f>
        <v>1022022</v>
      </c>
      <c r="J32" s="1221">
        <f>SUM(J29:J31)</f>
        <v>522982417</v>
      </c>
    </row>
    <row r="33" spans="6:10">
      <c r="I33" s="1221"/>
      <c r="J33" s="1221"/>
    </row>
    <row r="34" spans="6:10">
      <c r="G34" s="1222" t="s">
        <v>815</v>
      </c>
      <c r="H34" s="1222"/>
      <c r="I34" s="1222" t="s">
        <v>37</v>
      </c>
      <c r="J34" s="1222"/>
    </row>
    <row r="35" spans="6:10">
      <c r="G35" s="1219" t="s">
        <v>952</v>
      </c>
      <c r="H35" s="1219" t="s">
        <v>951</v>
      </c>
      <c r="I35" s="1219" t="s">
        <v>952</v>
      </c>
      <c r="J35" s="1219" t="s">
        <v>951</v>
      </c>
    </row>
    <row r="36" spans="6:10">
      <c r="F36" s="1219" t="s">
        <v>950</v>
      </c>
      <c r="G36" s="1221">
        <f>H13+H25+H26</f>
        <v>1022022</v>
      </c>
      <c r="H36" s="1221">
        <f>SUM(H20:H26)</f>
        <v>2366795</v>
      </c>
      <c r="I36" s="1220">
        <f>R13+R25+R26</f>
        <v>118186.52999999998</v>
      </c>
      <c r="J36" s="1220">
        <f>SUM(R20:R26)</f>
        <v>268697.55</v>
      </c>
    </row>
    <row r="37" spans="6:10">
      <c r="F37" s="1219" t="s">
        <v>949</v>
      </c>
      <c r="G37" s="1221">
        <f>SUM(H2:H12,H19:H24)</f>
        <v>522982417</v>
      </c>
      <c r="H37" s="1221">
        <f>SUM(H2:H13)+H19</f>
        <v>521637644</v>
      </c>
      <c r="I37" s="1220">
        <f>SUM(R2:R12,R19:R24)</f>
        <v>43168280.619998381</v>
      </c>
      <c r="J37" s="1220">
        <f>SUM(R2:R13)+R19</f>
        <v>43017769.599998377</v>
      </c>
    </row>
    <row r="38" spans="6:10">
      <c r="F38" s="1219" t="s">
        <v>835</v>
      </c>
      <c r="G38" s="1221">
        <f>H14+H15+H16+H17+H18</f>
        <v>17420100</v>
      </c>
      <c r="H38" s="1221">
        <f>SUM(H14:H18)</f>
        <v>17420100</v>
      </c>
      <c r="I38" s="1220">
        <f>R14+R15+R16+R17+R18</f>
        <v>1475514.080000001</v>
      </c>
      <c r="J38" s="1220">
        <f>SUM(R14:R18)</f>
        <v>1475514.080000001</v>
      </c>
    </row>
    <row r="39" spans="6:10">
      <c r="G39" s="1221">
        <f>SUM(G36:G38)</f>
        <v>541424539</v>
      </c>
      <c r="H39" s="1221">
        <f>SUM(H36:H38)</f>
        <v>541424539</v>
      </c>
      <c r="I39" s="1220">
        <f>SUM(I36:I38)</f>
        <v>44761981.22999838</v>
      </c>
      <c r="J39" s="1220">
        <f>SUM(J36:J38)</f>
        <v>44761981.229998372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4"/>
  <sheetViews>
    <sheetView view="pageBreakPreview" zoomScale="90" zoomScaleNormal="80" zoomScaleSheetLayoutView="90" workbookViewId="0">
      <pane ySplit="16" topLeftCell="A17" activePane="bottomLeft" state="frozen"/>
      <selection activeCell="AL29" sqref="AL29"/>
      <selection pane="bottomLeft" activeCell="U8" sqref="U8"/>
    </sheetView>
  </sheetViews>
  <sheetFormatPr defaultRowHeight="12.75"/>
  <cols>
    <col min="1" max="1" width="6.5" style="1248" bestFit="1" customWidth="1"/>
    <col min="2" max="2" width="12.5" style="1283" bestFit="1" customWidth="1"/>
    <col min="3" max="3" width="9.375" style="1284" bestFit="1" customWidth="1"/>
    <col min="4" max="4" width="9.125" style="1285" bestFit="1" customWidth="1"/>
    <col min="5" max="5" width="2.75" style="1285" customWidth="1"/>
    <col min="6" max="6" width="9.375" style="1284" bestFit="1" customWidth="1"/>
    <col min="7" max="7" width="9.25" style="1285" bestFit="1" customWidth="1"/>
    <col min="8" max="8" width="2.75" style="1285" customWidth="1"/>
    <col min="9" max="9" width="9.375" style="1284" bestFit="1" customWidth="1"/>
    <col min="10" max="10" width="8.75" style="1285" bestFit="1" customWidth="1"/>
    <col min="11" max="11" width="2.75" style="1285" customWidth="1"/>
    <col min="12" max="12" width="9.875" style="1248" customWidth="1"/>
    <col min="13" max="14" width="9.875" style="1248" hidden="1" customWidth="1"/>
    <col min="15" max="15" width="7.625" style="1248" hidden="1" customWidth="1"/>
    <col min="16" max="16" width="5" style="1248" hidden="1" customWidth="1"/>
    <col min="17" max="18" width="9.875" style="1248" hidden="1" customWidth="1"/>
    <col min="19" max="20" width="0" style="1248" hidden="1" customWidth="1"/>
    <col min="21" max="231" width="9" style="1248"/>
    <col min="232" max="232" width="7.375" style="1248" customWidth="1"/>
    <col min="233" max="233" width="3.875" style="1248" bestFit="1" customWidth="1"/>
    <col min="234" max="234" width="5" style="1248" customWidth="1"/>
    <col min="235" max="235" width="10" style="1248" customWidth="1"/>
    <col min="236" max="236" width="0" style="1248" hidden="1" customWidth="1"/>
    <col min="237" max="237" width="14.5" style="1248" customWidth="1"/>
    <col min="238" max="238" width="0" style="1248" hidden="1" customWidth="1"/>
    <col min="239" max="239" width="10.5" style="1248" customWidth="1"/>
    <col min="240" max="240" width="14.25" style="1248" customWidth="1"/>
    <col min="241" max="241" width="0" style="1248" hidden="1" customWidth="1"/>
    <col min="242" max="242" width="10" style="1248" customWidth="1"/>
    <col min="243" max="243" width="12" style="1248" customWidth="1"/>
    <col min="244" max="244" width="10.25" style="1248" customWidth="1"/>
    <col min="245" max="487" width="9" style="1248"/>
    <col min="488" max="488" width="7.375" style="1248" customWidth="1"/>
    <col min="489" max="489" width="3.875" style="1248" bestFit="1" customWidth="1"/>
    <col min="490" max="490" width="5" style="1248" customWidth="1"/>
    <col min="491" max="491" width="10" style="1248" customWidth="1"/>
    <col min="492" max="492" width="0" style="1248" hidden="1" customWidth="1"/>
    <col min="493" max="493" width="14.5" style="1248" customWidth="1"/>
    <col min="494" max="494" width="0" style="1248" hidden="1" customWidth="1"/>
    <col min="495" max="495" width="10.5" style="1248" customWidth="1"/>
    <col min="496" max="496" width="14.25" style="1248" customWidth="1"/>
    <col min="497" max="497" width="0" style="1248" hidden="1" customWidth="1"/>
    <col min="498" max="498" width="10" style="1248" customWidth="1"/>
    <col min="499" max="499" width="12" style="1248" customWidth="1"/>
    <col min="500" max="500" width="10.25" style="1248" customWidth="1"/>
    <col min="501" max="743" width="9" style="1248"/>
    <col min="744" max="744" width="7.375" style="1248" customWidth="1"/>
    <col min="745" max="745" width="3.875" style="1248" bestFit="1" customWidth="1"/>
    <col min="746" max="746" width="5" style="1248" customWidth="1"/>
    <col min="747" max="747" width="10" style="1248" customWidth="1"/>
    <col min="748" max="748" width="0" style="1248" hidden="1" customWidth="1"/>
    <col min="749" max="749" width="14.5" style="1248" customWidth="1"/>
    <col min="750" max="750" width="0" style="1248" hidden="1" customWidth="1"/>
    <col min="751" max="751" width="10.5" style="1248" customWidth="1"/>
    <col min="752" max="752" width="14.25" style="1248" customWidth="1"/>
    <col min="753" max="753" width="0" style="1248" hidden="1" customWidth="1"/>
    <col min="754" max="754" width="10" style="1248" customWidth="1"/>
    <col min="755" max="755" width="12" style="1248" customWidth="1"/>
    <col min="756" max="756" width="10.25" style="1248" customWidth="1"/>
    <col min="757" max="999" width="9" style="1248"/>
    <col min="1000" max="1000" width="7.375" style="1248" customWidth="1"/>
    <col min="1001" max="1001" width="3.875" style="1248" bestFit="1" customWidth="1"/>
    <col min="1002" max="1002" width="5" style="1248" customWidth="1"/>
    <col min="1003" max="1003" width="10" style="1248" customWidth="1"/>
    <col min="1004" max="1004" width="0" style="1248" hidden="1" customWidth="1"/>
    <col min="1005" max="1005" width="14.5" style="1248" customWidth="1"/>
    <col min="1006" max="1006" width="0" style="1248" hidden="1" customWidth="1"/>
    <col min="1007" max="1007" width="10.5" style="1248" customWidth="1"/>
    <col min="1008" max="1008" width="14.25" style="1248" customWidth="1"/>
    <col min="1009" max="1009" width="0" style="1248" hidden="1" customWidth="1"/>
    <col min="1010" max="1010" width="10" style="1248" customWidth="1"/>
    <col min="1011" max="1011" width="12" style="1248" customWidth="1"/>
    <col min="1012" max="1012" width="10.25" style="1248" customWidth="1"/>
    <col min="1013" max="1255" width="9" style="1248"/>
    <col min="1256" max="1256" width="7.375" style="1248" customWidth="1"/>
    <col min="1257" max="1257" width="3.875" style="1248" bestFit="1" customWidth="1"/>
    <col min="1258" max="1258" width="5" style="1248" customWidth="1"/>
    <col min="1259" max="1259" width="10" style="1248" customWidth="1"/>
    <col min="1260" max="1260" width="0" style="1248" hidden="1" customWidth="1"/>
    <col min="1261" max="1261" width="14.5" style="1248" customWidth="1"/>
    <col min="1262" max="1262" width="0" style="1248" hidden="1" customWidth="1"/>
    <col min="1263" max="1263" width="10.5" style="1248" customWidth="1"/>
    <col min="1264" max="1264" width="14.25" style="1248" customWidth="1"/>
    <col min="1265" max="1265" width="0" style="1248" hidden="1" customWidth="1"/>
    <col min="1266" max="1266" width="10" style="1248" customWidth="1"/>
    <col min="1267" max="1267" width="12" style="1248" customWidth="1"/>
    <col min="1268" max="1268" width="10.25" style="1248" customWidth="1"/>
    <col min="1269" max="1511" width="9" style="1248"/>
    <col min="1512" max="1512" width="7.375" style="1248" customWidth="1"/>
    <col min="1513" max="1513" width="3.875" style="1248" bestFit="1" customWidth="1"/>
    <col min="1514" max="1514" width="5" style="1248" customWidth="1"/>
    <col min="1515" max="1515" width="10" style="1248" customWidth="1"/>
    <col min="1516" max="1516" width="0" style="1248" hidden="1" customWidth="1"/>
    <col min="1517" max="1517" width="14.5" style="1248" customWidth="1"/>
    <col min="1518" max="1518" width="0" style="1248" hidden="1" customWidth="1"/>
    <col min="1519" max="1519" width="10.5" style="1248" customWidth="1"/>
    <col min="1520" max="1520" width="14.25" style="1248" customWidth="1"/>
    <col min="1521" max="1521" width="0" style="1248" hidden="1" customWidth="1"/>
    <col min="1522" max="1522" width="10" style="1248" customWidth="1"/>
    <col min="1523" max="1523" width="12" style="1248" customWidth="1"/>
    <col min="1524" max="1524" width="10.25" style="1248" customWidth="1"/>
    <col min="1525" max="1767" width="9" style="1248"/>
    <col min="1768" max="1768" width="7.375" style="1248" customWidth="1"/>
    <col min="1769" max="1769" width="3.875" style="1248" bestFit="1" customWidth="1"/>
    <col min="1770" max="1770" width="5" style="1248" customWidth="1"/>
    <col min="1771" max="1771" width="10" style="1248" customWidth="1"/>
    <col min="1772" max="1772" width="0" style="1248" hidden="1" customWidth="1"/>
    <col min="1773" max="1773" width="14.5" style="1248" customWidth="1"/>
    <col min="1774" max="1774" width="0" style="1248" hidden="1" customWidth="1"/>
    <col min="1775" max="1775" width="10.5" style="1248" customWidth="1"/>
    <col min="1776" max="1776" width="14.25" style="1248" customWidth="1"/>
    <col min="1777" max="1777" width="0" style="1248" hidden="1" customWidth="1"/>
    <col min="1778" max="1778" width="10" style="1248" customWidth="1"/>
    <col min="1779" max="1779" width="12" style="1248" customWidth="1"/>
    <col min="1780" max="1780" width="10.25" style="1248" customWidth="1"/>
    <col min="1781" max="2023" width="9" style="1248"/>
    <col min="2024" max="2024" width="7.375" style="1248" customWidth="1"/>
    <col min="2025" max="2025" width="3.875" style="1248" bestFit="1" customWidth="1"/>
    <col min="2026" max="2026" width="5" style="1248" customWidth="1"/>
    <col min="2027" max="2027" width="10" style="1248" customWidth="1"/>
    <col min="2028" max="2028" width="0" style="1248" hidden="1" customWidth="1"/>
    <col min="2029" max="2029" width="14.5" style="1248" customWidth="1"/>
    <col min="2030" max="2030" width="0" style="1248" hidden="1" customWidth="1"/>
    <col min="2031" max="2031" width="10.5" style="1248" customWidth="1"/>
    <col min="2032" max="2032" width="14.25" style="1248" customWidth="1"/>
    <col min="2033" max="2033" width="0" style="1248" hidden="1" customWidth="1"/>
    <col min="2034" max="2034" width="10" style="1248" customWidth="1"/>
    <col min="2035" max="2035" width="12" style="1248" customWidth="1"/>
    <col min="2036" max="2036" width="10.25" style="1248" customWidth="1"/>
    <col min="2037" max="2279" width="9" style="1248"/>
    <col min="2280" max="2280" width="7.375" style="1248" customWidth="1"/>
    <col min="2281" max="2281" width="3.875" style="1248" bestFit="1" customWidth="1"/>
    <col min="2282" max="2282" width="5" style="1248" customWidth="1"/>
    <col min="2283" max="2283" width="10" style="1248" customWidth="1"/>
    <col min="2284" max="2284" width="0" style="1248" hidden="1" customWidth="1"/>
    <col min="2285" max="2285" width="14.5" style="1248" customWidth="1"/>
    <col min="2286" max="2286" width="0" style="1248" hidden="1" customWidth="1"/>
    <col min="2287" max="2287" width="10.5" style="1248" customWidth="1"/>
    <col min="2288" max="2288" width="14.25" style="1248" customWidth="1"/>
    <col min="2289" max="2289" width="0" style="1248" hidden="1" customWidth="1"/>
    <col min="2290" max="2290" width="10" style="1248" customWidth="1"/>
    <col min="2291" max="2291" width="12" style="1248" customWidth="1"/>
    <col min="2292" max="2292" width="10.25" style="1248" customWidth="1"/>
    <col min="2293" max="2535" width="9" style="1248"/>
    <col min="2536" max="2536" width="7.375" style="1248" customWidth="1"/>
    <col min="2537" max="2537" width="3.875" style="1248" bestFit="1" customWidth="1"/>
    <col min="2538" max="2538" width="5" style="1248" customWidth="1"/>
    <col min="2539" max="2539" width="10" style="1248" customWidth="1"/>
    <col min="2540" max="2540" width="0" style="1248" hidden="1" customWidth="1"/>
    <col min="2541" max="2541" width="14.5" style="1248" customWidth="1"/>
    <col min="2542" max="2542" width="0" style="1248" hidden="1" customWidth="1"/>
    <col min="2543" max="2543" width="10.5" style="1248" customWidth="1"/>
    <col min="2544" max="2544" width="14.25" style="1248" customWidth="1"/>
    <col min="2545" max="2545" width="0" style="1248" hidden="1" customWidth="1"/>
    <col min="2546" max="2546" width="10" style="1248" customWidth="1"/>
    <col min="2547" max="2547" width="12" style="1248" customWidth="1"/>
    <col min="2548" max="2548" width="10.25" style="1248" customWidth="1"/>
    <col min="2549" max="2791" width="9" style="1248"/>
    <col min="2792" max="2792" width="7.375" style="1248" customWidth="1"/>
    <col min="2793" max="2793" width="3.875" style="1248" bestFit="1" customWidth="1"/>
    <col min="2794" max="2794" width="5" style="1248" customWidth="1"/>
    <col min="2795" max="2795" width="10" style="1248" customWidth="1"/>
    <col min="2796" max="2796" width="0" style="1248" hidden="1" customWidth="1"/>
    <col min="2797" max="2797" width="14.5" style="1248" customWidth="1"/>
    <col min="2798" max="2798" width="0" style="1248" hidden="1" customWidth="1"/>
    <col min="2799" max="2799" width="10.5" style="1248" customWidth="1"/>
    <col min="2800" max="2800" width="14.25" style="1248" customWidth="1"/>
    <col min="2801" max="2801" width="0" style="1248" hidden="1" customWidth="1"/>
    <col min="2802" max="2802" width="10" style="1248" customWidth="1"/>
    <col min="2803" max="2803" width="12" style="1248" customWidth="1"/>
    <col min="2804" max="2804" width="10.25" style="1248" customWidth="1"/>
    <col min="2805" max="3047" width="9" style="1248"/>
    <col min="3048" max="3048" width="7.375" style="1248" customWidth="1"/>
    <col min="3049" max="3049" width="3.875" style="1248" bestFit="1" customWidth="1"/>
    <col min="3050" max="3050" width="5" style="1248" customWidth="1"/>
    <col min="3051" max="3051" width="10" style="1248" customWidth="1"/>
    <col min="3052" max="3052" width="0" style="1248" hidden="1" customWidth="1"/>
    <col min="3053" max="3053" width="14.5" style="1248" customWidth="1"/>
    <col min="3054" max="3054" width="0" style="1248" hidden="1" customWidth="1"/>
    <col min="3055" max="3055" width="10.5" style="1248" customWidth="1"/>
    <col min="3056" max="3056" width="14.25" style="1248" customWidth="1"/>
    <col min="3057" max="3057" width="0" style="1248" hidden="1" customWidth="1"/>
    <col min="3058" max="3058" width="10" style="1248" customWidth="1"/>
    <col min="3059" max="3059" width="12" style="1248" customWidth="1"/>
    <col min="3060" max="3060" width="10.25" style="1248" customWidth="1"/>
    <col min="3061" max="3303" width="9" style="1248"/>
    <col min="3304" max="3304" width="7.375" style="1248" customWidth="1"/>
    <col min="3305" max="3305" width="3.875" style="1248" bestFit="1" customWidth="1"/>
    <col min="3306" max="3306" width="5" style="1248" customWidth="1"/>
    <col min="3307" max="3307" width="10" style="1248" customWidth="1"/>
    <col min="3308" max="3308" width="0" style="1248" hidden="1" customWidth="1"/>
    <col min="3309" max="3309" width="14.5" style="1248" customWidth="1"/>
    <col min="3310" max="3310" width="0" style="1248" hidden="1" customWidth="1"/>
    <col min="3311" max="3311" width="10.5" style="1248" customWidth="1"/>
    <col min="3312" max="3312" width="14.25" style="1248" customWidth="1"/>
    <col min="3313" max="3313" width="0" style="1248" hidden="1" customWidth="1"/>
    <col min="3314" max="3314" width="10" style="1248" customWidth="1"/>
    <col min="3315" max="3315" width="12" style="1248" customWidth="1"/>
    <col min="3316" max="3316" width="10.25" style="1248" customWidth="1"/>
    <col min="3317" max="3559" width="9" style="1248"/>
    <col min="3560" max="3560" width="7.375" style="1248" customWidth="1"/>
    <col min="3561" max="3561" width="3.875" style="1248" bestFit="1" customWidth="1"/>
    <col min="3562" max="3562" width="5" style="1248" customWidth="1"/>
    <col min="3563" max="3563" width="10" style="1248" customWidth="1"/>
    <col min="3564" max="3564" width="0" style="1248" hidden="1" customWidth="1"/>
    <col min="3565" max="3565" width="14.5" style="1248" customWidth="1"/>
    <col min="3566" max="3566" width="0" style="1248" hidden="1" customWidth="1"/>
    <col min="3567" max="3567" width="10.5" style="1248" customWidth="1"/>
    <col min="3568" max="3568" width="14.25" style="1248" customWidth="1"/>
    <col min="3569" max="3569" width="0" style="1248" hidden="1" customWidth="1"/>
    <col min="3570" max="3570" width="10" style="1248" customWidth="1"/>
    <col min="3571" max="3571" width="12" style="1248" customWidth="1"/>
    <col min="3572" max="3572" width="10.25" style="1248" customWidth="1"/>
    <col min="3573" max="3815" width="9" style="1248"/>
    <col min="3816" max="3816" width="7.375" style="1248" customWidth="1"/>
    <col min="3817" max="3817" width="3.875" style="1248" bestFit="1" customWidth="1"/>
    <col min="3818" max="3818" width="5" style="1248" customWidth="1"/>
    <col min="3819" max="3819" width="10" style="1248" customWidth="1"/>
    <col min="3820" max="3820" width="0" style="1248" hidden="1" customWidth="1"/>
    <col min="3821" max="3821" width="14.5" style="1248" customWidth="1"/>
    <col min="3822" max="3822" width="0" style="1248" hidden="1" customWidth="1"/>
    <col min="3823" max="3823" width="10.5" style="1248" customWidth="1"/>
    <col min="3824" max="3824" width="14.25" style="1248" customWidth="1"/>
    <col min="3825" max="3825" width="0" style="1248" hidden="1" customWidth="1"/>
    <col min="3826" max="3826" width="10" style="1248" customWidth="1"/>
    <col min="3827" max="3827" width="12" style="1248" customWidth="1"/>
    <col min="3828" max="3828" width="10.25" style="1248" customWidth="1"/>
    <col min="3829" max="4071" width="9" style="1248"/>
    <col min="4072" max="4072" width="7.375" style="1248" customWidth="1"/>
    <col min="4073" max="4073" width="3.875" style="1248" bestFit="1" customWidth="1"/>
    <col min="4074" max="4074" width="5" style="1248" customWidth="1"/>
    <col min="4075" max="4075" width="10" style="1248" customWidth="1"/>
    <col min="4076" max="4076" width="0" style="1248" hidden="1" customWidth="1"/>
    <col min="4077" max="4077" width="14.5" style="1248" customWidth="1"/>
    <col min="4078" max="4078" width="0" style="1248" hidden="1" customWidth="1"/>
    <col min="4079" max="4079" width="10.5" style="1248" customWidth="1"/>
    <col min="4080" max="4080" width="14.25" style="1248" customWidth="1"/>
    <col min="4081" max="4081" width="0" style="1248" hidden="1" customWidth="1"/>
    <col min="4082" max="4082" width="10" style="1248" customWidth="1"/>
    <col min="4083" max="4083" width="12" style="1248" customWidth="1"/>
    <col min="4084" max="4084" width="10.25" style="1248" customWidth="1"/>
    <col min="4085" max="4327" width="9" style="1248"/>
    <col min="4328" max="4328" width="7.375" style="1248" customWidth="1"/>
    <col min="4329" max="4329" width="3.875" style="1248" bestFit="1" customWidth="1"/>
    <col min="4330" max="4330" width="5" style="1248" customWidth="1"/>
    <col min="4331" max="4331" width="10" style="1248" customWidth="1"/>
    <col min="4332" max="4332" width="0" style="1248" hidden="1" customWidth="1"/>
    <col min="4333" max="4333" width="14.5" style="1248" customWidth="1"/>
    <col min="4334" max="4334" width="0" style="1248" hidden="1" customWidth="1"/>
    <col min="4335" max="4335" width="10.5" style="1248" customWidth="1"/>
    <col min="4336" max="4336" width="14.25" style="1248" customWidth="1"/>
    <col min="4337" max="4337" width="0" style="1248" hidden="1" customWidth="1"/>
    <col min="4338" max="4338" width="10" style="1248" customWidth="1"/>
    <col min="4339" max="4339" width="12" style="1248" customWidth="1"/>
    <col min="4340" max="4340" width="10.25" style="1248" customWidth="1"/>
    <col min="4341" max="4583" width="9" style="1248"/>
    <col min="4584" max="4584" width="7.375" style="1248" customWidth="1"/>
    <col min="4585" max="4585" width="3.875" style="1248" bestFit="1" customWidth="1"/>
    <col min="4586" max="4586" width="5" style="1248" customWidth="1"/>
    <col min="4587" max="4587" width="10" style="1248" customWidth="1"/>
    <col min="4588" max="4588" width="0" style="1248" hidden="1" customWidth="1"/>
    <col min="4589" max="4589" width="14.5" style="1248" customWidth="1"/>
    <col min="4590" max="4590" width="0" style="1248" hidden="1" customWidth="1"/>
    <col min="4591" max="4591" width="10.5" style="1248" customWidth="1"/>
    <col min="4592" max="4592" width="14.25" style="1248" customWidth="1"/>
    <col min="4593" max="4593" width="0" style="1248" hidden="1" customWidth="1"/>
    <col min="4594" max="4594" width="10" style="1248" customWidth="1"/>
    <col min="4595" max="4595" width="12" style="1248" customWidth="1"/>
    <col min="4596" max="4596" width="10.25" style="1248" customWidth="1"/>
    <col min="4597" max="4839" width="9" style="1248"/>
    <col min="4840" max="4840" width="7.375" style="1248" customWidth="1"/>
    <col min="4841" max="4841" width="3.875" style="1248" bestFit="1" customWidth="1"/>
    <col min="4842" max="4842" width="5" style="1248" customWidth="1"/>
    <col min="4843" max="4843" width="10" style="1248" customWidth="1"/>
    <col min="4844" max="4844" width="0" style="1248" hidden="1" customWidth="1"/>
    <col min="4845" max="4845" width="14.5" style="1248" customWidth="1"/>
    <col min="4846" max="4846" width="0" style="1248" hidden="1" customWidth="1"/>
    <col min="4847" max="4847" width="10.5" style="1248" customWidth="1"/>
    <col min="4848" max="4848" width="14.25" style="1248" customWidth="1"/>
    <col min="4849" max="4849" width="0" style="1248" hidden="1" customWidth="1"/>
    <col min="4850" max="4850" width="10" style="1248" customWidth="1"/>
    <col min="4851" max="4851" width="12" style="1248" customWidth="1"/>
    <col min="4852" max="4852" width="10.25" style="1248" customWidth="1"/>
    <col min="4853" max="5095" width="9" style="1248"/>
    <col min="5096" max="5096" width="7.375" style="1248" customWidth="1"/>
    <col min="5097" max="5097" width="3.875" style="1248" bestFit="1" customWidth="1"/>
    <col min="5098" max="5098" width="5" style="1248" customWidth="1"/>
    <col min="5099" max="5099" width="10" style="1248" customWidth="1"/>
    <col min="5100" max="5100" width="0" style="1248" hidden="1" customWidth="1"/>
    <col min="5101" max="5101" width="14.5" style="1248" customWidth="1"/>
    <col min="5102" max="5102" width="0" style="1248" hidden="1" customWidth="1"/>
    <col min="5103" max="5103" width="10.5" style="1248" customWidth="1"/>
    <col min="5104" max="5104" width="14.25" style="1248" customWidth="1"/>
    <col min="5105" max="5105" width="0" style="1248" hidden="1" customWidth="1"/>
    <col min="5106" max="5106" width="10" style="1248" customWidth="1"/>
    <col min="5107" max="5107" width="12" style="1248" customWidth="1"/>
    <col min="5108" max="5108" width="10.25" style="1248" customWidth="1"/>
    <col min="5109" max="5351" width="9" style="1248"/>
    <col min="5352" max="5352" width="7.375" style="1248" customWidth="1"/>
    <col min="5353" max="5353" width="3.875" style="1248" bestFit="1" customWidth="1"/>
    <col min="5354" max="5354" width="5" style="1248" customWidth="1"/>
    <col min="5355" max="5355" width="10" style="1248" customWidth="1"/>
    <col min="5356" max="5356" width="0" style="1248" hidden="1" customWidth="1"/>
    <col min="5357" max="5357" width="14.5" style="1248" customWidth="1"/>
    <col min="5358" max="5358" width="0" style="1248" hidden="1" customWidth="1"/>
    <col min="5359" max="5359" width="10.5" style="1248" customWidth="1"/>
    <col min="5360" max="5360" width="14.25" style="1248" customWidth="1"/>
    <col min="5361" max="5361" width="0" style="1248" hidden="1" customWidth="1"/>
    <col min="5362" max="5362" width="10" style="1248" customWidth="1"/>
    <col min="5363" max="5363" width="12" style="1248" customWidth="1"/>
    <col min="5364" max="5364" width="10.25" style="1248" customWidth="1"/>
    <col min="5365" max="5607" width="9" style="1248"/>
    <col min="5608" max="5608" width="7.375" style="1248" customWidth="1"/>
    <col min="5609" max="5609" width="3.875" style="1248" bestFit="1" customWidth="1"/>
    <col min="5610" max="5610" width="5" style="1248" customWidth="1"/>
    <col min="5611" max="5611" width="10" style="1248" customWidth="1"/>
    <col min="5612" max="5612" width="0" style="1248" hidden="1" customWidth="1"/>
    <col min="5613" max="5613" width="14.5" style="1248" customWidth="1"/>
    <col min="5614" max="5614" width="0" style="1248" hidden="1" customWidth="1"/>
    <col min="5615" max="5615" width="10.5" style="1248" customWidth="1"/>
    <col min="5616" max="5616" width="14.25" style="1248" customWidth="1"/>
    <col min="5617" max="5617" width="0" style="1248" hidden="1" customWidth="1"/>
    <col min="5618" max="5618" width="10" style="1248" customWidth="1"/>
    <col min="5619" max="5619" width="12" style="1248" customWidth="1"/>
    <col min="5620" max="5620" width="10.25" style="1248" customWidth="1"/>
    <col min="5621" max="5863" width="9" style="1248"/>
    <col min="5864" max="5864" width="7.375" style="1248" customWidth="1"/>
    <col min="5865" max="5865" width="3.875" style="1248" bestFit="1" customWidth="1"/>
    <col min="5866" max="5866" width="5" style="1248" customWidth="1"/>
    <col min="5867" max="5867" width="10" style="1248" customWidth="1"/>
    <col min="5868" max="5868" width="0" style="1248" hidden="1" customWidth="1"/>
    <col min="5869" max="5869" width="14.5" style="1248" customWidth="1"/>
    <col min="5870" max="5870" width="0" style="1248" hidden="1" customWidth="1"/>
    <col min="5871" max="5871" width="10.5" style="1248" customWidth="1"/>
    <col min="5872" max="5872" width="14.25" style="1248" customWidth="1"/>
    <col min="5873" max="5873" width="0" style="1248" hidden="1" customWidth="1"/>
    <col min="5874" max="5874" width="10" style="1248" customWidth="1"/>
    <col min="5875" max="5875" width="12" style="1248" customWidth="1"/>
    <col min="5876" max="5876" width="10.25" style="1248" customWidth="1"/>
    <col min="5877" max="6119" width="9" style="1248"/>
    <col min="6120" max="6120" width="7.375" style="1248" customWidth="1"/>
    <col min="6121" max="6121" width="3.875" style="1248" bestFit="1" customWidth="1"/>
    <col min="6122" max="6122" width="5" style="1248" customWidth="1"/>
    <col min="6123" max="6123" width="10" style="1248" customWidth="1"/>
    <col min="6124" max="6124" width="0" style="1248" hidden="1" customWidth="1"/>
    <col min="6125" max="6125" width="14.5" style="1248" customWidth="1"/>
    <col min="6126" max="6126" width="0" style="1248" hidden="1" customWidth="1"/>
    <col min="6127" max="6127" width="10.5" style="1248" customWidth="1"/>
    <col min="6128" max="6128" width="14.25" style="1248" customWidth="1"/>
    <col min="6129" max="6129" width="0" style="1248" hidden="1" customWidth="1"/>
    <col min="6130" max="6130" width="10" style="1248" customWidth="1"/>
    <col min="6131" max="6131" width="12" style="1248" customWidth="1"/>
    <col min="6132" max="6132" width="10.25" style="1248" customWidth="1"/>
    <col min="6133" max="6375" width="9" style="1248"/>
    <col min="6376" max="6376" width="7.375" style="1248" customWidth="1"/>
    <col min="6377" max="6377" width="3.875" style="1248" bestFit="1" customWidth="1"/>
    <col min="6378" max="6378" width="5" style="1248" customWidth="1"/>
    <col min="6379" max="6379" width="10" style="1248" customWidth="1"/>
    <col min="6380" max="6380" width="0" style="1248" hidden="1" customWidth="1"/>
    <col min="6381" max="6381" width="14.5" style="1248" customWidth="1"/>
    <col min="6382" max="6382" width="0" style="1248" hidden="1" customWidth="1"/>
    <col min="6383" max="6383" width="10.5" style="1248" customWidth="1"/>
    <col min="6384" max="6384" width="14.25" style="1248" customWidth="1"/>
    <col min="6385" max="6385" width="0" style="1248" hidden="1" customWidth="1"/>
    <col min="6386" max="6386" width="10" style="1248" customWidth="1"/>
    <col min="6387" max="6387" width="12" style="1248" customWidth="1"/>
    <col min="6388" max="6388" width="10.25" style="1248" customWidth="1"/>
    <col min="6389" max="6631" width="9" style="1248"/>
    <col min="6632" max="6632" width="7.375" style="1248" customWidth="1"/>
    <col min="6633" max="6633" width="3.875" style="1248" bestFit="1" customWidth="1"/>
    <col min="6634" max="6634" width="5" style="1248" customWidth="1"/>
    <col min="6635" max="6635" width="10" style="1248" customWidth="1"/>
    <col min="6636" max="6636" width="0" style="1248" hidden="1" customWidth="1"/>
    <col min="6637" max="6637" width="14.5" style="1248" customWidth="1"/>
    <col min="6638" max="6638" width="0" style="1248" hidden="1" customWidth="1"/>
    <col min="6639" max="6639" width="10.5" style="1248" customWidth="1"/>
    <col min="6640" max="6640" width="14.25" style="1248" customWidth="1"/>
    <col min="6641" max="6641" width="0" style="1248" hidden="1" customWidth="1"/>
    <col min="6642" max="6642" width="10" style="1248" customWidth="1"/>
    <col min="6643" max="6643" width="12" style="1248" customWidth="1"/>
    <col min="6644" max="6644" width="10.25" style="1248" customWidth="1"/>
    <col min="6645" max="6887" width="9" style="1248"/>
    <col min="6888" max="6888" width="7.375" style="1248" customWidth="1"/>
    <col min="6889" max="6889" width="3.875" style="1248" bestFit="1" customWidth="1"/>
    <col min="6890" max="6890" width="5" style="1248" customWidth="1"/>
    <col min="6891" max="6891" width="10" style="1248" customWidth="1"/>
    <col min="6892" max="6892" width="0" style="1248" hidden="1" customWidth="1"/>
    <col min="6893" max="6893" width="14.5" style="1248" customWidth="1"/>
    <col min="6894" max="6894" width="0" style="1248" hidden="1" customWidth="1"/>
    <col min="6895" max="6895" width="10.5" style="1248" customWidth="1"/>
    <col min="6896" max="6896" width="14.25" style="1248" customWidth="1"/>
    <col min="6897" max="6897" width="0" style="1248" hidden="1" customWidth="1"/>
    <col min="6898" max="6898" width="10" style="1248" customWidth="1"/>
    <col min="6899" max="6899" width="12" style="1248" customWidth="1"/>
    <col min="6900" max="6900" width="10.25" style="1248" customWidth="1"/>
    <col min="6901" max="7143" width="9" style="1248"/>
    <col min="7144" max="7144" width="7.375" style="1248" customWidth="1"/>
    <col min="7145" max="7145" width="3.875" style="1248" bestFit="1" customWidth="1"/>
    <col min="7146" max="7146" width="5" style="1248" customWidth="1"/>
    <col min="7147" max="7147" width="10" style="1248" customWidth="1"/>
    <col min="7148" max="7148" width="0" style="1248" hidden="1" customWidth="1"/>
    <col min="7149" max="7149" width="14.5" style="1248" customWidth="1"/>
    <col min="7150" max="7150" width="0" style="1248" hidden="1" customWidth="1"/>
    <col min="7151" max="7151" width="10.5" style="1248" customWidth="1"/>
    <col min="7152" max="7152" width="14.25" style="1248" customWidth="1"/>
    <col min="7153" max="7153" width="0" style="1248" hidden="1" customWidth="1"/>
    <col min="7154" max="7154" width="10" style="1248" customWidth="1"/>
    <col min="7155" max="7155" width="12" style="1248" customWidth="1"/>
    <col min="7156" max="7156" width="10.25" style="1248" customWidth="1"/>
    <col min="7157" max="7399" width="9" style="1248"/>
    <col min="7400" max="7400" width="7.375" style="1248" customWidth="1"/>
    <col min="7401" max="7401" width="3.875" style="1248" bestFit="1" customWidth="1"/>
    <col min="7402" max="7402" width="5" style="1248" customWidth="1"/>
    <col min="7403" max="7403" width="10" style="1248" customWidth="1"/>
    <col min="7404" max="7404" width="0" style="1248" hidden="1" customWidth="1"/>
    <col min="7405" max="7405" width="14.5" style="1248" customWidth="1"/>
    <col min="7406" max="7406" width="0" style="1248" hidden="1" customWidth="1"/>
    <col min="7407" max="7407" width="10.5" style="1248" customWidth="1"/>
    <col min="7408" max="7408" width="14.25" style="1248" customWidth="1"/>
    <col min="7409" max="7409" width="0" style="1248" hidden="1" customWidth="1"/>
    <col min="7410" max="7410" width="10" style="1248" customWidth="1"/>
    <col min="7411" max="7411" width="12" style="1248" customWidth="1"/>
    <col min="7412" max="7412" width="10.25" style="1248" customWidth="1"/>
    <col min="7413" max="7655" width="9" style="1248"/>
    <col min="7656" max="7656" width="7.375" style="1248" customWidth="1"/>
    <col min="7657" max="7657" width="3.875" style="1248" bestFit="1" customWidth="1"/>
    <col min="7658" max="7658" width="5" style="1248" customWidth="1"/>
    <col min="7659" max="7659" width="10" style="1248" customWidth="1"/>
    <col min="7660" max="7660" width="0" style="1248" hidden="1" customWidth="1"/>
    <col min="7661" max="7661" width="14.5" style="1248" customWidth="1"/>
    <col min="7662" max="7662" width="0" style="1248" hidden="1" customWidth="1"/>
    <col min="7663" max="7663" width="10.5" style="1248" customWidth="1"/>
    <col min="7664" max="7664" width="14.25" style="1248" customWidth="1"/>
    <col min="7665" max="7665" width="0" style="1248" hidden="1" customWidth="1"/>
    <col min="7666" max="7666" width="10" style="1248" customWidth="1"/>
    <col min="7667" max="7667" width="12" style="1248" customWidth="1"/>
    <col min="7668" max="7668" width="10.25" style="1248" customWidth="1"/>
    <col min="7669" max="7911" width="9" style="1248"/>
    <col min="7912" max="7912" width="7.375" style="1248" customWidth="1"/>
    <col min="7913" max="7913" width="3.875" style="1248" bestFit="1" customWidth="1"/>
    <col min="7914" max="7914" width="5" style="1248" customWidth="1"/>
    <col min="7915" max="7915" width="10" style="1248" customWidth="1"/>
    <col min="7916" max="7916" width="0" style="1248" hidden="1" customWidth="1"/>
    <col min="7917" max="7917" width="14.5" style="1248" customWidth="1"/>
    <col min="7918" max="7918" width="0" style="1248" hidden="1" customWidth="1"/>
    <col min="7919" max="7919" width="10.5" style="1248" customWidth="1"/>
    <col min="7920" max="7920" width="14.25" style="1248" customWidth="1"/>
    <col min="7921" max="7921" width="0" style="1248" hidden="1" customWidth="1"/>
    <col min="7922" max="7922" width="10" style="1248" customWidth="1"/>
    <col min="7923" max="7923" width="12" style="1248" customWidth="1"/>
    <col min="7924" max="7924" width="10.25" style="1248" customWidth="1"/>
    <col min="7925" max="8167" width="9" style="1248"/>
    <col min="8168" max="8168" width="7.375" style="1248" customWidth="1"/>
    <col min="8169" max="8169" width="3.875" style="1248" bestFit="1" customWidth="1"/>
    <col min="8170" max="8170" width="5" style="1248" customWidth="1"/>
    <col min="8171" max="8171" width="10" style="1248" customWidth="1"/>
    <col min="8172" max="8172" width="0" style="1248" hidden="1" customWidth="1"/>
    <col min="8173" max="8173" width="14.5" style="1248" customWidth="1"/>
    <col min="8174" max="8174" width="0" style="1248" hidden="1" customWidth="1"/>
    <col min="8175" max="8175" width="10.5" style="1248" customWidth="1"/>
    <col min="8176" max="8176" width="14.25" style="1248" customWidth="1"/>
    <col min="8177" max="8177" width="0" style="1248" hidden="1" customWidth="1"/>
    <col min="8178" max="8178" width="10" style="1248" customWidth="1"/>
    <col min="8179" max="8179" width="12" style="1248" customWidth="1"/>
    <col min="8180" max="8180" width="10.25" style="1248" customWidth="1"/>
    <col min="8181" max="8423" width="9" style="1248"/>
    <col min="8424" max="8424" width="7.375" style="1248" customWidth="1"/>
    <col min="8425" max="8425" width="3.875" style="1248" bestFit="1" customWidth="1"/>
    <col min="8426" max="8426" width="5" style="1248" customWidth="1"/>
    <col min="8427" max="8427" width="10" style="1248" customWidth="1"/>
    <col min="8428" max="8428" width="0" style="1248" hidden="1" customWidth="1"/>
    <col min="8429" max="8429" width="14.5" style="1248" customWidth="1"/>
    <col min="8430" max="8430" width="0" style="1248" hidden="1" customWidth="1"/>
    <col min="8431" max="8431" width="10.5" style="1248" customWidth="1"/>
    <col min="8432" max="8432" width="14.25" style="1248" customWidth="1"/>
    <col min="8433" max="8433" width="0" style="1248" hidden="1" customWidth="1"/>
    <col min="8434" max="8434" width="10" style="1248" customWidth="1"/>
    <col min="8435" max="8435" width="12" style="1248" customWidth="1"/>
    <col min="8436" max="8436" width="10.25" style="1248" customWidth="1"/>
    <col min="8437" max="8679" width="9" style="1248"/>
    <col min="8680" max="8680" width="7.375" style="1248" customWidth="1"/>
    <col min="8681" max="8681" width="3.875" style="1248" bestFit="1" customWidth="1"/>
    <col min="8682" max="8682" width="5" style="1248" customWidth="1"/>
    <col min="8683" max="8683" width="10" style="1248" customWidth="1"/>
    <col min="8684" max="8684" width="0" style="1248" hidden="1" customWidth="1"/>
    <col min="8685" max="8685" width="14.5" style="1248" customWidth="1"/>
    <col min="8686" max="8686" width="0" style="1248" hidden="1" customWidth="1"/>
    <col min="8687" max="8687" width="10.5" style="1248" customWidth="1"/>
    <col min="8688" max="8688" width="14.25" style="1248" customWidth="1"/>
    <col min="8689" max="8689" width="0" style="1248" hidden="1" customWidth="1"/>
    <col min="8690" max="8690" width="10" style="1248" customWidth="1"/>
    <col min="8691" max="8691" width="12" style="1248" customWidth="1"/>
    <col min="8692" max="8692" width="10.25" style="1248" customWidth="1"/>
    <col min="8693" max="8935" width="9" style="1248"/>
    <col min="8936" max="8936" width="7.375" style="1248" customWidth="1"/>
    <col min="8937" max="8937" width="3.875" style="1248" bestFit="1" customWidth="1"/>
    <col min="8938" max="8938" width="5" style="1248" customWidth="1"/>
    <col min="8939" max="8939" width="10" style="1248" customWidth="1"/>
    <col min="8940" max="8940" width="0" style="1248" hidden="1" customWidth="1"/>
    <col min="8941" max="8941" width="14.5" style="1248" customWidth="1"/>
    <col min="8942" max="8942" width="0" style="1248" hidden="1" customWidth="1"/>
    <col min="8943" max="8943" width="10.5" style="1248" customWidth="1"/>
    <col min="8944" max="8944" width="14.25" style="1248" customWidth="1"/>
    <col min="8945" max="8945" width="0" style="1248" hidden="1" customWidth="1"/>
    <col min="8946" max="8946" width="10" style="1248" customWidth="1"/>
    <col min="8947" max="8947" width="12" style="1248" customWidth="1"/>
    <col min="8948" max="8948" width="10.25" style="1248" customWidth="1"/>
    <col min="8949" max="9191" width="9" style="1248"/>
    <col min="9192" max="9192" width="7.375" style="1248" customWidth="1"/>
    <col min="9193" max="9193" width="3.875" style="1248" bestFit="1" customWidth="1"/>
    <col min="9194" max="9194" width="5" style="1248" customWidth="1"/>
    <col min="9195" max="9195" width="10" style="1248" customWidth="1"/>
    <col min="9196" max="9196" width="0" style="1248" hidden="1" customWidth="1"/>
    <col min="9197" max="9197" width="14.5" style="1248" customWidth="1"/>
    <col min="9198" max="9198" width="0" style="1248" hidden="1" customWidth="1"/>
    <col min="9199" max="9199" width="10.5" style="1248" customWidth="1"/>
    <col min="9200" max="9200" width="14.25" style="1248" customWidth="1"/>
    <col min="9201" max="9201" width="0" style="1248" hidden="1" customWidth="1"/>
    <col min="9202" max="9202" width="10" style="1248" customWidth="1"/>
    <col min="9203" max="9203" width="12" style="1248" customWidth="1"/>
    <col min="9204" max="9204" width="10.25" style="1248" customWidth="1"/>
    <col min="9205" max="9447" width="9" style="1248"/>
    <col min="9448" max="9448" width="7.375" style="1248" customWidth="1"/>
    <col min="9449" max="9449" width="3.875" style="1248" bestFit="1" customWidth="1"/>
    <col min="9450" max="9450" width="5" style="1248" customWidth="1"/>
    <col min="9451" max="9451" width="10" style="1248" customWidth="1"/>
    <col min="9452" max="9452" width="0" style="1248" hidden="1" customWidth="1"/>
    <col min="9453" max="9453" width="14.5" style="1248" customWidth="1"/>
    <col min="9454" max="9454" width="0" style="1248" hidden="1" customWidth="1"/>
    <col min="9455" max="9455" width="10.5" style="1248" customWidth="1"/>
    <col min="9456" max="9456" width="14.25" style="1248" customWidth="1"/>
    <col min="9457" max="9457" width="0" style="1248" hidden="1" customWidth="1"/>
    <col min="9458" max="9458" width="10" style="1248" customWidth="1"/>
    <col min="9459" max="9459" width="12" style="1248" customWidth="1"/>
    <col min="9460" max="9460" width="10.25" style="1248" customWidth="1"/>
    <col min="9461" max="9703" width="9" style="1248"/>
    <col min="9704" max="9704" width="7.375" style="1248" customWidth="1"/>
    <col min="9705" max="9705" width="3.875" style="1248" bestFit="1" customWidth="1"/>
    <col min="9706" max="9706" width="5" style="1248" customWidth="1"/>
    <col min="9707" max="9707" width="10" style="1248" customWidth="1"/>
    <col min="9708" max="9708" width="0" style="1248" hidden="1" customWidth="1"/>
    <col min="9709" max="9709" width="14.5" style="1248" customWidth="1"/>
    <col min="9710" max="9710" width="0" style="1248" hidden="1" customWidth="1"/>
    <col min="9711" max="9711" width="10.5" style="1248" customWidth="1"/>
    <col min="9712" max="9712" width="14.25" style="1248" customWidth="1"/>
    <col min="9713" max="9713" width="0" style="1248" hidden="1" customWidth="1"/>
    <col min="9714" max="9714" width="10" style="1248" customWidth="1"/>
    <col min="9715" max="9715" width="12" style="1248" customWidth="1"/>
    <col min="9716" max="9716" width="10.25" style="1248" customWidth="1"/>
    <col min="9717" max="9959" width="9" style="1248"/>
    <col min="9960" max="9960" width="7.375" style="1248" customWidth="1"/>
    <col min="9961" max="9961" width="3.875" style="1248" bestFit="1" customWidth="1"/>
    <col min="9962" max="9962" width="5" style="1248" customWidth="1"/>
    <col min="9963" max="9963" width="10" style="1248" customWidth="1"/>
    <col min="9964" max="9964" width="0" style="1248" hidden="1" customWidth="1"/>
    <col min="9965" max="9965" width="14.5" style="1248" customWidth="1"/>
    <col min="9966" max="9966" width="0" style="1248" hidden="1" customWidth="1"/>
    <col min="9967" max="9967" width="10.5" style="1248" customWidth="1"/>
    <col min="9968" max="9968" width="14.25" style="1248" customWidth="1"/>
    <col min="9969" max="9969" width="0" style="1248" hidden="1" customWidth="1"/>
    <col min="9970" max="9970" width="10" style="1248" customWidth="1"/>
    <col min="9971" max="9971" width="12" style="1248" customWidth="1"/>
    <col min="9972" max="9972" width="10.25" style="1248" customWidth="1"/>
    <col min="9973" max="10215" width="9" style="1248"/>
    <col min="10216" max="10216" width="7.375" style="1248" customWidth="1"/>
    <col min="10217" max="10217" width="3.875" style="1248" bestFit="1" customWidth="1"/>
    <col min="10218" max="10218" width="5" style="1248" customWidth="1"/>
    <col min="10219" max="10219" width="10" style="1248" customWidth="1"/>
    <col min="10220" max="10220" width="0" style="1248" hidden="1" customWidth="1"/>
    <col min="10221" max="10221" width="14.5" style="1248" customWidth="1"/>
    <col min="10222" max="10222" width="0" style="1248" hidden="1" customWidth="1"/>
    <col min="10223" max="10223" width="10.5" style="1248" customWidth="1"/>
    <col min="10224" max="10224" width="14.25" style="1248" customWidth="1"/>
    <col min="10225" max="10225" width="0" style="1248" hidden="1" customWidth="1"/>
    <col min="10226" max="10226" width="10" style="1248" customWidth="1"/>
    <col min="10227" max="10227" width="12" style="1248" customWidth="1"/>
    <col min="10228" max="10228" width="10.25" style="1248" customWidth="1"/>
    <col min="10229" max="10471" width="9" style="1248"/>
    <col min="10472" max="10472" width="7.375" style="1248" customWidth="1"/>
    <col min="10473" max="10473" width="3.875" style="1248" bestFit="1" customWidth="1"/>
    <col min="10474" max="10474" width="5" style="1248" customWidth="1"/>
    <col min="10475" max="10475" width="10" style="1248" customWidth="1"/>
    <col min="10476" max="10476" width="0" style="1248" hidden="1" customWidth="1"/>
    <col min="10477" max="10477" width="14.5" style="1248" customWidth="1"/>
    <col min="10478" max="10478" width="0" style="1248" hidden="1" customWidth="1"/>
    <col min="10479" max="10479" width="10.5" style="1248" customWidth="1"/>
    <col min="10480" max="10480" width="14.25" style="1248" customWidth="1"/>
    <col min="10481" max="10481" width="0" style="1248" hidden="1" customWidth="1"/>
    <col min="10482" max="10482" width="10" style="1248" customWidth="1"/>
    <col min="10483" max="10483" width="12" style="1248" customWidth="1"/>
    <col min="10484" max="10484" width="10.25" style="1248" customWidth="1"/>
    <col min="10485" max="10727" width="9" style="1248"/>
    <col min="10728" max="10728" width="7.375" style="1248" customWidth="1"/>
    <col min="10729" max="10729" width="3.875" style="1248" bestFit="1" customWidth="1"/>
    <col min="10730" max="10730" width="5" style="1248" customWidth="1"/>
    <col min="10731" max="10731" width="10" style="1248" customWidth="1"/>
    <col min="10732" max="10732" width="0" style="1248" hidden="1" customWidth="1"/>
    <col min="10733" max="10733" width="14.5" style="1248" customWidth="1"/>
    <col min="10734" max="10734" width="0" style="1248" hidden="1" customWidth="1"/>
    <col min="10735" max="10735" width="10.5" style="1248" customWidth="1"/>
    <col min="10736" max="10736" width="14.25" style="1248" customWidth="1"/>
    <col min="10737" max="10737" width="0" style="1248" hidden="1" customWidth="1"/>
    <col min="10738" max="10738" width="10" style="1248" customWidth="1"/>
    <col min="10739" max="10739" width="12" style="1248" customWidth="1"/>
    <col min="10740" max="10740" width="10.25" style="1248" customWidth="1"/>
    <col min="10741" max="10983" width="9" style="1248"/>
    <col min="10984" max="10984" width="7.375" style="1248" customWidth="1"/>
    <col min="10985" max="10985" width="3.875" style="1248" bestFit="1" customWidth="1"/>
    <col min="10986" max="10986" width="5" style="1248" customWidth="1"/>
    <col min="10987" max="10987" width="10" style="1248" customWidth="1"/>
    <col min="10988" max="10988" width="0" style="1248" hidden="1" customWidth="1"/>
    <col min="10989" max="10989" width="14.5" style="1248" customWidth="1"/>
    <col min="10990" max="10990" width="0" style="1248" hidden="1" customWidth="1"/>
    <col min="10991" max="10991" width="10.5" style="1248" customWidth="1"/>
    <col min="10992" max="10992" width="14.25" style="1248" customWidth="1"/>
    <col min="10993" max="10993" width="0" style="1248" hidden="1" customWidth="1"/>
    <col min="10994" max="10994" width="10" style="1248" customWidth="1"/>
    <col min="10995" max="10995" width="12" style="1248" customWidth="1"/>
    <col min="10996" max="10996" width="10.25" style="1248" customWidth="1"/>
    <col min="10997" max="11239" width="9" style="1248"/>
    <col min="11240" max="11240" width="7.375" style="1248" customWidth="1"/>
    <col min="11241" max="11241" width="3.875" style="1248" bestFit="1" customWidth="1"/>
    <col min="11242" max="11242" width="5" style="1248" customWidth="1"/>
    <col min="11243" max="11243" width="10" style="1248" customWidth="1"/>
    <col min="11244" max="11244" width="0" style="1248" hidden="1" customWidth="1"/>
    <col min="11245" max="11245" width="14.5" style="1248" customWidth="1"/>
    <col min="11246" max="11246" width="0" style="1248" hidden="1" customWidth="1"/>
    <col min="11247" max="11247" width="10.5" style="1248" customWidth="1"/>
    <col min="11248" max="11248" width="14.25" style="1248" customWidth="1"/>
    <col min="11249" max="11249" width="0" style="1248" hidden="1" customWidth="1"/>
    <col min="11250" max="11250" width="10" style="1248" customWidth="1"/>
    <col min="11251" max="11251" width="12" style="1248" customWidth="1"/>
    <col min="11252" max="11252" width="10.25" style="1248" customWidth="1"/>
    <col min="11253" max="11495" width="9" style="1248"/>
    <col min="11496" max="11496" width="7.375" style="1248" customWidth="1"/>
    <col min="11497" max="11497" width="3.875" style="1248" bestFit="1" customWidth="1"/>
    <col min="11498" max="11498" width="5" style="1248" customWidth="1"/>
    <col min="11499" max="11499" width="10" style="1248" customWidth="1"/>
    <col min="11500" max="11500" width="0" style="1248" hidden="1" customWidth="1"/>
    <col min="11501" max="11501" width="14.5" style="1248" customWidth="1"/>
    <col min="11502" max="11502" width="0" style="1248" hidden="1" customWidth="1"/>
    <col min="11503" max="11503" width="10.5" style="1248" customWidth="1"/>
    <col min="11504" max="11504" width="14.25" style="1248" customWidth="1"/>
    <col min="11505" max="11505" width="0" style="1248" hidden="1" customWidth="1"/>
    <col min="11506" max="11506" width="10" style="1248" customWidth="1"/>
    <col min="11507" max="11507" width="12" style="1248" customWidth="1"/>
    <col min="11508" max="11508" width="10.25" style="1248" customWidth="1"/>
    <col min="11509" max="11751" width="9" style="1248"/>
    <col min="11752" max="11752" width="7.375" style="1248" customWidth="1"/>
    <col min="11753" max="11753" width="3.875" style="1248" bestFit="1" customWidth="1"/>
    <col min="11754" max="11754" width="5" style="1248" customWidth="1"/>
    <col min="11755" max="11755" width="10" style="1248" customWidth="1"/>
    <col min="11756" max="11756" width="0" style="1248" hidden="1" customWidth="1"/>
    <col min="11757" max="11757" width="14.5" style="1248" customWidth="1"/>
    <col min="11758" max="11758" width="0" style="1248" hidden="1" customWidth="1"/>
    <col min="11759" max="11759" width="10.5" style="1248" customWidth="1"/>
    <col min="11760" max="11760" width="14.25" style="1248" customWidth="1"/>
    <col min="11761" max="11761" width="0" style="1248" hidden="1" customWidth="1"/>
    <col min="11762" max="11762" width="10" style="1248" customWidth="1"/>
    <col min="11763" max="11763" width="12" style="1248" customWidth="1"/>
    <col min="11764" max="11764" width="10.25" style="1248" customWidth="1"/>
    <col min="11765" max="12007" width="9" style="1248"/>
    <col min="12008" max="12008" width="7.375" style="1248" customWidth="1"/>
    <col min="12009" max="12009" width="3.875" style="1248" bestFit="1" customWidth="1"/>
    <col min="12010" max="12010" width="5" style="1248" customWidth="1"/>
    <col min="12011" max="12011" width="10" style="1248" customWidth="1"/>
    <col min="12012" max="12012" width="0" style="1248" hidden="1" customWidth="1"/>
    <col min="12013" max="12013" width="14.5" style="1248" customWidth="1"/>
    <col min="12014" max="12014" width="0" style="1248" hidden="1" customWidth="1"/>
    <col min="12015" max="12015" width="10.5" style="1248" customWidth="1"/>
    <col min="12016" max="12016" width="14.25" style="1248" customWidth="1"/>
    <col min="12017" max="12017" width="0" style="1248" hidden="1" customWidth="1"/>
    <col min="12018" max="12018" width="10" style="1248" customWidth="1"/>
    <col min="12019" max="12019" width="12" style="1248" customWidth="1"/>
    <col min="12020" max="12020" width="10.25" style="1248" customWidth="1"/>
    <col min="12021" max="12263" width="9" style="1248"/>
    <col min="12264" max="12264" width="7.375" style="1248" customWidth="1"/>
    <col min="12265" max="12265" width="3.875" style="1248" bestFit="1" customWidth="1"/>
    <col min="12266" max="12266" width="5" style="1248" customWidth="1"/>
    <col min="12267" max="12267" width="10" style="1248" customWidth="1"/>
    <col min="12268" max="12268" width="0" style="1248" hidden="1" customWidth="1"/>
    <col min="12269" max="12269" width="14.5" style="1248" customWidth="1"/>
    <col min="12270" max="12270" width="0" style="1248" hidden="1" customWidth="1"/>
    <col min="12271" max="12271" width="10.5" style="1248" customWidth="1"/>
    <col min="12272" max="12272" width="14.25" style="1248" customWidth="1"/>
    <col min="12273" max="12273" width="0" style="1248" hidden="1" customWidth="1"/>
    <col min="12274" max="12274" width="10" style="1248" customWidth="1"/>
    <col min="12275" max="12275" width="12" style="1248" customWidth="1"/>
    <col min="12276" max="12276" width="10.25" style="1248" customWidth="1"/>
    <col min="12277" max="12519" width="9" style="1248"/>
    <col min="12520" max="12520" width="7.375" style="1248" customWidth="1"/>
    <col min="12521" max="12521" width="3.875" style="1248" bestFit="1" customWidth="1"/>
    <col min="12522" max="12522" width="5" style="1248" customWidth="1"/>
    <col min="12523" max="12523" width="10" style="1248" customWidth="1"/>
    <col min="12524" max="12524" width="0" style="1248" hidden="1" customWidth="1"/>
    <col min="12525" max="12525" width="14.5" style="1248" customWidth="1"/>
    <col min="12526" max="12526" width="0" style="1248" hidden="1" customWidth="1"/>
    <col min="12527" max="12527" width="10.5" style="1248" customWidth="1"/>
    <col min="12528" max="12528" width="14.25" style="1248" customWidth="1"/>
    <col min="12529" max="12529" width="0" style="1248" hidden="1" customWidth="1"/>
    <col min="12530" max="12530" width="10" style="1248" customWidth="1"/>
    <col min="12531" max="12531" width="12" style="1248" customWidth="1"/>
    <col min="12532" max="12532" width="10.25" style="1248" customWidth="1"/>
    <col min="12533" max="12775" width="9" style="1248"/>
    <col min="12776" max="12776" width="7.375" style="1248" customWidth="1"/>
    <col min="12777" max="12777" width="3.875" style="1248" bestFit="1" customWidth="1"/>
    <col min="12778" max="12778" width="5" style="1248" customWidth="1"/>
    <col min="12779" max="12779" width="10" style="1248" customWidth="1"/>
    <col min="12780" max="12780" width="0" style="1248" hidden="1" customWidth="1"/>
    <col min="12781" max="12781" width="14.5" style="1248" customWidth="1"/>
    <col min="12782" max="12782" width="0" style="1248" hidden="1" customWidth="1"/>
    <col min="12783" max="12783" width="10.5" style="1248" customWidth="1"/>
    <col min="12784" max="12784" width="14.25" style="1248" customWidth="1"/>
    <col min="12785" max="12785" width="0" style="1248" hidden="1" customWidth="1"/>
    <col min="12786" max="12786" width="10" style="1248" customWidth="1"/>
    <col min="12787" max="12787" width="12" style="1248" customWidth="1"/>
    <col min="12788" max="12788" width="10.25" style="1248" customWidth="1"/>
    <col min="12789" max="13031" width="9" style="1248"/>
    <col min="13032" max="13032" width="7.375" style="1248" customWidth="1"/>
    <col min="13033" max="13033" width="3.875" style="1248" bestFit="1" customWidth="1"/>
    <col min="13034" max="13034" width="5" style="1248" customWidth="1"/>
    <col min="13035" max="13035" width="10" style="1248" customWidth="1"/>
    <col min="13036" max="13036" width="0" style="1248" hidden="1" customWidth="1"/>
    <col min="13037" max="13037" width="14.5" style="1248" customWidth="1"/>
    <col min="13038" max="13038" width="0" style="1248" hidden="1" customWidth="1"/>
    <col min="13039" max="13039" width="10.5" style="1248" customWidth="1"/>
    <col min="13040" max="13040" width="14.25" style="1248" customWidth="1"/>
    <col min="13041" max="13041" width="0" style="1248" hidden="1" customWidth="1"/>
    <col min="13042" max="13042" width="10" style="1248" customWidth="1"/>
    <col min="13043" max="13043" width="12" style="1248" customWidth="1"/>
    <col min="13044" max="13044" width="10.25" style="1248" customWidth="1"/>
    <col min="13045" max="13287" width="9" style="1248"/>
    <col min="13288" max="13288" width="7.375" style="1248" customWidth="1"/>
    <col min="13289" max="13289" width="3.875" style="1248" bestFit="1" customWidth="1"/>
    <col min="13290" max="13290" width="5" style="1248" customWidth="1"/>
    <col min="13291" max="13291" width="10" style="1248" customWidth="1"/>
    <col min="13292" max="13292" width="0" style="1248" hidden="1" customWidth="1"/>
    <col min="13293" max="13293" width="14.5" style="1248" customWidth="1"/>
    <col min="13294" max="13294" width="0" style="1248" hidden="1" customWidth="1"/>
    <col min="13295" max="13295" width="10.5" style="1248" customWidth="1"/>
    <col min="13296" max="13296" width="14.25" style="1248" customWidth="1"/>
    <col min="13297" max="13297" width="0" style="1248" hidden="1" customWidth="1"/>
    <col min="13298" max="13298" width="10" style="1248" customWidth="1"/>
    <col min="13299" max="13299" width="12" style="1248" customWidth="1"/>
    <col min="13300" max="13300" width="10.25" style="1248" customWidth="1"/>
    <col min="13301" max="13543" width="9" style="1248"/>
    <col min="13544" max="13544" width="7.375" style="1248" customWidth="1"/>
    <col min="13545" max="13545" width="3.875" style="1248" bestFit="1" customWidth="1"/>
    <col min="13546" max="13546" width="5" style="1248" customWidth="1"/>
    <col min="13547" max="13547" width="10" style="1248" customWidth="1"/>
    <col min="13548" max="13548" width="0" style="1248" hidden="1" customWidth="1"/>
    <col min="13549" max="13549" width="14.5" style="1248" customWidth="1"/>
    <col min="13550" max="13550" width="0" style="1248" hidden="1" customWidth="1"/>
    <col min="13551" max="13551" width="10.5" style="1248" customWidth="1"/>
    <col min="13552" max="13552" width="14.25" style="1248" customWidth="1"/>
    <col min="13553" max="13553" width="0" style="1248" hidden="1" customWidth="1"/>
    <col min="13554" max="13554" width="10" style="1248" customWidth="1"/>
    <col min="13555" max="13555" width="12" style="1248" customWidth="1"/>
    <col min="13556" max="13556" width="10.25" style="1248" customWidth="1"/>
    <col min="13557" max="13799" width="9" style="1248"/>
    <col min="13800" max="13800" width="7.375" style="1248" customWidth="1"/>
    <col min="13801" max="13801" width="3.875" style="1248" bestFit="1" customWidth="1"/>
    <col min="13802" max="13802" width="5" style="1248" customWidth="1"/>
    <col min="13803" max="13803" width="10" style="1248" customWidth="1"/>
    <col min="13804" max="13804" width="0" style="1248" hidden="1" customWidth="1"/>
    <col min="13805" max="13805" width="14.5" style="1248" customWidth="1"/>
    <col min="13806" max="13806" width="0" style="1248" hidden="1" customWidth="1"/>
    <col min="13807" max="13807" width="10.5" style="1248" customWidth="1"/>
    <col min="13808" max="13808" width="14.25" style="1248" customWidth="1"/>
    <col min="13809" max="13809" width="0" style="1248" hidden="1" customWidth="1"/>
    <col min="13810" max="13810" width="10" style="1248" customWidth="1"/>
    <col min="13811" max="13811" width="12" style="1248" customWidth="1"/>
    <col min="13812" max="13812" width="10.25" style="1248" customWidth="1"/>
    <col min="13813" max="14055" width="9" style="1248"/>
    <col min="14056" max="14056" width="7.375" style="1248" customWidth="1"/>
    <col min="14057" max="14057" width="3.875" style="1248" bestFit="1" customWidth="1"/>
    <col min="14058" max="14058" width="5" style="1248" customWidth="1"/>
    <col min="14059" max="14059" width="10" style="1248" customWidth="1"/>
    <col min="14060" max="14060" width="0" style="1248" hidden="1" customWidth="1"/>
    <col min="14061" max="14061" width="14.5" style="1248" customWidth="1"/>
    <col min="14062" max="14062" width="0" style="1248" hidden="1" customWidth="1"/>
    <col min="14063" max="14063" width="10.5" style="1248" customWidth="1"/>
    <col min="14064" max="14064" width="14.25" style="1248" customWidth="1"/>
    <col min="14065" max="14065" width="0" style="1248" hidden="1" customWidth="1"/>
    <col min="14066" max="14066" width="10" style="1248" customWidth="1"/>
    <col min="14067" max="14067" width="12" style="1248" customWidth="1"/>
    <col min="14068" max="14068" width="10.25" style="1248" customWidth="1"/>
    <col min="14069" max="14311" width="9" style="1248"/>
    <col min="14312" max="14312" width="7.375" style="1248" customWidth="1"/>
    <col min="14313" max="14313" width="3.875" style="1248" bestFit="1" customWidth="1"/>
    <col min="14314" max="14314" width="5" style="1248" customWidth="1"/>
    <col min="14315" max="14315" width="10" style="1248" customWidth="1"/>
    <col min="14316" max="14316" width="0" style="1248" hidden="1" customWidth="1"/>
    <col min="14317" max="14317" width="14.5" style="1248" customWidth="1"/>
    <col min="14318" max="14318" width="0" style="1248" hidden="1" customWidth="1"/>
    <col min="14319" max="14319" width="10.5" style="1248" customWidth="1"/>
    <col min="14320" max="14320" width="14.25" style="1248" customWidth="1"/>
    <col min="14321" max="14321" width="0" style="1248" hidden="1" customWidth="1"/>
    <col min="14322" max="14322" width="10" style="1248" customWidth="1"/>
    <col min="14323" max="14323" width="12" style="1248" customWidth="1"/>
    <col min="14324" max="14324" width="10.25" style="1248" customWidth="1"/>
    <col min="14325" max="14567" width="9" style="1248"/>
    <col min="14568" max="14568" width="7.375" style="1248" customWidth="1"/>
    <col min="14569" max="14569" width="3.875" style="1248" bestFit="1" customWidth="1"/>
    <col min="14570" max="14570" width="5" style="1248" customWidth="1"/>
    <col min="14571" max="14571" width="10" style="1248" customWidth="1"/>
    <col min="14572" max="14572" width="0" style="1248" hidden="1" customWidth="1"/>
    <col min="14573" max="14573" width="14.5" style="1248" customWidth="1"/>
    <col min="14574" max="14574" width="0" style="1248" hidden="1" customWidth="1"/>
    <col min="14575" max="14575" width="10.5" style="1248" customWidth="1"/>
    <col min="14576" max="14576" width="14.25" style="1248" customWidth="1"/>
    <col min="14577" max="14577" width="0" style="1248" hidden="1" customWidth="1"/>
    <col min="14578" max="14578" width="10" style="1248" customWidth="1"/>
    <col min="14579" max="14579" width="12" style="1248" customWidth="1"/>
    <col min="14580" max="14580" width="10.25" style="1248" customWidth="1"/>
    <col min="14581" max="14823" width="9" style="1248"/>
    <col min="14824" max="14824" width="7.375" style="1248" customWidth="1"/>
    <col min="14825" max="14825" width="3.875" style="1248" bestFit="1" customWidth="1"/>
    <col min="14826" max="14826" width="5" style="1248" customWidth="1"/>
    <col min="14827" max="14827" width="10" style="1248" customWidth="1"/>
    <col min="14828" max="14828" width="0" style="1248" hidden="1" customWidth="1"/>
    <col min="14829" max="14829" width="14.5" style="1248" customWidth="1"/>
    <col min="14830" max="14830" width="0" style="1248" hidden="1" customWidth="1"/>
    <col min="14831" max="14831" width="10.5" style="1248" customWidth="1"/>
    <col min="14832" max="14832" width="14.25" style="1248" customWidth="1"/>
    <col min="14833" max="14833" width="0" style="1248" hidden="1" customWidth="1"/>
    <col min="14834" max="14834" width="10" style="1248" customWidth="1"/>
    <col min="14835" max="14835" width="12" style="1248" customWidth="1"/>
    <col min="14836" max="14836" width="10.25" style="1248" customWidth="1"/>
    <col min="14837" max="15079" width="9" style="1248"/>
    <col min="15080" max="15080" width="7.375" style="1248" customWidth="1"/>
    <col min="15081" max="15081" width="3.875" style="1248" bestFit="1" customWidth="1"/>
    <col min="15082" max="15082" width="5" style="1248" customWidth="1"/>
    <col min="15083" max="15083" width="10" style="1248" customWidth="1"/>
    <col min="15084" max="15084" width="0" style="1248" hidden="1" customWidth="1"/>
    <col min="15085" max="15085" width="14.5" style="1248" customWidth="1"/>
    <col min="15086" max="15086" width="0" style="1248" hidden="1" customWidth="1"/>
    <col min="15087" max="15087" width="10.5" style="1248" customWidth="1"/>
    <col min="15088" max="15088" width="14.25" style="1248" customWidth="1"/>
    <col min="15089" max="15089" width="0" style="1248" hidden="1" customWidth="1"/>
    <col min="15090" max="15090" width="10" style="1248" customWidth="1"/>
    <col min="15091" max="15091" width="12" style="1248" customWidth="1"/>
    <col min="15092" max="15092" width="10.25" style="1248" customWidth="1"/>
    <col min="15093" max="15335" width="9" style="1248"/>
    <col min="15336" max="15336" width="7.375" style="1248" customWidth="1"/>
    <col min="15337" max="15337" width="3.875" style="1248" bestFit="1" customWidth="1"/>
    <col min="15338" max="15338" width="5" style="1248" customWidth="1"/>
    <col min="15339" max="15339" width="10" style="1248" customWidth="1"/>
    <col min="15340" max="15340" width="0" style="1248" hidden="1" customWidth="1"/>
    <col min="15341" max="15341" width="14.5" style="1248" customWidth="1"/>
    <col min="15342" max="15342" width="0" style="1248" hidden="1" customWidth="1"/>
    <col min="15343" max="15343" width="10.5" style="1248" customWidth="1"/>
    <col min="15344" max="15344" width="14.25" style="1248" customWidth="1"/>
    <col min="15345" max="15345" width="0" style="1248" hidden="1" customWidth="1"/>
    <col min="15346" max="15346" width="10" style="1248" customWidth="1"/>
    <col min="15347" max="15347" width="12" style="1248" customWidth="1"/>
    <col min="15348" max="15348" width="10.25" style="1248" customWidth="1"/>
    <col min="15349" max="15591" width="9" style="1248"/>
    <col min="15592" max="15592" width="7.375" style="1248" customWidth="1"/>
    <col min="15593" max="15593" width="3.875" style="1248" bestFit="1" customWidth="1"/>
    <col min="15594" max="15594" width="5" style="1248" customWidth="1"/>
    <col min="15595" max="15595" width="10" style="1248" customWidth="1"/>
    <col min="15596" max="15596" width="0" style="1248" hidden="1" customWidth="1"/>
    <col min="15597" max="15597" width="14.5" style="1248" customWidth="1"/>
    <col min="15598" max="15598" width="0" style="1248" hidden="1" customWidth="1"/>
    <col min="15599" max="15599" width="10.5" style="1248" customWidth="1"/>
    <col min="15600" max="15600" width="14.25" style="1248" customWidth="1"/>
    <col min="15601" max="15601" width="0" style="1248" hidden="1" customWidth="1"/>
    <col min="15602" max="15602" width="10" style="1248" customWidth="1"/>
    <col min="15603" max="15603" width="12" style="1248" customWidth="1"/>
    <col min="15604" max="15604" width="10.25" style="1248" customWidth="1"/>
    <col min="15605" max="15847" width="9" style="1248"/>
    <col min="15848" max="15848" width="7.375" style="1248" customWidth="1"/>
    <col min="15849" max="15849" width="3.875" style="1248" bestFit="1" customWidth="1"/>
    <col min="15850" max="15850" width="5" style="1248" customWidth="1"/>
    <col min="15851" max="15851" width="10" style="1248" customWidth="1"/>
    <col min="15852" max="15852" width="0" style="1248" hidden="1" customWidth="1"/>
    <col min="15853" max="15853" width="14.5" style="1248" customWidth="1"/>
    <col min="15854" max="15854" width="0" style="1248" hidden="1" customWidth="1"/>
    <col min="15855" max="15855" width="10.5" style="1248" customWidth="1"/>
    <col min="15856" max="15856" width="14.25" style="1248" customWidth="1"/>
    <col min="15857" max="15857" width="0" style="1248" hidden="1" customWidth="1"/>
    <col min="15858" max="15858" width="10" style="1248" customWidth="1"/>
    <col min="15859" max="15859" width="12" style="1248" customWidth="1"/>
    <col min="15860" max="15860" width="10.25" style="1248" customWidth="1"/>
    <col min="15861" max="16103" width="9" style="1248"/>
    <col min="16104" max="16104" width="7.375" style="1248" customWidth="1"/>
    <col min="16105" max="16105" width="3.875" style="1248" bestFit="1" customWidth="1"/>
    <col min="16106" max="16106" width="5" style="1248" customWidth="1"/>
    <col min="16107" max="16107" width="10" style="1248" customWidth="1"/>
    <col min="16108" max="16108" width="0" style="1248" hidden="1" customWidth="1"/>
    <col min="16109" max="16109" width="14.5" style="1248" customWidth="1"/>
    <col min="16110" max="16110" width="0" style="1248" hidden="1" customWidth="1"/>
    <col min="16111" max="16111" width="10.5" style="1248" customWidth="1"/>
    <col min="16112" max="16112" width="14.25" style="1248" customWidth="1"/>
    <col min="16113" max="16113" width="0" style="1248" hidden="1" customWidth="1"/>
    <col min="16114" max="16114" width="10" style="1248" customWidth="1"/>
    <col min="16115" max="16115" width="12" style="1248" customWidth="1"/>
    <col min="16116" max="16116" width="10.25" style="1248" customWidth="1"/>
    <col min="16117" max="16384" width="9" style="1248"/>
  </cols>
  <sheetData>
    <row r="1" spans="1:17" ht="15">
      <c r="A1" s="1244" t="s">
        <v>968</v>
      </c>
      <c r="B1" s="1245" t="s">
        <v>969</v>
      </c>
      <c r="C1" s="1246" t="s">
        <v>970</v>
      </c>
      <c r="D1" s="1919" t="s">
        <v>971</v>
      </c>
      <c r="E1" s="1919"/>
      <c r="F1" s="1247" t="s">
        <v>972</v>
      </c>
      <c r="G1" s="1920" t="s">
        <v>973</v>
      </c>
      <c r="H1" s="1920"/>
      <c r="I1" s="1247" t="s">
        <v>974</v>
      </c>
      <c r="J1" s="1919" t="s">
        <v>975</v>
      </c>
      <c r="K1" s="1919"/>
      <c r="L1" s="1247"/>
    </row>
    <row r="2" spans="1:17" ht="14.25">
      <c r="A2" s="1249">
        <v>1</v>
      </c>
      <c r="B2" s="1921" t="s">
        <v>976</v>
      </c>
      <c r="C2" s="1921"/>
      <c r="D2" s="1921"/>
      <c r="E2" s="1921"/>
      <c r="F2" s="1921"/>
      <c r="G2" s="1921"/>
      <c r="H2" s="1921"/>
      <c r="I2" s="1921"/>
      <c r="J2" s="1921"/>
      <c r="K2" s="1921"/>
    </row>
    <row r="3" spans="1:17" ht="15" thickBot="1">
      <c r="A3" s="1249">
        <f>A2+1</f>
        <v>2</v>
      </c>
      <c r="B3" s="1922" t="s">
        <v>1013</v>
      </c>
      <c r="C3" s="1922"/>
      <c r="D3" s="1922"/>
      <c r="E3" s="1922"/>
      <c r="F3" s="1922"/>
      <c r="G3" s="1922"/>
      <c r="H3" s="1922"/>
      <c r="I3" s="1922"/>
      <c r="J3" s="1922"/>
      <c r="K3" s="1922"/>
      <c r="N3" s="1250"/>
      <c r="O3" s="1251"/>
      <c r="P3" s="1251"/>
      <c r="Q3" s="1251"/>
    </row>
    <row r="4" spans="1:17">
      <c r="A4" s="1249">
        <f t="shared" ref="A4:A67" si="0">A3+1</f>
        <v>3</v>
      </c>
      <c r="B4" s="1252"/>
      <c r="C4" s="1923" t="s">
        <v>374</v>
      </c>
      <c r="D4" s="1923"/>
      <c r="E4" s="1923"/>
      <c r="F4" s="1924" t="s">
        <v>307</v>
      </c>
      <c r="G4" s="1924"/>
      <c r="H4" s="1924"/>
      <c r="I4" s="1925" t="s">
        <v>977</v>
      </c>
      <c r="J4" s="1925"/>
      <c r="K4" s="1925"/>
      <c r="N4" s="1250"/>
      <c r="O4" s="1253" t="s">
        <v>978</v>
      </c>
      <c r="P4" s="1254">
        <v>0.75</v>
      </c>
      <c r="Q4" s="1251"/>
    </row>
    <row r="5" spans="1:17">
      <c r="A5" s="1249">
        <f t="shared" si="0"/>
        <v>4</v>
      </c>
      <c r="B5" s="1255" t="s">
        <v>104</v>
      </c>
      <c r="C5" s="1910">
        <f>'Pages 2-3, Res Schedules'!B10/12</f>
        <v>104296.97777777778</v>
      </c>
      <c r="D5" s="1911"/>
      <c r="E5" s="1912"/>
      <c r="F5" s="1910">
        <f>C5</f>
        <v>104296.97777777778</v>
      </c>
      <c r="G5" s="1911"/>
      <c r="H5" s="1912"/>
      <c r="I5" s="1913">
        <f>F5</f>
        <v>104296.97777777778</v>
      </c>
      <c r="J5" s="1914"/>
      <c r="K5" s="1915"/>
      <c r="N5" s="1250"/>
      <c r="O5" s="1253" t="s">
        <v>979</v>
      </c>
      <c r="P5" s="1254">
        <v>1</v>
      </c>
      <c r="Q5" s="1251"/>
    </row>
    <row r="6" spans="1:17">
      <c r="A6" s="1249">
        <f t="shared" si="0"/>
        <v>5</v>
      </c>
      <c r="B6" s="1256" t="s">
        <v>189</v>
      </c>
      <c r="C6" s="1916">
        <v>6</v>
      </c>
      <c r="D6" s="1917"/>
      <c r="E6" s="1918"/>
      <c r="F6" s="1916">
        <v>10</v>
      </c>
      <c r="G6" s="1917"/>
      <c r="H6" s="1918"/>
      <c r="I6" s="1916">
        <f>'Pages 2-3, Res Schedules'!I10</f>
        <v>7.91</v>
      </c>
      <c r="J6" s="1917"/>
      <c r="K6" s="1918"/>
      <c r="N6" s="1250"/>
      <c r="O6" s="1253" t="s">
        <v>980</v>
      </c>
      <c r="P6" s="1254">
        <v>1.5</v>
      </c>
      <c r="Q6" s="1251"/>
    </row>
    <row r="7" spans="1:17">
      <c r="A7" s="1249">
        <f t="shared" si="0"/>
        <v>6</v>
      </c>
      <c r="B7" s="1256" t="s">
        <v>981</v>
      </c>
      <c r="C7" s="1892">
        <v>0</v>
      </c>
      <c r="D7" s="1893"/>
      <c r="E7" s="1894"/>
      <c r="F7" s="1892">
        <v>0</v>
      </c>
      <c r="G7" s="1893"/>
      <c r="H7" s="1894"/>
      <c r="I7" s="1892">
        <v>0</v>
      </c>
      <c r="J7" s="1893"/>
      <c r="K7" s="1894"/>
      <c r="N7" s="1250"/>
      <c r="O7" s="1253" t="s">
        <v>982</v>
      </c>
      <c r="P7" s="1254">
        <v>2</v>
      </c>
      <c r="Q7" s="1251"/>
    </row>
    <row r="8" spans="1:17">
      <c r="A8" s="1249">
        <f t="shared" si="0"/>
        <v>7</v>
      </c>
      <c r="B8" s="1256" t="s">
        <v>983</v>
      </c>
      <c r="C8" s="1907">
        <v>5.9490000000000001E-2</v>
      </c>
      <c r="D8" s="1908"/>
      <c r="E8" s="1909"/>
      <c r="F8" s="1907">
        <v>6.2780000000000002E-2</v>
      </c>
      <c r="G8" s="1908">
        <v>7.2759999999999998</v>
      </c>
      <c r="H8" s="1909">
        <v>7.2759999999999998</v>
      </c>
      <c r="I8" s="1907">
        <f>'Pages 2-3, Res Schedules'!I11/100</f>
        <v>6.6320000000000004E-2</v>
      </c>
      <c r="J8" s="1908"/>
      <c r="K8" s="1909"/>
      <c r="N8" s="1250"/>
      <c r="O8" s="1253" t="s">
        <v>984</v>
      </c>
      <c r="P8" s="1254">
        <v>3</v>
      </c>
      <c r="Q8" s="1251"/>
    </row>
    <row r="9" spans="1:17">
      <c r="A9" s="1249">
        <f t="shared" si="0"/>
        <v>8</v>
      </c>
      <c r="B9" s="1256" t="s">
        <v>985</v>
      </c>
      <c r="C9" s="1901">
        <v>9.4159999999999994E-2</v>
      </c>
      <c r="D9" s="1902"/>
      <c r="E9" s="1903"/>
      <c r="F9" s="1901">
        <v>0.10826</v>
      </c>
      <c r="G9" s="1902">
        <v>8.4059999999999988</v>
      </c>
      <c r="H9" s="1903">
        <v>8.4059999999999988</v>
      </c>
      <c r="I9" s="1901">
        <f>'Pages 2-3, Res Schedules'!I12/100</f>
        <v>9.5009999999999997E-2</v>
      </c>
      <c r="J9" s="1902"/>
      <c r="K9" s="1903"/>
      <c r="N9" s="1250"/>
      <c r="O9" s="1253" t="s">
        <v>986</v>
      </c>
      <c r="P9" s="1254">
        <v>4</v>
      </c>
      <c r="Q9" s="1251"/>
    </row>
    <row r="10" spans="1:17">
      <c r="A10" s="1249">
        <f t="shared" si="0"/>
        <v>9</v>
      </c>
      <c r="B10" s="1256" t="s">
        <v>987</v>
      </c>
      <c r="C10" s="1904">
        <f>C9</f>
        <v>9.4159999999999994E-2</v>
      </c>
      <c r="D10" s="1905"/>
      <c r="E10" s="1906"/>
      <c r="F10" s="1904">
        <f>F9</f>
        <v>0.10826</v>
      </c>
      <c r="G10" s="1905">
        <v>9.7910000000000004</v>
      </c>
      <c r="H10" s="1906">
        <v>9.7910000000000004</v>
      </c>
      <c r="I10" s="1904">
        <f>'Pages 2-3, Res Schedules'!I13/100</f>
        <v>0.10904999999999994</v>
      </c>
      <c r="J10" s="1905"/>
      <c r="K10" s="1906"/>
      <c r="N10" s="1250"/>
      <c r="O10" s="1253" t="s">
        <v>988</v>
      </c>
      <c r="P10" s="1254">
        <v>6</v>
      </c>
      <c r="Q10" s="1251"/>
    </row>
    <row r="11" spans="1:17">
      <c r="A11" s="1249">
        <f t="shared" si="0"/>
        <v>10</v>
      </c>
      <c r="B11" s="1257" t="s">
        <v>989</v>
      </c>
      <c r="C11" s="1895">
        <v>600</v>
      </c>
      <c r="D11" s="1896"/>
      <c r="E11" s="1897"/>
      <c r="F11" s="1895">
        <v>600</v>
      </c>
      <c r="G11" s="1896"/>
      <c r="H11" s="1897"/>
      <c r="I11" s="1895">
        <v>800</v>
      </c>
      <c r="J11" s="1896"/>
      <c r="K11" s="1897"/>
      <c r="N11" s="1250"/>
      <c r="Q11" s="1251"/>
    </row>
    <row r="12" spans="1:17">
      <c r="A12" s="1249">
        <f t="shared" si="0"/>
        <v>11</v>
      </c>
      <c r="B12" s="1257" t="s">
        <v>990</v>
      </c>
      <c r="C12" s="1898">
        <v>600</v>
      </c>
      <c r="D12" s="1899"/>
      <c r="E12" s="1900"/>
      <c r="F12" s="1898">
        <v>600</v>
      </c>
      <c r="G12" s="1899"/>
      <c r="H12" s="1900"/>
      <c r="I12" s="1898">
        <v>1500</v>
      </c>
      <c r="J12" s="1899"/>
      <c r="K12" s="1900"/>
      <c r="L12" s="1258"/>
      <c r="M12" s="1259"/>
      <c r="N12" s="1258"/>
      <c r="O12" s="1250"/>
      <c r="P12" s="1250"/>
      <c r="Q12" s="1251"/>
    </row>
    <row r="13" spans="1:17">
      <c r="A13" s="1249">
        <f t="shared" si="0"/>
        <v>12</v>
      </c>
      <c r="B13" s="1257" t="s">
        <v>991</v>
      </c>
      <c r="C13" s="1889">
        <f>C12+1</f>
        <v>601</v>
      </c>
      <c r="D13" s="1890"/>
      <c r="E13" s="1891"/>
      <c r="F13" s="1889">
        <f>F12+1</f>
        <v>601</v>
      </c>
      <c r="G13" s="1890"/>
      <c r="H13" s="1891"/>
      <c r="I13" s="1889">
        <f>I12+1</f>
        <v>1501</v>
      </c>
      <c r="J13" s="1890"/>
      <c r="K13" s="1891"/>
      <c r="N13" s="1260"/>
    </row>
    <row r="14" spans="1:17">
      <c r="A14" s="1249">
        <f t="shared" si="0"/>
        <v>13</v>
      </c>
      <c r="B14" s="1261" t="s">
        <v>992</v>
      </c>
      <c r="C14" s="1892">
        <v>1</v>
      </c>
      <c r="D14" s="1893"/>
      <c r="E14" s="1894"/>
      <c r="F14" s="1892">
        <v>1</v>
      </c>
      <c r="G14" s="1893"/>
      <c r="H14" s="1894"/>
      <c r="I14" s="1892">
        <v>1</v>
      </c>
      <c r="J14" s="1893"/>
      <c r="K14" s="1894"/>
    </row>
    <row r="15" spans="1:17">
      <c r="A15" s="1249">
        <f t="shared" si="0"/>
        <v>14</v>
      </c>
      <c r="B15" s="1883"/>
      <c r="C15" s="1883"/>
      <c r="D15" s="1883"/>
      <c r="E15" s="1883"/>
      <c r="F15" s="1883"/>
      <c r="G15" s="1883"/>
      <c r="H15" s="1883"/>
      <c r="I15" s="1883"/>
      <c r="J15" s="1883"/>
      <c r="K15" s="1883"/>
    </row>
    <row r="16" spans="1:17" ht="25.5" customHeight="1">
      <c r="A16" s="1249">
        <f t="shared" si="0"/>
        <v>15</v>
      </c>
      <c r="B16" s="1262" t="str">
        <f>B14</f>
        <v>Usage Per kWh</v>
      </c>
      <c r="C16" s="1263" t="s">
        <v>993</v>
      </c>
      <c r="D16" s="1884" t="s">
        <v>994</v>
      </c>
      <c r="E16" s="1884"/>
      <c r="F16" s="1264" t="s">
        <v>995</v>
      </c>
      <c r="G16" s="1885" t="s">
        <v>996</v>
      </c>
      <c r="H16" s="1885"/>
      <c r="I16" s="1265" t="s">
        <v>997</v>
      </c>
      <c r="J16" s="1886" t="s">
        <v>998</v>
      </c>
      <c r="K16" s="1886"/>
    </row>
    <row r="17" spans="1:15">
      <c r="A17" s="1249">
        <f t="shared" si="0"/>
        <v>16</v>
      </c>
      <c r="B17" s="1266">
        <v>0</v>
      </c>
      <c r="C17" s="1267">
        <f>(($C$6)+(IF($B17&lt;$C$7,0,((IF(($B17-$C$7)&gt;$C$11,($C$11/$C$14*$C$8),(IF(($B17-$C$7)&gt;$C$11,$C$11,+($B17-$C$7)))/$C$14*$C$8)))+((IF(($B17-$C$7)&gt;$C$12,(((($C$12-$C$11)/$C$14)*$C$9)),((IF(($B17-$C$7)&gt;($C$12),($C$12-$C$11),(+($B17-$C$7)-(IF(($B17-$C$7)&gt;$C$11,$C$11,+($B17-$C$7)))))))/$C$14*$C$9)))+((IF((IF(($B17-$C$7)&gt;($C$13),($B17-$C$7)-($C$12),0))&lt;1,0,(IF(($B17-$C$7)&gt;($C$13),($B17-$C$7)-($C$12),0))/$C$14*$C$10))))))</f>
        <v>6</v>
      </c>
      <c r="D17" s="1887">
        <f>(F17-C17)/C17</f>
        <v>0.66666666666666663</v>
      </c>
      <c r="E17" s="1888"/>
      <c r="F17" s="1267">
        <f>(($F$6)+(IF($B17&lt;$F$7,0,((IF(($B17-$F$7)&gt;$F$11,($F$11/$F$14*$F$8),(IF(($B17-$F$7)&gt;$F$11,$F$11,+($B17-$F$7)))/$F$14*$F$8)))+((IF(($B17-$F$7)&gt;$F$12,(((($F$12-$F$11)/$F$14)*$F$9)),((IF(($B17-$F$7)&gt;($F$12),($F$12-$F$11),(+($B17-$F$7)-(IF(($B17-$F$7)&gt;$F$11,$F$11,+($B17-$F$7)))))))/$F$14*$F$9)))+((IF((IF(($B17-$F$7)&gt;($F$13),($B17-$F$7)-($F$12),0))&lt;1,0,(IF(($B17-$F$7)&gt;($F$13),($B17-$F$7)-($F$12),0))/$F$14*$F$10))))))</f>
        <v>10</v>
      </c>
      <c r="G17" s="1887">
        <f>(I17-F17)/F17</f>
        <v>-0.20899999999999999</v>
      </c>
      <c r="H17" s="1888"/>
      <c r="I17" s="1267">
        <f>(($I$6)+(IF($B17&lt;$I$7,0,((IF(($B17-$I$7)&gt;$I$11,($I$11/$I$14*$I$8),(IF(($B17-$I$7)&gt;$I$11,$I$11,+($B17-$I$7)))/$I$14*$I$8)))+((IF(($B17-$I$7)&gt;$I$12,(((($I$12-$I$11)/$I$14)*$I$9)),((IF(($B17-$I$7)&gt;($I$12),($I$12-$I$11),(+($B17-$I$7)-(IF(($B17-$I$7)&gt;$I$11,$I$11,+($B17-$I$7)))))))/$I$14*$I$9)))+((IF((IF(($B17-$I$7)&gt;($I$13),($B17-$I$7)-($I$12),0))&lt;1,0,(IF(($B17-$I$7)&gt;($I$13),($B17-$I$7)-($I$12),0))/$I$14*$I$10))))))</f>
        <v>7.91</v>
      </c>
      <c r="J17" s="1887">
        <f>(+I17-C17)/C17</f>
        <v>0.31833333333333336</v>
      </c>
      <c r="K17" s="1888"/>
    </row>
    <row r="18" spans="1:15">
      <c r="A18" s="1249">
        <f t="shared" si="0"/>
        <v>17</v>
      </c>
      <c r="B18" s="1268">
        <v>50</v>
      </c>
      <c r="C18" s="1269">
        <f>(($C$6)+(IF($B18&lt;$C$7,0,((IF(($B18-$C$7)&gt;$C$11,($C$11/$C$14*$C$8),(IF(($B18-$C$7)&gt;$C$11,$C$11,+($B18-$C$7)))/$C$14*$C$8)))+((IF(($B18-$C$7)&gt;$C$12,(((($C$12-$C$11)/$C$14)*$C$9)),((IF(($B18-$C$7)&gt;($C$12),($C$12-$C$11),(+($B18-$C$7)-(IF(($B18-$C$7)&gt;$C$11,$C$11,+($B18-$C$7)))))))/$C$14*$C$9)))+((IF((IF(($B18-$C$7)&gt;($C$13),($B18-$C$7)-($C$12),0))&lt;1,0,(IF(($B18-$C$7)&gt;($C$13),($B18-$C$7)-($C$12),0))/$C$14*$C$10))))))</f>
        <v>8.974499999999999</v>
      </c>
      <c r="D18" s="1875">
        <f t="shared" ref="D18:D81" si="1">(F18-C18)/C18</f>
        <v>0.46403699370438473</v>
      </c>
      <c r="E18" s="1876"/>
      <c r="F18" s="1269">
        <f>(($F$6)+(IF($B18&lt;$F$7,0,((IF(($B18-$F$7)&gt;$F$11,($F$11/$F$14*$F$8),(IF(($B18-$F$7)&gt;$F$11,$F$11,+($B18-$F$7)))/$F$14*$F$8)))+((IF(($B18-$F$7)&gt;$F$12,(((($F$12-$F$11)/$F$14)*$F$9)),((IF(($B18-$F$7)&gt;($F$12),($F$12-$F$11),(+($B18-$F$7)-(IF(($B18-$F$7)&gt;$F$11,$F$11,+($B18-$F$7)))))))/$F$14*$F$9)))+((IF((IF(($B18-$F$7)&gt;($F$13),($B18-$F$7)-($F$12),0))&lt;1,0,(IF(($B18-$F$7)&gt;($F$13),($B18-$F$7)-($F$12),0))/$F$14*$F$10))))))</f>
        <v>13.138999999999999</v>
      </c>
      <c r="G18" s="1875">
        <f t="shared" ref="G18:G81" si="2">(I18-F18)/F18</f>
        <v>-0.14559707740315081</v>
      </c>
      <c r="H18" s="1876"/>
      <c r="I18" s="1269">
        <f>(($I$6)+(IF($B18&lt;$I$7,0,((IF(($B18-$I$7)&gt;$I$11,($I$11/$I$14*$I$8),(IF(($B18-$I$7)&gt;$I$11,$I$11,+($B18-$I$7)))/$I$14*$I$8)))+((IF(($B18-$I$7)&gt;$I$12,(((($I$12-$I$11)/$I$14)*$I$9)),((IF(($B18-$I$7)&gt;($I$12),($I$12-$I$11),(+($B18-$I$7)-(IF(($B18-$I$7)&gt;$I$11,$I$11,+($B18-$I$7)))))))/$I$14*$I$9)))+((IF((IF(($B18-$I$7)&gt;($I$13),($B18-$I$7)-($I$12),0))&lt;1,0,(IF(($B18-$I$7)&gt;($I$13),($B18-$I$7)-($I$12),0))/$I$14*$I$10))))))</f>
        <v>11.226000000000001</v>
      </c>
      <c r="J18" s="1875">
        <f t="shared" ref="J18:J81" si="3">(+I18-C18)/C18</f>
        <v>0.2508774862109312</v>
      </c>
      <c r="K18" s="1876"/>
    </row>
    <row r="19" spans="1:15">
      <c r="A19" s="1249">
        <f t="shared" si="0"/>
        <v>18</v>
      </c>
      <c r="B19" s="1268">
        <v>100</v>
      </c>
      <c r="C19" s="1269">
        <f t="shared" ref="C19:C82" si="4">(($C$6)+(IF($B19&lt;$C$7,0,((IF(($B19-$C$7)&gt;$C$11,($C$11/$C$14*$C$8),(IF(($B19-$C$7)&gt;$C$11,$C$11,+($B19-$C$7)))/$C$14*$C$8)))+((IF(($B19-$C$7)&gt;$C$12,(((($C$12-$C$11)/$C$14)*$C$9)),((IF(($B19-$C$7)&gt;($C$12),($C$12-$C$11),(+($B19-$C$7)-(IF(($B19-$C$7)&gt;$C$11,$C$11,+($B19-$C$7)))))))/$C$14*$C$9)))+((IF((IF(($B19-$C$7)&gt;($C$13),($B19-$C$7)-($C$12),0))&lt;1,0,(IF(($B19-$C$7)&gt;($C$13),($B19-$C$7)-($C$12),0))/$C$14*$C$10))))))</f>
        <v>11.949</v>
      </c>
      <c r="D19" s="1875">
        <f t="shared" si="1"/>
        <v>0.36228973135827258</v>
      </c>
      <c r="E19" s="1876"/>
      <c r="F19" s="1269">
        <f t="shared" ref="F19:F82" si="5">(($F$6)+(IF($B19&lt;$F$7,0,((IF(($B19-$F$7)&gt;$F$11,($F$11/$F$14*$F$8),(IF(($B19-$F$7)&gt;$F$11,$F$11,+($B19-$F$7)))/$F$14*$F$8)))+((IF(($B19-$F$7)&gt;$F$12,(((($F$12-$F$11)/$F$14)*$F$9)),((IF(($B19-$F$7)&gt;($F$12),($F$12-$F$11),(+($B19-$F$7)-(IF(($B19-$F$7)&gt;$F$11,$F$11,+($B19-$F$7)))))))/$F$14*$F$9)))+((IF((IF(($B19-$F$7)&gt;($F$13),($B19-$F$7)-($F$12),0))&lt;1,0,(IF(($B19-$F$7)&gt;($F$13),($B19-$F$7)-($F$12),0))/$F$14*$F$10))))))</f>
        <v>16.277999999999999</v>
      </c>
      <c r="G19" s="1875">
        <f t="shared" si="2"/>
        <v>-0.10664700823196936</v>
      </c>
      <c r="H19" s="1876"/>
      <c r="I19" s="1269">
        <f t="shared" ref="I19:I82" si="6">(($I$6)+(IF($B19&lt;$I$7,0,((IF(($B19-$I$7)&gt;$I$11,($I$11/$I$14*$I$8),(IF(($B19-$I$7)&gt;$I$11,$I$11,+($B19-$I$7)))/$I$14*$I$8)))+((IF(($B19-$I$7)&gt;$I$12,(((($I$12-$I$11)/$I$14)*$I$9)),((IF(($B19-$I$7)&gt;($I$12),($I$12-$I$11),(+($B19-$I$7)-(IF(($B19-$I$7)&gt;$I$11,$I$11,+($B19-$I$7)))))))/$I$14*$I$9)))+((IF((IF(($B19-$I$7)&gt;($I$13),($B19-$I$7)-($I$12),0))&lt;1,0,(IF(($B19-$I$7)&gt;($I$13),($B19-$I$7)-($I$12),0))/$I$14*$I$10))))))</f>
        <v>14.542000000000002</v>
      </c>
      <c r="J19" s="1875">
        <f t="shared" si="3"/>
        <v>0.21700560716377953</v>
      </c>
      <c r="K19" s="1876"/>
      <c r="L19" s="1259"/>
      <c r="M19" s="1270"/>
      <c r="N19" s="1259"/>
      <c r="O19" s="1270"/>
    </row>
    <row r="20" spans="1:15">
      <c r="A20" s="1249">
        <f t="shared" si="0"/>
        <v>19</v>
      </c>
      <c r="B20" s="1268">
        <v>150</v>
      </c>
      <c r="C20" s="1269">
        <f t="shared" si="4"/>
        <v>14.923500000000001</v>
      </c>
      <c r="D20" s="1875">
        <f t="shared" si="1"/>
        <v>0.30110228833718639</v>
      </c>
      <c r="E20" s="1876"/>
      <c r="F20" s="1269">
        <f t="shared" si="5"/>
        <v>19.417000000000002</v>
      </c>
      <c r="G20" s="1875">
        <f t="shared" si="2"/>
        <v>-8.02904671164444E-2</v>
      </c>
      <c r="H20" s="1876"/>
      <c r="I20" s="1269">
        <f t="shared" si="6"/>
        <v>17.858000000000001</v>
      </c>
      <c r="J20" s="1875">
        <f t="shared" si="3"/>
        <v>0.19663617784031895</v>
      </c>
      <c r="K20" s="1876"/>
    </row>
    <row r="21" spans="1:15">
      <c r="A21" s="1249">
        <f t="shared" si="0"/>
        <v>20</v>
      </c>
      <c r="B21" s="1268">
        <v>200</v>
      </c>
      <c r="C21" s="1269">
        <f t="shared" si="4"/>
        <v>17.898</v>
      </c>
      <c r="D21" s="1875">
        <f t="shared" si="1"/>
        <v>0.26025254218348426</v>
      </c>
      <c r="E21" s="1876"/>
      <c r="F21" s="1269">
        <f t="shared" si="5"/>
        <v>22.556000000000001</v>
      </c>
      <c r="G21" s="1875">
        <f t="shared" si="2"/>
        <v>-6.1269728675297098E-2</v>
      </c>
      <c r="H21" s="1876"/>
      <c r="I21" s="1269">
        <f t="shared" si="6"/>
        <v>21.173999999999999</v>
      </c>
      <c r="J21" s="1875">
        <f t="shared" si="3"/>
        <v>0.18303721086154875</v>
      </c>
      <c r="K21" s="1876"/>
    </row>
    <row r="22" spans="1:15">
      <c r="A22" s="1249">
        <f t="shared" si="0"/>
        <v>21</v>
      </c>
      <c r="B22" s="1268">
        <v>250</v>
      </c>
      <c r="C22" s="1269">
        <f t="shared" si="4"/>
        <v>20.872500000000002</v>
      </c>
      <c r="D22" s="1875">
        <f t="shared" si="1"/>
        <v>0.23104563420768942</v>
      </c>
      <c r="E22" s="1876"/>
      <c r="F22" s="1269">
        <f t="shared" si="5"/>
        <v>25.695</v>
      </c>
      <c r="G22" s="1875">
        <f t="shared" si="2"/>
        <v>-4.6896283323603745E-2</v>
      </c>
      <c r="H22" s="1876"/>
      <c r="I22" s="1269">
        <f t="shared" si="6"/>
        <v>24.490000000000002</v>
      </c>
      <c r="J22" s="1875">
        <f t="shared" si="3"/>
        <v>0.17331416936160016</v>
      </c>
      <c r="K22" s="1876"/>
    </row>
    <row r="23" spans="1:15">
      <c r="A23" s="1249">
        <f t="shared" si="0"/>
        <v>22</v>
      </c>
      <c r="B23" s="1268">
        <v>300</v>
      </c>
      <c r="C23" s="1269">
        <f t="shared" si="4"/>
        <v>23.847000000000001</v>
      </c>
      <c r="D23" s="1875">
        <f t="shared" si="1"/>
        <v>0.20912483750576585</v>
      </c>
      <c r="E23" s="1876"/>
      <c r="F23" s="1269">
        <f t="shared" si="5"/>
        <v>28.834</v>
      </c>
      <c r="G23" s="1875">
        <f t="shared" si="2"/>
        <v>-3.565235485884715E-2</v>
      </c>
      <c r="H23" s="1876"/>
      <c r="I23" s="1269">
        <f t="shared" si="6"/>
        <v>27.806000000000001</v>
      </c>
      <c r="J23" s="1875">
        <f t="shared" si="3"/>
        <v>0.16601668973036438</v>
      </c>
      <c r="K23" s="1876"/>
    </row>
    <row r="24" spans="1:15" s="1271" customFormat="1">
      <c r="A24" s="1249">
        <f t="shared" si="0"/>
        <v>23</v>
      </c>
      <c r="B24" s="1268">
        <v>350</v>
      </c>
      <c r="C24" s="1269">
        <f t="shared" si="4"/>
        <v>26.8215</v>
      </c>
      <c r="D24" s="1875">
        <f t="shared" si="1"/>
        <v>0.19206606640195373</v>
      </c>
      <c r="E24" s="1876"/>
      <c r="F24" s="1269">
        <f t="shared" si="5"/>
        <v>31.973000000000003</v>
      </c>
      <c r="G24" s="1875">
        <f t="shared" si="2"/>
        <v>-2.6616207425014936E-2</v>
      </c>
      <c r="H24" s="1876"/>
      <c r="I24" s="1269">
        <f t="shared" si="6"/>
        <v>31.122</v>
      </c>
      <c r="J24" s="1875">
        <f t="shared" si="3"/>
        <v>0.1603377887142777</v>
      </c>
      <c r="K24" s="1876"/>
    </row>
    <row r="25" spans="1:15" s="1271" customFormat="1">
      <c r="A25" s="1249">
        <f t="shared" si="0"/>
        <v>24</v>
      </c>
      <c r="B25" s="1268">
        <v>400</v>
      </c>
      <c r="C25" s="1269">
        <f t="shared" si="4"/>
        <v>29.795999999999999</v>
      </c>
      <c r="D25" s="1875">
        <f t="shared" si="1"/>
        <v>0.17841320982682249</v>
      </c>
      <c r="E25" s="1876"/>
      <c r="F25" s="1269">
        <f t="shared" si="5"/>
        <v>35.112000000000002</v>
      </c>
      <c r="G25" s="1875">
        <f t="shared" si="2"/>
        <v>-1.9195716564137603E-2</v>
      </c>
      <c r="H25" s="1876"/>
      <c r="I25" s="1269">
        <f t="shared" si="6"/>
        <v>34.438000000000002</v>
      </c>
      <c r="J25" s="1875">
        <f t="shared" si="3"/>
        <v>0.15579272385555118</v>
      </c>
      <c r="K25" s="1876"/>
    </row>
    <row r="26" spans="1:15" s="1272" customFormat="1">
      <c r="A26" s="1249">
        <f t="shared" si="0"/>
        <v>25</v>
      </c>
      <c r="B26" s="1268">
        <v>450</v>
      </c>
      <c r="C26" s="1269">
        <f t="shared" si="4"/>
        <v>32.770499999999998</v>
      </c>
      <c r="D26" s="1875">
        <f t="shared" si="1"/>
        <v>0.16723882760409534</v>
      </c>
      <c r="E26" s="1876"/>
      <c r="F26" s="1269">
        <f t="shared" si="5"/>
        <v>38.251000000000005</v>
      </c>
      <c r="G26" s="1875">
        <f t="shared" si="2"/>
        <v>-1.2993124362761753E-2</v>
      </c>
      <c r="H26" s="1876"/>
      <c r="I26" s="1269">
        <f t="shared" si="6"/>
        <v>37.754000000000005</v>
      </c>
      <c r="J26" s="1875">
        <f t="shared" si="3"/>
        <v>0.15207274835599111</v>
      </c>
      <c r="K26" s="1876"/>
    </row>
    <row r="27" spans="1:15">
      <c r="A27" s="1249">
        <f t="shared" si="0"/>
        <v>26</v>
      </c>
      <c r="B27" s="1268">
        <v>500</v>
      </c>
      <c r="C27" s="1269">
        <f t="shared" si="4"/>
        <v>35.745000000000005</v>
      </c>
      <c r="D27" s="1875">
        <f t="shared" si="1"/>
        <v>0.15792418520072724</v>
      </c>
      <c r="E27" s="1876"/>
      <c r="F27" s="1269">
        <f t="shared" si="5"/>
        <v>41.39</v>
      </c>
      <c r="G27" s="1875">
        <f t="shared" si="2"/>
        <v>-7.7313360715146936E-3</v>
      </c>
      <c r="H27" s="1876"/>
      <c r="I27" s="1269">
        <f t="shared" si="6"/>
        <v>41.070000000000007</v>
      </c>
      <c r="J27" s="1875">
        <f t="shared" si="3"/>
        <v>0.14897188417960561</v>
      </c>
      <c r="K27" s="1876"/>
    </row>
    <row r="28" spans="1:15">
      <c r="A28" s="1249">
        <f t="shared" si="0"/>
        <v>27</v>
      </c>
      <c r="B28" s="1268">
        <v>550</v>
      </c>
      <c r="C28" s="1269">
        <f t="shared" si="4"/>
        <v>38.719500000000004</v>
      </c>
      <c r="D28" s="1875">
        <f t="shared" si="1"/>
        <v>0.15004067717816602</v>
      </c>
      <c r="E28" s="1876"/>
      <c r="F28" s="1269">
        <f t="shared" si="5"/>
        <v>44.529000000000003</v>
      </c>
      <c r="G28" s="1875">
        <f t="shared" si="2"/>
        <v>-3.2113903298975448E-3</v>
      </c>
      <c r="H28" s="1876"/>
      <c r="I28" s="1269">
        <f t="shared" si="6"/>
        <v>44.385999999999996</v>
      </c>
      <c r="J28" s="1875">
        <f t="shared" si="3"/>
        <v>0.14634744766848723</v>
      </c>
      <c r="K28" s="1876"/>
    </row>
    <row r="29" spans="1:15">
      <c r="A29" s="1249">
        <f t="shared" si="0"/>
        <v>28</v>
      </c>
      <c r="B29" s="1273">
        <v>600</v>
      </c>
      <c r="C29" s="1274">
        <f t="shared" si="4"/>
        <v>41.694000000000003</v>
      </c>
      <c r="D29" s="1881">
        <f t="shared" si="1"/>
        <v>0.14328200700340568</v>
      </c>
      <c r="E29" s="1882"/>
      <c r="F29" s="1274">
        <f t="shared" si="5"/>
        <v>47.667999999999999</v>
      </c>
      <c r="G29" s="1881">
        <f t="shared" si="2"/>
        <v>7.1326676176887893E-4</v>
      </c>
      <c r="H29" s="1882"/>
      <c r="I29" s="1274">
        <f t="shared" si="6"/>
        <v>47.701999999999998</v>
      </c>
      <c r="J29" s="1881">
        <f t="shared" si="3"/>
        <v>0.14409747205832962</v>
      </c>
      <c r="K29" s="1882"/>
    </row>
    <row r="30" spans="1:15">
      <c r="A30" s="1249">
        <f t="shared" si="0"/>
        <v>29</v>
      </c>
      <c r="B30" s="1268">
        <v>650</v>
      </c>
      <c r="C30" s="1269">
        <f t="shared" si="4"/>
        <v>46.402000000000001</v>
      </c>
      <c r="D30" s="1875">
        <f t="shared" si="1"/>
        <v>0.14393776130339198</v>
      </c>
      <c r="E30" s="1876"/>
      <c r="F30" s="1269">
        <f t="shared" si="5"/>
        <v>53.080999999999996</v>
      </c>
      <c r="G30" s="1875">
        <f t="shared" si="2"/>
        <v>-3.8865130649384814E-2</v>
      </c>
      <c r="H30" s="1876"/>
      <c r="I30" s="1269">
        <f t="shared" si="6"/>
        <v>51.018000000000001</v>
      </c>
      <c r="J30" s="1875">
        <f t="shared" si="3"/>
        <v>9.9478470755570869E-2</v>
      </c>
      <c r="K30" s="1876"/>
    </row>
    <row r="31" spans="1:15">
      <c r="A31" s="1249">
        <f t="shared" si="0"/>
        <v>30</v>
      </c>
      <c r="B31" s="1268">
        <v>700</v>
      </c>
      <c r="C31" s="1269">
        <f t="shared" si="4"/>
        <v>51.11</v>
      </c>
      <c r="D31" s="1875">
        <f t="shared" si="1"/>
        <v>0.14447270592838976</v>
      </c>
      <c r="E31" s="1876"/>
      <c r="F31" s="1269">
        <f t="shared" si="5"/>
        <v>58.494</v>
      </c>
      <c r="G31" s="1875">
        <f t="shared" si="2"/>
        <v>-7.1118405306527105E-2</v>
      </c>
      <c r="H31" s="1876"/>
      <c r="I31" s="1269">
        <f t="shared" si="6"/>
        <v>54.334000000000003</v>
      </c>
      <c r="J31" s="1875">
        <f t="shared" si="3"/>
        <v>6.3079632165916721E-2</v>
      </c>
      <c r="K31" s="1876"/>
    </row>
    <row r="32" spans="1:15">
      <c r="A32" s="1249">
        <f t="shared" si="0"/>
        <v>31</v>
      </c>
      <c r="B32" s="1268">
        <v>750</v>
      </c>
      <c r="C32" s="1269">
        <f t="shared" si="4"/>
        <v>55.817999999999998</v>
      </c>
      <c r="D32" s="1875">
        <f t="shared" si="1"/>
        <v>0.14491741015443046</v>
      </c>
      <c r="E32" s="1876"/>
      <c r="F32" s="1269">
        <f t="shared" si="5"/>
        <v>63.906999999999996</v>
      </c>
      <c r="G32" s="1875">
        <f t="shared" si="2"/>
        <v>-9.7907897413428743E-2</v>
      </c>
      <c r="H32" s="1876"/>
      <c r="I32" s="1269">
        <f t="shared" si="6"/>
        <v>57.650000000000006</v>
      </c>
      <c r="J32" s="1875">
        <f t="shared" si="3"/>
        <v>3.2820953814181944E-2</v>
      </c>
      <c r="K32" s="1876"/>
    </row>
    <row r="33" spans="1:24">
      <c r="A33" s="1249">
        <f t="shared" si="0"/>
        <v>32</v>
      </c>
      <c r="B33" s="1275">
        <v>800</v>
      </c>
      <c r="C33" s="1276">
        <f t="shared" si="4"/>
        <v>60.525999999999996</v>
      </c>
      <c r="D33" s="1879">
        <f t="shared" si="1"/>
        <v>0.14529293196312323</v>
      </c>
      <c r="E33" s="1880"/>
      <c r="F33" s="1276">
        <f t="shared" si="5"/>
        <v>69.319999999999993</v>
      </c>
      <c r="G33" s="1879">
        <f t="shared" si="2"/>
        <v>-0.1205135603000575</v>
      </c>
      <c r="H33" s="1880"/>
      <c r="I33" s="1276">
        <f t="shared" si="6"/>
        <v>60.966000000000008</v>
      </c>
      <c r="J33" s="1879">
        <f t="shared" si="3"/>
        <v>7.2696031457557412E-3</v>
      </c>
      <c r="K33" s="1880"/>
    </row>
    <row r="34" spans="1:24">
      <c r="A34" s="1249">
        <f t="shared" si="0"/>
        <v>33</v>
      </c>
      <c r="B34" s="1268">
        <v>850</v>
      </c>
      <c r="C34" s="1269">
        <f t="shared" si="4"/>
        <v>65.234000000000009</v>
      </c>
      <c r="D34" s="1875">
        <f t="shared" si="1"/>
        <v>0.14561425023760607</v>
      </c>
      <c r="E34" s="1876"/>
      <c r="F34" s="1269">
        <f t="shared" si="5"/>
        <v>74.733000000000004</v>
      </c>
      <c r="G34" s="1875">
        <f t="shared" si="2"/>
        <v>-0.12064951226365853</v>
      </c>
      <c r="H34" s="1876"/>
      <c r="I34" s="1269">
        <f t="shared" si="6"/>
        <v>65.716500000000011</v>
      </c>
      <c r="J34" s="1875">
        <f t="shared" si="3"/>
        <v>7.3964497041420366E-3</v>
      </c>
      <c r="K34" s="1876"/>
    </row>
    <row r="35" spans="1:24">
      <c r="A35" s="1249">
        <f t="shared" si="0"/>
        <v>34</v>
      </c>
      <c r="B35" s="1268">
        <v>900</v>
      </c>
      <c r="C35" s="1269">
        <f t="shared" si="4"/>
        <v>69.942000000000007</v>
      </c>
      <c r="D35" s="1875">
        <f t="shared" si="1"/>
        <v>0.14589231077178222</v>
      </c>
      <c r="E35" s="1876"/>
      <c r="F35" s="1269">
        <f t="shared" si="5"/>
        <v>80.146000000000001</v>
      </c>
      <c r="G35" s="1875">
        <f t="shared" si="2"/>
        <v>-0.12076710004242261</v>
      </c>
      <c r="H35" s="1876"/>
      <c r="I35" s="1269">
        <f t="shared" si="6"/>
        <v>70.466999999999999</v>
      </c>
      <c r="J35" s="1875">
        <f t="shared" si="3"/>
        <v>7.50621943896359E-3</v>
      </c>
      <c r="K35" s="1876"/>
    </row>
    <row r="36" spans="1:24">
      <c r="A36" s="1249">
        <f t="shared" si="0"/>
        <v>35</v>
      </c>
      <c r="B36" s="1268">
        <v>950</v>
      </c>
      <c r="C36" s="1269">
        <f t="shared" si="4"/>
        <v>74.650000000000006</v>
      </c>
      <c r="D36" s="1875">
        <f t="shared" si="1"/>
        <v>0.14613529805760203</v>
      </c>
      <c r="E36" s="1876"/>
      <c r="F36" s="1269">
        <f t="shared" si="5"/>
        <v>85.558999999999997</v>
      </c>
      <c r="G36" s="1875">
        <f t="shared" si="2"/>
        <v>-0.12086980913755416</v>
      </c>
      <c r="H36" s="1876"/>
      <c r="I36" s="1269">
        <f t="shared" si="6"/>
        <v>75.217500000000001</v>
      </c>
      <c r="J36" s="1875">
        <f t="shared" si="3"/>
        <v>7.6021433355659132E-3</v>
      </c>
      <c r="K36" s="1876"/>
    </row>
    <row r="37" spans="1:24">
      <c r="A37" s="1249">
        <f t="shared" si="0"/>
        <v>36</v>
      </c>
      <c r="B37" s="1268">
        <v>1000</v>
      </c>
      <c r="C37" s="1269">
        <f t="shared" si="4"/>
        <v>79.358000000000004</v>
      </c>
      <c r="D37" s="1875">
        <f t="shared" si="1"/>
        <v>0.14634945437132979</v>
      </c>
      <c r="E37" s="1876"/>
      <c r="F37" s="1269">
        <f t="shared" si="5"/>
        <v>90.971999999999994</v>
      </c>
      <c r="G37" s="1875">
        <f t="shared" si="2"/>
        <v>-0.12096029547553083</v>
      </c>
      <c r="H37" s="1876"/>
      <c r="I37" s="1269">
        <f t="shared" si="6"/>
        <v>79.968000000000004</v>
      </c>
      <c r="J37" s="1875">
        <f t="shared" si="3"/>
        <v>7.6866856523601828E-3</v>
      </c>
      <c r="K37" s="1876"/>
      <c r="U37" s="1277"/>
      <c r="V37" s="1278"/>
    </row>
    <row r="38" spans="1:24">
      <c r="A38" s="1249">
        <f t="shared" si="0"/>
        <v>37</v>
      </c>
      <c r="B38" s="1268">
        <v>1100</v>
      </c>
      <c r="C38" s="1269">
        <f t="shared" si="4"/>
        <v>88.774000000000001</v>
      </c>
      <c r="D38" s="1875">
        <f t="shared" si="1"/>
        <v>0.1467096221866763</v>
      </c>
      <c r="E38" s="1876"/>
      <c r="F38" s="1269">
        <f t="shared" si="5"/>
        <v>101.798</v>
      </c>
      <c r="G38" s="1875">
        <f t="shared" si="2"/>
        <v>-0.1211123990648147</v>
      </c>
      <c r="H38" s="1876"/>
      <c r="I38" s="1269">
        <f t="shared" si="6"/>
        <v>89.468999999999994</v>
      </c>
      <c r="J38" s="1875">
        <f t="shared" si="3"/>
        <v>7.8288688129406498E-3</v>
      </c>
      <c r="K38" s="1876"/>
    </row>
    <row r="39" spans="1:24">
      <c r="A39" s="1249">
        <f t="shared" si="0"/>
        <v>38</v>
      </c>
      <c r="B39" s="1268">
        <v>1200</v>
      </c>
      <c r="C39" s="1269">
        <f t="shared" si="4"/>
        <v>98.19</v>
      </c>
      <c r="D39" s="1875">
        <f t="shared" si="1"/>
        <v>0.14700071290355432</v>
      </c>
      <c r="E39" s="1876"/>
      <c r="F39" s="1269">
        <f t="shared" si="5"/>
        <v>112.624</v>
      </c>
      <c r="G39" s="1875">
        <f t="shared" si="2"/>
        <v>-0.12123526069043895</v>
      </c>
      <c r="H39" s="1876"/>
      <c r="I39" s="1269">
        <f t="shared" si="6"/>
        <v>98.97</v>
      </c>
      <c r="J39" s="1875">
        <f t="shared" si="3"/>
        <v>7.9437824625725757E-3</v>
      </c>
      <c r="K39" s="1876"/>
    </row>
    <row r="40" spans="1:24">
      <c r="A40" s="1249">
        <f t="shared" si="0"/>
        <v>39</v>
      </c>
      <c r="B40" s="1279">
        <v>1300</v>
      </c>
      <c r="C40" s="1280">
        <f t="shared" si="4"/>
        <v>107.60599999999999</v>
      </c>
      <c r="D40" s="1877">
        <f t="shared" si="1"/>
        <v>0.14724086017508312</v>
      </c>
      <c r="E40" s="1878"/>
      <c r="F40" s="1280">
        <f t="shared" si="5"/>
        <v>123.44999999999999</v>
      </c>
      <c r="G40" s="1877">
        <f t="shared" si="2"/>
        <v>-0.12133657351154302</v>
      </c>
      <c r="H40" s="1878"/>
      <c r="I40" s="1280">
        <f t="shared" si="6"/>
        <v>108.471</v>
      </c>
      <c r="J40" s="1877">
        <f t="shared" si="3"/>
        <v>8.0385852090032999E-3</v>
      </c>
      <c r="K40" s="1878"/>
      <c r="U40" s="1862">
        <f>I17/I40</f>
        <v>7.2922716670815235E-2</v>
      </c>
      <c r="V40" s="1278">
        <f>I40-C40</f>
        <v>0.86500000000000909</v>
      </c>
      <c r="X40" s="1278">
        <f>F40-C40</f>
        <v>15.843999999999994</v>
      </c>
    </row>
    <row r="41" spans="1:24">
      <c r="A41" s="1249">
        <f t="shared" si="0"/>
        <v>40</v>
      </c>
      <c r="B41" s="1268">
        <v>1400</v>
      </c>
      <c r="C41" s="1269">
        <f t="shared" si="4"/>
        <v>117.02199999999999</v>
      </c>
      <c r="D41" s="1875">
        <f t="shared" si="1"/>
        <v>0.14744236126540303</v>
      </c>
      <c r="E41" s="1876"/>
      <c r="F41" s="1269">
        <f t="shared" si="5"/>
        <v>134.27599999999998</v>
      </c>
      <c r="G41" s="1875">
        <f t="shared" si="2"/>
        <v>-0.12142154964401662</v>
      </c>
      <c r="H41" s="1876"/>
      <c r="I41" s="1269">
        <f t="shared" si="6"/>
        <v>117.97200000000001</v>
      </c>
      <c r="J41" s="1875">
        <f t="shared" si="3"/>
        <v>8.1181316333682318E-3</v>
      </c>
      <c r="K41" s="1876"/>
    </row>
    <row r="42" spans="1:24">
      <c r="A42" s="1249">
        <f t="shared" si="0"/>
        <v>41</v>
      </c>
      <c r="B42" s="1275">
        <v>1500</v>
      </c>
      <c r="C42" s="1276">
        <f t="shared" si="4"/>
        <v>126.438</v>
      </c>
      <c r="D42" s="1879">
        <f t="shared" si="1"/>
        <v>0.14761385026653381</v>
      </c>
      <c r="E42" s="1880"/>
      <c r="F42" s="1276">
        <f t="shared" si="5"/>
        <v>145.102</v>
      </c>
      <c r="G42" s="1879">
        <f t="shared" si="2"/>
        <v>-0.121493845708536</v>
      </c>
      <c r="H42" s="1880"/>
      <c r="I42" s="1276">
        <f t="shared" si="6"/>
        <v>127.47300000000001</v>
      </c>
      <c r="J42" s="1879">
        <f t="shared" si="3"/>
        <v>8.1858302092726147E-3</v>
      </c>
      <c r="K42" s="1880"/>
    </row>
    <row r="43" spans="1:24">
      <c r="A43" s="1249">
        <f t="shared" si="0"/>
        <v>42</v>
      </c>
      <c r="B43" s="1268">
        <v>1600</v>
      </c>
      <c r="C43" s="1269">
        <f t="shared" si="4"/>
        <v>135.85399999999998</v>
      </c>
      <c r="D43" s="1875">
        <f t="shared" si="1"/>
        <v>0.14776156756518039</v>
      </c>
      <c r="E43" s="1876"/>
      <c r="F43" s="1269">
        <f t="shared" si="5"/>
        <v>155.928</v>
      </c>
      <c r="G43" s="1875">
        <f t="shared" si="2"/>
        <v>-0.11255194705248565</v>
      </c>
      <c r="H43" s="1876"/>
      <c r="I43" s="1269">
        <f t="shared" si="6"/>
        <v>138.37800000000001</v>
      </c>
      <c r="J43" s="1875">
        <f t="shared" si="3"/>
        <v>1.8578768383706257E-2</v>
      </c>
      <c r="K43" s="1876"/>
    </row>
    <row r="44" spans="1:24">
      <c r="A44" s="1249">
        <f t="shared" si="0"/>
        <v>43</v>
      </c>
      <c r="B44" s="1268">
        <v>1700</v>
      </c>
      <c r="C44" s="1269">
        <f t="shared" si="4"/>
        <v>145.26999999999998</v>
      </c>
      <c r="D44" s="1875">
        <f t="shared" si="1"/>
        <v>0.14789013560955469</v>
      </c>
      <c r="E44" s="1876"/>
      <c r="F44" s="1269">
        <f t="shared" si="5"/>
        <v>166.75399999999999</v>
      </c>
      <c r="G44" s="1875">
        <f t="shared" si="2"/>
        <v>-0.10477109994362957</v>
      </c>
      <c r="H44" s="1876"/>
      <c r="I44" s="1269">
        <f t="shared" si="6"/>
        <v>149.28299999999999</v>
      </c>
      <c r="J44" s="1875">
        <f t="shared" si="3"/>
        <v>2.762442348729955E-2</v>
      </c>
      <c r="K44" s="1876"/>
    </row>
    <row r="45" spans="1:24">
      <c r="A45" s="1249">
        <f t="shared" si="0"/>
        <v>44</v>
      </c>
      <c r="B45" s="1268">
        <v>1800</v>
      </c>
      <c r="C45" s="1269">
        <f t="shared" si="4"/>
        <v>154.68599999999998</v>
      </c>
      <c r="D45" s="1875">
        <f t="shared" si="1"/>
        <v>0.14800305134272032</v>
      </c>
      <c r="E45" s="1876"/>
      <c r="F45" s="1269">
        <f t="shared" si="5"/>
        <v>177.58</v>
      </c>
      <c r="G45" s="1875">
        <f t="shared" si="2"/>
        <v>-9.7938957089762496E-2</v>
      </c>
      <c r="H45" s="1876"/>
      <c r="I45" s="1269">
        <f t="shared" si="6"/>
        <v>160.18799999999999</v>
      </c>
      <c r="J45" s="1875">
        <f t="shared" si="3"/>
        <v>3.5568829758349241E-2</v>
      </c>
      <c r="K45" s="1876"/>
    </row>
    <row r="46" spans="1:24">
      <c r="A46" s="1249">
        <f t="shared" si="0"/>
        <v>45</v>
      </c>
      <c r="B46" s="1268">
        <v>1900</v>
      </c>
      <c r="C46" s="1269">
        <f t="shared" si="4"/>
        <v>164.10199999999998</v>
      </c>
      <c r="D46" s="1875">
        <f t="shared" si="1"/>
        <v>0.14810300910409399</v>
      </c>
      <c r="E46" s="1876"/>
      <c r="F46" s="1269">
        <f t="shared" si="5"/>
        <v>188.40600000000001</v>
      </c>
      <c r="G46" s="1875">
        <f t="shared" si="2"/>
        <v>-9.1891977962485355E-2</v>
      </c>
      <c r="H46" s="1876"/>
      <c r="I46" s="1269">
        <f t="shared" si="6"/>
        <v>171.09299999999999</v>
      </c>
      <c r="J46" s="1875">
        <f t="shared" si="3"/>
        <v>4.2601552692837476E-2</v>
      </c>
      <c r="K46" s="1876"/>
    </row>
    <row r="47" spans="1:24">
      <c r="A47" s="1249">
        <f t="shared" si="0"/>
        <v>46</v>
      </c>
      <c r="B47" s="1268">
        <v>2000</v>
      </c>
      <c r="C47" s="1269">
        <f t="shared" si="4"/>
        <v>173.51799999999997</v>
      </c>
      <c r="D47" s="1875">
        <f t="shared" si="1"/>
        <v>0.14819211839693883</v>
      </c>
      <c r="E47" s="1876"/>
      <c r="F47" s="1269">
        <f t="shared" si="5"/>
        <v>199.232</v>
      </c>
      <c r="G47" s="1875">
        <f t="shared" si="2"/>
        <v>-8.6502168326373322E-2</v>
      </c>
      <c r="H47" s="1876"/>
      <c r="I47" s="1269">
        <f t="shared" si="6"/>
        <v>181.99799999999999</v>
      </c>
      <c r="J47" s="1875">
        <f t="shared" si="3"/>
        <v>4.8871010500351662E-2</v>
      </c>
      <c r="K47" s="1876"/>
    </row>
    <row r="48" spans="1:24">
      <c r="A48" s="1249">
        <f t="shared" si="0"/>
        <v>47</v>
      </c>
      <c r="B48" s="1268">
        <v>2100</v>
      </c>
      <c r="C48" s="1269">
        <f t="shared" si="4"/>
        <v>182.93399999999997</v>
      </c>
      <c r="D48" s="1875">
        <f t="shared" si="1"/>
        <v>0.14827205440213426</v>
      </c>
      <c r="E48" s="1876"/>
      <c r="F48" s="1269">
        <f t="shared" si="5"/>
        <v>210.05799999999999</v>
      </c>
      <c r="G48" s="1875">
        <f t="shared" si="2"/>
        <v>-8.166792028868218E-2</v>
      </c>
      <c r="H48" s="1876"/>
      <c r="I48" s="1269">
        <f t="shared" si="6"/>
        <v>192.90299999999999</v>
      </c>
      <c r="J48" s="1875">
        <f t="shared" si="3"/>
        <v>5.4495063793499429E-2</v>
      </c>
      <c r="K48" s="1876"/>
    </row>
    <row r="49" spans="1:11">
      <c r="A49" s="1249">
        <f t="shared" si="0"/>
        <v>48</v>
      </c>
      <c r="B49" s="1268">
        <v>2200</v>
      </c>
      <c r="C49" s="1269">
        <f t="shared" si="4"/>
        <v>192.34999999999997</v>
      </c>
      <c r="D49" s="1875">
        <f t="shared" si="1"/>
        <v>0.14834416428385769</v>
      </c>
      <c r="E49" s="1876"/>
      <c r="F49" s="1269">
        <f t="shared" si="5"/>
        <v>220.88399999999999</v>
      </c>
      <c r="G49" s="1875">
        <f t="shared" si="2"/>
        <v>-7.7307546042266639E-2</v>
      </c>
      <c r="H49" s="1876"/>
      <c r="I49" s="1269">
        <f t="shared" si="6"/>
        <v>203.80799999999996</v>
      </c>
      <c r="J49" s="1875">
        <f t="shared" si="3"/>
        <v>5.9568494931115157E-2</v>
      </c>
      <c r="K49" s="1876"/>
    </row>
    <row r="50" spans="1:11">
      <c r="A50" s="1249">
        <f t="shared" si="0"/>
        <v>49</v>
      </c>
      <c r="B50" s="1268">
        <v>2300</v>
      </c>
      <c r="C50" s="1269">
        <f t="shared" si="4"/>
        <v>201.76600000000002</v>
      </c>
      <c r="D50" s="1875">
        <f t="shared" si="1"/>
        <v>0.14840954372887397</v>
      </c>
      <c r="E50" s="1876"/>
      <c r="F50" s="1269">
        <f t="shared" si="5"/>
        <v>231.71</v>
      </c>
      <c r="G50" s="1875">
        <f t="shared" si="2"/>
        <v>-7.3354624314876535E-2</v>
      </c>
      <c r="H50" s="1876"/>
      <c r="I50" s="1269">
        <f t="shared" si="6"/>
        <v>214.71299999999997</v>
      </c>
      <c r="J50" s="1875">
        <f t="shared" si="3"/>
        <v>6.416839308902364E-2</v>
      </c>
      <c r="K50" s="1876"/>
    </row>
    <row r="51" spans="1:11">
      <c r="A51" s="1249">
        <f t="shared" si="0"/>
        <v>50</v>
      </c>
      <c r="B51" s="1268">
        <v>2600</v>
      </c>
      <c r="C51" s="1269">
        <f t="shared" si="4"/>
        <v>230.01400000000001</v>
      </c>
      <c r="D51" s="1875">
        <f t="shared" si="1"/>
        <v>0.1485735650873424</v>
      </c>
      <c r="E51" s="1876"/>
      <c r="F51" s="1269">
        <f t="shared" si="5"/>
        <v>264.18799999999999</v>
      </c>
      <c r="G51" s="1875">
        <f t="shared" si="2"/>
        <v>-6.3439671748906259E-2</v>
      </c>
      <c r="H51" s="1876"/>
      <c r="I51" s="1269">
        <f t="shared" si="6"/>
        <v>247.42799999999994</v>
      </c>
      <c r="J51" s="1875">
        <f t="shared" si="3"/>
        <v>7.5708435138730379E-2</v>
      </c>
      <c r="K51" s="1876"/>
    </row>
    <row r="52" spans="1:11">
      <c r="A52" s="1249">
        <f t="shared" si="0"/>
        <v>51</v>
      </c>
      <c r="B52" s="1268">
        <v>2800</v>
      </c>
      <c r="C52" s="1269">
        <f t="shared" si="4"/>
        <v>248.846</v>
      </c>
      <c r="D52" s="1875">
        <f t="shared" si="1"/>
        <v>0.14866222482981431</v>
      </c>
      <c r="E52" s="1876"/>
      <c r="F52" s="1269">
        <f t="shared" si="5"/>
        <v>285.83999999999997</v>
      </c>
      <c r="G52" s="1875">
        <f t="shared" si="2"/>
        <v>-5.8081444164567508E-2</v>
      </c>
      <c r="H52" s="1876"/>
      <c r="I52" s="1269">
        <f t="shared" si="6"/>
        <v>269.238</v>
      </c>
      <c r="J52" s="1875">
        <f t="shared" si="3"/>
        <v>8.1946263954413553E-2</v>
      </c>
      <c r="K52" s="1876"/>
    </row>
    <row r="53" spans="1:11">
      <c r="A53" s="1249">
        <f t="shared" si="0"/>
        <v>52</v>
      </c>
      <c r="B53" s="1268">
        <v>3000</v>
      </c>
      <c r="C53" s="1269">
        <f t="shared" si="4"/>
        <v>267.678</v>
      </c>
      <c r="D53" s="1875">
        <f t="shared" si="1"/>
        <v>0.14873840958166162</v>
      </c>
      <c r="E53" s="1876"/>
      <c r="F53" s="1269">
        <f t="shared" si="5"/>
        <v>307.49200000000002</v>
      </c>
      <c r="G53" s="1875">
        <f t="shared" si="2"/>
        <v>-5.347781405695131E-2</v>
      </c>
      <c r="H53" s="1876"/>
      <c r="I53" s="1269">
        <f t="shared" si="6"/>
        <v>291.04799999999994</v>
      </c>
      <c r="J53" s="1875">
        <f t="shared" si="3"/>
        <v>8.7306390513975554E-2</v>
      </c>
      <c r="K53" s="1876"/>
    </row>
    <row r="54" spans="1:11">
      <c r="A54" s="1249">
        <f t="shared" si="0"/>
        <v>53</v>
      </c>
      <c r="B54" s="1268">
        <v>3200</v>
      </c>
      <c r="C54" s="1269">
        <f t="shared" si="4"/>
        <v>286.51</v>
      </c>
      <c r="D54" s="1875">
        <f t="shared" si="1"/>
        <v>0.14880457924679771</v>
      </c>
      <c r="E54" s="1876"/>
      <c r="F54" s="1269">
        <f t="shared" si="5"/>
        <v>329.14400000000001</v>
      </c>
      <c r="G54" s="1875">
        <f t="shared" si="2"/>
        <v>-4.9479862917142826E-2</v>
      </c>
      <c r="H54" s="1876"/>
      <c r="I54" s="1269">
        <f t="shared" si="6"/>
        <v>312.85799999999995</v>
      </c>
      <c r="J54" s="1875">
        <f t="shared" si="3"/>
        <v>9.196188614708023E-2</v>
      </c>
      <c r="K54" s="1876"/>
    </row>
    <row r="55" spans="1:11">
      <c r="A55" s="1249">
        <f t="shared" si="0"/>
        <v>54</v>
      </c>
      <c r="B55" s="1268">
        <v>3400</v>
      </c>
      <c r="C55" s="1269">
        <f t="shared" si="4"/>
        <v>305.34199999999998</v>
      </c>
      <c r="D55" s="1875">
        <f t="shared" si="1"/>
        <v>0.14886258686980502</v>
      </c>
      <c r="E55" s="1876"/>
      <c r="F55" s="1269">
        <f t="shared" si="5"/>
        <v>350.79599999999999</v>
      </c>
      <c r="G55" s="1875">
        <f t="shared" si="2"/>
        <v>-4.5975438716519122E-2</v>
      </c>
      <c r="H55" s="1876"/>
      <c r="I55" s="1269">
        <f t="shared" si="6"/>
        <v>334.66799999999995</v>
      </c>
      <c r="J55" s="1875">
        <f t="shared" si="3"/>
        <v>9.6043125413470681E-2</v>
      </c>
      <c r="K55" s="1876"/>
    </row>
    <row r="56" spans="1:11">
      <c r="A56" s="1249">
        <f t="shared" si="0"/>
        <v>55</v>
      </c>
      <c r="B56" s="1268">
        <v>3600</v>
      </c>
      <c r="C56" s="1269">
        <f t="shared" si="4"/>
        <v>324.17399999999998</v>
      </c>
      <c r="D56" s="1875">
        <f t="shared" si="1"/>
        <v>0.14891385490508185</v>
      </c>
      <c r="E56" s="1876"/>
      <c r="F56" s="1269">
        <f t="shared" si="5"/>
        <v>372.44799999999998</v>
      </c>
      <c r="G56" s="1875">
        <f t="shared" si="2"/>
        <v>-4.2878468940630868E-2</v>
      </c>
      <c r="H56" s="1876"/>
      <c r="I56" s="1269">
        <f t="shared" si="6"/>
        <v>356.47799999999989</v>
      </c>
      <c r="J56" s="1875">
        <f t="shared" si="3"/>
        <v>9.9650187862073816E-2</v>
      </c>
      <c r="K56" s="1876"/>
    </row>
    <row r="57" spans="1:11">
      <c r="A57" s="1249">
        <f t="shared" si="0"/>
        <v>56</v>
      </c>
      <c r="B57" s="1268">
        <v>3800</v>
      </c>
      <c r="C57" s="1269">
        <f t="shared" si="4"/>
        <v>343.00599999999997</v>
      </c>
      <c r="D57" s="1875">
        <f t="shared" si="1"/>
        <v>0.14895949341994016</v>
      </c>
      <c r="E57" s="1876"/>
      <c r="F57" s="1269">
        <f t="shared" si="5"/>
        <v>394.09999999999997</v>
      </c>
      <c r="G57" s="1875">
        <f t="shared" si="2"/>
        <v>-4.0121796498350848E-2</v>
      </c>
      <c r="H57" s="1876"/>
      <c r="I57" s="1269">
        <f t="shared" si="6"/>
        <v>378.2879999999999</v>
      </c>
      <c r="J57" s="1875">
        <f t="shared" si="3"/>
        <v>0.10286117444009706</v>
      </c>
      <c r="K57" s="1876"/>
    </row>
    <row r="58" spans="1:11">
      <c r="A58" s="1249">
        <f t="shared" si="0"/>
        <v>57</v>
      </c>
      <c r="B58" s="1268">
        <v>4000</v>
      </c>
      <c r="C58" s="1269">
        <f t="shared" si="4"/>
        <v>361.83800000000002</v>
      </c>
      <c r="D58" s="1875">
        <f t="shared" si="1"/>
        <v>0.14900038138614513</v>
      </c>
      <c r="E58" s="1876"/>
      <c r="F58" s="1269">
        <f t="shared" si="5"/>
        <v>415.75200000000001</v>
      </c>
      <c r="G58" s="1875">
        <f t="shared" si="2"/>
        <v>-3.7652254228482632E-2</v>
      </c>
      <c r="H58" s="1876"/>
      <c r="I58" s="1269">
        <f t="shared" si="6"/>
        <v>400.0979999999999</v>
      </c>
      <c r="J58" s="1875">
        <f t="shared" si="3"/>
        <v>0.1057379269175705</v>
      </c>
      <c r="K58" s="1876"/>
    </row>
    <row r="59" spans="1:11">
      <c r="A59" s="1249">
        <f t="shared" si="0"/>
        <v>58</v>
      </c>
      <c r="B59" s="1268">
        <v>4200</v>
      </c>
      <c r="C59" s="1269">
        <f t="shared" si="4"/>
        <v>380.67</v>
      </c>
      <c r="D59" s="1875">
        <f t="shared" si="1"/>
        <v>0.14903722384217297</v>
      </c>
      <c r="E59" s="1876"/>
      <c r="F59" s="1269">
        <f t="shared" si="5"/>
        <v>437.404</v>
      </c>
      <c r="G59" s="1875">
        <f t="shared" si="2"/>
        <v>-3.5427202311821913E-2</v>
      </c>
      <c r="H59" s="1876"/>
      <c r="I59" s="1269">
        <f t="shared" si="6"/>
        <v>421.90799999999984</v>
      </c>
      <c r="J59" s="1875">
        <f t="shared" si="3"/>
        <v>0.1083300496493021</v>
      </c>
      <c r="K59" s="1876"/>
    </row>
    <row r="60" spans="1:11">
      <c r="A60" s="1249">
        <f t="shared" si="0"/>
        <v>59</v>
      </c>
      <c r="B60" s="1268">
        <v>4400</v>
      </c>
      <c r="C60" s="1269">
        <f t="shared" si="4"/>
        <v>399.50200000000001</v>
      </c>
      <c r="D60" s="1875">
        <f t="shared" si="1"/>
        <v>0.14907059288814567</v>
      </c>
      <c r="E60" s="1876"/>
      <c r="F60" s="1269">
        <f t="shared" si="5"/>
        <v>459.05599999999998</v>
      </c>
      <c r="G60" s="1875">
        <f t="shared" si="2"/>
        <v>-3.3412045589209335E-2</v>
      </c>
      <c r="H60" s="1876"/>
      <c r="I60" s="1269">
        <f t="shared" si="6"/>
        <v>443.7179999999999</v>
      </c>
      <c r="J60" s="1875">
        <f t="shared" si="3"/>
        <v>0.11067779385334715</v>
      </c>
      <c r="K60" s="1876"/>
    </row>
    <row r="61" spans="1:11">
      <c r="A61" s="1249">
        <f t="shared" si="0"/>
        <v>60</v>
      </c>
      <c r="B61" s="1268">
        <v>4600</v>
      </c>
      <c r="C61" s="1269">
        <f t="shared" si="4"/>
        <v>418.334</v>
      </c>
      <c r="D61" s="1875">
        <f t="shared" si="1"/>
        <v>0.1491009576080356</v>
      </c>
      <c r="E61" s="1876"/>
      <c r="F61" s="1269">
        <f t="shared" si="5"/>
        <v>480.70799999999997</v>
      </c>
      <c r="G61" s="1875">
        <f t="shared" si="2"/>
        <v>-3.1578421827804244E-2</v>
      </c>
      <c r="H61" s="1876"/>
      <c r="I61" s="1269">
        <f t="shared" si="6"/>
        <v>465.52799999999985</v>
      </c>
      <c r="J61" s="1875">
        <f t="shared" si="3"/>
        <v>0.11281416284595526</v>
      </c>
      <c r="K61" s="1876"/>
    </row>
    <row r="62" spans="1:11">
      <c r="A62" s="1249">
        <f t="shared" si="0"/>
        <v>61</v>
      </c>
      <c r="B62" s="1268">
        <v>4800</v>
      </c>
      <c r="C62" s="1269">
        <f t="shared" si="4"/>
        <v>437.166</v>
      </c>
      <c r="D62" s="1875">
        <f t="shared" si="1"/>
        <v>0.14912870625803473</v>
      </c>
      <c r="E62" s="1876"/>
      <c r="F62" s="1269">
        <f t="shared" si="5"/>
        <v>502.36</v>
      </c>
      <c r="G62" s="1875">
        <f t="shared" si="2"/>
        <v>-2.9902858507843414E-2</v>
      </c>
      <c r="H62" s="1876"/>
      <c r="I62" s="1269">
        <f t="shared" si="6"/>
        <v>487.33799999999979</v>
      </c>
      <c r="J62" s="1875">
        <f t="shared" si="3"/>
        <v>0.11476647314749958</v>
      </c>
      <c r="K62" s="1876"/>
    </row>
    <row r="63" spans="1:11">
      <c r="A63" s="1249">
        <f t="shared" si="0"/>
        <v>62</v>
      </c>
      <c r="B63" s="1268">
        <v>5300</v>
      </c>
      <c r="C63" s="1269">
        <f t="shared" si="4"/>
        <v>484.24599999999998</v>
      </c>
      <c r="D63" s="1875">
        <f t="shared" si="1"/>
        <v>0.14918863552822331</v>
      </c>
      <c r="E63" s="1876"/>
      <c r="F63" s="1269">
        <f t="shared" si="5"/>
        <v>556.49</v>
      </c>
      <c r="G63" s="1875">
        <f t="shared" si="2"/>
        <v>-2.6284389656598132E-2</v>
      </c>
      <c r="H63" s="1876"/>
      <c r="I63" s="1269">
        <f t="shared" si="6"/>
        <v>541.86299999999972</v>
      </c>
      <c r="J63" s="1875">
        <f t="shared" si="3"/>
        <v>0.11898291364306517</v>
      </c>
      <c r="K63" s="1876"/>
    </row>
    <row r="64" spans="1:11">
      <c r="A64" s="1249">
        <f t="shared" si="0"/>
        <v>63</v>
      </c>
      <c r="B64" s="1268">
        <v>5800</v>
      </c>
      <c r="C64" s="1269">
        <f t="shared" si="4"/>
        <v>531.32599999999991</v>
      </c>
      <c r="D64" s="1875">
        <f t="shared" si="1"/>
        <v>0.14923794431290791</v>
      </c>
      <c r="E64" s="1876"/>
      <c r="F64" s="1269">
        <f t="shared" si="5"/>
        <v>610.62</v>
      </c>
      <c r="G64" s="1875">
        <f t="shared" si="2"/>
        <v>-2.3307457993515298E-2</v>
      </c>
      <c r="H64" s="1876"/>
      <c r="I64" s="1269">
        <f t="shared" si="6"/>
        <v>596.38799999999969</v>
      </c>
      <c r="J64" s="1875">
        <f t="shared" si="3"/>
        <v>0.12245212920128094</v>
      </c>
      <c r="K64" s="1876"/>
    </row>
    <row r="65" spans="1:11">
      <c r="A65" s="1249">
        <f t="shared" si="0"/>
        <v>64</v>
      </c>
      <c r="B65" s="1268">
        <v>6300</v>
      </c>
      <c r="C65" s="1269">
        <f t="shared" si="4"/>
        <v>578.40599999999995</v>
      </c>
      <c r="D65" s="1875">
        <f t="shared" si="1"/>
        <v>0.1492792260107953</v>
      </c>
      <c r="E65" s="1876"/>
      <c r="F65" s="1269">
        <f t="shared" si="5"/>
        <v>664.75</v>
      </c>
      <c r="G65" s="1875">
        <f t="shared" si="2"/>
        <v>-2.0815344114329191E-2</v>
      </c>
      <c r="H65" s="1876"/>
      <c r="I65" s="1269">
        <f t="shared" si="6"/>
        <v>650.91299999999967</v>
      </c>
      <c r="J65" s="1875">
        <f t="shared" si="3"/>
        <v>0.12535658343793066</v>
      </c>
      <c r="K65" s="1876"/>
    </row>
    <row r="66" spans="1:11">
      <c r="A66" s="1249">
        <f t="shared" si="0"/>
        <v>65</v>
      </c>
      <c r="B66" s="1268">
        <v>6800</v>
      </c>
      <c r="C66" s="1269">
        <f t="shared" si="4"/>
        <v>625.48599999999988</v>
      </c>
      <c r="D66" s="1875">
        <f t="shared" si="1"/>
        <v>0.14931429320560355</v>
      </c>
      <c r="E66" s="1876"/>
      <c r="F66" s="1269">
        <f t="shared" si="5"/>
        <v>718.88</v>
      </c>
      <c r="G66" s="1875">
        <f t="shared" si="2"/>
        <v>-1.8698531048297835E-2</v>
      </c>
      <c r="H66" s="1876"/>
      <c r="I66" s="1269">
        <f t="shared" si="6"/>
        <v>705.43799999999965</v>
      </c>
      <c r="J66" s="1875">
        <f t="shared" si="3"/>
        <v>0.12782380420984607</v>
      </c>
      <c r="K66" s="1876"/>
    </row>
    <row r="67" spans="1:11">
      <c r="A67" s="1249">
        <f t="shared" si="0"/>
        <v>66</v>
      </c>
      <c r="B67" s="1268">
        <v>7300</v>
      </c>
      <c r="C67" s="1269">
        <f t="shared" si="4"/>
        <v>672.56599999999992</v>
      </c>
      <c r="D67" s="1875">
        <f t="shared" si="1"/>
        <v>0.14934445095351251</v>
      </c>
      <c r="E67" s="1876"/>
      <c r="F67" s="1269">
        <f t="shared" si="5"/>
        <v>773.01</v>
      </c>
      <c r="G67" s="1875">
        <f t="shared" si="2"/>
        <v>-1.6878177513874808E-2</v>
      </c>
      <c r="H67" s="1876"/>
      <c r="I67" s="1269">
        <f t="shared" si="6"/>
        <v>759.96299999999962</v>
      </c>
      <c r="J67" s="1875">
        <f t="shared" si="3"/>
        <v>0.12994561128573212</v>
      </c>
      <c r="K67" s="1876"/>
    </row>
    <row r="68" spans="1:11">
      <c r="A68" s="1249">
        <f t="shared" ref="A68:A131" si="7">A67+1</f>
        <v>67</v>
      </c>
      <c r="B68" s="1268">
        <v>7800</v>
      </c>
      <c r="C68" s="1269">
        <f t="shared" si="4"/>
        <v>719.64599999999996</v>
      </c>
      <c r="D68" s="1875">
        <f t="shared" si="1"/>
        <v>0.14937066279809799</v>
      </c>
      <c r="E68" s="1876"/>
      <c r="F68" s="1269">
        <f t="shared" si="5"/>
        <v>827.14</v>
      </c>
      <c r="G68" s="1875">
        <f t="shared" si="2"/>
        <v>-1.5296080470053902E-2</v>
      </c>
      <c r="H68" s="1876"/>
      <c r="I68" s="1269">
        <f t="shared" si="6"/>
        <v>814.4879999999996</v>
      </c>
      <c r="J68" s="1875">
        <f t="shared" si="3"/>
        <v>0.13178979665001911</v>
      </c>
      <c r="K68" s="1876"/>
    </row>
    <row r="69" spans="1:11">
      <c r="A69" s="1249">
        <f t="shared" si="7"/>
        <v>68</v>
      </c>
      <c r="B69" s="1268">
        <v>8300</v>
      </c>
      <c r="C69" s="1269">
        <f t="shared" si="4"/>
        <v>766.72599999999989</v>
      </c>
      <c r="D69" s="1875">
        <f t="shared" si="1"/>
        <v>0.14939365562143467</v>
      </c>
      <c r="E69" s="1876"/>
      <c r="F69" s="1269">
        <f t="shared" si="5"/>
        <v>881.27</v>
      </c>
      <c r="G69" s="1875">
        <f t="shared" si="2"/>
        <v>-1.3908336832072354E-2</v>
      </c>
      <c r="H69" s="1876"/>
      <c r="I69" s="1269">
        <f t="shared" si="6"/>
        <v>869.01299999999958</v>
      </c>
      <c r="J69" s="1875">
        <f t="shared" si="3"/>
        <v>0.13340750150640476</v>
      </c>
      <c r="K69" s="1876"/>
    </row>
    <row r="70" spans="1:11">
      <c r="A70" s="1249">
        <f t="shared" si="7"/>
        <v>69</v>
      </c>
      <c r="B70" s="1268">
        <v>8800</v>
      </c>
      <c r="C70" s="1269">
        <f t="shared" si="4"/>
        <v>813.80599999999993</v>
      </c>
      <c r="D70" s="1875">
        <f t="shared" si="1"/>
        <v>0.14941398810035814</v>
      </c>
      <c r="E70" s="1876"/>
      <c r="F70" s="1269">
        <f t="shared" si="5"/>
        <v>935.4</v>
      </c>
      <c r="G70" s="1875">
        <f t="shared" si="2"/>
        <v>-1.268120590121918E-2</v>
      </c>
      <c r="H70" s="1876"/>
      <c r="I70" s="1269">
        <f t="shared" si="6"/>
        <v>923.53799999999956</v>
      </c>
      <c r="J70" s="1875">
        <f t="shared" si="3"/>
        <v>0.134838032651516</v>
      </c>
      <c r="K70" s="1876"/>
    </row>
    <row r="71" spans="1:11">
      <c r="A71" s="1249">
        <f t="shared" si="7"/>
        <v>70</v>
      </c>
      <c r="B71" s="1268">
        <v>9300</v>
      </c>
      <c r="C71" s="1269">
        <f t="shared" si="4"/>
        <v>860.88599999999985</v>
      </c>
      <c r="D71" s="1875">
        <f t="shared" si="1"/>
        <v>0.1494320967003763</v>
      </c>
      <c r="E71" s="1876"/>
      <c r="F71" s="1269">
        <f t="shared" si="5"/>
        <v>989.53</v>
      </c>
      <c r="G71" s="1875">
        <f t="shared" si="2"/>
        <v>-1.1588329813144059E-2</v>
      </c>
      <c r="H71" s="1876"/>
      <c r="I71" s="1269">
        <f t="shared" si="6"/>
        <v>978.06299999999953</v>
      </c>
      <c r="J71" s="1875">
        <f t="shared" si="3"/>
        <v>0.13611209846599864</v>
      </c>
      <c r="K71" s="1876"/>
    </row>
    <row r="72" spans="1:11">
      <c r="A72" s="1249">
        <f t="shared" si="7"/>
        <v>71</v>
      </c>
      <c r="B72" s="1268">
        <v>9800</v>
      </c>
      <c r="C72" s="1269">
        <f t="shared" si="4"/>
        <v>907.96599999999989</v>
      </c>
      <c r="D72" s="1875">
        <f t="shared" si="1"/>
        <v>0.14944832736027558</v>
      </c>
      <c r="E72" s="1876"/>
      <c r="F72" s="1269">
        <f t="shared" si="5"/>
        <v>1043.6599999999999</v>
      </c>
      <c r="G72" s="1875">
        <f t="shared" si="2"/>
        <v>-1.0608818964030762E-2</v>
      </c>
      <c r="H72" s="1876"/>
      <c r="I72" s="1269">
        <f t="shared" si="6"/>
        <v>1032.5879999999995</v>
      </c>
      <c r="J72" s="1875">
        <f t="shared" si="3"/>
        <v>0.13725403814680245</v>
      </c>
      <c r="K72" s="1876"/>
    </row>
    <row r="73" spans="1:11">
      <c r="A73" s="1249">
        <f t="shared" si="7"/>
        <v>72</v>
      </c>
      <c r="B73" s="1268">
        <v>10300</v>
      </c>
      <c r="C73" s="1269">
        <f t="shared" si="4"/>
        <v>955.04599999999994</v>
      </c>
      <c r="D73" s="1875">
        <f t="shared" si="1"/>
        <v>0.14946295780517357</v>
      </c>
      <c r="E73" s="1876"/>
      <c r="F73" s="1269">
        <f t="shared" si="5"/>
        <v>1097.7899999999997</v>
      </c>
      <c r="G73" s="1875">
        <f t="shared" si="2"/>
        <v>-9.7259038613943805E-3</v>
      </c>
      <c r="H73" s="1876"/>
      <c r="I73" s="1269">
        <f t="shared" si="6"/>
        <v>1087.1129999999996</v>
      </c>
      <c r="J73" s="1875">
        <f t="shared" si="3"/>
        <v>0.13828339158532643</v>
      </c>
      <c r="K73" s="1876"/>
    </row>
    <row r="74" spans="1:11">
      <c r="A74" s="1249">
        <f t="shared" si="7"/>
        <v>73</v>
      </c>
      <c r="B74" s="1268">
        <v>10800</v>
      </c>
      <c r="C74" s="1269">
        <f t="shared" si="4"/>
        <v>1002.1259999999999</v>
      </c>
      <c r="D74" s="1875">
        <f t="shared" si="1"/>
        <v>0.14947621356995028</v>
      </c>
      <c r="E74" s="1876"/>
      <c r="F74" s="1269">
        <f t="shared" si="5"/>
        <v>1151.9199999999998</v>
      </c>
      <c r="G74" s="1875">
        <f t="shared" si="2"/>
        <v>-8.9259670810476269E-3</v>
      </c>
      <c r="H74" s="1876"/>
      <c r="I74" s="1269">
        <f t="shared" si="6"/>
        <v>1141.6379999999995</v>
      </c>
      <c r="J74" s="1875">
        <f t="shared" si="3"/>
        <v>0.13921602672717764</v>
      </c>
      <c r="K74" s="1876"/>
    </row>
    <row r="75" spans="1:11">
      <c r="A75" s="1249">
        <f t="shared" si="7"/>
        <v>74</v>
      </c>
      <c r="B75" s="1268">
        <v>11300</v>
      </c>
      <c r="C75" s="1269">
        <f t="shared" si="4"/>
        <v>1049.2059999999999</v>
      </c>
      <c r="D75" s="1875">
        <f t="shared" si="1"/>
        <v>0.14948827970865572</v>
      </c>
      <c r="E75" s="1876"/>
      <c r="F75" s="1269">
        <f t="shared" si="5"/>
        <v>1206.0499999999997</v>
      </c>
      <c r="G75" s="1875">
        <f t="shared" si="2"/>
        <v>-8.1978359106174483E-3</v>
      </c>
      <c r="H75" s="1876"/>
      <c r="I75" s="1269">
        <f t="shared" si="6"/>
        <v>1196.1629999999996</v>
      </c>
      <c r="J75" s="1875">
        <f t="shared" si="3"/>
        <v>0.14006496341042624</v>
      </c>
      <c r="K75" s="1876"/>
    </row>
    <row r="76" spans="1:11">
      <c r="A76" s="1249">
        <f t="shared" si="7"/>
        <v>75</v>
      </c>
      <c r="B76" s="1268">
        <v>11800</v>
      </c>
      <c r="C76" s="1269">
        <f t="shared" si="4"/>
        <v>1096.2859999999998</v>
      </c>
      <c r="D76" s="1875">
        <f t="shared" si="1"/>
        <v>0.14949930948675805</v>
      </c>
      <c r="E76" s="1876"/>
      <c r="F76" s="1269">
        <f t="shared" si="5"/>
        <v>1260.1799999999998</v>
      </c>
      <c r="G76" s="1875">
        <f t="shared" si="2"/>
        <v>-7.5322572965768305E-3</v>
      </c>
      <c r="H76" s="1876"/>
      <c r="I76" s="1269">
        <f t="shared" si="6"/>
        <v>1250.6879999999996</v>
      </c>
      <c r="J76" s="1875">
        <f t="shared" si="3"/>
        <v>0.14084098492546637</v>
      </c>
      <c r="K76" s="1876"/>
    </row>
    <row r="77" spans="1:11">
      <c r="A77" s="1249">
        <f t="shared" si="7"/>
        <v>76</v>
      </c>
      <c r="B77" s="1268">
        <v>12300</v>
      </c>
      <c r="C77" s="1269">
        <f t="shared" si="4"/>
        <v>1143.366</v>
      </c>
      <c r="D77" s="1875">
        <f t="shared" si="1"/>
        <v>0.14950943092588023</v>
      </c>
      <c r="E77" s="1876"/>
      <c r="F77" s="1269">
        <f t="shared" si="5"/>
        <v>1314.31</v>
      </c>
      <c r="G77" s="1875">
        <f t="shared" si="2"/>
        <v>-6.9215025374534432E-3</v>
      </c>
      <c r="H77" s="1876"/>
      <c r="I77" s="1269">
        <f t="shared" si="6"/>
        <v>1305.2129999999995</v>
      </c>
      <c r="J77" s="1875">
        <f t="shared" si="3"/>
        <v>0.14155309848290007</v>
      </c>
      <c r="K77" s="1876"/>
    </row>
    <row r="78" spans="1:11">
      <c r="A78" s="1249">
        <f t="shared" si="7"/>
        <v>77</v>
      </c>
      <c r="B78" s="1268">
        <v>12800</v>
      </c>
      <c r="C78" s="1269">
        <f t="shared" si="4"/>
        <v>1190.4459999999999</v>
      </c>
      <c r="D78" s="1875">
        <f t="shared" si="1"/>
        <v>0.14951875179554547</v>
      </c>
      <c r="E78" s="1876"/>
      <c r="F78" s="1269">
        <f t="shared" si="5"/>
        <v>1368.4399999999998</v>
      </c>
      <c r="G78" s="1875">
        <f t="shared" si="2"/>
        <v>-6.3590657975506615E-3</v>
      </c>
      <c r="H78" s="1876"/>
      <c r="I78" s="1269">
        <f t="shared" si="6"/>
        <v>1359.7379999999996</v>
      </c>
      <c r="J78" s="1875">
        <f t="shared" si="3"/>
        <v>0.14220888641735929</v>
      </c>
      <c r="K78" s="1876"/>
    </row>
    <row r="79" spans="1:11">
      <c r="A79" s="1249">
        <f t="shared" si="7"/>
        <v>78</v>
      </c>
      <c r="B79" s="1268">
        <v>13300</v>
      </c>
      <c r="C79" s="1269">
        <f t="shared" si="4"/>
        <v>1237.5259999999998</v>
      </c>
      <c r="D79" s="1875">
        <f t="shared" si="1"/>
        <v>0.14952736346549497</v>
      </c>
      <c r="E79" s="1876"/>
      <c r="F79" s="1269">
        <f t="shared" si="5"/>
        <v>1422.57</v>
      </c>
      <c r="G79" s="1875">
        <f t="shared" si="2"/>
        <v>-5.8394314515282002E-3</v>
      </c>
      <c r="H79" s="1876"/>
      <c r="I79" s="1269">
        <f t="shared" si="6"/>
        <v>1414.2629999999995</v>
      </c>
      <c r="J79" s="1875">
        <f t="shared" si="3"/>
        <v>0.14281477722488226</v>
      </c>
      <c r="K79" s="1876"/>
    </row>
    <row r="80" spans="1:11">
      <c r="A80" s="1249">
        <f t="shared" si="7"/>
        <v>79</v>
      </c>
      <c r="B80" s="1268">
        <v>13800</v>
      </c>
      <c r="C80" s="1269">
        <f t="shared" si="4"/>
        <v>1284.6059999999998</v>
      </c>
      <c r="D80" s="1875">
        <f t="shared" si="1"/>
        <v>0.14953534391089571</v>
      </c>
      <c r="E80" s="1876"/>
      <c r="F80" s="1269">
        <f t="shared" si="5"/>
        <v>1476.6999999999998</v>
      </c>
      <c r="G80" s="1875">
        <f t="shared" si="2"/>
        <v>-5.357892598361543E-3</v>
      </c>
      <c r="H80" s="1876"/>
      <c r="I80" s="1269">
        <f t="shared" si="6"/>
        <v>1468.7879999999993</v>
      </c>
      <c r="J80" s="1875">
        <f t="shared" si="3"/>
        <v>0.14337625700020051</v>
      </c>
      <c r="K80" s="1876"/>
    </row>
    <row r="81" spans="1:11">
      <c r="A81" s="1249">
        <f t="shared" si="7"/>
        <v>80</v>
      </c>
      <c r="B81" s="1268">
        <v>14300</v>
      </c>
      <c r="C81" s="1269">
        <f t="shared" si="4"/>
        <v>1331.6859999999999</v>
      </c>
      <c r="D81" s="1875">
        <f t="shared" si="1"/>
        <v>0.14954276008007894</v>
      </c>
      <c r="E81" s="1876"/>
      <c r="F81" s="1269">
        <f t="shared" si="5"/>
        <v>1530.83</v>
      </c>
      <c r="G81" s="1875">
        <f t="shared" si="2"/>
        <v>-4.9104080792775869E-3</v>
      </c>
      <c r="H81" s="1876"/>
      <c r="I81" s="1269">
        <f t="shared" si="6"/>
        <v>1523.3129999999994</v>
      </c>
      <c r="J81" s="1875">
        <f t="shared" si="3"/>
        <v>0.14389803602350668</v>
      </c>
      <c r="K81" s="1876"/>
    </row>
    <row r="82" spans="1:11">
      <c r="A82" s="1249">
        <f t="shared" si="7"/>
        <v>81</v>
      </c>
      <c r="B82" s="1268">
        <v>14800</v>
      </c>
      <c r="C82" s="1269">
        <f t="shared" si="4"/>
        <v>1378.7659999999998</v>
      </c>
      <c r="D82" s="1875">
        <f t="shared" ref="D82:D134" si="8">(F82-C82)/C82</f>
        <v>0.14954966977717754</v>
      </c>
      <c r="E82" s="1876"/>
      <c r="F82" s="1269">
        <f t="shared" si="5"/>
        <v>1584.9599999999998</v>
      </c>
      <c r="G82" s="1875">
        <f t="shared" ref="G82:G134" si="9">(I82-F82)/F82</f>
        <v>-4.4934887946702293E-3</v>
      </c>
      <c r="H82" s="1876"/>
      <c r="I82" s="1269">
        <f t="shared" si="6"/>
        <v>1577.8379999999993</v>
      </c>
      <c r="J82" s="1875">
        <f t="shared" ref="J82:J134" si="10">(+I82-C82)/C82</f>
        <v>0.14438418121711694</v>
      </c>
      <c r="K82" s="1876"/>
    </row>
    <row r="83" spans="1:11">
      <c r="A83" s="1249">
        <f t="shared" si="7"/>
        <v>82</v>
      </c>
      <c r="B83" s="1268">
        <v>15300</v>
      </c>
      <c r="C83" s="1269">
        <f t="shared" ref="C83:C134" si="11">(($C$6)+(IF($B83&lt;$C$7,0,((IF(($B83-$C$7)&gt;$C$11,($C$11/$C$14*$C$8),(IF(($B83-$C$7)&gt;$C$11,$C$11,+($B83-$C$7)))/$C$14*$C$8)))+((IF(($B83-$C$7)&gt;$C$12,(((($C$12-$C$11)/$C$14)*$C$9)),((IF(($B83-$C$7)&gt;($C$12),($C$12-$C$11),(+($B83-$C$7)-(IF(($B83-$C$7)&gt;$C$11,$C$11,+($B83-$C$7)))))))/$C$14*$C$9)))+((IF((IF(($B83-$C$7)&gt;($C$13),($B83-$C$7)-($C$12),0))&lt;1,0,(IF(($B83-$C$7)&gt;($C$13),($B83-$C$7)-($C$12),0))/$C$14*$C$10))))))</f>
        <v>1425.8459999999998</v>
      </c>
      <c r="D83" s="1875">
        <f t="shared" si="8"/>
        <v>0.14955612317178726</v>
      </c>
      <c r="E83" s="1876"/>
      <c r="F83" s="1269">
        <f t="shared" ref="F83:F134" si="12">(($F$6)+(IF($B83&lt;$F$7,0,((IF(($B83-$F$7)&gt;$F$11,($F$11/$F$14*$F$8),(IF(($B83-$F$7)&gt;$F$11,$F$11,+($B83-$F$7)))/$F$14*$F$8)))+((IF(($B83-$F$7)&gt;$F$12,(((($F$12-$F$11)/$F$14)*$F$9)),((IF(($B83-$F$7)&gt;($F$12),($F$12-$F$11),(+($B83-$F$7)-(IF(($B83-$F$7)&gt;$F$11,$F$11,+($B83-$F$7)))))))/$F$14*$F$9)))+((IF((IF(($B83-$F$7)&gt;($F$13),($B83-$F$7)-($F$12),0))&lt;1,0,(IF(($B83-$F$7)&gt;($F$13),($B83-$F$7)-($F$12),0))/$F$14*$F$10))))))</f>
        <v>1639.09</v>
      </c>
      <c r="G83" s="1875">
        <f t="shared" si="9"/>
        <v>-4.1041065469257605E-3</v>
      </c>
      <c r="H83" s="1876"/>
      <c r="I83" s="1269">
        <f t="shared" ref="I83:I134" si="13">(($I$6)+(IF($B83&lt;$I$7,0,((IF(($B83-$I$7)&gt;$I$11,($I$11/$I$14*$I$8),(IF(($B83-$I$7)&gt;$I$11,$I$11,+($B83-$I$7)))/$I$14*$I$8)))+((IF(($B83-$I$7)&gt;$I$12,(((($I$12-$I$11)/$I$14)*$I$9)),((IF(($B83-$I$7)&gt;($I$12),($I$12-$I$11),(+($B83-$I$7)-(IF(($B83-$I$7)&gt;$I$11,$I$11,+($B83-$I$7)))))))/$I$14*$I$9)))+((IF((IF(($B83-$I$7)&gt;($I$13),($B83-$I$7)-($I$12),0))&lt;1,0,(IF(($B83-$I$7)&gt;($I$13),($B83-$I$7)-($I$12),0))/$I$14*$I$10))))))</f>
        <v>1632.3629999999994</v>
      </c>
      <c r="J83" s="1875">
        <f t="shared" si="10"/>
        <v>0.14483822236061933</v>
      </c>
      <c r="K83" s="1876"/>
    </row>
    <row r="84" spans="1:11">
      <c r="A84" s="1249">
        <f t="shared" si="7"/>
        <v>83</v>
      </c>
      <c r="B84" s="1268">
        <v>15800</v>
      </c>
      <c r="C84" s="1269">
        <f t="shared" si="11"/>
        <v>1472.9259999999999</v>
      </c>
      <c r="D84" s="1875">
        <f t="shared" si="8"/>
        <v>0.14956216401910202</v>
      </c>
      <c r="E84" s="1876"/>
      <c r="F84" s="1269">
        <f t="shared" si="12"/>
        <v>1693.2199999999998</v>
      </c>
      <c r="G84" s="1875">
        <f t="shared" si="9"/>
        <v>-3.7396203682926983E-3</v>
      </c>
      <c r="H84" s="1876"/>
      <c r="I84" s="1269">
        <f t="shared" si="13"/>
        <v>1686.8879999999992</v>
      </c>
      <c r="J84" s="1875">
        <f t="shared" si="10"/>
        <v>0.14526323793591756</v>
      </c>
      <c r="K84" s="1876"/>
    </row>
    <row r="85" spans="1:11">
      <c r="A85" s="1249">
        <f t="shared" si="7"/>
        <v>84</v>
      </c>
      <c r="B85" s="1268">
        <v>16300</v>
      </c>
      <c r="C85" s="1269">
        <f t="shared" si="11"/>
        <v>1520.0059999999999</v>
      </c>
      <c r="D85" s="1875">
        <f t="shared" si="8"/>
        <v>0.14956783065330009</v>
      </c>
      <c r="E85" s="1876"/>
      <c r="F85" s="1269">
        <f t="shared" si="12"/>
        <v>1747.35</v>
      </c>
      <c r="G85" s="1875">
        <f t="shared" si="9"/>
        <v>-3.3977165421927953E-3</v>
      </c>
      <c r="H85" s="1876"/>
      <c r="I85" s="1269">
        <f t="shared" si="13"/>
        <v>1741.4129999999993</v>
      </c>
      <c r="J85" s="1875">
        <f t="shared" si="10"/>
        <v>0.14566192501871669</v>
      </c>
      <c r="K85" s="1876"/>
    </row>
    <row r="86" spans="1:11">
      <c r="A86" s="1249">
        <f t="shared" si="7"/>
        <v>85</v>
      </c>
      <c r="B86" s="1268">
        <v>16800</v>
      </c>
      <c r="C86" s="1269">
        <f t="shared" si="11"/>
        <v>1567.0859999999998</v>
      </c>
      <c r="D86" s="1875">
        <f t="shared" si="8"/>
        <v>0.14957315680186029</v>
      </c>
      <c r="E86" s="1876"/>
      <c r="F86" s="1269">
        <f t="shared" si="12"/>
        <v>1801.4799999999998</v>
      </c>
      <c r="G86" s="1875">
        <f t="shared" si="9"/>
        <v>-3.0763594377959226E-3</v>
      </c>
      <c r="H86" s="1876"/>
      <c r="I86" s="1269">
        <f t="shared" si="13"/>
        <v>1795.9379999999992</v>
      </c>
      <c r="J86" s="1875">
        <f t="shared" si="10"/>
        <v>0.14603665657149603</v>
      </c>
      <c r="K86" s="1876"/>
    </row>
    <row r="87" spans="1:11">
      <c r="A87" s="1249">
        <f t="shared" si="7"/>
        <v>86</v>
      </c>
      <c r="B87" s="1268">
        <v>17300</v>
      </c>
      <c r="C87" s="1269">
        <f t="shared" si="11"/>
        <v>1614.1659999999999</v>
      </c>
      <c r="D87" s="1875">
        <f t="shared" si="8"/>
        <v>0.14957817225737624</v>
      </c>
      <c r="E87" s="1876"/>
      <c r="F87" s="1269">
        <f t="shared" si="12"/>
        <v>1855.61</v>
      </c>
      <c r="G87" s="1875">
        <f t="shared" si="9"/>
        <v>-2.7737509498227627E-3</v>
      </c>
      <c r="H87" s="1876"/>
      <c r="I87" s="1269">
        <f t="shared" si="13"/>
        <v>1850.4629999999993</v>
      </c>
      <c r="J87" s="1875">
        <f t="shared" si="10"/>
        <v>0.14638952871018182</v>
      </c>
      <c r="K87" s="1876"/>
    </row>
    <row r="88" spans="1:11">
      <c r="A88" s="1249">
        <f t="shared" si="7"/>
        <v>87</v>
      </c>
      <c r="B88" s="1268">
        <v>17800</v>
      </c>
      <c r="C88" s="1269">
        <f t="shared" si="11"/>
        <v>1661.2459999999999</v>
      </c>
      <c r="D88" s="1875">
        <f t="shared" si="8"/>
        <v>0.14958290343513239</v>
      </c>
      <c r="E88" s="1876"/>
      <c r="F88" s="1269">
        <f t="shared" si="12"/>
        <v>1909.7399999999998</v>
      </c>
      <c r="G88" s="1875">
        <f t="shared" si="9"/>
        <v>-2.4882968362188755E-3</v>
      </c>
      <c r="H88" s="1876"/>
      <c r="I88" s="1269">
        <f t="shared" si="13"/>
        <v>1904.9879999999991</v>
      </c>
      <c r="J88" s="1875">
        <f t="shared" si="10"/>
        <v>0.14672239993354344</v>
      </c>
      <c r="K88" s="1876"/>
    </row>
    <row r="89" spans="1:11">
      <c r="A89" s="1249">
        <f t="shared" si="7"/>
        <v>88</v>
      </c>
      <c r="B89" s="1268">
        <v>18300</v>
      </c>
      <c r="C89" s="1269">
        <f t="shared" si="11"/>
        <v>1708.3259999999998</v>
      </c>
      <c r="D89" s="1875">
        <f t="shared" si="8"/>
        <v>0.14958737383848289</v>
      </c>
      <c r="E89" s="1876"/>
      <c r="F89" s="1269">
        <f t="shared" si="12"/>
        <v>1963.87</v>
      </c>
      <c r="G89" s="1875">
        <f t="shared" si="9"/>
        <v>-2.2185786228215987E-3</v>
      </c>
      <c r="H89" s="1876"/>
      <c r="I89" s="1269">
        <f t="shared" si="13"/>
        <v>1959.5129999999992</v>
      </c>
      <c r="J89" s="1875">
        <f t="shared" si="10"/>
        <v>0.14703692386581921</v>
      </c>
      <c r="K89" s="1876"/>
    </row>
    <row r="90" spans="1:11">
      <c r="A90" s="1249">
        <f t="shared" si="7"/>
        <v>89</v>
      </c>
      <c r="B90" s="1268">
        <v>18800</v>
      </c>
      <c r="C90" s="1269">
        <f t="shared" si="11"/>
        <v>1755.4059999999999</v>
      </c>
      <c r="D90" s="1875">
        <f t="shared" si="8"/>
        <v>0.14959160444934097</v>
      </c>
      <c r="E90" s="1876"/>
      <c r="F90" s="1269">
        <f t="shared" si="12"/>
        <v>2017.9999999999998</v>
      </c>
      <c r="G90" s="1875">
        <f t="shared" si="9"/>
        <v>-1.9633300297327411E-3</v>
      </c>
      <c r="H90" s="1876"/>
      <c r="I90" s="1269">
        <f t="shared" si="13"/>
        <v>2014.0379999999991</v>
      </c>
      <c r="J90" s="1875">
        <f t="shared" si="10"/>
        <v>0.14733457673039693</v>
      </c>
      <c r="K90" s="1876"/>
    </row>
    <row r="91" spans="1:11">
      <c r="A91" s="1249">
        <f t="shared" si="7"/>
        <v>90</v>
      </c>
      <c r="B91" s="1268">
        <v>19300</v>
      </c>
      <c r="C91" s="1269">
        <f t="shared" si="11"/>
        <v>1802.4859999999999</v>
      </c>
      <c r="D91" s="1875">
        <f t="shared" si="8"/>
        <v>0.1495956140574741</v>
      </c>
      <c r="E91" s="1876"/>
      <c r="F91" s="1269">
        <f t="shared" si="12"/>
        <v>2072.13</v>
      </c>
      <c r="G91" s="1875">
        <f t="shared" si="9"/>
        <v>-1.721417092557596E-3</v>
      </c>
      <c r="H91" s="1876"/>
      <c r="I91" s="1269">
        <f t="shared" si="13"/>
        <v>2068.5629999999987</v>
      </c>
      <c r="J91" s="1875">
        <f t="shared" si="10"/>
        <v>0.1476166805179063</v>
      </c>
      <c r="K91" s="1876"/>
    </row>
    <row r="92" spans="1:11">
      <c r="A92" s="1249">
        <f t="shared" si="7"/>
        <v>91</v>
      </c>
      <c r="B92" s="1268">
        <v>19800</v>
      </c>
      <c r="C92" s="1269">
        <f t="shared" si="11"/>
        <v>1849.5659999999998</v>
      </c>
      <c r="D92" s="1875">
        <f t="shared" si="8"/>
        <v>0.14959941953950301</v>
      </c>
      <c r="E92" s="1876"/>
      <c r="F92" s="1269">
        <f t="shared" si="12"/>
        <v>2126.2600000000002</v>
      </c>
      <c r="G92" s="1875">
        <f t="shared" si="9"/>
        <v>-1.4918213200649918E-3</v>
      </c>
      <c r="H92" s="1876"/>
      <c r="I92" s="1269">
        <f t="shared" si="13"/>
        <v>2123.0879999999988</v>
      </c>
      <c r="J92" s="1875">
        <f t="shared" si="10"/>
        <v>0.14788442261589965</v>
      </c>
      <c r="K92" s="1876"/>
    </row>
    <row r="93" spans="1:11">
      <c r="A93" s="1249">
        <f t="shared" si="7"/>
        <v>92</v>
      </c>
      <c r="B93" s="1268">
        <v>20800</v>
      </c>
      <c r="C93" s="1269">
        <f t="shared" si="11"/>
        <v>1943.7259999999999</v>
      </c>
      <c r="D93" s="1875">
        <f t="shared" si="8"/>
        <v>0.14960647745618472</v>
      </c>
      <c r="E93" s="1876"/>
      <c r="F93" s="1269">
        <f t="shared" si="12"/>
        <v>2234.52</v>
      </c>
      <c r="G93" s="1875">
        <f t="shared" si="9"/>
        <v>-1.0660007518399593E-3</v>
      </c>
      <c r="H93" s="1876"/>
      <c r="I93" s="1269">
        <f t="shared" si="13"/>
        <v>2232.1379999999986</v>
      </c>
      <c r="J93" s="1875">
        <f t="shared" si="10"/>
        <v>0.14838099608689634</v>
      </c>
      <c r="K93" s="1876"/>
    </row>
    <row r="94" spans="1:11">
      <c r="A94" s="1249">
        <f t="shared" si="7"/>
        <v>93</v>
      </c>
      <c r="B94" s="1268">
        <v>21800</v>
      </c>
      <c r="C94" s="1269">
        <f t="shared" si="11"/>
        <v>2037.8859999999997</v>
      </c>
      <c r="D94" s="1875">
        <f t="shared" si="8"/>
        <v>0.14961288315440632</v>
      </c>
      <c r="E94" s="1876"/>
      <c r="F94" s="1269">
        <f t="shared" si="12"/>
        <v>2342.7800000000002</v>
      </c>
      <c r="G94" s="1875">
        <f t="shared" si="9"/>
        <v>-6.7953457004134505E-4</v>
      </c>
      <c r="H94" s="1876"/>
      <c r="I94" s="1269">
        <f t="shared" si="13"/>
        <v>2341.1879999999987</v>
      </c>
      <c r="J94" s="1875">
        <f t="shared" si="10"/>
        <v>0.14883168145813802</v>
      </c>
      <c r="K94" s="1876"/>
    </row>
    <row r="95" spans="1:11">
      <c r="A95" s="1249">
        <f t="shared" si="7"/>
        <v>94</v>
      </c>
      <c r="B95" s="1268">
        <v>22800</v>
      </c>
      <c r="C95" s="1269">
        <f t="shared" si="11"/>
        <v>2132.0459999999998</v>
      </c>
      <c r="D95" s="1875">
        <f t="shared" si="8"/>
        <v>0.14961872304818946</v>
      </c>
      <c r="E95" s="1876"/>
      <c r="F95" s="1269">
        <f t="shared" si="12"/>
        <v>2451.04</v>
      </c>
      <c r="G95" s="1875">
        <f t="shared" si="9"/>
        <v>-3.2720804230102277E-4</v>
      </c>
      <c r="H95" s="1876"/>
      <c r="I95" s="1269">
        <f t="shared" si="13"/>
        <v>2450.2379999999985</v>
      </c>
      <c r="J95" s="1875">
        <f t="shared" si="10"/>
        <v>0.14924255855642826</v>
      </c>
      <c r="K95" s="1876"/>
    </row>
    <row r="96" spans="1:11">
      <c r="A96" s="1249">
        <f t="shared" si="7"/>
        <v>95</v>
      </c>
      <c r="B96" s="1268">
        <v>23800</v>
      </c>
      <c r="C96" s="1269">
        <f t="shared" si="11"/>
        <v>2226.2059999999997</v>
      </c>
      <c r="D96" s="1875">
        <f t="shared" si="8"/>
        <v>0.14962406893162652</v>
      </c>
      <c r="E96" s="1876"/>
      <c r="F96" s="1269">
        <f t="shared" si="12"/>
        <v>2559.3000000000002</v>
      </c>
      <c r="G96" s="1875">
        <f t="shared" si="9"/>
        <v>-4.6887820894522822E-6</v>
      </c>
      <c r="H96" s="1876"/>
      <c r="I96" s="1269">
        <f t="shared" si="13"/>
        <v>2559.2879999999986</v>
      </c>
      <c r="J96" s="1875">
        <f t="shared" si="10"/>
        <v>0.14961867859488251</v>
      </c>
      <c r="K96" s="1876"/>
    </row>
    <row r="97" spans="1:11">
      <c r="A97" s="1249">
        <f t="shared" si="7"/>
        <v>96</v>
      </c>
      <c r="B97" s="1268">
        <v>24800</v>
      </c>
      <c r="C97" s="1269">
        <f t="shared" si="11"/>
        <v>2320.366</v>
      </c>
      <c r="D97" s="1875">
        <f t="shared" si="8"/>
        <v>0.1496289809452474</v>
      </c>
      <c r="E97" s="1876"/>
      <c r="F97" s="1269">
        <f t="shared" si="12"/>
        <v>2667.56</v>
      </c>
      <c r="G97" s="1875">
        <f t="shared" si="9"/>
        <v>2.9165229648008982E-4</v>
      </c>
      <c r="H97" s="1876"/>
      <c r="I97" s="1269">
        <f t="shared" si="13"/>
        <v>2668.3379999999984</v>
      </c>
      <c r="J97" s="1875">
        <f t="shared" si="10"/>
        <v>0.14996427287764016</v>
      </c>
      <c r="K97" s="1876"/>
    </row>
    <row r="98" spans="1:11">
      <c r="A98" s="1249">
        <f t="shared" si="7"/>
        <v>97</v>
      </c>
      <c r="B98" s="1268">
        <v>25800</v>
      </c>
      <c r="C98" s="1269">
        <f t="shared" si="11"/>
        <v>2414.5259999999998</v>
      </c>
      <c r="D98" s="1875">
        <f t="shared" si="8"/>
        <v>0.14963350984830992</v>
      </c>
      <c r="E98" s="1876"/>
      <c r="F98" s="1269">
        <f t="shared" si="12"/>
        <v>2775.82</v>
      </c>
      <c r="G98" s="1875">
        <f t="shared" si="9"/>
        <v>5.6487812610269827E-4</v>
      </c>
      <c r="H98" s="1876"/>
      <c r="I98" s="1269">
        <f t="shared" si="13"/>
        <v>2777.3879999999986</v>
      </c>
      <c r="J98" s="1875">
        <f t="shared" si="10"/>
        <v>0.15028291267105789</v>
      </c>
      <c r="K98" s="1876"/>
    </row>
    <row r="99" spans="1:11">
      <c r="A99" s="1249">
        <f t="shared" si="7"/>
        <v>98</v>
      </c>
      <c r="B99" s="1268">
        <v>26800</v>
      </c>
      <c r="C99" s="1269">
        <f t="shared" si="11"/>
        <v>2508.6859999999997</v>
      </c>
      <c r="D99" s="1875">
        <f t="shared" si="8"/>
        <v>0.14963769877936109</v>
      </c>
      <c r="E99" s="1876"/>
      <c r="F99" s="1269">
        <f t="shared" si="12"/>
        <v>2884.08</v>
      </c>
      <c r="G99" s="1875">
        <f t="shared" si="9"/>
        <v>8.1759174502730699E-4</v>
      </c>
      <c r="H99" s="1876"/>
      <c r="I99" s="1269">
        <f t="shared" si="13"/>
        <v>2886.4379999999983</v>
      </c>
      <c r="J99" s="1875">
        <f t="shared" si="10"/>
        <v>0.15057763307165528</v>
      </c>
      <c r="K99" s="1876"/>
    </row>
    <row r="100" spans="1:11">
      <c r="A100" s="1249">
        <f t="shared" si="7"/>
        <v>99</v>
      </c>
      <c r="B100" s="1268">
        <v>27800</v>
      </c>
      <c r="C100" s="1269">
        <f t="shared" si="11"/>
        <v>2602.846</v>
      </c>
      <c r="D100" s="1875">
        <f t="shared" si="8"/>
        <v>0.14964158463466534</v>
      </c>
      <c r="E100" s="1876"/>
      <c r="F100" s="1269">
        <f t="shared" si="12"/>
        <v>2992.34</v>
      </c>
      <c r="G100" s="1875">
        <f t="shared" si="9"/>
        <v>1.0520194897633019E-3</v>
      </c>
      <c r="H100" s="1876"/>
      <c r="I100" s="1269">
        <f t="shared" si="13"/>
        <v>2995.4879999999985</v>
      </c>
      <c r="J100" s="1875">
        <f t="shared" si="10"/>
        <v>0.15085102998794336</v>
      </c>
      <c r="K100" s="1876"/>
    </row>
    <row r="101" spans="1:11">
      <c r="A101" s="1249">
        <f t="shared" si="7"/>
        <v>100</v>
      </c>
      <c r="B101" s="1268">
        <v>28800</v>
      </c>
      <c r="C101" s="1269">
        <f t="shared" si="11"/>
        <v>2697.0059999999999</v>
      </c>
      <c r="D101" s="1875">
        <f t="shared" si="8"/>
        <v>0.14964519915788102</v>
      </c>
      <c r="E101" s="1876"/>
      <c r="F101" s="1269">
        <f t="shared" si="12"/>
        <v>3100.6</v>
      </c>
      <c r="G101" s="1875">
        <f t="shared" si="9"/>
        <v>1.2700767593363488E-3</v>
      </c>
      <c r="H101" s="1876"/>
      <c r="I101" s="1269">
        <f t="shared" si="13"/>
        <v>3104.5379999999982</v>
      </c>
      <c r="J101" s="1875">
        <f t="shared" si="10"/>
        <v>0.15110533680681407</v>
      </c>
      <c r="K101" s="1876"/>
    </row>
    <row r="102" spans="1:11">
      <c r="A102" s="1249">
        <f t="shared" si="7"/>
        <v>101</v>
      </c>
      <c r="B102" s="1268">
        <v>29800</v>
      </c>
      <c r="C102" s="1269">
        <f t="shared" si="11"/>
        <v>2791.1659999999997</v>
      </c>
      <c r="D102" s="1875">
        <f t="shared" si="8"/>
        <v>0.14964856980917668</v>
      </c>
      <c r="E102" s="1876"/>
      <c r="F102" s="1269">
        <f t="shared" si="12"/>
        <v>3208.86</v>
      </c>
      <c r="G102" s="1875">
        <f t="shared" si="9"/>
        <v>1.4734204670812209E-3</v>
      </c>
      <c r="H102" s="1876"/>
      <c r="I102" s="1269">
        <f t="shared" si="13"/>
        <v>3213.5879999999984</v>
      </c>
      <c r="J102" s="1875">
        <f t="shared" si="10"/>
        <v>0.15134248554188418</v>
      </c>
      <c r="K102" s="1876"/>
    </row>
    <row r="103" spans="1:11">
      <c r="A103" s="1249">
        <f t="shared" si="7"/>
        <v>102</v>
      </c>
      <c r="B103" s="1268">
        <v>30800</v>
      </c>
      <c r="C103" s="1269">
        <f t="shared" si="11"/>
        <v>2885.3259999999996</v>
      </c>
      <c r="D103" s="1875">
        <f t="shared" si="8"/>
        <v>0.14965172046416952</v>
      </c>
      <c r="E103" s="1876"/>
      <c r="F103" s="1269">
        <f t="shared" si="12"/>
        <v>3317.12</v>
      </c>
      <c r="G103" s="1875">
        <f t="shared" si="9"/>
        <v>1.6634912212998656E-3</v>
      </c>
      <c r="H103" s="1876"/>
      <c r="I103" s="1269">
        <f t="shared" si="13"/>
        <v>3322.6379999999981</v>
      </c>
      <c r="J103" s="1875">
        <f t="shared" si="10"/>
        <v>0.15156415600871395</v>
      </c>
      <c r="K103" s="1876"/>
    </row>
    <row r="104" spans="1:11">
      <c r="A104" s="1249">
        <f t="shared" si="7"/>
        <v>103</v>
      </c>
      <c r="B104" s="1268">
        <v>31800</v>
      </c>
      <c r="C104" s="1269">
        <f t="shared" si="11"/>
        <v>2979.4859999999999</v>
      </c>
      <c r="D104" s="1875">
        <f t="shared" si="8"/>
        <v>0.14965467198033494</v>
      </c>
      <c r="E104" s="1876"/>
      <c r="F104" s="1269">
        <f t="shared" si="12"/>
        <v>3425.38</v>
      </c>
      <c r="G104" s="1875">
        <f t="shared" si="9"/>
        <v>1.841547507137361E-3</v>
      </c>
      <c r="H104" s="1876"/>
      <c r="I104" s="1269">
        <f t="shared" si="13"/>
        <v>3431.6879999999983</v>
      </c>
      <c r="J104" s="1875">
        <f t="shared" si="10"/>
        <v>0.15177181567558914</v>
      </c>
      <c r="K104" s="1876"/>
    </row>
    <row r="105" spans="1:11">
      <c r="A105" s="1249">
        <f t="shared" si="7"/>
        <v>104</v>
      </c>
      <c r="B105" s="1268">
        <v>32800</v>
      </c>
      <c r="C105" s="1269">
        <f t="shared" si="11"/>
        <v>3073.6459999999997</v>
      </c>
      <c r="D105" s="1875">
        <f t="shared" si="8"/>
        <v>0.14965744265930436</v>
      </c>
      <c r="E105" s="1876"/>
      <c r="F105" s="1269">
        <f t="shared" si="12"/>
        <v>3533.64</v>
      </c>
      <c r="G105" s="1875">
        <f t="shared" si="9"/>
        <v>2.0086935850845409E-3</v>
      </c>
      <c r="H105" s="1876"/>
      <c r="I105" s="1269">
        <f t="shared" si="13"/>
        <v>3540.737999999998</v>
      </c>
      <c r="J105" s="1875">
        <f t="shared" si="10"/>
        <v>0.1519667521894188</v>
      </c>
      <c r="K105" s="1876"/>
    </row>
    <row r="106" spans="1:11">
      <c r="A106" s="1249">
        <f t="shared" si="7"/>
        <v>105</v>
      </c>
      <c r="B106" s="1268">
        <v>33800</v>
      </c>
      <c r="C106" s="1269">
        <f t="shared" si="11"/>
        <v>3167.8059999999996</v>
      </c>
      <c r="D106" s="1875">
        <f t="shared" si="8"/>
        <v>0.14966004862671534</v>
      </c>
      <c r="E106" s="1876"/>
      <c r="F106" s="1269">
        <f t="shared" si="12"/>
        <v>3641.9</v>
      </c>
      <c r="G106" s="1875">
        <f t="shared" si="9"/>
        <v>2.1659024135748102E-3</v>
      </c>
      <c r="H106" s="1876"/>
      <c r="I106" s="1269">
        <f t="shared" si="13"/>
        <v>3649.7879999999982</v>
      </c>
      <c r="J106" s="1875">
        <f t="shared" si="10"/>
        <v>0.15215010010082647</v>
      </c>
      <c r="K106" s="1876"/>
    </row>
    <row r="107" spans="1:11">
      <c r="A107" s="1249">
        <f t="shared" si="7"/>
        <v>106</v>
      </c>
      <c r="B107" s="1268">
        <v>34800</v>
      </c>
      <c r="C107" s="1269">
        <f t="shared" si="11"/>
        <v>3261.9659999999999</v>
      </c>
      <c r="D107" s="1875">
        <f t="shared" si="8"/>
        <v>0.14966250414627252</v>
      </c>
      <c r="E107" s="1876"/>
      <c r="F107" s="1269">
        <f t="shared" si="12"/>
        <v>3750.16</v>
      </c>
      <c r="G107" s="1875">
        <f t="shared" si="9"/>
        <v>2.3140346011898331E-3</v>
      </c>
      <c r="H107" s="1876"/>
      <c r="I107" s="1269">
        <f t="shared" si="13"/>
        <v>3758.8379999999979</v>
      </c>
      <c r="J107" s="1875">
        <f t="shared" si="10"/>
        <v>0.15232286296055755</v>
      </c>
      <c r="K107" s="1876"/>
    </row>
    <row r="108" spans="1:11">
      <c r="A108" s="1249">
        <f t="shared" si="7"/>
        <v>107</v>
      </c>
      <c r="B108" s="1268">
        <v>35800</v>
      </c>
      <c r="C108" s="1269">
        <f t="shared" si="11"/>
        <v>3356.1259999999997</v>
      </c>
      <c r="D108" s="1875">
        <f t="shared" si="8"/>
        <v>0.1496648218809426</v>
      </c>
      <c r="E108" s="1876"/>
      <c r="F108" s="1269">
        <f t="shared" si="12"/>
        <v>3858.42</v>
      </c>
      <c r="G108" s="1875">
        <f t="shared" si="9"/>
        <v>2.4538541682858719E-3</v>
      </c>
      <c r="H108" s="1876"/>
      <c r="I108" s="1269">
        <f t="shared" si="13"/>
        <v>3867.8879999999976</v>
      </c>
      <c r="J108" s="1875">
        <f t="shared" si="10"/>
        <v>0.15248593169624677</v>
      </c>
      <c r="K108" s="1876"/>
    </row>
    <row r="109" spans="1:11">
      <c r="A109" s="1249">
        <f t="shared" si="7"/>
        <v>108</v>
      </c>
      <c r="B109" s="1268">
        <v>36800</v>
      </c>
      <c r="C109" s="1269">
        <f t="shared" si="11"/>
        <v>3450.2859999999996</v>
      </c>
      <c r="D109" s="1875">
        <f t="shared" si="8"/>
        <v>0.14966701311137695</v>
      </c>
      <c r="E109" s="1876"/>
      <c r="F109" s="1269">
        <f t="shared" si="12"/>
        <v>3966.68</v>
      </c>
      <c r="G109" s="1875">
        <f t="shared" si="9"/>
        <v>2.5860417275903255E-3</v>
      </c>
      <c r="H109" s="1876"/>
      <c r="I109" s="1269">
        <f t="shared" si="13"/>
        <v>3976.9379999999978</v>
      </c>
      <c r="J109" s="1875">
        <f t="shared" si="10"/>
        <v>0.1526400999801171</v>
      </c>
      <c r="K109" s="1876"/>
    </row>
    <row r="110" spans="1:11">
      <c r="A110" s="1249">
        <f t="shared" si="7"/>
        <v>109</v>
      </c>
      <c r="B110" s="1268">
        <v>37800</v>
      </c>
      <c r="C110" s="1269">
        <f t="shared" si="11"/>
        <v>3544.4459999999999</v>
      </c>
      <c r="D110" s="1875">
        <f t="shared" si="8"/>
        <v>0.14966908791952258</v>
      </c>
      <c r="E110" s="1876"/>
      <c r="F110" s="1269">
        <f t="shared" si="12"/>
        <v>4074.94</v>
      </c>
      <c r="G110" s="1875">
        <f t="shared" si="9"/>
        <v>2.7112055637622885E-3</v>
      </c>
      <c r="H110" s="1876"/>
      <c r="I110" s="1269">
        <f t="shared" si="13"/>
        <v>4085.9879999999976</v>
      </c>
      <c r="J110" s="1875">
        <f t="shared" si="10"/>
        <v>0.15278607714717551</v>
      </c>
      <c r="K110" s="1876"/>
    </row>
    <row r="111" spans="1:11">
      <c r="A111" s="1249">
        <f t="shared" si="7"/>
        <v>110</v>
      </c>
      <c r="B111" s="1268">
        <v>38800</v>
      </c>
      <c r="C111" s="1269">
        <f t="shared" si="11"/>
        <v>3638.6059999999998</v>
      </c>
      <c r="D111" s="1875">
        <f t="shared" si="8"/>
        <v>0.14967105534372233</v>
      </c>
      <c r="E111" s="1876"/>
      <c r="F111" s="1269">
        <f t="shared" si="12"/>
        <v>4183.2</v>
      </c>
      <c r="G111" s="1875">
        <f t="shared" si="9"/>
        <v>2.8298909925410978E-3</v>
      </c>
      <c r="H111" s="1876"/>
      <c r="I111" s="1269">
        <f t="shared" si="13"/>
        <v>4195.0379999999977</v>
      </c>
      <c r="J111" s="1875">
        <f t="shared" si="10"/>
        <v>0.15292449910762473</v>
      </c>
      <c r="K111" s="1876"/>
    </row>
    <row r="112" spans="1:11">
      <c r="A112" s="1249">
        <f t="shared" si="7"/>
        <v>111</v>
      </c>
      <c r="B112" s="1268">
        <v>39800</v>
      </c>
      <c r="C112" s="1269">
        <f t="shared" si="11"/>
        <v>3732.7659999999996</v>
      </c>
      <c r="D112" s="1875">
        <f t="shared" si="8"/>
        <v>0.14967292351034048</v>
      </c>
      <c r="E112" s="1876"/>
      <c r="F112" s="1269">
        <f t="shared" si="12"/>
        <v>4291.4599999999991</v>
      </c>
      <c r="G112" s="1875">
        <f t="shared" si="9"/>
        <v>2.9425883032811197E-3</v>
      </c>
      <c r="H112" s="1876"/>
      <c r="I112" s="1269">
        <f t="shared" si="13"/>
        <v>4304.0879999999979</v>
      </c>
      <c r="J112" s="1875">
        <f t="shared" si="10"/>
        <v>0.15305593760766101</v>
      </c>
      <c r="K112" s="1876"/>
    </row>
    <row r="113" spans="1:11">
      <c r="A113" s="1249">
        <f t="shared" si="7"/>
        <v>112</v>
      </c>
      <c r="B113" s="1279">
        <v>49800</v>
      </c>
      <c r="C113" s="1280">
        <f t="shared" si="11"/>
        <v>4674.366</v>
      </c>
      <c r="D113" s="1877">
        <f t="shared" si="8"/>
        <v>0.14968746563705099</v>
      </c>
      <c r="E113" s="1878"/>
      <c r="F113" s="1280">
        <f t="shared" si="12"/>
        <v>5374.0599999999995</v>
      </c>
      <c r="G113" s="1877">
        <f t="shared" si="9"/>
        <v>3.8198308169238009E-3</v>
      </c>
      <c r="H113" s="1878"/>
      <c r="I113" s="1280">
        <f t="shared" si="13"/>
        <v>5394.587999999997</v>
      </c>
      <c r="J113" s="1877">
        <f t="shared" si="10"/>
        <v>0.15407907724812242</v>
      </c>
      <c r="K113" s="1878"/>
    </row>
    <row r="114" spans="1:11">
      <c r="A114" s="1249">
        <f t="shared" si="7"/>
        <v>113</v>
      </c>
      <c r="B114" s="1268">
        <v>59800</v>
      </c>
      <c r="C114" s="1269">
        <f t="shared" si="11"/>
        <v>5615.9660000000003</v>
      </c>
      <c r="D114" s="1875">
        <f t="shared" si="8"/>
        <v>0.14969713135727647</v>
      </c>
      <c r="E114" s="1876"/>
      <c r="F114" s="1269">
        <f t="shared" si="12"/>
        <v>6456.6599999999989</v>
      </c>
      <c r="G114" s="1875">
        <f t="shared" si="9"/>
        <v>4.402895614760133E-3</v>
      </c>
      <c r="H114" s="1876"/>
      <c r="I114" s="1269">
        <f t="shared" si="13"/>
        <v>6485.0879999999961</v>
      </c>
      <c r="J114" s="1875">
        <f t="shared" si="10"/>
        <v>0.15475912781523174</v>
      </c>
      <c r="K114" s="1876"/>
    </row>
    <row r="115" spans="1:11">
      <c r="A115" s="1249">
        <f t="shared" si="7"/>
        <v>114</v>
      </c>
      <c r="B115" s="1268">
        <v>69800</v>
      </c>
      <c r="C115" s="1269">
        <f t="shared" si="11"/>
        <v>6557.5659999999998</v>
      </c>
      <c r="D115" s="1875">
        <f t="shared" si="8"/>
        <v>0.14970402127862678</v>
      </c>
      <c r="E115" s="1876"/>
      <c r="F115" s="1269">
        <f t="shared" si="12"/>
        <v>7539.2599999999993</v>
      </c>
      <c r="G115" s="1875">
        <f t="shared" si="9"/>
        <v>4.8185100394464173E-3</v>
      </c>
      <c r="H115" s="1876"/>
      <c r="I115" s="1269">
        <f t="shared" si="13"/>
        <v>7575.5879999999961</v>
      </c>
      <c r="J115" s="1875">
        <f t="shared" si="10"/>
        <v>0.15524388164754976</v>
      </c>
      <c r="K115" s="1876"/>
    </row>
    <row r="116" spans="1:11">
      <c r="A116" s="1249">
        <f t="shared" si="7"/>
        <v>115</v>
      </c>
      <c r="B116" s="1268">
        <v>79800</v>
      </c>
      <c r="C116" s="1269">
        <f t="shared" si="11"/>
        <v>7499.1660000000002</v>
      </c>
      <c r="D116" s="1875">
        <f t="shared" si="8"/>
        <v>0.1497091809942597</v>
      </c>
      <c r="E116" s="1876"/>
      <c r="F116" s="1269">
        <f t="shared" si="12"/>
        <v>8621.8599999999988</v>
      </c>
      <c r="G116" s="1875">
        <f t="shared" si="9"/>
        <v>5.1297515849243113E-3</v>
      </c>
      <c r="H116" s="1876"/>
      <c r="I116" s="1269">
        <f t="shared" si="13"/>
        <v>8666.0879999999943</v>
      </c>
      <c r="J116" s="1875">
        <f t="shared" si="10"/>
        <v>0.15560690348766704</v>
      </c>
      <c r="K116" s="1876"/>
    </row>
    <row r="117" spans="1:11">
      <c r="A117" s="1249">
        <f t="shared" si="7"/>
        <v>116</v>
      </c>
      <c r="B117" s="1268">
        <v>89800</v>
      </c>
      <c r="C117" s="1269">
        <f t="shared" si="11"/>
        <v>8440.7659999999996</v>
      </c>
      <c r="D117" s="1875">
        <f t="shared" si="8"/>
        <v>0.14971318953753718</v>
      </c>
      <c r="E117" s="1876"/>
      <c r="F117" s="1269">
        <f t="shared" si="12"/>
        <v>9704.4599999999991</v>
      </c>
      <c r="G117" s="1875">
        <f t="shared" si="9"/>
        <v>5.3715508127186017E-3</v>
      </c>
      <c r="H117" s="1876"/>
      <c r="I117" s="1269">
        <f t="shared" si="13"/>
        <v>9756.5879999999943</v>
      </c>
      <c r="J117" s="1875">
        <f t="shared" si="10"/>
        <v>0.15588893235519083</v>
      </c>
      <c r="K117" s="1876"/>
    </row>
    <row r="118" spans="1:11">
      <c r="A118" s="1249">
        <f t="shared" si="7"/>
        <v>117</v>
      </c>
      <c r="B118" s="1268">
        <v>99800</v>
      </c>
      <c r="C118" s="1269">
        <f t="shared" si="11"/>
        <v>9382.3659999999982</v>
      </c>
      <c r="D118" s="1875">
        <f t="shared" si="8"/>
        <v>0.14971639349818602</v>
      </c>
      <c r="E118" s="1876"/>
      <c r="F118" s="1269">
        <f t="shared" si="12"/>
        <v>10787.06</v>
      </c>
      <c r="G118" s="1875">
        <f t="shared" si="9"/>
        <v>5.5648156216795671E-3</v>
      </c>
      <c r="H118" s="1876"/>
      <c r="I118" s="1269">
        <f t="shared" si="13"/>
        <v>10847.087999999994</v>
      </c>
      <c r="J118" s="1875">
        <f t="shared" si="10"/>
        <v>0.15611435324522582</v>
      </c>
      <c r="K118" s="1876"/>
    </row>
    <row r="119" spans="1:11">
      <c r="A119" s="1249">
        <f t="shared" si="7"/>
        <v>118</v>
      </c>
      <c r="B119" s="1268">
        <v>109800</v>
      </c>
      <c r="C119" s="1269">
        <f t="shared" si="11"/>
        <v>10323.965999999999</v>
      </c>
      <c r="D119" s="1875">
        <f t="shared" si="8"/>
        <v>0.14971901302270868</v>
      </c>
      <c r="E119" s="1876"/>
      <c r="F119" s="1269">
        <f t="shared" si="12"/>
        <v>11869.66</v>
      </c>
      <c r="G119" s="1875">
        <f t="shared" si="9"/>
        <v>5.7228260961133355E-3</v>
      </c>
      <c r="H119" s="1876"/>
      <c r="I119" s="1269">
        <f t="shared" si="13"/>
        <v>11937.587999999992</v>
      </c>
      <c r="J119" s="1875">
        <f t="shared" si="10"/>
        <v>0.15629865499363269</v>
      </c>
      <c r="K119" s="1876"/>
    </row>
    <row r="120" spans="1:11">
      <c r="A120" s="1249">
        <f t="shared" si="7"/>
        <v>119</v>
      </c>
      <c r="B120" s="1268">
        <v>119800</v>
      </c>
      <c r="C120" s="1269">
        <f t="shared" si="11"/>
        <v>11265.565999999999</v>
      </c>
      <c r="D120" s="1875">
        <f t="shared" si="8"/>
        <v>0.14972119465635367</v>
      </c>
      <c r="E120" s="1876"/>
      <c r="F120" s="1269">
        <f t="shared" si="12"/>
        <v>12952.259999999998</v>
      </c>
      <c r="G120" s="1875">
        <f t="shared" si="9"/>
        <v>5.8544223170314737E-3</v>
      </c>
      <c r="H120" s="1876"/>
      <c r="I120" s="1269">
        <f t="shared" si="13"/>
        <v>13028.087999999992</v>
      </c>
      <c r="J120" s="1875">
        <f t="shared" si="10"/>
        <v>0.15645214807671393</v>
      </c>
      <c r="K120" s="1876"/>
    </row>
    <row r="121" spans="1:11">
      <c r="A121" s="1249">
        <f t="shared" si="7"/>
        <v>120</v>
      </c>
      <c r="B121" s="1268">
        <v>129800</v>
      </c>
      <c r="C121" s="1269">
        <f t="shared" si="11"/>
        <v>12207.165999999999</v>
      </c>
      <c r="D121" s="1875">
        <f t="shared" si="8"/>
        <v>0.14972303972928686</v>
      </c>
      <c r="E121" s="1876"/>
      <c r="F121" s="1269">
        <f t="shared" si="12"/>
        <v>14034.859999999999</v>
      </c>
      <c r="G121" s="1875">
        <f t="shared" si="9"/>
        <v>5.9657167937545302E-3</v>
      </c>
      <c r="H121" s="1876"/>
      <c r="I121" s="1269">
        <f t="shared" si="13"/>
        <v>14118.587999999992</v>
      </c>
      <c r="J121" s="1875">
        <f t="shared" si="10"/>
        <v>0.15658196177556635</v>
      </c>
      <c r="K121" s="1876"/>
    </row>
    <row r="122" spans="1:11">
      <c r="A122" s="1249">
        <f t="shared" si="7"/>
        <v>121</v>
      </c>
      <c r="B122" s="1268">
        <v>139800</v>
      </c>
      <c r="C122" s="1269">
        <f t="shared" si="11"/>
        <v>13148.765999999998</v>
      </c>
      <c r="D122" s="1875">
        <f t="shared" si="8"/>
        <v>0.14972462054614111</v>
      </c>
      <c r="E122" s="1876"/>
      <c r="F122" s="1269">
        <f t="shared" si="12"/>
        <v>15117.46</v>
      </c>
      <c r="G122" s="1875">
        <f t="shared" si="9"/>
        <v>6.0610711058598152E-3</v>
      </c>
      <c r="H122" s="1876"/>
      <c r="I122" s="1269">
        <f t="shared" si="13"/>
        <v>15209.087999999991</v>
      </c>
      <c r="J122" s="1875">
        <f t="shared" si="10"/>
        <v>0.15669318322342896</v>
      </c>
      <c r="K122" s="1876"/>
    </row>
    <row r="123" spans="1:11">
      <c r="A123" s="1249">
        <f t="shared" si="7"/>
        <v>122</v>
      </c>
      <c r="B123" s="1268">
        <v>149800</v>
      </c>
      <c r="C123" s="1269">
        <f t="shared" si="11"/>
        <v>14090.365999999998</v>
      </c>
      <c r="D123" s="1875">
        <f t="shared" si="8"/>
        <v>0.14972599008428891</v>
      </c>
      <c r="E123" s="1876"/>
      <c r="F123" s="1269">
        <f t="shared" si="12"/>
        <v>16200.06</v>
      </c>
      <c r="G123" s="1875">
        <f t="shared" si="9"/>
        <v>6.1436809493292718E-3</v>
      </c>
      <c r="H123" s="1876"/>
      <c r="I123" s="1269">
        <f t="shared" si="13"/>
        <v>16299.587999999991</v>
      </c>
      <c r="J123" s="1875">
        <f t="shared" si="10"/>
        <v>0.15678953974651849</v>
      </c>
      <c r="K123" s="1876"/>
    </row>
    <row r="124" spans="1:11">
      <c r="A124" s="1249">
        <f t="shared" si="7"/>
        <v>123</v>
      </c>
      <c r="B124" s="1268">
        <v>159800</v>
      </c>
      <c r="C124" s="1269">
        <f t="shared" si="11"/>
        <v>15031.965999999999</v>
      </c>
      <c r="D124" s="1875">
        <f t="shared" si="8"/>
        <v>0.14972718804712581</v>
      </c>
      <c r="E124" s="1876"/>
      <c r="F124" s="1269">
        <f t="shared" si="12"/>
        <v>17282.66</v>
      </c>
      <c r="G124" s="1875">
        <f t="shared" si="9"/>
        <v>6.2159412960729986E-3</v>
      </c>
      <c r="H124" s="1876"/>
      <c r="I124" s="1269">
        <f t="shared" si="13"/>
        <v>17390.087999999989</v>
      </c>
      <c r="J124" s="1875">
        <f t="shared" si="10"/>
        <v>0.15687382475452583</v>
      </c>
      <c r="K124" s="1876"/>
    </row>
    <row r="125" spans="1:11">
      <c r="A125" s="1249">
        <f t="shared" si="7"/>
        <v>124</v>
      </c>
      <c r="B125" s="1268">
        <v>169800</v>
      </c>
      <c r="C125" s="1269">
        <f t="shared" si="11"/>
        <v>15973.565999999999</v>
      </c>
      <c r="D125" s="1875">
        <f t="shared" si="8"/>
        <v>0.14972824477640143</v>
      </c>
      <c r="E125" s="1876"/>
      <c r="F125" s="1269">
        <f t="shared" si="12"/>
        <v>18365.260000000002</v>
      </c>
      <c r="G125" s="1875">
        <f t="shared" si="9"/>
        <v>6.2796824003573471E-3</v>
      </c>
      <c r="H125" s="1876"/>
      <c r="I125" s="1269">
        <f t="shared" si="13"/>
        <v>18480.587999999989</v>
      </c>
      <c r="J125" s="1875">
        <f t="shared" si="10"/>
        <v>0.15694817300031752</v>
      </c>
      <c r="K125" s="1876"/>
    </row>
    <row r="126" spans="1:11">
      <c r="A126" s="1249">
        <f t="shared" si="7"/>
        <v>125</v>
      </c>
      <c r="B126" s="1268">
        <v>179800</v>
      </c>
      <c r="C126" s="1269">
        <f t="shared" si="11"/>
        <v>16915.165999999997</v>
      </c>
      <c r="D126" s="1875">
        <f t="shared" si="8"/>
        <v>0.14972918385784706</v>
      </c>
      <c r="E126" s="1876"/>
      <c r="F126" s="1269">
        <f t="shared" si="12"/>
        <v>19447.86</v>
      </c>
      <c r="G126" s="1875">
        <f t="shared" si="9"/>
        <v>6.3363269789060714E-3</v>
      </c>
      <c r="H126" s="1876"/>
      <c r="I126" s="1269">
        <f t="shared" si="13"/>
        <v>19571.087999999989</v>
      </c>
      <c r="J126" s="1875">
        <f t="shared" si="10"/>
        <v>0.15701424390396121</v>
      </c>
      <c r="K126" s="1876"/>
    </row>
    <row r="127" spans="1:11">
      <c r="A127" s="1249">
        <f t="shared" si="7"/>
        <v>126</v>
      </c>
      <c r="B127" s="1268">
        <v>189800</v>
      </c>
      <c r="C127" s="1269">
        <f t="shared" si="11"/>
        <v>17856.766</v>
      </c>
      <c r="D127" s="1875">
        <f t="shared" si="8"/>
        <v>0.1497300239024244</v>
      </c>
      <c r="E127" s="1876"/>
      <c r="F127" s="1269">
        <f t="shared" si="12"/>
        <v>20530.46</v>
      </c>
      <c r="G127" s="1875">
        <f t="shared" si="9"/>
        <v>6.3869976610356543E-3</v>
      </c>
      <c r="H127" s="1876"/>
      <c r="I127" s="1269">
        <f t="shared" si="13"/>
        <v>20661.587999999985</v>
      </c>
      <c r="J127" s="1875">
        <f t="shared" si="10"/>
        <v>0.15707334687591165</v>
      </c>
      <c r="K127" s="1876"/>
    </row>
    <row r="128" spans="1:11">
      <c r="A128" s="1249">
        <f t="shared" si="7"/>
        <v>127</v>
      </c>
      <c r="B128" s="1268">
        <v>199800</v>
      </c>
      <c r="C128" s="1269">
        <f t="shared" si="11"/>
        <v>18798.365999999998</v>
      </c>
      <c r="D128" s="1875">
        <f t="shared" si="8"/>
        <v>0.14973077979224383</v>
      </c>
      <c r="E128" s="1876"/>
      <c r="F128" s="1269">
        <f t="shared" si="12"/>
        <v>21613.06</v>
      </c>
      <c r="G128" s="1875">
        <f t="shared" si="9"/>
        <v>6.4325921456741368E-3</v>
      </c>
      <c r="H128" s="1876"/>
      <c r="I128" s="1269">
        <f t="shared" si="13"/>
        <v>21752.087999999985</v>
      </c>
      <c r="J128" s="1875">
        <f t="shared" si="10"/>
        <v>0.1571265289759752</v>
      </c>
      <c r="K128" s="1876"/>
    </row>
    <row r="129" spans="1:11">
      <c r="A129" s="1249">
        <f t="shared" si="7"/>
        <v>128</v>
      </c>
      <c r="B129" s="1268">
        <v>209800</v>
      </c>
      <c r="C129" s="1269">
        <f t="shared" si="11"/>
        <v>19739.965999999997</v>
      </c>
      <c r="D129" s="1875">
        <f t="shared" si="8"/>
        <v>0.14973146356989692</v>
      </c>
      <c r="E129" s="1876"/>
      <c r="F129" s="1269">
        <f t="shared" si="12"/>
        <v>22695.66</v>
      </c>
      <c r="G129" s="1875">
        <f t="shared" si="9"/>
        <v>6.47383684810159E-3</v>
      </c>
      <c r="H129" s="1876"/>
      <c r="I129" s="1269">
        <f t="shared" si="13"/>
        <v>22842.587999999985</v>
      </c>
      <c r="J129" s="1875">
        <f t="shared" si="10"/>
        <v>0.15717463748417748</v>
      </c>
      <c r="K129" s="1876"/>
    </row>
    <row r="130" spans="1:11">
      <c r="A130" s="1249">
        <f t="shared" si="7"/>
        <v>129</v>
      </c>
      <c r="B130" s="1268">
        <v>219800</v>
      </c>
      <c r="C130" s="1269">
        <f t="shared" si="11"/>
        <v>20681.565999999999</v>
      </c>
      <c r="D130" s="1875">
        <f t="shared" si="8"/>
        <v>0.14973208508485303</v>
      </c>
      <c r="E130" s="1876"/>
      <c r="F130" s="1269">
        <f t="shared" si="12"/>
        <v>23778.260000000002</v>
      </c>
      <c r="G130" s="1875">
        <f t="shared" si="9"/>
        <v>6.5113258918012978E-3</v>
      </c>
      <c r="H130" s="1876"/>
      <c r="I130" s="1269">
        <f t="shared" si="13"/>
        <v>23933.087999999985</v>
      </c>
      <c r="J130" s="1875">
        <f t="shared" si="10"/>
        <v>0.15721836537910072</v>
      </c>
      <c r="K130" s="1876"/>
    </row>
    <row r="131" spans="1:11">
      <c r="A131" s="1249">
        <f t="shared" si="7"/>
        <v>130</v>
      </c>
      <c r="B131" s="1268">
        <v>229800</v>
      </c>
      <c r="C131" s="1269">
        <f t="shared" si="11"/>
        <v>21623.165999999997</v>
      </c>
      <c r="D131" s="1875">
        <f t="shared" si="8"/>
        <v>0.14973265247096579</v>
      </c>
      <c r="E131" s="1876"/>
      <c r="F131" s="1269">
        <f t="shared" si="12"/>
        <v>24860.86</v>
      </c>
      <c r="G131" s="1875">
        <f t="shared" si="9"/>
        <v>6.5455499125929113E-3</v>
      </c>
      <c r="H131" s="1876"/>
      <c r="I131" s="1269">
        <f t="shared" si="13"/>
        <v>25023.587999999985</v>
      </c>
      <c r="J131" s="1875">
        <f t="shared" si="10"/>
        <v>0.15725828493385233</v>
      </c>
      <c r="K131" s="1876"/>
    </row>
    <row r="132" spans="1:11">
      <c r="A132" s="1249">
        <f t="shared" ref="A132:A134" si="14">A131+1</f>
        <v>131</v>
      </c>
      <c r="B132" s="1268">
        <v>239800</v>
      </c>
      <c r="C132" s="1269">
        <f t="shared" si="11"/>
        <v>22564.766</v>
      </c>
      <c r="D132" s="1875">
        <f t="shared" si="8"/>
        <v>0.14973317250442569</v>
      </c>
      <c r="E132" s="1876"/>
      <c r="F132" s="1269">
        <f t="shared" si="12"/>
        <v>25943.46</v>
      </c>
      <c r="G132" s="1875">
        <f t="shared" si="9"/>
        <v>6.5769176509218917E-3</v>
      </c>
      <c r="H132" s="1876"/>
      <c r="I132" s="1269">
        <f t="shared" si="13"/>
        <v>26114.087999999985</v>
      </c>
      <c r="J132" s="1875">
        <f t="shared" si="10"/>
        <v>0.15729487290052047</v>
      </c>
      <c r="K132" s="1876"/>
    </row>
    <row r="133" spans="1:11">
      <c r="A133" s="1249">
        <f t="shared" si="14"/>
        <v>132</v>
      </c>
      <c r="B133" s="1268">
        <v>249800</v>
      </c>
      <c r="C133" s="1269">
        <f t="shared" si="11"/>
        <v>23506.365999999998</v>
      </c>
      <c r="D133" s="1875">
        <f t="shared" si="8"/>
        <v>0.14973365087568208</v>
      </c>
      <c r="E133" s="1876"/>
      <c r="F133" s="1269">
        <f t="shared" si="12"/>
        <v>27026.06</v>
      </c>
      <c r="G133" s="1875">
        <f t="shared" si="9"/>
        <v>6.6057723545341141E-3</v>
      </c>
      <c r="H133" s="1876"/>
      <c r="I133" s="1269">
        <f t="shared" si="13"/>
        <v>27204.587999999982</v>
      </c>
      <c r="J133" s="1875">
        <f t="shared" si="10"/>
        <v>0.15732852964171423</v>
      </c>
      <c r="K133" s="1876"/>
    </row>
    <row r="134" spans="1:11">
      <c r="A134" s="1249">
        <f t="shared" si="14"/>
        <v>133</v>
      </c>
      <c r="B134" s="1281">
        <v>349800</v>
      </c>
      <c r="C134" s="1282">
        <f t="shared" si="11"/>
        <v>32922.366000000002</v>
      </c>
      <c r="D134" s="1873">
        <f t="shared" si="8"/>
        <v>0.14973692959977408</v>
      </c>
      <c r="E134" s="1874"/>
      <c r="F134" s="1282">
        <f t="shared" si="12"/>
        <v>37852.06</v>
      </c>
      <c r="G134" s="1873">
        <f t="shared" si="9"/>
        <v>6.8035398866001977E-3</v>
      </c>
      <c r="H134" s="1874"/>
      <c r="I134" s="1282">
        <f t="shared" si="13"/>
        <v>38109.587999999982</v>
      </c>
      <c r="J134" s="1873">
        <f t="shared" si="10"/>
        <v>0.15755921065940337</v>
      </c>
      <c r="K134" s="1874"/>
    </row>
  </sheetData>
  <mergeCells count="396">
    <mergeCell ref="C5:E5"/>
    <mergeCell ref="F5:H5"/>
    <mergeCell ref="I5:K5"/>
    <mergeCell ref="C6:E6"/>
    <mergeCell ref="F6:H6"/>
    <mergeCell ref="I6:K6"/>
    <mergeCell ref="D1:E1"/>
    <mergeCell ref="G1:H1"/>
    <mergeCell ref="J1:K1"/>
    <mergeCell ref="B2:K2"/>
    <mergeCell ref="B3:K3"/>
    <mergeCell ref="C4:E4"/>
    <mergeCell ref="F4:H4"/>
    <mergeCell ref="I4:K4"/>
    <mergeCell ref="C9:E9"/>
    <mergeCell ref="F9:H9"/>
    <mergeCell ref="I9:K9"/>
    <mergeCell ref="C10:E10"/>
    <mergeCell ref="F10:H10"/>
    <mergeCell ref="I10:K10"/>
    <mergeCell ref="C7:E7"/>
    <mergeCell ref="F7:H7"/>
    <mergeCell ref="I7:K7"/>
    <mergeCell ref="C8:E8"/>
    <mergeCell ref="F8:H8"/>
    <mergeCell ref="I8:K8"/>
    <mergeCell ref="C13:E13"/>
    <mergeCell ref="F13:H13"/>
    <mergeCell ref="I13:K13"/>
    <mergeCell ref="C14:E14"/>
    <mergeCell ref="F14:H14"/>
    <mergeCell ref="I14:K14"/>
    <mergeCell ref="C11:E11"/>
    <mergeCell ref="F11:H11"/>
    <mergeCell ref="I11:K11"/>
    <mergeCell ref="C12:E12"/>
    <mergeCell ref="F12:H12"/>
    <mergeCell ref="I12:K12"/>
    <mergeCell ref="D18:E18"/>
    <mergeCell ref="G18:H18"/>
    <mergeCell ref="J18:K18"/>
    <mergeCell ref="D19:E19"/>
    <mergeCell ref="G19:H19"/>
    <mergeCell ref="J19:K19"/>
    <mergeCell ref="B15:K15"/>
    <mergeCell ref="D16:E16"/>
    <mergeCell ref="G16:H16"/>
    <mergeCell ref="J16:K16"/>
    <mergeCell ref="D17:E17"/>
    <mergeCell ref="G17:H17"/>
    <mergeCell ref="J17:K17"/>
    <mergeCell ref="D22:E22"/>
    <mergeCell ref="G22:H22"/>
    <mergeCell ref="J22:K22"/>
    <mergeCell ref="D23:E23"/>
    <mergeCell ref="G23:H23"/>
    <mergeCell ref="J23:K23"/>
    <mergeCell ref="D20:E20"/>
    <mergeCell ref="G20:H20"/>
    <mergeCell ref="J20:K20"/>
    <mergeCell ref="D21:E21"/>
    <mergeCell ref="G21:H21"/>
    <mergeCell ref="J21:K21"/>
    <mergeCell ref="D26:E26"/>
    <mergeCell ref="G26:H26"/>
    <mergeCell ref="J26:K26"/>
    <mergeCell ref="D27:E27"/>
    <mergeCell ref="G27:H27"/>
    <mergeCell ref="J27:K27"/>
    <mergeCell ref="D24:E24"/>
    <mergeCell ref="G24:H24"/>
    <mergeCell ref="J24:K24"/>
    <mergeCell ref="D25:E25"/>
    <mergeCell ref="G25:H25"/>
    <mergeCell ref="J25:K25"/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34:E34"/>
    <mergeCell ref="G34:H34"/>
    <mergeCell ref="J34:K34"/>
    <mergeCell ref="D35:E35"/>
    <mergeCell ref="G35:H35"/>
    <mergeCell ref="J35:K35"/>
    <mergeCell ref="D32:E32"/>
    <mergeCell ref="G32:H32"/>
    <mergeCell ref="J32:K32"/>
    <mergeCell ref="D33:E33"/>
    <mergeCell ref="G33:H33"/>
    <mergeCell ref="J33:K33"/>
    <mergeCell ref="D38:E38"/>
    <mergeCell ref="G38:H38"/>
    <mergeCell ref="J38:K38"/>
    <mergeCell ref="D39:E39"/>
    <mergeCell ref="G39:H39"/>
    <mergeCell ref="J39:K39"/>
    <mergeCell ref="D36:E36"/>
    <mergeCell ref="G36:H36"/>
    <mergeCell ref="J36:K36"/>
    <mergeCell ref="D37:E37"/>
    <mergeCell ref="G37:H37"/>
    <mergeCell ref="J37:K37"/>
    <mergeCell ref="D42:E42"/>
    <mergeCell ref="G42:H42"/>
    <mergeCell ref="J42:K42"/>
    <mergeCell ref="D43:E43"/>
    <mergeCell ref="G43:H43"/>
    <mergeCell ref="J43:K43"/>
    <mergeCell ref="D40:E40"/>
    <mergeCell ref="G40:H40"/>
    <mergeCell ref="J40:K40"/>
    <mergeCell ref="D41:E41"/>
    <mergeCell ref="G41:H41"/>
    <mergeCell ref="J41:K41"/>
    <mergeCell ref="D46:E46"/>
    <mergeCell ref="G46:H46"/>
    <mergeCell ref="J46:K46"/>
    <mergeCell ref="D47:E47"/>
    <mergeCell ref="G47:H47"/>
    <mergeCell ref="J47:K47"/>
    <mergeCell ref="D44:E44"/>
    <mergeCell ref="G44:H44"/>
    <mergeCell ref="J44:K44"/>
    <mergeCell ref="D45:E45"/>
    <mergeCell ref="G45:H45"/>
    <mergeCell ref="J45:K45"/>
    <mergeCell ref="D50:E50"/>
    <mergeCell ref="G50:H50"/>
    <mergeCell ref="J50:K50"/>
    <mergeCell ref="D51:E51"/>
    <mergeCell ref="G51:H51"/>
    <mergeCell ref="J51:K51"/>
    <mergeCell ref="D48:E48"/>
    <mergeCell ref="G48:H48"/>
    <mergeCell ref="J48:K48"/>
    <mergeCell ref="D49:E49"/>
    <mergeCell ref="G49:H49"/>
    <mergeCell ref="J49:K49"/>
    <mergeCell ref="D54:E54"/>
    <mergeCell ref="G54:H54"/>
    <mergeCell ref="J54:K54"/>
    <mergeCell ref="D55:E55"/>
    <mergeCell ref="G55:H55"/>
    <mergeCell ref="J55:K55"/>
    <mergeCell ref="D52:E52"/>
    <mergeCell ref="G52:H52"/>
    <mergeCell ref="J52:K52"/>
    <mergeCell ref="D53:E53"/>
    <mergeCell ref="G53:H53"/>
    <mergeCell ref="J53:K53"/>
    <mergeCell ref="D58:E58"/>
    <mergeCell ref="G58:H58"/>
    <mergeCell ref="J58:K58"/>
    <mergeCell ref="D59:E59"/>
    <mergeCell ref="G59:H59"/>
    <mergeCell ref="J59:K59"/>
    <mergeCell ref="D56:E56"/>
    <mergeCell ref="G56:H56"/>
    <mergeCell ref="J56:K56"/>
    <mergeCell ref="D57:E57"/>
    <mergeCell ref="G57:H57"/>
    <mergeCell ref="J57:K57"/>
    <mergeCell ref="D62:E62"/>
    <mergeCell ref="G62:H62"/>
    <mergeCell ref="J62:K62"/>
    <mergeCell ref="D63:E63"/>
    <mergeCell ref="G63:H63"/>
    <mergeCell ref="J63:K63"/>
    <mergeCell ref="D60:E60"/>
    <mergeCell ref="G60:H60"/>
    <mergeCell ref="J60:K60"/>
    <mergeCell ref="D61:E61"/>
    <mergeCell ref="G61:H61"/>
    <mergeCell ref="J61:K61"/>
    <mergeCell ref="D66:E66"/>
    <mergeCell ref="G66:H66"/>
    <mergeCell ref="J66:K66"/>
    <mergeCell ref="D67:E67"/>
    <mergeCell ref="G67:H67"/>
    <mergeCell ref="J67:K67"/>
    <mergeCell ref="D64:E64"/>
    <mergeCell ref="G64:H64"/>
    <mergeCell ref="J64:K64"/>
    <mergeCell ref="D65:E65"/>
    <mergeCell ref="G65:H65"/>
    <mergeCell ref="J65:K65"/>
    <mergeCell ref="D70:E70"/>
    <mergeCell ref="G70:H70"/>
    <mergeCell ref="J70:K70"/>
    <mergeCell ref="D71:E71"/>
    <mergeCell ref="G71:H71"/>
    <mergeCell ref="J71:K71"/>
    <mergeCell ref="D68:E68"/>
    <mergeCell ref="G68:H68"/>
    <mergeCell ref="J68:K68"/>
    <mergeCell ref="D69:E69"/>
    <mergeCell ref="G69:H69"/>
    <mergeCell ref="J69:K69"/>
    <mergeCell ref="D74:E74"/>
    <mergeCell ref="G74:H74"/>
    <mergeCell ref="J74:K74"/>
    <mergeCell ref="D75:E75"/>
    <mergeCell ref="G75:H75"/>
    <mergeCell ref="J75:K75"/>
    <mergeCell ref="D72:E72"/>
    <mergeCell ref="G72:H72"/>
    <mergeCell ref="J72:K72"/>
    <mergeCell ref="D73:E73"/>
    <mergeCell ref="G73:H73"/>
    <mergeCell ref="J73:K73"/>
    <mergeCell ref="D78:E78"/>
    <mergeCell ref="G78:H78"/>
    <mergeCell ref="J78:K78"/>
    <mergeCell ref="D79:E79"/>
    <mergeCell ref="G79:H79"/>
    <mergeCell ref="J79:K79"/>
    <mergeCell ref="D76:E76"/>
    <mergeCell ref="G76:H76"/>
    <mergeCell ref="J76:K76"/>
    <mergeCell ref="D77:E77"/>
    <mergeCell ref="G77:H77"/>
    <mergeCell ref="J77:K77"/>
    <mergeCell ref="D82:E82"/>
    <mergeCell ref="G82:H82"/>
    <mergeCell ref="J82:K82"/>
    <mergeCell ref="D83:E83"/>
    <mergeCell ref="G83:H83"/>
    <mergeCell ref="J83:K83"/>
    <mergeCell ref="D80:E80"/>
    <mergeCell ref="G80:H80"/>
    <mergeCell ref="J80:K80"/>
    <mergeCell ref="D81:E81"/>
    <mergeCell ref="G81:H81"/>
    <mergeCell ref="J81:K81"/>
    <mergeCell ref="D86:E86"/>
    <mergeCell ref="G86:H86"/>
    <mergeCell ref="J86:K86"/>
    <mergeCell ref="D87:E87"/>
    <mergeCell ref="G87:H87"/>
    <mergeCell ref="J87:K87"/>
    <mergeCell ref="D84:E84"/>
    <mergeCell ref="G84:H84"/>
    <mergeCell ref="J84:K84"/>
    <mergeCell ref="D85:E85"/>
    <mergeCell ref="G85:H85"/>
    <mergeCell ref="J85:K85"/>
    <mergeCell ref="D90:E90"/>
    <mergeCell ref="G90:H90"/>
    <mergeCell ref="J90:K90"/>
    <mergeCell ref="D91:E91"/>
    <mergeCell ref="G91:H91"/>
    <mergeCell ref="J91:K91"/>
    <mergeCell ref="D88:E88"/>
    <mergeCell ref="G88:H88"/>
    <mergeCell ref="J88:K88"/>
    <mergeCell ref="D89:E89"/>
    <mergeCell ref="G89:H89"/>
    <mergeCell ref="J89:K89"/>
    <mergeCell ref="D94:E94"/>
    <mergeCell ref="G94:H94"/>
    <mergeCell ref="J94:K94"/>
    <mergeCell ref="D95:E95"/>
    <mergeCell ref="G95:H95"/>
    <mergeCell ref="J95:K95"/>
    <mergeCell ref="D92:E92"/>
    <mergeCell ref="G92:H92"/>
    <mergeCell ref="J92:K92"/>
    <mergeCell ref="D93:E93"/>
    <mergeCell ref="G93:H93"/>
    <mergeCell ref="J93:K93"/>
    <mergeCell ref="D98:E98"/>
    <mergeCell ref="G98:H98"/>
    <mergeCell ref="J98:K98"/>
    <mergeCell ref="D99:E99"/>
    <mergeCell ref="G99:H99"/>
    <mergeCell ref="J99:K99"/>
    <mergeCell ref="D96:E96"/>
    <mergeCell ref="G96:H96"/>
    <mergeCell ref="J96:K96"/>
    <mergeCell ref="D97:E97"/>
    <mergeCell ref="G97:H97"/>
    <mergeCell ref="J97:K97"/>
    <mergeCell ref="D102:E102"/>
    <mergeCell ref="G102:H102"/>
    <mergeCell ref="J102:K102"/>
    <mergeCell ref="D103:E103"/>
    <mergeCell ref="G103:H103"/>
    <mergeCell ref="J103:K103"/>
    <mergeCell ref="D100:E100"/>
    <mergeCell ref="G100:H100"/>
    <mergeCell ref="J100:K100"/>
    <mergeCell ref="D101:E101"/>
    <mergeCell ref="G101:H101"/>
    <mergeCell ref="J101:K101"/>
    <mergeCell ref="D106:E106"/>
    <mergeCell ref="G106:H106"/>
    <mergeCell ref="J106:K106"/>
    <mergeCell ref="D107:E107"/>
    <mergeCell ref="G107:H107"/>
    <mergeCell ref="J107:K107"/>
    <mergeCell ref="D104:E104"/>
    <mergeCell ref="G104:H104"/>
    <mergeCell ref="J104:K104"/>
    <mergeCell ref="D105:E105"/>
    <mergeCell ref="G105:H105"/>
    <mergeCell ref="J105:K105"/>
    <mergeCell ref="D110:E110"/>
    <mergeCell ref="G110:H110"/>
    <mergeCell ref="J110:K110"/>
    <mergeCell ref="D111:E111"/>
    <mergeCell ref="G111:H111"/>
    <mergeCell ref="J111:K111"/>
    <mergeCell ref="D108:E108"/>
    <mergeCell ref="G108:H108"/>
    <mergeCell ref="J108:K108"/>
    <mergeCell ref="D109:E109"/>
    <mergeCell ref="G109:H109"/>
    <mergeCell ref="J109:K109"/>
    <mergeCell ref="D114:E114"/>
    <mergeCell ref="G114:H114"/>
    <mergeCell ref="J114:K114"/>
    <mergeCell ref="D115:E115"/>
    <mergeCell ref="G115:H115"/>
    <mergeCell ref="J115:K115"/>
    <mergeCell ref="D112:E112"/>
    <mergeCell ref="G112:H112"/>
    <mergeCell ref="J112:K112"/>
    <mergeCell ref="D113:E113"/>
    <mergeCell ref="G113:H113"/>
    <mergeCell ref="J113:K113"/>
    <mergeCell ref="D118:E118"/>
    <mergeCell ref="G118:H118"/>
    <mergeCell ref="J118:K118"/>
    <mergeCell ref="D119:E119"/>
    <mergeCell ref="G119:H119"/>
    <mergeCell ref="J119:K119"/>
    <mergeCell ref="D116:E116"/>
    <mergeCell ref="G116:H116"/>
    <mergeCell ref="J116:K116"/>
    <mergeCell ref="D117:E117"/>
    <mergeCell ref="G117:H117"/>
    <mergeCell ref="J117:K117"/>
    <mergeCell ref="D122:E122"/>
    <mergeCell ref="G122:H122"/>
    <mergeCell ref="J122:K122"/>
    <mergeCell ref="D123:E123"/>
    <mergeCell ref="G123:H123"/>
    <mergeCell ref="J123:K123"/>
    <mergeCell ref="D120:E120"/>
    <mergeCell ref="G120:H120"/>
    <mergeCell ref="J120:K120"/>
    <mergeCell ref="D121:E121"/>
    <mergeCell ref="G121:H121"/>
    <mergeCell ref="J121:K121"/>
    <mergeCell ref="D126:E126"/>
    <mergeCell ref="G126:H126"/>
    <mergeCell ref="J126:K126"/>
    <mergeCell ref="D127:E127"/>
    <mergeCell ref="G127:H127"/>
    <mergeCell ref="J127:K127"/>
    <mergeCell ref="D124:E124"/>
    <mergeCell ref="G124:H124"/>
    <mergeCell ref="J124:K124"/>
    <mergeCell ref="D125:E125"/>
    <mergeCell ref="G125:H125"/>
    <mergeCell ref="J125:K125"/>
    <mergeCell ref="D130:E130"/>
    <mergeCell ref="G130:H130"/>
    <mergeCell ref="J130:K130"/>
    <mergeCell ref="D131:E131"/>
    <mergeCell ref="G131:H131"/>
    <mergeCell ref="J131:K131"/>
    <mergeCell ref="D128:E128"/>
    <mergeCell ref="G128:H128"/>
    <mergeCell ref="J128:K128"/>
    <mergeCell ref="D129:E129"/>
    <mergeCell ref="G129:H129"/>
    <mergeCell ref="J129:K129"/>
    <mergeCell ref="D134:E134"/>
    <mergeCell ref="G134:H134"/>
    <mergeCell ref="J134:K134"/>
    <mergeCell ref="D132:E132"/>
    <mergeCell ref="G132:H132"/>
    <mergeCell ref="J132:K132"/>
    <mergeCell ref="D133:E133"/>
    <mergeCell ref="G133:H133"/>
    <mergeCell ref="J133:K133"/>
  </mergeCells>
  <printOptions horizontalCentered="1"/>
  <pageMargins left="0.75" right="0.25" top="0.25" bottom="0.6" header="0.5" footer="0.2"/>
  <pageSetup fitToHeight="0" orientation="portrait" r:id="rId1"/>
  <headerFooter alignWithMargins="0">
    <oddFooter>&amp;LTestimony of Christopher T. Mickelson
Docket UE-130043&amp;RExhibit No. ___ (CTM-11)
Page &amp;P</oddFooter>
  </headerFooter>
  <cellWatches>
    <cellWatch r="J32"/>
    <cellWatch r="J33"/>
    <cellWatch r="J34"/>
    <cellWatch r="J35"/>
    <cellWatch r="J36"/>
    <cellWatch r="J37"/>
    <cellWatch r="J38"/>
    <cellWatch r="J39"/>
  </cellWatch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view="pageLayout" topLeftCell="E36" zoomScaleNormal="100" zoomScaleSheetLayoutView="110" workbookViewId="0">
      <selection activeCell="L18" sqref="L18"/>
    </sheetView>
  </sheetViews>
  <sheetFormatPr defaultRowHeight="12.75"/>
  <cols>
    <col min="1" max="1" width="5.375" style="1798" customWidth="1"/>
    <col min="2" max="2" width="8.625" style="1797" bestFit="1" customWidth="1"/>
    <col min="3" max="3" width="10.75" style="1797" bestFit="1" customWidth="1"/>
    <col min="4" max="4" width="11" style="1797" bestFit="1" customWidth="1"/>
    <col min="5" max="5" width="10.75" style="1797" bestFit="1" customWidth="1"/>
    <col min="6" max="6" width="2" style="1797" bestFit="1" customWidth="1"/>
    <col min="7" max="7" width="9.5" style="1797" bestFit="1" customWidth="1"/>
    <col min="8" max="8" width="7.5" style="1797" bestFit="1" customWidth="1"/>
    <col min="9" max="9" width="11.125" style="1797" bestFit="1" customWidth="1"/>
    <col min="10" max="10" width="10.875" style="1797" bestFit="1" customWidth="1"/>
    <col min="11" max="16384" width="9" style="1797"/>
  </cols>
  <sheetData>
    <row r="1" spans="1:14">
      <c r="A1" s="1930" t="s">
        <v>1032</v>
      </c>
      <c r="B1" s="1930"/>
      <c r="C1" s="1930"/>
      <c r="D1" s="1930"/>
      <c r="E1" s="1930"/>
      <c r="F1" s="1930"/>
      <c r="G1" s="1930"/>
      <c r="H1" s="1930"/>
      <c r="I1" s="1930"/>
      <c r="J1" s="1930"/>
      <c r="K1" s="1809"/>
      <c r="L1" s="1796"/>
      <c r="M1" s="1796"/>
      <c r="N1" s="1796"/>
    </row>
    <row r="2" spans="1:14">
      <c r="A2" s="1930" t="s">
        <v>1079</v>
      </c>
      <c r="B2" s="1930"/>
      <c r="C2" s="1930"/>
      <c r="D2" s="1930"/>
      <c r="E2" s="1930"/>
      <c r="F2" s="1930"/>
      <c r="G2" s="1930"/>
      <c r="H2" s="1930"/>
      <c r="I2" s="1930"/>
      <c r="J2" s="1930"/>
      <c r="K2" s="1809"/>
      <c r="L2" s="1796"/>
      <c r="M2" s="1796"/>
      <c r="N2" s="1796"/>
    </row>
    <row r="3" spans="1:14">
      <c r="A3" s="1930" t="s">
        <v>1033</v>
      </c>
      <c r="B3" s="1930"/>
      <c r="C3" s="1930"/>
      <c r="D3" s="1930"/>
      <c r="E3" s="1930"/>
      <c r="F3" s="1930"/>
      <c r="G3" s="1930"/>
      <c r="H3" s="1930"/>
      <c r="I3" s="1930"/>
      <c r="J3" s="1930"/>
      <c r="K3" s="1809"/>
      <c r="L3" s="1796"/>
      <c r="M3" s="1796"/>
      <c r="N3" s="1796"/>
    </row>
    <row r="4" spans="1:14">
      <c r="A4" s="1930" t="s">
        <v>1034</v>
      </c>
      <c r="B4" s="1930"/>
      <c r="C4" s="1930"/>
      <c r="D4" s="1930"/>
      <c r="E4" s="1930"/>
      <c r="F4" s="1930"/>
      <c r="G4" s="1930"/>
      <c r="H4" s="1930"/>
      <c r="I4" s="1930"/>
      <c r="J4" s="1930"/>
      <c r="K4" s="1810"/>
      <c r="L4" s="1796"/>
      <c r="M4" s="1796"/>
      <c r="N4" s="1796"/>
    </row>
    <row r="5" spans="1:14">
      <c r="B5" s="1796"/>
      <c r="C5" s="1796"/>
      <c r="D5" s="1796"/>
      <c r="E5" s="1796"/>
      <c r="F5" s="1796"/>
      <c r="G5" s="1796"/>
      <c r="H5" s="1796"/>
      <c r="I5" s="1796"/>
      <c r="J5" s="1796"/>
      <c r="K5" s="1796"/>
      <c r="L5" s="1796"/>
      <c r="M5" s="1796"/>
      <c r="N5" s="1796"/>
    </row>
    <row r="6" spans="1:14" ht="25.5">
      <c r="A6" s="1799" t="s">
        <v>968</v>
      </c>
      <c r="B6" s="1798" t="s">
        <v>3</v>
      </c>
      <c r="C6" s="1798" t="s">
        <v>4</v>
      </c>
      <c r="D6" s="1798" t="s">
        <v>5</v>
      </c>
      <c r="E6" s="1798" t="s">
        <v>6</v>
      </c>
      <c r="F6" s="1798"/>
      <c r="G6" s="1798" t="s">
        <v>7</v>
      </c>
      <c r="H6" s="1798" t="s">
        <v>884</v>
      </c>
      <c r="I6" s="1798" t="s">
        <v>885</v>
      </c>
      <c r="J6" s="1798" t="s">
        <v>886</v>
      </c>
    </row>
    <row r="7" spans="1:14">
      <c r="A7" s="1798">
        <v>1</v>
      </c>
      <c r="B7" s="1800"/>
      <c r="C7" s="1927" t="s">
        <v>191</v>
      </c>
      <c r="D7" s="1927"/>
      <c r="E7" s="1928"/>
      <c r="G7" s="1929" t="s">
        <v>1078</v>
      </c>
      <c r="H7" s="1927"/>
      <c r="I7" s="1927"/>
      <c r="J7" s="1928"/>
    </row>
    <row r="8" spans="1:14">
      <c r="A8" s="1798">
        <f>A7+1</f>
        <v>2</v>
      </c>
      <c r="B8" s="1801"/>
      <c r="C8" s="1802" t="s">
        <v>374</v>
      </c>
      <c r="D8" s="1802" t="s">
        <v>1067</v>
      </c>
      <c r="E8" s="1803" t="s">
        <v>1068</v>
      </c>
      <c r="G8" s="1801"/>
      <c r="H8" s="1802" t="s">
        <v>374</v>
      </c>
      <c r="I8" s="1802" t="s">
        <v>1067</v>
      </c>
      <c r="J8" s="1803" t="s">
        <v>1068</v>
      </c>
    </row>
    <row r="9" spans="1:14">
      <c r="A9" s="1798">
        <f t="shared" ref="A9:A28" si="0">A8+1</f>
        <v>3</v>
      </c>
      <c r="B9" s="1801" t="s">
        <v>189</v>
      </c>
      <c r="C9" s="1811">
        <f>'Page 12-14, Crossover (Res)'!C6:E6</f>
        <v>6</v>
      </c>
      <c r="D9" s="1811">
        <f>'Page 12-14, Crossover (Res)'!F6</f>
        <v>10</v>
      </c>
      <c r="E9" s="1812">
        <f>'Page 12-14, Crossover (Res)'!I6</f>
        <v>7.91</v>
      </c>
      <c r="G9" s="1801" t="s">
        <v>189</v>
      </c>
      <c r="H9" s="1813">
        <f ca="1">'Pages 2-3, Res Schedules'!T10</f>
        <v>5.5802260360341346E-2</v>
      </c>
      <c r="I9" s="1813">
        <f ca="1">'Pages 2-3, Res Schedules'!U10</f>
        <v>0.10944026233680811</v>
      </c>
      <c r="J9" s="1814">
        <f>'Pages 2-3, Res Schedules'!V10</f>
        <v>7.0000000000000007E-2</v>
      </c>
    </row>
    <row r="10" spans="1:14">
      <c r="A10" s="1798">
        <f t="shared" si="0"/>
        <v>4</v>
      </c>
      <c r="B10" s="1801" t="s">
        <v>1069</v>
      </c>
      <c r="C10" s="1815">
        <f>'Page 12-14, Crossover (Res)'!C8:E8</f>
        <v>5.9490000000000001E-2</v>
      </c>
      <c r="D10" s="1815">
        <f>'Page 12-14, Crossover (Res)'!F8</f>
        <v>6.2780000000000002E-2</v>
      </c>
      <c r="E10" s="1816">
        <f>'Page 12-14, Crossover (Res)'!I8</f>
        <v>6.6320000000000004E-2</v>
      </c>
      <c r="G10" s="1804" t="s">
        <v>1070</v>
      </c>
      <c r="H10" s="1817">
        <f ca="1">'Pages 2-3, Res Schedules'!T11</f>
        <v>0.30344926379771597</v>
      </c>
      <c r="I10" s="1817">
        <f ca="1">'Pages 2-3, Res Schedules'!U11</f>
        <v>0.28643040537094888</v>
      </c>
      <c r="J10" s="1818">
        <f>'Pages 2-3, Res Schedules'!V11</f>
        <v>0.40400000000000003</v>
      </c>
    </row>
    <row r="11" spans="1:14">
      <c r="A11" s="1798">
        <f t="shared" si="0"/>
        <v>5</v>
      </c>
      <c r="B11" s="1801" t="s">
        <v>1071</v>
      </c>
      <c r="C11" s="1815">
        <f>'Page 12-14, Crossover (Res)'!C9:E9</f>
        <v>9.4159999999999994E-2</v>
      </c>
      <c r="D11" s="1815">
        <f>'Page 12-14, Crossover (Res)'!F9</f>
        <v>0.10826</v>
      </c>
      <c r="E11" s="1816">
        <f>'Page 12-14, Crossover (Res)'!I8</f>
        <v>6.6320000000000004E-2</v>
      </c>
      <c r="G11" s="1801" t="s">
        <v>1072</v>
      </c>
      <c r="H11" s="1805">
        <f ca="1">SUM(H9:H10)</f>
        <v>0.35925152415805733</v>
      </c>
      <c r="I11" s="1805">
        <f ca="1">SUM(I9:I10)</f>
        <v>0.39587066770775697</v>
      </c>
      <c r="J11" s="1806">
        <f t="shared" ref="J11" si="1">SUM(J9:J10)</f>
        <v>0.47400000000000003</v>
      </c>
    </row>
    <row r="12" spans="1:14">
      <c r="A12" s="1798">
        <f t="shared" si="0"/>
        <v>6</v>
      </c>
      <c r="B12" s="1801" t="s">
        <v>1080</v>
      </c>
      <c r="C12" s="1815">
        <f>C11</f>
        <v>9.4159999999999994E-2</v>
      </c>
      <c r="D12" s="1815">
        <f>D11</f>
        <v>0.10826</v>
      </c>
      <c r="E12" s="1816">
        <f>'Page 12-14, Crossover (Res)'!I9</f>
        <v>9.5009999999999997E-2</v>
      </c>
      <c r="J12" s="1860"/>
    </row>
    <row r="13" spans="1:14">
      <c r="A13" s="1798">
        <f t="shared" si="0"/>
        <v>7</v>
      </c>
      <c r="B13" s="1804" t="s">
        <v>1074</v>
      </c>
      <c r="C13" s="1819">
        <f>C12</f>
        <v>9.4159999999999994E-2</v>
      </c>
      <c r="D13" s="1819">
        <f>D12</f>
        <v>0.10826</v>
      </c>
      <c r="E13" s="1820">
        <f>'Page 12-14, Crossover (Res)'!I10</f>
        <v>0.10904999999999994</v>
      </c>
      <c r="G13" s="1801" t="s">
        <v>1073</v>
      </c>
      <c r="H13" s="1813">
        <f ca="1">'Pages 2-3, Res Schedules'!T12</f>
        <v>0.40480681485836667</v>
      </c>
      <c r="I13" s="1813">
        <f ca="1">'Pages 2-3, Res Schedules'!U12</f>
        <v>0.42501811432837394</v>
      </c>
      <c r="J13" s="1814">
        <f>'Pages 2-3, Res Schedules'!V12</f>
        <v>0.26700000000000002</v>
      </c>
    </row>
    <row r="14" spans="1:14">
      <c r="A14" s="1798">
        <f t="shared" si="0"/>
        <v>8</v>
      </c>
      <c r="G14" s="1804" t="s">
        <v>1081</v>
      </c>
      <c r="H14" s="1817">
        <f ca="1">'Pages 2-3, Res Schedules'!T13</f>
        <v>0.23594166098357605</v>
      </c>
      <c r="I14" s="1817">
        <f>'Pages 2-3, Res Schedules'!U13</f>
        <v>0.17911121796386903</v>
      </c>
      <c r="J14" s="1818">
        <f>'Pages 2-3, Res Schedules'!V13</f>
        <v>0.25900000000000001</v>
      </c>
    </row>
    <row r="15" spans="1:14">
      <c r="A15" s="1798">
        <f t="shared" si="0"/>
        <v>9</v>
      </c>
      <c r="B15" s="1800"/>
      <c r="C15" s="1927" t="s">
        <v>1076</v>
      </c>
      <c r="D15" s="1927"/>
      <c r="E15" s="1928"/>
      <c r="G15" s="1801" t="s">
        <v>1072</v>
      </c>
      <c r="H15" s="1805">
        <f t="shared" ref="H15:J15" ca="1" si="2">SUM(H13:H14)</f>
        <v>0.64074847584194272</v>
      </c>
      <c r="I15" s="1805">
        <f t="shared" ca="1" si="2"/>
        <v>0.60412933229224297</v>
      </c>
      <c r="J15" s="1806">
        <f t="shared" si="2"/>
        <v>0.52600000000000002</v>
      </c>
    </row>
    <row r="16" spans="1:14">
      <c r="A16" s="1798">
        <f t="shared" si="0"/>
        <v>10</v>
      </c>
      <c r="B16" s="1801"/>
      <c r="C16" s="1802" t="s">
        <v>374</v>
      </c>
      <c r="D16" s="1802" t="s">
        <v>1067</v>
      </c>
      <c r="E16" s="1803" t="s">
        <v>1068</v>
      </c>
      <c r="G16" s="1804"/>
      <c r="H16" s="1817"/>
      <c r="I16" s="1817"/>
      <c r="J16" s="1818"/>
    </row>
    <row r="17" spans="1:10">
      <c r="A17" s="1798">
        <f t="shared" si="0"/>
        <v>11</v>
      </c>
      <c r="B17" s="1801" t="s">
        <v>189</v>
      </c>
      <c r="C17" s="1811">
        <f t="shared" ref="C17:E18" si="3">$E9-C9</f>
        <v>1.9100000000000001</v>
      </c>
      <c r="D17" s="1811">
        <f t="shared" si="3"/>
        <v>-2.09</v>
      </c>
      <c r="E17" s="1812">
        <f t="shared" si="3"/>
        <v>0</v>
      </c>
      <c r="G17" s="1804" t="s">
        <v>670</v>
      </c>
      <c r="H17" s="1861">
        <f ca="1">H15+H11</f>
        <v>1</v>
      </c>
      <c r="I17" s="1861">
        <f ca="1">I15+I11</f>
        <v>1</v>
      </c>
      <c r="J17" s="1807">
        <f>J15+J11</f>
        <v>1</v>
      </c>
    </row>
    <row r="18" spans="1:10">
      <c r="A18" s="1798">
        <f t="shared" si="0"/>
        <v>12</v>
      </c>
      <c r="B18" s="1801" t="s">
        <v>1069</v>
      </c>
      <c r="C18" s="1815">
        <f t="shared" si="3"/>
        <v>6.8300000000000027E-3</v>
      </c>
      <c r="D18" s="1815">
        <f t="shared" si="3"/>
        <v>3.5400000000000015E-3</v>
      </c>
      <c r="E18" s="1816">
        <f t="shared" si="3"/>
        <v>0</v>
      </c>
      <c r="H18" s="1798"/>
      <c r="I18" s="1798"/>
      <c r="J18" s="1798"/>
    </row>
    <row r="19" spans="1:10">
      <c r="A19" s="1798">
        <f t="shared" si="0"/>
        <v>13</v>
      </c>
      <c r="B19" s="1801" t="s">
        <v>1071</v>
      </c>
      <c r="C19" s="1815">
        <f t="shared" ref="C19:D19" si="4">$E11-C11</f>
        <v>-2.783999999999999E-2</v>
      </c>
      <c r="D19" s="1815">
        <f t="shared" si="4"/>
        <v>-4.1939999999999991E-2</v>
      </c>
      <c r="E19" s="1816">
        <f t="shared" ref="E19" si="5">$E11-E11</f>
        <v>0</v>
      </c>
      <c r="G19" s="1800"/>
      <c r="H19" s="1927" t="s">
        <v>1077</v>
      </c>
      <c r="I19" s="1927"/>
      <c r="J19" s="1928"/>
    </row>
    <row r="20" spans="1:10">
      <c r="A20" s="1798">
        <f t="shared" si="0"/>
        <v>14</v>
      </c>
      <c r="B20" s="1801" t="s">
        <v>1080</v>
      </c>
      <c r="C20" s="1815">
        <f t="shared" ref="C20:D20" si="6">$E12-C12</f>
        <v>8.5000000000000353E-4</v>
      </c>
      <c r="D20" s="1815">
        <f t="shared" si="6"/>
        <v>-1.3249999999999998E-2</v>
      </c>
      <c r="E20" s="1816">
        <f t="shared" ref="E20" si="7">$E12-E12</f>
        <v>0</v>
      </c>
      <c r="G20" s="1801"/>
      <c r="H20" s="1802" t="s">
        <v>374</v>
      </c>
      <c r="I20" s="1802" t="s">
        <v>1067</v>
      </c>
      <c r="J20" s="1803" t="s">
        <v>1068</v>
      </c>
    </row>
    <row r="21" spans="1:10">
      <c r="A21" s="1798">
        <f t="shared" si="0"/>
        <v>15</v>
      </c>
      <c r="B21" s="1804" t="s">
        <v>1074</v>
      </c>
      <c r="C21" s="1819">
        <f t="shared" ref="C21:D21" si="8">$E13-C13</f>
        <v>1.4889999999999945E-2</v>
      </c>
      <c r="D21" s="1819">
        <f t="shared" si="8"/>
        <v>7.8999999999994353E-4</v>
      </c>
      <c r="E21" s="1820">
        <f t="shared" ref="E21" si="9">$E13-E13</f>
        <v>0</v>
      </c>
      <c r="G21" s="1801" t="s">
        <v>189</v>
      </c>
      <c r="H21" s="1813">
        <f t="shared" ref="H21:J22" ca="1" si="10">$J9-H9</f>
        <v>1.419773963965866E-2</v>
      </c>
      <c r="I21" s="1813">
        <f t="shared" ca="1" si="10"/>
        <v>-3.9440262336808099E-2</v>
      </c>
      <c r="J21" s="1814">
        <f t="shared" si="10"/>
        <v>0</v>
      </c>
    </row>
    <row r="22" spans="1:10">
      <c r="A22" s="1798">
        <f t="shared" si="0"/>
        <v>16</v>
      </c>
      <c r="G22" s="1801" t="s">
        <v>1070</v>
      </c>
      <c r="H22" s="1813">
        <f t="shared" ca="1" si="10"/>
        <v>0.10055073620228405</v>
      </c>
      <c r="I22" s="1813">
        <f t="shared" ca="1" si="10"/>
        <v>0.11756959462905114</v>
      </c>
      <c r="J22" s="1814">
        <f t="shared" si="10"/>
        <v>0</v>
      </c>
    </row>
    <row r="23" spans="1:10">
      <c r="A23" s="1798">
        <f t="shared" si="0"/>
        <v>17</v>
      </c>
      <c r="G23" s="1801" t="s">
        <v>1073</v>
      </c>
      <c r="H23" s="1813">
        <f t="shared" ref="H23:J24" ca="1" si="11">$J13-H13</f>
        <v>-0.13780681485836666</v>
      </c>
      <c r="I23" s="1813">
        <f t="shared" ca="1" si="11"/>
        <v>-0.15801811432837393</v>
      </c>
      <c r="J23" s="1814">
        <f t="shared" si="11"/>
        <v>0</v>
      </c>
    </row>
    <row r="24" spans="1:10">
      <c r="A24" s="1798">
        <f t="shared" si="0"/>
        <v>18</v>
      </c>
      <c r="G24" s="1801" t="s">
        <v>1075</v>
      </c>
      <c r="H24" s="1817">
        <f t="shared" ca="1" si="11"/>
        <v>2.3058339016423957E-2</v>
      </c>
      <c r="I24" s="1817">
        <f t="shared" si="11"/>
        <v>7.9888782036130979E-2</v>
      </c>
      <c r="J24" s="1818">
        <f t="shared" si="11"/>
        <v>0</v>
      </c>
    </row>
    <row r="25" spans="1:10">
      <c r="A25" s="1798">
        <f t="shared" si="0"/>
        <v>19</v>
      </c>
      <c r="G25" s="1804"/>
      <c r="H25" s="1817">
        <f ca="1">SUM(H21:H24)</f>
        <v>0</v>
      </c>
      <c r="I25" s="1817">
        <f ca="1">SUM(I21:I24)</f>
        <v>0</v>
      </c>
      <c r="J25" s="1818">
        <f>SUM(J21:J24)</f>
        <v>0</v>
      </c>
    </row>
    <row r="26" spans="1:10">
      <c r="A26" s="1798">
        <f t="shared" si="0"/>
        <v>20</v>
      </c>
      <c r="G26" s="1808"/>
      <c r="H26" s="1813"/>
      <c r="I26" s="1813"/>
      <c r="J26" s="1813"/>
    </row>
    <row r="27" spans="1:10" ht="15.75" customHeight="1">
      <c r="A27" s="1798">
        <f t="shared" si="0"/>
        <v>21</v>
      </c>
      <c r="B27" s="1926" t="s">
        <v>1082</v>
      </c>
      <c r="C27" s="1926"/>
      <c r="D27" s="1926"/>
      <c r="E27" s="1926"/>
      <c r="F27" s="1926"/>
      <c r="G27" s="1926"/>
      <c r="H27" s="1926"/>
      <c r="I27" s="1926"/>
      <c r="J27" s="1926"/>
    </row>
    <row r="28" spans="1:10" ht="12.75" customHeight="1">
      <c r="A28" s="1798">
        <f t="shared" si="0"/>
        <v>22</v>
      </c>
      <c r="B28" s="1926"/>
      <c r="C28" s="1926"/>
      <c r="D28" s="1926"/>
      <c r="E28" s="1926"/>
      <c r="F28" s="1926"/>
      <c r="G28" s="1926"/>
      <c r="H28" s="1926"/>
      <c r="I28" s="1926"/>
      <c r="J28" s="1926"/>
    </row>
  </sheetData>
  <mergeCells count="9">
    <mergeCell ref="B27:J28"/>
    <mergeCell ref="C15:E15"/>
    <mergeCell ref="H19:J19"/>
    <mergeCell ref="G7:J7"/>
    <mergeCell ref="A1:J1"/>
    <mergeCell ref="A2:J2"/>
    <mergeCell ref="A3:J3"/>
    <mergeCell ref="C7:E7"/>
    <mergeCell ref="A4:J4"/>
  </mergeCells>
  <pageMargins left="1" right="0.5" top="1" bottom="1" header="0.5" footer="0.5"/>
  <pageSetup fitToHeight="0" orientation="landscape" r:id="rId1"/>
  <headerFooter>
    <oddFooter>&amp;LTestimony of Christopher T. Mickelson
Docket UE-130043&amp;RExhibit No. ___ (CTM-11)
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tabSelected="1" view="pageLayout" topLeftCell="AJ43" zoomScaleNormal="90" workbookViewId="0">
      <selection activeCell="AL43" sqref="AL43"/>
    </sheetView>
  </sheetViews>
  <sheetFormatPr defaultRowHeight="15"/>
  <cols>
    <col min="1" max="1" width="4.625" style="1823" customWidth="1"/>
    <col min="2" max="2" width="28.625" style="1830" customWidth="1"/>
    <col min="3" max="7" width="8.125" style="1830" customWidth="1"/>
    <col min="8" max="16384" width="9" style="1830"/>
  </cols>
  <sheetData>
    <row r="1" spans="1:7" s="1823" customFormat="1" ht="30">
      <c r="A1" s="1822" t="s">
        <v>968</v>
      </c>
      <c r="B1" s="1823" t="s">
        <v>1083</v>
      </c>
      <c r="C1" s="1823" t="s">
        <v>4</v>
      </c>
      <c r="D1" s="1823" t="s">
        <v>5</v>
      </c>
      <c r="E1" s="1823" t="s">
        <v>6</v>
      </c>
      <c r="F1" s="1823" t="s">
        <v>7</v>
      </c>
      <c r="G1" s="1823" t="s">
        <v>884</v>
      </c>
    </row>
    <row r="2" spans="1:7" s="1823" customFormat="1">
      <c r="A2" s="1823">
        <v>1</v>
      </c>
      <c r="B2" s="1824"/>
      <c r="C2" s="1825"/>
      <c r="D2" s="1931" t="s">
        <v>1084</v>
      </c>
      <c r="E2" s="1932"/>
      <c r="F2" s="1931" t="s">
        <v>1085</v>
      </c>
      <c r="G2" s="1932"/>
    </row>
    <row r="3" spans="1:7">
      <c r="A3" s="1823">
        <v>2</v>
      </c>
      <c r="B3" s="1826" t="s">
        <v>1086</v>
      </c>
      <c r="C3" s="1827"/>
      <c r="D3" s="1828" t="s">
        <v>1087</v>
      </c>
      <c r="E3" s="1829" t="s">
        <v>1088</v>
      </c>
      <c r="F3" s="1828" t="s">
        <v>1087</v>
      </c>
      <c r="G3" s="1829" t="s">
        <v>1088</v>
      </c>
    </row>
    <row r="4" spans="1:7" ht="15.75">
      <c r="A4" s="1823">
        <v>3</v>
      </c>
      <c r="B4" s="1831" t="s">
        <v>1089</v>
      </c>
      <c r="C4" s="1832" t="s">
        <v>815</v>
      </c>
      <c r="D4" s="1833">
        <f>E4*$C$28</f>
        <v>225</v>
      </c>
      <c r="E4" s="1834">
        <v>250</v>
      </c>
      <c r="F4" s="1833">
        <f>G4*$C$28</f>
        <v>360</v>
      </c>
      <c r="G4" s="1834">
        <v>400</v>
      </c>
    </row>
    <row r="5" spans="1:7" ht="15.75">
      <c r="A5" s="1823">
        <v>4</v>
      </c>
      <c r="B5" s="1831" t="s">
        <v>1090</v>
      </c>
      <c r="C5" s="1832" t="s">
        <v>815</v>
      </c>
      <c r="D5" s="1833">
        <f>E5*$C$28</f>
        <v>99</v>
      </c>
      <c r="E5" s="1834">
        <v>110</v>
      </c>
      <c r="F5" s="1833">
        <f>G5*$C$28</f>
        <v>99</v>
      </c>
      <c r="G5" s="1834">
        <v>110</v>
      </c>
    </row>
    <row r="6" spans="1:7" ht="15.75">
      <c r="A6" s="1823">
        <v>5</v>
      </c>
      <c r="B6" s="1835" t="s">
        <v>1091</v>
      </c>
      <c r="C6" s="1836" t="s">
        <v>815</v>
      </c>
      <c r="D6" s="1837">
        <f>E6*$C$28</f>
        <v>306</v>
      </c>
      <c r="E6" s="1838">
        <v>340</v>
      </c>
      <c r="F6" s="1837">
        <f>G6*$C$28</f>
        <v>306</v>
      </c>
      <c r="G6" s="1838">
        <v>340</v>
      </c>
    </row>
    <row r="7" spans="1:7">
      <c r="A7" s="1823">
        <v>6</v>
      </c>
      <c r="B7" s="1831" t="s">
        <v>1092</v>
      </c>
      <c r="C7" s="1832"/>
      <c r="D7" s="1839">
        <f>SUM(D4:D6)</f>
        <v>630</v>
      </c>
      <c r="E7" s="1840">
        <f>SUM(E4:E6)</f>
        <v>700</v>
      </c>
      <c r="F7" s="1839">
        <f>SUM(F4:F6)</f>
        <v>765</v>
      </c>
      <c r="G7" s="1840">
        <f>SUM(G4:G6)</f>
        <v>850</v>
      </c>
    </row>
    <row r="8" spans="1:7" ht="15.75">
      <c r="A8" s="1823">
        <v>7</v>
      </c>
      <c r="B8" s="1831"/>
      <c r="C8" s="1832"/>
      <c r="D8" s="1833"/>
      <c r="E8" s="1834"/>
      <c r="F8" s="1833"/>
      <c r="G8" s="1834"/>
    </row>
    <row r="9" spans="1:7" ht="15.75">
      <c r="A9" s="1823">
        <v>8</v>
      </c>
      <c r="B9" s="1831" t="s">
        <v>1093</v>
      </c>
      <c r="C9" s="1832" t="s">
        <v>815</v>
      </c>
      <c r="D9" s="1833">
        <f>E9*$C$28</f>
        <v>612</v>
      </c>
      <c r="E9" s="1834">
        <v>680</v>
      </c>
      <c r="F9" s="1833">
        <f>G9*$C$28</f>
        <v>612</v>
      </c>
      <c r="G9" s="1834">
        <v>680</v>
      </c>
    </row>
    <row r="10" spans="1:7" ht="15.75">
      <c r="A10" s="1823">
        <v>9</v>
      </c>
      <c r="B10" s="1835" t="s">
        <v>1094</v>
      </c>
      <c r="C10" s="1836" t="s">
        <v>815</v>
      </c>
      <c r="D10" s="1837">
        <f>E10*$C$28</f>
        <v>162</v>
      </c>
      <c r="E10" s="1838">
        <v>180</v>
      </c>
      <c r="F10" s="1837">
        <f>G10*$C$28</f>
        <v>162</v>
      </c>
      <c r="G10" s="1838">
        <v>180</v>
      </c>
    </row>
    <row r="11" spans="1:7" ht="15.75">
      <c r="A11" s="1823">
        <v>10</v>
      </c>
      <c r="B11" s="1831" t="s">
        <v>9</v>
      </c>
      <c r="C11" s="1832"/>
      <c r="D11" s="1833">
        <f>SUM(D7:D10)</f>
        <v>1404</v>
      </c>
      <c r="E11" s="1834">
        <f>SUM(E7:E10)</f>
        <v>1560</v>
      </c>
      <c r="F11" s="1833">
        <f>SUM(F7:F10)</f>
        <v>1539</v>
      </c>
      <c r="G11" s="1834">
        <f>SUM(G7:G10)</f>
        <v>1710</v>
      </c>
    </row>
    <row r="12" spans="1:7" ht="15.75">
      <c r="A12" s="1823">
        <v>11</v>
      </c>
      <c r="B12" s="1835" t="s">
        <v>1095</v>
      </c>
      <c r="C12" s="1836"/>
      <c r="D12" s="1837">
        <f>D9+D7</f>
        <v>1242</v>
      </c>
      <c r="E12" s="1838">
        <f>E9+E7</f>
        <v>1380</v>
      </c>
      <c r="F12" s="1837">
        <f>F9+F7</f>
        <v>1377</v>
      </c>
      <c r="G12" s="1838">
        <f>G9+G7</f>
        <v>1530</v>
      </c>
    </row>
    <row r="13" spans="1:7">
      <c r="A13" s="1823">
        <v>12</v>
      </c>
    </row>
    <row r="14" spans="1:7">
      <c r="A14" s="1823">
        <v>13</v>
      </c>
    </row>
    <row r="15" spans="1:7">
      <c r="A15" s="1823">
        <v>14</v>
      </c>
      <c r="B15" s="1841" t="s">
        <v>1096</v>
      </c>
      <c r="C15" s="1842"/>
      <c r="D15" s="1843" t="s">
        <v>1087</v>
      </c>
      <c r="E15" s="1844" t="s">
        <v>1088</v>
      </c>
      <c r="F15" s="1843" t="s">
        <v>1087</v>
      </c>
      <c r="G15" s="1844" t="s">
        <v>1088</v>
      </c>
    </row>
    <row r="16" spans="1:7" ht="15.75">
      <c r="A16" s="1823">
        <v>15</v>
      </c>
      <c r="B16" s="1831" t="s">
        <v>1097</v>
      </c>
      <c r="C16" s="1832" t="s">
        <v>1098</v>
      </c>
      <c r="D16" s="1833">
        <f>E16*$C$28</f>
        <v>7.2</v>
      </c>
      <c r="E16" s="1834">
        <v>8</v>
      </c>
      <c r="F16" s="1833">
        <f>G16*$C$28</f>
        <v>7.2</v>
      </c>
      <c r="G16" s="1834">
        <v>8</v>
      </c>
    </row>
    <row r="17" spans="1:9" ht="15.75">
      <c r="A17" s="1823">
        <v>16</v>
      </c>
      <c r="B17" s="1835" t="s">
        <v>1099</v>
      </c>
      <c r="C17" s="1836" t="s">
        <v>1098</v>
      </c>
      <c r="D17" s="1837">
        <f>E17*$C$28</f>
        <v>18.900000000000002</v>
      </c>
      <c r="E17" s="1838">
        <v>21</v>
      </c>
      <c r="F17" s="1837">
        <f>G17*$C$28</f>
        <v>18.900000000000002</v>
      </c>
      <c r="G17" s="1838">
        <v>21</v>
      </c>
    </row>
    <row r="18" spans="1:9" ht="15.75">
      <c r="A18" s="1823">
        <v>17</v>
      </c>
      <c r="B18" s="1831" t="s">
        <v>1092</v>
      </c>
      <c r="C18" s="1832"/>
      <c r="D18" s="1833">
        <f>SUM(D16:D17)</f>
        <v>26.1</v>
      </c>
      <c r="E18" s="1834">
        <f>SUM(E16:E17)</f>
        <v>29</v>
      </c>
      <c r="F18" s="1833">
        <f>SUM(F16:F17)</f>
        <v>26.1</v>
      </c>
      <c r="G18" s="1834">
        <f>SUM(G16:G17)</f>
        <v>29</v>
      </c>
    </row>
    <row r="19" spans="1:9" ht="15.75">
      <c r="A19" s="1823">
        <v>18</v>
      </c>
      <c r="B19" s="1831"/>
      <c r="C19" s="1832"/>
      <c r="D19" s="1833"/>
      <c r="E19" s="1834"/>
      <c r="F19" s="1833"/>
      <c r="G19" s="1834"/>
    </row>
    <row r="20" spans="1:9" ht="15.75">
      <c r="A20" s="1823">
        <v>19</v>
      </c>
      <c r="B20" s="1835" t="s">
        <v>1100</v>
      </c>
      <c r="C20" s="1836" t="s">
        <v>1098</v>
      </c>
      <c r="D20" s="1837">
        <f>E20*$C$28</f>
        <v>43.2</v>
      </c>
      <c r="E20" s="1838">
        <v>48</v>
      </c>
      <c r="F20" s="1837">
        <f>G20*$C$28</f>
        <v>43.2</v>
      </c>
      <c r="G20" s="1838">
        <v>48</v>
      </c>
    </row>
    <row r="21" spans="1:9" ht="15.75">
      <c r="A21" s="1823">
        <v>20</v>
      </c>
      <c r="B21" s="1835" t="s">
        <v>1101</v>
      </c>
      <c r="C21" s="1836"/>
      <c r="D21" s="1837">
        <f>SUM(D18:D20)</f>
        <v>69.300000000000011</v>
      </c>
      <c r="E21" s="1838">
        <f>SUM(E18:E20)</f>
        <v>77</v>
      </c>
      <c r="F21" s="1837">
        <f>SUM(F18:F20)</f>
        <v>69.300000000000011</v>
      </c>
      <c r="G21" s="1838">
        <f>SUM(G18:G20)</f>
        <v>77</v>
      </c>
    </row>
    <row r="22" spans="1:9" ht="15.75">
      <c r="A22" s="1823">
        <v>21</v>
      </c>
      <c r="D22" s="1845"/>
      <c r="E22" s="1845"/>
      <c r="F22" s="1845"/>
      <c r="G22" s="1845"/>
    </row>
    <row r="23" spans="1:9">
      <c r="A23" s="1823">
        <v>22</v>
      </c>
    </row>
    <row r="24" spans="1:9">
      <c r="A24" s="1823">
        <v>23</v>
      </c>
    </row>
    <row r="25" spans="1:9">
      <c r="A25" s="1823">
        <v>24</v>
      </c>
      <c r="B25" s="1846" t="s">
        <v>1102</v>
      </c>
      <c r="C25" s="1846" t="s">
        <v>1103</v>
      </c>
    </row>
    <row r="26" spans="1:9">
      <c r="A26" s="1823">
        <v>25</v>
      </c>
      <c r="B26" s="1830" t="s">
        <v>1104</v>
      </c>
      <c r="C26" s="1830">
        <v>0.5</v>
      </c>
    </row>
    <row r="27" spans="1:9">
      <c r="A27" s="1823">
        <v>26</v>
      </c>
      <c r="B27" s="1830" t="s">
        <v>1105</v>
      </c>
      <c r="C27" s="1830">
        <v>0.7</v>
      </c>
    </row>
    <row r="28" spans="1:9">
      <c r="A28" s="1823">
        <v>27</v>
      </c>
      <c r="B28" s="1830" t="s">
        <v>1106</v>
      </c>
      <c r="C28" s="1830">
        <v>0.9</v>
      </c>
      <c r="I28" s="1823"/>
    </row>
    <row r="29" spans="1:9">
      <c r="A29" s="1823">
        <v>28</v>
      </c>
      <c r="B29" s="1830" t="s">
        <v>1107</v>
      </c>
      <c r="C29" s="1830">
        <v>1.1000000000000001</v>
      </c>
    </row>
    <row r="30" spans="1:9">
      <c r="A30" s="1823">
        <v>29</v>
      </c>
      <c r="B30" s="1830" t="s">
        <v>1108</v>
      </c>
      <c r="C30" s="1830">
        <v>1.4</v>
      </c>
    </row>
    <row r="31" spans="1:9">
      <c r="A31" s="1823">
        <v>30</v>
      </c>
      <c r="B31" s="1830" t="s">
        <v>1109</v>
      </c>
      <c r="C31" s="1830">
        <v>1.6</v>
      </c>
    </row>
    <row r="32" spans="1:9">
      <c r="A32" s="1823">
        <v>31</v>
      </c>
    </row>
    <row r="33" spans="1:2">
      <c r="A33" s="1823">
        <v>32</v>
      </c>
      <c r="B33" s="1847" t="s">
        <v>1110</v>
      </c>
    </row>
    <row r="34" spans="1:2">
      <c r="A34" s="1823">
        <v>33</v>
      </c>
    </row>
  </sheetData>
  <mergeCells count="2">
    <mergeCell ref="D2:E2"/>
    <mergeCell ref="F2:G2"/>
  </mergeCells>
  <hyperlinks>
    <hyperlink ref="B33" r:id="rId1" display="http://www.hud.gov/offices/adm/hudclips/guidebooks/7420.10G/7420g18GUID.pdf"/>
  </hyperlinks>
  <pageMargins left="1" right="0.25" top="1" bottom="1" header="0.5" footer="0.5"/>
  <pageSetup orientation="portrait" r:id="rId2"/>
  <headerFooter scaleWithDoc="0">
    <oddFooter>&amp;LTestimony of Christopher T. Mickelson
Dockets UE-130043&amp;RExhibit No. ___ (CTM-11)
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FFC000"/>
    <pageSetUpPr fitToPage="1"/>
  </sheetPr>
  <dimension ref="A1:T27"/>
  <sheetViews>
    <sheetView zoomScale="80" zoomScaleNormal="80" workbookViewId="0">
      <selection activeCell="M21" sqref="M21"/>
    </sheetView>
  </sheetViews>
  <sheetFormatPr defaultColWidth="11.125" defaultRowHeight="15"/>
  <cols>
    <col min="1" max="1" width="4.875" style="1316" bestFit="1" customWidth="1"/>
    <col min="2" max="2" width="11.375" style="1316" bestFit="1" customWidth="1"/>
    <col min="3" max="3" width="28.125" style="1316" bestFit="1" customWidth="1"/>
    <col min="4" max="6" width="12.75" style="1316" bestFit="1" customWidth="1"/>
    <col min="7" max="8" width="11.75" style="1316" bestFit="1" customWidth="1"/>
    <col min="9" max="10" width="10.75" style="1316" bestFit="1" customWidth="1"/>
    <col min="11" max="11" width="11.75" style="1316" bestFit="1" customWidth="1"/>
    <col min="12" max="12" width="9.75" style="1316" bestFit="1" customWidth="1"/>
    <col min="13" max="13" width="7.75" style="1316" bestFit="1" customWidth="1"/>
    <col min="14" max="14" width="11.75" style="1316" bestFit="1" customWidth="1"/>
    <col min="15" max="15" width="9.75" style="1316" bestFit="1" customWidth="1"/>
    <col min="16" max="16" width="7.75" style="1316" bestFit="1" customWidth="1"/>
    <col min="17" max="17" width="11.125" style="1316"/>
    <col min="18" max="20" width="7.75" style="1316" hidden="1" customWidth="1"/>
    <col min="21" max="21" width="0" style="1316" hidden="1" customWidth="1"/>
    <col min="22" max="16384" width="11.125" style="1316"/>
  </cols>
  <sheetData>
    <row r="1" spans="1:20">
      <c r="A1" s="1315" t="s">
        <v>1032</v>
      </c>
      <c r="B1" s="1315"/>
      <c r="C1" s="1315"/>
      <c r="D1" s="1315"/>
      <c r="E1" s="1315"/>
      <c r="F1" s="1315"/>
      <c r="G1" s="1315"/>
      <c r="H1" s="1315"/>
      <c r="I1" s="1315"/>
      <c r="J1" s="1315"/>
      <c r="K1" s="1315"/>
      <c r="L1" s="1315"/>
      <c r="M1" s="1315"/>
    </row>
    <row r="2" spans="1:20">
      <c r="A2" s="1317" t="s">
        <v>1038</v>
      </c>
      <c r="B2" s="1315"/>
      <c r="C2" s="1315"/>
      <c r="D2" s="1315"/>
      <c r="E2" s="1315"/>
      <c r="F2" s="1315"/>
      <c r="G2" s="1315"/>
      <c r="H2" s="1315"/>
      <c r="I2" s="1315"/>
      <c r="J2" s="1315"/>
      <c r="K2" s="1315"/>
      <c r="L2" s="1315"/>
      <c r="M2" s="1315"/>
    </row>
    <row r="3" spans="1:20">
      <c r="A3" s="1318" t="s">
        <v>1033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</row>
    <row r="4" spans="1:20">
      <c r="A4" s="1319" t="s">
        <v>1034</v>
      </c>
      <c r="B4" s="1318"/>
      <c r="C4" s="1318"/>
      <c r="D4" s="1318"/>
      <c r="E4" s="1318"/>
      <c r="F4" s="1318"/>
      <c r="G4" s="1318"/>
      <c r="H4" s="1318"/>
      <c r="I4" s="1318"/>
      <c r="J4" s="1318"/>
      <c r="K4" s="1318"/>
      <c r="L4" s="1318"/>
      <c r="M4" s="1318"/>
    </row>
    <row r="5" spans="1:20">
      <c r="A5" s="1317"/>
      <c r="B5" s="1318"/>
      <c r="C5" s="1318"/>
      <c r="D5" s="1318"/>
      <c r="E5" s="1318"/>
      <c r="F5" s="1318"/>
      <c r="G5" s="1318"/>
      <c r="H5" s="1318"/>
      <c r="I5" s="1318"/>
      <c r="J5" s="1318"/>
      <c r="K5" s="1318"/>
      <c r="L5" s="1318"/>
      <c r="M5" s="1318"/>
      <c r="N5" s="1933" t="s">
        <v>307</v>
      </c>
      <c r="O5" s="1933"/>
      <c r="P5" s="1933"/>
    </row>
    <row r="6" spans="1:20" ht="30">
      <c r="A6" s="1320" t="s">
        <v>968</v>
      </c>
      <c r="B6" s="1320" t="s">
        <v>1039</v>
      </c>
      <c r="C6" s="1320" t="s">
        <v>204</v>
      </c>
      <c r="D6" s="1320" t="s">
        <v>1040</v>
      </c>
      <c r="E6" s="1320" t="s">
        <v>1041</v>
      </c>
      <c r="F6" s="1320" t="s">
        <v>1042</v>
      </c>
      <c r="G6" s="1320" t="s">
        <v>1043</v>
      </c>
      <c r="H6" s="1320" t="s">
        <v>1044</v>
      </c>
      <c r="I6" s="1320" t="s">
        <v>1045</v>
      </c>
      <c r="J6" s="1320" t="s">
        <v>1046</v>
      </c>
      <c r="K6" s="1320" t="s">
        <v>1047</v>
      </c>
      <c r="L6" s="1320" t="s">
        <v>1048</v>
      </c>
      <c r="M6" s="1320" t="s">
        <v>1049</v>
      </c>
      <c r="N6" s="1320" t="s">
        <v>1047</v>
      </c>
      <c r="O6" s="1320" t="s">
        <v>1048</v>
      </c>
      <c r="P6" s="1320" t="s">
        <v>1049</v>
      </c>
    </row>
    <row r="7" spans="1:20">
      <c r="A7" s="1321"/>
      <c r="B7" s="1322" t="s">
        <v>3</v>
      </c>
      <c r="C7" s="1322" t="s">
        <v>4</v>
      </c>
      <c r="D7" s="1322" t="s">
        <v>5</v>
      </c>
      <c r="E7" s="1322" t="s">
        <v>6</v>
      </c>
      <c r="F7" s="1322" t="s">
        <v>7</v>
      </c>
      <c r="G7" s="1322" t="s">
        <v>884</v>
      </c>
      <c r="H7" s="1322" t="s">
        <v>885</v>
      </c>
      <c r="I7" s="1322" t="s">
        <v>886</v>
      </c>
      <c r="J7" s="1322" t="s">
        <v>8</v>
      </c>
      <c r="K7" s="1322" t="s">
        <v>755</v>
      </c>
      <c r="L7" s="1322" t="s">
        <v>1050</v>
      </c>
      <c r="M7" s="1322" t="s">
        <v>1051</v>
      </c>
      <c r="N7" s="1322" t="s">
        <v>756</v>
      </c>
      <c r="O7" s="1322" t="s">
        <v>1052</v>
      </c>
      <c r="P7" s="1322" t="s">
        <v>1053</v>
      </c>
    </row>
    <row r="8" spans="1:20" s="1329" customFormat="1">
      <c r="A8" s="1323">
        <v>1</v>
      </c>
      <c r="B8" s="1324" t="s">
        <v>1037</v>
      </c>
      <c r="C8" s="1325" t="s">
        <v>17</v>
      </c>
      <c r="D8" s="1326">
        <v>134571287.30000001</v>
      </c>
      <c r="E8" s="1327">
        <f>SUM(F8:J8)</f>
        <v>146279508.31875059</v>
      </c>
      <c r="F8" s="1326">
        <v>87831916.819391444</v>
      </c>
      <c r="G8" s="1326">
        <v>21722932.369930092</v>
      </c>
      <c r="H8" s="1326">
        <v>27746212.291972108</v>
      </c>
      <c r="I8" s="1326">
        <v>6864184.4183571897</v>
      </c>
      <c r="J8" s="1326">
        <v>2114262.4190997444</v>
      </c>
      <c r="K8" s="1327">
        <f t="shared" ref="K8:K14" si="0">E8-D8</f>
        <v>11708221.018750578</v>
      </c>
      <c r="L8" s="1328">
        <f t="shared" ref="L8:L15" si="1">K8/D8</f>
        <v>8.7003856867694365E-2</v>
      </c>
      <c r="M8" s="1328">
        <f t="shared" ref="M8:M15" si="2">D8/E8</f>
        <v>0.919959937291847</v>
      </c>
      <c r="N8" s="1326">
        <v>7684020.4936346626</v>
      </c>
      <c r="O8" s="1328">
        <f t="shared" ref="O8:O15" si="3">N8/D8</f>
        <v>5.7099999916807379E-2</v>
      </c>
      <c r="P8" s="1328">
        <f t="shared" ref="P8:P15" si="4">(N8+D8)/E8</f>
        <v>0.97248964963467766</v>
      </c>
      <c r="R8" s="1330">
        <v>0.96975680914385365</v>
      </c>
      <c r="S8" s="1331">
        <v>0.25</v>
      </c>
      <c r="T8" s="1332">
        <f>O10*S8</f>
        <v>1.2392174640816774E-2</v>
      </c>
    </row>
    <row r="9" spans="1:20" s="1329" customFormat="1">
      <c r="A9" s="1333">
        <f>A8+1</f>
        <v>2</v>
      </c>
      <c r="B9" s="1324" t="s">
        <v>1054</v>
      </c>
      <c r="C9" s="1325" t="s">
        <v>1055</v>
      </c>
      <c r="D9" s="1326">
        <v>45261337.330470175</v>
      </c>
      <c r="E9" s="1327">
        <f t="shared" ref="E9:E14" si="5">SUM(F9:J9)</f>
        <v>43455645.946919091</v>
      </c>
      <c r="F9" s="1326">
        <v>27966634.260231737</v>
      </c>
      <c r="G9" s="1326">
        <v>6915628.4990964411</v>
      </c>
      <c r="H9" s="1326">
        <v>6938678.8114933008</v>
      </c>
      <c r="I9" s="1326">
        <v>947753.21757777117</v>
      </c>
      <c r="J9" s="1326">
        <v>686951.15851983847</v>
      </c>
      <c r="K9" s="1327">
        <f t="shared" si="0"/>
        <v>-1805691.3835510835</v>
      </c>
      <c r="L9" s="1328">
        <f t="shared" si="1"/>
        <v>-3.9894786368485903E-2</v>
      </c>
      <c r="M9" s="1328">
        <f t="shared" si="2"/>
        <v>1.0415525150807039</v>
      </c>
      <c r="N9" s="1326">
        <v>1122481.1657956601</v>
      </c>
      <c r="O9" s="1328">
        <f t="shared" si="3"/>
        <v>2.4799999999999996E-2</v>
      </c>
      <c r="P9" s="1328">
        <f t="shared" si="4"/>
        <v>1.0673830174547054</v>
      </c>
      <c r="R9" s="1330">
        <v>1.0943874966624021</v>
      </c>
      <c r="S9" s="1331">
        <v>0.85</v>
      </c>
      <c r="T9" s="1332">
        <f>O10*S9</f>
        <v>4.2133393778777027E-2</v>
      </c>
    </row>
    <row r="10" spans="1:20" s="1329" customFormat="1">
      <c r="A10" s="1333">
        <f>A9+1</f>
        <v>3</v>
      </c>
      <c r="B10" s="1324" t="s">
        <v>1056</v>
      </c>
      <c r="C10" s="1325" t="s">
        <v>339</v>
      </c>
      <c r="D10" s="1326">
        <v>61297410.543473966</v>
      </c>
      <c r="E10" s="1327">
        <f t="shared" si="5"/>
        <v>62847511.929887205</v>
      </c>
      <c r="F10" s="1326">
        <v>44345789.666677974</v>
      </c>
      <c r="G10" s="1326">
        <v>10950321.927317994</v>
      </c>
      <c r="H10" s="1326">
        <v>6402344.4781463696</v>
      </c>
      <c r="I10" s="1326">
        <v>119952.45067838536</v>
      </c>
      <c r="J10" s="1326">
        <v>1029103.4070664832</v>
      </c>
      <c r="K10" s="1327">
        <f t="shared" si="0"/>
        <v>1550101.3864132389</v>
      </c>
      <c r="L10" s="1328">
        <f t="shared" si="1"/>
        <v>2.5288203411363688E-2</v>
      </c>
      <c r="M10" s="1328">
        <f t="shared" si="2"/>
        <v>0.97533551705049937</v>
      </c>
      <c r="N10" s="1326">
        <v>3038432.8659382914</v>
      </c>
      <c r="O10" s="1328">
        <f t="shared" si="3"/>
        <v>4.9568698563267094E-2</v>
      </c>
      <c r="P10" s="1328">
        <f t="shared" si="4"/>
        <v>1.0236816292932238</v>
      </c>
      <c r="R10" s="1330">
        <v>1.022388634760413</v>
      </c>
      <c r="S10" s="1331">
        <v>1.1499999999999999</v>
      </c>
      <c r="T10" s="1332">
        <f>S10*O10</f>
        <v>5.7004003347757154E-2</v>
      </c>
    </row>
    <row r="11" spans="1:20" s="1329" customFormat="1">
      <c r="A11" s="1333">
        <f>A10+1</f>
        <v>4</v>
      </c>
      <c r="B11" s="1324" t="s">
        <v>71</v>
      </c>
      <c r="C11" s="1325" t="s">
        <v>1057</v>
      </c>
      <c r="D11" s="1326">
        <v>23069501.570523299</v>
      </c>
      <c r="E11" s="1327">
        <f t="shared" si="5"/>
        <v>24568331.426882841</v>
      </c>
      <c r="F11" s="1326">
        <v>17522081.404088691</v>
      </c>
      <c r="G11" s="1326">
        <v>4325784.341390362</v>
      </c>
      <c r="H11" s="1326">
        <v>2277750.1290072985</v>
      </c>
      <c r="I11" s="1326">
        <v>42772.63886878964</v>
      </c>
      <c r="J11" s="1326">
        <v>399942.91352769645</v>
      </c>
      <c r="K11" s="1327">
        <f t="shared" si="0"/>
        <v>1498829.8563595414</v>
      </c>
      <c r="L11" s="1328">
        <f t="shared" si="1"/>
        <v>6.4970188097806511E-2</v>
      </c>
      <c r="M11" s="1328">
        <f t="shared" si="2"/>
        <v>0.93899342082631176</v>
      </c>
      <c r="N11" s="1326">
        <v>1317268.5396768805</v>
      </c>
      <c r="O11" s="1328">
        <f t="shared" si="3"/>
        <v>5.7100000000000005E-2</v>
      </c>
      <c r="P11" s="1328">
        <f t="shared" si="4"/>
        <v>0.99260994515549417</v>
      </c>
      <c r="R11" s="1330">
        <v>0.97981521425917417</v>
      </c>
      <c r="S11" s="1331">
        <v>1.5</v>
      </c>
      <c r="T11" s="1332">
        <f>S11*O10</f>
        <v>7.4353047844900641E-2</v>
      </c>
    </row>
    <row r="12" spans="1:20" s="1329" customFormat="1">
      <c r="A12" s="1333">
        <v>5</v>
      </c>
      <c r="B12" s="1334" t="s">
        <v>71</v>
      </c>
      <c r="C12" s="1325" t="s">
        <v>894</v>
      </c>
      <c r="D12" s="1326">
        <v>25058234.385966681</v>
      </c>
      <c r="E12" s="1327">
        <f>SUM(F12:J12)</f>
        <v>27989592.825939819</v>
      </c>
      <c r="F12" s="1326">
        <v>21651690.929428902</v>
      </c>
      <c r="G12" s="1326">
        <v>5341599.4857140658</v>
      </c>
      <c r="H12" s="1326">
        <v>480642.77270383615</v>
      </c>
      <c r="I12" s="1326">
        <v>40892.204944420053</v>
      </c>
      <c r="J12" s="1326">
        <v>474767.43314859259</v>
      </c>
      <c r="K12" s="1327">
        <f t="shared" si="0"/>
        <v>2931358.4399731383</v>
      </c>
      <c r="L12" s="1328">
        <f t="shared" si="1"/>
        <v>0.11698184296714782</v>
      </c>
      <c r="M12" s="1328">
        <f t="shared" si="2"/>
        <v>0.89526970048465826</v>
      </c>
      <c r="N12" s="1326">
        <v>1577312.0426344899</v>
      </c>
      <c r="O12" s="1328">
        <f t="shared" si="3"/>
        <v>6.2945857171717939E-2</v>
      </c>
      <c r="P12" s="1328">
        <f t="shared" si="4"/>
        <v>0.95162321918153225</v>
      </c>
      <c r="Q12" s="1329">
        <f>N12+N11</f>
        <v>2894580.5823113704</v>
      </c>
      <c r="R12" s="1330">
        <v>0.92669374291710271</v>
      </c>
      <c r="S12" s="1331">
        <v>1.75</v>
      </c>
      <c r="T12" s="1332">
        <f>S12*O10</f>
        <v>8.6745222485717421E-2</v>
      </c>
    </row>
    <row r="13" spans="1:20" s="1329" customFormat="1">
      <c r="A13" s="1333">
        <v>6</v>
      </c>
      <c r="B13" s="1324" t="s">
        <v>340</v>
      </c>
      <c r="C13" s="1325" t="s">
        <v>198</v>
      </c>
      <c r="D13" s="1326">
        <v>12299348</v>
      </c>
      <c r="E13" s="1327">
        <f t="shared" si="5"/>
        <v>11653634.985249741</v>
      </c>
      <c r="F13" s="1326">
        <v>7381180.5139188245</v>
      </c>
      <c r="G13" s="1326">
        <v>1825006.7533205815</v>
      </c>
      <c r="H13" s="1326">
        <v>2079920.7679149767</v>
      </c>
      <c r="I13" s="1326">
        <v>183448.69369382647</v>
      </c>
      <c r="J13" s="1326">
        <v>184078.25640153053</v>
      </c>
      <c r="K13" s="1327">
        <f t="shared" si="0"/>
        <v>-645713.014750259</v>
      </c>
      <c r="L13" s="1328">
        <f t="shared" si="1"/>
        <v>-5.249977598408135E-2</v>
      </c>
      <c r="M13" s="1328">
        <f>D13/E13</f>
        <v>1.0554087214476473</v>
      </c>
      <c r="N13" s="1326">
        <v>305023.83040000004</v>
      </c>
      <c r="O13" s="1328">
        <f t="shared" si="3"/>
        <v>2.4800000000000003E-2</v>
      </c>
      <c r="P13" s="1328">
        <f>(N13+D13)/E13</f>
        <v>1.0815828577395488</v>
      </c>
      <c r="R13" s="1330">
        <v>1.1044104796450234</v>
      </c>
      <c r="S13" s="1331">
        <v>2</v>
      </c>
      <c r="T13" s="1332">
        <f>S13*O11</f>
        <v>0.11420000000000001</v>
      </c>
    </row>
    <row r="14" spans="1:20" s="1329" customFormat="1">
      <c r="A14" s="1335">
        <v>7</v>
      </c>
      <c r="B14" s="1336" t="s">
        <v>1058</v>
      </c>
      <c r="C14" s="1337" t="s">
        <v>1059</v>
      </c>
      <c r="D14" s="1338">
        <v>1670476.7339375024</v>
      </c>
      <c r="E14" s="1339">
        <f t="shared" si="5"/>
        <v>1477909.4307423118</v>
      </c>
      <c r="F14" s="1338">
        <v>494050.80681257811</v>
      </c>
      <c r="G14" s="1338">
        <v>123370.49771148394</v>
      </c>
      <c r="H14" s="1338">
        <v>738956.44028676453</v>
      </c>
      <c r="I14" s="1338">
        <v>104416.81037827214</v>
      </c>
      <c r="J14" s="1338">
        <v>17114.875553213002</v>
      </c>
      <c r="K14" s="1339">
        <f t="shared" si="0"/>
        <v>-192567.30319519062</v>
      </c>
      <c r="L14" s="1340">
        <f t="shared" si="1"/>
        <v>-0.11527685437515058</v>
      </c>
      <c r="M14" s="1340">
        <f>D14/E14</f>
        <v>1.1302970934412873</v>
      </c>
      <c r="N14" s="1338">
        <v>0</v>
      </c>
      <c r="O14" s="1340">
        <f t="shared" si="3"/>
        <v>0</v>
      </c>
      <c r="P14" s="1340">
        <f t="shared" si="4"/>
        <v>1.1302970934412873</v>
      </c>
      <c r="R14" s="1341">
        <v>1.1723117632570692</v>
      </c>
    </row>
    <row r="15" spans="1:20" s="1329" customFormat="1">
      <c r="A15" s="1333">
        <v>8</v>
      </c>
      <c r="B15" s="1325"/>
      <c r="C15" s="1334" t="s">
        <v>1060</v>
      </c>
      <c r="D15" s="1326">
        <f t="shared" ref="D15:K15" si="6">SUM(D8:D14)</f>
        <v>303227595.8643716</v>
      </c>
      <c r="E15" s="1327">
        <f t="shared" si="6"/>
        <v>318272134.86437166</v>
      </c>
      <c r="F15" s="1326">
        <f t="shared" si="6"/>
        <v>207193344.40055016</v>
      </c>
      <c r="G15" s="1326">
        <f t="shared" si="6"/>
        <v>51204643.874481022</v>
      </c>
      <c r="H15" s="1326">
        <f t="shared" si="6"/>
        <v>46664505.691524647</v>
      </c>
      <c r="I15" s="1326">
        <f t="shared" si="6"/>
        <v>8303420.4344986547</v>
      </c>
      <c r="J15" s="1326">
        <f t="shared" si="6"/>
        <v>4906220.463317099</v>
      </c>
      <c r="K15" s="1327">
        <f t="shared" si="6"/>
        <v>15044538.999999963</v>
      </c>
      <c r="L15" s="1328">
        <f t="shared" si="1"/>
        <v>4.9614676253704568E-2</v>
      </c>
      <c r="M15" s="1328">
        <f t="shared" si="2"/>
        <v>0.95273058068243666</v>
      </c>
      <c r="N15" s="1326">
        <f>SUM(N8:N14)</f>
        <v>15044538.938079985</v>
      </c>
      <c r="O15" s="1328">
        <f t="shared" si="3"/>
        <v>4.9614676049501587E-2</v>
      </c>
      <c r="P15" s="1328">
        <f t="shared" si="4"/>
        <v>0.9999999998054494</v>
      </c>
      <c r="R15" s="1330">
        <v>1.0000000000000002</v>
      </c>
    </row>
    <row r="16" spans="1:20" s="1329" customFormat="1">
      <c r="A16" s="1333"/>
      <c r="B16" s="1325"/>
      <c r="C16" s="1325"/>
      <c r="D16" s="1342"/>
      <c r="E16" s="1343"/>
      <c r="F16" s="1342"/>
      <c r="G16" s="1342"/>
      <c r="H16" s="1342"/>
      <c r="I16" s="1342"/>
      <c r="J16" s="1342"/>
      <c r="K16" s="1344"/>
      <c r="L16" s="1345"/>
      <c r="M16" s="1345"/>
      <c r="N16" s="1346">
        <f>E15-D15-N15</f>
        <v>6.1920074746012688E-2</v>
      </c>
      <c r="O16" s="1347"/>
    </row>
    <row r="17" spans="14:19" hidden="1">
      <c r="N17" s="1326">
        <v>15115521</v>
      </c>
      <c r="O17" s="1348">
        <v>0.85</v>
      </c>
      <c r="P17" s="1328">
        <f>O17*$L$15</f>
        <v>4.2172474815648883E-2</v>
      </c>
      <c r="Q17" s="1349"/>
      <c r="R17" s="1349"/>
      <c r="S17" s="1349"/>
    </row>
    <row r="18" spans="14:19" hidden="1">
      <c r="N18" s="1326">
        <f>N17-N15</f>
        <v>70982.061920015141</v>
      </c>
      <c r="O18" s="1348">
        <v>1.1499999999999999</v>
      </c>
      <c r="P18" s="1328">
        <f>O18*$L$15</f>
        <v>5.7056877691760245E-2</v>
      </c>
      <c r="Q18" s="1349"/>
      <c r="R18" s="1349"/>
      <c r="S18" s="1349"/>
    </row>
    <row r="19" spans="14:19" hidden="1">
      <c r="O19" s="1348">
        <v>0.5</v>
      </c>
      <c r="P19" s="1328">
        <f>O19*$L$15</f>
        <v>2.4807338126852284E-2</v>
      </c>
      <c r="Q19" s="1349"/>
      <c r="R19" s="1349"/>
      <c r="S19" s="1349"/>
    </row>
    <row r="20" spans="14:19" hidden="1">
      <c r="O20" s="1348">
        <v>1.5</v>
      </c>
      <c r="P20" s="1328">
        <f>O20*$L$15</f>
        <v>7.4422014380556845E-2</v>
      </c>
      <c r="Q20" s="1349"/>
      <c r="R20" s="1349"/>
      <c r="S20" s="1349"/>
    </row>
    <row r="21" spans="14:19">
      <c r="O21" s="1349"/>
      <c r="P21" s="1349"/>
      <c r="Q21" s="1349"/>
      <c r="R21" s="1349"/>
      <c r="S21" s="1349"/>
    </row>
    <row r="22" spans="14:19">
      <c r="O22" s="1349"/>
      <c r="P22" s="1349"/>
      <c r="Q22" s="1349"/>
      <c r="R22" s="1349"/>
      <c r="S22" s="1349"/>
    </row>
    <row r="23" spans="14:19">
      <c r="O23" s="1349"/>
      <c r="P23" s="1349"/>
      <c r="Q23" s="1349"/>
      <c r="R23" s="1349"/>
      <c r="S23" s="1349"/>
    </row>
    <row r="24" spans="14:19">
      <c r="O24" s="1349"/>
      <c r="P24" s="1349"/>
      <c r="Q24" s="1349"/>
      <c r="R24" s="1349"/>
      <c r="S24" s="1349"/>
    </row>
    <row r="25" spans="14:19">
      <c r="O25" s="1349"/>
      <c r="P25" s="1349"/>
      <c r="Q25" s="1349"/>
      <c r="R25" s="1349"/>
      <c r="S25" s="1349"/>
    </row>
    <row r="26" spans="14:19">
      <c r="O26" s="1349"/>
      <c r="P26" s="1349"/>
      <c r="Q26" s="1349"/>
      <c r="R26" s="1349"/>
      <c r="S26" s="1349"/>
    </row>
    <row r="27" spans="14:19">
      <c r="O27" s="1349"/>
      <c r="P27" s="1349"/>
      <c r="Q27" s="1349"/>
      <c r="R27" s="1349"/>
      <c r="S27" s="1349"/>
    </row>
  </sheetData>
  <dataConsolidate/>
  <mergeCells count="1">
    <mergeCell ref="N5:P5"/>
  </mergeCells>
  <printOptions horizontalCentered="1" verticalCentered="1"/>
  <pageMargins left="0.25" right="0.25" top="0.25" bottom="0.3" header="0.25" footer="0.25"/>
  <pageSetup scale="63" fitToHeight="0" orientation="landscape" r:id="rId1"/>
  <headerFooter alignWithMargins="0">
    <oddFooter>&amp;LExhibit No.___(CCP-5)&amp;CTAB  4.0 - Page  2&amp;R&amp;F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D48"/>
  <sheetViews>
    <sheetView view="pageBreakPreview" zoomScale="90" zoomScaleNormal="85" zoomScaleSheetLayoutView="90" workbookViewId="0">
      <selection activeCell="M21" sqref="M21"/>
    </sheetView>
  </sheetViews>
  <sheetFormatPr defaultColWidth="8.5" defaultRowHeight="15"/>
  <cols>
    <col min="1" max="1" width="1.5" style="478" customWidth="1"/>
    <col min="2" max="2" width="9.75" style="478" customWidth="1"/>
    <col min="3" max="3" width="2.875" style="478" customWidth="1"/>
    <col min="4" max="4" width="11.25" style="478" hidden="1" customWidth="1"/>
    <col min="5" max="5" width="7.625" style="478" bestFit="1" customWidth="1"/>
    <col min="6" max="6" width="3.375" style="478" customWidth="1"/>
    <col min="7" max="7" width="11" style="478" bestFit="1" customWidth="1"/>
    <col min="8" max="8" width="1.75" style="478" customWidth="1"/>
    <col min="9" max="9" width="11" style="478" bestFit="1" customWidth="1"/>
    <col min="10" max="10" width="6.125" style="478" bestFit="1" customWidth="1"/>
    <col min="11" max="11" width="11" style="478" bestFit="1" customWidth="1"/>
    <col min="12" max="12" width="2" style="478" customWidth="1"/>
    <col min="13" max="13" width="11" style="478" bestFit="1" customWidth="1"/>
    <col min="14" max="14" width="2.875" style="478" customWidth="1"/>
    <col min="15" max="15" width="10.25" style="478" hidden="1" customWidth="1"/>
    <col min="16" max="16" width="2" style="478" hidden="1" customWidth="1"/>
    <col min="17" max="17" width="10.25" style="478" hidden="1" customWidth="1"/>
    <col min="18" max="18" width="4.625" style="478" hidden="1" customWidth="1"/>
    <col min="19" max="19" width="11" style="478" bestFit="1" customWidth="1"/>
    <col min="20" max="20" width="2" style="478" customWidth="1"/>
    <col min="21" max="21" width="11" style="478" bestFit="1" customWidth="1"/>
    <col min="22" max="22" width="3.125" style="478" customWidth="1"/>
    <col min="23" max="23" width="12.5" style="478" customWidth="1"/>
    <col min="24" max="24" width="10.875" style="478" bestFit="1" customWidth="1"/>
    <col min="25" max="25" width="8.5" style="478"/>
    <col min="26" max="26" width="13.875" style="478" customWidth="1"/>
    <col min="27" max="27" width="12.75" style="478" bestFit="1" customWidth="1"/>
    <col min="28" max="28" width="8.5" style="478" customWidth="1"/>
    <col min="29" max="29" width="2.625" style="519" customWidth="1"/>
    <col min="30" max="16384" width="8.5" style="478"/>
  </cols>
  <sheetData>
    <row r="1" spans="1:30">
      <c r="A1" s="518"/>
      <c r="B1" s="518"/>
    </row>
    <row r="2" spans="1:30">
      <c r="A2" s="518"/>
      <c r="B2" s="518"/>
      <c r="C2" s="520"/>
      <c r="D2" s="520"/>
      <c r="E2" s="520"/>
      <c r="F2" s="520"/>
      <c r="G2" s="520"/>
      <c r="H2" s="520"/>
      <c r="I2" s="520"/>
      <c r="J2" s="520"/>
      <c r="K2" s="520"/>
      <c r="L2" s="520"/>
    </row>
    <row r="3" spans="1:30" ht="18.75">
      <c r="A3" s="518"/>
      <c r="B3" s="479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480"/>
      <c r="N3" s="480"/>
      <c r="O3" s="480"/>
      <c r="P3" s="480"/>
      <c r="Q3" s="522"/>
      <c r="S3" s="480"/>
      <c r="T3" s="481" t="s">
        <v>31</v>
      </c>
      <c r="U3" s="522"/>
    </row>
    <row r="4" spans="1:30" ht="20.25">
      <c r="B4" s="523" t="s">
        <v>72</v>
      </c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</row>
    <row r="5" spans="1:30" ht="20.25">
      <c r="B5" s="523" t="s">
        <v>523</v>
      </c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</row>
    <row r="6" spans="1:30" ht="20.25">
      <c r="B6" s="523" t="s">
        <v>534</v>
      </c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3"/>
    </row>
    <row r="7" spans="1:30" ht="20.25">
      <c r="B7" s="524" t="s">
        <v>31</v>
      </c>
      <c r="C7" s="524"/>
      <c r="D7" s="524"/>
      <c r="E7" s="524"/>
      <c r="F7" s="524"/>
      <c r="G7" s="524"/>
      <c r="H7" s="524"/>
      <c r="I7" s="524"/>
      <c r="J7" s="524"/>
      <c r="K7" s="524"/>
      <c r="L7" s="524"/>
      <c r="M7" s="524"/>
      <c r="N7" s="524"/>
      <c r="O7" s="524"/>
      <c r="P7" s="524"/>
      <c r="Q7" s="524"/>
      <c r="R7" s="524"/>
      <c r="S7" s="524"/>
      <c r="T7" s="524"/>
      <c r="U7" s="524"/>
    </row>
    <row r="8" spans="1:30" ht="18.75">
      <c r="B8" s="525"/>
      <c r="C8" s="526"/>
      <c r="D8" s="526"/>
      <c r="E8" s="526"/>
      <c r="F8" s="526"/>
      <c r="G8" s="526"/>
      <c r="H8" s="526"/>
      <c r="I8" s="526"/>
      <c r="J8" s="526"/>
      <c r="K8" s="526"/>
      <c r="L8" s="526"/>
      <c r="M8" s="526"/>
      <c r="N8" s="526"/>
      <c r="O8" s="526"/>
      <c r="P8" s="526"/>
      <c r="Q8" s="527"/>
      <c r="S8" s="526"/>
      <c r="T8" s="526"/>
      <c r="U8" s="527"/>
    </row>
    <row r="9" spans="1:30">
      <c r="A9" s="520"/>
      <c r="B9" s="518"/>
    </row>
    <row r="10" spans="1:30" ht="15.75">
      <c r="A10" s="520"/>
      <c r="B10" s="528" t="s">
        <v>535</v>
      </c>
      <c r="C10" s="529"/>
      <c r="D10" s="529"/>
      <c r="E10" s="529"/>
      <c r="F10" s="529"/>
      <c r="G10" s="530" t="s">
        <v>536</v>
      </c>
      <c r="H10" s="530"/>
      <c r="I10" s="530"/>
      <c r="J10" s="530"/>
      <c r="K10" s="530"/>
      <c r="L10" s="530"/>
      <c r="M10" s="530"/>
      <c r="N10" s="529"/>
      <c r="O10" s="531" t="s">
        <v>537</v>
      </c>
      <c r="P10" s="531"/>
      <c r="Q10" s="531"/>
      <c r="R10" s="532"/>
      <c r="S10" s="531" t="s">
        <v>526</v>
      </c>
      <c r="T10" s="531"/>
      <c r="U10" s="531"/>
    </row>
    <row r="11" spans="1:30" ht="16.5" thickBot="1">
      <c r="A11" s="520"/>
      <c r="B11" s="533" t="s">
        <v>538</v>
      </c>
      <c r="C11" s="531"/>
      <c r="D11" s="528" t="s">
        <v>539</v>
      </c>
      <c r="E11" s="529"/>
      <c r="F11" s="529"/>
      <c r="G11" s="534" t="s">
        <v>540</v>
      </c>
      <c r="H11" s="534"/>
      <c r="I11" s="534"/>
      <c r="J11" s="535"/>
      <c r="K11" s="534" t="s">
        <v>627</v>
      </c>
      <c r="L11" s="534"/>
      <c r="M11" s="534"/>
      <c r="N11" s="529"/>
      <c r="O11" s="534" t="s">
        <v>265</v>
      </c>
      <c r="P11" s="534"/>
      <c r="Q11" s="534"/>
      <c r="R11" s="532"/>
      <c r="S11" s="534" t="s">
        <v>265</v>
      </c>
      <c r="T11" s="534"/>
      <c r="U11" s="534"/>
    </row>
    <row r="12" spans="1:30" ht="15.75">
      <c r="A12" s="520"/>
      <c r="B12" s="536" t="s">
        <v>409</v>
      </c>
      <c r="C12" s="537"/>
      <c r="D12" s="538" t="s">
        <v>541</v>
      </c>
      <c r="E12" s="536" t="s">
        <v>25</v>
      </c>
      <c r="F12" s="529"/>
      <c r="G12" s="539" t="s">
        <v>542</v>
      </c>
      <c r="H12" s="540"/>
      <c r="I12" s="539" t="s">
        <v>543</v>
      </c>
      <c r="J12" s="529"/>
      <c r="K12" s="539" t="s">
        <v>542</v>
      </c>
      <c r="L12" s="540"/>
      <c r="M12" s="539" t="s">
        <v>543</v>
      </c>
      <c r="N12" s="529"/>
      <c r="O12" s="539" t="s">
        <v>542</v>
      </c>
      <c r="P12" s="529"/>
      <c r="Q12" s="539" t="s">
        <v>543</v>
      </c>
      <c r="R12" s="532"/>
      <c r="S12" s="539" t="s">
        <v>542</v>
      </c>
      <c r="T12" s="529"/>
      <c r="U12" s="539" t="s">
        <v>543</v>
      </c>
      <c r="W12" s="541"/>
      <c r="X12" s="542" t="s">
        <v>527</v>
      </c>
      <c r="Y12" s="543"/>
      <c r="Z12" s="542"/>
      <c r="AA12" s="542" t="s">
        <v>528</v>
      </c>
      <c r="AB12" s="543"/>
    </row>
    <row r="13" spans="1:30" ht="15.75">
      <c r="A13" s="520"/>
      <c r="B13" s="529"/>
      <c r="C13" s="529"/>
      <c r="D13" s="529"/>
      <c r="E13" s="529"/>
      <c r="F13" s="529"/>
      <c r="G13" s="537"/>
      <c r="H13" s="537"/>
      <c r="I13" s="537"/>
      <c r="J13" s="537"/>
      <c r="K13" s="537"/>
      <c r="L13" s="537"/>
      <c r="M13" s="537"/>
      <c r="N13" s="532"/>
      <c r="O13" s="532"/>
      <c r="P13" s="532"/>
      <c r="Q13" s="532"/>
      <c r="R13" s="532"/>
      <c r="S13" s="532"/>
      <c r="T13" s="532"/>
      <c r="U13" s="532"/>
      <c r="W13" s="544" t="s">
        <v>407</v>
      </c>
      <c r="X13" s="508" t="s">
        <v>544</v>
      </c>
      <c r="Y13" s="545" t="s">
        <v>545</v>
      </c>
      <c r="Z13" s="508"/>
      <c r="AA13" s="508" t="s">
        <v>544</v>
      </c>
      <c r="AB13" s="545" t="s">
        <v>545</v>
      </c>
    </row>
    <row r="14" spans="1:30" ht="15.75">
      <c r="A14" s="520"/>
      <c r="B14" s="529">
        <v>15</v>
      </c>
      <c r="C14" s="529"/>
      <c r="D14" s="529">
        <v>100</v>
      </c>
      <c r="E14" s="546">
        <v>5000</v>
      </c>
      <c r="F14" s="547"/>
      <c r="G14" s="548">
        <f>ROUND($X$15+IF($E14&gt;1000,IF($E14&gt;9000,(1000*X$21/100)+(8000*X$22/100)+(($E14-(9000))*X$23/100),(1000*X$21/100)+(($E14-1000)*X$22/100)),($E14*$X$21)/100)+IF(B$14&gt;W$18,$X$18*($B$14-W$18),0)+IF(B$14&gt;W$20,$X$20*($B$14-W$20),0),2)+AA$29</f>
        <v>387.46000000000004</v>
      </c>
      <c r="H14" s="548"/>
      <c r="I14" s="548">
        <f>ROUND($Y$15+IF($E14&gt;1000,IF($E14&gt;9000,(1000*Y$21/100)+(8000*Y$22/100)+(($E14-(9000))*Y$23/100),(1000*Y$21/100)+(($E14-1000)*Y$22/100)),($E14*$Y$21)/100)+IF(B$14&gt;W$18,$Y$18*($B$14-W$18),0)+IF(B$14&gt;W$20,$Y$20*($B$14-W$20),0),2)+AA$29</f>
        <v>391.73</v>
      </c>
      <c r="J14" s="548"/>
      <c r="K14" s="548">
        <f>ROUND($AA$15+IF($E14&gt;1000,IF($E14&gt;9000,(1000*AA$21/100)+(8000*AA$22/100)+(($E14-9000)*AA$23/100),(1000*AA$21/100)+(($E14-1000)*AA$22/100)),($E14*$AA$21)/100)+IF(B$14&gt;Z$18,$AA$18*($B$14-Z$18),0)+IF(B$14&gt;Z$20,$AA$20*($B$14-Z$20),0),2)+AA30</f>
        <v>396.37</v>
      </c>
      <c r="L14" s="548"/>
      <c r="M14" s="548">
        <f>ROUND($AB$15+IF($E14&gt;1000,IF($E14&gt;9000,(1000*AB$21/100)+(8000*AB$22/100)+(($E14-9000)*AB$23/100),(1000*AB$21/100)+(($E14-1000)*AB$22/100)),($E14*$AB$21)/100)+IF(B$14&gt;Z$18,$AB$18*($B$14-Z$18),0)+IF(B$14&gt;Z$20,$AB$20*($B$14-Z$20),0),2)+AA30</f>
        <v>400.75</v>
      </c>
      <c r="N14" s="529"/>
      <c r="O14" s="548">
        <f>K14-G14</f>
        <v>8.9099999999999682</v>
      </c>
      <c r="P14" s="548"/>
      <c r="Q14" s="548">
        <f>M14-I14</f>
        <v>9.0199999999999818</v>
      </c>
      <c r="R14" s="532"/>
      <c r="S14" s="549">
        <f>ROUND(K14/G14-1,4)</f>
        <v>2.3E-2</v>
      </c>
      <c r="T14" s="529"/>
      <c r="U14" s="549">
        <f>ROUND(M14/I14-1,4)</f>
        <v>2.3E-2</v>
      </c>
      <c r="W14" s="544" t="s">
        <v>546</v>
      </c>
      <c r="X14" s="550">
        <f>'Pages 4-11, All Other Schedules'!F164</f>
        <v>8.7100000000000009</v>
      </c>
      <c r="Y14" s="495">
        <f>'Pages 4-11, All Other Schedules'!F165</f>
        <v>12.98</v>
      </c>
      <c r="Z14" s="551"/>
      <c r="AA14" s="550">
        <f>'Pages 4-11, All Other Schedules'!I203</f>
        <v>8.92</v>
      </c>
      <c r="AB14" s="495">
        <f>'Pages 4-11, All Other Schedules'!I204</f>
        <v>13.299999999999999</v>
      </c>
      <c r="AC14" s="552"/>
      <c r="AD14" s="502"/>
    </row>
    <row r="15" spans="1:30" ht="15.75">
      <c r="A15" s="520"/>
      <c r="B15" s="529"/>
      <c r="C15" s="529"/>
      <c r="D15" s="529">
        <v>200</v>
      </c>
      <c r="E15" s="546">
        <v>7500</v>
      </c>
      <c r="F15" s="547"/>
      <c r="G15" s="548">
        <f>ROUND($X$15+IF($E15&gt;1000,IF($E15&gt;9000,(1000*X$21/100)+(8000*X$22/100)+(($E15-(9000))*X$23/100),(1000*X$21/100)+(($E15-1000)*X$22/100)),($E15*$X$21)/100)+IF(B$14&gt;W$18,$X$18*($B$14-W$18),0)+IF(B$14&gt;W$20,$X$20*($B$14-W$20),0),2)+AA$29</f>
        <v>561.08999999999992</v>
      </c>
      <c r="H15" s="548"/>
      <c r="I15" s="548">
        <f>ROUND($Y$15+IF($E15&gt;1000,IF($E15&gt;9000,(1000*Y$21/100)+(8000*Y$22/100)+(($E15-(9000))*Y$23/100),(1000*Y$21/100)+(($E15-1000)*Y$22/100)),($E15*$Y$21)/100)+IF(B$14&gt;W$18,$Y$18*($B$14-W$18),0)+IF(B$14&gt;W$20,$Y$20*($B$14-W$20),0),2)+AA$29</f>
        <v>565.3599999999999</v>
      </c>
      <c r="J15" s="548"/>
      <c r="K15" s="548">
        <f>ROUND($AA$15+IF($E15&gt;1000,IF($E15&gt;9000,(1000*AA$21/100)+(8000*AA$22/100)+(($E15-9000)*AA$23/100),(1000*AA$21/100)+(($E15-1000)*AA$22/100)),($E15*$AA$21)/100)+IF(B$14&gt;Z$18,$AA$18*($B$14-Z$18),0)+IF(B$14&gt;Z$20,$AA$20*($B$14-Z$20),0),2)+AA30</f>
        <v>574.04999999999995</v>
      </c>
      <c r="L15" s="548"/>
      <c r="M15" s="548">
        <f>ROUND($AB$15+IF($E15&gt;1000,IF($E15&gt;9000,(1000*AB$21/100)+(8000*AB$22/100)+(($E15-9000)*AB$23/100),(1000*AB$21/100)+(($E15-1000)*AB$22/100)),($E15*$AB$21)/100)+IF(B$14&gt;Z$18,$AB$18*($B$14-Z$18),0)+IF(B$14&gt;Z$20,$AB$20*($B$14-Z$20),0),2)+AA30</f>
        <v>578.42999999999995</v>
      </c>
      <c r="N15" s="529"/>
      <c r="O15" s="548">
        <f>K15-G15</f>
        <v>12.960000000000036</v>
      </c>
      <c r="P15" s="548"/>
      <c r="Q15" s="548">
        <f>M15-I15</f>
        <v>13.07000000000005</v>
      </c>
      <c r="R15" s="532"/>
      <c r="S15" s="549">
        <f>ROUND(K15/G15-1,4)</f>
        <v>2.3099999999999999E-2</v>
      </c>
      <c r="T15" s="529"/>
      <c r="U15" s="549">
        <f>ROUND(M15/I15-1,4)</f>
        <v>2.3099999999999999E-2</v>
      </c>
      <c r="W15" s="544" t="s">
        <v>547</v>
      </c>
      <c r="X15" s="550">
        <f>X14</f>
        <v>8.7100000000000009</v>
      </c>
      <c r="Y15" s="495">
        <f>Y14</f>
        <v>12.98</v>
      </c>
      <c r="Z15" s="551"/>
      <c r="AA15" s="550">
        <f>AA14</f>
        <v>8.92</v>
      </c>
      <c r="AB15" s="495">
        <f>AB14</f>
        <v>13.299999999999999</v>
      </c>
    </row>
    <row r="16" spans="1:30" ht="15.75">
      <c r="A16" s="520"/>
      <c r="B16" s="529"/>
      <c r="C16" s="529"/>
      <c r="D16" s="529">
        <v>300</v>
      </c>
      <c r="E16" s="546">
        <v>10000</v>
      </c>
      <c r="F16" s="547"/>
      <c r="G16" s="548">
        <f>ROUND($X$15+IF($E16&gt;1000,IF($E16&gt;9000,(1000*X$21/100)+(8000*X$22/100)+(($E16-(9000))*X$23/100),(1000*X$21/100)+(($E16-1000)*X$22/100)),($E16*$X$21)/100)+IF(B$14&gt;W$18,$X$18*($B$14-W$18),0)+IF(B$14&gt;W$20,$X$20*($B$14-W$20),0),2)+AA$29</f>
        <v>725.37</v>
      </c>
      <c r="H16" s="548"/>
      <c r="I16" s="548">
        <f>ROUND($Y$15+IF($E16&gt;1000,IF($E16&gt;9000,(1000*Y$21/100)+(8000*Y$22/100)+(($E16-(9000))*Y$23/100),(1000*Y$21/100)+(($E16-1000)*Y$22/100)),($E16*$Y$21)/100)+IF(B$14&gt;W$18,$Y$18*($B$14-W$18),0)+IF(B$14&gt;W$20,$Y$20*($B$14-W$20),0),2)+AA$29</f>
        <v>729.64</v>
      </c>
      <c r="J16" s="548"/>
      <c r="K16" s="548">
        <f>ROUND($AA$15+IF($E16&gt;1000,IF($E16&gt;9000,(1000*AA$21/100)+(8000*AA$22/100)+(($E16-9000)*AA$23/100),(1000*AA$21/100)+(($E16-1000)*AA$22/100)),($E16*$AA$21)/100)+IF(B$14&gt;Z$18,$AA$18*($B$14-Z$18),0)+IF(B$14&gt;Z$20,$AA$20*($B$14-Z$20),0),2)+AA30</f>
        <v>742.16</v>
      </c>
      <c r="L16" s="548"/>
      <c r="M16" s="548">
        <f>ROUND($AB$15+IF($E16&gt;1000,IF($E16&gt;9000,(1000*AB$21/100)+(8000*AB$22/100)+(($E16-9000)*AB$23/100),(1000*AB$21/100)+(($E16-1000)*AB$22/100)),($E16*$AB$21)/100)+IF(B$14&gt;Z$18,$AB$18*($B$14-Z$18),0)+IF(B$14&gt;Z$20,$AB$20*($B$14-Z$20),0),2)+AA30</f>
        <v>746.54</v>
      </c>
      <c r="N16" s="529"/>
      <c r="O16" s="548">
        <f>K16-G16</f>
        <v>16.789999999999964</v>
      </c>
      <c r="P16" s="548"/>
      <c r="Q16" s="548">
        <f>M16-I16</f>
        <v>16.899999999999977</v>
      </c>
      <c r="R16" s="532"/>
      <c r="S16" s="549">
        <f>ROUND(K16/G16-1,4)</f>
        <v>2.3099999999999999E-2</v>
      </c>
      <c r="T16" s="529"/>
      <c r="U16" s="549">
        <f>ROUND(M16/I16-1,4)</f>
        <v>2.3199999999999998E-2</v>
      </c>
      <c r="W16" s="544"/>
      <c r="X16" s="508"/>
      <c r="Y16" s="545"/>
      <c r="Z16" s="508"/>
      <c r="AA16" s="550"/>
      <c r="AB16" s="495"/>
    </row>
    <row r="17" spans="1:30" ht="15.75">
      <c r="A17" s="520"/>
      <c r="B17" s="532"/>
      <c r="C17" s="532"/>
      <c r="D17" s="532"/>
      <c r="E17" s="532"/>
      <c r="F17" s="532"/>
      <c r="G17" s="532"/>
      <c r="H17" s="532"/>
      <c r="I17" s="532"/>
      <c r="J17" s="532"/>
      <c r="K17" s="532"/>
      <c r="L17" s="532"/>
      <c r="M17" s="532"/>
      <c r="N17" s="532"/>
      <c r="O17" s="532"/>
      <c r="P17" s="532"/>
      <c r="Q17" s="532"/>
      <c r="R17" s="532"/>
      <c r="S17" s="532"/>
      <c r="T17" s="532"/>
      <c r="U17" s="532"/>
      <c r="W17" s="544" t="s">
        <v>407</v>
      </c>
      <c r="X17" s="550"/>
      <c r="Y17" s="495"/>
      <c r="Z17" s="553" t="s">
        <v>407</v>
      </c>
      <c r="AA17" s="550"/>
      <c r="AB17" s="495"/>
    </row>
    <row r="18" spans="1:30" ht="15.75">
      <c r="A18" s="520"/>
      <c r="B18" s="529">
        <v>25</v>
      </c>
      <c r="C18" s="529"/>
      <c r="D18" s="529">
        <v>150</v>
      </c>
      <c r="E18" s="546">
        <f>ROUND((B$18*D18),0)</f>
        <v>3750</v>
      </c>
      <c r="F18" s="547"/>
      <c r="G18" s="548">
        <f>ROUND($X$15+IF($E18&gt;1000,IF($E18&gt;9000,(1000*X$21/100)+(8000*X$22/100)+(($E18-9000)*X$23/100),(1000*X$21/100)+(($E18-1000)*X$22/100)),($E18*$X$21)/100)+IF(B$18&gt;W$18,$X$18*($B$18-W$18),0)+IF(B$18&gt;W$20,$X$20*($B$18-W$20),0),2)+AA29</f>
        <v>343.85</v>
      </c>
      <c r="H18" s="548"/>
      <c r="I18" s="548">
        <f>ROUND($Y$15+IF($E18&gt;1000,IF($E18&gt;9000,(1000*Y$21/100)+(8000*Y$22/100)+(($E18-9000)*Y$23/100),(1000*Y$21/100)+(($E18-1000)*Y$22/100)),($E18*$Y$21)/100)+IF(B$18&gt;W$18,$Y$18*($B$18-W$18),0)+IF(B$18&gt;W$20,$Y$20*($B$18-W$20),0),2)+AA29</f>
        <v>348.12</v>
      </c>
      <c r="J18" s="548"/>
      <c r="K18" s="548">
        <f>ROUND($AA$15+IF($E18&gt;1000,IF($E18&gt;9000,(1000*AA$21/100)+(8000*AA$22/100)+(($E18-9000)*AA$23/100),(1000*AA$21/100)+(($E18-1000)*AA$22/100)),($E18*$AA$21)/100)+IF(B$18&gt;Z$18,$AA$18*($B$18-Z$18),0)+IF(B$18&gt;Z$20,$AA$20*($B$18-Z$20),0),2)+AA30</f>
        <v>351.93</v>
      </c>
      <c r="L18" s="548"/>
      <c r="M18" s="548">
        <f>ROUND($AB$15+IF($E18&gt;1000,IF($E18&gt;9000,(1000*AB$21/100)+(8000*AB$22/100)+(($E18-9000)*AB$23/100),(1000*AB$21/100)+(($E18-1000)*AB$22/100)),($E18*$AB$21)/100)+IF(B$18&gt;Z$18,$AB$18*($B$18-Z$18),0)+IF(B$18&gt;Z$20,$AB$20*($B$18-Z$20),0),2)+AA30</f>
        <v>356.31</v>
      </c>
      <c r="N18" s="529"/>
      <c r="O18" s="548">
        <f>K18-G18</f>
        <v>8.0799999999999841</v>
      </c>
      <c r="P18" s="548"/>
      <c r="Q18" s="548">
        <f>M18-I18</f>
        <v>8.1899999999999977</v>
      </c>
      <c r="R18" s="532"/>
      <c r="S18" s="549">
        <f>ROUND(K18/G18-1,4)</f>
        <v>2.35E-2</v>
      </c>
      <c r="T18" s="529"/>
      <c r="U18" s="549">
        <f>ROUND(M18/I18-1,4)</f>
        <v>2.35E-2</v>
      </c>
      <c r="W18" s="554">
        <v>15</v>
      </c>
      <c r="X18" s="550">
        <f>'Pages 4-11, All Other Schedules'!F166</f>
        <v>0.92</v>
      </c>
      <c r="Y18" s="495">
        <f>X18</f>
        <v>0.92</v>
      </c>
      <c r="Z18" s="555">
        <v>15</v>
      </c>
      <c r="AA18" s="550">
        <f>'Pages 4-11, All Other Schedules'!I205</f>
        <v>0.95</v>
      </c>
      <c r="AB18" s="495">
        <f>AA18</f>
        <v>0.95</v>
      </c>
      <c r="AD18" s="502"/>
    </row>
    <row r="19" spans="1:30" ht="15.75">
      <c r="A19" s="520"/>
      <c r="B19" s="529"/>
      <c r="C19" s="529"/>
      <c r="D19" s="529">
        <v>200</v>
      </c>
      <c r="E19" s="546">
        <f>ROUND((B$18*D19),0)</f>
        <v>5000</v>
      </c>
      <c r="F19" s="547"/>
      <c r="G19" s="548">
        <f>ROUND($X$15+IF($E19&gt;1000,IF($E19&gt;9000,(1000*X$21/100)+(8000*X$22/100)+(($E19-9000)*X$23/100),(1000*X$21/100)+(($E19-1000)*X$22/100)),($E19*$X$21)/100)+IF(B$18&gt;W$18,$X$18*($B$18-W$18),0)+IF(B$18&gt;W$20,$X$20*($B$18-W$20),0),2)+AA29</f>
        <v>430.66</v>
      </c>
      <c r="H19" s="548"/>
      <c r="I19" s="548">
        <f>ROUND($Y$15+IF($E19&gt;1000,IF($E19&gt;9000,(1000*Y$21/100)+(8000*Y$22/100)+(($E19-9000)*Y$23/100),(1000*Y$21/100)+(($E19-1000)*Y$22/100)),($E19*$Y$21)/100)+IF(B$18&gt;W$18,$Y$18*($B$18-W$18),0)+IF(B$18&gt;W$20,$Y$20*($B$18-W$20),0),2)+AA29</f>
        <v>434.93</v>
      </c>
      <c r="J19" s="548"/>
      <c r="K19" s="548">
        <f>ROUND($AA$15+IF($E19&gt;1000,IF($E19&gt;9000,(1000*AA$21/100)+(8000*AA$22/100)+(($E19-9000)*AA$23/100),(1000*AA$21/100)+(($E19-1000)*AA$22/100)),($E19*$AA$21)/100)+IF(B$18&gt;Z$18,$AA$18*($B$18-Z$18),0)+IF(B$18&gt;Z$20,$AA$20*($B$18-Z$20),0),2)+AA30</f>
        <v>440.77000000000004</v>
      </c>
      <c r="L19" s="548"/>
      <c r="M19" s="548">
        <f>ROUND($AB$15+IF($E19&gt;1000,IF($E19&gt;9000,(1000*AB$21/100)+(8000*AB$22/100)+(($E19-9000)*AB$23/100),(1000*AB$21/100)+(($E19-1000)*AB$22/100)),($E19*$AB$21)/100)+IF(B$18&gt;Z$18,$AB$18*($B$18-Z$18),0)+IF(B$18&gt;Z$20,$AB$20*($B$18-Z$20),0),2)+AA30</f>
        <v>445.15000000000003</v>
      </c>
      <c r="N19" s="529"/>
      <c r="O19" s="548">
        <f>K19-G19</f>
        <v>10.110000000000014</v>
      </c>
      <c r="P19" s="548"/>
      <c r="Q19" s="548">
        <f>M19-I19</f>
        <v>10.220000000000027</v>
      </c>
      <c r="R19" s="532"/>
      <c r="S19" s="549">
        <f>ROUND(K19/G19-1,4)</f>
        <v>2.35E-2</v>
      </c>
      <c r="T19" s="529"/>
      <c r="U19" s="549">
        <f>ROUND(M19/I19-1,4)</f>
        <v>2.35E-2</v>
      </c>
      <c r="W19" s="544" t="s">
        <v>409</v>
      </c>
      <c r="X19" s="508"/>
      <c r="Y19" s="556"/>
      <c r="Z19" s="508" t="s">
        <v>409</v>
      </c>
      <c r="AA19" s="550"/>
      <c r="AB19" s="495"/>
    </row>
    <row r="20" spans="1:30" ht="15.75">
      <c r="A20" s="520"/>
      <c r="B20" s="529"/>
      <c r="C20" s="529"/>
      <c r="D20" s="529">
        <v>400</v>
      </c>
      <c r="E20" s="546">
        <f>ROUND((B$18*D20),0)</f>
        <v>10000</v>
      </c>
      <c r="F20" s="547"/>
      <c r="G20" s="548">
        <f>ROUND($X$15+IF($E20&gt;1000,IF($E20&gt;9000,(1000*X$21/100)+(8000*X$22/100)+(($E20-9000)*X$23/100),(1000*X$21/100)+(($E20-1000)*X$22/100)),($E20*$X$21)/100)+IF(B$18&gt;W$18,$X$18*($B$18-W$18),0)+IF(B$18&gt;W$20,$X$20*($B$18-W$20),0),2)+AA29</f>
        <v>768.56999999999994</v>
      </c>
      <c r="H20" s="548"/>
      <c r="I20" s="548">
        <f>ROUND($Y$15+IF($E20&gt;1000,IF($E20&gt;9000,(1000*Y$21/100)+(8000*Y$22/100)+(($E20-9000)*Y$23/100),(1000*Y$21/100)+(($E20-1000)*Y$22/100)),($E20*$Y$21)/100)+IF(B$18&gt;W$18,$Y$18*($B$18-W$18),0)+IF(B$18&gt;W$20,$Y$20*($B$18-W$20),0),2)+AA29</f>
        <v>772.83999999999992</v>
      </c>
      <c r="J20" s="548"/>
      <c r="K20" s="548">
        <f>ROUND($AA$15+IF($E20&gt;1000,IF($E20&gt;9000,(1000*AA$21/100)+(8000*AA$22/100)+(($E20-9000)*AA$23/100),(1000*AA$21/100)+(($E20-1000)*AA$22/100)),($E20*$AA$21)/100)+IF(B$18&gt;Z$18,$AA$18*($B$18-Z$18),0)+IF(B$18&gt;Z$20,$AA$20*($B$18-Z$20),0),2)+AA30</f>
        <v>786.56</v>
      </c>
      <c r="L20" s="548"/>
      <c r="M20" s="548">
        <f>ROUND($AB$15+IF($E20&gt;1000,IF($E20&gt;9000,(1000*AB$21/100)+(8000*AB$22/100)+(($E20-9000)*AB$23/100),(1000*AB$21/100)+(($E20-1000)*AB$22/100)),($E20*$AB$21)/100)+IF(B$18&gt;Z$18,$AB$18*($B$18-Z$18),0)+IF(B$18&gt;Z$20,$AB$20*($B$18-Z$20),0),2)+AA30</f>
        <v>790.93999999999994</v>
      </c>
      <c r="N20" s="529"/>
      <c r="O20" s="548">
        <f>K20-G20</f>
        <v>17.990000000000009</v>
      </c>
      <c r="P20" s="548"/>
      <c r="Q20" s="548">
        <f>M20-I20</f>
        <v>18.100000000000023</v>
      </c>
      <c r="R20" s="532"/>
      <c r="S20" s="549">
        <f>ROUND(K20/G20-1,4)</f>
        <v>2.3400000000000001E-2</v>
      </c>
      <c r="T20" s="529"/>
      <c r="U20" s="549">
        <f>ROUND(M20/I20-1,4)</f>
        <v>2.3400000000000001E-2</v>
      </c>
      <c r="W20" s="554">
        <v>15</v>
      </c>
      <c r="X20" s="550">
        <f>'Pages 4-11, All Other Schedules'!F169</f>
        <v>3.4</v>
      </c>
      <c r="Y20" s="495">
        <f>X20</f>
        <v>3.4</v>
      </c>
      <c r="Z20" s="557">
        <v>15</v>
      </c>
      <c r="AA20" s="550">
        <f>'Pages 4-11, All Other Schedules'!I207</f>
        <v>3.4899999999999998</v>
      </c>
      <c r="AB20" s="495">
        <f>AA20</f>
        <v>3.4899999999999998</v>
      </c>
      <c r="AD20" s="502"/>
    </row>
    <row r="21" spans="1:30" ht="15.75">
      <c r="A21" s="520"/>
      <c r="B21" s="532"/>
      <c r="C21" s="532"/>
      <c r="D21" s="532"/>
      <c r="E21" s="532"/>
      <c r="F21" s="547"/>
      <c r="G21" s="558"/>
      <c r="H21" s="558"/>
      <c r="I21" s="558"/>
      <c r="J21" s="558"/>
      <c r="K21" s="558"/>
      <c r="L21" s="558"/>
      <c r="M21" s="558"/>
      <c r="N21" s="532"/>
      <c r="O21" s="548"/>
      <c r="P21" s="548"/>
      <c r="Q21" s="548"/>
      <c r="R21" s="532"/>
      <c r="S21" s="549"/>
      <c r="T21" s="532"/>
      <c r="U21" s="532"/>
      <c r="W21" s="544" t="s">
        <v>548</v>
      </c>
      <c r="X21" s="559">
        <f>'Pages 4-11, All Other Schedules'!F170+AA25+AA32+AA33</f>
        <v>9.9649999999999999</v>
      </c>
      <c r="Y21" s="497">
        <f>X21</f>
        <v>9.9649999999999999</v>
      </c>
      <c r="Z21" s="508" t="s">
        <v>548</v>
      </c>
      <c r="AA21" s="559">
        <f>'Pages 4-11, All Other Schedules'!I208+'Pages 4-11, All Other Schedules'!I174+AA26+AA32+AA33</f>
        <v>10.186999999999999</v>
      </c>
      <c r="AB21" s="560">
        <f>AA21</f>
        <v>10.186999999999999</v>
      </c>
      <c r="AD21" s="499"/>
    </row>
    <row r="22" spans="1:30" ht="15.75">
      <c r="A22" s="520"/>
      <c r="B22" s="529">
        <v>50</v>
      </c>
      <c r="C22" s="529"/>
      <c r="D22" s="529">
        <f>D18</f>
        <v>150</v>
      </c>
      <c r="E22" s="546">
        <f>ROUND((B$22*D22),0)</f>
        <v>7500</v>
      </c>
      <c r="F22" s="547"/>
      <c r="G22" s="548">
        <f>ROUND($X$15+IF($E22&gt;1000,IF($E22&gt;9000,(1000*X$21/100)+(8000*X$22/100)+(($E22-9000)*X$23/100),(1000*X$21/100)+(($E22-1000)*X$22/100)),($E22*$X$21)/100)+IF(B$22&gt;W$18,$X$18*($B$22-W$18),0)+IF(B$22&gt;W$20,$X$20*($B$22-W$20),0),2)+AA29</f>
        <v>712.29</v>
      </c>
      <c r="H22" s="548"/>
      <c r="I22" s="548">
        <f>ROUND($Y$15+IF($E22&gt;1000,IF($E22&gt;9000,(1000*Y$21/100)+(8000*Y$22/100)+(($E22-9000)*Y$23/100),(1000*Y$21/100)+(($E22-1000)*Y$22/100)),($E22*$Y$21)/100)+IF(B$22&gt;W$18,$Y$18*($B$22-W$18),0)+IF(B$22&gt;W$20,$Y$20*($B$22-W$20),0),2)+AA29</f>
        <v>716.56</v>
      </c>
      <c r="J22" s="548"/>
      <c r="K22" s="548">
        <f>ROUND($AA$15+IF($E22&gt;1000,IF($E22&gt;9000,(1000*AA$21/100)+(8000*AA$22/100)+(($E22-9000)*AA$23/100),(1000*AA$21/100)+(($E22-1000)*AA$22/100)),($E22*$AA$21)/100)+IF(B$22&gt;Z$18,$AA$18*($B$22-Z$18),0)+IF(B$22&gt;Z$20,$AA$20*($B$22-Z$20),0),2)+AA30</f>
        <v>729.44999999999993</v>
      </c>
      <c r="L22" s="548"/>
      <c r="M22" s="548">
        <f>ROUND($AB$15+IF($E22&gt;1000,IF($E22&gt;9000,(1000*AB$21/100)+(8000*AB$22/100)+(($E22-9000)*AB$23/100),(1000*AB$21/100)+(($E22-1000)*AB$22/100)),($E22*$AB$21)/100)+IF(B$22&gt;Z$18,$AB$18*($B$22-Z$18),0)+IF(B$22&gt;Z$20,$AB$20*($B$22-Z$20),0),2)+AA30</f>
        <v>733.82999999999993</v>
      </c>
      <c r="N22" s="529"/>
      <c r="O22" s="548">
        <f>K22-G22</f>
        <v>17.159999999999968</v>
      </c>
      <c r="P22" s="548"/>
      <c r="Q22" s="548">
        <f>M22-I22</f>
        <v>17.269999999999982</v>
      </c>
      <c r="R22" s="532"/>
      <c r="S22" s="549">
        <f>ROUND(K22/G22-1,4)</f>
        <v>2.41E-2</v>
      </c>
      <c r="T22" s="529"/>
      <c r="U22" s="549">
        <f>ROUND(M22/I22-1,4)</f>
        <v>2.41E-2</v>
      </c>
      <c r="W22" s="544" t="s">
        <v>549</v>
      </c>
      <c r="X22" s="559">
        <f>'Pages 4-11, All Other Schedules'!F171+AA25+AA32+AA33</f>
        <v>6.9450000000000003</v>
      </c>
      <c r="Y22" s="497">
        <f>X22</f>
        <v>6.9450000000000003</v>
      </c>
      <c r="Z22" s="544" t="s">
        <v>549</v>
      </c>
      <c r="AA22" s="559">
        <f>'Pages 4-11, All Other Schedules'!I209+'Pages 4-11, All Other Schedules'!I175+AA26+AA32+AA33</f>
        <v>7.1070000000000002</v>
      </c>
      <c r="AB22" s="560">
        <f>AA22</f>
        <v>7.1070000000000002</v>
      </c>
      <c r="AD22" s="499"/>
    </row>
    <row r="23" spans="1:30" ht="15.75">
      <c r="B23" s="529"/>
      <c r="C23" s="529"/>
      <c r="D23" s="529">
        <f>D19</f>
        <v>200</v>
      </c>
      <c r="E23" s="546">
        <f>ROUND((B$22*D23),0)</f>
        <v>10000</v>
      </c>
      <c r="F23" s="547"/>
      <c r="G23" s="548">
        <f>ROUND($X$15+IF($E23&gt;1000,IF($E23&gt;9000,(1000*X$21/100)+(8000*X$22/100)+(($E23-9000)*X$23/100),(1000*X$21/100)+(($E23-1000)*X$22/100)),($E23*$X$21)/100)+IF(B$22&gt;W$18,$X$18*($B$22-W$18),0)+IF(B$22&gt;W$20,$X$20*($B$22-W$20),0),2)+AA29</f>
        <v>876.56999999999994</v>
      </c>
      <c r="H23" s="548"/>
      <c r="I23" s="548">
        <f>ROUND($Y$15+IF($E23&gt;1000,IF($E23&gt;9000,(1000*Y$21/100)+(8000*Y$22/100)+(($E23-9000)*Y$23/100),(1000*Y$21/100)+(($E23-1000)*Y$22/100)),($E23*$Y$21)/100)+IF(B$22&gt;W$18,$Y$18*($B$22-W$18),0)+IF(B$22&gt;W$20,$Y$20*($B$22-W$20),0),2)+AA29</f>
        <v>880.83999999999992</v>
      </c>
      <c r="J23" s="548"/>
      <c r="K23" s="548">
        <f>ROUND($AA$15+IF($E23&gt;1000,IF($E23&gt;9000,(1000*AA$21/100)+(8000*AA$22/100)+(($E23-9000)*AA$23/100),(1000*AA$21/100)+(($E23-1000)*AA$22/100)),($E23*$AA$21)/100)+IF(B$22&gt;Z$18,$AA$18*($B$22-Z$18),0)+IF(B$22&gt;Z$20,$AA$20*($B$22-Z$20),0),2)+AA30</f>
        <v>897.56</v>
      </c>
      <c r="L23" s="548"/>
      <c r="M23" s="548">
        <f>ROUND($AB$15+IF($E23&gt;1000,IF($E23&gt;9000,(1000*AB$21/100)+(8000*AB$22/100)+(($E23-9000)*AB$23/100),(1000*AB$21/100)+(($E23-1000)*AB$22/100)),($E23*$AB$21)/100)+IF(B$22&gt;Z$18,$AB$18*($B$22-Z$18),0)+IF(B$22&gt;Z$20,$AB$20*($B$22-Z$20),0),2)+AA30</f>
        <v>901.93999999999994</v>
      </c>
      <c r="N23" s="529"/>
      <c r="O23" s="548">
        <f>K23-G23</f>
        <v>20.990000000000009</v>
      </c>
      <c r="P23" s="548"/>
      <c r="Q23" s="548">
        <f>M23-I23</f>
        <v>21.100000000000023</v>
      </c>
      <c r="R23" s="532"/>
      <c r="S23" s="549">
        <f>ROUND(K23/G23-1,4)</f>
        <v>2.3900000000000001E-2</v>
      </c>
      <c r="T23" s="529"/>
      <c r="U23" s="549">
        <f>ROUND(M23/I23-1,4)</f>
        <v>2.4E-2</v>
      </c>
      <c r="W23" s="544" t="s">
        <v>550</v>
      </c>
      <c r="X23" s="559">
        <f>'Pages 4-11, All Other Schedules'!F172+AA25+AA32+AA33</f>
        <v>6.0110000000000001</v>
      </c>
      <c r="Y23" s="497">
        <f>X23</f>
        <v>6.0110000000000001</v>
      </c>
      <c r="Z23" s="544" t="s">
        <v>550</v>
      </c>
      <c r="AA23" s="559">
        <f>'Pages 4-11, All Other Schedules'!I210+'Pages 4-11, All Other Schedules'!I176+AA26+AA32+AA33</f>
        <v>6.1509999999999998</v>
      </c>
      <c r="AB23" s="560">
        <f>AA23</f>
        <v>6.1509999999999998</v>
      </c>
      <c r="AC23" s="552"/>
      <c r="AD23" s="502"/>
    </row>
    <row r="24" spans="1:30" ht="16.5" thickBot="1">
      <c r="A24" s="520"/>
      <c r="B24" s="529"/>
      <c r="C24" s="529"/>
      <c r="D24" s="529">
        <f>D20</f>
        <v>400</v>
      </c>
      <c r="E24" s="546">
        <f>ROUND((B$22*D24),0)</f>
        <v>20000</v>
      </c>
      <c r="F24" s="547"/>
      <c r="G24" s="548">
        <f>ROUND($X$15+IF($E24&gt;1000,IF($E24&gt;9000,(1000*X$21/100)+(8000*X$22/100)+(($E24-9000)*X$23/100),(1000*X$21/100)+(($E24-1000)*X$22/100)),($E24*$X$21)/100)+IF(B$22&gt;W$18,$X$18*($B$22-W$18),0)+IF(B$22&gt;W$20,$X$20*($B$22-W$20),0),2)+AA29</f>
        <v>1477.6699999999998</v>
      </c>
      <c r="H24" s="548"/>
      <c r="I24" s="548">
        <f>ROUND($Y$15+IF($E24&gt;1000,IF($E24&gt;9000,(1000*Y$21/100)+(8000*Y$22/100)+(($E24-9000)*Y$23/100),(1000*Y$21/100)+(($E24-1000)*Y$22/100)),($E24*$Y$21)/100)+IF(B$22&gt;W$18,$Y$18*($B$22-W$18),0)+IF(B$22&gt;W$20,$Y$20*($B$22-W$20),0),2)+AA29</f>
        <v>1481.94</v>
      </c>
      <c r="J24" s="548"/>
      <c r="K24" s="548">
        <f>ROUND($AA$15+IF($E24&gt;1000,IF($E24&gt;9000,(1000*AA$21/100)+(8000*AA$22/100)+(($E24-9000)*AA$23/100),(1000*AA$21/100)+(($E24-1000)*AA$22/100)),($E24*$AA$21)/100)+IF(B$22&gt;Z$18,$AA$18*($B$22-Z$18),0)+IF(B$22&gt;Z$20,$AA$20*($B$22-Z$20),0),2)+AA30</f>
        <v>1512.6599999999999</v>
      </c>
      <c r="L24" s="548"/>
      <c r="M24" s="548">
        <f>ROUND($AB$15+IF($E24&gt;1000,IF($E24&gt;9000,(1000*AB$21/100)+(8000*AB$22/100)+(($E24-9000)*AB$23/100),(1000*AB$21/100)+(($E24-1000)*AB$22/100)),($E24*$AB$21)/100)+IF(B$22&gt;Z$18,$AB$18*($B$22-Z$18),0)+IF(B$22&gt;Z$20,$AB$20*($B$22-Z$20),0),2)+AA30</f>
        <v>1517.04</v>
      </c>
      <c r="N24" s="529"/>
      <c r="O24" s="548">
        <f>K24-G24</f>
        <v>34.990000000000009</v>
      </c>
      <c r="P24" s="548"/>
      <c r="Q24" s="548">
        <f>M24-I24</f>
        <v>35.099999999999909</v>
      </c>
      <c r="R24" s="532"/>
      <c r="S24" s="549">
        <f>ROUND(K24/G24-1,4)</f>
        <v>2.3699999999999999E-2</v>
      </c>
      <c r="T24" s="529"/>
      <c r="U24" s="549">
        <f>ROUND(M24/I24-1,4)</f>
        <v>2.3699999999999999E-2</v>
      </c>
      <c r="W24" s="504" t="s">
        <v>31</v>
      </c>
      <c r="X24" s="561" t="s">
        <v>31</v>
      </c>
      <c r="Y24" s="562" t="s">
        <v>31</v>
      </c>
      <c r="Z24" s="504" t="s">
        <v>31</v>
      </c>
      <c r="AA24" s="561" t="s">
        <v>31</v>
      </c>
      <c r="AB24" s="562" t="s">
        <v>31</v>
      </c>
    </row>
    <row r="25" spans="1:30" ht="15.75">
      <c r="A25" s="520"/>
      <c r="B25" s="532"/>
      <c r="C25" s="532"/>
      <c r="D25" s="532"/>
      <c r="E25" s="532"/>
      <c r="F25" s="547"/>
      <c r="G25" s="558"/>
      <c r="H25" s="558"/>
      <c r="I25" s="558"/>
      <c r="J25" s="558"/>
      <c r="K25" s="558"/>
      <c r="L25" s="558"/>
      <c r="M25" s="558"/>
      <c r="N25" s="532"/>
      <c r="O25" s="548"/>
      <c r="P25" s="548"/>
      <c r="Q25" s="548"/>
      <c r="R25" s="532"/>
      <c r="S25" s="549"/>
      <c r="T25" s="532"/>
      <c r="U25" s="532"/>
      <c r="Y25" s="506" t="s">
        <v>202</v>
      </c>
      <c r="Z25" s="506"/>
      <c r="AA25" s="507">
        <v>0.317</v>
      </c>
      <c r="AB25" s="563" t="s">
        <v>31</v>
      </c>
    </row>
    <row r="26" spans="1:30" ht="15.75">
      <c r="A26" s="520"/>
      <c r="B26" s="529">
        <v>75</v>
      </c>
      <c r="C26" s="529"/>
      <c r="D26" s="529">
        <v>333.33300000000003</v>
      </c>
      <c r="E26" s="546">
        <f>ROUND((B$26*D26),0)</f>
        <v>25000</v>
      </c>
      <c r="F26" s="564"/>
      <c r="G26" s="548">
        <f>ROUND($X$15+IF($E26&gt;1000,IF($E26&gt;9000,(1000*X$21/100)+(8000*X$22/100)+(($E26-9000)*X$23/100),(1000*X$21/100)+(($E26-1000)*X$22/100)),($E26*$X$21)/100)+IF(B$26&gt;W$18,$X$18*($B$26-W$18),0)+IF(B$26&gt;W$20,$X$20*($B$26-W$20),0),2)+AA29</f>
        <v>1886.22</v>
      </c>
      <c r="H26" s="548"/>
      <c r="I26" s="548">
        <f>ROUND($Y$15+IF($E26&gt;1000,IF($E26&gt;9000,(1000*Y$21/100)+(8000*Y$22/100)+(($E26-9000)*Y$23/100),(1000*Y$21/100)+(($E26-1000)*Y$22/100)),($E26*$Y$21)/100)+IF(B$26&gt;W$18,$Y$18*($B$26-W$18),0)+IF(B$26&gt;W$20,$Y$20*($B$26-W$20),0),2)+AA29</f>
        <v>1890.49</v>
      </c>
      <c r="J26" s="565"/>
      <c r="K26" s="548">
        <f>ROUND($AA$15+IF($E26&gt;1000,IF($E26&gt;9000,(1000*AA$21/100)+(8000*AA$22/100)+(($E26-9000)*AA$23/100),(1000*AA$21/100)+(($E26-1000)*AA$22/100)),($E26*$AA$21)/100)+IF(B$26&gt;Z$18,$AA$18*($B$26-Z$18),0)+IF(B$26&gt;Z$20,$AA$20*($B$26-Z$20),0),2)+AA30</f>
        <v>1931.21</v>
      </c>
      <c r="L26" s="548"/>
      <c r="M26" s="548">
        <f>ROUND($AB$15+IF($E26&gt;1000,IF($E26&gt;9000,(1000*AB$21/100)+(8000*AB$22/100)+(($E26-9000)*AB$23/100),(1000*AB$21/100)+(($E26-1000)*AB$22/100)),($E26*$AB$21)/100)+IF(B$26&gt;Z$18,$AB$18*($B$26-Z$18),0)+IF(B$26&gt;Z$20,$AB$20*($B$26-Z$20),0),2)+AA30</f>
        <v>1935.59</v>
      </c>
      <c r="N26" s="529"/>
      <c r="O26" s="548">
        <f>K26-G26</f>
        <v>44.990000000000009</v>
      </c>
      <c r="P26" s="548"/>
      <c r="Q26" s="548">
        <f>M26-I26</f>
        <v>45.099999999999909</v>
      </c>
      <c r="R26" s="532"/>
      <c r="S26" s="549">
        <f>ROUND(K26/G26-1,4)</f>
        <v>2.3900000000000001E-2</v>
      </c>
      <c r="T26" s="529"/>
      <c r="U26" s="549">
        <f>ROUND(M26/I26-1,4)</f>
        <v>2.3900000000000001E-2</v>
      </c>
      <c r="Y26" s="506"/>
      <c r="Z26" s="506"/>
      <c r="AA26" s="507">
        <v>0.317</v>
      </c>
      <c r="AB26" s="563" t="s">
        <v>31</v>
      </c>
    </row>
    <row r="27" spans="1:30" ht="15.75">
      <c r="B27" s="529"/>
      <c r="C27" s="529"/>
      <c r="D27" s="529">
        <v>500</v>
      </c>
      <c r="E27" s="546">
        <f>ROUND((B$26*D27),0)</f>
        <v>37500</v>
      </c>
      <c r="F27" s="564"/>
      <c r="G27" s="548">
        <f>ROUND($X$15+IF($E27&gt;1000,IF($E27&gt;9000,(1000*X$21/100)+(8000*X$22/100)+(($E27-9000)*X$23/100),(1000*X$21/100)+(($E27-1000)*X$22/100)),($E27*$X$21)/100)+IF(B$26&gt;W$18,$X$18*($B$26-W$18),0)+IF(B$26&gt;W$20,$X$20*($B$26-W$20),0),2)+AA29</f>
        <v>2637.6000000000004</v>
      </c>
      <c r="H27" s="548"/>
      <c r="I27" s="548">
        <f>ROUND($Y$15+IF($E27&gt;1000,IF($E27&gt;9000,(1000*Y$21/100)+(8000*Y$22/100)+(($E27-9000)*Y$23/100),(1000*Y$21/100)+(($E27-1000)*Y$22/100)),($E27*$Y$21)/100)+IF(B$26&gt;W$18,$Y$18*($B$26-W$18),0)+IF(B$26&gt;W$20,$Y$20*($B$26-W$20),0),2)+AA29</f>
        <v>2641.8700000000003</v>
      </c>
      <c r="J27" s="565"/>
      <c r="K27" s="548">
        <f>ROUND($AA$15+IF($E27&gt;1000,IF($E27&gt;9000,(1000*AA$21/100)+(8000*AA$22/100)+(($E27-9000)*AA$23/100),(1000*AA$21/100)+(($E27-1000)*AA$22/100)),($E27*$AA$21)/100)+IF(B$26&gt;Z$18,$AA$18*($B$26-Z$18),0)+IF(B$26&gt;Z$20,$AA$20*($B$26-Z$20),0),2)+AA30</f>
        <v>2700.09</v>
      </c>
      <c r="L27" s="548"/>
      <c r="M27" s="548">
        <f>ROUND($AB$15+IF($E27&gt;1000,IF($E27&gt;9000,(1000*AB$21/100)+(8000*AB$22/100)+(($E27-9000)*AB$23/100),(1000*AB$21/100)+(($E27-1000)*AB$22/100)),($E27*$AB$21)/100)+IF(B$26&gt;Z$18,$AB$18*($B$26-Z$18),0)+IF(B$26&gt;Z$20,$AB$20*($B$26-Z$20),0),2)+AA30</f>
        <v>2704.4700000000003</v>
      </c>
      <c r="N27" s="529"/>
      <c r="O27" s="548">
        <f>K27-G27</f>
        <v>62.489999999999782</v>
      </c>
      <c r="P27" s="548"/>
      <c r="Q27" s="548">
        <f>M27-I27</f>
        <v>62.599999999999909</v>
      </c>
      <c r="R27" s="532"/>
      <c r="S27" s="549">
        <f>ROUND(K27/G27-1,4)</f>
        <v>2.3699999999999999E-2</v>
      </c>
      <c r="T27" s="529"/>
      <c r="U27" s="549">
        <f>ROUND(M27/I27-1,4)</f>
        <v>2.3699999999999999E-2</v>
      </c>
      <c r="Y27" s="506"/>
      <c r="Z27" s="506"/>
      <c r="AA27" s="510"/>
    </row>
    <row r="28" spans="1:30" ht="15.75">
      <c r="A28" s="520"/>
      <c r="B28" s="529"/>
      <c r="C28" s="529"/>
      <c r="D28" s="529">
        <v>666.66600000000005</v>
      </c>
      <c r="E28" s="546">
        <f>ROUND((B$26*D28),0)</f>
        <v>50000</v>
      </c>
      <c r="F28" s="564"/>
      <c r="G28" s="548">
        <f>ROUND($X$15+IF($E28&gt;1000,IF($E28&gt;9000,(1000*X$21/100)+(8000*X$22/100)+(($E28-9000)*X$23/100),(1000*X$21/100)+(($E28-1000)*X$22/100)),($E28*$X$21)/100)+IF(B$26&gt;W$18,$X$18*($B$26-W$18),0)+IF(B$26&gt;W$20,$X$20*($B$26-W$20),0),2)+AA29</f>
        <v>3388.9700000000003</v>
      </c>
      <c r="H28" s="548"/>
      <c r="I28" s="548">
        <f>ROUND($Y$15+IF($E28&gt;1000,IF($E28&gt;9000,(1000*Y$21/100)+(8000*Y$22/100)+(($E28-9000)*Y$23/100),(1000*Y$21/100)+(($E28-1000)*Y$22/100)),($E28*$Y$21)/100)+IF(B$26&gt;W$18,$Y$18*($B$26-W$18),0)+IF(B$26&gt;W$20,$Y$20*($B$26-W$20),0),2)+AA29</f>
        <v>3393.2400000000002</v>
      </c>
      <c r="J28" s="565"/>
      <c r="K28" s="548">
        <f>ROUND($AA$15+IF($E28&gt;1000,IF($E28&gt;9000,(1000*AA$21/100)+(8000*AA$22/100)+(($E28-9000)*AA$23/100),(1000*AA$21/100)+(($E28-1000)*AA$22/100)),($E28*$AA$21)/100)+IF(B$26&gt;Z$18,$AA$18*($B$26-Z$18),0)+IF(B$26&gt;Z$20,$AA$20*($B$26-Z$20),0),2)+AA30</f>
        <v>3468.96</v>
      </c>
      <c r="L28" s="548"/>
      <c r="M28" s="548">
        <f>ROUND($AB$15+IF($E28&gt;1000,IF($E28&gt;9000,(1000*AB$21/100)+(8000*AB$22/100)+(($E28-9000)*AB$23/100),(1000*AB$21/100)+(($E28-1000)*AB$22/100)),($E28*$AB$21)/100)+IF(B$26&gt;Z$18,$AB$18*($B$26-Z$18),0)+IF(B$26&gt;Z$20,$AB$20*($B$26-Z$20),0),2)+AA30</f>
        <v>3473.34</v>
      </c>
      <c r="N28" s="529"/>
      <c r="O28" s="548">
        <f>K28-G28</f>
        <v>79.989999999999782</v>
      </c>
      <c r="P28" s="548"/>
      <c r="Q28" s="548">
        <f>M28-I28</f>
        <v>80.099999999999909</v>
      </c>
      <c r="R28" s="532"/>
      <c r="S28" s="549">
        <f>ROUND(K28/G28-1,4)</f>
        <v>2.3599999999999999E-2</v>
      </c>
      <c r="T28" s="529"/>
      <c r="U28" s="549">
        <f>ROUND(M28/I28-1,4)</f>
        <v>2.3599999999999999E-2</v>
      </c>
      <c r="Y28" s="478" t="s">
        <v>31</v>
      </c>
      <c r="AA28" s="478" t="s">
        <v>31</v>
      </c>
    </row>
    <row r="29" spans="1:30" ht="15.75">
      <c r="A29" s="520"/>
      <c r="B29" s="566"/>
      <c r="C29" s="566"/>
      <c r="D29" s="566"/>
      <c r="E29" s="566"/>
      <c r="F29" s="567"/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Y29" s="478" t="s">
        <v>672</v>
      </c>
      <c r="AA29" s="502">
        <f>'Exhibit No._(JRS-6) p1'!D16</f>
        <v>1.3</v>
      </c>
      <c r="AB29" s="478" t="s">
        <v>31</v>
      </c>
    </row>
    <row r="30" spans="1:30" ht="15.75">
      <c r="A30" s="520"/>
      <c r="B30" s="529">
        <v>100</v>
      </c>
      <c r="C30" s="529"/>
      <c r="D30" s="529">
        <v>333.33300000000003</v>
      </c>
      <c r="E30" s="546">
        <f>ROUND((B$26*D30),0)</f>
        <v>25000</v>
      </c>
      <c r="F30" s="564"/>
      <c r="G30" s="548">
        <f>ROUND($X$15+IF($E30&gt;1000,IF($E30&gt;9000,(1000*X$21/100)+(8000*X$22/100)+(($E30-9000)*X$23/100),(1000*X$21/100)+(($E30-1000)*X$22/100)),($E30*$X$21)/100)+IF(B$30&gt;W$18,$X$18*($B$30-W$18),0)+IF(B$30&gt;W$20,$X$20*($B$30-W$20),0),2)+AA29</f>
        <v>1994.22</v>
      </c>
      <c r="H30" s="548"/>
      <c r="I30" s="548">
        <f>ROUND($Y$15+IF($E30&gt;1000,IF($E30&gt;9000,(1000*Y$21/100)+(8000*Y$22/100)+(($E30-9000)*Y$23/100),(1000*Y$21/100)+(($E30-1000)*Y$22/100)),($E30*$Y$21)/100)+IF(B$30&gt;W$18,$Y$18*($B$30-W$18),0)+IF(B$30&gt;W$20,$Y$20*($B$30-W$20),0),2)+AA29</f>
        <v>1998.49</v>
      </c>
      <c r="J30" s="565"/>
      <c r="K30" s="548">
        <f>ROUND($AA$15+IF($E30&gt;1000,IF($E30&gt;9000,(1000*AA$21/100)+(8000*AA$22/100)+(($E30-9000)*AA$23/100),(1000*AA$21/100)+(($E30-1000)*AA$22/100)),($E30*$AA$21)/100)+IF(B$30&gt;Z$18,$AA$18*($B$30-Z$18),0)+IF(B$30&gt;Z$20,$AA$20*($B$30-Z$20),0),2)+AA30</f>
        <v>2042.21</v>
      </c>
      <c r="L30" s="548"/>
      <c r="M30" s="548">
        <f>ROUND($AB$15+IF($E30&gt;1000,IF($E30&gt;9000,(1000*AB$21/100)+(8000*AB$22/100)+(($E30-9000)*AB$23/100),(1000*AB$21/100)+(($E30-1000)*AB$22/100)),($E30*$AB$21)/100)+IF(B$30&gt;Z$18,$AB$18*($B$30-Z$18),0)+IF(B$30&gt;Z$20,$AB$20*($B$30-Z$20),0),2)+AA30</f>
        <v>2046.59</v>
      </c>
      <c r="N30" s="529"/>
      <c r="O30" s="548">
        <f>K30-G30</f>
        <v>47.990000000000009</v>
      </c>
      <c r="P30" s="548"/>
      <c r="Q30" s="548">
        <f>M30-I30</f>
        <v>48.099999999999909</v>
      </c>
      <c r="R30" s="532"/>
      <c r="S30" s="549">
        <f>ROUND(K30/G30-1,4)</f>
        <v>2.41E-2</v>
      </c>
      <c r="T30" s="529"/>
      <c r="U30" s="549">
        <f>ROUND(M30/I30-1,4)</f>
        <v>2.41E-2</v>
      </c>
      <c r="Y30" s="478" t="s">
        <v>674</v>
      </c>
      <c r="Z30" s="499"/>
      <c r="AA30" s="502">
        <f>'Exhibit No._(JRS-6) p1'!D16</f>
        <v>1.3</v>
      </c>
    </row>
    <row r="31" spans="1:30" ht="15.75">
      <c r="B31" s="529"/>
      <c r="C31" s="529"/>
      <c r="D31" s="529">
        <v>500</v>
      </c>
      <c r="E31" s="546">
        <f>ROUND((B$26*D31),0)</f>
        <v>37500</v>
      </c>
      <c r="F31" s="564"/>
      <c r="G31" s="548">
        <f>ROUND($X$15+IF($E31&gt;1000,IF($E31&gt;9000,(1000*X$21/100)+(8000*X$22/100)+(($E31-9000)*X$23/100),(1000*X$21/100)+(($E31-1000)*X$22/100)),($E31*$X$21)/100)+IF(B$30&gt;W$18,$X$18*($B$30-W$18),0)+IF(B$30&gt;W$20,$X$20*($B$30-W$20),0),2)+AA29</f>
        <v>2745.6000000000004</v>
      </c>
      <c r="H31" s="548"/>
      <c r="I31" s="548">
        <f>ROUND($Y$15+IF($E31&gt;1000,IF($E31&gt;9000,(1000*Y$21/100)+(8000*Y$22/100)+(($E31-9000)*Y$23/100),(1000*Y$21/100)+(($E31-1000)*Y$22/100)),($E31*$Y$21)/100)+IF(B$30&gt;W$18,$Y$18*($B$30-W$18),0)+IF(B$30&gt;W$20,$Y$20*($B$30-W$20),0),2)+AA29</f>
        <v>2749.8700000000003</v>
      </c>
      <c r="J31" s="565"/>
      <c r="K31" s="548">
        <f>ROUND($AA$15+IF($E31&gt;1000,IF($E31&gt;9000,(1000*AA$21/100)+(8000*AA$22/100)+(($E31-9000)*AA$23/100),(1000*AA$21/100)+(($E31-1000)*AA$22/100)),($E31*$AA$21)/100)+IF(B$30&gt;Z$18,$AA$18*($B$30-Z$18),0)+IF(B$30&gt;Z$20,$AA$20*($B$30-Z$20),0),2)+AA30</f>
        <v>2811.09</v>
      </c>
      <c r="L31" s="548"/>
      <c r="M31" s="548">
        <f>ROUND($AB$15+IF($E31&gt;1000,IF($E31&gt;9000,(1000*AB$21/100)+(8000*AB$22/100)+(($E31-9000)*AB$23/100),(1000*AB$21/100)+(($E31-1000)*AB$22/100)),($E31*$AB$21)/100)+IF(B$30&gt;Z$18,$AB$18*($B$30-Z$18),0)+IF(B$30&gt;Z$20,$AB$20*($B$30-Z$20),0),2)+AA30</f>
        <v>2815.4700000000003</v>
      </c>
      <c r="N31" s="529"/>
      <c r="O31" s="548">
        <f>K31-G31</f>
        <v>65.489999999999782</v>
      </c>
      <c r="P31" s="548"/>
      <c r="Q31" s="548">
        <f>M31-I31</f>
        <v>65.599999999999909</v>
      </c>
      <c r="R31" s="532"/>
      <c r="S31" s="549">
        <f>ROUND(K31/G31-1,4)</f>
        <v>2.3900000000000001E-2</v>
      </c>
      <c r="T31" s="529"/>
      <c r="U31" s="549">
        <f>ROUND(M31/I31-1,4)</f>
        <v>2.3900000000000001E-2</v>
      </c>
      <c r="Y31" s="502"/>
      <c r="Z31" s="502"/>
    </row>
    <row r="32" spans="1:30" ht="15.75">
      <c r="A32" s="520"/>
      <c r="B32" s="529"/>
      <c r="C32" s="529"/>
      <c r="D32" s="529">
        <v>666.66600000000005</v>
      </c>
      <c r="E32" s="546">
        <f>ROUND((B$26*D32),0)</f>
        <v>50000</v>
      </c>
      <c r="F32" s="564"/>
      <c r="G32" s="548">
        <f>ROUND($X$15+IF($E32&gt;1000,IF($E32&gt;9000,(1000*X$21/100)+(8000*X$22/100)+(($E32-9000)*X$23/100),(1000*X$21/100)+(($E32-1000)*X$22/100)),($E32*$X$21)/100)+IF(B$30&gt;W$18,$X$18*($B$30-W$18),0)+IF(B$30&gt;W$20,$X$20*($B$30-W$20),0),2)+AA29</f>
        <v>3496.9700000000003</v>
      </c>
      <c r="H32" s="548"/>
      <c r="I32" s="548">
        <f>ROUND($Y$15+IF($E32&gt;1000,IF($E32&gt;9000,(1000*Y$21/100)+(8000*Y$22/100)+(($E32-9000)*Y$23/100),(1000*Y$21/100)+(($E32-1000)*Y$22/100)),($E32*$Y$21)/100)+IF(B$30&gt;W$18,$Y$18*($B$30-W$18),0)+IF(B$30&gt;W$20,$Y$20*($B$30-W$20),0),2)+AA29</f>
        <v>3501.2400000000002</v>
      </c>
      <c r="J32" s="565"/>
      <c r="K32" s="548">
        <f>ROUND($AA$15+IF($E32&gt;1000,IF($E32&gt;9000,(1000*AA$21/100)+(8000*AA$22/100)+(($E32-9000)*AA$23/100),(1000*AA$21/100)+(($E32-1000)*AA$22/100)),($E32*$AA$21)/100)+IF(B$30&gt;Z$18,$AA$18*($B$30-Z$18),0)+IF(B$30&gt;Z$20,$AA$20*($B$30-Z$20),0),2)+AA30</f>
        <v>3579.96</v>
      </c>
      <c r="L32" s="548"/>
      <c r="M32" s="548">
        <f>ROUND($AB$15+IF($E32&gt;1000,IF($E32&gt;9000,(1000*AB$21/100)+(8000*AB$22/100)+(($E32-9000)*AB$23/100),(1000*AB$21/100)+(($E32-1000)*AB$22/100)),($E32*$AB$21)/100)+IF(B$30&gt;Z$18,$AB$18*($B$30-Z$18),0)+IF(B$30&gt;Z$20,$AB$20*($B$30-Z$20),0),2)+AA30</f>
        <v>3584.34</v>
      </c>
      <c r="N32" s="529"/>
      <c r="O32" s="548">
        <f>K32-G32</f>
        <v>82.989999999999782</v>
      </c>
      <c r="P32" s="548"/>
      <c r="Q32" s="548">
        <f>M32-I32</f>
        <v>83.099999999999909</v>
      </c>
      <c r="R32" s="532"/>
      <c r="S32" s="549">
        <f>ROUND(K32/G32-1,4)</f>
        <v>2.3699999999999999E-2</v>
      </c>
      <c r="T32" s="529"/>
      <c r="U32" s="549">
        <f>ROUND(M32/I32-1,4)</f>
        <v>2.3699999999999999E-2</v>
      </c>
      <c r="Y32" s="478" t="s">
        <v>532</v>
      </c>
      <c r="AA32" s="563">
        <v>0</v>
      </c>
    </row>
    <row r="33" spans="1:27" ht="15.75">
      <c r="A33" s="520"/>
      <c r="B33" s="532"/>
      <c r="C33" s="532"/>
      <c r="D33" s="532"/>
      <c r="E33" s="532"/>
      <c r="F33" s="547"/>
      <c r="G33" s="532"/>
      <c r="H33" s="532"/>
      <c r="I33" s="532"/>
      <c r="J33" s="532"/>
      <c r="K33" s="532"/>
      <c r="L33" s="532"/>
      <c r="M33" s="532"/>
      <c r="N33" s="532"/>
      <c r="O33" s="532"/>
      <c r="P33" s="532"/>
      <c r="Q33" s="532"/>
      <c r="R33" s="532"/>
      <c r="S33" s="532"/>
      <c r="T33" s="532"/>
      <c r="U33" s="532"/>
      <c r="Y33" s="761" t="s">
        <v>733</v>
      </c>
      <c r="AA33" s="478">
        <v>-0.11799999999999999</v>
      </c>
    </row>
    <row r="34" spans="1:27" ht="15.75">
      <c r="A34" s="520"/>
      <c r="B34" s="532" t="s">
        <v>533</v>
      </c>
      <c r="C34" s="532"/>
      <c r="D34" s="532"/>
      <c r="E34" s="532"/>
      <c r="F34" s="547"/>
      <c r="G34" s="532"/>
      <c r="H34" s="532"/>
      <c r="I34" s="532"/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W34" s="733" t="s">
        <v>684</v>
      </c>
      <c r="X34" s="607">
        <f ca="1">'Page 1, Revenues from Sales'!W15</f>
        <v>2.4084926877892498E-2</v>
      </c>
    </row>
    <row r="35" spans="1:27" ht="15.75">
      <c r="B35" s="568" t="s">
        <v>942</v>
      </c>
      <c r="C35" s="532"/>
      <c r="D35" s="532"/>
      <c r="E35" s="532"/>
      <c r="F35" s="532"/>
      <c r="G35" s="532"/>
      <c r="H35" s="532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</row>
    <row r="36" spans="1:27">
      <c r="A36" s="520"/>
    </row>
    <row r="37" spans="1:27">
      <c r="A37" s="520"/>
    </row>
    <row r="38" spans="1:27">
      <c r="A38" s="520"/>
    </row>
    <row r="40" spans="1:27">
      <c r="A40" s="520"/>
    </row>
    <row r="41" spans="1:27">
      <c r="A41" s="520"/>
    </row>
    <row r="42" spans="1:27">
      <c r="A42" s="520"/>
    </row>
    <row r="43" spans="1:27">
      <c r="A43" s="520"/>
    </row>
    <row r="44" spans="1:27">
      <c r="A44" s="520"/>
    </row>
    <row r="45" spans="1:27">
      <c r="A45" s="520"/>
    </row>
    <row r="46" spans="1:27">
      <c r="A46" s="520"/>
    </row>
    <row r="47" spans="1:27">
      <c r="A47" s="520"/>
    </row>
    <row r="48" spans="1:27">
      <c r="P48" s="517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Appealed</CaseStatus>
    <OpenedDate xmlns="dc463f71-b30c-4ab2-9473-d307f9d35888">2013-01-11T08:00:00+00:00</OpenedDate>
    <Date1 xmlns="dc463f71-b30c-4ab2-9473-d307f9d35888">2013-08-02T07:00:00+00:00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130043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76616498D7811449987485091DF42B7" ma:contentTypeVersion="135" ma:contentTypeDescription="" ma:contentTypeScope="" ma:versionID="ea582effef2760cff9dab7cbb939c4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FA32EE1D-7E5D-43F1-9107-3F1CDA917A51}"/>
</file>

<file path=customXml/itemProps2.xml><?xml version="1.0" encoding="utf-8"?>
<ds:datastoreItem xmlns:ds="http://schemas.openxmlformats.org/officeDocument/2006/customXml" ds:itemID="{6C2D5FE7-4FB9-40B8-AAC6-4C4C4C10BE93}"/>
</file>

<file path=customXml/itemProps3.xml><?xml version="1.0" encoding="utf-8"?>
<ds:datastoreItem xmlns:ds="http://schemas.openxmlformats.org/officeDocument/2006/customXml" ds:itemID="{5BE6A339-0C34-4469-A51C-70BFE435CE3C}"/>
</file>

<file path=customXml/itemProps4.xml><?xml version="1.0" encoding="utf-8"?>
<ds:datastoreItem xmlns:ds="http://schemas.openxmlformats.org/officeDocument/2006/customXml" ds:itemID="{5AB1E52C-93A1-45F8-B27E-63CBB33FAD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43</vt:i4>
      </vt:variant>
    </vt:vector>
  </HeadingPairs>
  <TitlesOfParts>
    <vt:vector size="88" baseType="lpstr">
      <vt:lpstr>Page 1, Revenues from Sales</vt:lpstr>
      <vt:lpstr>Pages 2-3, Res Schedules</vt:lpstr>
      <vt:lpstr>Pages 4-11, All Other Schedules</vt:lpstr>
      <vt:lpstr>Exhibit No._(JRS-5) p1</vt:lpstr>
      <vt:lpstr>Page 12-14, Crossover (Res)</vt:lpstr>
      <vt:lpstr>Page 15, Revenue Stability</vt:lpstr>
      <vt:lpstr>Page 16, HUD Data</vt:lpstr>
      <vt:lpstr>Page 2, Summary Table (Target)</vt:lpstr>
      <vt:lpstr>Exhibit No._(JRS-5) p2</vt:lpstr>
      <vt:lpstr>Exhibit No._(JRS-5) p3</vt:lpstr>
      <vt:lpstr>Exhibit No._(JRS-5) p4</vt:lpstr>
      <vt:lpstr>Exhibit No._(JRS-5) p5</vt:lpstr>
      <vt:lpstr>Exhibit No._(JRS-5) p6</vt:lpstr>
      <vt:lpstr>Exhibit No._(JRS-5) p7</vt:lpstr>
      <vt:lpstr>Exhibit No._(JRS-6) p1</vt:lpstr>
      <vt:lpstr>Exhibit No._(JRS-6) p2</vt:lpstr>
      <vt:lpstr>Stop Here</vt:lpstr>
      <vt:lpstr>Rate Spread-Staff</vt:lpstr>
      <vt:lpstr>Rate Spread-Co</vt:lpstr>
      <vt:lpstr>NPC Spread</vt:lpstr>
      <vt:lpstr>by rate</vt:lpstr>
      <vt:lpstr>Table 1-Revenues</vt:lpstr>
      <vt:lpstr>Page 17, DOE Data</vt:lpstr>
      <vt:lpstr>Table 1 - kWh</vt:lpstr>
      <vt:lpstr>Table 2</vt:lpstr>
      <vt:lpstr>Table 3</vt:lpstr>
      <vt:lpstr>Temperature</vt:lpstr>
      <vt:lpstr>Temp. Adjustments</vt:lpstr>
      <vt:lpstr>305 VS COGNOS kWh</vt:lpstr>
      <vt:lpstr>305 VS COGNOS Revenue</vt:lpstr>
      <vt:lpstr>SBC-Hydro</vt:lpstr>
      <vt:lpstr>WA HDS Revenue</vt:lpstr>
      <vt:lpstr>Ded Fac Hydro Revenue</vt:lpstr>
      <vt:lpstr>Load Loss</vt:lpstr>
      <vt:lpstr>SBC</vt:lpstr>
      <vt:lpstr>Hydro Deferral</vt:lpstr>
      <vt:lpstr>Backed Out Revenue Totals</vt:lpstr>
      <vt:lpstr>SBC (Old)</vt:lpstr>
      <vt:lpstr>Billing Determinants (2)</vt:lpstr>
      <vt:lpstr>Blocking - detail</vt:lpstr>
      <vt:lpstr>Normalized Monthly kWh</vt:lpstr>
      <vt:lpstr>Normalized Monthly revenue</vt:lpstr>
      <vt:lpstr>305 Inputs</vt:lpstr>
      <vt:lpstr>June 305 12</vt:lpstr>
      <vt:lpstr>Schedule 24 BD</vt:lpstr>
      <vt:lpstr>'Page 2, Summary Table (Target)'!Page1</vt:lpstr>
      <vt:lpstr>'Page 2, Summary Table (Target)'!Page2</vt:lpstr>
      <vt:lpstr>'305 VS COGNOS kWh'!Print_Area</vt:lpstr>
      <vt:lpstr>'305 VS COGNOS Revenue'!Print_Area</vt:lpstr>
      <vt:lpstr>'Billing Determinants (2)'!Print_Area</vt:lpstr>
      <vt:lpstr>'Blocking - detail'!Print_Area</vt:lpstr>
      <vt:lpstr>'Exhibit No._(JRS-5) p1'!Print_Area</vt:lpstr>
      <vt:lpstr>'Exhibit No._(JRS-5) p2'!Print_Area</vt:lpstr>
      <vt:lpstr>'Exhibit No._(JRS-5) p3'!Print_Area</vt:lpstr>
      <vt:lpstr>'Exhibit No._(JRS-5) p4'!Print_Area</vt:lpstr>
      <vt:lpstr>'Exhibit No._(JRS-5) p5'!Print_Area</vt:lpstr>
      <vt:lpstr>'Exhibit No._(JRS-5) p6'!Print_Area</vt:lpstr>
      <vt:lpstr>'Exhibit No._(JRS-5) p7'!Print_Area</vt:lpstr>
      <vt:lpstr>'Exhibit No._(JRS-6) p1'!Print_Area</vt:lpstr>
      <vt:lpstr>'Exhibit No._(JRS-6) p2'!Print_Area</vt:lpstr>
      <vt:lpstr>'Normalized Monthly kWh'!Print_Area</vt:lpstr>
      <vt:lpstr>'Normalized Monthly revenue'!Print_Area</vt:lpstr>
      <vt:lpstr>'NPC Spread'!Print_Area</vt:lpstr>
      <vt:lpstr>'Page 1, Revenues from Sales'!Print_Area</vt:lpstr>
      <vt:lpstr>'Page 12-14, Crossover (Res)'!Print_Area</vt:lpstr>
      <vt:lpstr>'Page 15, Revenue Stability'!Print_Area</vt:lpstr>
      <vt:lpstr>'Pages 2-3, Res Schedules'!Print_Area</vt:lpstr>
      <vt:lpstr>'Pages 4-11, All Other Schedules'!Print_Area</vt:lpstr>
      <vt:lpstr>'Rate Spread-Co'!Print_Area</vt:lpstr>
      <vt:lpstr>'Rate Spread-Staff'!Print_Area</vt:lpstr>
      <vt:lpstr>'SBC-Hydro'!Print_Area</vt:lpstr>
      <vt:lpstr>'Schedule 24 BD'!Print_Area</vt:lpstr>
      <vt:lpstr>'Table 1 - kWh'!Print_Area</vt:lpstr>
      <vt:lpstr>'Table 1-Revenues'!Print_Area</vt:lpstr>
      <vt:lpstr>'Table 2'!Print_Area</vt:lpstr>
      <vt:lpstr>'Table 3'!Print_Area</vt:lpstr>
      <vt:lpstr>'Billing Determinants (2)'!Print_Titles</vt:lpstr>
      <vt:lpstr>'Blocking - detail'!Print_Titles</vt:lpstr>
      <vt:lpstr>'Ded Fac Hydro Revenue'!Print_Titles</vt:lpstr>
      <vt:lpstr>'June 305 12'!Print_Titles</vt:lpstr>
      <vt:lpstr>'Page 12-14, Crossover (Res)'!Print_Titles</vt:lpstr>
      <vt:lpstr>'Pages 2-3, Res Schedules'!Print_Titles</vt:lpstr>
      <vt:lpstr>'Pages 4-11, All Other Schedules'!Print_Titles</vt:lpstr>
      <vt:lpstr>'Table 2'!Print_Titles</vt:lpstr>
      <vt:lpstr>'Table 3'!Print_Titles</vt:lpstr>
      <vt:lpstr>'Page 1, Revenues from Sales'!TABLEA</vt:lpstr>
      <vt:lpstr>'Rate Spread-Co'!TABLEA</vt:lpstr>
      <vt:lpstr>'Rate Spread-Staff'!TABLEA</vt:lpstr>
    </vt:vector>
  </TitlesOfParts>
  <Manager>Mickelson;Christopher (UTC)</Manager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Exhibit No. ___ (CTM-5)</dc:title>
  <dc:subject>Revenue Allocation and Rate Design</dc:subject>
  <dc:creator>Mickelson, Christopher (UTC)</dc:creator>
  <cp:keywords>Revenue Allocation and Rate Design</cp:keywords>
  <cp:lastModifiedBy>Krista Gross</cp:lastModifiedBy>
  <cp:lastPrinted>2013-07-29T16:42:27Z</cp:lastPrinted>
  <dcterms:created xsi:type="dcterms:W3CDTF">1997-08-20T18:29:19Z</dcterms:created>
  <dcterms:modified xsi:type="dcterms:W3CDTF">2013-07-29T18:22:16Z</dcterms:modified>
  <cp:category>Revenue Allocation and Rate Design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0x0101006E56B4D1795A2E4DB2F0B01679ED314A00A76616498D7811449987485091DF42B7</vt:lpwstr>
  </property>
  <property fmtid="{D5CDD505-2E9C-101B-9397-08002B2CF9AE}" pid="4" name="_docset_NoMedatataSyncRequired">
    <vt:lpwstr>False</vt:lpwstr>
  </property>
</Properties>
</file>